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MHS\Medicine\Marketing and Web\Website\DIVISIONS\Primary Care\ESIP\"/>
    </mc:Choice>
  </mc:AlternateContent>
  <workbookProtection workbookAlgorithmName="SHA-512" workbookHashValue="5XVSjGxz7jal5MhOb30BZXbTCUt2+yGU6uP4oNoYjzSGRkJy80ovOIWyNV6FmrZNC1DV7puYvmPqhFOlf8SG+w==" workbookSaltValue="aIZjVz+hBM1XPVNVCX/mbA==" workbookSpinCount="100000" lockStructure="1"/>
  <bookViews>
    <workbookView xWindow="0" yWindow="0" windowWidth="19200" windowHeight="11460"/>
  </bookViews>
  <sheets>
    <sheet name="Program sheet" sheetId="1" r:id="rId1"/>
    <sheet name="Parameters" sheetId="69" r:id="rId2"/>
    <sheet name="Comparator (DET)" sheetId="72" r:id="rId3"/>
    <sheet name="Experimental (DET)" sheetId="82" r:id="rId4"/>
    <sheet name="Pregnancy Adjusted Betas" sheetId="6" r:id="rId5"/>
    <sheet name="Pregnancy costs and utilities" sheetId="73" r:id="rId6"/>
    <sheet name="Mahawesran Tariff" sheetId="70" r:id="rId7"/>
    <sheet name="Infant adult mortality" sheetId="65" r:id="rId8"/>
    <sheet name="Mother mortality" sheetId="15" r:id="rId9"/>
    <sheet name="ONS mortality stats" sheetId="31" r:id="rId10"/>
    <sheet name="Childhood mortality" sheetId="32" r:id="rId11"/>
    <sheet name="Childhood asthma" sheetId="53" r:id="rId12"/>
    <sheet name="Infant pick up smoking rates" sheetId="63" r:id="rId13"/>
    <sheet name="Lifetime_morbidity_array" sheetId="18" r:id="rId14"/>
  </sheets>
  <definedNames>
    <definedName name="Age_of_mother">'Program sheet'!$F$4</definedName>
    <definedName name="Cohort">'Program sheet'!$F$2</definedName>
    <definedName name="Cohort_size">'Program sheet'!$F$2</definedName>
    <definedName name="cRatio">'Program sheet'!#REF!</definedName>
    <definedName name="Det_cost_abruption_previa">Parameters!$N$439</definedName>
    <definedName name="DET_cost_asthma">Parameters!$N$469</definedName>
    <definedName name="det_cost_caesarean">Parameters!$N$449</definedName>
    <definedName name="DET_COST_chd">Parameters!$N$461</definedName>
    <definedName name="det_cost_comparator">Parameters!$N$432</definedName>
    <definedName name="DET_COST_copd">Parameters!$N$462</definedName>
    <definedName name="DET_COST_death">Parameters!$N$451</definedName>
    <definedName name="Det_cost_ectopic_miscarriage">Parameters!$N$438</definedName>
    <definedName name="det_cost_emergency_caesarean">Parameters!$N$448</definedName>
    <definedName name="det_cost_experimental">Parameters!$N$433</definedName>
    <definedName name="DET_cost_lc">Parameters!$N$463</definedName>
    <definedName name="Det_cost_midwife_visit">Parameters!$N$442</definedName>
    <definedName name="DET_cost_neonatal_FG">Parameters!$N$457</definedName>
    <definedName name="Det_cost_neontal_premature">Parameters!$N$456</definedName>
    <definedName name="det_cost_normal_birth">Parameters!$N$447</definedName>
    <definedName name="Det_cost_obstetrician_first_visit">Parameters!$N$443</definedName>
    <definedName name="Det_cost_obstetrician_subsequent">Parameters!$N$444</definedName>
    <definedName name="Det_cost_pre_eclampsia">Parameters!$N$440</definedName>
    <definedName name="Det_cost_premature_birth">Parameters!$N$441</definedName>
    <definedName name="det_cost_routine_obs">Parameters!$N$450</definedName>
    <definedName name="Det_cost_stillbirth">Parameters!$N$455</definedName>
    <definedName name="DET_COST_stroke">Parameters!$N$464</definedName>
    <definedName name="Det_cost_ultrasound_specialised">Parameters!$N$446</definedName>
    <definedName name="Det_cost_utlrasound">Parameters!$N$445</definedName>
    <definedName name="DET_CS_abruption">'Pregnancy Adjusted Betas'!$D$20</definedName>
    <definedName name="DET_CS_ectopic">'Pregnancy Adjusted Betas'!$D$12</definedName>
    <definedName name="DET_CS_lbw_fullgest">'Pregnancy Adjusted Betas'!$C$38</definedName>
    <definedName name="DET_CS_lbw_premature">'Pregnancy Adjusted Betas'!$C$37</definedName>
    <definedName name="DET_CS_miscarriage">'Pregnancy Adjusted Betas'!$D$13</definedName>
    <definedName name="DET_CS_pre_eclampsia">'Pregnancy Adjusted Betas'!$D$22</definedName>
    <definedName name="DET_CS_premature_abruption">'Pregnancy Adjusted Betas'!$C$29</definedName>
    <definedName name="DET_CS_premature_no_complication">'Pregnancy Adjusted Betas'!$C$32</definedName>
    <definedName name="DET_CS_premature_pre_eclampsia">'Pregnancy Adjusted Betas'!$C$31</definedName>
    <definedName name="DET_CS_premature_previa">'Pregnancy Adjusted Betas'!$C$30</definedName>
    <definedName name="DET_CS_previa">'Pregnancy Adjusted Betas'!$D$21</definedName>
    <definedName name="DET_CS_stillbirth_lbw_fullgest">'Pregnancy Adjusted Betas'!$C$45</definedName>
    <definedName name="DET_CS_stillbirth_lbw_premature">'Pregnancy Adjusted Betas'!$C$43</definedName>
    <definedName name="DET_CS_stillbirth_nbw_fullgest">'Pregnancy Adjusted Betas'!$C$46</definedName>
    <definedName name="DET_CS_stillbirth_nbw_premature">'Pregnancy Adjusted Betas'!$C$44</definedName>
    <definedName name="DET_FEMALE_pick_up_smoking_non_smoking_mother">'Infant pick up smoking rates'!$T$56</definedName>
    <definedName name="DET_FEMALE_pick_up_smoking_smoking_mother">'Infant pick up smoking rates'!$U$56</definedName>
    <definedName name="det_infantnotsmoke">'Program sheet'!$J$17</definedName>
    <definedName name="det_infantsmoke">'Program sheet'!$J$16</definedName>
    <definedName name="DET_MALE_pick_up_smoking_non_smoking_mother">'Infant pick up smoking rates'!$H$56</definedName>
    <definedName name="DET_MALE_pick_up_smoking_smoking_mother">'Infant pick up smoking rates'!$I$56</definedName>
    <definedName name="DET_MORT_abruption">Parameters!$N$39</definedName>
    <definedName name="DET_MORT_ectopic">Parameters!$N$37</definedName>
    <definedName name="DET_MORT_miscarriage">Parameters!$N$38</definedName>
    <definedName name="DET_MORT_no_complication">Parameters!$N$42</definedName>
    <definedName name="DET_MORT_pre_eclampsia">Parameters!$N$41</definedName>
    <definedName name="DET_MORT_previa">Parameters!$N$40</definedName>
    <definedName name="DET_NS_abruption">'Pregnancy Adjusted Betas'!$C$20</definedName>
    <definedName name="DET_NS_ectopic">'Pregnancy Adjusted Betas'!$C$12</definedName>
    <definedName name="DET_NS_lbw_fullgest">'Pregnancy Adjusted Betas'!$B$38</definedName>
    <definedName name="DET_NS_lbw_premature">'Pregnancy Adjusted Betas'!$B$37</definedName>
    <definedName name="DET_NS_miscarriage">'Pregnancy Adjusted Betas'!$C$13</definedName>
    <definedName name="DET_NS_pre_eclampsia">'Pregnancy Adjusted Betas'!$C$22</definedName>
    <definedName name="DET_NS_premature_abruption">'Pregnancy Adjusted Betas'!$B$29</definedName>
    <definedName name="DET_NS_premature_no_complication">'Pregnancy Adjusted Betas'!$B$32</definedName>
    <definedName name="DET_NS_premature_pre_eclampsia">'Pregnancy Adjusted Betas'!$B$31</definedName>
    <definedName name="DET_NS_premature_previa">'Pregnancy Adjusted Betas'!$B$30</definedName>
    <definedName name="DET_NS_previa">'Pregnancy Adjusted Betas'!$C$21</definedName>
    <definedName name="DET_NS_stillbirth_lbw_fullgest">'Pregnancy Adjusted Betas'!$B$45</definedName>
    <definedName name="DET_NS_stillbirth_lbw_premature">'Pregnancy Adjusted Betas'!$B$43</definedName>
    <definedName name="DET_NS_stillbirth_nbw_fullgest">'Pregnancy Adjusted Betas'!$B$46</definedName>
    <definedName name="DET_NS_stillbirth_nbw_premature">'Pregnancy Adjusted Betas'!$B$44</definedName>
    <definedName name="DET_P_01Q_CS_FEMALE">Parameters!$N$52</definedName>
    <definedName name="DET_P_01Q_CS_MALE">Parameters!$N$60</definedName>
    <definedName name="DET_P_01Q_CSP">Parameters!$N$50</definedName>
    <definedName name="DET_P_12Q_01Q">Parameters!$N$54</definedName>
    <definedName name="DET_P_12Q_QP">Parameters!$N$46</definedName>
    <definedName name="DET_P_CS_01Q">Parameters!$N$55</definedName>
    <definedName name="DET_P_CS_12Q">Parameters!$N$57</definedName>
    <definedName name="DET_P_CS_12Q_QP">Parameters!$N$49</definedName>
    <definedName name="DET_P_CS_CS_FEMALE">Parameters!$N$53</definedName>
    <definedName name="DET_P_CS_CS_MALE">Parameters!$N$61</definedName>
    <definedName name="DET_P_CS_CSP">Parameters!$N$51</definedName>
    <definedName name="DET_P_CS_LTQ">Parameters!$N$58</definedName>
    <definedName name="DET_P_CS_QP">Parameters!$N$47</definedName>
    <definedName name="DET_p_exposed_passive_smoking">Parameters!$N$66</definedName>
    <definedName name="DET_p_FEMALE_pick_up_smoking_1617">Parameters!$N$76</definedName>
    <definedName name="DET_p_FEMALE_pick_up_smoking_1819">Parameters!$N$77</definedName>
    <definedName name="DET_p_FEMALE_pick_up_smoking_2024">Parameters!$N$78</definedName>
    <definedName name="DET_p_FEMALE_pick_up_smoking_25o">Parameters!$N$79</definedName>
    <definedName name="DET_p_FEMALE_pick_up_smoking_u16">Parameters!$N$75</definedName>
    <definedName name="DET_P_LTQ_12Q">Parameters!$N$56</definedName>
    <definedName name="DET_P_LTQ_12Q_QP">Parameters!$N$48</definedName>
    <definedName name="DET_P_LTQ_LTQ">Parameters!$N$59</definedName>
    <definedName name="DET_p_MALE">Parameters!$N$65</definedName>
    <definedName name="DET_p_MALE_pick_up_smoking_1617">Parameters!$N$71</definedName>
    <definedName name="DET_p_MALE_pick_up_smoking_1819">Parameters!$N$72</definedName>
    <definedName name="DET_p_MALE_pick_up_smoking_2024">Parameters!$N$73</definedName>
    <definedName name="DET_p_MALE_pick_up_smoking_25o">Parameters!$N$74</definedName>
    <definedName name="DET_p_MALE_pick_up_smoking_u16">Parameters!$N$70</definedName>
    <definedName name="DET_QR_comparator">Parameters!$N$3</definedName>
    <definedName name="DET_QR_experimental">Parameters!$N$4</definedName>
    <definedName name="DET_util_asthma">Parameters!$N$428</definedName>
    <definedName name="DET_UTIL_chd">Parameters!$F$420</definedName>
    <definedName name="DET_UTIL_copd">Parameters!$F$421</definedName>
    <definedName name="DET_UTIL_lc">Parameters!$F$422</definedName>
    <definedName name="DET_util_nm">Parameters!$N$427</definedName>
    <definedName name="DET_UTIL_stroke">Parameters!$F$423</definedName>
    <definedName name="DET_utility_decrement_foetal_loss">Parameters!$N$416</definedName>
    <definedName name="DET_utilty_decrement_ectopic">Parameters!$N$415</definedName>
    <definedName name="Discount_rate_costs">'Program sheet'!$F$9</definedName>
    <definedName name="Discount_rate_QALYs">'Program sheet'!$F$10</definedName>
    <definedName name="Female">'Program sheet'!$J$14</definedName>
    <definedName name="Include_infant_cost">'Program sheet'!$R$8</definedName>
    <definedName name="Infant_results_age">'Program sheet'!$F$7</definedName>
    <definedName name="Male">'Program sheet'!$J$13</definedName>
    <definedName name="ONS_mortality_rate_per_value">'ONS mortality stats'!$B$171</definedName>
    <definedName name="Prevalence_of_low_birth_weight_infants">'Childhood mortality'!$B$2</definedName>
    <definedName name="Prob_cost_abruption_previa">Parameters!$O$439</definedName>
    <definedName name="PROB_cost_asthma">Parameters!$O$469</definedName>
    <definedName name="prob_cost_caesarean">Parameters!$O$449</definedName>
    <definedName name="PROB_COST_chd">Parameters!$O$461</definedName>
    <definedName name="prob_cost_comparator">Parameters!$O$432</definedName>
    <definedName name="PROB_COST_copd">Parameters!$O$462</definedName>
    <definedName name="PROB_COST_death">Parameters!$O$451</definedName>
    <definedName name="Prob_cost_ectopic_miscarriage">Parameters!$O$438</definedName>
    <definedName name="prob_cost_emergency_caesarean">Parameters!$O$448</definedName>
    <definedName name="prob_cost_experimental">Parameters!$O$433</definedName>
    <definedName name="PROB_COST_lc">Parameters!$O$463</definedName>
    <definedName name="Prob_cost_midwife_visit">Parameters!$O$442</definedName>
    <definedName name="PROB_cost_neonatal_FG">Parameters!$O$457</definedName>
    <definedName name="PROB_cost_neonatal_premature">Parameters!$O$456</definedName>
    <definedName name="Prob_cost_normal_birth">Parameters!$O$447</definedName>
    <definedName name="Prob_cost_obstetrician_first_visit">Parameters!$O$443</definedName>
    <definedName name="prob_cost_obstetrician_subsequent">Parameters!$O$444</definedName>
    <definedName name="Prob_cost_pre_eclampsia">Parameters!$O$440</definedName>
    <definedName name="Prob_cost_premature_birth">Parameters!$O$441</definedName>
    <definedName name="prob_cost_routine_obs">Parameters!$O$450</definedName>
    <definedName name="PROB_cost_stillbirth">Parameters!$O$455</definedName>
    <definedName name="PROB_COST_stroke">Parameters!$O$464</definedName>
    <definedName name="Prob_cost_ultrasound">Parameters!$O$445</definedName>
    <definedName name="Prob_cost_ultrasound_specialised">Parameters!$O$446</definedName>
    <definedName name="PROB_CS_abruption">'Pregnancy Adjusted Betas'!$G$20</definedName>
    <definedName name="PROB_CS_ectopic">'Pregnancy Adjusted Betas'!$G$12</definedName>
    <definedName name="PROB_CS_lbw_fullgest">'Pregnancy Adjusted Betas'!$E$38</definedName>
    <definedName name="PROB_CS_lbw_premature">'Pregnancy Adjusted Betas'!$E$37</definedName>
    <definedName name="PROB_CS_misacarriage">'Pregnancy Adjusted Betas'!$G$13</definedName>
    <definedName name="PROB_CS_pre_eclampsia">'Pregnancy Adjusted Betas'!$G$22</definedName>
    <definedName name="PROB_CS_premature_abruption">'Pregnancy Adjusted Betas'!$E$29</definedName>
    <definedName name="PROB_CS_premature_no_complication">'Pregnancy Adjusted Betas'!$E$32</definedName>
    <definedName name="PROB_CS_premature_pre_eclampsia">'Pregnancy Adjusted Betas'!$E$31</definedName>
    <definedName name="PROB_CS_premature_previa">'Pregnancy Adjusted Betas'!$E$30</definedName>
    <definedName name="PROB_CS_previa">'Pregnancy Adjusted Betas'!$G$21</definedName>
    <definedName name="PROB_CS_stillbirth_lbw_fullgest">'Pregnancy Adjusted Betas'!$E$45</definedName>
    <definedName name="PROB_CS_stillbirth_lbw_premature">'Pregnancy Adjusted Betas'!$E$43</definedName>
    <definedName name="PROB_CS_stillbirth_nbw_fullgest">'Pregnancy Adjusted Betas'!$E$46</definedName>
    <definedName name="PROB_CS_stillbirth_nbw_premature">'Pregnancy Adjusted Betas'!$E$44</definedName>
    <definedName name="PROB_FEMALE_pick_up_smoking_non_smoking_mother">'Infant pick up smoking rates'!$Z$56</definedName>
    <definedName name="PROB_FEMALE_pick_up_smoking_smoking_mother">'Infant pick up smoking rates'!$AA$56</definedName>
    <definedName name="prob_infantnotsmoke">'Program sheet'!$K$17</definedName>
    <definedName name="prob_infantsmoke">'Program sheet'!$O$16</definedName>
    <definedName name="prob_INT_cost_LBW_quitter" localSheetId="3">#REF!</definedName>
    <definedName name="prob_INT_cost_LBW_quitter">#REF!</definedName>
    <definedName name="prob_INT_cost_LBW_Smoker" localSheetId="3">#REF!</definedName>
    <definedName name="prob_INT_cost_LBW_Smoker">#REF!</definedName>
    <definedName name="prob_INT_cost_NBW_quitter" localSheetId="3">#REF!</definedName>
    <definedName name="prob_INT_cost_NBW_quitter">#REF!</definedName>
    <definedName name="prob_INT_cost_NBW_Smoker" localSheetId="3">#REF!</definedName>
    <definedName name="prob_INT_cost_NBW_Smoker">#REF!</definedName>
    <definedName name="PROB_MALE_pick_up_smoking_non_smoking_mother">'Infant pick up smoking rates'!$N$56</definedName>
    <definedName name="PROB_MALE_pick_up_smoking_smoking_mother">'Infant pick up smoking rates'!$O$56</definedName>
    <definedName name="PROB_MORT_abruption">Parameters!$O$39</definedName>
    <definedName name="PROB_MORT_ectopic">Parameters!$O$37</definedName>
    <definedName name="PROB_MORT_miscarriage">Parameters!$O$38</definedName>
    <definedName name="PROB_MORT_no_complication">Parameters!$O$42</definedName>
    <definedName name="PROB_MORT_pre_eclampsia">Parameters!$O$41</definedName>
    <definedName name="PROB_MORT_previa">Parameters!$O$40</definedName>
    <definedName name="PROB_NS_abruption">'Pregnancy Adjusted Betas'!$F$20</definedName>
    <definedName name="PROB_NS_ectopic">'Pregnancy Adjusted Betas'!$F$12</definedName>
    <definedName name="PROB_NS_lbw_fullgest">'Pregnancy Adjusted Betas'!$D$38</definedName>
    <definedName name="PROB_NS_lbw_premature">'Pregnancy Adjusted Betas'!$D$37</definedName>
    <definedName name="PROB_NS_miscarriage">'Pregnancy Adjusted Betas'!$F$13</definedName>
    <definedName name="PROB_NS_pre_eclampsia">'Pregnancy Adjusted Betas'!$F$22</definedName>
    <definedName name="PROB_NS_premature_abruption">'Pregnancy Adjusted Betas'!$D$29</definedName>
    <definedName name="PROB_NS_premature_no_complication">'Pregnancy Adjusted Betas'!$D$32</definedName>
    <definedName name="PROB_NS_premature_pre_eclampsia">'Pregnancy Adjusted Betas'!$D$31</definedName>
    <definedName name="PROB_NS_premature_previa">'Pregnancy Adjusted Betas'!$D$30</definedName>
    <definedName name="PROB_NS_previa">'Pregnancy Adjusted Betas'!$F$21</definedName>
    <definedName name="PROB_NS_stillbirth_lbw_fullgest">'Pregnancy Adjusted Betas'!$D$45</definedName>
    <definedName name="PROB_NS_stillbirth_lbw_premature">'Pregnancy Adjusted Betas'!$D$43</definedName>
    <definedName name="PROB_NS_stillbirth_nbw_fullgest">'Pregnancy Adjusted Betas'!$D$46</definedName>
    <definedName name="PROB_NS_stillbirth_nbw_premature">'Pregnancy Adjusted Betas'!$D$44</definedName>
    <definedName name="PROB_P_01Q_CS_FEMALE">Parameters!$O$52</definedName>
    <definedName name="PROB_P_01Q_CS_MALE">Parameters!$O$60</definedName>
    <definedName name="PROB_P_01Q_CSP">Parameters!$O$50</definedName>
    <definedName name="PROB_P_12Q_01Q">Parameters!$O$54</definedName>
    <definedName name="PROB_P_12Q_QP">Parameters!$O$46</definedName>
    <definedName name="PROB_P_CS_01Q">Parameters!$O$55</definedName>
    <definedName name="PROB_P_CS_12Q">Parameters!$O$57</definedName>
    <definedName name="PROB_P_CS_12Q_QP">Parameters!$O$49</definedName>
    <definedName name="PROB_P_CS_CS_FEMALE">Parameters!$O$53</definedName>
    <definedName name="PROB_P_CS_CS_MALE">Parameters!$O$61</definedName>
    <definedName name="PROB_P_CS_CSP">Parameters!$O$51</definedName>
    <definedName name="PROB_P_CS_LTQ">Parameters!$O$58</definedName>
    <definedName name="PROB_P_CS_QP">Parameters!$O$47</definedName>
    <definedName name="PROB_p_exposed_passive_smoking">Parameters!$O$66</definedName>
    <definedName name="PROB_p_FEMALE_pick_up_smoking_1617">Parameters!$O$76</definedName>
    <definedName name="PROB_p_FEMALE_pick_up_smoking_1819">Parameters!$O$77</definedName>
    <definedName name="PROB_p_FEMALE_pick_up_smoking_2024">Parameters!$O$78</definedName>
    <definedName name="PROB_p_FEMALE_pick_up_smoking_25o">Parameters!$O$79</definedName>
    <definedName name="PROB_p_FEMALE_pick_up_smoking_u16">Parameters!$O$75</definedName>
    <definedName name="PROB_P_LTQ_12Q">Parameters!$O$56</definedName>
    <definedName name="PROB_P_LTQ_12Q_QP">Parameters!$O$48</definedName>
    <definedName name="PROB_P_LTQ_LTQ">Parameters!$O$59</definedName>
    <definedName name="PROB_p_MALE">Parameters!$O$65</definedName>
    <definedName name="PROB_p_MALE_pick_up_smoking_1617">Parameters!$O$71</definedName>
    <definedName name="PROB_p_MALE_pick_up_smoking_1819">Parameters!$O$72</definedName>
    <definedName name="PROB_p_MALE_pick_up_smoking_2024">Parameters!$O$73</definedName>
    <definedName name="PROB_p_MALE_pick_up_smoking_25o">Parameters!$O$74</definedName>
    <definedName name="PROB_p_MALE_pick_up_smoking_u16">Parameters!$O$70</definedName>
    <definedName name="PROB_QR_comparator">Parameters!$O$3</definedName>
    <definedName name="PROB_QR_experimental">Parameters!$O$4</definedName>
    <definedName name="PROB_util_asthma">Parameters!$O$428</definedName>
    <definedName name="PROB_UTIL_chd">Parameters!$O$420</definedName>
    <definedName name="PROB_UTIL_copd">Parameters!$O$421</definedName>
    <definedName name="PROB_UTIL_lc">Parameters!$O$422</definedName>
    <definedName name="PROB_util_nm">Parameters!$O$427</definedName>
    <definedName name="PROB_UTIL_stroke">Parameters!$O$423</definedName>
    <definedName name="PROB_utility_decrement_ectopic">Parameters!$O$415</definedName>
    <definedName name="PROB_utility_decrement_foetal_loss">Parameters!$O$416</definedName>
    <definedName name="reference_age">'Program sheet'!$F$6</definedName>
    <definedName name="Year_of_pregnancy">'Program sheet'!$F$3</definedName>
  </definedNames>
  <calcPr calcId="162913"/>
</workbook>
</file>

<file path=xl/calcChain.xml><?xml version="1.0" encoding="utf-8"?>
<calcChain xmlns="http://schemas.openxmlformats.org/spreadsheetml/2006/main">
  <c r="F433" i="69" l="1"/>
  <c r="F432" i="69"/>
  <c r="F4" i="69"/>
  <c r="F3" i="69"/>
  <c r="EN766" i="82" l="1"/>
  <c r="EJ766" i="82"/>
  <c r="EF766" i="82"/>
  <c r="DZ766" i="82"/>
  <c r="DV766" i="82"/>
  <c r="DR766" i="82"/>
  <c r="DN766" i="82"/>
  <c r="EN765" i="82"/>
  <c r="EJ765" i="82"/>
  <c r="EF765" i="82"/>
  <c r="DZ765" i="82"/>
  <c r="DV765" i="82"/>
  <c r="DR765" i="82"/>
  <c r="DN765" i="82"/>
  <c r="EN764" i="82"/>
  <c r="EJ764" i="82"/>
  <c r="EF764" i="82"/>
  <c r="DZ764" i="82"/>
  <c r="DV764" i="82"/>
  <c r="DR764" i="82"/>
  <c r="DN764" i="82"/>
  <c r="EN763" i="82"/>
  <c r="EJ763" i="82"/>
  <c r="EF763" i="82"/>
  <c r="DZ763" i="82"/>
  <c r="DV763" i="82"/>
  <c r="DR763" i="82"/>
  <c r="DN763" i="82"/>
  <c r="EN762" i="82"/>
  <c r="EJ762" i="82"/>
  <c r="EF762" i="82"/>
  <c r="DZ762" i="82"/>
  <c r="DV762" i="82"/>
  <c r="DR762" i="82"/>
  <c r="DN762" i="82"/>
  <c r="EN761" i="82"/>
  <c r="EJ761" i="82"/>
  <c r="EF761" i="82"/>
  <c r="DZ761" i="82"/>
  <c r="DV761" i="82"/>
  <c r="DR761" i="82"/>
  <c r="DN761" i="82"/>
  <c r="EN760" i="82"/>
  <c r="EJ760" i="82"/>
  <c r="EF760" i="82"/>
  <c r="DZ760" i="82"/>
  <c r="DV760" i="82"/>
  <c r="DR760" i="82"/>
  <c r="DN760" i="82"/>
  <c r="EN759" i="82"/>
  <c r="EJ759" i="82"/>
  <c r="EF759" i="82"/>
  <c r="DZ759" i="82"/>
  <c r="DV759" i="82"/>
  <c r="DR759" i="82"/>
  <c r="DN759" i="82"/>
  <c r="EN758" i="82"/>
  <c r="EJ758" i="82"/>
  <c r="EF758" i="82"/>
  <c r="DZ758" i="82"/>
  <c r="DV758" i="82"/>
  <c r="DR758" i="82"/>
  <c r="DN758" i="82"/>
  <c r="EN757" i="82"/>
  <c r="EJ757" i="82"/>
  <c r="EF757" i="82"/>
  <c r="DZ757" i="82"/>
  <c r="DV757" i="82"/>
  <c r="DR757" i="82"/>
  <c r="DN757" i="82"/>
  <c r="EN756" i="82"/>
  <c r="EJ756" i="82"/>
  <c r="EF756" i="82"/>
  <c r="DZ756" i="82"/>
  <c r="DV756" i="82"/>
  <c r="DR756" i="82"/>
  <c r="DN756" i="82"/>
  <c r="EN755" i="82"/>
  <c r="EJ755" i="82"/>
  <c r="EF755" i="82"/>
  <c r="DZ755" i="82"/>
  <c r="DV755" i="82"/>
  <c r="DR755" i="82"/>
  <c r="DN755" i="82"/>
  <c r="EN754" i="82"/>
  <c r="EJ754" i="82"/>
  <c r="EF754" i="82"/>
  <c r="DZ754" i="82"/>
  <c r="DV754" i="82"/>
  <c r="DR754" i="82"/>
  <c r="DN754" i="82"/>
  <c r="EN753" i="82"/>
  <c r="EJ753" i="82"/>
  <c r="EF753" i="82"/>
  <c r="DZ753" i="82"/>
  <c r="DV753" i="82"/>
  <c r="DR753" i="82"/>
  <c r="DN753" i="82"/>
  <c r="EN752" i="82"/>
  <c r="EJ752" i="82"/>
  <c r="EF752" i="82"/>
  <c r="DZ752" i="82"/>
  <c r="DV752" i="82"/>
  <c r="DR752" i="82"/>
  <c r="DN752" i="82"/>
  <c r="EN751" i="82"/>
  <c r="EJ751" i="82"/>
  <c r="EF751" i="82"/>
  <c r="DZ751" i="82"/>
  <c r="DV751" i="82"/>
  <c r="DR751" i="82"/>
  <c r="DN751" i="82"/>
  <c r="EN750" i="82"/>
  <c r="EJ750" i="82"/>
  <c r="EF750" i="82"/>
  <c r="DZ750" i="82"/>
  <c r="DV750" i="82"/>
  <c r="DR750" i="82"/>
  <c r="DN750" i="82"/>
  <c r="EN749" i="82"/>
  <c r="EJ749" i="82"/>
  <c r="EF749" i="82"/>
  <c r="DZ749" i="82"/>
  <c r="DV749" i="82"/>
  <c r="DR749" i="82"/>
  <c r="DN749" i="82"/>
  <c r="EN748" i="82"/>
  <c r="EJ748" i="82"/>
  <c r="EF748" i="82"/>
  <c r="DZ748" i="82"/>
  <c r="DV748" i="82"/>
  <c r="DR748" i="82"/>
  <c r="DN748" i="82"/>
  <c r="EN747" i="82"/>
  <c r="EJ747" i="82"/>
  <c r="EF747" i="82"/>
  <c r="DZ747" i="82"/>
  <c r="DV747" i="82"/>
  <c r="DR747" i="82"/>
  <c r="DN747" i="82"/>
  <c r="EN746" i="82"/>
  <c r="EJ746" i="82"/>
  <c r="EF746" i="82"/>
  <c r="DZ746" i="82"/>
  <c r="DV746" i="82"/>
  <c r="DR746" i="82"/>
  <c r="DN746" i="82"/>
  <c r="EN745" i="82"/>
  <c r="EJ745" i="82"/>
  <c r="EF745" i="82"/>
  <c r="DZ745" i="82"/>
  <c r="DV745" i="82"/>
  <c r="DR745" i="82"/>
  <c r="DN745" i="82"/>
  <c r="EN744" i="82"/>
  <c r="EJ744" i="82"/>
  <c r="EF744" i="82"/>
  <c r="DZ744" i="82"/>
  <c r="DV744" i="82"/>
  <c r="DR744" i="82"/>
  <c r="DN744" i="82"/>
  <c r="EN743" i="82"/>
  <c r="EJ743" i="82"/>
  <c r="EF743" i="82"/>
  <c r="DZ743" i="82"/>
  <c r="DV743" i="82"/>
  <c r="DR743" i="82"/>
  <c r="DN743" i="82"/>
  <c r="EN742" i="82"/>
  <c r="EJ742" i="82"/>
  <c r="EF742" i="82"/>
  <c r="DZ742" i="82"/>
  <c r="DV742" i="82"/>
  <c r="DR742" i="82"/>
  <c r="DN742" i="82"/>
  <c r="EN741" i="82"/>
  <c r="EJ741" i="82"/>
  <c r="EF741" i="82"/>
  <c r="DZ741" i="82"/>
  <c r="DV741" i="82"/>
  <c r="DR741" i="82"/>
  <c r="DN741" i="82"/>
  <c r="EN740" i="82"/>
  <c r="EJ740" i="82"/>
  <c r="EF740" i="82"/>
  <c r="DZ740" i="82"/>
  <c r="DV740" i="82"/>
  <c r="DR740" i="82"/>
  <c r="DN740" i="82"/>
  <c r="EN739" i="82"/>
  <c r="EJ739" i="82"/>
  <c r="EF739" i="82"/>
  <c r="DZ739" i="82"/>
  <c r="DV739" i="82"/>
  <c r="DR739" i="82"/>
  <c r="DN739" i="82"/>
  <c r="EN738" i="82"/>
  <c r="EJ738" i="82"/>
  <c r="EF738" i="82"/>
  <c r="DZ738" i="82"/>
  <c r="DV738" i="82"/>
  <c r="DR738" i="82"/>
  <c r="DN738" i="82"/>
  <c r="EN737" i="82"/>
  <c r="EJ737" i="82"/>
  <c r="EF737" i="82"/>
  <c r="DZ737" i="82"/>
  <c r="DV737" i="82"/>
  <c r="DR737" i="82"/>
  <c r="DN737" i="82"/>
  <c r="EN736" i="82"/>
  <c r="EJ736" i="82"/>
  <c r="EF736" i="82"/>
  <c r="DZ736" i="82"/>
  <c r="DV736" i="82"/>
  <c r="DR736" i="82"/>
  <c r="DN736" i="82"/>
  <c r="EN735" i="82"/>
  <c r="EJ735" i="82"/>
  <c r="EF735" i="82"/>
  <c r="DZ735" i="82"/>
  <c r="DV735" i="82"/>
  <c r="DR735" i="82"/>
  <c r="DN735" i="82"/>
  <c r="EN734" i="82"/>
  <c r="EJ734" i="82"/>
  <c r="EF734" i="82"/>
  <c r="DZ734" i="82"/>
  <c r="DV734" i="82"/>
  <c r="DR734" i="82"/>
  <c r="DN734" i="82"/>
  <c r="EN733" i="82"/>
  <c r="EJ733" i="82"/>
  <c r="EF733" i="82"/>
  <c r="DZ733" i="82"/>
  <c r="DV733" i="82"/>
  <c r="DR733" i="82"/>
  <c r="DN733" i="82"/>
  <c r="EN732" i="82"/>
  <c r="EJ732" i="82"/>
  <c r="EF732" i="82"/>
  <c r="DZ732" i="82"/>
  <c r="DV732" i="82"/>
  <c r="DR732" i="82"/>
  <c r="DN732" i="82"/>
  <c r="EN731" i="82"/>
  <c r="EJ731" i="82"/>
  <c r="EF731" i="82"/>
  <c r="DZ731" i="82"/>
  <c r="DV731" i="82"/>
  <c r="DR731" i="82"/>
  <c r="DN731" i="82"/>
  <c r="EN730" i="82"/>
  <c r="EJ730" i="82"/>
  <c r="EF730" i="82"/>
  <c r="DZ730" i="82"/>
  <c r="DV730" i="82"/>
  <c r="DR730" i="82"/>
  <c r="DN730" i="82"/>
  <c r="EN729" i="82"/>
  <c r="EJ729" i="82"/>
  <c r="EF729" i="82"/>
  <c r="DZ729" i="82"/>
  <c r="DV729" i="82"/>
  <c r="DR729" i="82"/>
  <c r="DN729" i="82"/>
  <c r="EN728" i="82"/>
  <c r="EJ728" i="82"/>
  <c r="EF728" i="82"/>
  <c r="DZ728" i="82"/>
  <c r="DV728" i="82"/>
  <c r="DR728" i="82"/>
  <c r="DN728" i="82"/>
  <c r="EN727" i="82"/>
  <c r="EJ727" i="82"/>
  <c r="EF727" i="82"/>
  <c r="DZ727" i="82"/>
  <c r="DV727" i="82"/>
  <c r="DR727" i="82"/>
  <c r="DN727" i="82"/>
  <c r="EN726" i="82"/>
  <c r="EJ726" i="82"/>
  <c r="EF726" i="82"/>
  <c r="DZ726" i="82"/>
  <c r="DV726" i="82"/>
  <c r="DR726" i="82"/>
  <c r="DN726" i="82"/>
  <c r="EN725" i="82"/>
  <c r="EJ725" i="82"/>
  <c r="EF725" i="82"/>
  <c r="DZ725" i="82"/>
  <c r="DV725" i="82"/>
  <c r="DR725" i="82"/>
  <c r="DN725" i="82"/>
  <c r="EN724" i="82"/>
  <c r="EJ724" i="82"/>
  <c r="EF724" i="82"/>
  <c r="DZ724" i="82"/>
  <c r="DV724" i="82"/>
  <c r="DR724" i="82"/>
  <c r="DN724" i="82"/>
  <c r="EN723" i="82"/>
  <c r="EJ723" i="82"/>
  <c r="EF723" i="82"/>
  <c r="DZ723" i="82"/>
  <c r="DV723" i="82"/>
  <c r="DR723" i="82"/>
  <c r="DN723" i="82"/>
  <c r="EN722" i="82"/>
  <c r="EJ722" i="82"/>
  <c r="EF722" i="82"/>
  <c r="DZ722" i="82"/>
  <c r="DV722" i="82"/>
  <c r="DR722" i="82"/>
  <c r="DN722" i="82"/>
  <c r="EN721" i="82"/>
  <c r="EJ721" i="82"/>
  <c r="EF721" i="82"/>
  <c r="DZ721" i="82"/>
  <c r="DV721" i="82"/>
  <c r="DR721" i="82"/>
  <c r="DN721" i="82"/>
  <c r="EN720" i="82"/>
  <c r="EJ720" i="82"/>
  <c r="EF720" i="82"/>
  <c r="DZ720" i="82"/>
  <c r="DV720" i="82"/>
  <c r="DR720" i="82"/>
  <c r="DN720" i="82"/>
  <c r="EN719" i="82"/>
  <c r="EJ719" i="82"/>
  <c r="EF719" i="82"/>
  <c r="DZ719" i="82"/>
  <c r="DV719" i="82"/>
  <c r="DR719" i="82"/>
  <c r="DN719" i="82"/>
  <c r="EN718" i="82"/>
  <c r="EJ718" i="82"/>
  <c r="EF718" i="82"/>
  <c r="DZ718" i="82"/>
  <c r="DV718" i="82"/>
  <c r="DR718" i="82"/>
  <c r="DN718" i="82"/>
  <c r="EN717" i="82"/>
  <c r="EJ717" i="82"/>
  <c r="EF717" i="82"/>
  <c r="DZ717" i="82"/>
  <c r="DV717" i="82"/>
  <c r="DR717" i="82"/>
  <c r="DN717" i="82"/>
  <c r="EN716" i="82"/>
  <c r="EJ716" i="82"/>
  <c r="EF716" i="82"/>
  <c r="DZ716" i="82"/>
  <c r="DV716" i="82"/>
  <c r="DR716" i="82"/>
  <c r="DN716" i="82"/>
  <c r="EN715" i="82"/>
  <c r="EJ715" i="82"/>
  <c r="EF715" i="82"/>
  <c r="DZ715" i="82"/>
  <c r="DV715" i="82"/>
  <c r="DR715" i="82"/>
  <c r="DN715" i="82"/>
  <c r="EN714" i="82"/>
  <c r="EJ714" i="82"/>
  <c r="EF714" i="82"/>
  <c r="DZ714" i="82"/>
  <c r="DV714" i="82"/>
  <c r="DR714" i="82"/>
  <c r="DN714" i="82"/>
  <c r="EN713" i="82"/>
  <c r="EJ713" i="82"/>
  <c r="EF713" i="82"/>
  <c r="DZ713" i="82"/>
  <c r="DV713" i="82"/>
  <c r="DR713" i="82"/>
  <c r="DN713" i="82"/>
  <c r="EN712" i="82"/>
  <c r="EJ712" i="82"/>
  <c r="EF712" i="82"/>
  <c r="DZ712" i="82"/>
  <c r="DV712" i="82"/>
  <c r="DR712" i="82"/>
  <c r="DN712" i="82"/>
  <c r="EN711" i="82"/>
  <c r="EJ711" i="82"/>
  <c r="EF711" i="82"/>
  <c r="DZ711" i="82"/>
  <c r="DV711" i="82"/>
  <c r="DR711" i="82"/>
  <c r="DN711" i="82"/>
  <c r="EN710" i="82"/>
  <c r="EJ710" i="82"/>
  <c r="EF710" i="82"/>
  <c r="DZ710" i="82"/>
  <c r="DV710" i="82"/>
  <c r="DR710" i="82"/>
  <c r="DN710" i="82"/>
  <c r="EN709" i="82"/>
  <c r="EJ709" i="82"/>
  <c r="EF709" i="82"/>
  <c r="DZ709" i="82"/>
  <c r="DV709" i="82"/>
  <c r="DR709" i="82"/>
  <c r="DN709" i="82"/>
  <c r="EN708" i="82"/>
  <c r="EJ708" i="82"/>
  <c r="EF708" i="82"/>
  <c r="DZ708" i="82"/>
  <c r="DV708" i="82"/>
  <c r="DR708" i="82"/>
  <c r="DN708" i="82"/>
  <c r="EN707" i="82"/>
  <c r="EJ707" i="82"/>
  <c r="EF707" i="82"/>
  <c r="DZ707" i="82"/>
  <c r="DV707" i="82"/>
  <c r="DR707" i="82"/>
  <c r="DN707" i="82"/>
  <c r="EN706" i="82"/>
  <c r="EJ706" i="82"/>
  <c r="EF706" i="82"/>
  <c r="DZ706" i="82"/>
  <c r="DV706" i="82"/>
  <c r="DR706" i="82"/>
  <c r="DN706" i="82"/>
  <c r="EN705" i="82"/>
  <c r="EJ705" i="82"/>
  <c r="EF705" i="82"/>
  <c r="DZ705" i="82"/>
  <c r="DV705" i="82"/>
  <c r="DR705" i="82"/>
  <c r="DN705" i="82"/>
  <c r="EN704" i="82"/>
  <c r="EJ704" i="82"/>
  <c r="EF704" i="82"/>
  <c r="DZ704" i="82"/>
  <c r="DV704" i="82"/>
  <c r="DR704" i="82"/>
  <c r="DN704" i="82"/>
  <c r="EN703" i="82"/>
  <c r="EJ703" i="82"/>
  <c r="EF703" i="82"/>
  <c r="DZ703" i="82"/>
  <c r="DV703" i="82"/>
  <c r="DR703" i="82"/>
  <c r="DN703" i="82"/>
  <c r="EN702" i="82"/>
  <c r="EJ702" i="82"/>
  <c r="EF702" i="82"/>
  <c r="DZ702" i="82"/>
  <c r="DV702" i="82"/>
  <c r="DR702" i="82"/>
  <c r="DN702" i="82"/>
  <c r="EN701" i="82"/>
  <c r="EJ701" i="82"/>
  <c r="EF701" i="82"/>
  <c r="DZ701" i="82"/>
  <c r="DV701" i="82"/>
  <c r="DR701" i="82"/>
  <c r="DN701" i="82"/>
  <c r="EN700" i="82"/>
  <c r="EJ700" i="82"/>
  <c r="EF700" i="82"/>
  <c r="DZ700" i="82"/>
  <c r="DV700" i="82"/>
  <c r="DR700" i="82"/>
  <c r="DN700" i="82"/>
  <c r="EN699" i="82"/>
  <c r="EJ699" i="82"/>
  <c r="EF699" i="82"/>
  <c r="DZ699" i="82"/>
  <c r="DV699" i="82"/>
  <c r="DR699" i="82"/>
  <c r="DN699" i="82"/>
  <c r="EN698" i="82"/>
  <c r="EJ698" i="82"/>
  <c r="EF698" i="82"/>
  <c r="DZ698" i="82"/>
  <c r="DV698" i="82"/>
  <c r="DR698" i="82"/>
  <c r="DN698" i="82"/>
  <c r="EN697" i="82"/>
  <c r="EJ697" i="82"/>
  <c r="EF697" i="82"/>
  <c r="DZ697" i="82"/>
  <c r="DV697" i="82"/>
  <c r="DR697" i="82"/>
  <c r="DN697" i="82"/>
  <c r="EN696" i="82"/>
  <c r="EJ696" i="82"/>
  <c r="EF696" i="82"/>
  <c r="DZ696" i="82"/>
  <c r="DV696" i="82"/>
  <c r="DR696" i="82"/>
  <c r="DN696" i="82"/>
  <c r="EN695" i="82"/>
  <c r="EJ695" i="82"/>
  <c r="EF695" i="82"/>
  <c r="DZ695" i="82"/>
  <c r="DV695" i="82"/>
  <c r="DR695" i="82"/>
  <c r="DN695" i="82"/>
  <c r="EN694" i="82"/>
  <c r="EJ694" i="82"/>
  <c r="EF694" i="82"/>
  <c r="DZ694" i="82"/>
  <c r="DV694" i="82"/>
  <c r="DR694" i="82"/>
  <c r="DN694" i="82"/>
  <c r="EN693" i="82"/>
  <c r="EJ693" i="82"/>
  <c r="EF693" i="82"/>
  <c r="DZ693" i="82"/>
  <c r="DV693" i="82"/>
  <c r="DR693" i="82"/>
  <c r="DN693" i="82"/>
  <c r="EN692" i="82"/>
  <c r="EJ692" i="82"/>
  <c r="EF692" i="82"/>
  <c r="DZ692" i="82"/>
  <c r="DV692" i="82"/>
  <c r="DR692" i="82"/>
  <c r="DN692" i="82"/>
  <c r="EN691" i="82"/>
  <c r="EJ691" i="82"/>
  <c r="EF691" i="82"/>
  <c r="DZ691" i="82"/>
  <c r="DV691" i="82"/>
  <c r="DR691" i="82"/>
  <c r="DN691" i="82"/>
  <c r="EN690" i="82"/>
  <c r="EJ690" i="82"/>
  <c r="EF690" i="82"/>
  <c r="DZ690" i="82"/>
  <c r="DV690" i="82"/>
  <c r="DR690" i="82"/>
  <c r="DN690" i="82"/>
  <c r="EN689" i="82"/>
  <c r="EJ689" i="82"/>
  <c r="EF689" i="82"/>
  <c r="DZ689" i="82"/>
  <c r="DV689" i="82"/>
  <c r="DR689" i="82"/>
  <c r="DN689" i="82"/>
  <c r="EN688" i="82"/>
  <c r="EJ688" i="82"/>
  <c r="EF688" i="82"/>
  <c r="DZ688" i="82"/>
  <c r="DV688" i="82"/>
  <c r="DR688" i="82"/>
  <c r="DN688" i="82"/>
  <c r="EN687" i="82"/>
  <c r="EJ687" i="82"/>
  <c r="EF687" i="82"/>
  <c r="DZ687" i="82"/>
  <c r="DV687" i="82"/>
  <c r="DR687" i="82"/>
  <c r="DN687" i="82"/>
  <c r="EN686" i="82"/>
  <c r="EJ686" i="82"/>
  <c r="EF686" i="82"/>
  <c r="DZ686" i="82"/>
  <c r="DV686" i="82"/>
  <c r="DR686" i="82"/>
  <c r="DN686" i="82"/>
  <c r="EN685" i="82"/>
  <c r="EJ685" i="82"/>
  <c r="EF685" i="82"/>
  <c r="DZ685" i="82"/>
  <c r="DV685" i="82"/>
  <c r="DR685" i="82"/>
  <c r="DN685" i="82"/>
  <c r="EN684" i="82"/>
  <c r="EJ684" i="82"/>
  <c r="EF684" i="82"/>
  <c r="DZ684" i="82"/>
  <c r="DV684" i="82"/>
  <c r="DR684" i="82"/>
  <c r="DN684" i="82"/>
  <c r="EN683" i="82"/>
  <c r="EJ683" i="82"/>
  <c r="EF683" i="82"/>
  <c r="DZ683" i="82"/>
  <c r="DV683" i="82"/>
  <c r="DR683" i="82"/>
  <c r="DN683" i="82"/>
  <c r="EN682" i="82"/>
  <c r="EJ682" i="82"/>
  <c r="EF682" i="82"/>
  <c r="DZ682" i="82"/>
  <c r="DV682" i="82"/>
  <c r="DR682" i="82"/>
  <c r="DN682" i="82"/>
  <c r="EN681" i="82"/>
  <c r="EJ681" i="82"/>
  <c r="EF681" i="82"/>
  <c r="EC681" i="82"/>
  <c r="DZ681" i="82"/>
  <c r="DV681" i="82"/>
  <c r="DR681" i="82"/>
  <c r="DN681" i="82"/>
  <c r="EX661" i="82"/>
  <c r="EY661" i="82" s="1"/>
  <c r="ES661" i="82"/>
  <c r="EN661" i="82"/>
  <c r="EI661" i="82"/>
  <c r="EE661" i="82"/>
  <c r="EA661" i="82"/>
  <c r="DG661" i="82"/>
  <c r="DH661" i="82" s="1"/>
  <c r="DB661" i="82"/>
  <c r="CW661" i="82"/>
  <c r="CR661" i="82"/>
  <c r="CN661" i="82"/>
  <c r="CJ661" i="82"/>
  <c r="BP661" i="82"/>
  <c r="BQ661" i="82" s="1"/>
  <c r="BK661" i="82"/>
  <c r="BF661" i="82"/>
  <c r="BA661" i="82"/>
  <c r="AW661" i="82"/>
  <c r="AS661" i="82"/>
  <c r="Y661" i="82"/>
  <c r="Z661" i="82" s="1"/>
  <c r="T661" i="82"/>
  <c r="O661" i="82"/>
  <c r="J661" i="82"/>
  <c r="F661" i="82"/>
  <c r="B661" i="82"/>
  <c r="AT555" i="82"/>
  <c r="B555" i="82"/>
  <c r="C264" i="82"/>
  <c r="C263" i="82"/>
  <c r="AY7" i="82"/>
  <c r="AY12" i="82" s="1"/>
  <c r="AY15" i="82" s="1"/>
  <c r="AY20" i="82" s="1"/>
  <c r="AY23" i="82" s="1"/>
  <c r="AY28" i="82" s="1"/>
  <c r="AY31" i="82" s="1"/>
  <c r="AY36" i="82" s="1"/>
  <c r="AY39" i="82" s="1"/>
  <c r="AY44" i="82" s="1"/>
  <c r="AY47" i="82" s="1"/>
  <c r="AY52" i="82" s="1"/>
  <c r="AY55" i="82" s="1"/>
  <c r="AY60" i="82" s="1"/>
  <c r="AY63" i="82" s="1"/>
  <c r="AY68" i="82" s="1"/>
  <c r="AY71" i="82" s="1"/>
  <c r="AY76" i="82" s="1"/>
  <c r="AY79" i="82" s="1"/>
  <c r="AY84" i="82" s="1"/>
  <c r="AY87" i="82" s="1"/>
  <c r="AY92" i="82" s="1"/>
  <c r="AY95" i="82" s="1"/>
  <c r="AY100" i="82" s="1"/>
  <c r="AY103" i="82" s="1"/>
  <c r="AY108" i="82" s="1"/>
  <c r="AY111" i="82" s="1"/>
  <c r="AY116" i="82" s="1"/>
  <c r="AY119" i="82" s="1"/>
  <c r="AY124" i="82" s="1"/>
  <c r="AY127" i="82" s="1"/>
  <c r="AY132" i="82" s="1"/>
  <c r="AY135" i="82" s="1"/>
  <c r="AY140" i="82" s="1"/>
  <c r="AY143" i="82" s="1"/>
  <c r="AY148" i="82" s="1"/>
  <c r="AY151" i="82" s="1"/>
  <c r="AY156" i="82" s="1"/>
  <c r="AY159" i="82" s="1"/>
  <c r="AY164" i="82" s="1"/>
  <c r="AY167" i="82" s="1"/>
  <c r="AY172" i="82" s="1"/>
  <c r="AY175" i="82" s="1"/>
  <c r="AY180" i="82" s="1"/>
  <c r="AY183" i="82" s="1"/>
  <c r="AY188" i="82" s="1"/>
  <c r="AY191" i="82" s="1"/>
  <c r="AY196" i="82" s="1"/>
  <c r="AY199" i="82" s="1"/>
  <c r="AY204" i="82" s="1"/>
  <c r="AY207" i="82" s="1"/>
  <c r="AY212" i="82" s="1"/>
  <c r="AY215" i="82" s="1"/>
  <c r="AY220" i="82" s="1"/>
  <c r="AY223" i="82" s="1"/>
  <c r="AY228" i="82" s="1"/>
  <c r="AY231" i="82" s="1"/>
  <c r="AY236" i="82" s="1"/>
  <c r="AY239" i="82" s="1"/>
  <c r="AY244" i="82" s="1"/>
  <c r="AY247" i="82" s="1"/>
  <c r="AY252" i="82" s="1"/>
  <c r="AY255" i="82" s="1"/>
  <c r="AY260" i="82" s="1"/>
  <c r="AY263" i="82" s="1"/>
  <c r="AY268" i="82" s="1"/>
  <c r="AY271" i="82" s="1"/>
  <c r="AY276" i="82" s="1"/>
  <c r="AY279" i="82" s="1"/>
  <c r="AY284" i="82" s="1"/>
  <c r="AY287" i="82" s="1"/>
  <c r="AY292" i="82" s="1"/>
  <c r="AY295" i="82" s="1"/>
  <c r="AY300" i="82" s="1"/>
  <c r="AY303" i="82" s="1"/>
  <c r="AY308" i="82" s="1"/>
  <c r="AY311" i="82" s="1"/>
  <c r="AY316" i="82" s="1"/>
  <c r="AY319" i="82" s="1"/>
  <c r="AY324" i="82" s="1"/>
  <c r="AY327" i="82" s="1"/>
  <c r="AY332" i="82" s="1"/>
  <c r="AY335" i="82" s="1"/>
  <c r="AY340" i="82" s="1"/>
  <c r="AY343" i="82" s="1"/>
  <c r="AY348" i="82" s="1"/>
  <c r="AY351" i="82" s="1"/>
  <c r="AY356" i="82" s="1"/>
  <c r="AY359" i="82" s="1"/>
  <c r="AY364" i="82" s="1"/>
  <c r="AY367" i="82" s="1"/>
  <c r="AY372" i="82" s="1"/>
  <c r="AY375" i="82" s="1"/>
  <c r="AY380" i="82" s="1"/>
  <c r="AY383" i="82" s="1"/>
  <c r="AY388" i="82" s="1"/>
  <c r="AY391" i="82" s="1"/>
  <c r="AY396" i="82" s="1"/>
  <c r="AY399" i="82" s="1"/>
  <c r="AY404" i="82" s="1"/>
  <c r="AY407" i="82" s="1"/>
  <c r="AY412" i="82" s="1"/>
  <c r="AY415" i="82" s="1"/>
  <c r="AY420" i="82" s="1"/>
  <c r="AY423" i="82" s="1"/>
  <c r="AY428" i="82" s="1"/>
  <c r="AY431" i="82" s="1"/>
  <c r="AY436" i="82" s="1"/>
  <c r="AY439" i="82" s="1"/>
  <c r="AY444" i="82" s="1"/>
  <c r="AY447" i="82" s="1"/>
  <c r="AY452" i="82" s="1"/>
  <c r="AY455" i="82" s="1"/>
  <c r="AY460" i="82" s="1"/>
  <c r="AY463" i="82" s="1"/>
  <c r="AY468" i="82" s="1"/>
  <c r="AY471" i="82" s="1"/>
  <c r="AY476" i="82" s="1"/>
  <c r="AY479" i="82" s="1"/>
  <c r="AY484" i="82" s="1"/>
  <c r="AY487" i="82" s="1"/>
  <c r="AY492" i="82" s="1"/>
  <c r="AY495" i="82" s="1"/>
  <c r="AY500" i="82" s="1"/>
  <c r="AY503" i="82" s="1"/>
  <c r="AY508" i="82" s="1"/>
  <c r="AY511" i="82" s="1"/>
  <c r="AY516" i="82" s="1"/>
  <c r="AY519" i="82" s="1"/>
  <c r="AY524" i="82" s="1"/>
  <c r="AY527" i="82" s="1"/>
  <c r="AY532" i="82" s="1"/>
  <c r="AY535" i="82" s="1"/>
  <c r="AY540" i="82" s="1"/>
  <c r="AY543" i="82" s="1"/>
  <c r="EN766" i="72"/>
  <c r="EN765" i="72"/>
  <c r="EN764" i="72"/>
  <c r="EN763" i="72"/>
  <c r="EN762" i="72"/>
  <c r="EN761" i="72"/>
  <c r="EN760" i="72"/>
  <c r="EN759" i="72"/>
  <c r="EN758" i="72"/>
  <c r="EN757" i="72"/>
  <c r="EN756" i="72"/>
  <c r="EN755" i="72"/>
  <c r="EN754" i="72"/>
  <c r="EN753" i="72"/>
  <c r="EN752" i="72"/>
  <c r="EN751" i="72"/>
  <c r="EN750" i="72"/>
  <c r="EN749" i="72"/>
  <c r="EN748" i="72"/>
  <c r="EN747" i="72"/>
  <c r="EN746" i="72"/>
  <c r="EN745" i="72"/>
  <c r="EN744" i="72"/>
  <c r="EN743" i="72"/>
  <c r="EN742" i="72"/>
  <c r="EN741" i="72"/>
  <c r="EN740" i="72"/>
  <c r="EN739" i="72"/>
  <c r="EN738" i="72"/>
  <c r="EN737" i="72"/>
  <c r="EN736" i="72"/>
  <c r="EN735" i="72"/>
  <c r="EN734" i="72"/>
  <c r="EN733" i="72"/>
  <c r="EN732" i="72"/>
  <c r="EN731" i="72"/>
  <c r="EN730" i="72"/>
  <c r="EN729" i="72"/>
  <c r="EN728" i="72"/>
  <c r="EN727" i="72"/>
  <c r="EN726" i="72"/>
  <c r="EN725" i="72"/>
  <c r="EN724" i="72"/>
  <c r="EN723" i="72"/>
  <c r="EN722" i="72"/>
  <c r="EN721" i="72"/>
  <c r="EN720" i="72"/>
  <c r="EN719" i="72"/>
  <c r="EN718" i="72"/>
  <c r="EN717" i="72"/>
  <c r="EN716" i="72"/>
  <c r="EN715" i="72"/>
  <c r="EN714" i="72"/>
  <c r="EN713" i="72"/>
  <c r="EN712" i="72"/>
  <c r="EN711" i="72"/>
  <c r="EN710" i="72"/>
  <c r="EN709" i="72"/>
  <c r="EN708" i="72"/>
  <c r="EN707" i="72"/>
  <c r="EN706" i="72"/>
  <c r="EN705" i="72"/>
  <c r="EN704" i="72"/>
  <c r="EN703" i="72"/>
  <c r="EN702" i="72"/>
  <c r="EN701" i="72"/>
  <c r="EN700" i="72"/>
  <c r="EN699" i="72"/>
  <c r="EN698" i="72"/>
  <c r="EN697" i="72"/>
  <c r="EN696" i="72"/>
  <c r="EN695" i="72"/>
  <c r="EN694" i="72"/>
  <c r="EN693" i="72"/>
  <c r="EN692" i="72"/>
  <c r="EN691" i="72"/>
  <c r="EN690" i="72"/>
  <c r="EN689" i="72"/>
  <c r="EN688" i="72"/>
  <c r="EN687" i="72"/>
  <c r="EN686" i="72"/>
  <c r="EN685" i="72"/>
  <c r="EN684" i="72"/>
  <c r="EN683" i="72"/>
  <c r="EN682" i="72"/>
  <c r="EN681" i="72"/>
  <c r="EJ766" i="72"/>
  <c r="EJ765" i="72"/>
  <c r="EJ764" i="72"/>
  <c r="EJ763" i="72"/>
  <c r="EJ762" i="72"/>
  <c r="EJ761" i="72"/>
  <c r="EJ760" i="72"/>
  <c r="EJ759" i="72"/>
  <c r="EJ758" i="72"/>
  <c r="EJ757" i="72"/>
  <c r="EJ756" i="72"/>
  <c r="EJ755" i="72"/>
  <c r="EJ754" i="72"/>
  <c r="EJ753" i="72"/>
  <c r="EJ752" i="72"/>
  <c r="EJ751" i="72"/>
  <c r="EJ750" i="72"/>
  <c r="EJ749" i="72"/>
  <c r="EJ748" i="72"/>
  <c r="EJ747" i="72"/>
  <c r="EJ746" i="72"/>
  <c r="EJ745" i="72"/>
  <c r="EJ744" i="72"/>
  <c r="EJ743" i="72"/>
  <c r="EJ742" i="72"/>
  <c r="EJ741" i="72"/>
  <c r="EJ740" i="72"/>
  <c r="EJ739" i="72"/>
  <c r="EJ738" i="72"/>
  <c r="EJ737" i="72"/>
  <c r="EJ736" i="72"/>
  <c r="EJ735" i="72"/>
  <c r="EJ734" i="72"/>
  <c r="EJ733" i="72"/>
  <c r="EJ732" i="72"/>
  <c r="EJ731" i="72"/>
  <c r="EJ730" i="72"/>
  <c r="EJ729" i="72"/>
  <c r="EJ728" i="72"/>
  <c r="EJ727" i="72"/>
  <c r="EJ726" i="72"/>
  <c r="EJ725" i="72"/>
  <c r="EJ724" i="72"/>
  <c r="EJ723" i="72"/>
  <c r="EJ722" i="72"/>
  <c r="EJ721" i="72"/>
  <c r="EJ720" i="72"/>
  <c r="EJ719" i="72"/>
  <c r="EJ718" i="72"/>
  <c r="EJ717" i="72"/>
  <c r="EJ716" i="72"/>
  <c r="EJ715" i="72"/>
  <c r="EJ714" i="72"/>
  <c r="EJ713" i="72"/>
  <c r="EJ712" i="72"/>
  <c r="EJ711" i="72"/>
  <c r="EJ710" i="72"/>
  <c r="EJ709" i="72"/>
  <c r="EJ708" i="72"/>
  <c r="EJ707" i="72"/>
  <c r="EJ706" i="72"/>
  <c r="EJ705" i="72"/>
  <c r="EJ704" i="72"/>
  <c r="EJ703" i="72"/>
  <c r="EJ702" i="72"/>
  <c r="EJ701" i="72"/>
  <c r="EJ700" i="72"/>
  <c r="EJ699" i="72"/>
  <c r="EJ698" i="72"/>
  <c r="EJ697" i="72"/>
  <c r="EJ696" i="72"/>
  <c r="EJ695" i="72"/>
  <c r="EJ694" i="72"/>
  <c r="EJ693" i="72"/>
  <c r="EJ692" i="72"/>
  <c r="EJ691" i="72"/>
  <c r="EJ690" i="72"/>
  <c r="EJ689" i="72"/>
  <c r="EJ688" i="72"/>
  <c r="EJ687" i="72"/>
  <c r="EJ686" i="72"/>
  <c r="EJ685" i="72"/>
  <c r="EJ684" i="72"/>
  <c r="EJ683" i="72"/>
  <c r="EJ682" i="72"/>
  <c r="EJ681" i="72"/>
  <c r="B556" i="82" l="1"/>
  <c r="AE555" i="82"/>
  <c r="AV555" i="82"/>
  <c r="AI555" i="82"/>
  <c r="AQ555" i="82"/>
  <c r="AM555" i="82"/>
  <c r="AM556" i="82" l="1"/>
  <c r="AQ556" i="82"/>
  <c r="AE556" i="82"/>
  <c r="AV556" i="82"/>
  <c r="AI556" i="82"/>
  <c r="B557" i="82"/>
  <c r="AV557" i="82" l="1"/>
  <c r="AI557" i="82"/>
  <c r="AE557" i="82"/>
  <c r="AQ557" i="82"/>
  <c r="AM557" i="82"/>
  <c r="B558" i="82"/>
  <c r="G455" i="69"/>
  <c r="G439" i="69"/>
  <c r="G440" i="69"/>
  <c r="G441" i="69"/>
  <c r="G442" i="69"/>
  <c r="G443" i="69"/>
  <c r="G444" i="69"/>
  <c r="G445" i="69"/>
  <c r="G446" i="69"/>
  <c r="G447" i="69"/>
  <c r="G448" i="69"/>
  <c r="G449" i="69"/>
  <c r="G450" i="69"/>
  <c r="G451" i="69"/>
  <c r="G438" i="69"/>
  <c r="B559" i="82" l="1"/>
  <c r="AE558" i="82"/>
  <c r="AQ558" i="82"/>
  <c r="AM558" i="82"/>
  <c r="AV558" i="82"/>
  <c r="AI558" i="82"/>
  <c r="F53" i="63"/>
  <c r="H53" i="63"/>
  <c r="F54" i="63"/>
  <c r="H54" i="63"/>
  <c r="F55" i="63"/>
  <c r="H55" i="63"/>
  <c r="F56" i="63"/>
  <c r="H56" i="63"/>
  <c r="F57" i="63"/>
  <c r="H57" i="63"/>
  <c r="F58" i="63"/>
  <c r="H58" i="63"/>
  <c r="F59" i="63"/>
  <c r="H59" i="63"/>
  <c r="F60" i="63"/>
  <c r="H60" i="63"/>
  <c r="F61" i="63"/>
  <c r="H61" i="63"/>
  <c r="F62" i="63"/>
  <c r="H62" i="63"/>
  <c r="F63" i="63"/>
  <c r="H63" i="63"/>
  <c r="B64" i="63"/>
  <c r="D64" i="63"/>
  <c r="F64" i="63"/>
  <c r="H64" i="63"/>
  <c r="B65" i="63"/>
  <c r="D65" i="63"/>
  <c r="F65" i="63"/>
  <c r="H65" i="63"/>
  <c r="B66" i="63"/>
  <c r="D66" i="63"/>
  <c r="F66" i="63"/>
  <c r="H66" i="63"/>
  <c r="B67" i="63"/>
  <c r="D67" i="63"/>
  <c r="F67" i="63"/>
  <c r="H67" i="63"/>
  <c r="B68" i="63"/>
  <c r="D68" i="63"/>
  <c r="F68" i="63"/>
  <c r="H68" i="63"/>
  <c r="B69" i="63"/>
  <c r="D69" i="63"/>
  <c r="F69" i="63"/>
  <c r="H69" i="63"/>
  <c r="B70" i="63"/>
  <c r="D70" i="63"/>
  <c r="F70" i="63"/>
  <c r="H70" i="63"/>
  <c r="B71" i="63"/>
  <c r="D71" i="63"/>
  <c r="F71" i="63"/>
  <c r="H71" i="63"/>
  <c r="B72" i="63"/>
  <c r="D72" i="63"/>
  <c r="F72" i="63"/>
  <c r="H72" i="63"/>
  <c r="B73" i="63"/>
  <c r="D73" i="63"/>
  <c r="F73" i="63"/>
  <c r="H73" i="63"/>
  <c r="B74" i="63"/>
  <c r="D74" i="63"/>
  <c r="F74" i="63"/>
  <c r="H74" i="63"/>
  <c r="B75" i="63"/>
  <c r="D75" i="63"/>
  <c r="F75" i="63"/>
  <c r="H75" i="63"/>
  <c r="B76" i="63"/>
  <c r="D76" i="63"/>
  <c r="F76" i="63"/>
  <c r="H76" i="63"/>
  <c r="B77" i="63"/>
  <c r="D77" i="63"/>
  <c r="F77" i="63"/>
  <c r="H77" i="63"/>
  <c r="B78" i="63"/>
  <c r="D78" i="63"/>
  <c r="F78" i="63"/>
  <c r="H78" i="63"/>
  <c r="B79" i="63"/>
  <c r="D79" i="63"/>
  <c r="F79" i="63"/>
  <c r="H79" i="63"/>
  <c r="B80" i="63"/>
  <c r="D80" i="63"/>
  <c r="F80" i="63"/>
  <c r="H80" i="63"/>
  <c r="B81" i="63"/>
  <c r="D81" i="63"/>
  <c r="F81" i="63"/>
  <c r="H81" i="63"/>
  <c r="B82" i="63"/>
  <c r="D82" i="63"/>
  <c r="F82" i="63"/>
  <c r="H82" i="63"/>
  <c r="B83" i="63"/>
  <c r="D83" i="63"/>
  <c r="F83" i="63"/>
  <c r="H83" i="63"/>
  <c r="B84" i="63"/>
  <c r="D84" i="63"/>
  <c r="F84" i="63"/>
  <c r="H84" i="63"/>
  <c r="B85" i="63"/>
  <c r="D85" i="63"/>
  <c r="F85" i="63"/>
  <c r="H85" i="63"/>
  <c r="B86" i="63"/>
  <c r="D86" i="63"/>
  <c r="F86" i="63"/>
  <c r="H86" i="63"/>
  <c r="B87" i="63"/>
  <c r="D87" i="63"/>
  <c r="F87" i="63"/>
  <c r="H87" i="63"/>
  <c r="B88" i="63"/>
  <c r="D88" i="63"/>
  <c r="F88" i="63"/>
  <c r="H88" i="63"/>
  <c r="B89" i="63"/>
  <c r="D89" i="63"/>
  <c r="F89" i="63"/>
  <c r="H89" i="63"/>
  <c r="B90" i="63"/>
  <c r="D90" i="63"/>
  <c r="F90" i="63"/>
  <c r="H90" i="63"/>
  <c r="B91" i="63"/>
  <c r="D91" i="63"/>
  <c r="F91" i="63"/>
  <c r="H91" i="63"/>
  <c r="B92" i="63"/>
  <c r="D92" i="63"/>
  <c r="F92" i="63"/>
  <c r="H92" i="63"/>
  <c r="B93" i="63"/>
  <c r="D93" i="63"/>
  <c r="F93" i="63"/>
  <c r="H93" i="63"/>
  <c r="B94" i="63"/>
  <c r="D94" i="63"/>
  <c r="F94" i="63"/>
  <c r="H94" i="63"/>
  <c r="B95" i="63"/>
  <c r="D95" i="63"/>
  <c r="F95" i="63"/>
  <c r="H95" i="63"/>
  <c r="B96" i="63"/>
  <c r="D96" i="63"/>
  <c r="F96" i="63"/>
  <c r="H96" i="63"/>
  <c r="B97" i="63"/>
  <c r="D97" i="63"/>
  <c r="F97" i="63"/>
  <c r="H97" i="63"/>
  <c r="B98" i="63"/>
  <c r="D98" i="63"/>
  <c r="F98" i="63"/>
  <c r="H98" i="63"/>
  <c r="B99" i="63"/>
  <c r="D99" i="63"/>
  <c r="F99" i="63"/>
  <c r="H99" i="63"/>
  <c r="B100" i="63"/>
  <c r="D100" i="63"/>
  <c r="F100" i="63"/>
  <c r="H100" i="63"/>
  <c r="B101" i="63"/>
  <c r="D101" i="63"/>
  <c r="F101" i="63"/>
  <c r="H101" i="63"/>
  <c r="B102" i="63"/>
  <c r="D102" i="63"/>
  <c r="F102" i="63"/>
  <c r="H102" i="63"/>
  <c r="B103" i="63"/>
  <c r="D103" i="63"/>
  <c r="F103" i="63"/>
  <c r="H103" i="63"/>
  <c r="B104" i="63"/>
  <c r="D104" i="63"/>
  <c r="F104" i="63"/>
  <c r="H104" i="63"/>
  <c r="J395" i="69"/>
  <c r="K395" i="69"/>
  <c r="L395" i="69"/>
  <c r="O395" i="69"/>
  <c r="C3" i="63" s="1"/>
  <c r="J396" i="69"/>
  <c r="K396" i="69"/>
  <c r="L396" i="69"/>
  <c r="O396" i="69"/>
  <c r="C4" i="63" s="1"/>
  <c r="C6" i="53"/>
  <c r="C23" i="53"/>
  <c r="J382" i="69"/>
  <c r="K382" i="69"/>
  <c r="L382" i="69"/>
  <c r="O382" i="69"/>
  <c r="C4" i="53" s="1"/>
  <c r="J383" i="69"/>
  <c r="K383" i="69"/>
  <c r="L383" i="69"/>
  <c r="O383" i="69"/>
  <c r="C5" i="53" s="1"/>
  <c r="J384" i="69"/>
  <c r="K384" i="69"/>
  <c r="L384" i="69"/>
  <c r="M384" i="69" s="1"/>
  <c r="P384" i="69" s="1"/>
  <c r="D6" i="53" s="1"/>
  <c r="O384" i="69"/>
  <c r="J385" i="69"/>
  <c r="K385" i="69"/>
  <c r="L385" i="69"/>
  <c r="O385" i="69"/>
  <c r="C7" i="53" s="1"/>
  <c r="J386" i="69"/>
  <c r="K386" i="69"/>
  <c r="L386" i="69"/>
  <c r="O386" i="69"/>
  <c r="E3" i="53" s="1"/>
  <c r="J387" i="69"/>
  <c r="K387" i="69"/>
  <c r="L387" i="69"/>
  <c r="O387" i="69"/>
  <c r="E4" i="53" s="1"/>
  <c r="J388" i="69"/>
  <c r="K388" i="69"/>
  <c r="L388" i="69"/>
  <c r="O388" i="69"/>
  <c r="E5" i="53" s="1"/>
  <c r="J389" i="69"/>
  <c r="K389" i="69"/>
  <c r="L389" i="69"/>
  <c r="O389" i="69"/>
  <c r="E6" i="53" s="1"/>
  <c r="J390" i="69"/>
  <c r="K390" i="69"/>
  <c r="L390" i="69"/>
  <c r="O390" i="69"/>
  <c r="E7" i="53" s="1"/>
  <c r="I244" i="69"/>
  <c r="J244" i="69" s="1"/>
  <c r="I245" i="69"/>
  <c r="J245" i="69" s="1"/>
  <c r="K245" i="69" s="1"/>
  <c r="I246" i="69"/>
  <c r="J246" i="69" s="1"/>
  <c r="I247" i="69"/>
  <c r="J247" i="69" s="1"/>
  <c r="I248" i="69"/>
  <c r="J248" i="69" s="1"/>
  <c r="I249" i="69"/>
  <c r="J249" i="69" s="1"/>
  <c r="I250" i="69"/>
  <c r="J250" i="69" s="1"/>
  <c r="I251" i="69"/>
  <c r="J251" i="69" s="1"/>
  <c r="K251" i="69" s="1"/>
  <c r="I252" i="69"/>
  <c r="J252" i="69" s="1"/>
  <c r="I253" i="69"/>
  <c r="J253" i="69" s="1"/>
  <c r="K253" i="69" s="1"/>
  <c r="I254" i="69"/>
  <c r="J254" i="69" s="1"/>
  <c r="I255" i="69"/>
  <c r="J255" i="69" s="1"/>
  <c r="K255" i="69" s="1"/>
  <c r="I256" i="69"/>
  <c r="J256" i="69" s="1"/>
  <c r="I257" i="69"/>
  <c r="J257" i="69" s="1"/>
  <c r="I258" i="69"/>
  <c r="J258" i="69" s="1"/>
  <c r="I259" i="69"/>
  <c r="J259" i="69" s="1"/>
  <c r="I260" i="69"/>
  <c r="J260" i="69" s="1"/>
  <c r="I261" i="69"/>
  <c r="J261" i="69" s="1"/>
  <c r="K261" i="69" s="1"/>
  <c r="I262" i="69"/>
  <c r="J262" i="69" s="1"/>
  <c r="I263" i="69"/>
  <c r="J263" i="69"/>
  <c r="K263" i="69" s="1"/>
  <c r="I264" i="69"/>
  <c r="J264" i="69" s="1"/>
  <c r="I265" i="69"/>
  <c r="J265" i="69" s="1"/>
  <c r="K265" i="69" s="1"/>
  <c r="I266" i="69"/>
  <c r="J266" i="69" s="1"/>
  <c r="I267" i="69"/>
  <c r="J267" i="69" s="1"/>
  <c r="I268" i="69"/>
  <c r="J268" i="69" s="1"/>
  <c r="I269" i="69"/>
  <c r="J269" i="69" s="1"/>
  <c r="I270" i="69"/>
  <c r="J270" i="69" s="1"/>
  <c r="I271" i="69"/>
  <c r="J271" i="69" s="1"/>
  <c r="K271" i="69" s="1"/>
  <c r="I272" i="69"/>
  <c r="J272" i="69" s="1"/>
  <c r="I273" i="69"/>
  <c r="J273" i="69" s="1"/>
  <c r="K273" i="69" s="1"/>
  <c r="I274" i="69"/>
  <c r="J274" i="69" s="1"/>
  <c r="I275" i="69"/>
  <c r="J275" i="69" s="1"/>
  <c r="K275" i="69" s="1"/>
  <c r="I276" i="69"/>
  <c r="J276" i="69" s="1"/>
  <c r="I277" i="69"/>
  <c r="J277" i="69" s="1"/>
  <c r="N244" i="69"/>
  <c r="C17" i="53" s="1"/>
  <c r="N245" i="69"/>
  <c r="C18" i="53" s="1"/>
  <c r="N246" i="69"/>
  <c r="C19" i="53" s="1"/>
  <c r="N247" i="69"/>
  <c r="C20" i="53" s="1"/>
  <c r="N248" i="69"/>
  <c r="C21" i="53" s="1"/>
  <c r="N249" i="69"/>
  <c r="C22" i="53" s="1"/>
  <c r="N250" i="69"/>
  <c r="N251" i="69"/>
  <c r="C24" i="53" s="1"/>
  <c r="N252" i="69"/>
  <c r="C25" i="53" s="1"/>
  <c r="N253" i="69"/>
  <c r="C26" i="53" s="1"/>
  <c r="N254" i="69"/>
  <c r="C27" i="53" s="1"/>
  <c r="N255" i="69"/>
  <c r="C28" i="53" s="1"/>
  <c r="N256" i="69"/>
  <c r="C29" i="53" s="1"/>
  <c r="N257" i="69"/>
  <c r="C30" i="53" s="1"/>
  <c r="N258" i="69"/>
  <c r="E11" i="53" s="1"/>
  <c r="N259" i="69"/>
  <c r="E12" i="53" s="1"/>
  <c r="N260" i="69"/>
  <c r="E13" i="53" s="1"/>
  <c r="N261" i="69"/>
  <c r="E14" i="53" s="1"/>
  <c r="N262" i="69"/>
  <c r="E15" i="53" s="1"/>
  <c r="N263" i="69"/>
  <c r="E16" i="53" s="1"/>
  <c r="N264" i="69"/>
  <c r="E17" i="53" s="1"/>
  <c r="N265" i="69"/>
  <c r="E18" i="53" s="1"/>
  <c r="N266" i="69"/>
  <c r="E19" i="53" s="1"/>
  <c r="N267" i="69"/>
  <c r="E20" i="53" s="1"/>
  <c r="N268" i="69"/>
  <c r="E21" i="53" s="1"/>
  <c r="N269" i="69"/>
  <c r="E22" i="53" s="1"/>
  <c r="N270" i="69"/>
  <c r="E23" i="53" s="1"/>
  <c r="N271" i="69"/>
  <c r="E24" i="53" s="1"/>
  <c r="N272" i="69"/>
  <c r="E25" i="53" s="1"/>
  <c r="N273" i="69"/>
  <c r="E26" i="53" s="1"/>
  <c r="N274" i="69"/>
  <c r="E27" i="53" s="1"/>
  <c r="N275" i="69"/>
  <c r="E28" i="53" s="1"/>
  <c r="N276" i="69"/>
  <c r="E29" i="53" s="1"/>
  <c r="N277" i="69"/>
  <c r="E30" i="53" s="1"/>
  <c r="I239" i="69"/>
  <c r="J239" i="69" s="1"/>
  <c r="N239" i="69"/>
  <c r="C12" i="53" s="1"/>
  <c r="I240" i="69"/>
  <c r="J240" i="69" s="1"/>
  <c r="K240" i="69" s="1"/>
  <c r="N240" i="69"/>
  <c r="C13" i="53" s="1"/>
  <c r="I241" i="69"/>
  <c r="J241" i="69" s="1"/>
  <c r="K241" i="69" s="1"/>
  <c r="N241" i="69"/>
  <c r="C14" i="53" s="1"/>
  <c r="I242" i="69"/>
  <c r="J242" i="69" s="1"/>
  <c r="K242" i="69" s="1"/>
  <c r="N242" i="69"/>
  <c r="C15" i="53" s="1"/>
  <c r="B50" i="53" s="1"/>
  <c r="I243" i="69"/>
  <c r="J243" i="69" s="1"/>
  <c r="K243" i="69" s="1"/>
  <c r="N243" i="69"/>
  <c r="C16" i="53" s="1"/>
  <c r="D36" i="53" s="1"/>
  <c r="G292" i="69"/>
  <c r="M388" i="69" l="1"/>
  <c r="P388" i="69" s="1"/>
  <c r="F5" i="53" s="1"/>
  <c r="M395" i="69"/>
  <c r="P395" i="69" s="1"/>
  <c r="D3" i="63" s="1"/>
  <c r="X760" i="82"/>
  <c r="O760" i="82"/>
  <c r="J760" i="82"/>
  <c r="T760" i="82"/>
  <c r="J732" i="82"/>
  <c r="T732" i="82"/>
  <c r="O732" i="82"/>
  <c r="X732" i="82"/>
  <c r="BF718" i="82"/>
  <c r="BK718" i="82"/>
  <c r="BT718" i="82"/>
  <c r="BP718" i="82"/>
  <c r="B560" i="82"/>
  <c r="AE559" i="82"/>
  <c r="AQ559" i="82"/>
  <c r="AI559" i="82"/>
  <c r="AV559" i="82"/>
  <c r="AM559" i="82"/>
  <c r="X765" i="82"/>
  <c r="O765" i="82"/>
  <c r="T765" i="82"/>
  <c r="J765" i="82"/>
  <c r="J763" i="82"/>
  <c r="X763" i="82"/>
  <c r="T763" i="82"/>
  <c r="O763" i="82"/>
  <c r="X761" i="82"/>
  <c r="O761" i="82"/>
  <c r="T761" i="82"/>
  <c r="J761" i="82"/>
  <c r="X759" i="82"/>
  <c r="O759" i="82"/>
  <c r="T759" i="82"/>
  <c r="J759" i="82"/>
  <c r="O757" i="82"/>
  <c r="X757" i="82"/>
  <c r="T757" i="82"/>
  <c r="J757" i="82"/>
  <c r="X755" i="82"/>
  <c r="O755" i="82"/>
  <c r="J755" i="82"/>
  <c r="T755" i="82"/>
  <c r="O753" i="82"/>
  <c r="T753" i="82"/>
  <c r="J753" i="82"/>
  <c r="X753" i="82"/>
  <c r="O751" i="82"/>
  <c r="X751" i="82"/>
  <c r="J751" i="82"/>
  <c r="T751" i="82"/>
  <c r="O749" i="82"/>
  <c r="X749" i="82"/>
  <c r="T749" i="82"/>
  <c r="J749" i="82"/>
  <c r="X747" i="82"/>
  <c r="O747" i="82"/>
  <c r="J747" i="82"/>
  <c r="T747" i="82"/>
  <c r="X745" i="82"/>
  <c r="J745" i="82"/>
  <c r="O745" i="82"/>
  <c r="T745" i="82"/>
  <c r="O743" i="82"/>
  <c r="J743" i="82"/>
  <c r="X743" i="82"/>
  <c r="T743" i="82"/>
  <c r="J741" i="82"/>
  <c r="O741" i="82"/>
  <c r="T741" i="82"/>
  <c r="X741" i="82"/>
  <c r="O739" i="82"/>
  <c r="T739" i="82"/>
  <c r="X739" i="82"/>
  <c r="J739" i="82"/>
  <c r="O737" i="82"/>
  <c r="X737" i="82"/>
  <c r="J737" i="82"/>
  <c r="T737" i="82"/>
  <c r="O735" i="82"/>
  <c r="X735" i="82"/>
  <c r="T735" i="82"/>
  <c r="J735" i="82"/>
  <c r="O733" i="82"/>
  <c r="X733" i="82"/>
  <c r="T733" i="82"/>
  <c r="J733" i="82"/>
  <c r="X731" i="82"/>
  <c r="O731" i="82"/>
  <c r="T731" i="82"/>
  <c r="J731" i="82"/>
  <c r="T729" i="82"/>
  <c r="O729" i="82"/>
  <c r="X729" i="82"/>
  <c r="J729" i="82"/>
  <c r="T727" i="82"/>
  <c r="J727" i="82"/>
  <c r="X727" i="82"/>
  <c r="O727" i="82"/>
  <c r="BP724" i="82"/>
  <c r="BK724" i="82"/>
  <c r="BT724" i="82"/>
  <c r="BF724" i="82"/>
  <c r="BP717" i="82"/>
  <c r="BT717" i="82"/>
  <c r="BK717" i="82"/>
  <c r="BF717" i="82"/>
  <c r="BP720" i="82"/>
  <c r="BK720" i="82"/>
  <c r="BT720" i="82"/>
  <c r="BF720" i="82"/>
  <c r="BK766" i="82"/>
  <c r="BF766" i="82"/>
  <c r="BP766" i="82"/>
  <c r="BT766" i="82"/>
  <c r="BP764" i="82"/>
  <c r="BT764" i="82"/>
  <c r="BF764" i="82"/>
  <c r="BK764" i="82"/>
  <c r="BK762" i="82"/>
  <c r="BF762" i="82"/>
  <c r="BT762" i="82"/>
  <c r="BP762" i="82"/>
  <c r="BP760" i="82"/>
  <c r="BF760" i="82"/>
  <c r="BT760" i="82"/>
  <c r="BK760" i="82"/>
  <c r="BK758" i="82"/>
  <c r="BT758" i="82"/>
  <c r="BF758" i="82"/>
  <c r="BP758" i="82"/>
  <c r="BP756" i="82"/>
  <c r="BF756" i="82"/>
  <c r="BT756" i="82"/>
  <c r="BK756" i="82"/>
  <c r="BF754" i="82"/>
  <c r="BP754" i="82"/>
  <c r="BK754" i="82"/>
  <c r="BT754" i="82"/>
  <c r="BT752" i="82"/>
  <c r="BF752" i="82"/>
  <c r="BK752" i="82"/>
  <c r="BP752" i="82"/>
  <c r="BP750" i="82"/>
  <c r="BF750" i="82"/>
  <c r="BT750" i="82"/>
  <c r="BK750" i="82"/>
  <c r="BP748" i="82"/>
  <c r="BF748" i="82"/>
  <c r="BT748" i="82"/>
  <c r="BK748" i="82"/>
  <c r="BF746" i="82"/>
  <c r="BP746" i="82"/>
  <c r="BK746" i="82"/>
  <c r="BT746" i="82"/>
  <c r="BP744" i="82"/>
  <c r="BK744" i="82"/>
  <c r="BT744" i="82"/>
  <c r="BF744" i="82"/>
  <c r="BP742" i="82"/>
  <c r="BK742" i="82"/>
  <c r="BT742" i="82"/>
  <c r="BF742" i="82"/>
  <c r="BF740" i="82"/>
  <c r="BT740" i="82"/>
  <c r="BK740" i="82"/>
  <c r="BP740" i="82"/>
  <c r="BT738" i="82"/>
  <c r="BP738" i="82"/>
  <c r="BF738" i="82"/>
  <c r="BK738" i="82"/>
  <c r="BP736" i="82"/>
  <c r="BF736" i="82"/>
  <c r="BT736" i="82"/>
  <c r="BK736" i="82"/>
  <c r="BP734" i="82"/>
  <c r="BF734" i="82"/>
  <c r="BK734" i="82"/>
  <c r="BT734" i="82"/>
  <c r="BP732" i="82"/>
  <c r="BF732" i="82"/>
  <c r="BK732" i="82"/>
  <c r="BT732" i="82"/>
  <c r="BF730" i="82"/>
  <c r="BP730" i="82"/>
  <c r="BK730" i="82"/>
  <c r="BT730" i="82"/>
  <c r="BT728" i="82"/>
  <c r="BF728" i="82"/>
  <c r="BP728" i="82"/>
  <c r="BK728" i="82"/>
  <c r="BP726" i="82"/>
  <c r="BK726" i="82"/>
  <c r="BF726" i="82"/>
  <c r="BT726" i="82"/>
  <c r="BK723" i="82"/>
  <c r="BF723" i="82"/>
  <c r="BP723" i="82"/>
  <c r="BT723" i="82"/>
  <c r="BK716" i="82"/>
  <c r="BF716" i="82"/>
  <c r="BT716" i="82"/>
  <c r="BP716" i="82"/>
  <c r="BK719" i="82"/>
  <c r="BP719" i="82"/>
  <c r="BT719" i="82"/>
  <c r="BF719" i="82"/>
  <c r="T766" i="82"/>
  <c r="J766" i="82"/>
  <c r="X766" i="82"/>
  <c r="O766" i="82"/>
  <c r="J764" i="82"/>
  <c r="O764" i="82"/>
  <c r="T764" i="82"/>
  <c r="X764" i="82"/>
  <c r="J762" i="82"/>
  <c r="O762" i="82"/>
  <c r="T762" i="82"/>
  <c r="X762" i="82"/>
  <c r="T758" i="82"/>
  <c r="O758" i="82"/>
  <c r="X758" i="82"/>
  <c r="J758" i="82"/>
  <c r="J756" i="82"/>
  <c r="O756" i="82"/>
  <c r="X756" i="82"/>
  <c r="T756" i="82"/>
  <c r="X754" i="82"/>
  <c r="T754" i="82"/>
  <c r="J754" i="82"/>
  <c r="O754" i="82"/>
  <c r="T752" i="82"/>
  <c r="X752" i="82"/>
  <c r="J752" i="82"/>
  <c r="O752" i="82"/>
  <c r="J750" i="82"/>
  <c r="O750" i="82"/>
  <c r="X750" i="82"/>
  <c r="T750" i="82"/>
  <c r="J748" i="82"/>
  <c r="O748" i="82"/>
  <c r="X748" i="82"/>
  <c r="T748" i="82"/>
  <c r="X746" i="82"/>
  <c r="T746" i="82"/>
  <c r="O746" i="82"/>
  <c r="J746" i="82"/>
  <c r="T744" i="82"/>
  <c r="O744" i="82"/>
  <c r="X744" i="82"/>
  <c r="J744" i="82"/>
  <c r="J742" i="82"/>
  <c r="T742" i="82"/>
  <c r="X742" i="82"/>
  <c r="O742" i="82"/>
  <c r="X740" i="82"/>
  <c r="O740" i="82"/>
  <c r="T740" i="82"/>
  <c r="J740" i="82"/>
  <c r="O738" i="82"/>
  <c r="X738" i="82"/>
  <c r="T738" i="82"/>
  <c r="J738" i="82"/>
  <c r="T736" i="82"/>
  <c r="O736" i="82"/>
  <c r="X736" i="82"/>
  <c r="J736" i="82"/>
  <c r="J734" i="82"/>
  <c r="O734" i="82"/>
  <c r="X734" i="82"/>
  <c r="T734" i="82"/>
  <c r="X730" i="82"/>
  <c r="T730" i="82"/>
  <c r="J730" i="82"/>
  <c r="O730" i="82"/>
  <c r="T728" i="82"/>
  <c r="O728" i="82"/>
  <c r="J728" i="82"/>
  <c r="X728" i="82"/>
  <c r="T726" i="82"/>
  <c r="X726" i="82"/>
  <c r="J726" i="82"/>
  <c r="O726" i="82"/>
  <c r="BF722" i="82"/>
  <c r="BT722" i="82"/>
  <c r="BK722" i="82"/>
  <c r="BP722" i="82"/>
  <c r="BF715" i="82"/>
  <c r="BT715" i="82"/>
  <c r="BK715" i="82"/>
  <c r="BP715" i="82"/>
  <c r="BF765" i="82"/>
  <c r="BK765" i="82"/>
  <c r="BT765" i="82"/>
  <c r="BP765" i="82"/>
  <c r="BP763" i="82"/>
  <c r="BF763" i="82"/>
  <c r="BT763" i="82"/>
  <c r="BK763" i="82"/>
  <c r="BF761" i="82"/>
  <c r="BT761" i="82"/>
  <c r="BK761" i="82"/>
  <c r="BP761" i="82"/>
  <c r="BF759" i="82"/>
  <c r="BP759" i="82"/>
  <c r="BK759" i="82"/>
  <c r="BT759" i="82"/>
  <c r="BP757" i="82"/>
  <c r="BF757" i="82"/>
  <c r="BK757" i="82"/>
  <c r="BT757" i="82"/>
  <c r="BK755" i="82"/>
  <c r="BT755" i="82"/>
  <c r="BP755" i="82"/>
  <c r="BF755" i="82"/>
  <c r="BT753" i="82"/>
  <c r="BK753" i="82"/>
  <c r="BF753" i="82"/>
  <c r="BP753" i="82"/>
  <c r="BP751" i="82"/>
  <c r="BF751" i="82"/>
  <c r="BT751" i="82"/>
  <c r="BK751" i="82"/>
  <c r="BK749" i="82"/>
  <c r="BT749" i="82"/>
  <c r="BP749" i="82"/>
  <c r="BF749" i="82"/>
  <c r="BK747" i="82"/>
  <c r="BT747" i="82"/>
  <c r="BF747" i="82"/>
  <c r="BP747" i="82"/>
  <c r="BT745" i="82"/>
  <c r="BK745" i="82"/>
  <c r="BP745" i="82"/>
  <c r="BF745" i="82"/>
  <c r="BF743" i="82"/>
  <c r="BT743" i="82"/>
  <c r="BP743" i="82"/>
  <c r="BK743" i="82"/>
  <c r="BK741" i="82"/>
  <c r="BF741" i="82"/>
  <c r="BT741" i="82"/>
  <c r="BP741" i="82"/>
  <c r="BF739" i="82"/>
  <c r="BP739" i="82"/>
  <c r="BK739" i="82"/>
  <c r="BT739" i="82"/>
  <c r="BP737" i="82"/>
  <c r="BF737" i="82"/>
  <c r="BK737" i="82"/>
  <c r="BT737" i="82"/>
  <c r="BP735" i="82"/>
  <c r="BF735" i="82"/>
  <c r="BT735" i="82"/>
  <c r="BK735" i="82"/>
  <c r="BF733" i="82"/>
  <c r="BP733" i="82"/>
  <c r="BK733" i="82"/>
  <c r="BT733" i="82"/>
  <c r="BK731" i="82"/>
  <c r="BT731" i="82"/>
  <c r="BF731" i="82"/>
  <c r="BP731" i="82"/>
  <c r="BT729" i="82"/>
  <c r="BK729" i="82"/>
  <c r="BP729" i="82"/>
  <c r="BF729" i="82"/>
  <c r="BT727" i="82"/>
  <c r="BK727" i="82"/>
  <c r="BP727" i="82"/>
  <c r="BF727" i="82"/>
  <c r="BK725" i="82"/>
  <c r="BP725" i="82"/>
  <c r="BF725" i="82"/>
  <c r="BT725" i="82"/>
  <c r="BF721" i="82"/>
  <c r="BT721" i="82"/>
  <c r="BK721" i="82"/>
  <c r="BP721" i="82"/>
  <c r="C104" i="63"/>
  <c r="C78" i="63"/>
  <c r="C102" i="63"/>
  <c r="C100" i="63"/>
  <c r="C98" i="63"/>
  <c r="C96" i="63"/>
  <c r="C94" i="63"/>
  <c r="C92" i="63"/>
  <c r="C90" i="63"/>
  <c r="C88" i="63"/>
  <c r="C86" i="63"/>
  <c r="C84" i="63"/>
  <c r="C82" i="63"/>
  <c r="C80" i="63"/>
  <c r="C76" i="63"/>
  <c r="C74" i="63"/>
  <c r="C72" i="63"/>
  <c r="C70" i="63"/>
  <c r="C68" i="63"/>
  <c r="C66" i="63"/>
  <c r="C64" i="63"/>
  <c r="C103" i="63"/>
  <c r="C101" i="63"/>
  <c r="C99" i="63"/>
  <c r="C97" i="63"/>
  <c r="C95" i="63"/>
  <c r="C93" i="63"/>
  <c r="C91" i="63"/>
  <c r="C89" i="63"/>
  <c r="C87" i="63"/>
  <c r="C85" i="63"/>
  <c r="C83" i="63"/>
  <c r="C81" i="63"/>
  <c r="C79" i="63"/>
  <c r="C77" i="63"/>
  <c r="C75" i="63"/>
  <c r="C73" i="63"/>
  <c r="C71" i="63"/>
  <c r="C69" i="63"/>
  <c r="C67" i="63"/>
  <c r="C65" i="63"/>
  <c r="C50" i="53"/>
  <c r="M396" i="69"/>
  <c r="P396" i="69" s="1"/>
  <c r="M389" i="69"/>
  <c r="P389" i="69" s="1"/>
  <c r="M385" i="69"/>
  <c r="P385" i="69" s="1"/>
  <c r="M390" i="69"/>
  <c r="P390" i="69" s="1"/>
  <c r="M387" i="69"/>
  <c r="P387" i="69" s="1"/>
  <c r="M386" i="69"/>
  <c r="P386" i="69" s="1"/>
  <c r="M383" i="69"/>
  <c r="P383" i="69" s="1"/>
  <c r="M382" i="69"/>
  <c r="P382" i="69" s="1"/>
  <c r="K259" i="69"/>
  <c r="L259" i="69" s="1"/>
  <c r="O259" i="69" s="1"/>
  <c r="K249" i="69"/>
  <c r="L249" i="69" s="1"/>
  <c r="O249" i="69" s="1"/>
  <c r="K269" i="69"/>
  <c r="L269" i="69"/>
  <c r="O269" i="69" s="1"/>
  <c r="K264" i="69"/>
  <c r="L264" i="69" s="1"/>
  <c r="O264" i="69" s="1"/>
  <c r="K274" i="69"/>
  <c r="L274" i="69" s="1"/>
  <c r="O274" i="69" s="1"/>
  <c r="K257" i="69"/>
  <c r="L257" i="69" s="1"/>
  <c r="O257" i="69" s="1"/>
  <c r="K247" i="69"/>
  <c r="L247" i="69" s="1"/>
  <c r="O247" i="69" s="1"/>
  <c r="K277" i="69"/>
  <c r="L277" i="69" s="1"/>
  <c r="O277" i="69" s="1"/>
  <c r="K254" i="69"/>
  <c r="L254" i="69" s="1"/>
  <c r="O254" i="69" s="1"/>
  <c r="K267" i="69"/>
  <c r="L267" i="69" s="1"/>
  <c r="O267" i="69" s="1"/>
  <c r="K244" i="69"/>
  <c r="L244" i="69" s="1"/>
  <c r="O244" i="69" s="1"/>
  <c r="L253" i="69"/>
  <c r="O253" i="69" s="1"/>
  <c r="L255" i="69"/>
  <c r="O255" i="69" s="1"/>
  <c r="L275" i="69"/>
  <c r="O275" i="69" s="1"/>
  <c r="L271" i="69"/>
  <c r="O271" i="69" s="1"/>
  <c r="L261" i="69"/>
  <c r="O261" i="69" s="1"/>
  <c r="L251" i="69"/>
  <c r="O251" i="69" s="1"/>
  <c r="L273" i="69"/>
  <c r="O273" i="69" s="1"/>
  <c r="L263" i="69"/>
  <c r="O263" i="69" s="1"/>
  <c r="L265" i="69"/>
  <c r="O265" i="69" s="1"/>
  <c r="L245" i="69"/>
  <c r="O245" i="69" s="1"/>
  <c r="K276" i="69"/>
  <c r="L276" i="69" s="1"/>
  <c r="O276" i="69" s="1"/>
  <c r="K272" i="69"/>
  <c r="L272" i="69" s="1"/>
  <c r="O272" i="69" s="1"/>
  <c r="K262" i="69"/>
  <c r="L262" i="69" s="1"/>
  <c r="O262" i="69" s="1"/>
  <c r="K252" i="69"/>
  <c r="L252" i="69" s="1"/>
  <c r="O252" i="69" s="1"/>
  <c r="K266" i="69"/>
  <c r="L266" i="69" s="1"/>
  <c r="O266" i="69" s="1"/>
  <c r="K256" i="69"/>
  <c r="L256" i="69" s="1"/>
  <c r="O256" i="69" s="1"/>
  <c r="K246" i="69"/>
  <c r="L246" i="69" s="1"/>
  <c r="O246" i="69" s="1"/>
  <c r="K268" i="69"/>
  <c r="L268" i="69" s="1"/>
  <c r="O268" i="69" s="1"/>
  <c r="K258" i="69"/>
  <c r="L258" i="69" s="1"/>
  <c r="O258" i="69" s="1"/>
  <c r="K248" i="69"/>
  <c r="L248" i="69" s="1"/>
  <c r="O248" i="69" s="1"/>
  <c r="K270" i="69"/>
  <c r="L270" i="69" s="1"/>
  <c r="O270" i="69" s="1"/>
  <c r="K260" i="69"/>
  <c r="L260" i="69" s="1"/>
  <c r="O260" i="69" s="1"/>
  <c r="K250" i="69"/>
  <c r="L250" i="69" s="1"/>
  <c r="O250" i="69" s="1"/>
  <c r="L241" i="69"/>
  <c r="O241" i="69" s="1"/>
  <c r="L243" i="69"/>
  <c r="O243" i="69" s="1"/>
  <c r="K239" i="69"/>
  <c r="L239" i="69" s="1"/>
  <c r="O239" i="69" s="1"/>
  <c r="L242" i="69"/>
  <c r="O242" i="69" s="1"/>
  <c r="L240" i="69"/>
  <c r="O240" i="69" s="1"/>
  <c r="E759" i="82" l="1"/>
  <c r="E730" i="82"/>
  <c r="E766" i="82"/>
  <c r="E737" i="82"/>
  <c r="E753" i="82"/>
  <c r="E742" i="82"/>
  <c r="E758" i="82"/>
  <c r="E747" i="82"/>
  <c r="E762" i="82"/>
  <c r="E740" i="82"/>
  <c r="E735" i="82"/>
  <c r="E751" i="82"/>
  <c r="E738" i="82"/>
  <c r="E756" i="82"/>
  <c r="E743" i="82"/>
  <c r="E746" i="82"/>
  <c r="E729" i="82"/>
  <c r="E745" i="82"/>
  <c r="E761" i="82"/>
  <c r="E732" i="82"/>
  <c r="E750" i="82"/>
  <c r="E731" i="82"/>
  <c r="E744" i="82"/>
  <c r="E727" i="82"/>
  <c r="E748" i="82"/>
  <c r="E764" i="82"/>
  <c r="E763" i="82"/>
  <c r="E734" i="82"/>
  <c r="E752" i="82"/>
  <c r="E741" i="82"/>
  <c r="E757" i="82"/>
  <c r="E728" i="82"/>
  <c r="E739" i="82"/>
  <c r="E755" i="82"/>
  <c r="E726" i="82"/>
  <c r="E760" i="82"/>
  <c r="E733" i="82"/>
  <c r="E749" i="82"/>
  <c r="E765" i="82"/>
  <c r="E736" i="82"/>
  <c r="E754" i="82"/>
  <c r="AM560" i="82"/>
  <c r="AV560" i="82"/>
  <c r="AQ560" i="82"/>
  <c r="B561" i="82"/>
  <c r="AI560" i="82"/>
  <c r="AE560" i="82"/>
  <c r="D4" i="63"/>
  <c r="E74" i="63" s="1"/>
  <c r="G74" i="63" s="1"/>
  <c r="F7" i="53"/>
  <c r="F6" i="53"/>
  <c r="F4" i="53"/>
  <c r="F3" i="53"/>
  <c r="D7" i="53"/>
  <c r="D5" i="53"/>
  <c r="D4" i="53"/>
  <c r="F30" i="53"/>
  <c r="F29" i="53"/>
  <c r="F28" i="53"/>
  <c r="F27" i="53"/>
  <c r="F26" i="53"/>
  <c r="F25" i="53"/>
  <c r="F24" i="53"/>
  <c r="F23" i="53"/>
  <c r="F22" i="53"/>
  <c r="F21" i="53"/>
  <c r="F20" i="53"/>
  <c r="F19" i="53"/>
  <c r="F18" i="53"/>
  <c r="F17" i="53"/>
  <c r="F16" i="53"/>
  <c r="F15" i="53"/>
  <c r="F14" i="53"/>
  <c r="F13" i="53"/>
  <c r="F12" i="53"/>
  <c r="F1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L44" i="53" s="1"/>
  <c r="D17" i="53"/>
  <c r="D16" i="53"/>
  <c r="D15" i="53"/>
  <c r="D14" i="53"/>
  <c r="D13" i="53"/>
  <c r="D12" i="53"/>
  <c r="BA736" i="82" l="1"/>
  <c r="AQ561" i="82"/>
  <c r="B562" i="82"/>
  <c r="AE561" i="82"/>
  <c r="AV561" i="82"/>
  <c r="AM561" i="82"/>
  <c r="AI561" i="82"/>
  <c r="I74" i="63"/>
  <c r="E68" i="63"/>
  <c r="G68" i="63" s="1"/>
  <c r="E65" i="63"/>
  <c r="E90" i="63"/>
  <c r="G90" i="63" s="1"/>
  <c r="E82" i="63"/>
  <c r="G82" i="63" s="1"/>
  <c r="E95" i="63"/>
  <c r="E93" i="63"/>
  <c r="E96" i="63"/>
  <c r="G96" i="63" s="1"/>
  <c r="E88" i="63"/>
  <c r="G88" i="63" s="1"/>
  <c r="E69" i="63"/>
  <c r="E91" i="63"/>
  <c r="E64" i="63"/>
  <c r="G64" i="63" s="1"/>
  <c r="E101" i="63"/>
  <c r="E72" i="63"/>
  <c r="G72" i="63" s="1"/>
  <c r="E66" i="63"/>
  <c r="G66" i="63" s="1"/>
  <c r="E75" i="63"/>
  <c r="E94" i="63"/>
  <c r="G94" i="63" s="1"/>
  <c r="E67" i="63"/>
  <c r="E86" i="63"/>
  <c r="G86" i="63" s="1"/>
  <c r="E100" i="63"/>
  <c r="G100" i="63" s="1"/>
  <c r="E89" i="63"/>
  <c r="E79" i="63"/>
  <c r="E92" i="63"/>
  <c r="G92" i="63" s="1"/>
  <c r="E85" i="63"/>
  <c r="E70" i="63"/>
  <c r="G70" i="63" s="1"/>
  <c r="E71" i="63"/>
  <c r="E104" i="63"/>
  <c r="G104" i="63" s="1"/>
  <c r="E81" i="63"/>
  <c r="E73" i="63"/>
  <c r="E77" i="63"/>
  <c r="E80" i="63"/>
  <c r="G80" i="63" s="1"/>
  <c r="E84" i="63"/>
  <c r="G84" i="63" s="1"/>
  <c r="E78" i="63"/>
  <c r="G78" i="63" s="1"/>
  <c r="E98" i="63"/>
  <c r="G98" i="63" s="1"/>
  <c r="E83" i="63"/>
  <c r="E76" i="63"/>
  <c r="G76" i="63" s="1"/>
  <c r="E87" i="63"/>
  <c r="E102" i="63"/>
  <c r="G102" i="63" s="1"/>
  <c r="E99" i="63"/>
  <c r="E103" i="63"/>
  <c r="E97" i="63"/>
  <c r="G85" i="63" l="1"/>
  <c r="G81" i="63"/>
  <c r="I81" i="63" s="1"/>
  <c r="G83" i="63"/>
  <c r="I83" i="63" s="1"/>
  <c r="G91" i="63"/>
  <c r="G65" i="63"/>
  <c r="I65" i="63" s="1"/>
  <c r="G71" i="63"/>
  <c r="G67" i="63"/>
  <c r="G69" i="63"/>
  <c r="G97" i="63"/>
  <c r="BA759" i="82" s="1"/>
  <c r="G75" i="63"/>
  <c r="G99" i="63"/>
  <c r="BA761" i="82" s="1"/>
  <c r="G93" i="63"/>
  <c r="I93" i="63" s="1"/>
  <c r="G77" i="63"/>
  <c r="G79" i="63"/>
  <c r="G95" i="63"/>
  <c r="G103" i="63"/>
  <c r="G87" i="63"/>
  <c r="G73" i="63"/>
  <c r="G89" i="63"/>
  <c r="G101" i="63"/>
  <c r="I101" i="63" s="1"/>
  <c r="BA740" i="82"/>
  <c r="BA750" i="82"/>
  <c r="BA746" i="82"/>
  <c r="BA758" i="82"/>
  <c r="BA742" i="82"/>
  <c r="BA754" i="82"/>
  <c r="BA728" i="82"/>
  <c r="BA764" i="82"/>
  <c r="BA734" i="82"/>
  <c r="BA732" i="82"/>
  <c r="BA738" i="82"/>
  <c r="BA762" i="82"/>
  <c r="BA726" i="82"/>
  <c r="BA752" i="82"/>
  <c r="BA756" i="82"/>
  <c r="BA744" i="82"/>
  <c r="BA766" i="82"/>
  <c r="BA748" i="82"/>
  <c r="BA760" i="82"/>
  <c r="BA730" i="82"/>
  <c r="AI562" i="82"/>
  <c r="B563" i="82"/>
  <c r="AE562" i="82"/>
  <c r="AV562" i="82"/>
  <c r="AQ562" i="82"/>
  <c r="AM562" i="82"/>
  <c r="I86" i="63"/>
  <c r="I68" i="63"/>
  <c r="I94" i="63"/>
  <c r="I80" i="63"/>
  <c r="I92" i="63"/>
  <c r="I66" i="63"/>
  <c r="I102" i="63"/>
  <c r="I72" i="63"/>
  <c r="I104" i="63"/>
  <c r="I78" i="63"/>
  <c r="I70" i="63"/>
  <c r="I88" i="63"/>
  <c r="I84" i="63"/>
  <c r="I96" i="63"/>
  <c r="I82" i="63"/>
  <c r="I98" i="63"/>
  <c r="I76" i="63"/>
  <c r="I100" i="63"/>
  <c r="I64" i="63"/>
  <c r="I90" i="63"/>
  <c r="EF766" i="72"/>
  <c r="EF765" i="72"/>
  <c r="EF764" i="72"/>
  <c r="EF763" i="72"/>
  <c r="EF762" i="72"/>
  <c r="EF761" i="72"/>
  <c r="EF760" i="72"/>
  <c r="EF759" i="72"/>
  <c r="EF758" i="72"/>
  <c r="EF757" i="72"/>
  <c r="EF756" i="72"/>
  <c r="EF755" i="72"/>
  <c r="EF754" i="72"/>
  <c r="EF753" i="72"/>
  <c r="EF752" i="72"/>
  <c r="EF751" i="72"/>
  <c r="EF750" i="72"/>
  <c r="EF749" i="72"/>
  <c r="EF748" i="72"/>
  <c r="EF747" i="72"/>
  <c r="EF746" i="72"/>
  <c r="EF745" i="72"/>
  <c r="EF744" i="72"/>
  <c r="EF743" i="72"/>
  <c r="EF742" i="72"/>
  <c r="EF741" i="72"/>
  <c r="EF740" i="72"/>
  <c r="EF739" i="72"/>
  <c r="EF738" i="72"/>
  <c r="EF737" i="72"/>
  <c r="EF736" i="72"/>
  <c r="EF735" i="72"/>
  <c r="EF734" i="72"/>
  <c r="EF733" i="72"/>
  <c r="EF732" i="72"/>
  <c r="EF731" i="72"/>
  <c r="EF730" i="72"/>
  <c r="EF729" i="72"/>
  <c r="EF728" i="72"/>
  <c r="EF727" i="72"/>
  <c r="EF726" i="72"/>
  <c r="EF725" i="72"/>
  <c r="EF724" i="72"/>
  <c r="EF723" i="72"/>
  <c r="EF722" i="72"/>
  <c r="EF721" i="72"/>
  <c r="EF720" i="72"/>
  <c r="EF719" i="72"/>
  <c r="EF718" i="72"/>
  <c r="EF717" i="72"/>
  <c r="EF716" i="72"/>
  <c r="EF715" i="72"/>
  <c r="EF714" i="72"/>
  <c r="EF713" i="72"/>
  <c r="EF712" i="72"/>
  <c r="EF711" i="72"/>
  <c r="EF710" i="72"/>
  <c r="EF709" i="72"/>
  <c r="EF708" i="72"/>
  <c r="EF707" i="72"/>
  <c r="EF706" i="72"/>
  <c r="EF705" i="72"/>
  <c r="EF704" i="72"/>
  <c r="EF703" i="72"/>
  <c r="EF702" i="72"/>
  <c r="EF701" i="72"/>
  <c r="EF700" i="72"/>
  <c r="EF699" i="72"/>
  <c r="EF698" i="72"/>
  <c r="EF697" i="72"/>
  <c r="EF696" i="72"/>
  <c r="EF695" i="72"/>
  <c r="EF694" i="72"/>
  <c r="EF693" i="72"/>
  <c r="EF692" i="72"/>
  <c r="EF691" i="72"/>
  <c r="EF690" i="72"/>
  <c r="EF689" i="72"/>
  <c r="EF688" i="72"/>
  <c r="EF687" i="72"/>
  <c r="EF686" i="72"/>
  <c r="EF685" i="72"/>
  <c r="EF684" i="72"/>
  <c r="EF683" i="72"/>
  <c r="EF682" i="72"/>
  <c r="EF681" i="72"/>
  <c r="BA727" i="82" l="1"/>
  <c r="I87" i="63"/>
  <c r="BA739" i="82"/>
  <c r="BA741" i="82"/>
  <c r="I77" i="63"/>
  <c r="BA749" i="82"/>
  <c r="I75" i="63"/>
  <c r="I97" i="63"/>
  <c r="BA737" i="82"/>
  <c r="BA747" i="82"/>
  <c r="BA743" i="82"/>
  <c r="I85" i="63"/>
  <c r="I95" i="63"/>
  <c r="BA751" i="82"/>
  <c r="BA755" i="82"/>
  <c r="I89" i="63"/>
  <c r="BA745" i="82"/>
  <c r="I91" i="63"/>
  <c r="I79" i="63"/>
  <c r="I99" i="63"/>
  <c r="BA729" i="82"/>
  <c r="I71" i="63"/>
  <c r="I69" i="63"/>
  <c r="I103" i="63"/>
  <c r="BA733" i="82"/>
  <c r="I67" i="63"/>
  <c r="BA757" i="82"/>
  <c r="BA731" i="82"/>
  <c r="BA763" i="82"/>
  <c r="I73" i="63"/>
  <c r="BA735" i="82"/>
  <c r="BA765" i="82"/>
  <c r="BA753" i="82"/>
  <c r="B564" i="82"/>
  <c r="AE563" i="82"/>
  <c r="AM563" i="82"/>
  <c r="AV563" i="82"/>
  <c r="AI563" i="82"/>
  <c r="AQ563" i="82"/>
  <c r="AM564" i="82" l="1"/>
  <c r="AQ564" i="82"/>
  <c r="AE564" i="82"/>
  <c r="B565" i="82"/>
  <c r="AV564" i="82"/>
  <c r="AI564" i="82"/>
  <c r="AV565" i="82" l="1"/>
  <c r="AI565" i="82"/>
  <c r="AE565" i="82"/>
  <c r="AQ565" i="82"/>
  <c r="AM565" i="82"/>
  <c r="B566" i="82"/>
  <c r="B567" i="82" l="1"/>
  <c r="AV566" i="82"/>
  <c r="AI566" i="82"/>
  <c r="AE566" i="82"/>
  <c r="AQ566" i="82"/>
  <c r="AM566" i="82"/>
  <c r="AM567" i="82" l="1"/>
  <c r="AQ567" i="82"/>
  <c r="AE567" i="82"/>
  <c r="AI567" i="82"/>
  <c r="AV567" i="82"/>
  <c r="B568" i="82"/>
  <c r="N401" i="69"/>
  <c r="N402" i="69"/>
  <c r="N403" i="69"/>
  <c r="N404" i="69"/>
  <c r="N405" i="69"/>
  <c r="N406" i="69"/>
  <c r="N407" i="69"/>
  <c r="N408" i="69"/>
  <c r="N409" i="69"/>
  <c r="N410" i="69"/>
  <c r="N411" i="69"/>
  <c r="N400" i="69"/>
  <c r="N423" i="69"/>
  <c r="N422" i="69"/>
  <c r="N421" i="69"/>
  <c r="N420" i="69"/>
  <c r="AV568" i="82" l="1"/>
  <c r="AI568" i="82"/>
  <c r="AM568" i="82"/>
  <c r="B569" i="82"/>
  <c r="AQ568" i="82"/>
  <c r="AE568" i="82"/>
  <c r="EC681" i="72"/>
  <c r="DZ682" i="72"/>
  <c r="DZ683" i="72"/>
  <c r="DZ684" i="72"/>
  <c r="DZ685" i="72"/>
  <c r="DZ686" i="72"/>
  <c r="DZ687" i="72"/>
  <c r="DZ688" i="72"/>
  <c r="DZ689" i="72"/>
  <c r="DZ690" i="72"/>
  <c r="DZ691" i="72"/>
  <c r="DZ692" i="72"/>
  <c r="DZ693" i="72"/>
  <c r="DZ694" i="72"/>
  <c r="DZ695" i="72"/>
  <c r="DZ696" i="72"/>
  <c r="DZ697" i="72"/>
  <c r="DZ698" i="72"/>
  <c r="DZ699" i="72"/>
  <c r="DZ700" i="72"/>
  <c r="DZ701" i="72"/>
  <c r="DZ702" i="72"/>
  <c r="DZ703" i="72"/>
  <c r="DZ704" i="72"/>
  <c r="DZ705" i="72"/>
  <c r="DZ706" i="72"/>
  <c r="DZ707" i="72"/>
  <c r="DZ708" i="72"/>
  <c r="DZ709" i="72"/>
  <c r="DZ710" i="72"/>
  <c r="DZ711" i="72"/>
  <c r="DZ712" i="72"/>
  <c r="DZ713" i="72"/>
  <c r="DZ714" i="72"/>
  <c r="DZ715" i="72"/>
  <c r="DZ716" i="72"/>
  <c r="DZ717" i="72"/>
  <c r="DZ718" i="72"/>
  <c r="DZ719" i="72"/>
  <c r="DZ720" i="72"/>
  <c r="DZ721" i="72"/>
  <c r="DZ722" i="72"/>
  <c r="DZ723" i="72"/>
  <c r="DZ724" i="72"/>
  <c r="DZ725" i="72"/>
  <c r="DZ726" i="72"/>
  <c r="DZ727" i="72"/>
  <c r="DZ728" i="72"/>
  <c r="DZ729" i="72"/>
  <c r="DZ730" i="72"/>
  <c r="DZ731" i="72"/>
  <c r="DZ732" i="72"/>
  <c r="DZ733" i="72"/>
  <c r="DZ734" i="72"/>
  <c r="DZ735" i="72"/>
  <c r="DZ736" i="72"/>
  <c r="DZ737" i="72"/>
  <c r="DZ738" i="72"/>
  <c r="DZ739" i="72"/>
  <c r="DZ740" i="72"/>
  <c r="DZ741" i="72"/>
  <c r="DZ742" i="72"/>
  <c r="DZ743" i="72"/>
  <c r="DZ744" i="72"/>
  <c r="DZ745" i="72"/>
  <c r="DZ746" i="72"/>
  <c r="DZ747" i="72"/>
  <c r="DZ748" i="72"/>
  <c r="DZ749" i="72"/>
  <c r="DZ750" i="72"/>
  <c r="DZ751" i="72"/>
  <c r="DZ752" i="72"/>
  <c r="DZ753" i="72"/>
  <c r="DZ754" i="72"/>
  <c r="DZ755" i="72"/>
  <c r="DZ756" i="72"/>
  <c r="DZ757" i="72"/>
  <c r="DZ758" i="72"/>
  <c r="DZ759" i="72"/>
  <c r="DZ760" i="72"/>
  <c r="DZ761" i="72"/>
  <c r="DZ762" i="72"/>
  <c r="DZ763" i="72"/>
  <c r="DZ764" i="72"/>
  <c r="DZ765" i="72"/>
  <c r="DZ766" i="72"/>
  <c r="DV682" i="72"/>
  <c r="DV683" i="72"/>
  <c r="DV684" i="72"/>
  <c r="DV685" i="72"/>
  <c r="DV686" i="72"/>
  <c r="DV687" i="72"/>
  <c r="DV688" i="72"/>
  <c r="DV689" i="72"/>
  <c r="DV690" i="72"/>
  <c r="DV691" i="72"/>
  <c r="DV692" i="72"/>
  <c r="DV693" i="72"/>
  <c r="DV694" i="72"/>
  <c r="DV695" i="72"/>
  <c r="DV696" i="72"/>
  <c r="DV697" i="72"/>
  <c r="DV698" i="72"/>
  <c r="DV699" i="72"/>
  <c r="DV700" i="72"/>
  <c r="DV701" i="72"/>
  <c r="DV702" i="72"/>
  <c r="DV703" i="72"/>
  <c r="DV704" i="72"/>
  <c r="DV705" i="72"/>
  <c r="DV706" i="72"/>
  <c r="DV707" i="72"/>
  <c r="DV708" i="72"/>
  <c r="DV709" i="72"/>
  <c r="DV710" i="72"/>
  <c r="DV711" i="72"/>
  <c r="DV712" i="72"/>
  <c r="DV713" i="72"/>
  <c r="DV714" i="72"/>
  <c r="DV715" i="72"/>
  <c r="DV716" i="72"/>
  <c r="DV717" i="72"/>
  <c r="DV718" i="72"/>
  <c r="DV719" i="72"/>
  <c r="DV720" i="72"/>
  <c r="DV721" i="72"/>
  <c r="DV722" i="72"/>
  <c r="DV723" i="72"/>
  <c r="DV724" i="72"/>
  <c r="DV725" i="72"/>
  <c r="DV726" i="72"/>
  <c r="DV727" i="72"/>
  <c r="DV728" i="72"/>
  <c r="DV729" i="72"/>
  <c r="DV730" i="72"/>
  <c r="DV731" i="72"/>
  <c r="DV732" i="72"/>
  <c r="DV733" i="72"/>
  <c r="DV734" i="72"/>
  <c r="DV735" i="72"/>
  <c r="DV736" i="72"/>
  <c r="DV737" i="72"/>
  <c r="DV738" i="72"/>
  <c r="DV739" i="72"/>
  <c r="DV740" i="72"/>
  <c r="DV741" i="72"/>
  <c r="DV742" i="72"/>
  <c r="DV743" i="72"/>
  <c r="DV744" i="72"/>
  <c r="DV745" i="72"/>
  <c r="DV746" i="72"/>
  <c r="DV747" i="72"/>
  <c r="DV748" i="72"/>
  <c r="DV749" i="72"/>
  <c r="DV750" i="72"/>
  <c r="DV751" i="72"/>
  <c r="DV752" i="72"/>
  <c r="DV753" i="72"/>
  <c r="DV754" i="72"/>
  <c r="DV755" i="72"/>
  <c r="DV756" i="72"/>
  <c r="DV757" i="72"/>
  <c r="DV758" i="72"/>
  <c r="DV759" i="72"/>
  <c r="DV760" i="72"/>
  <c r="DV761" i="72"/>
  <c r="DV762" i="72"/>
  <c r="DV763" i="72"/>
  <c r="DV764" i="72"/>
  <c r="DV765" i="72"/>
  <c r="DV766" i="72"/>
  <c r="DR682" i="72"/>
  <c r="DR683" i="72"/>
  <c r="DR684" i="72"/>
  <c r="DR685" i="72"/>
  <c r="DR686" i="72"/>
  <c r="DR687" i="72"/>
  <c r="DR688" i="72"/>
  <c r="DR689" i="72"/>
  <c r="DR690" i="72"/>
  <c r="DR691" i="72"/>
  <c r="DR692" i="72"/>
  <c r="DR693" i="72"/>
  <c r="DR694" i="72"/>
  <c r="DR695" i="72"/>
  <c r="DR696" i="72"/>
  <c r="DR697" i="72"/>
  <c r="DR698" i="72"/>
  <c r="DR699" i="72"/>
  <c r="DR700" i="72"/>
  <c r="DR701" i="72"/>
  <c r="DR702" i="72"/>
  <c r="DR703" i="72"/>
  <c r="DR704" i="72"/>
  <c r="DR705" i="72"/>
  <c r="DR706" i="72"/>
  <c r="DR707" i="72"/>
  <c r="DR708" i="72"/>
  <c r="DR709" i="72"/>
  <c r="DR710" i="72"/>
  <c r="DR711" i="72"/>
  <c r="DR712" i="72"/>
  <c r="DR713" i="72"/>
  <c r="DR714" i="72"/>
  <c r="DR715" i="72"/>
  <c r="DR716" i="72"/>
  <c r="DR717" i="72"/>
  <c r="DR718" i="72"/>
  <c r="DR719" i="72"/>
  <c r="DR720" i="72"/>
  <c r="DR721" i="72"/>
  <c r="DR722" i="72"/>
  <c r="DR723" i="72"/>
  <c r="DR724" i="72"/>
  <c r="DR725" i="72"/>
  <c r="DR726" i="72"/>
  <c r="DR727" i="72"/>
  <c r="DR728" i="72"/>
  <c r="DR729" i="72"/>
  <c r="DR730" i="72"/>
  <c r="DR731" i="72"/>
  <c r="DR732" i="72"/>
  <c r="DR733" i="72"/>
  <c r="DR734" i="72"/>
  <c r="DR735" i="72"/>
  <c r="DR736" i="72"/>
  <c r="DR737" i="72"/>
  <c r="DR738" i="72"/>
  <c r="DR739" i="72"/>
  <c r="DR740" i="72"/>
  <c r="DR741" i="72"/>
  <c r="DR742" i="72"/>
  <c r="DR743" i="72"/>
  <c r="DR744" i="72"/>
  <c r="DR745" i="72"/>
  <c r="DR746" i="72"/>
  <c r="DR747" i="72"/>
  <c r="DR748" i="72"/>
  <c r="DR749" i="72"/>
  <c r="DR750" i="72"/>
  <c r="DR751" i="72"/>
  <c r="DR752" i="72"/>
  <c r="DR753" i="72"/>
  <c r="DR754" i="72"/>
  <c r="DR755" i="72"/>
  <c r="DR756" i="72"/>
  <c r="DR757" i="72"/>
  <c r="DR758" i="72"/>
  <c r="DR759" i="72"/>
  <c r="DR760" i="72"/>
  <c r="DR761" i="72"/>
  <c r="DR762" i="72"/>
  <c r="DR763" i="72"/>
  <c r="DR764" i="72"/>
  <c r="DR765" i="72"/>
  <c r="DR766" i="72"/>
  <c r="DZ681" i="72"/>
  <c r="DV681" i="72"/>
  <c r="DR681" i="72"/>
  <c r="DN682" i="72"/>
  <c r="DN683" i="72"/>
  <c r="DN684" i="72"/>
  <c r="DN685" i="72"/>
  <c r="DN686" i="72"/>
  <c r="DN687" i="72"/>
  <c r="DN688" i="72"/>
  <c r="DN689" i="72"/>
  <c r="DN690" i="72"/>
  <c r="DN691" i="72"/>
  <c r="DN692" i="72"/>
  <c r="DN693" i="72"/>
  <c r="DN694" i="72"/>
  <c r="DN695" i="72"/>
  <c r="DN696" i="72"/>
  <c r="DN697" i="72"/>
  <c r="DN698" i="72"/>
  <c r="DN699" i="72"/>
  <c r="DN700" i="72"/>
  <c r="DN701" i="72"/>
  <c r="DN702" i="72"/>
  <c r="DN703" i="72"/>
  <c r="DN704" i="72"/>
  <c r="DN705" i="72"/>
  <c r="DN706" i="72"/>
  <c r="DN707" i="72"/>
  <c r="DN708" i="72"/>
  <c r="DN709" i="72"/>
  <c r="DN710" i="72"/>
  <c r="DN711" i="72"/>
  <c r="DN712" i="72"/>
  <c r="DN713" i="72"/>
  <c r="DN714" i="72"/>
  <c r="DN715" i="72"/>
  <c r="DN716" i="72"/>
  <c r="DN717" i="72"/>
  <c r="DN718" i="72"/>
  <c r="DN719" i="72"/>
  <c r="DN720" i="72"/>
  <c r="DN721" i="72"/>
  <c r="DN722" i="72"/>
  <c r="DN723" i="72"/>
  <c r="DN724" i="72"/>
  <c r="DN725" i="72"/>
  <c r="DN726" i="72"/>
  <c r="DN727" i="72"/>
  <c r="DN728" i="72"/>
  <c r="DN729" i="72"/>
  <c r="DN730" i="72"/>
  <c r="DN731" i="72"/>
  <c r="DN732" i="72"/>
  <c r="DN733" i="72"/>
  <c r="DN734" i="72"/>
  <c r="DN735" i="72"/>
  <c r="DN736" i="72"/>
  <c r="DN737" i="72"/>
  <c r="DN738" i="72"/>
  <c r="DN739" i="72"/>
  <c r="DN740" i="72"/>
  <c r="DN741" i="72"/>
  <c r="DN742" i="72"/>
  <c r="DN743" i="72"/>
  <c r="DN744" i="72"/>
  <c r="DN745" i="72"/>
  <c r="DN746" i="72"/>
  <c r="DN747" i="72"/>
  <c r="DN748" i="72"/>
  <c r="DN749" i="72"/>
  <c r="DN750" i="72"/>
  <c r="DN751" i="72"/>
  <c r="DN752" i="72"/>
  <c r="DN753" i="72"/>
  <c r="DN754" i="72"/>
  <c r="DN755" i="72"/>
  <c r="DN756" i="72"/>
  <c r="DN757" i="72"/>
  <c r="DN758" i="72"/>
  <c r="DN759" i="72"/>
  <c r="DN760" i="72"/>
  <c r="DN761" i="72"/>
  <c r="DN762" i="72"/>
  <c r="DN763" i="72"/>
  <c r="DN764" i="72"/>
  <c r="DN765" i="72"/>
  <c r="DN766" i="72"/>
  <c r="DN681" i="72"/>
  <c r="B570" i="82" l="1"/>
  <c r="AQ569" i="82"/>
  <c r="AM569" i="82"/>
  <c r="AI569" i="82"/>
  <c r="AE569" i="82"/>
  <c r="AV569" i="82"/>
  <c r="B571" i="82" l="1"/>
  <c r="AE570" i="82"/>
  <c r="AM570" i="82"/>
  <c r="AV570" i="82"/>
  <c r="AQ570" i="82"/>
  <c r="AI570" i="82"/>
  <c r="AM571" i="82" l="1"/>
  <c r="AV571" i="82"/>
  <c r="B572" i="82"/>
  <c r="AI571" i="82"/>
  <c r="AQ571" i="82"/>
  <c r="AE571" i="82"/>
  <c r="J757" i="72"/>
  <c r="O753" i="72"/>
  <c r="X751" i="72"/>
  <c r="O747" i="72"/>
  <c r="O745" i="72"/>
  <c r="O743" i="72"/>
  <c r="J739" i="72"/>
  <c r="O735" i="72"/>
  <c r="O755" i="72"/>
  <c r="O749" i="72"/>
  <c r="O759" i="72"/>
  <c r="T761" i="72"/>
  <c r="O765" i="72"/>
  <c r="X763" i="72"/>
  <c r="O741" i="72"/>
  <c r="T737" i="72"/>
  <c r="X764" i="72"/>
  <c r="O760" i="72"/>
  <c r="J756" i="72"/>
  <c r="X754" i="72"/>
  <c r="X750" i="72"/>
  <c r="O748" i="72"/>
  <c r="J746" i="72"/>
  <c r="J744" i="72"/>
  <c r="J742" i="72"/>
  <c r="J740" i="72"/>
  <c r="J738" i="72"/>
  <c r="O734" i="72"/>
  <c r="J732" i="72"/>
  <c r="T728" i="72"/>
  <c r="O726" i="72"/>
  <c r="O729" i="72"/>
  <c r="J766" i="72"/>
  <c r="T762" i="72"/>
  <c r="X758" i="72"/>
  <c r="T752" i="72"/>
  <c r="X731" i="72"/>
  <c r="X748" i="72"/>
  <c r="X743" i="72"/>
  <c r="X726" i="72"/>
  <c r="T729" i="72"/>
  <c r="T735" i="72"/>
  <c r="O742" i="72"/>
  <c r="O740" i="72"/>
  <c r="J734" i="72"/>
  <c r="T759" i="72"/>
  <c r="O737" i="72"/>
  <c r="T751" i="72"/>
  <c r="J763" i="72"/>
  <c r="T748" i="72"/>
  <c r="J737" i="72"/>
  <c r="T732" i="72"/>
  <c r="J729" i="72"/>
  <c r="T747" i="72"/>
  <c r="J747" i="72"/>
  <c r="X762" i="72"/>
  <c r="X735" i="72"/>
  <c r="T764" i="72"/>
  <c r="T743" i="72"/>
  <c r="O761" i="72"/>
  <c r="J745" i="72"/>
  <c r="X742" i="72"/>
  <c r="X740" i="72"/>
  <c r="J755" i="72"/>
  <c r="J726" i="72"/>
  <c r="X738" i="72"/>
  <c r="T745" i="72"/>
  <c r="O766" i="72"/>
  <c r="O732" i="72"/>
  <c r="X759" i="72"/>
  <c r="X734" i="72"/>
  <c r="T763" i="72"/>
  <c r="T740" i="72"/>
  <c r="J761" i="72"/>
  <c r="X766" i="72"/>
  <c r="X732" i="72"/>
  <c r="BK754" i="72"/>
  <c r="BF754" i="72"/>
  <c r="BP754" i="72"/>
  <c r="BT754" i="72"/>
  <c r="BT751" i="72"/>
  <c r="BK751" i="72"/>
  <c r="BP751" i="72"/>
  <c r="BF751" i="72"/>
  <c r="BK745" i="72"/>
  <c r="BP745" i="72"/>
  <c r="BF745" i="72"/>
  <c r="BT745" i="72"/>
  <c r="X727" i="72"/>
  <c r="J758" i="72"/>
  <c r="J750" i="72"/>
  <c r="BT766" i="72"/>
  <c r="BF766" i="72"/>
  <c r="BK766" i="72"/>
  <c r="BP766" i="72"/>
  <c r="BK762" i="72"/>
  <c r="BF762" i="72"/>
  <c r="BT762" i="72"/>
  <c r="BP762" i="72"/>
  <c r="BF740" i="72"/>
  <c r="BP740" i="72"/>
  <c r="BK740" i="72"/>
  <c r="BT740" i="72"/>
  <c r="BT734" i="72"/>
  <c r="BK734" i="72"/>
  <c r="BP734" i="72"/>
  <c r="BF734" i="72"/>
  <c r="BF731" i="72"/>
  <c r="BK731" i="72"/>
  <c r="BT731" i="72"/>
  <c r="BP731" i="72"/>
  <c r="T755" i="72"/>
  <c r="T739" i="72"/>
  <c r="T731" i="72"/>
  <c r="O752" i="72"/>
  <c r="O744" i="72"/>
  <c r="O736" i="72"/>
  <c r="O728" i="72"/>
  <c r="J765" i="72"/>
  <c r="J749" i="72"/>
  <c r="J741" i="72"/>
  <c r="J733" i="72"/>
  <c r="BP759" i="72"/>
  <c r="BT759" i="72"/>
  <c r="BK759" i="72"/>
  <c r="BF759" i="72"/>
  <c r="BK755" i="72"/>
  <c r="BT755" i="72"/>
  <c r="BF755" i="72"/>
  <c r="BP755" i="72"/>
  <c r="BP752" i="72"/>
  <c r="BF752" i="72"/>
  <c r="BK752" i="72"/>
  <c r="BT752" i="72"/>
  <c r="BK746" i="72"/>
  <c r="BP746" i="72"/>
  <c r="BT746" i="72"/>
  <c r="BF746" i="72"/>
  <c r="BT743" i="72"/>
  <c r="BP743" i="72"/>
  <c r="BK743" i="72"/>
  <c r="BF743" i="72"/>
  <c r="BP737" i="72"/>
  <c r="BF737" i="72"/>
  <c r="BK737" i="72"/>
  <c r="BT737" i="72"/>
  <c r="X765" i="72"/>
  <c r="X757" i="72"/>
  <c r="X749" i="72"/>
  <c r="X741" i="72"/>
  <c r="X733" i="72"/>
  <c r="T754" i="72"/>
  <c r="T746" i="72"/>
  <c r="T738" i="72"/>
  <c r="T730" i="72"/>
  <c r="O751" i="72"/>
  <c r="O727" i="72"/>
  <c r="J764" i="72"/>
  <c r="J748" i="72"/>
  <c r="BK763" i="72"/>
  <c r="BF763" i="72"/>
  <c r="BT763" i="72"/>
  <c r="BP763" i="72"/>
  <c r="J731" i="72"/>
  <c r="BP744" i="72"/>
  <c r="BT744" i="72"/>
  <c r="BF744" i="72"/>
  <c r="BK744" i="72"/>
  <c r="BK738" i="72"/>
  <c r="BT738" i="72"/>
  <c r="BP738" i="72"/>
  <c r="BF738" i="72"/>
  <c r="BT735" i="72"/>
  <c r="BK735" i="72"/>
  <c r="BP735" i="72"/>
  <c r="BF735" i="72"/>
  <c r="BP729" i="72"/>
  <c r="BF729" i="72"/>
  <c r="BK729" i="72"/>
  <c r="BT729" i="72"/>
  <c r="X755" i="72"/>
  <c r="X747" i="72"/>
  <c r="X739" i="72"/>
  <c r="T760" i="72"/>
  <c r="T744" i="72"/>
  <c r="T736" i="72"/>
  <c r="O757" i="72"/>
  <c r="O733" i="72"/>
  <c r="J762" i="72"/>
  <c r="J754" i="72"/>
  <c r="J730" i="72"/>
  <c r="BT758" i="72"/>
  <c r="BK758" i="72"/>
  <c r="BP758" i="72"/>
  <c r="BF758" i="72"/>
  <c r="BF749" i="72"/>
  <c r="BT749" i="72"/>
  <c r="BP749" i="72"/>
  <c r="BK749" i="72"/>
  <c r="BF732" i="72"/>
  <c r="BT732" i="72"/>
  <c r="BK732" i="72"/>
  <c r="BP732" i="72"/>
  <c r="X756" i="72"/>
  <c r="T753" i="72"/>
  <c r="O758" i="72"/>
  <c r="BP760" i="72"/>
  <c r="BT760" i="72"/>
  <c r="BF760" i="72"/>
  <c r="BK760" i="72"/>
  <c r="BF756" i="72"/>
  <c r="BP756" i="72"/>
  <c r="BT756" i="72"/>
  <c r="BK756" i="72"/>
  <c r="BK747" i="72"/>
  <c r="BT747" i="72"/>
  <c r="BF747" i="72"/>
  <c r="BP747" i="72"/>
  <c r="BF741" i="72"/>
  <c r="BT741" i="72"/>
  <c r="BK741" i="72"/>
  <c r="BP741" i="72"/>
  <c r="X730" i="72"/>
  <c r="T727" i="72"/>
  <c r="O764" i="72"/>
  <c r="O756" i="72"/>
  <c r="J753" i="72"/>
  <c r="BF764" i="72"/>
  <c r="BK764" i="72"/>
  <c r="BP764" i="72"/>
  <c r="BT764" i="72"/>
  <c r="BF757" i="72"/>
  <c r="BP757" i="72"/>
  <c r="BT757" i="72"/>
  <c r="BK757" i="72"/>
  <c r="BF753" i="72"/>
  <c r="BP753" i="72"/>
  <c r="BT753" i="72"/>
  <c r="BK753" i="72"/>
  <c r="BP736" i="72"/>
  <c r="BF736" i="72"/>
  <c r="BK736" i="72"/>
  <c r="BT736" i="72"/>
  <c r="BK730" i="72"/>
  <c r="BF730" i="72"/>
  <c r="BP730" i="72"/>
  <c r="BT730" i="72"/>
  <c r="BT727" i="72"/>
  <c r="BP727" i="72"/>
  <c r="BK727" i="72"/>
  <c r="BF727" i="72"/>
  <c r="X761" i="72"/>
  <c r="X753" i="72"/>
  <c r="X745" i="72"/>
  <c r="X737" i="72"/>
  <c r="X729" i="72"/>
  <c r="T766" i="72"/>
  <c r="T758" i="72"/>
  <c r="T750" i="72"/>
  <c r="T742" i="72"/>
  <c r="T734" i="72"/>
  <c r="T726" i="72"/>
  <c r="O763" i="72"/>
  <c r="O739" i="72"/>
  <c r="O731" i="72"/>
  <c r="J760" i="72"/>
  <c r="J752" i="72"/>
  <c r="J736" i="72"/>
  <c r="J728" i="72"/>
  <c r="BP728" i="72"/>
  <c r="BT728" i="72"/>
  <c r="BF728" i="72"/>
  <c r="BK728" i="72"/>
  <c r="T756" i="72"/>
  <c r="BT726" i="72"/>
  <c r="BK726" i="72"/>
  <c r="BF726" i="72"/>
  <c r="BP726" i="72"/>
  <c r="O750" i="72"/>
  <c r="BT750" i="72"/>
  <c r="BP750" i="72"/>
  <c r="BF750" i="72"/>
  <c r="BK750" i="72"/>
  <c r="X746" i="72"/>
  <c r="BF765" i="72"/>
  <c r="BT765" i="72"/>
  <c r="BP765" i="72"/>
  <c r="BK765" i="72"/>
  <c r="BP761" i="72"/>
  <c r="BK761" i="72"/>
  <c r="BT761" i="72"/>
  <c r="BF761" i="72"/>
  <c r="BF748" i="72"/>
  <c r="BK748" i="72"/>
  <c r="BP748" i="72"/>
  <c r="BT748" i="72"/>
  <c r="BT742" i="72"/>
  <c r="BF742" i="72"/>
  <c r="BP742" i="72"/>
  <c r="BK742" i="72"/>
  <c r="BK739" i="72"/>
  <c r="BT739" i="72"/>
  <c r="BP739" i="72"/>
  <c r="BF739" i="72"/>
  <c r="BF733" i="72"/>
  <c r="BP733" i="72"/>
  <c r="BK733" i="72"/>
  <c r="BT733" i="72"/>
  <c r="X760" i="72"/>
  <c r="X752" i="72"/>
  <c r="X744" i="72"/>
  <c r="X736" i="72"/>
  <c r="X728" i="72"/>
  <c r="T765" i="72"/>
  <c r="T757" i="72"/>
  <c r="T749" i="72"/>
  <c r="T741" i="72"/>
  <c r="T733" i="72"/>
  <c r="O762" i="72"/>
  <c r="O754" i="72"/>
  <c r="O746" i="72"/>
  <c r="O738" i="72"/>
  <c r="O730" i="72"/>
  <c r="J759" i="72"/>
  <c r="J751" i="72"/>
  <c r="J743" i="72"/>
  <c r="J735" i="72"/>
  <c r="J727" i="72"/>
  <c r="N79" i="69"/>
  <c r="E12" i="63" s="1"/>
  <c r="I79" i="69"/>
  <c r="J79" i="69" s="1"/>
  <c r="N78" i="69"/>
  <c r="E11" i="63" s="1"/>
  <c r="I78" i="69"/>
  <c r="J78" i="69" s="1"/>
  <c r="N77" i="69"/>
  <c r="E10" i="63" s="1"/>
  <c r="I77" i="69"/>
  <c r="J77" i="69" s="1"/>
  <c r="N76" i="69"/>
  <c r="E9" i="63" s="1"/>
  <c r="I76" i="69"/>
  <c r="J76" i="69" s="1"/>
  <c r="N75" i="69"/>
  <c r="E8" i="63" s="1"/>
  <c r="F19" i="63" s="1"/>
  <c r="I75" i="69"/>
  <c r="J75" i="69" s="1"/>
  <c r="O394" i="69"/>
  <c r="C2" i="63" s="1"/>
  <c r="L394" i="69"/>
  <c r="K394" i="69"/>
  <c r="J394" i="69"/>
  <c r="I71" i="69"/>
  <c r="J71" i="69" s="1"/>
  <c r="K71" i="69" s="1"/>
  <c r="L71" i="69" s="1"/>
  <c r="O71" i="69" s="1"/>
  <c r="N71" i="69"/>
  <c r="C9" i="63" s="1"/>
  <c r="I72" i="69"/>
  <c r="J72" i="69" s="1"/>
  <c r="K72" i="69" s="1"/>
  <c r="N72" i="69"/>
  <c r="C10" i="63" s="1"/>
  <c r="I73" i="69"/>
  <c r="J73" i="69" s="1"/>
  <c r="K73" i="69" s="1"/>
  <c r="N73" i="69"/>
  <c r="C11" i="63" s="1"/>
  <c r="I74" i="69"/>
  <c r="J74" i="69" s="1"/>
  <c r="N74" i="69"/>
  <c r="N70" i="69"/>
  <c r="C8" i="63" s="1"/>
  <c r="B19" i="63" s="1"/>
  <c r="I70" i="69"/>
  <c r="J70" i="69" s="1"/>
  <c r="C12" i="63" l="1"/>
  <c r="C13" i="63"/>
  <c r="T681" i="82"/>
  <c r="V681" i="82" s="1"/>
  <c r="J681" i="82"/>
  <c r="L681" i="82" s="1"/>
  <c r="X681" i="82"/>
  <c r="Y681" i="82" s="1"/>
  <c r="O681" i="82"/>
  <c r="Q681" i="82" s="1"/>
  <c r="B573" i="82"/>
  <c r="AM572" i="82"/>
  <c r="AQ572" i="82"/>
  <c r="AV572" i="82"/>
  <c r="AI572" i="82"/>
  <c r="AE572" i="82"/>
  <c r="BP681" i="82"/>
  <c r="BR681" i="82" s="1"/>
  <c r="BT681" i="82"/>
  <c r="BU681" i="82" s="1"/>
  <c r="BF681" i="82"/>
  <c r="BH681" i="82" s="1"/>
  <c r="BK681" i="82"/>
  <c r="BM681" i="82" s="1"/>
  <c r="F30" i="63"/>
  <c r="F34" i="63"/>
  <c r="F38" i="63"/>
  <c r="F42" i="63"/>
  <c r="F46" i="63"/>
  <c r="F50" i="63"/>
  <c r="F31" i="63"/>
  <c r="F35" i="63"/>
  <c r="F39" i="63"/>
  <c r="F43" i="63"/>
  <c r="F47" i="63"/>
  <c r="F51" i="63"/>
  <c r="BK713" i="72" s="1"/>
  <c r="F29" i="63"/>
  <c r="F33" i="63"/>
  <c r="F37" i="63"/>
  <c r="F41" i="63"/>
  <c r="F45" i="63"/>
  <c r="F32" i="63"/>
  <c r="F36" i="63"/>
  <c r="F40" i="63"/>
  <c r="F44" i="63"/>
  <c r="F48" i="63"/>
  <c r="F52" i="63"/>
  <c r="F49" i="63"/>
  <c r="F21" i="63"/>
  <c r="F20" i="63"/>
  <c r="B31" i="63"/>
  <c r="B35" i="63"/>
  <c r="B39" i="63"/>
  <c r="B43" i="63"/>
  <c r="B47" i="63"/>
  <c r="B51" i="63"/>
  <c r="B32" i="63"/>
  <c r="B36" i="63"/>
  <c r="B40" i="63"/>
  <c r="B44" i="63"/>
  <c r="B48" i="63"/>
  <c r="B52" i="63"/>
  <c r="B30" i="63"/>
  <c r="B34" i="63"/>
  <c r="B38" i="63"/>
  <c r="B42" i="63"/>
  <c r="B46" i="63"/>
  <c r="B50" i="63"/>
  <c r="B29" i="63"/>
  <c r="B33" i="63"/>
  <c r="B37" i="63"/>
  <c r="B41" i="63"/>
  <c r="B45" i="63"/>
  <c r="B49" i="63"/>
  <c r="F22" i="63"/>
  <c r="F23" i="63"/>
  <c r="B27" i="63"/>
  <c r="B24" i="63"/>
  <c r="B28" i="63"/>
  <c r="B26" i="63"/>
  <c r="B25" i="63"/>
  <c r="F26" i="63"/>
  <c r="F27" i="63"/>
  <c r="F25" i="63"/>
  <c r="F24" i="63"/>
  <c r="F28" i="63"/>
  <c r="B20" i="63"/>
  <c r="B21" i="63"/>
  <c r="C19" i="63"/>
  <c r="B23" i="63"/>
  <c r="B22" i="63"/>
  <c r="T681" i="72"/>
  <c r="V681" i="72" s="1"/>
  <c r="BK681" i="72"/>
  <c r="BM681" i="72" s="1"/>
  <c r="BF701" i="72"/>
  <c r="X682" i="72"/>
  <c r="BP681" i="72"/>
  <c r="BR681" i="72" s="1"/>
  <c r="BF725" i="72"/>
  <c r="T682" i="72"/>
  <c r="J682" i="72"/>
  <c r="BT681" i="72"/>
  <c r="BU681" i="72" s="1"/>
  <c r="O682" i="72"/>
  <c r="O681" i="72"/>
  <c r="Q681" i="72" s="1"/>
  <c r="O684" i="72"/>
  <c r="BF681" i="72"/>
  <c r="BH681" i="72" s="1"/>
  <c r="X681" i="72"/>
  <c r="Y681" i="72" s="1"/>
  <c r="J681" i="72"/>
  <c r="L681" i="72" s="1"/>
  <c r="M394" i="69"/>
  <c r="P394" i="69" s="1"/>
  <c r="J687" i="72"/>
  <c r="T687" i="72"/>
  <c r="O687" i="72"/>
  <c r="X687" i="72"/>
  <c r="X704" i="72"/>
  <c r="BP709" i="72"/>
  <c r="BT709" i="72"/>
  <c r="BK709" i="72"/>
  <c r="D9" i="63"/>
  <c r="K76" i="69"/>
  <c r="L76" i="69" s="1"/>
  <c r="O76" i="69" s="1"/>
  <c r="K77" i="69"/>
  <c r="L77" i="69" s="1"/>
  <c r="O77" i="69" s="1"/>
  <c r="K78" i="69"/>
  <c r="L78" i="69" s="1"/>
  <c r="O78" i="69" s="1"/>
  <c r="K75" i="69"/>
  <c r="L75" i="69" s="1"/>
  <c r="O75" i="69" s="1"/>
  <c r="K79" i="69"/>
  <c r="L79" i="69" s="1"/>
  <c r="O79" i="69" s="1"/>
  <c r="K74" i="69"/>
  <c r="L74" i="69" s="1"/>
  <c r="O74" i="69" s="1"/>
  <c r="D13" i="63" s="1"/>
  <c r="L73" i="69"/>
  <c r="O73" i="69" s="1"/>
  <c r="L72" i="69"/>
  <c r="O72" i="69" s="1"/>
  <c r="K70" i="69"/>
  <c r="L70" i="69" s="1"/>
  <c r="O70" i="69" s="1"/>
  <c r="K133" i="65"/>
  <c r="L133" i="65" s="1"/>
  <c r="M133" i="65" s="1"/>
  <c r="N133" i="65" s="1"/>
  <c r="B135" i="65"/>
  <c r="C135" i="65" s="1"/>
  <c r="D135" i="65" s="1"/>
  <c r="B136" i="65"/>
  <c r="C136" i="65" s="1"/>
  <c r="B137" i="65"/>
  <c r="C137" i="65" s="1"/>
  <c r="E137" i="65" s="1"/>
  <c r="B138" i="65"/>
  <c r="C138" i="65" s="1"/>
  <c r="B139" i="65"/>
  <c r="K139" i="65" s="1"/>
  <c r="B140" i="65"/>
  <c r="K140" i="65" s="1"/>
  <c r="L140" i="65" s="1"/>
  <c r="M140" i="65" s="1"/>
  <c r="B141" i="65"/>
  <c r="K141" i="65" s="1"/>
  <c r="L141" i="65" s="1"/>
  <c r="M141" i="65" s="1"/>
  <c r="B142" i="65"/>
  <c r="C142" i="65" s="1"/>
  <c r="D142" i="65" s="1"/>
  <c r="B143" i="65"/>
  <c r="B144" i="65"/>
  <c r="K144" i="65" s="1"/>
  <c r="L144" i="65" s="1"/>
  <c r="M144" i="65" s="1"/>
  <c r="B145" i="65"/>
  <c r="K145" i="65" s="1"/>
  <c r="L145" i="65" s="1"/>
  <c r="M145" i="65" s="1"/>
  <c r="B146" i="65"/>
  <c r="C146" i="65" s="1"/>
  <c r="D146" i="65" s="1"/>
  <c r="B147" i="65"/>
  <c r="C147" i="65" s="1"/>
  <c r="D147" i="65" s="1"/>
  <c r="B148" i="65"/>
  <c r="K148" i="65" s="1"/>
  <c r="L148" i="65" s="1"/>
  <c r="M148" i="65" s="1"/>
  <c r="B149" i="65"/>
  <c r="C149" i="65" s="1"/>
  <c r="B150" i="65"/>
  <c r="C150" i="65" s="1"/>
  <c r="B151" i="65"/>
  <c r="K151" i="65" s="1"/>
  <c r="B152" i="65"/>
  <c r="K152" i="65" s="1"/>
  <c r="L152" i="65" s="1"/>
  <c r="M152" i="65" s="1"/>
  <c r="B153" i="65"/>
  <c r="C153" i="65" s="1"/>
  <c r="B154" i="65"/>
  <c r="C154" i="65" s="1"/>
  <c r="B155" i="65"/>
  <c r="C155" i="65" s="1"/>
  <c r="B156" i="65"/>
  <c r="K156" i="65" s="1"/>
  <c r="L156" i="65" s="1"/>
  <c r="M156" i="65" s="1"/>
  <c r="B157" i="65"/>
  <c r="K157" i="65" s="1"/>
  <c r="L157" i="65" s="1"/>
  <c r="M157" i="65" s="1"/>
  <c r="B158" i="65"/>
  <c r="C158" i="65" s="1"/>
  <c r="B159" i="65"/>
  <c r="K159" i="65" s="1"/>
  <c r="L159" i="65" s="1"/>
  <c r="M159" i="65" s="1"/>
  <c r="B160" i="65"/>
  <c r="K160" i="65" s="1"/>
  <c r="L160" i="65" s="1"/>
  <c r="M160" i="65" s="1"/>
  <c r="N160" i="65" s="1"/>
  <c r="B161" i="65"/>
  <c r="K161" i="65" s="1"/>
  <c r="L161" i="65" s="1"/>
  <c r="B162" i="65"/>
  <c r="C162" i="65" s="1"/>
  <c r="B163" i="65"/>
  <c r="K163" i="65" s="1"/>
  <c r="L163" i="65" s="1"/>
  <c r="M163" i="65" s="1"/>
  <c r="B164" i="65"/>
  <c r="C164" i="65" s="1"/>
  <c r="B165" i="65"/>
  <c r="K165" i="65" s="1"/>
  <c r="B166" i="65"/>
  <c r="C166" i="65" s="1"/>
  <c r="B167" i="65"/>
  <c r="K167" i="65" s="1"/>
  <c r="L167" i="65" s="1"/>
  <c r="M167" i="65" s="1"/>
  <c r="B168" i="65"/>
  <c r="K168" i="65" s="1"/>
  <c r="L168" i="65" s="1"/>
  <c r="M168" i="65" s="1"/>
  <c r="N168" i="65" s="1"/>
  <c r="F168" i="65" s="1"/>
  <c r="B169" i="65"/>
  <c r="K169" i="65" s="1"/>
  <c r="L169" i="65" s="1"/>
  <c r="M169" i="65" s="1"/>
  <c r="B170" i="65"/>
  <c r="K170" i="65" s="1"/>
  <c r="L170" i="65" s="1"/>
  <c r="M170" i="65" s="1"/>
  <c r="N170" i="65" s="1"/>
  <c r="F170" i="65" s="1"/>
  <c r="B171" i="65"/>
  <c r="B172" i="65"/>
  <c r="K172" i="65" s="1"/>
  <c r="L172" i="65" s="1"/>
  <c r="M172" i="65" s="1"/>
  <c r="B173" i="65"/>
  <c r="K173" i="65" s="1"/>
  <c r="B174" i="65"/>
  <c r="K174" i="65" s="1"/>
  <c r="L174" i="65" s="1"/>
  <c r="M174" i="65" s="1"/>
  <c r="B175" i="65"/>
  <c r="K175" i="65" s="1"/>
  <c r="B176" i="65"/>
  <c r="K176" i="65" s="1"/>
  <c r="L176" i="65" s="1"/>
  <c r="M176" i="65" s="1"/>
  <c r="N176" i="65" s="1"/>
  <c r="F176" i="65" s="1"/>
  <c r="B177" i="65"/>
  <c r="K177" i="65" s="1"/>
  <c r="L177" i="65" s="1"/>
  <c r="M177" i="65" s="1"/>
  <c r="B178" i="65"/>
  <c r="K178" i="65" s="1"/>
  <c r="L178" i="65" s="1"/>
  <c r="M178" i="65" s="1"/>
  <c r="B179" i="65"/>
  <c r="K179" i="65" s="1"/>
  <c r="L179" i="65" s="1"/>
  <c r="M179" i="65" s="1"/>
  <c r="B180" i="65"/>
  <c r="K180" i="65" s="1"/>
  <c r="L180" i="65" s="1"/>
  <c r="M180" i="65" s="1"/>
  <c r="B181" i="65"/>
  <c r="K181" i="65" s="1"/>
  <c r="B182" i="65"/>
  <c r="K182" i="65" s="1"/>
  <c r="L182" i="65" s="1"/>
  <c r="M182" i="65" s="1"/>
  <c r="B183" i="65"/>
  <c r="K183" i="65" s="1"/>
  <c r="L183" i="65" s="1"/>
  <c r="M183" i="65" s="1"/>
  <c r="B184" i="65"/>
  <c r="K184" i="65" s="1"/>
  <c r="L184" i="65" s="1"/>
  <c r="M184" i="65" s="1"/>
  <c r="N184" i="65" s="1"/>
  <c r="F184" i="65" s="1"/>
  <c r="B185" i="65"/>
  <c r="K185" i="65" s="1"/>
  <c r="L185" i="65" s="1"/>
  <c r="M185" i="65" s="1"/>
  <c r="B186" i="65"/>
  <c r="K186" i="65" s="1"/>
  <c r="L186" i="65" s="1"/>
  <c r="M186" i="65" s="1"/>
  <c r="N186" i="65" s="1"/>
  <c r="F186" i="65" s="1"/>
  <c r="B187" i="65"/>
  <c r="K187" i="65" s="1"/>
  <c r="B188" i="65"/>
  <c r="K188" i="65" s="1"/>
  <c r="L188" i="65" s="1"/>
  <c r="M188" i="65" s="1"/>
  <c r="B189" i="65"/>
  <c r="K189" i="65" s="1"/>
  <c r="B190" i="65"/>
  <c r="K190" i="65" s="1"/>
  <c r="L190" i="65" s="1"/>
  <c r="M190" i="65" s="1"/>
  <c r="B191" i="65"/>
  <c r="K191" i="65" s="1"/>
  <c r="B192" i="65"/>
  <c r="K192" i="65" s="1"/>
  <c r="L192" i="65" s="1"/>
  <c r="M192" i="65" s="1"/>
  <c r="N192" i="65" s="1"/>
  <c r="F192" i="65" s="1"/>
  <c r="B193" i="65"/>
  <c r="B194" i="65"/>
  <c r="K194" i="65" s="1"/>
  <c r="L194" i="65" s="1"/>
  <c r="M194" i="65" s="1"/>
  <c r="B195" i="65"/>
  <c r="K195" i="65" s="1"/>
  <c r="L195" i="65" s="1"/>
  <c r="M195" i="65" s="1"/>
  <c r="B196" i="65"/>
  <c r="K196" i="65" s="1"/>
  <c r="L196" i="65" s="1"/>
  <c r="M196" i="65" s="1"/>
  <c r="B197" i="65"/>
  <c r="K197" i="65" s="1"/>
  <c r="B198" i="65"/>
  <c r="K198" i="65" s="1"/>
  <c r="L198" i="65" s="1"/>
  <c r="M198" i="65" s="1"/>
  <c r="B199" i="65"/>
  <c r="K199" i="65" s="1"/>
  <c r="L199" i="65" s="1"/>
  <c r="M199" i="65" s="1"/>
  <c r="B200" i="65"/>
  <c r="K200" i="65" s="1"/>
  <c r="L200" i="65" s="1"/>
  <c r="M200" i="65" s="1"/>
  <c r="N200" i="65" s="1"/>
  <c r="F200" i="65" s="1"/>
  <c r="B201" i="65"/>
  <c r="K201" i="65" s="1"/>
  <c r="L201" i="65" s="1"/>
  <c r="M201" i="65" s="1"/>
  <c r="B202" i="65"/>
  <c r="K202" i="65" s="1"/>
  <c r="L202" i="65" s="1"/>
  <c r="M202" i="65" s="1"/>
  <c r="N202" i="65" s="1"/>
  <c r="F202" i="65" s="1"/>
  <c r="B203" i="65"/>
  <c r="B204" i="65"/>
  <c r="K204" i="65" s="1"/>
  <c r="L204" i="65" s="1"/>
  <c r="M204" i="65" s="1"/>
  <c r="B205" i="65"/>
  <c r="K205" i="65" s="1"/>
  <c r="B206" i="65"/>
  <c r="K206" i="65" s="1"/>
  <c r="L206" i="65" s="1"/>
  <c r="M206" i="65" s="1"/>
  <c r="B207" i="65"/>
  <c r="K207" i="65" s="1"/>
  <c r="B208" i="65"/>
  <c r="K208" i="65" s="1"/>
  <c r="L208" i="65" s="1"/>
  <c r="M208" i="65" s="1"/>
  <c r="N208" i="65" s="1"/>
  <c r="F208" i="65" s="1"/>
  <c r="B209" i="65"/>
  <c r="K209" i="65" s="1"/>
  <c r="L209" i="65" s="1"/>
  <c r="M209" i="65" s="1"/>
  <c r="B210" i="65"/>
  <c r="K210" i="65" s="1"/>
  <c r="L210" i="65" s="1"/>
  <c r="M210" i="65" s="1"/>
  <c r="B211" i="65"/>
  <c r="K211" i="65" s="1"/>
  <c r="L211" i="65" s="1"/>
  <c r="M211" i="65" s="1"/>
  <c r="B212" i="65"/>
  <c r="K212" i="65" s="1"/>
  <c r="L212" i="65" s="1"/>
  <c r="M212" i="65" s="1"/>
  <c r="B213" i="65"/>
  <c r="K213" i="65" s="1"/>
  <c r="B214" i="65"/>
  <c r="K214" i="65" s="1"/>
  <c r="L214" i="65" s="1"/>
  <c r="M214" i="65" s="1"/>
  <c r="B215" i="65"/>
  <c r="K215" i="65" s="1"/>
  <c r="L215" i="65" s="1"/>
  <c r="M215" i="65" s="1"/>
  <c r="B216" i="65"/>
  <c r="K216" i="65" s="1"/>
  <c r="L216" i="65" s="1"/>
  <c r="M216" i="65" s="1"/>
  <c r="N216" i="65" s="1"/>
  <c r="F216" i="65" s="1"/>
  <c r="B217" i="65"/>
  <c r="K217" i="65" s="1"/>
  <c r="L217" i="65" s="1"/>
  <c r="M217" i="65" s="1"/>
  <c r="B218" i="65"/>
  <c r="K218" i="65" s="1"/>
  <c r="L218" i="65" s="1"/>
  <c r="M218" i="65" s="1"/>
  <c r="N218" i="65" s="1"/>
  <c r="F218" i="65" s="1"/>
  <c r="B219" i="65"/>
  <c r="K219" i="65" s="1"/>
  <c r="B220" i="65"/>
  <c r="K220" i="65" s="1"/>
  <c r="L220" i="65" s="1"/>
  <c r="M220" i="65" s="1"/>
  <c r="B221" i="65"/>
  <c r="K221" i="65" s="1"/>
  <c r="B222" i="65"/>
  <c r="K222" i="65" s="1"/>
  <c r="L222" i="65" s="1"/>
  <c r="M222" i="65" s="1"/>
  <c r="B223" i="65"/>
  <c r="K223" i="65" s="1"/>
  <c r="B224" i="65"/>
  <c r="K224" i="65" s="1"/>
  <c r="L224" i="65" s="1"/>
  <c r="M224" i="65" s="1"/>
  <c r="N224" i="65" s="1"/>
  <c r="F224" i="65" s="1"/>
  <c r="B225" i="65"/>
  <c r="B226" i="65"/>
  <c r="K226" i="65" s="1"/>
  <c r="L226" i="65" s="1"/>
  <c r="M226" i="65" s="1"/>
  <c r="B227" i="65"/>
  <c r="K227" i="65" s="1"/>
  <c r="L227" i="65" s="1"/>
  <c r="M227" i="65" s="1"/>
  <c r="B228" i="65"/>
  <c r="K228" i="65" s="1"/>
  <c r="L228" i="65" s="1"/>
  <c r="M228" i="65" s="1"/>
  <c r="B229" i="65"/>
  <c r="K229" i="65" s="1"/>
  <c r="B230" i="65"/>
  <c r="K230" i="65" s="1"/>
  <c r="L230" i="65" s="1"/>
  <c r="M230" i="65" s="1"/>
  <c r="B231" i="65"/>
  <c r="K231" i="65" s="1"/>
  <c r="L231" i="65" s="1"/>
  <c r="M231" i="65" s="1"/>
  <c r="B232" i="65"/>
  <c r="K232" i="65" s="1"/>
  <c r="L232" i="65" s="1"/>
  <c r="M232" i="65" s="1"/>
  <c r="N232" i="65" s="1"/>
  <c r="B233" i="65"/>
  <c r="K233" i="65" s="1"/>
  <c r="B234" i="65"/>
  <c r="K234" i="65" s="1"/>
  <c r="L234" i="65" s="1"/>
  <c r="M234" i="65" s="1"/>
  <c r="N234" i="65" s="1"/>
  <c r="B134" i="65"/>
  <c r="C134" i="65" s="1"/>
  <c r="D134" i="65" s="1"/>
  <c r="K27" i="65"/>
  <c r="L27" i="65" s="1"/>
  <c r="M27" i="65" s="1"/>
  <c r="N27" i="65" s="1"/>
  <c r="B29" i="65"/>
  <c r="K29" i="65" s="1"/>
  <c r="B30" i="65"/>
  <c r="C30" i="65" s="1"/>
  <c r="E30" i="65" s="1"/>
  <c r="B31" i="65"/>
  <c r="B32" i="65"/>
  <c r="K32" i="65" s="1"/>
  <c r="L32" i="65" s="1"/>
  <c r="M32" i="65" s="1"/>
  <c r="N32" i="65" s="1"/>
  <c r="B33" i="65"/>
  <c r="K33" i="65" s="1"/>
  <c r="B34" i="65"/>
  <c r="K34" i="65" s="1"/>
  <c r="L34" i="65" s="1"/>
  <c r="M34" i="65" s="1"/>
  <c r="B35" i="65"/>
  <c r="B36" i="65"/>
  <c r="B37" i="65"/>
  <c r="B38" i="65"/>
  <c r="B39" i="65"/>
  <c r="B40" i="65"/>
  <c r="K40" i="65" s="1"/>
  <c r="B41" i="65"/>
  <c r="K41" i="65" s="1"/>
  <c r="L41" i="65" s="1"/>
  <c r="M41" i="65" s="1"/>
  <c r="N41" i="65" s="1"/>
  <c r="B42" i="65"/>
  <c r="K42" i="65" s="1"/>
  <c r="B43" i="65"/>
  <c r="B44" i="65"/>
  <c r="K44" i="65" s="1"/>
  <c r="B45" i="65"/>
  <c r="B46" i="65"/>
  <c r="B47" i="65"/>
  <c r="B48" i="65"/>
  <c r="C48" i="65" s="1"/>
  <c r="B49" i="65"/>
  <c r="K49" i="65" s="1"/>
  <c r="L49" i="65" s="1"/>
  <c r="B50" i="65"/>
  <c r="C50" i="65" s="1"/>
  <c r="B51" i="65"/>
  <c r="C51" i="65" s="1"/>
  <c r="B52" i="65"/>
  <c r="C52" i="65" s="1"/>
  <c r="B53" i="65"/>
  <c r="B54" i="65"/>
  <c r="C54" i="65" s="1"/>
  <c r="B55" i="65"/>
  <c r="B56" i="65"/>
  <c r="K56" i="65" s="1"/>
  <c r="B57" i="65"/>
  <c r="K57" i="65" s="1"/>
  <c r="L57" i="65" s="1"/>
  <c r="M57" i="65" s="1"/>
  <c r="N57" i="65" s="1"/>
  <c r="B58" i="65"/>
  <c r="C58" i="65" s="1"/>
  <c r="B59" i="65"/>
  <c r="C59" i="65" s="1"/>
  <c r="B60" i="65"/>
  <c r="C60" i="65" s="1"/>
  <c r="B61" i="65"/>
  <c r="K61" i="65" s="1"/>
  <c r="B62" i="65"/>
  <c r="K62" i="65" s="1"/>
  <c r="B63" i="65"/>
  <c r="K63" i="65" s="1"/>
  <c r="L63" i="65" s="1"/>
  <c r="M63" i="65" s="1"/>
  <c r="N63" i="65" s="1"/>
  <c r="B64" i="65"/>
  <c r="K64" i="65" s="1"/>
  <c r="B65" i="65"/>
  <c r="K65" i="65" s="1"/>
  <c r="L65" i="65" s="1"/>
  <c r="B66" i="65"/>
  <c r="K66" i="65" s="1"/>
  <c r="B67" i="65"/>
  <c r="B68" i="65"/>
  <c r="K68" i="65" s="1"/>
  <c r="B69" i="65"/>
  <c r="B70" i="65"/>
  <c r="K70" i="65" s="1"/>
  <c r="B71" i="65"/>
  <c r="B72" i="65"/>
  <c r="K72" i="65" s="1"/>
  <c r="B73" i="65"/>
  <c r="K73" i="65" s="1"/>
  <c r="L73" i="65" s="1"/>
  <c r="B74" i="65"/>
  <c r="B75" i="65"/>
  <c r="B76" i="65"/>
  <c r="K76" i="65" s="1"/>
  <c r="B77" i="65"/>
  <c r="B78" i="65"/>
  <c r="B79" i="65"/>
  <c r="K79" i="65" s="1"/>
  <c r="L79" i="65" s="1"/>
  <c r="M79" i="65" s="1"/>
  <c r="N79" i="65" s="1"/>
  <c r="B80" i="65"/>
  <c r="K80" i="65" s="1"/>
  <c r="B81" i="65"/>
  <c r="K81" i="65" s="1"/>
  <c r="L81" i="65" s="1"/>
  <c r="M81" i="65" s="1"/>
  <c r="N81" i="65" s="1"/>
  <c r="B82" i="65"/>
  <c r="K82" i="65" s="1"/>
  <c r="B83" i="65"/>
  <c r="B84" i="65"/>
  <c r="K84" i="65" s="1"/>
  <c r="B85" i="65"/>
  <c r="K85" i="65" s="1"/>
  <c r="B86" i="65"/>
  <c r="K86" i="65" s="1"/>
  <c r="B87" i="65"/>
  <c r="K87" i="65" s="1"/>
  <c r="B88" i="65"/>
  <c r="K88" i="65" s="1"/>
  <c r="B89" i="65"/>
  <c r="K89" i="65" s="1"/>
  <c r="L89" i="65" s="1"/>
  <c r="B90" i="65"/>
  <c r="K90" i="65" s="1"/>
  <c r="B91" i="65"/>
  <c r="B92" i="65"/>
  <c r="B93" i="65"/>
  <c r="K93" i="65" s="1"/>
  <c r="B94" i="65"/>
  <c r="K94" i="65" s="1"/>
  <c r="B95" i="65"/>
  <c r="K95" i="65" s="1"/>
  <c r="B96" i="65"/>
  <c r="K96" i="65" s="1"/>
  <c r="B97" i="65"/>
  <c r="K97" i="65" s="1"/>
  <c r="L97" i="65" s="1"/>
  <c r="M97" i="65" s="1"/>
  <c r="N97" i="65" s="1"/>
  <c r="B98" i="65"/>
  <c r="B99" i="65"/>
  <c r="B100" i="65"/>
  <c r="B101" i="65"/>
  <c r="K101" i="65" s="1"/>
  <c r="B102" i="65"/>
  <c r="K102" i="65" s="1"/>
  <c r="B103" i="65"/>
  <c r="K103" i="65" s="1"/>
  <c r="B104" i="65"/>
  <c r="K104" i="65" s="1"/>
  <c r="B105" i="65"/>
  <c r="K105" i="65" s="1"/>
  <c r="L105" i="65" s="1"/>
  <c r="B106" i="65"/>
  <c r="K106" i="65" s="1"/>
  <c r="B107" i="65"/>
  <c r="B108" i="65"/>
  <c r="K108" i="65" s="1"/>
  <c r="B109" i="65"/>
  <c r="B110" i="65"/>
  <c r="K110" i="65" s="1"/>
  <c r="B111" i="65"/>
  <c r="K111" i="65" s="1"/>
  <c r="B112" i="65"/>
  <c r="K112" i="65" s="1"/>
  <c r="B113" i="65"/>
  <c r="K113" i="65" s="1"/>
  <c r="B114" i="65"/>
  <c r="K114" i="65" s="1"/>
  <c r="B115" i="65"/>
  <c r="B116" i="65"/>
  <c r="K116" i="65" s="1"/>
  <c r="B117" i="65"/>
  <c r="K117" i="65" s="1"/>
  <c r="B118" i="65"/>
  <c r="K118" i="65" s="1"/>
  <c r="B119" i="65"/>
  <c r="K119" i="65" s="1"/>
  <c r="L119" i="65" s="1"/>
  <c r="M119" i="65" s="1"/>
  <c r="N119" i="65" s="1"/>
  <c r="B120" i="65"/>
  <c r="K120" i="65" s="1"/>
  <c r="B121" i="65"/>
  <c r="K121" i="65" s="1"/>
  <c r="B122" i="65"/>
  <c r="K122" i="65" s="1"/>
  <c r="B123" i="65"/>
  <c r="B124" i="65"/>
  <c r="B125" i="65"/>
  <c r="B126" i="65"/>
  <c r="K126" i="65" s="1"/>
  <c r="B127" i="65"/>
  <c r="K127" i="65" s="1"/>
  <c r="B128" i="65"/>
  <c r="K128" i="65" s="1"/>
  <c r="B28" i="65"/>
  <c r="C28" i="65" s="1"/>
  <c r="B54" i="63" l="1"/>
  <c r="B56" i="63"/>
  <c r="B63" i="63"/>
  <c r="B62" i="63"/>
  <c r="B59" i="63"/>
  <c r="B61" i="63"/>
  <c r="B55" i="63"/>
  <c r="B53" i="63"/>
  <c r="B60" i="63"/>
  <c r="B58" i="63"/>
  <c r="B57" i="63"/>
  <c r="E681" i="82"/>
  <c r="H689" i="82"/>
  <c r="R689" i="82"/>
  <c r="W689" i="82"/>
  <c r="C689" i="82"/>
  <c r="M689" i="82"/>
  <c r="C693" i="82"/>
  <c r="H693" i="82"/>
  <c r="R693" i="82"/>
  <c r="W693" i="82"/>
  <c r="M693" i="82"/>
  <c r="AY699" i="82"/>
  <c r="BI699" i="82"/>
  <c r="BS699" i="82"/>
  <c r="BN699" i="82"/>
  <c r="BD699" i="82"/>
  <c r="BD691" i="82"/>
  <c r="AY691" i="82"/>
  <c r="BS691" i="82"/>
  <c r="BI691" i="82"/>
  <c r="BN691" i="82"/>
  <c r="BI683" i="82"/>
  <c r="BS683" i="82"/>
  <c r="AY683" i="82"/>
  <c r="BN683" i="82"/>
  <c r="BD683" i="82"/>
  <c r="BK688" i="82"/>
  <c r="BT688" i="82"/>
  <c r="BF688" i="82"/>
  <c r="BP688" i="82"/>
  <c r="X707" i="82"/>
  <c r="T707" i="82"/>
  <c r="O707" i="82"/>
  <c r="J707" i="82"/>
  <c r="J700" i="82"/>
  <c r="T700" i="82"/>
  <c r="X700" i="82"/>
  <c r="O700" i="82"/>
  <c r="X694" i="82"/>
  <c r="O694" i="82"/>
  <c r="T694" i="82"/>
  <c r="J694" i="82"/>
  <c r="BK710" i="82"/>
  <c r="BT710" i="82"/>
  <c r="BP710" i="82"/>
  <c r="BF710" i="82"/>
  <c r="BK695" i="82"/>
  <c r="BT695" i="82"/>
  <c r="BF695" i="82"/>
  <c r="BP695" i="82"/>
  <c r="BP712" i="82"/>
  <c r="BF712" i="82"/>
  <c r="BK712" i="82"/>
  <c r="BT712" i="82"/>
  <c r="W697" i="82"/>
  <c r="C697" i="82"/>
  <c r="R697" i="82"/>
  <c r="H697" i="82"/>
  <c r="M697" i="82"/>
  <c r="R687" i="82"/>
  <c r="M687" i="82"/>
  <c r="C687" i="82"/>
  <c r="H687" i="82"/>
  <c r="W687" i="82"/>
  <c r="BS682" i="82"/>
  <c r="BD682" i="82"/>
  <c r="BN682" i="82"/>
  <c r="BI682" i="82"/>
  <c r="AY682" i="82"/>
  <c r="J683" i="82"/>
  <c r="O683" i="82"/>
  <c r="X683" i="82"/>
  <c r="T683" i="82"/>
  <c r="T703" i="82"/>
  <c r="X703" i="82"/>
  <c r="O703" i="82"/>
  <c r="J703" i="82"/>
  <c r="J696" i="82"/>
  <c r="T696" i="82"/>
  <c r="X696" i="82"/>
  <c r="O696" i="82"/>
  <c r="X713" i="82"/>
  <c r="J713" i="82"/>
  <c r="T713" i="82"/>
  <c r="O713" i="82"/>
  <c r="BT706" i="82"/>
  <c r="BK706" i="82"/>
  <c r="BP706" i="82"/>
  <c r="BF706" i="82"/>
  <c r="BP691" i="82"/>
  <c r="BF691" i="82"/>
  <c r="BK691" i="82"/>
  <c r="BT691" i="82"/>
  <c r="BU691" i="82" s="1"/>
  <c r="BK708" i="82"/>
  <c r="BT708" i="82"/>
  <c r="BF708" i="82"/>
  <c r="BP708" i="82"/>
  <c r="W699" i="82"/>
  <c r="M699" i="82"/>
  <c r="H699" i="82"/>
  <c r="R699" i="82"/>
  <c r="C699" i="82"/>
  <c r="R691" i="82"/>
  <c r="C691" i="82"/>
  <c r="M691" i="82"/>
  <c r="H691" i="82"/>
  <c r="W691" i="82"/>
  <c r="BS697" i="82"/>
  <c r="BI697" i="82"/>
  <c r="BN697" i="82"/>
  <c r="AY697" i="82"/>
  <c r="BD697" i="82"/>
  <c r="O684" i="82"/>
  <c r="T684" i="82"/>
  <c r="X684" i="82"/>
  <c r="J684" i="82"/>
  <c r="O682" i="82"/>
  <c r="J682" i="82"/>
  <c r="X682" i="82"/>
  <c r="T682" i="82"/>
  <c r="X687" i="82"/>
  <c r="J687" i="82"/>
  <c r="O687" i="82"/>
  <c r="T687" i="82"/>
  <c r="O699" i="82"/>
  <c r="X699" i="82"/>
  <c r="J699" i="82"/>
  <c r="T699" i="82"/>
  <c r="O692" i="82"/>
  <c r="T692" i="82"/>
  <c r="J692" i="82"/>
  <c r="X692" i="82"/>
  <c r="J709" i="82"/>
  <c r="O709" i="82"/>
  <c r="T709" i="82"/>
  <c r="X709" i="82"/>
  <c r="BP702" i="82"/>
  <c r="BF702" i="82"/>
  <c r="BT702" i="82"/>
  <c r="BK702" i="82"/>
  <c r="BT713" i="82"/>
  <c r="BF713" i="82"/>
  <c r="BP713" i="82"/>
  <c r="BK713" i="82"/>
  <c r="BT704" i="82"/>
  <c r="BK704" i="82"/>
  <c r="BP704" i="82"/>
  <c r="BF704" i="82"/>
  <c r="R698" i="82"/>
  <c r="C698" i="82"/>
  <c r="M698" i="82"/>
  <c r="H698" i="82"/>
  <c r="W698" i="82"/>
  <c r="M690" i="82"/>
  <c r="C690" i="82"/>
  <c r="R690" i="82"/>
  <c r="H690" i="82"/>
  <c r="W690" i="82"/>
  <c r="BI688" i="82"/>
  <c r="AY688" i="82"/>
  <c r="BD688" i="82"/>
  <c r="BS688" i="82"/>
  <c r="BN688" i="82"/>
  <c r="T685" i="82"/>
  <c r="J685" i="82"/>
  <c r="X685" i="82"/>
  <c r="O685" i="82"/>
  <c r="O688" i="82"/>
  <c r="T688" i="82"/>
  <c r="J688" i="82"/>
  <c r="X688" i="82"/>
  <c r="T695" i="82"/>
  <c r="X695" i="82"/>
  <c r="J695" i="82"/>
  <c r="O695" i="82"/>
  <c r="O714" i="82"/>
  <c r="X714" i="82"/>
  <c r="T714" i="82"/>
  <c r="J714" i="82"/>
  <c r="T705" i="82"/>
  <c r="O705" i="82"/>
  <c r="X705" i="82"/>
  <c r="J705" i="82"/>
  <c r="BF698" i="82"/>
  <c r="BP698" i="82"/>
  <c r="BK698" i="82"/>
  <c r="BT698" i="82"/>
  <c r="BP709" i="82"/>
  <c r="BT709" i="82"/>
  <c r="BK709" i="82"/>
  <c r="BF709" i="82"/>
  <c r="BK700" i="82"/>
  <c r="BF700" i="82"/>
  <c r="BP700" i="82"/>
  <c r="BT700" i="82"/>
  <c r="BS695" i="82"/>
  <c r="BD695" i="82"/>
  <c r="AY695" i="82"/>
  <c r="BN695" i="82"/>
  <c r="BI695" i="82"/>
  <c r="BD687" i="82"/>
  <c r="BN687" i="82"/>
  <c r="AY687" i="82"/>
  <c r="BS687" i="82"/>
  <c r="BI687" i="82"/>
  <c r="G681" i="82"/>
  <c r="BK690" i="82"/>
  <c r="BP690" i="82"/>
  <c r="BF690" i="82"/>
  <c r="BT690" i="82"/>
  <c r="X690" i="82"/>
  <c r="O690" i="82"/>
  <c r="J690" i="82"/>
  <c r="T690" i="82"/>
  <c r="BK685" i="82"/>
  <c r="BT685" i="82"/>
  <c r="BF685" i="82"/>
  <c r="BP685" i="82"/>
  <c r="J691" i="82"/>
  <c r="X691" i="82"/>
  <c r="Y691" i="82" s="1"/>
  <c r="T691" i="82"/>
  <c r="O691" i="82"/>
  <c r="O710" i="82"/>
  <c r="T710" i="82"/>
  <c r="J710" i="82"/>
  <c r="X710" i="82"/>
  <c r="J701" i="82"/>
  <c r="O701" i="82"/>
  <c r="X701" i="82"/>
  <c r="T701" i="82"/>
  <c r="BK682" i="82"/>
  <c r="BT682" i="82"/>
  <c r="BP682" i="82"/>
  <c r="BF682" i="82"/>
  <c r="BF694" i="82"/>
  <c r="BK694" i="82"/>
  <c r="BP694" i="82"/>
  <c r="BT694" i="82"/>
  <c r="BT705" i="82"/>
  <c r="BF705" i="82"/>
  <c r="BP705" i="82"/>
  <c r="BK705" i="82"/>
  <c r="BP696" i="82"/>
  <c r="BF696" i="82"/>
  <c r="BK696" i="82"/>
  <c r="BT696" i="82"/>
  <c r="AY686" i="82"/>
  <c r="BI686" i="82"/>
  <c r="BN686" i="82"/>
  <c r="BD686" i="82"/>
  <c r="BS686" i="82"/>
  <c r="BT686" i="82"/>
  <c r="BK686" i="82"/>
  <c r="BF686" i="82"/>
  <c r="BP686" i="82"/>
  <c r="X686" i="82"/>
  <c r="T686" i="82"/>
  <c r="O686" i="82"/>
  <c r="J686" i="82"/>
  <c r="BT684" i="82"/>
  <c r="BK684" i="82"/>
  <c r="BP684" i="82"/>
  <c r="BF684" i="82"/>
  <c r="X712" i="82"/>
  <c r="O712" i="82"/>
  <c r="J712" i="82"/>
  <c r="T712" i="82"/>
  <c r="O706" i="82"/>
  <c r="J706" i="82"/>
  <c r="T706" i="82"/>
  <c r="X706" i="82"/>
  <c r="O697" i="82"/>
  <c r="X697" i="82"/>
  <c r="J697" i="82"/>
  <c r="T697" i="82"/>
  <c r="BP683" i="82"/>
  <c r="BT683" i="82"/>
  <c r="BF683" i="82"/>
  <c r="BK683" i="82"/>
  <c r="BF707" i="82"/>
  <c r="BP707" i="82"/>
  <c r="BT707" i="82"/>
  <c r="BK707" i="82"/>
  <c r="BP701" i="82"/>
  <c r="BF701" i="82"/>
  <c r="BK701" i="82"/>
  <c r="BT701" i="82"/>
  <c r="BP692" i="82"/>
  <c r="BK692" i="82"/>
  <c r="BF692" i="82"/>
  <c r="BT692" i="82"/>
  <c r="BT687" i="82"/>
  <c r="BU687" i="82" s="1"/>
  <c r="BK687" i="82"/>
  <c r="BF687" i="82"/>
  <c r="BP687" i="82"/>
  <c r="X689" i="82"/>
  <c r="O689" i="82"/>
  <c r="J689" i="82"/>
  <c r="T689" i="82"/>
  <c r="X708" i="82"/>
  <c r="O708" i="82"/>
  <c r="J708" i="82"/>
  <c r="T708" i="82"/>
  <c r="O702" i="82"/>
  <c r="J702" i="82"/>
  <c r="X702" i="82"/>
  <c r="T702" i="82"/>
  <c r="T693" i="82"/>
  <c r="J693" i="82"/>
  <c r="X693" i="82"/>
  <c r="Y693" i="82" s="1"/>
  <c r="O693" i="82"/>
  <c r="BT711" i="82"/>
  <c r="BP711" i="82"/>
  <c r="BK711" i="82"/>
  <c r="BF711" i="82"/>
  <c r="BP703" i="82"/>
  <c r="BT703" i="82"/>
  <c r="BK703" i="82"/>
  <c r="BF703" i="82"/>
  <c r="BT697" i="82"/>
  <c r="BK697" i="82"/>
  <c r="BP697" i="82"/>
  <c r="BF697" i="82"/>
  <c r="BF689" i="82"/>
  <c r="BP689" i="82"/>
  <c r="BT689" i="82"/>
  <c r="BK689" i="82"/>
  <c r="T711" i="82"/>
  <c r="X711" i="82"/>
  <c r="O711" i="82"/>
  <c r="J711" i="82"/>
  <c r="X704" i="82"/>
  <c r="J704" i="82"/>
  <c r="T704" i="82"/>
  <c r="O704" i="82"/>
  <c r="T698" i="82"/>
  <c r="J698" i="82"/>
  <c r="O698" i="82"/>
  <c r="X698" i="82"/>
  <c r="BF714" i="82"/>
  <c r="BP714" i="82"/>
  <c r="BK714" i="82"/>
  <c r="BT714" i="82"/>
  <c r="BP699" i="82"/>
  <c r="BK699" i="82"/>
  <c r="BT699" i="82"/>
  <c r="BF699" i="82"/>
  <c r="BK693" i="82"/>
  <c r="BP693" i="82"/>
  <c r="BF693" i="82"/>
  <c r="BT693" i="82"/>
  <c r="AI573" i="82"/>
  <c r="B574" i="82"/>
  <c r="AM573" i="82"/>
  <c r="AV573" i="82"/>
  <c r="AE573" i="82"/>
  <c r="AQ573" i="82"/>
  <c r="T685" i="72"/>
  <c r="O685" i="72"/>
  <c r="BT685" i="72"/>
  <c r="BF709" i="72"/>
  <c r="BP685" i="72"/>
  <c r="BF685" i="72"/>
  <c r="X685" i="72"/>
  <c r="BK685" i="72"/>
  <c r="J685" i="72"/>
  <c r="C37" i="63"/>
  <c r="C47" i="63"/>
  <c r="C33" i="63"/>
  <c r="C52" i="63"/>
  <c r="C43" i="63"/>
  <c r="C25" i="63"/>
  <c r="C29" i="63"/>
  <c r="C48" i="63"/>
  <c r="E710" i="72" s="1"/>
  <c r="C39" i="63"/>
  <c r="C30" i="63"/>
  <c r="C26" i="63"/>
  <c r="C50" i="63"/>
  <c r="C44" i="63"/>
  <c r="C35" i="63"/>
  <c r="C28" i="63"/>
  <c r="C46" i="63"/>
  <c r="C40" i="63"/>
  <c r="C31" i="63"/>
  <c r="C21" i="63"/>
  <c r="C24" i="63"/>
  <c r="C49" i="63"/>
  <c r="C42" i="63"/>
  <c r="C36" i="63"/>
  <c r="C22" i="63"/>
  <c r="C20" i="63"/>
  <c r="C27" i="63"/>
  <c r="C45" i="63"/>
  <c r="C38" i="63"/>
  <c r="C32" i="63"/>
  <c r="C23" i="63"/>
  <c r="C41" i="63"/>
  <c r="C34" i="63"/>
  <c r="C51" i="63"/>
  <c r="D2" i="63"/>
  <c r="D53" i="63"/>
  <c r="D61" i="63"/>
  <c r="D60" i="63"/>
  <c r="D59" i="63"/>
  <c r="D58" i="63"/>
  <c r="D57" i="63"/>
  <c r="D56" i="63"/>
  <c r="D55" i="63"/>
  <c r="D63" i="63"/>
  <c r="D54" i="63"/>
  <c r="D62" i="63"/>
  <c r="D21" i="63"/>
  <c r="D20" i="63"/>
  <c r="T724" i="72"/>
  <c r="X684" i="72"/>
  <c r="BA726" i="72"/>
  <c r="BA751" i="72"/>
  <c r="BA760" i="72"/>
  <c r="E682" i="72"/>
  <c r="BA762" i="72"/>
  <c r="BA753" i="72"/>
  <c r="BA758" i="72"/>
  <c r="E747" i="72"/>
  <c r="E752" i="72"/>
  <c r="E731" i="72"/>
  <c r="BA765" i="72"/>
  <c r="E739" i="72"/>
  <c r="BA757" i="72"/>
  <c r="BA731" i="72"/>
  <c r="BF697" i="72"/>
  <c r="E758" i="72"/>
  <c r="BA750" i="72"/>
  <c r="E732" i="72"/>
  <c r="E756" i="72"/>
  <c r="BA759" i="72"/>
  <c r="E681" i="72"/>
  <c r="G681" i="72" s="1"/>
  <c r="BT697" i="72"/>
  <c r="E750" i="72"/>
  <c r="BA740" i="72"/>
  <c r="E741" i="72"/>
  <c r="E766" i="72"/>
  <c r="E755" i="72"/>
  <c r="T698" i="72"/>
  <c r="J698" i="72"/>
  <c r="X698" i="72"/>
  <c r="BK701" i="72"/>
  <c r="E745" i="72"/>
  <c r="J684" i="72"/>
  <c r="T704" i="72"/>
  <c r="O692" i="72"/>
  <c r="X718" i="72"/>
  <c r="J708" i="72"/>
  <c r="E734" i="72"/>
  <c r="BT725" i="72"/>
  <c r="O716" i="72"/>
  <c r="BA735" i="72"/>
  <c r="O702" i="72"/>
  <c r="BA730" i="72"/>
  <c r="E685" i="72"/>
  <c r="E751" i="72"/>
  <c r="E740" i="72"/>
  <c r="BA749" i="72"/>
  <c r="K155" i="65"/>
  <c r="L155" i="65" s="1"/>
  <c r="M155" i="65" s="1"/>
  <c r="O706" i="72"/>
  <c r="BA728" i="72"/>
  <c r="E735" i="72"/>
  <c r="BP697" i="72"/>
  <c r="BA752" i="72"/>
  <c r="BA756" i="72"/>
  <c r="E726" i="72"/>
  <c r="F119" i="65"/>
  <c r="C161" i="65"/>
  <c r="F63" i="65"/>
  <c r="C160" i="65"/>
  <c r="K225" i="65"/>
  <c r="L225" i="65" s="1"/>
  <c r="M225" i="65" s="1"/>
  <c r="N225" i="65" s="1"/>
  <c r="F225" i="65" s="1"/>
  <c r="C144" i="65"/>
  <c r="D144" i="65" s="1"/>
  <c r="K193" i="65"/>
  <c r="L193" i="65" s="1"/>
  <c r="M193" i="65" s="1"/>
  <c r="N193" i="65" s="1"/>
  <c r="F193" i="65" s="1"/>
  <c r="M49" i="65"/>
  <c r="N49" i="65" s="1"/>
  <c r="C40" i="65"/>
  <c r="E40" i="65" s="1"/>
  <c r="E733" i="72"/>
  <c r="E683" i="72"/>
  <c r="K138" i="65"/>
  <c r="L138" i="65" s="1"/>
  <c r="M138" i="65" s="1"/>
  <c r="N138" i="65" s="1"/>
  <c r="C141" i="65"/>
  <c r="E141" i="65" s="1"/>
  <c r="T706" i="72"/>
  <c r="K137" i="65"/>
  <c r="L137" i="65" s="1"/>
  <c r="M137" i="65" s="1"/>
  <c r="N137" i="65" s="1"/>
  <c r="BP701" i="72"/>
  <c r="K154" i="65"/>
  <c r="L154" i="65" s="1"/>
  <c r="M154" i="65" s="1"/>
  <c r="N154" i="65" s="1"/>
  <c r="C157" i="65"/>
  <c r="BT684" i="72"/>
  <c r="BK697" i="72"/>
  <c r="C49" i="65"/>
  <c r="K153" i="65"/>
  <c r="L153" i="65" s="1"/>
  <c r="M153" i="65" s="1"/>
  <c r="N153" i="65" s="1"/>
  <c r="E730" i="72"/>
  <c r="J704" i="72"/>
  <c r="BT721" i="72"/>
  <c r="N228" i="65"/>
  <c r="F228" i="65" s="1"/>
  <c r="N212" i="65"/>
  <c r="F212" i="65" s="1"/>
  <c r="N196" i="65"/>
  <c r="F196" i="65" s="1"/>
  <c r="N180" i="65"/>
  <c r="F180" i="65" s="1"/>
  <c r="K136" i="65"/>
  <c r="L136" i="65" s="1"/>
  <c r="M136" i="65" s="1"/>
  <c r="K147" i="65"/>
  <c r="L147" i="65" s="1"/>
  <c r="M147" i="65" s="1"/>
  <c r="N147" i="65" s="1"/>
  <c r="F147" i="65" s="1"/>
  <c r="G147" i="65" s="1"/>
  <c r="H147" i="65" s="1"/>
  <c r="F234" i="65"/>
  <c r="C152" i="65"/>
  <c r="F79" i="65"/>
  <c r="K143" i="65"/>
  <c r="L143" i="65" s="1"/>
  <c r="M143" i="65" s="1"/>
  <c r="N143" i="65" s="1"/>
  <c r="F143" i="65" s="1"/>
  <c r="G143" i="65" s="1"/>
  <c r="C165" i="65"/>
  <c r="C145" i="65"/>
  <c r="E145" i="65" s="1"/>
  <c r="BP713" i="72"/>
  <c r="L139" i="65"/>
  <c r="M139" i="65" s="1"/>
  <c r="O690" i="72"/>
  <c r="L116" i="65"/>
  <c r="M116" i="65" s="1"/>
  <c r="N116" i="65" s="1"/>
  <c r="F116" i="65" s="1"/>
  <c r="K203" i="65"/>
  <c r="L203" i="65" s="1"/>
  <c r="M203" i="65" s="1"/>
  <c r="N203" i="65" s="1"/>
  <c r="F203" i="65" s="1"/>
  <c r="BK721" i="72"/>
  <c r="M161" i="65"/>
  <c r="K164" i="65"/>
  <c r="L164" i="65" s="1"/>
  <c r="M164" i="65" s="1"/>
  <c r="L151" i="65"/>
  <c r="M151" i="65" s="1"/>
  <c r="N151" i="65" s="1"/>
  <c r="F151" i="65" s="1"/>
  <c r="G151" i="65" s="1"/>
  <c r="BT701" i="72"/>
  <c r="X724" i="72"/>
  <c r="BF721" i="72"/>
  <c r="L219" i="65"/>
  <c r="M219" i="65" s="1"/>
  <c r="N219" i="65" s="1"/>
  <c r="F219" i="65" s="1"/>
  <c r="L187" i="65"/>
  <c r="M187" i="65" s="1"/>
  <c r="N187" i="65" s="1"/>
  <c r="F187" i="65" s="1"/>
  <c r="BA733" i="72"/>
  <c r="BP721" i="72"/>
  <c r="L113" i="65"/>
  <c r="M113" i="65" s="1"/>
  <c r="N113" i="65" s="1"/>
  <c r="K171" i="65"/>
  <c r="L171" i="65" s="1"/>
  <c r="M171" i="65" s="1"/>
  <c r="K146" i="65"/>
  <c r="L146" i="65" s="1"/>
  <c r="M146" i="65" s="1"/>
  <c r="N146" i="65" s="1"/>
  <c r="F232" i="65"/>
  <c r="BF713" i="72"/>
  <c r="T683" i="72"/>
  <c r="BA736" i="72"/>
  <c r="BA755" i="72"/>
  <c r="F12" i="63"/>
  <c r="F11" i="63"/>
  <c r="F10" i="63"/>
  <c r="F9" i="63"/>
  <c r="F8" i="63"/>
  <c r="H19" i="63" s="1"/>
  <c r="O698" i="72"/>
  <c r="X710" i="72"/>
  <c r="E746" i="72"/>
  <c r="BA729" i="72"/>
  <c r="BF717" i="72"/>
  <c r="J716" i="72"/>
  <c r="J710" i="72"/>
  <c r="X706" i="72"/>
  <c r="BK725" i="72"/>
  <c r="BA727" i="72"/>
  <c r="O710" i="72"/>
  <c r="J706" i="72"/>
  <c r="X716" i="72"/>
  <c r="O704" i="72"/>
  <c r="BP725" i="72"/>
  <c r="T710" i="72"/>
  <c r="T684" i="72"/>
  <c r="J724" i="72"/>
  <c r="BT713" i="72"/>
  <c r="J714" i="72"/>
  <c r="T708" i="72"/>
  <c r="E742" i="72"/>
  <c r="J718" i="72"/>
  <c r="J683" i="72"/>
  <c r="BK684" i="72"/>
  <c r="X708" i="72"/>
  <c r="BA754" i="72"/>
  <c r="O718" i="72"/>
  <c r="X683" i="72"/>
  <c r="O683" i="72"/>
  <c r="O712" i="72"/>
  <c r="X692" i="72"/>
  <c r="X714" i="72"/>
  <c r="BF705" i="72"/>
  <c r="E761" i="72"/>
  <c r="BA732" i="72"/>
  <c r="BK717" i="72"/>
  <c r="BA763" i="72"/>
  <c r="E738" i="72"/>
  <c r="BK705" i="72"/>
  <c r="T692" i="72"/>
  <c r="BT717" i="72"/>
  <c r="BF684" i="72"/>
  <c r="BT705" i="72"/>
  <c r="O714" i="72"/>
  <c r="T702" i="72"/>
  <c r="BP705" i="72"/>
  <c r="J692" i="72"/>
  <c r="X696" i="72"/>
  <c r="T716" i="72"/>
  <c r="BP717" i="72"/>
  <c r="BP684" i="72"/>
  <c r="T722" i="72"/>
  <c r="T714" i="72"/>
  <c r="T712" i="72"/>
  <c r="BA734" i="72"/>
  <c r="E728" i="72"/>
  <c r="T690" i="72"/>
  <c r="J700" i="72"/>
  <c r="J722" i="72"/>
  <c r="O696" i="72"/>
  <c r="J688" i="72"/>
  <c r="J712" i="72"/>
  <c r="BA764" i="72"/>
  <c r="J702" i="72"/>
  <c r="O725" i="72"/>
  <c r="X725" i="72"/>
  <c r="J725" i="72"/>
  <c r="T725" i="72"/>
  <c r="O695" i="72"/>
  <c r="T695" i="72"/>
  <c r="X695" i="72"/>
  <c r="J695" i="72"/>
  <c r="X697" i="72"/>
  <c r="T697" i="72"/>
  <c r="O697" i="72"/>
  <c r="J697" i="72"/>
  <c r="BT702" i="72"/>
  <c r="BP702" i="72"/>
  <c r="BF702" i="72"/>
  <c r="BK702" i="72"/>
  <c r="BP706" i="72"/>
  <c r="BF706" i="72"/>
  <c r="BK706" i="72"/>
  <c r="BT706" i="72"/>
  <c r="BP716" i="72"/>
  <c r="BF716" i="72"/>
  <c r="BK716" i="72"/>
  <c r="BT716" i="72"/>
  <c r="E763" i="72"/>
  <c r="BP687" i="72"/>
  <c r="BT687" i="72"/>
  <c r="BK687" i="72"/>
  <c r="BF687" i="72"/>
  <c r="J689" i="72"/>
  <c r="T689" i="72"/>
  <c r="O689" i="72"/>
  <c r="X689" i="72"/>
  <c r="O703" i="72"/>
  <c r="X703" i="72"/>
  <c r="T703" i="72"/>
  <c r="J703" i="72"/>
  <c r="O721" i="72"/>
  <c r="X721" i="72"/>
  <c r="T721" i="72"/>
  <c r="J721" i="72"/>
  <c r="BF692" i="72"/>
  <c r="BP692" i="72"/>
  <c r="BT692" i="72"/>
  <c r="BK692" i="72"/>
  <c r="BF700" i="72"/>
  <c r="BP700" i="72"/>
  <c r="BK700" i="72"/>
  <c r="BT700" i="72"/>
  <c r="BP704" i="72"/>
  <c r="BF704" i="72"/>
  <c r="BT704" i="72"/>
  <c r="BK704" i="72"/>
  <c r="BT686" i="72"/>
  <c r="BP686" i="72"/>
  <c r="BF686" i="72"/>
  <c r="BK686" i="72"/>
  <c r="O708" i="72"/>
  <c r="BA743" i="72"/>
  <c r="T718" i="72"/>
  <c r="E737" i="72"/>
  <c r="O688" i="72"/>
  <c r="E729" i="72"/>
  <c r="BT683" i="72"/>
  <c r="BF683" i="72"/>
  <c r="BK683" i="72"/>
  <c r="BP683" i="72"/>
  <c r="J715" i="72"/>
  <c r="T715" i="72"/>
  <c r="O715" i="72"/>
  <c r="X715" i="72"/>
  <c r="O713" i="72"/>
  <c r="X713" i="72"/>
  <c r="J713" i="72"/>
  <c r="T713" i="72"/>
  <c r="BP722" i="72"/>
  <c r="BF722" i="72"/>
  <c r="BK722" i="72"/>
  <c r="BT722" i="72"/>
  <c r="BT694" i="72"/>
  <c r="BK694" i="72"/>
  <c r="BP694" i="72"/>
  <c r="BF694" i="72"/>
  <c r="BK698" i="72"/>
  <c r="BT698" i="72"/>
  <c r="BF698" i="72"/>
  <c r="BP698" i="72"/>
  <c r="BK690" i="72"/>
  <c r="BP690" i="72"/>
  <c r="BT690" i="72"/>
  <c r="BF690" i="72"/>
  <c r="T700" i="72"/>
  <c r="T688" i="72"/>
  <c r="BK682" i="72"/>
  <c r="BT682" i="72"/>
  <c r="BP682" i="72"/>
  <c r="BF682" i="72"/>
  <c r="J701" i="72"/>
  <c r="T701" i="72"/>
  <c r="X701" i="72"/>
  <c r="O701" i="72"/>
  <c r="J723" i="72"/>
  <c r="T723" i="72"/>
  <c r="X723" i="72"/>
  <c r="O723" i="72"/>
  <c r="BP696" i="72"/>
  <c r="BK696" i="72"/>
  <c r="BT696" i="72"/>
  <c r="BF696" i="72"/>
  <c r="BK712" i="72"/>
  <c r="BF712" i="72"/>
  <c r="BP712" i="72"/>
  <c r="BT712" i="72"/>
  <c r="BK691" i="72"/>
  <c r="BT691" i="72"/>
  <c r="BF691" i="72"/>
  <c r="BP691" i="72"/>
  <c r="BP688" i="72"/>
  <c r="BK688" i="72"/>
  <c r="BF688" i="72"/>
  <c r="BT688" i="72"/>
  <c r="J690" i="72"/>
  <c r="X700" i="72"/>
  <c r="X722" i="72"/>
  <c r="BA745" i="72"/>
  <c r="T696" i="72"/>
  <c r="X688" i="72"/>
  <c r="X712" i="72"/>
  <c r="X702" i="72"/>
  <c r="O693" i="72"/>
  <c r="J693" i="72"/>
  <c r="X693" i="72"/>
  <c r="T693" i="72"/>
  <c r="T707" i="72"/>
  <c r="J707" i="72"/>
  <c r="O707" i="72"/>
  <c r="X707" i="72"/>
  <c r="T691" i="72"/>
  <c r="J691" i="72"/>
  <c r="O691" i="72"/>
  <c r="X691" i="72"/>
  <c r="BT715" i="72"/>
  <c r="BK715" i="72"/>
  <c r="BF715" i="72"/>
  <c r="BP715" i="72"/>
  <c r="BK695" i="72"/>
  <c r="BT695" i="72"/>
  <c r="BP695" i="72"/>
  <c r="BF695" i="72"/>
  <c r="BT699" i="72"/>
  <c r="BP699" i="72"/>
  <c r="BF699" i="72"/>
  <c r="BK699" i="72"/>
  <c r="BK710" i="72"/>
  <c r="BP710" i="72"/>
  <c r="BF710" i="72"/>
  <c r="BT710" i="72"/>
  <c r="BT689" i="72"/>
  <c r="BK689" i="72"/>
  <c r="BP689" i="72"/>
  <c r="BF689" i="72"/>
  <c r="X686" i="72"/>
  <c r="J686" i="72"/>
  <c r="T686" i="72"/>
  <c r="O686" i="72"/>
  <c r="X690" i="72"/>
  <c r="O700" i="72"/>
  <c r="O722" i="72"/>
  <c r="J696" i="72"/>
  <c r="T705" i="72"/>
  <c r="O705" i="72"/>
  <c r="X705" i="72"/>
  <c r="J705" i="72"/>
  <c r="O719" i="72"/>
  <c r="T719" i="72"/>
  <c r="X719" i="72"/>
  <c r="J719" i="72"/>
  <c r="T694" i="72"/>
  <c r="O694" i="72"/>
  <c r="X694" i="72"/>
  <c r="J694" i="72"/>
  <c r="BT708" i="72"/>
  <c r="BK708" i="72"/>
  <c r="BP708" i="72"/>
  <c r="BF708" i="72"/>
  <c r="BP720" i="72"/>
  <c r="BF720" i="72"/>
  <c r="BK720" i="72"/>
  <c r="BT720" i="72"/>
  <c r="BF724" i="72"/>
  <c r="BT724" i="72"/>
  <c r="BP724" i="72"/>
  <c r="BK724" i="72"/>
  <c r="BK703" i="72"/>
  <c r="BF703" i="72"/>
  <c r="BP703" i="72"/>
  <c r="BT703" i="72"/>
  <c r="J699" i="72"/>
  <c r="T699" i="72"/>
  <c r="O699" i="72"/>
  <c r="X699" i="72"/>
  <c r="X717" i="72"/>
  <c r="O717" i="72"/>
  <c r="T717" i="72"/>
  <c r="J717" i="72"/>
  <c r="BF707" i="72"/>
  <c r="BP707" i="72"/>
  <c r="BK707" i="72"/>
  <c r="BT707" i="72"/>
  <c r="BP714" i="72"/>
  <c r="BT714" i="72"/>
  <c r="BK714" i="72"/>
  <c r="BF714" i="72"/>
  <c r="BP718" i="72"/>
  <c r="BK718" i="72"/>
  <c r="BT718" i="72"/>
  <c r="BF718" i="72"/>
  <c r="BK693" i="72"/>
  <c r="BF693" i="72"/>
  <c r="BP693" i="72"/>
  <c r="BT693" i="72"/>
  <c r="T709" i="72"/>
  <c r="O709" i="72"/>
  <c r="X709" i="72"/>
  <c r="J709" i="72"/>
  <c r="O711" i="72"/>
  <c r="T711" i="72"/>
  <c r="X711" i="72"/>
  <c r="J711" i="72"/>
  <c r="BT711" i="72"/>
  <c r="BK711" i="72"/>
  <c r="BF711" i="72"/>
  <c r="BP711" i="72"/>
  <c r="BT719" i="72"/>
  <c r="BP719" i="72"/>
  <c r="BF719" i="72"/>
  <c r="BK719" i="72"/>
  <c r="BT723" i="72"/>
  <c r="BK723" i="72"/>
  <c r="BF723" i="72"/>
  <c r="BP723" i="72"/>
  <c r="BI687" i="72"/>
  <c r="BD687" i="72"/>
  <c r="BN687" i="72"/>
  <c r="BS687" i="72"/>
  <c r="AY687" i="72"/>
  <c r="N177" i="65"/>
  <c r="F177" i="65" s="1"/>
  <c r="N220" i="65"/>
  <c r="F220" i="65" s="1"/>
  <c r="N204" i="65"/>
  <c r="F204" i="65" s="1"/>
  <c r="N188" i="65"/>
  <c r="F188" i="65" s="1"/>
  <c r="N172" i="65"/>
  <c r="F172" i="65" s="1"/>
  <c r="BD697" i="72"/>
  <c r="BN697" i="72"/>
  <c r="BS697" i="72"/>
  <c r="AY697" i="72"/>
  <c r="BI697" i="72"/>
  <c r="N156" i="65"/>
  <c r="F156" i="65" s="1"/>
  <c r="G156" i="65" s="1"/>
  <c r="N148" i="65"/>
  <c r="F148" i="65" s="1"/>
  <c r="G148" i="65" s="1"/>
  <c r="N140" i="65"/>
  <c r="F140" i="65" s="1"/>
  <c r="G140" i="65" s="1"/>
  <c r="H140" i="65" s="1"/>
  <c r="N227" i="65"/>
  <c r="F227" i="65" s="1"/>
  <c r="N195" i="65"/>
  <c r="F195" i="65" s="1"/>
  <c r="N179" i="65"/>
  <c r="F179" i="65" s="1"/>
  <c r="N163" i="65"/>
  <c r="F163" i="65" s="1"/>
  <c r="G163" i="65" s="1"/>
  <c r="N226" i="65"/>
  <c r="F226" i="65" s="1"/>
  <c r="N178" i="65"/>
  <c r="F178" i="65" s="1"/>
  <c r="N230" i="65"/>
  <c r="F230" i="65" s="1"/>
  <c r="N222" i="65"/>
  <c r="F222" i="65" s="1"/>
  <c r="N214" i="65"/>
  <c r="F214" i="65" s="1"/>
  <c r="N206" i="65"/>
  <c r="F206" i="65" s="1"/>
  <c r="N198" i="65"/>
  <c r="F198" i="65" s="1"/>
  <c r="N190" i="65"/>
  <c r="F190" i="65" s="1"/>
  <c r="N174" i="65"/>
  <c r="F174" i="65" s="1"/>
  <c r="D166" i="65"/>
  <c r="BN699" i="72"/>
  <c r="BI699" i="72"/>
  <c r="AY699" i="72"/>
  <c r="BD699" i="72"/>
  <c r="BS699" i="72"/>
  <c r="D158" i="65"/>
  <c r="BN691" i="72"/>
  <c r="BI691" i="72"/>
  <c r="BD691" i="72"/>
  <c r="BS691" i="72"/>
  <c r="AY691" i="72"/>
  <c r="E150" i="65"/>
  <c r="BN683" i="72"/>
  <c r="BI683" i="72"/>
  <c r="BD683" i="72"/>
  <c r="AY683" i="72"/>
  <c r="BS683" i="72"/>
  <c r="N209" i="65"/>
  <c r="F209" i="65" s="1"/>
  <c r="N157" i="65"/>
  <c r="F157" i="65" s="1"/>
  <c r="G157" i="65" s="1"/>
  <c r="N141" i="65"/>
  <c r="F141" i="65" s="1"/>
  <c r="G141" i="65" s="1"/>
  <c r="I141" i="65" s="1"/>
  <c r="N211" i="65"/>
  <c r="F211" i="65" s="1"/>
  <c r="D155" i="65"/>
  <c r="BS688" i="72"/>
  <c r="BD688" i="72"/>
  <c r="BI688" i="72"/>
  <c r="AY688" i="72"/>
  <c r="BN688" i="72"/>
  <c r="N210" i="65"/>
  <c r="F210" i="65" s="1"/>
  <c r="N194" i="65"/>
  <c r="F194" i="65" s="1"/>
  <c r="BI695" i="72"/>
  <c r="AY695" i="72"/>
  <c r="BN695" i="72"/>
  <c r="BS695" i="72"/>
  <c r="BD695" i="72"/>
  <c r="E51" i="65"/>
  <c r="N217" i="65"/>
  <c r="F217" i="65" s="1"/>
  <c r="N201" i="65"/>
  <c r="F201" i="65" s="1"/>
  <c r="N185" i="65"/>
  <c r="F185" i="65" s="1"/>
  <c r="N169" i="65"/>
  <c r="F169" i="65" s="1"/>
  <c r="N161" i="65"/>
  <c r="F161" i="65" s="1"/>
  <c r="G161" i="65" s="1"/>
  <c r="N145" i="65"/>
  <c r="F145" i="65" s="1"/>
  <c r="G145" i="65" s="1"/>
  <c r="I145" i="65" s="1"/>
  <c r="N34" i="65"/>
  <c r="F34" i="65" s="1"/>
  <c r="G34" i="65" s="1"/>
  <c r="N152" i="65"/>
  <c r="F152" i="65" s="1"/>
  <c r="G152" i="65" s="1"/>
  <c r="N144" i="65"/>
  <c r="F144" i="65" s="1"/>
  <c r="G144" i="65" s="1"/>
  <c r="H144" i="65" s="1"/>
  <c r="N182" i="65"/>
  <c r="F182" i="65" s="1"/>
  <c r="N231" i="65"/>
  <c r="F231" i="65" s="1"/>
  <c r="N215" i="65"/>
  <c r="F215" i="65" s="1"/>
  <c r="N199" i="65"/>
  <c r="F199" i="65" s="1"/>
  <c r="N183" i="65"/>
  <c r="F183" i="65" s="1"/>
  <c r="N167" i="65"/>
  <c r="F167" i="65" s="1"/>
  <c r="G167" i="65" s="1"/>
  <c r="N159" i="65"/>
  <c r="F159" i="65" s="1"/>
  <c r="G159" i="65" s="1"/>
  <c r="K142" i="65"/>
  <c r="L142" i="65" s="1"/>
  <c r="M142" i="65" s="1"/>
  <c r="K35" i="65"/>
  <c r="L35" i="65" s="1"/>
  <c r="M35" i="65" s="1"/>
  <c r="L221" i="65"/>
  <c r="M221" i="65" s="1"/>
  <c r="L205" i="65"/>
  <c r="M205" i="65" s="1"/>
  <c r="L189" i="65"/>
  <c r="M189" i="65" s="1"/>
  <c r="L173" i="65"/>
  <c r="M173" i="65" s="1"/>
  <c r="K150" i="65"/>
  <c r="L150" i="65" s="1"/>
  <c r="M150" i="65" s="1"/>
  <c r="C140" i="65"/>
  <c r="E140" i="65" s="1"/>
  <c r="K158" i="65"/>
  <c r="L158" i="65" s="1"/>
  <c r="M158" i="65" s="1"/>
  <c r="D50" i="65"/>
  <c r="E48" i="65"/>
  <c r="L84" i="65"/>
  <c r="M84" i="65" s="1"/>
  <c r="C35" i="65"/>
  <c r="D35" i="65" s="1"/>
  <c r="K28" i="65"/>
  <c r="L28" i="65" s="1"/>
  <c r="M28" i="65" s="1"/>
  <c r="C34" i="65"/>
  <c r="D34" i="65" s="1"/>
  <c r="K162" i="65"/>
  <c r="L162" i="65" s="1"/>
  <c r="M162" i="65" s="1"/>
  <c r="K135" i="65"/>
  <c r="L135" i="65" s="1"/>
  <c r="M135" i="65" s="1"/>
  <c r="C167" i="65"/>
  <c r="C163" i="65"/>
  <c r="C159" i="65"/>
  <c r="C151" i="65"/>
  <c r="C143" i="65"/>
  <c r="D143" i="65" s="1"/>
  <c r="C139" i="65"/>
  <c r="D139" i="65" s="1"/>
  <c r="L126" i="65"/>
  <c r="M126" i="65" s="1"/>
  <c r="L110" i="65"/>
  <c r="M110" i="65" s="1"/>
  <c r="L121" i="65"/>
  <c r="M121" i="65" s="1"/>
  <c r="C33" i="65"/>
  <c r="E33" i="65" s="1"/>
  <c r="F97" i="65"/>
  <c r="F81" i="65"/>
  <c r="F57" i="65"/>
  <c r="G57" i="65" s="1"/>
  <c r="F41" i="65"/>
  <c r="G41" i="65" s="1"/>
  <c r="H41" i="65" s="1"/>
  <c r="L233" i="65"/>
  <c r="M233" i="65" s="1"/>
  <c r="K166" i="65"/>
  <c r="L166" i="65" s="1"/>
  <c r="M166" i="65" s="1"/>
  <c r="K149" i="65"/>
  <c r="L149" i="65" s="1"/>
  <c r="M149" i="65" s="1"/>
  <c r="K134" i="65"/>
  <c r="L134" i="65" s="1"/>
  <c r="M134" i="65" s="1"/>
  <c r="H698" i="72"/>
  <c r="E153" i="65"/>
  <c r="BI686" i="72"/>
  <c r="BD686" i="72"/>
  <c r="BS686" i="72"/>
  <c r="AY686" i="72"/>
  <c r="BN686" i="72"/>
  <c r="E149" i="65"/>
  <c r="BI682" i="72"/>
  <c r="BD682" i="72"/>
  <c r="BS682" i="72"/>
  <c r="AY682" i="72"/>
  <c r="BN682" i="72"/>
  <c r="F160" i="65"/>
  <c r="G160" i="65" s="1"/>
  <c r="M89" i="65"/>
  <c r="C156" i="65"/>
  <c r="C148" i="65"/>
  <c r="D148" i="65" s="1"/>
  <c r="L102" i="65"/>
  <c r="M102" i="65" s="1"/>
  <c r="M105" i="65"/>
  <c r="C56" i="65"/>
  <c r="F32" i="65"/>
  <c r="G32" i="65" s="1"/>
  <c r="H32" i="65" s="1"/>
  <c r="L229" i="65"/>
  <c r="M229" i="65" s="1"/>
  <c r="L223" i="65"/>
  <c r="M223" i="65" s="1"/>
  <c r="L213" i="65"/>
  <c r="M213" i="65" s="1"/>
  <c r="L207" i="65"/>
  <c r="M207" i="65" s="1"/>
  <c r="L197" i="65"/>
  <c r="M197" i="65" s="1"/>
  <c r="L191" i="65"/>
  <c r="M191" i="65" s="1"/>
  <c r="L181" i="65"/>
  <c r="M181" i="65" s="1"/>
  <c r="L175" i="65"/>
  <c r="M175" i="65" s="1"/>
  <c r="L165" i="65"/>
  <c r="M165" i="65" s="1"/>
  <c r="W699" i="72"/>
  <c r="D52" i="65"/>
  <c r="D8" i="63"/>
  <c r="D19" i="63" s="1"/>
  <c r="D10" i="63"/>
  <c r="D11" i="63"/>
  <c r="D12" i="63"/>
  <c r="D150" i="65"/>
  <c r="E158" i="65"/>
  <c r="E147" i="65"/>
  <c r="D48" i="65"/>
  <c r="D149" i="65"/>
  <c r="E146" i="65"/>
  <c r="E50" i="65"/>
  <c r="E166" i="65"/>
  <c r="E142" i="65"/>
  <c r="E155" i="65"/>
  <c r="D60" i="65"/>
  <c r="E59" i="65"/>
  <c r="W689" i="72"/>
  <c r="E52" i="65"/>
  <c r="R690" i="72"/>
  <c r="M699" i="72"/>
  <c r="E28" i="65"/>
  <c r="D28" i="65"/>
  <c r="M697" i="72"/>
  <c r="R697" i="72"/>
  <c r="C697" i="72"/>
  <c r="W697" i="72"/>
  <c r="D58" i="65"/>
  <c r="H697" i="72"/>
  <c r="E58" i="65"/>
  <c r="H693" i="72"/>
  <c r="R693" i="72"/>
  <c r="M693" i="72"/>
  <c r="W693" i="72"/>
  <c r="C693" i="72"/>
  <c r="E54" i="65"/>
  <c r="D54" i="65"/>
  <c r="D30" i="65"/>
  <c r="W687" i="72"/>
  <c r="Y687" i="72" s="1"/>
  <c r="H687" i="72"/>
  <c r="R687" i="72"/>
  <c r="C687" i="72"/>
  <c r="E60" i="65"/>
  <c r="D162" i="65"/>
  <c r="E162" i="65"/>
  <c r="R699" i="72"/>
  <c r="C699" i="72"/>
  <c r="H699" i="72"/>
  <c r="R691" i="72"/>
  <c r="C691" i="72"/>
  <c r="W691" i="72"/>
  <c r="H691" i="72"/>
  <c r="M691" i="72"/>
  <c r="C690" i="72"/>
  <c r="M690" i="72"/>
  <c r="W690" i="72"/>
  <c r="H690" i="72"/>
  <c r="D51" i="65"/>
  <c r="M687" i="72"/>
  <c r="C698" i="72"/>
  <c r="M698" i="72"/>
  <c r="R698" i="72"/>
  <c r="W698" i="72"/>
  <c r="D59" i="65"/>
  <c r="M689" i="72"/>
  <c r="H689" i="72"/>
  <c r="C689" i="72"/>
  <c r="R689" i="72"/>
  <c r="D154" i="65"/>
  <c r="E154" i="65"/>
  <c r="D138" i="65"/>
  <c r="E138" i="65"/>
  <c r="E135" i="65"/>
  <c r="D153" i="65"/>
  <c r="D136" i="65"/>
  <c r="E136" i="65"/>
  <c r="D164" i="65"/>
  <c r="E164" i="65"/>
  <c r="D137" i="65"/>
  <c r="E134" i="65"/>
  <c r="K30" i="65"/>
  <c r="L30" i="65" s="1"/>
  <c r="M30" i="65" s="1"/>
  <c r="L127" i="65"/>
  <c r="M127" i="65" s="1"/>
  <c r="L111" i="65"/>
  <c r="M111" i="65" s="1"/>
  <c r="L103" i="65"/>
  <c r="M103" i="65" s="1"/>
  <c r="L94" i="65"/>
  <c r="M94" i="65" s="1"/>
  <c r="L86" i="65"/>
  <c r="M86" i="65" s="1"/>
  <c r="K78" i="65"/>
  <c r="L78" i="65" s="1"/>
  <c r="M78" i="65" s="1"/>
  <c r="K60" i="65"/>
  <c r="L60" i="65" s="1"/>
  <c r="M60" i="65" s="1"/>
  <c r="K48" i="65"/>
  <c r="L48" i="65" s="1"/>
  <c r="M48" i="65" s="1"/>
  <c r="C32" i="65"/>
  <c r="K55" i="65"/>
  <c r="L55" i="65" s="1"/>
  <c r="M55" i="65" s="1"/>
  <c r="K39" i="65"/>
  <c r="L39" i="65" s="1"/>
  <c r="M39" i="65" s="1"/>
  <c r="L62" i="65"/>
  <c r="M62" i="65" s="1"/>
  <c r="K47" i="65"/>
  <c r="L47" i="65" s="1"/>
  <c r="M47" i="65" s="1"/>
  <c r="K38" i="65"/>
  <c r="L38" i="65" s="1"/>
  <c r="M38" i="65" s="1"/>
  <c r="C55" i="65"/>
  <c r="L70" i="65"/>
  <c r="M70" i="65" s="1"/>
  <c r="K54" i="65"/>
  <c r="L54" i="65" s="1"/>
  <c r="M54" i="65" s="1"/>
  <c r="K46" i="65"/>
  <c r="L46" i="65" s="1"/>
  <c r="M46" i="65" s="1"/>
  <c r="L95" i="65"/>
  <c r="M95" i="65" s="1"/>
  <c r="L87" i="65"/>
  <c r="M87" i="65" s="1"/>
  <c r="L118" i="65"/>
  <c r="M118" i="65" s="1"/>
  <c r="M73" i="65"/>
  <c r="K58" i="65"/>
  <c r="L58" i="65" s="1"/>
  <c r="M58" i="65" s="1"/>
  <c r="C47" i="65"/>
  <c r="C31" i="65"/>
  <c r="K31" i="65"/>
  <c r="L31" i="65" s="1"/>
  <c r="M31" i="65" s="1"/>
  <c r="K71" i="65"/>
  <c r="L71" i="65" s="1"/>
  <c r="M71" i="65" s="1"/>
  <c r="C39" i="65"/>
  <c r="L40" i="65"/>
  <c r="M40" i="65" s="1"/>
  <c r="M65" i="65"/>
  <c r="C57" i="65"/>
  <c r="C41" i="65"/>
  <c r="L61" i="65"/>
  <c r="M61" i="65" s="1"/>
  <c r="C61" i="65"/>
  <c r="C36" i="65"/>
  <c r="K36" i="65"/>
  <c r="L36" i="65" s="1"/>
  <c r="M36" i="65" s="1"/>
  <c r="K99" i="65"/>
  <c r="L99" i="65" s="1"/>
  <c r="M99" i="65" s="1"/>
  <c r="K83" i="65"/>
  <c r="L83" i="65" s="1"/>
  <c r="M83" i="65" s="1"/>
  <c r="K75" i="65"/>
  <c r="L75" i="65" s="1"/>
  <c r="M75" i="65" s="1"/>
  <c r="K67" i="65"/>
  <c r="L67" i="65" s="1"/>
  <c r="M67" i="65" s="1"/>
  <c r="K59" i="65"/>
  <c r="L59" i="65" s="1"/>
  <c r="M59" i="65" s="1"/>
  <c r="K51" i="65"/>
  <c r="L51" i="65" s="1"/>
  <c r="M51" i="65" s="1"/>
  <c r="K43" i="65"/>
  <c r="L43" i="65" s="1"/>
  <c r="M43" i="65" s="1"/>
  <c r="K98" i="65"/>
  <c r="L98" i="65" s="1"/>
  <c r="M98" i="65" s="1"/>
  <c r="C43" i="65"/>
  <c r="L93" i="65"/>
  <c r="M93" i="65" s="1"/>
  <c r="L85" i="65"/>
  <c r="M85" i="65" s="1"/>
  <c r="C45" i="65"/>
  <c r="K45" i="65"/>
  <c r="L45" i="65" s="1"/>
  <c r="M45" i="65" s="1"/>
  <c r="L29" i="65"/>
  <c r="M29" i="65" s="1"/>
  <c r="C29" i="65"/>
  <c r="K100" i="65"/>
  <c r="L100" i="65" s="1"/>
  <c r="M100" i="65" s="1"/>
  <c r="K115" i="65"/>
  <c r="L115" i="65" s="1"/>
  <c r="M115" i="65" s="1"/>
  <c r="K91" i="65"/>
  <c r="L91" i="65" s="1"/>
  <c r="M91" i="65" s="1"/>
  <c r="L106" i="65"/>
  <c r="M106" i="65" s="1"/>
  <c r="L90" i="65"/>
  <c r="M90" i="65" s="1"/>
  <c r="L66" i="65"/>
  <c r="M66" i="65" s="1"/>
  <c r="L42" i="65"/>
  <c r="M42" i="65" s="1"/>
  <c r="K109" i="65"/>
  <c r="L109" i="65" s="1"/>
  <c r="M109" i="65" s="1"/>
  <c r="K74" i="65"/>
  <c r="L74" i="65" s="1"/>
  <c r="M74" i="65" s="1"/>
  <c r="K69" i="65"/>
  <c r="L69" i="65" s="1"/>
  <c r="M69" i="65" s="1"/>
  <c r="K52" i="65"/>
  <c r="L52" i="65" s="1"/>
  <c r="M52" i="65" s="1"/>
  <c r="C42" i="65"/>
  <c r="L117" i="65"/>
  <c r="M117" i="65" s="1"/>
  <c r="L101" i="65"/>
  <c r="M101" i="65" s="1"/>
  <c r="C53" i="65"/>
  <c r="C37" i="65"/>
  <c r="K37" i="65"/>
  <c r="L37" i="65" s="1"/>
  <c r="M37" i="65" s="1"/>
  <c r="K77" i="65"/>
  <c r="L77" i="65" s="1"/>
  <c r="M77" i="65" s="1"/>
  <c r="C44" i="65"/>
  <c r="L44" i="65"/>
  <c r="M44" i="65" s="1"/>
  <c r="K125" i="65"/>
  <c r="L125" i="65" s="1"/>
  <c r="M125" i="65" s="1"/>
  <c r="L76" i="65"/>
  <c r="M76" i="65" s="1"/>
  <c r="K53" i="65"/>
  <c r="L53" i="65" s="1"/>
  <c r="M53" i="65" s="1"/>
  <c r="K123" i="65"/>
  <c r="L123" i="65" s="1"/>
  <c r="M123" i="65" s="1"/>
  <c r="K107" i="65"/>
  <c r="L107" i="65" s="1"/>
  <c r="M107" i="65" s="1"/>
  <c r="L122" i="65"/>
  <c r="M122" i="65" s="1"/>
  <c r="L114" i="65"/>
  <c r="M114" i="65" s="1"/>
  <c r="L82" i="65"/>
  <c r="M82" i="65" s="1"/>
  <c r="K124" i="65"/>
  <c r="L124" i="65" s="1"/>
  <c r="M124" i="65" s="1"/>
  <c r="L108" i="65"/>
  <c r="M108" i="65" s="1"/>
  <c r="K92" i="65"/>
  <c r="L92" i="65" s="1"/>
  <c r="M92" i="65" s="1"/>
  <c r="L68" i="65"/>
  <c r="M68" i="65" s="1"/>
  <c r="K50" i="65"/>
  <c r="L50" i="65" s="1"/>
  <c r="M50" i="65" s="1"/>
  <c r="L128" i="65"/>
  <c r="M128" i="65" s="1"/>
  <c r="L120" i="65"/>
  <c r="M120" i="65" s="1"/>
  <c r="L112" i="65"/>
  <c r="M112" i="65" s="1"/>
  <c r="L104" i="65"/>
  <c r="M104" i="65" s="1"/>
  <c r="L96" i="65"/>
  <c r="M96" i="65" s="1"/>
  <c r="L88" i="65"/>
  <c r="M88" i="65" s="1"/>
  <c r="L80" i="65"/>
  <c r="M80" i="65" s="1"/>
  <c r="L72" i="65"/>
  <c r="M72" i="65" s="1"/>
  <c r="L64" i="65"/>
  <c r="M64" i="65" s="1"/>
  <c r="L56" i="65"/>
  <c r="M56" i="65" s="1"/>
  <c r="L33" i="65"/>
  <c r="M33" i="65" s="1"/>
  <c r="C46" i="65"/>
  <c r="C38" i="65"/>
  <c r="T715" i="82" l="1"/>
  <c r="C53" i="63"/>
  <c r="E715" i="82" s="1"/>
  <c r="J715" i="82"/>
  <c r="X715" i="82"/>
  <c r="O715" i="82"/>
  <c r="X724" i="82"/>
  <c r="O724" i="82"/>
  <c r="J724" i="82"/>
  <c r="T724" i="82"/>
  <c r="C62" i="63"/>
  <c r="O724" i="72"/>
  <c r="J719" i="82"/>
  <c r="X719" i="82"/>
  <c r="T719" i="82"/>
  <c r="O719" i="82"/>
  <c r="C57" i="63"/>
  <c r="E719" i="82" s="1"/>
  <c r="O717" i="82"/>
  <c r="T717" i="82"/>
  <c r="C55" i="63"/>
  <c r="E717" i="82" s="1"/>
  <c r="J717" i="82"/>
  <c r="X717" i="82"/>
  <c r="X725" i="82"/>
  <c r="T725" i="82"/>
  <c r="C63" i="63"/>
  <c r="E725" i="82" s="1"/>
  <c r="O725" i="82"/>
  <c r="J725" i="82"/>
  <c r="E62" i="63"/>
  <c r="G62" i="63" s="1"/>
  <c r="O720" i="82"/>
  <c r="X720" i="82"/>
  <c r="J720" i="82"/>
  <c r="C58" i="63"/>
  <c r="T720" i="82"/>
  <c r="X720" i="72"/>
  <c r="J720" i="72"/>
  <c r="T720" i="72"/>
  <c r="O720" i="72"/>
  <c r="J723" i="82"/>
  <c r="T723" i="82"/>
  <c r="O723" i="82"/>
  <c r="C61" i="63"/>
  <c r="E723" i="82" s="1"/>
  <c r="X723" i="82"/>
  <c r="C56" i="63"/>
  <c r="E718" i="82" s="1"/>
  <c r="X718" i="82"/>
  <c r="T718" i="82"/>
  <c r="O718" i="82"/>
  <c r="J718" i="82"/>
  <c r="T722" i="82"/>
  <c r="C60" i="63"/>
  <c r="E722" i="82" s="1"/>
  <c r="J722" i="82"/>
  <c r="X722" i="82"/>
  <c r="O722" i="82"/>
  <c r="O721" i="82"/>
  <c r="T721" i="82"/>
  <c r="X721" i="82"/>
  <c r="C59" i="63"/>
  <c r="E721" i="82" s="1"/>
  <c r="J721" i="82"/>
  <c r="J716" i="82"/>
  <c r="O716" i="82"/>
  <c r="T716" i="82"/>
  <c r="C54" i="63"/>
  <c r="E716" i="82" s="1"/>
  <c r="X716" i="82"/>
  <c r="F49" i="65"/>
  <c r="G49" i="65" s="1"/>
  <c r="H49" i="65" s="1"/>
  <c r="BU683" i="82"/>
  <c r="BU697" i="82"/>
  <c r="Y689" i="82"/>
  <c r="Y699" i="82"/>
  <c r="Y697" i="82"/>
  <c r="Y687" i="82"/>
  <c r="BU686" i="82"/>
  <c r="Y690" i="82"/>
  <c r="BU699" i="82"/>
  <c r="E63" i="63"/>
  <c r="E53" i="63"/>
  <c r="E55" i="63"/>
  <c r="E57" i="63"/>
  <c r="E61" i="63"/>
  <c r="E59" i="63"/>
  <c r="E682" i="82"/>
  <c r="E702" i="82"/>
  <c r="E705" i="82"/>
  <c r="E699" i="82"/>
  <c r="E683" i="82"/>
  <c r="E690" i="82"/>
  <c r="E711" i="82"/>
  <c r="E706" i="82"/>
  <c r="BU682" i="82"/>
  <c r="E707" i="82"/>
  <c r="E692" i="82"/>
  <c r="E685" i="82"/>
  <c r="E704" i="82"/>
  <c r="E697" i="82"/>
  <c r="E687" i="82"/>
  <c r="E695" i="82"/>
  <c r="E713" i="82"/>
  <c r="E696" i="82"/>
  <c r="E693" i="82"/>
  <c r="E701" i="82"/>
  <c r="E709" i="82"/>
  <c r="E694" i="82"/>
  <c r="E689" i="82"/>
  <c r="E21" i="63"/>
  <c r="E700" i="82"/>
  <c r="E686" i="82"/>
  <c r="E712" i="82"/>
  <c r="Y698" i="82"/>
  <c r="E684" i="82"/>
  <c r="E698" i="82"/>
  <c r="E708" i="82"/>
  <c r="E688" i="82"/>
  <c r="E691" i="82"/>
  <c r="E714" i="82"/>
  <c r="BV695" i="82"/>
  <c r="BY695" i="82"/>
  <c r="W685" i="82"/>
  <c r="Y685" i="82" s="1"/>
  <c r="M685" i="82"/>
  <c r="H685" i="82"/>
  <c r="C685" i="82"/>
  <c r="R685" i="82"/>
  <c r="W684" i="82"/>
  <c r="Y684" i="82" s="1"/>
  <c r="R684" i="82"/>
  <c r="M684" i="82"/>
  <c r="H684" i="82"/>
  <c r="C684" i="82"/>
  <c r="W686" i="82"/>
  <c r="Y686" i="82" s="1"/>
  <c r="M686" i="82"/>
  <c r="C686" i="82"/>
  <c r="H686" i="82"/>
  <c r="R686" i="82"/>
  <c r="AC698" i="82"/>
  <c r="Z698" i="82"/>
  <c r="AI687" i="82"/>
  <c r="AF687" i="82"/>
  <c r="BY686" i="82"/>
  <c r="BV686" i="82"/>
  <c r="AC690" i="82"/>
  <c r="Z690" i="82"/>
  <c r="BY699" i="82"/>
  <c r="BV699" i="82"/>
  <c r="BD684" i="82"/>
  <c r="BS684" i="82"/>
  <c r="BI684" i="82"/>
  <c r="AY684" i="82"/>
  <c r="BN684" i="82"/>
  <c r="B575" i="82"/>
  <c r="AE574" i="82"/>
  <c r="AM574" i="82"/>
  <c r="AI574" i="82"/>
  <c r="AV574" i="82"/>
  <c r="AQ574" i="82"/>
  <c r="BU695" i="82"/>
  <c r="Z691" i="82"/>
  <c r="AC691" i="82"/>
  <c r="AF690" i="82"/>
  <c r="AI690" i="82"/>
  <c r="CE682" i="82"/>
  <c r="CB682" i="82"/>
  <c r="R696" i="82"/>
  <c r="C696" i="82"/>
  <c r="H696" i="82"/>
  <c r="W696" i="82"/>
  <c r="Y696" i="82" s="1"/>
  <c r="M696" i="82"/>
  <c r="AF699" i="82"/>
  <c r="AI699" i="82"/>
  <c r="AI691" i="82"/>
  <c r="AF691" i="82"/>
  <c r="R683" i="82"/>
  <c r="C683" i="82"/>
  <c r="W683" i="82"/>
  <c r="Y683" i="82" s="1"/>
  <c r="M683" i="82"/>
  <c r="H683" i="82"/>
  <c r="BV691" i="82"/>
  <c r="BY691" i="82"/>
  <c r="BV682" i="82"/>
  <c r="BY682" i="82"/>
  <c r="BS692" i="82"/>
  <c r="BU692" i="82" s="1"/>
  <c r="BI692" i="82"/>
  <c r="AY692" i="82"/>
  <c r="BN692" i="82"/>
  <c r="BD692" i="82"/>
  <c r="BA724" i="82"/>
  <c r="R700" i="82"/>
  <c r="H700" i="82"/>
  <c r="W700" i="82"/>
  <c r="Y700" i="82" s="1"/>
  <c r="C700" i="82"/>
  <c r="M700" i="82"/>
  <c r="CE686" i="82"/>
  <c r="CB686" i="82"/>
  <c r="H694" i="82"/>
  <c r="M694" i="82"/>
  <c r="C694" i="82"/>
  <c r="W694" i="82"/>
  <c r="Y694" i="82" s="1"/>
  <c r="R694" i="82"/>
  <c r="AF698" i="82"/>
  <c r="AI698" i="82"/>
  <c r="BN689" i="82"/>
  <c r="BD689" i="82"/>
  <c r="BI689" i="82"/>
  <c r="BS689" i="82"/>
  <c r="BU689" i="82" s="1"/>
  <c r="AY689" i="82"/>
  <c r="BY688" i="82"/>
  <c r="BV688" i="82"/>
  <c r="M682" i="82"/>
  <c r="H682" i="82"/>
  <c r="R682" i="82"/>
  <c r="C682" i="82"/>
  <c r="W682" i="82"/>
  <c r="Y682" i="82" s="1"/>
  <c r="BY697" i="82"/>
  <c r="BV697" i="82"/>
  <c r="BV687" i="82"/>
  <c r="BY687" i="82"/>
  <c r="Z697" i="82"/>
  <c r="AC697" i="82"/>
  <c r="CB683" i="82"/>
  <c r="CE683" i="82"/>
  <c r="BN696" i="82"/>
  <c r="BS696" i="82"/>
  <c r="BU696" i="82" s="1"/>
  <c r="AY696" i="82"/>
  <c r="BD696" i="82"/>
  <c r="BI696" i="82"/>
  <c r="AC687" i="82"/>
  <c r="Z687" i="82"/>
  <c r="CE699" i="82"/>
  <c r="CB699" i="82"/>
  <c r="BN698" i="82"/>
  <c r="BD698" i="82"/>
  <c r="BS698" i="82"/>
  <c r="BU698" i="82" s="1"/>
  <c r="BI698" i="82"/>
  <c r="AY698" i="82"/>
  <c r="C688" i="82"/>
  <c r="W688" i="82"/>
  <c r="Y688" i="82" s="1"/>
  <c r="H688" i="82"/>
  <c r="M688" i="82"/>
  <c r="R688" i="82"/>
  <c r="BS700" i="82"/>
  <c r="BU700" i="82" s="1"/>
  <c r="BN700" i="82"/>
  <c r="BD700" i="82"/>
  <c r="AY700" i="82"/>
  <c r="BI700" i="82"/>
  <c r="AF689" i="82"/>
  <c r="AI689" i="82"/>
  <c r="CE695" i="82"/>
  <c r="CB695" i="82"/>
  <c r="Z693" i="82"/>
  <c r="AC693" i="82"/>
  <c r="AF697" i="82"/>
  <c r="AI697" i="82"/>
  <c r="Z689" i="82"/>
  <c r="AC689" i="82"/>
  <c r="M695" i="82"/>
  <c r="H695" i="82"/>
  <c r="W695" i="82"/>
  <c r="Y695" i="82" s="1"/>
  <c r="R695" i="82"/>
  <c r="C695" i="82"/>
  <c r="CE688" i="82"/>
  <c r="CB688" i="82"/>
  <c r="CE691" i="82"/>
  <c r="CB691" i="82"/>
  <c r="BI693" i="82"/>
  <c r="BN693" i="82"/>
  <c r="BS693" i="82"/>
  <c r="BU693" i="82" s="1"/>
  <c r="AY693" i="82"/>
  <c r="BD693" i="82"/>
  <c r="E703" i="82"/>
  <c r="E710" i="82"/>
  <c r="BU684" i="82"/>
  <c r="BU688" i="82"/>
  <c r="CB687" i="82"/>
  <c r="CE687" i="82"/>
  <c r="AC699" i="82"/>
  <c r="Z699" i="82"/>
  <c r="BN685" i="82"/>
  <c r="BS685" i="82"/>
  <c r="BU685" i="82" s="1"/>
  <c r="BI685" i="82"/>
  <c r="BD685" i="82"/>
  <c r="AY685" i="82"/>
  <c r="BS690" i="82"/>
  <c r="BU690" i="82" s="1"/>
  <c r="AY690" i="82"/>
  <c r="BI690" i="82"/>
  <c r="BD690" i="82"/>
  <c r="BN690" i="82"/>
  <c r="CB697" i="82"/>
  <c r="CE697" i="82"/>
  <c r="AI693" i="82"/>
  <c r="AF693" i="82"/>
  <c r="W692" i="82"/>
  <c r="Y692" i="82" s="1"/>
  <c r="M692" i="82"/>
  <c r="H692" i="82"/>
  <c r="R692" i="82"/>
  <c r="C692" i="82"/>
  <c r="BY683" i="82"/>
  <c r="BV683" i="82"/>
  <c r="BN694" i="82"/>
  <c r="BI694" i="82"/>
  <c r="AY694" i="82"/>
  <c r="BS694" i="82"/>
  <c r="BU694" i="82" s="1"/>
  <c r="BD694" i="82"/>
  <c r="E20" i="63"/>
  <c r="G20" i="63" s="1"/>
  <c r="BS685" i="72"/>
  <c r="BU685" i="72" s="1"/>
  <c r="BD690" i="72"/>
  <c r="I62" i="63"/>
  <c r="BD694" i="72"/>
  <c r="AY693" i="72"/>
  <c r="E702" i="72"/>
  <c r="H688" i="72"/>
  <c r="H21" i="63"/>
  <c r="H20" i="63"/>
  <c r="H23" i="63"/>
  <c r="H22" i="63"/>
  <c r="H33" i="63"/>
  <c r="H41" i="63"/>
  <c r="H49" i="63"/>
  <c r="H32" i="63"/>
  <c r="H40" i="63"/>
  <c r="H48" i="63"/>
  <c r="H31" i="63"/>
  <c r="H39" i="63"/>
  <c r="H47" i="63"/>
  <c r="H30" i="63"/>
  <c r="H38" i="63"/>
  <c r="H46" i="63"/>
  <c r="H29" i="63"/>
  <c r="H37" i="63"/>
  <c r="H45" i="63"/>
  <c r="H36" i="63"/>
  <c r="H44" i="63"/>
  <c r="H52" i="63"/>
  <c r="H50" i="63"/>
  <c r="H43" i="63"/>
  <c r="H51" i="63"/>
  <c r="H34" i="63"/>
  <c r="H42" i="63"/>
  <c r="H35" i="63"/>
  <c r="D29" i="63"/>
  <c r="D37" i="63"/>
  <c r="D45" i="63"/>
  <c r="D36" i="63"/>
  <c r="E36" i="63" s="1"/>
  <c r="G36" i="63" s="1"/>
  <c r="D44" i="63"/>
  <c r="E44" i="63" s="1"/>
  <c r="G44" i="63" s="1"/>
  <c r="D52" i="63"/>
  <c r="E52" i="63" s="1"/>
  <c r="G52" i="63" s="1"/>
  <c r="D35" i="63"/>
  <c r="D43" i="63"/>
  <c r="D51" i="63"/>
  <c r="D34" i="63"/>
  <c r="E34" i="63" s="1"/>
  <c r="G34" i="63" s="1"/>
  <c r="D42" i="63"/>
  <c r="E42" i="63" s="1"/>
  <c r="G42" i="63" s="1"/>
  <c r="D50" i="63"/>
  <c r="E50" i="63" s="1"/>
  <c r="G50" i="63" s="1"/>
  <c r="D33" i="63"/>
  <c r="D41" i="63"/>
  <c r="D49" i="63"/>
  <c r="D32" i="63"/>
  <c r="E32" i="63" s="1"/>
  <c r="G32" i="63" s="1"/>
  <c r="D40" i="63"/>
  <c r="E40" i="63" s="1"/>
  <c r="G40" i="63" s="1"/>
  <c r="D48" i="63"/>
  <c r="E48" i="63" s="1"/>
  <c r="G48" i="63" s="1"/>
  <c r="D31" i="63"/>
  <c r="D46" i="63"/>
  <c r="E46" i="63" s="1"/>
  <c r="G46" i="63" s="1"/>
  <c r="D39" i="63"/>
  <c r="D47" i="63"/>
  <c r="D30" i="63"/>
  <c r="E30" i="63" s="1"/>
  <c r="G30" i="63" s="1"/>
  <c r="D38" i="63"/>
  <c r="E38" i="63" s="1"/>
  <c r="G38" i="63" s="1"/>
  <c r="H25" i="63"/>
  <c r="H24" i="63"/>
  <c r="H28" i="63"/>
  <c r="H26" i="63"/>
  <c r="H27" i="63"/>
  <c r="D28" i="63"/>
  <c r="E28" i="63" s="1"/>
  <c r="G28" i="63" s="1"/>
  <c r="D27" i="63"/>
  <c r="D26" i="63"/>
  <c r="E26" i="63" s="1"/>
  <c r="G26" i="63" s="1"/>
  <c r="D25" i="63"/>
  <c r="D24" i="63"/>
  <c r="E24" i="63" s="1"/>
  <c r="G24" i="63" s="1"/>
  <c r="D23" i="63"/>
  <c r="D22" i="63"/>
  <c r="E22" i="63" s="1"/>
  <c r="G22" i="63" s="1"/>
  <c r="E19" i="63"/>
  <c r="BA742" i="72"/>
  <c r="E744" i="72"/>
  <c r="BN693" i="72"/>
  <c r="E160" i="65"/>
  <c r="BY693" i="72" s="1"/>
  <c r="Y698" i="72"/>
  <c r="C688" i="72"/>
  <c r="R688" i="72"/>
  <c r="W688" i="72"/>
  <c r="Y688" i="72" s="1"/>
  <c r="BA739" i="72"/>
  <c r="M688" i="72"/>
  <c r="D141" i="65"/>
  <c r="D49" i="65"/>
  <c r="E714" i="72"/>
  <c r="E49" i="65"/>
  <c r="E698" i="72"/>
  <c r="E157" i="65"/>
  <c r="D157" i="65"/>
  <c r="D160" i="65"/>
  <c r="CE693" i="72" s="1"/>
  <c r="BS693" i="72"/>
  <c r="BU693" i="72" s="1"/>
  <c r="BI693" i="72"/>
  <c r="E757" i="72"/>
  <c r="BD693" i="72"/>
  <c r="BS690" i="72"/>
  <c r="BU690" i="72" s="1"/>
  <c r="BA738" i="72"/>
  <c r="AY690" i="72"/>
  <c r="BI690" i="72"/>
  <c r="E749" i="72"/>
  <c r="BA744" i="72"/>
  <c r="E753" i="72"/>
  <c r="E759" i="72"/>
  <c r="BA746" i="72"/>
  <c r="E762" i="72"/>
  <c r="E760" i="72"/>
  <c r="BA747" i="72"/>
  <c r="E736" i="72"/>
  <c r="E764" i="72"/>
  <c r="E748" i="72"/>
  <c r="BU697" i="72"/>
  <c r="E687" i="72"/>
  <c r="BA761" i="72"/>
  <c r="E743" i="72"/>
  <c r="E765" i="72"/>
  <c r="E161" i="65"/>
  <c r="D161" i="65"/>
  <c r="BS694" i="72"/>
  <c r="BU694" i="72" s="1"/>
  <c r="BN694" i="72"/>
  <c r="AY694" i="72"/>
  <c r="BI694" i="72"/>
  <c r="F153" i="65"/>
  <c r="G153" i="65" s="1"/>
  <c r="I153" i="65" s="1"/>
  <c r="BD685" i="72"/>
  <c r="BN685" i="72"/>
  <c r="F138" i="65"/>
  <c r="G138" i="65" s="1"/>
  <c r="H138" i="65" s="1"/>
  <c r="F154" i="65"/>
  <c r="G154" i="65" s="1"/>
  <c r="D40" i="65"/>
  <c r="D159" i="65"/>
  <c r="BA741" i="72"/>
  <c r="D167" i="65"/>
  <c r="E754" i="72"/>
  <c r="D156" i="65"/>
  <c r="E727" i="72"/>
  <c r="BA766" i="72"/>
  <c r="E718" i="72"/>
  <c r="E704" i="72"/>
  <c r="E700" i="72"/>
  <c r="E708" i="72"/>
  <c r="BD698" i="72"/>
  <c r="E163" i="65"/>
  <c r="BA748" i="72"/>
  <c r="E696" i="72"/>
  <c r="E692" i="72"/>
  <c r="BA737" i="72"/>
  <c r="W695" i="72"/>
  <c r="Y695" i="72" s="1"/>
  <c r="R695" i="72"/>
  <c r="E151" i="65"/>
  <c r="N155" i="65"/>
  <c r="F155" i="65" s="1"/>
  <c r="G155" i="65" s="1"/>
  <c r="E144" i="65"/>
  <c r="F113" i="65"/>
  <c r="E56" i="65"/>
  <c r="F146" i="65"/>
  <c r="G146" i="65" s="1"/>
  <c r="H146" i="65" s="1"/>
  <c r="BN690" i="72"/>
  <c r="N171" i="65"/>
  <c r="F171" i="65" s="1"/>
  <c r="F137" i="65"/>
  <c r="G137" i="65" s="1"/>
  <c r="I137" i="65" s="1"/>
  <c r="BU682" i="72"/>
  <c r="D145" i="65"/>
  <c r="BI698" i="72"/>
  <c r="BS698" i="72"/>
  <c r="BU698" i="72" s="1"/>
  <c r="BN698" i="72"/>
  <c r="E165" i="65"/>
  <c r="AY698" i="72"/>
  <c r="D165" i="65"/>
  <c r="N164" i="65"/>
  <c r="F164" i="65" s="1"/>
  <c r="G164" i="65" s="1"/>
  <c r="E684" i="72"/>
  <c r="E706" i="72"/>
  <c r="AY685" i="72"/>
  <c r="E152" i="65"/>
  <c r="D33" i="65"/>
  <c r="E716" i="72"/>
  <c r="D152" i="65"/>
  <c r="BI685" i="72"/>
  <c r="BU691" i="72"/>
  <c r="N136" i="65"/>
  <c r="F136" i="65" s="1"/>
  <c r="G136" i="65" s="1"/>
  <c r="E690" i="72"/>
  <c r="C695" i="72"/>
  <c r="M695" i="72"/>
  <c r="H695" i="72"/>
  <c r="Y693" i="72"/>
  <c r="Y699" i="72"/>
  <c r="D140" i="65"/>
  <c r="BU683" i="72"/>
  <c r="BU687" i="72"/>
  <c r="E722" i="72"/>
  <c r="E712" i="72"/>
  <c r="Y691" i="72"/>
  <c r="E167" i="65"/>
  <c r="BU686" i="72"/>
  <c r="E156" i="65"/>
  <c r="Y697" i="72"/>
  <c r="E688" i="72"/>
  <c r="E694" i="72"/>
  <c r="E723" i="72"/>
  <c r="E711" i="72"/>
  <c r="E709" i="72"/>
  <c r="E715" i="72"/>
  <c r="E721" i="72"/>
  <c r="E695" i="72"/>
  <c r="E34" i="65"/>
  <c r="E705" i="72"/>
  <c r="E686" i="72"/>
  <c r="E701" i="72"/>
  <c r="E713" i="72"/>
  <c r="E697" i="72"/>
  <c r="E699" i="72"/>
  <c r="E689" i="72"/>
  <c r="E159" i="65"/>
  <c r="Y690" i="72"/>
  <c r="Y689" i="72"/>
  <c r="E719" i="72"/>
  <c r="E707" i="72"/>
  <c r="E35" i="65"/>
  <c r="BU695" i="72"/>
  <c r="BU688" i="72"/>
  <c r="BU699" i="72"/>
  <c r="E717" i="72"/>
  <c r="BA724" i="72"/>
  <c r="E691" i="72"/>
  <c r="E693" i="72"/>
  <c r="E703" i="72"/>
  <c r="E725" i="72"/>
  <c r="I32" i="65"/>
  <c r="H163" i="65"/>
  <c r="I41" i="65"/>
  <c r="I147" i="65"/>
  <c r="I140" i="65"/>
  <c r="H145" i="65"/>
  <c r="H57" i="65"/>
  <c r="I152" i="65"/>
  <c r="H152" i="65"/>
  <c r="I160" i="65"/>
  <c r="I144" i="65"/>
  <c r="H141" i="65"/>
  <c r="H160" i="65"/>
  <c r="N40" i="65"/>
  <c r="F40" i="65" s="1"/>
  <c r="G40" i="65" s="1"/>
  <c r="N111" i="65"/>
  <c r="F111" i="65" s="1"/>
  <c r="N149" i="65"/>
  <c r="F149" i="65" s="1"/>
  <c r="G149" i="65" s="1"/>
  <c r="N207" i="65"/>
  <c r="F207" i="65" s="1"/>
  <c r="N223" i="65"/>
  <c r="F223" i="65" s="1"/>
  <c r="N54" i="65"/>
  <c r="F54" i="65" s="1"/>
  <c r="G54" i="65" s="1"/>
  <c r="H151" i="65"/>
  <c r="I151" i="65"/>
  <c r="N35" i="65"/>
  <c r="F35" i="65" s="1"/>
  <c r="G35" i="65" s="1"/>
  <c r="H167" i="65"/>
  <c r="I167" i="65"/>
  <c r="N123" i="65"/>
  <c r="F123" i="65" s="1"/>
  <c r="H148" i="65"/>
  <c r="I148" i="65"/>
  <c r="H143" i="65"/>
  <c r="I143" i="65"/>
  <c r="H34" i="65"/>
  <c r="I34" i="65"/>
  <c r="I157" i="65"/>
  <c r="H157" i="65"/>
  <c r="N83" i="65"/>
  <c r="F83" i="65" s="1"/>
  <c r="I161" i="65"/>
  <c r="H161" i="65"/>
  <c r="N91" i="65"/>
  <c r="F91" i="65" s="1"/>
  <c r="N86" i="65"/>
  <c r="F86" i="65" s="1"/>
  <c r="CE691" i="72"/>
  <c r="CB691" i="72"/>
  <c r="N112" i="65"/>
  <c r="F112" i="65" s="1"/>
  <c r="N99" i="65"/>
  <c r="F99" i="65" s="1"/>
  <c r="N120" i="65"/>
  <c r="F120" i="65" s="1"/>
  <c r="N93" i="65"/>
  <c r="F93" i="65" s="1"/>
  <c r="N95" i="65"/>
  <c r="F95" i="65" s="1"/>
  <c r="N175" i="65"/>
  <c r="F175" i="65" s="1"/>
  <c r="CB688" i="72"/>
  <c r="CE688" i="72"/>
  <c r="N98" i="65"/>
  <c r="F98" i="65" s="1"/>
  <c r="BV686" i="72"/>
  <c r="BY686" i="72"/>
  <c r="N221" i="65"/>
  <c r="F221" i="65" s="1"/>
  <c r="N104" i="65"/>
  <c r="F104" i="65" s="1"/>
  <c r="N69" i="65"/>
  <c r="F69" i="65" s="1"/>
  <c r="N59" i="65"/>
  <c r="F59" i="65" s="1"/>
  <c r="G59" i="65" s="1"/>
  <c r="N70" i="65"/>
  <c r="F70" i="65" s="1"/>
  <c r="N150" i="65"/>
  <c r="F150" i="65" s="1"/>
  <c r="G150" i="65" s="1"/>
  <c r="N33" i="65"/>
  <c r="F33" i="65" s="1"/>
  <c r="G33" i="65" s="1"/>
  <c r="N53" i="65"/>
  <c r="F53" i="65" s="1"/>
  <c r="G53" i="65" s="1"/>
  <c r="N74" i="65"/>
  <c r="F74" i="65" s="1"/>
  <c r="N85" i="65"/>
  <c r="F85" i="65" s="1"/>
  <c r="N87" i="65"/>
  <c r="F87" i="65" s="1"/>
  <c r="N94" i="65"/>
  <c r="F94" i="65" s="1"/>
  <c r="CB695" i="72"/>
  <c r="CE695" i="72"/>
  <c r="BY688" i="72"/>
  <c r="BV688" i="72"/>
  <c r="AI691" i="72"/>
  <c r="AF691" i="72"/>
  <c r="N162" i="65"/>
  <c r="F162" i="65" s="1"/>
  <c r="G162" i="65" s="1"/>
  <c r="AI689" i="72"/>
  <c r="AF689" i="72"/>
  <c r="N173" i="65"/>
  <c r="F173" i="65" s="1"/>
  <c r="N115" i="65"/>
  <c r="F115" i="65" s="1"/>
  <c r="N67" i="65"/>
  <c r="F67" i="65" s="1"/>
  <c r="N60" i="65"/>
  <c r="F60" i="65" s="1"/>
  <c r="G60" i="65" s="1"/>
  <c r="N103" i="65"/>
  <c r="F103" i="65" s="1"/>
  <c r="CB687" i="72"/>
  <c r="CE687" i="72"/>
  <c r="N128" i="65"/>
  <c r="F128" i="65" s="1"/>
  <c r="E139" i="65"/>
  <c r="BV699" i="72"/>
  <c r="BY699" i="72"/>
  <c r="N165" i="65"/>
  <c r="F165" i="65" s="1"/>
  <c r="G165" i="65" s="1"/>
  <c r="N191" i="65"/>
  <c r="F191" i="65" s="1"/>
  <c r="D151" i="65"/>
  <c r="AY684" i="72"/>
  <c r="BN684" i="72"/>
  <c r="BS684" i="72"/>
  <c r="BU684" i="72" s="1"/>
  <c r="BI684" i="72"/>
  <c r="BD684" i="72"/>
  <c r="N28" i="65"/>
  <c r="F28" i="65" s="1"/>
  <c r="G28" i="65" s="1"/>
  <c r="N205" i="65"/>
  <c r="F205" i="65" s="1"/>
  <c r="N142" i="65"/>
  <c r="F142" i="65" s="1"/>
  <c r="G142" i="65" s="1"/>
  <c r="CB699" i="72"/>
  <c r="CE699" i="72"/>
  <c r="N72" i="65"/>
  <c r="F72" i="65" s="1"/>
  <c r="N122" i="65"/>
  <c r="F122" i="65" s="1"/>
  <c r="N44" i="65"/>
  <c r="F44" i="65" s="1"/>
  <c r="G44" i="65" s="1"/>
  <c r="N100" i="65"/>
  <c r="F100" i="65" s="1"/>
  <c r="N75" i="65"/>
  <c r="F75" i="65" s="1"/>
  <c r="N31" i="65"/>
  <c r="F31" i="65" s="1"/>
  <c r="G31" i="65" s="1"/>
  <c r="N127" i="65"/>
  <c r="F127" i="65" s="1"/>
  <c r="N110" i="65"/>
  <c r="F110" i="65" s="1"/>
  <c r="AY692" i="72"/>
  <c r="BN692" i="72"/>
  <c r="BI692" i="72"/>
  <c r="BD692" i="72"/>
  <c r="BS692" i="72"/>
  <c r="BU692" i="72" s="1"/>
  <c r="N80" i="65"/>
  <c r="F80" i="65" s="1"/>
  <c r="N68" i="65"/>
  <c r="F68" i="65" s="1"/>
  <c r="N107" i="65"/>
  <c r="F107" i="65" s="1"/>
  <c r="N117" i="65"/>
  <c r="F117" i="65" s="1"/>
  <c r="N66" i="65"/>
  <c r="F66" i="65" s="1"/>
  <c r="N61" i="65"/>
  <c r="F61" i="65" s="1"/>
  <c r="G61" i="65" s="1"/>
  <c r="N48" i="65"/>
  <c r="F48" i="65" s="1"/>
  <c r="G48" i="65" s="1"/>
  <c r="N30" i="65"/>
  <c r="F30" i="65" s="1"/>
  <c r="G30" i="65" s="1"/>
  <c r="CB686" i="72"/>
  <c r="CE686" i="72"/>
  <c r="E148" i="65"/>
  <c r="Z690" i="72"/>
  <c r="N181" i="65"/>
  <c r="F181" i="65" s="1"/>
  <c r="D56" i="65"/>
  <c r="N126" i="65"/>
  <c r="F126" i="65" s="1"/>
  <c r="D163" i="65"/>
  <c r="BS696" i="72"/>
  <c r="BU696" i="72" s="1"/>
  <c r="BN696" i="72"/>
  <c r="AY696" i="72"/>
  <c r="BI696" i="72"/>
  <c r="BD696" i="72"/>
  <c r="BY683" i="72"/>
  <c r="BV683" i="72"/>
  <c r="N124" i="65"/>
  <c r="F124" i="65" s="1"/>
  <c r="N73" i="65"/>
  <c r="F73" i="65" s="1"/>
  <c r="N38" i="65"/>
  <c r="F38" i="65" s="1"/>
  <c r="G38" i="65" s="1"/>
  <c r="CB697" i="72"/>
  <c r="CE697" i="72"/>
  <c r="AI698" i="72"/>
  <c r="AF698" i="72"/>
  <c r="BV695" i="72"/>
  <c r="BY695" i="72"/>
  <c r="AI699" i="72"/>
  <c r="AF699" i="72"/>
  <c r="BY690" i="72"/>
  <c r="N118" i="65"/>
  <c r="F118" i="65" s="1"/>
  <c r="N39" i="65"/>
  <c r="F39" i="65" s="1"/>
  <c r="G39" i="65" s="1"/>
  <c r="BY691" i="72"/>
  <c r="BV691" i="72"/>
  <c r="N213" i="65"/>
  <c r="F213" i="65" s="1"/>
  <c r="N89" i="65"/>
  <c r="F89" i="65" s="1"/>
  <c r="BY682" i="72"/>
  <c r="BV682" i="72"/>
  <c r="N166" i="65"/>
  <c r="F166" i="65" s="1"/>
  <c r="G166" i="65" s="1"/>
  <c r="N56" i="65"/>
  <c r="F56" i="65" s="1"/>
  <c r="G56" i="65" s="1"/>
  <c r="N76" i="65"/>
  <c r="F76" i="65" s="1"/>
  <c r="N109" i="65"/>
  <c r="F109" i="65" s="1"/>
  <c r="N47" i="65"/>
  <c r="F47" i="65" s="1"/>
  <c r="G47" i="65" s="1"/>
  <c r="I57" i="65"/>
  <c r="AC687" i="72"/>
  <c r="N189" i="65"/>
  <c r="F189" i="65" s="1"/>
  <c r="N64" i="65"/>
  <c r="F64" i="65" s="1"/>
  <c r="N114" i="65"/>
  <c r="F114" i="65" s="1"/>
  <c r="N125" i="65"/>
  <c r="F125" i="65" s="1"/>
  <c r="N101" i="65"/>
  <c r="F101" i="65" s="1"/>
  <c r="N42" i="65"/>
  <c r="F42" i="65" s="1"/>
  <c r="G42" i="65" s="1"/>
  <c r="N71" i="65"/>
  <c r="F71" i="65" s="1"/>
  <c r="N55" i="65"/>
  <c r="F55" i="65" s="1"/>
  <c r="G55" i="65" s="1"/>
  <c r="I156" i="65"/>
  <c r="Z687" i="72"/>
  <c r="N229" i="65"/>
  <c r="F229" i="65" s="1"/>
  <c r="N50" i="65"/>
  <c r="F50" i="65" s="1"/>
  <c r="G50" i="65" s="1"/>
  <c r="H156" i="65"/>
  <c r="I159" i="65"/>
  <c r="AC690" i="72"/>
  <c r="AC691" i="72"/>
  <c r="AC689" i="72"/>
  <c r="CB683" i="72"/>
  <c r="CE683" i="72"/>
  <c r="N121" i="65"/>
  <c r="F121" i="65" s="1"/>
  <c r="N84" i="65"/>
  <c r="F84" i="65" s="1"/>
  <c r="N158" i="65"/>
  <c r="F158" i="65" s="1"/>
  <c r="G158" i="65" s="1"/>
  <c r="N88" i="65"/>
  <c r="F88" i="65" s="1"/>
  <c r="N92" i="65"/>
  <c r="F92" i="65" s="1"/>
  <c r="N90" i="65"/>
  <c r="F90" i="65" s="1"/>
  <c r="N29" i="65"/>
  <c r="F29" i="65" s="1"/>
  <c r="G29" i="65" s="1"/>
  <c r="N43" i="65"/>
  <c r="F43" i="65" s="1"/>
  <c r="G43" i="65" s="1"/>
  <c r="N46" i="65"/>
  <c r="F46" i="65" s="1"/>
  <c r="G46" i="65" s="1"/>
  <c r="E143" i="65"/>
  <c r="AI690" i="72"/>
  <c r="AF690" i="72"/>
  <c r="AI693" i="72"/>
  <c r="AF693" i="72"/>
  <c r="AI697" i="72"/>
  <c r="AF697" i="72"/>
  <c r="CB682" i="72"/>
  <c r="CE682" i="72"/>
  <c r="H159" i="65"/>
  <c r="N105" i="65"/>
  <c r="F105" i="65" s="1"/>
  <c r="BD689" i="72"/>
  <c r="BS689" i="72"/>
  <c r="BU689" i="72" s="1"/>
  <c r="AY689" i="72"/>
  <c r="BN689" i="72"/>
  <c r="BI689" i="72"/>
  <c r="N134" i="65"/>
  <c r="F134" i="65" s="1"/>
  <c r="G134" i="65" s="1"/>
  <c r="N233" i="65"/>
  <c r="F233" i="65" s="1"/>
  <c r="AY700" i="72"/>
  <c r="BN700" i="72"/>
  <c r="BS700" i="72"/>
  <c r="BU700" i="72" s="1"/>
  <c r="BD700" i="72"/>
  <c r="BI700" i="72"/>
  <c r="N37" i="65"/>
  <c r="F37" i="65" s="1"/>
  <c r="G37" i="65" s="1"/>
  <c r="N65" i="65"/>
  <c r="F65" i="65" s="1"/>
  <c r="N58" i="65"/>
  <c r="F58" i="65" s="1"/>
  <c r="G58" i="65" s="1"/>
  <c r="BY687" i="72"/>
  <c r="BV687" i="72"/>
  <c r="N82" i="65"/>
  <c r="F82" i="65" s="1"/>
  <c r="N36" i="65"/>
  <c r="F36" i="65" s="1"/>
  <c r="G36" i="65" s="1"/>
  <c r="N96" i="65"/>
  <c r="F96" i="65" s="1"/>
  <c r="N108" i="65"/>
  <c r="F108" i="65" s="1"/>
  <c r="N77" i="65"/>
  <c r="F77" i="65" s="1"/>
  <c r="N52" i="65"/>
  <c r="F52" i="65" s="1"/>
  <c r="G52" i="65" s="1"/>
  <c r="N106" i="65"/>
  <c r="F106" i="65" s="1"/>
  <c r="N45" i="65"/>
  <c r="F45" i="65" s="1"/>
  <c r="G45" i="65" s="1"/>
  <c r="N51" i="65"/>
  <c r="F51" i="65" s="1"/>
  <c r="G51" i="65" s="1"/>
  <c r="N62" i="65"/>
  <c r="F62" i="65" s="1"/>
  <c r="N78" i="65"/>
  <c r="F78" i="65" s="1"/>
  <c r="I163" i="65"/>
  <c r="BV697" i="72"/>
  <c r="BY697" i="72"/>
  <c r="Z698" i="72"/>
  <c r="AI687" i="72"/>
  <c r="AF687" i="72"/>
  <c r="N197" i="65"/>
  <c r="F197" i="65" s="1"/>
  <c r="N102" i="65"/>
  <c r="F102" i="65" s="1"/>
  <c r="N139" i="65"/>
  <c r="F139" i="65" s="1"/>
  <c r="G139" i="65" s="1"/>
  <c r="N135" i="65"/>
  <c r="F135" i="65" s="1"/>
  <c r="G135" i="65" s="1"/>
  <c r="Z691" i="72"/>
  <c r="Z689" i="72"/>
  <c r="AC698" i="72"/>
  <c r="D39" i="65"/>
  <c r="E39" i="65"/>
  <c r="C682" i="72"/>
  <c r="M682" i="72"/>
  <c r="D43" i="65"/>
  <c r="H682" i="72"/>
  <c r="W682" i="72"/>
  <c r="Y682" i="72" s="1"/>
  <c r="R682" i="72"/>
  <c r="E43" i="65"/>
  <c r="E36" i="65"/>
  <c r="D36" i="65"/>
  <c r="R683" i="72"/>
  <c r="C683" i="72"/>
  <c r="M683" i="72"/>
  <c r="H683" i="72"/>
  <c r="E44" i="65"/>
  <c r="W683" i="72"/>
  <c r="Y683" i="72" s="1"/>
  <c r="D44" i="65"/>
  <c r="D42" i="65"/>
  <c r="E42" i="65"/>
  <c r="D31" i="65"/>
  <c r="E31" i="65"/>
  <c r="D38" i="65"/>
  <c r="E38" i="65"/>
  <c r="D41" i="65"/>
  <c r="E41" i="65"/>
  <c r="W686" i="72"/>
  <c r="Y686" i="72" s="1"/>
  <c r="H686" i="72"/>
  <c r="R686" i="72"/>
  <c r="C686" i="72"/>
  <c r="D47" i="65"/>
  <c r="M686" i="72"/>
  <c r="E47" i="65"/>
  <c r="E37" i="65"/>
  <c r="D37" i="65"/>
  <c r="H685" i="72"/>
  <c r="R685" i="72"/>
  <c r="C685" i="72"/>
  <c r="M685" i="72"/>
  <c r="W685" i="72"/>
  <c r="Y685" i="72" s="1"/>
  <c r="E46" i="65"/>
  <c r="D46" i="65"/>
  <c r="R684" i="72"/>
  <c r="C684" i="72"/>
  <c r="M684" i="72"/>
  <c r="H684" i="72"/>
  <c r="W684" i="72"/>
  <c r="Y684" i="72" s="1"/>
  <c r="E45" i="65"/>
  <c r="D45" i="65"/>
  <c r="M696" i="72"/>
  <c r="W696" i="72"/>
  <c r="Y696" i="72" s="1"/>
  <c r="C696" i="72"/>
  <c r="R696" i="72"/>
  <c r="H696" i="72"/>
  <c r="D57" i="65"/>
  <c r="E57" i="65"/>
  <c r="Z697" i="72"/>
  <c r="AC697" i="72"/>
  <c r="D29" i="65"/>
  <c r="E29" i="65"/>
  <c r="D32" i="65"/>
  <c r="E32" i="65"/>
  <c r="AC699" i="72"/>
  <c r="Z699" i="72"/>
  <c r="AC693" i="72"/>
  <c r="Z693" i="72"/>
  <c r="R692" i="72"/>
  <c r="C692" i="72"/>
  <c r="W692" i="72"/>
  <c r="Y692" i="72" s="1"/>
  <c r="E53" i="65"/>
  <c r="M692" i="72"/>
  <c r="H692" i="72"/>
  <c r="D53" i="65"/>
  <c r="R700" i="72"/>
  <c r="C700" i="72"/>
  <c r="H700" i="72"/>
  <c r="M700" i="72"/>
  <c r="W700" i="72"/>
  <c r="Y700" i="72" s="1"/>
  <c r="D61" i="65"/>
  <c r="E61" i="65"/>
  <c r="W694" i="72"/>
  <c r="Y694" i="72" s="1"/>
  <c r="H694" i="72"/>
  <c r="M694" i="72"/>
  <c r="D55" i="65"/>
  <c r="C694" i="72"/>
  <c r="R694" i="72"/>
  <c r="E55" i="65"/>
  <c r="E724" i="82" l="1"/>
  <c r="E724" i="72"/>
  <c r="E54" i="63"/>
  <c r="G54" i="63" s="1"/>
  <c r="E720" i="82"/>
  <c r="E720" i="72"/>
  <c r="E60" i="63"/>
  <c r="G60" i="63" s="1"/>
  <c r="E56" i="63"/>
  <c r="G56" i="63" s="1"/>
  <c r="E58" i="63"/>
  <c r="G58" i="63" s="1"/>
  <c r="I49" i="65"/>
  <c r="E37" i="63"/>
  <c r="E25" i="63"/>
  <c r="E51" i="63"/>
  <c r="E29" i="63"/>
  <c r="E43" i="63"/>
  <c r="G59" i="63"/>
  <c r="G53" i="63"/>
  <c r="E27" i="63"/>
  <c r="E49" i="63"/>
  <c r="E35" i="63"/>
  <c r="G61" i="63"/>
  <c r="E47" i="63"/>
  <c r="E41" i="63"/>
  <c r="E39" i="63"/>
  <c r="E33" i="63"/>
  <c r="G55" i="63"/>
  <c r="G21" i="63"/>
  <c r="BA683" i="72" s="1"/>
  <c r="G57" i="63"/>
  <c r="E23" i="63"/>
  <c r="E31" i="63"/>
  <c r="E45" i="63"/>
  <c r="G63" i="63"/>
  <c r="BA692" i="82"/>
  <c r="BA690" i="82"/>
  <c r="CB698" i="72"/>
  <c r="BV693" i="72"/>
  <c r="BA708" i="82"/>
  <c r="BA682" i="72"/>
  <c r="CE700" i="82"/>
  <c r="CB700" i="82"/>
  <c r="BY690" i="82"/>
  <c r="BV690" i="82"/>
  <c r="BY693" i="82"/>
  <c r="BV693" i="82"/>
  <c r="BA706" i="82"/>
  <c r="AI682" i="82"/>
  <c r="AF682" i="82"/>
  <c r="CB684" i="82"/>
  <c r="CE684" i="82"/>
  <c r="BV685" i="82"/>
  <c r="BY685" i="82"/>
  <c r="CE698" i="82"/>
  <c r="CB698" i="82"/>
  <c r="BY684" i="82"/>
  <c r="BV684" i="82"/>
  <c r="BY696" i="82"/>
  <c r="BV696" i="82"/>
  <c r="CE694" i="82"/>
  <c r="CB694" i="82"/>
  <c r="BA684" i="82"/>
  <c r="BA712" i="82"/>
  <c r="BA698" i="82"/>
  <c r="BA682" i="82"/>
  <c r="AM575" i="82"/>
  <c r="AQ575" i="82"/>
  <c r="AE575" i="82"/>
  <c r="AI575" i="82"/>
  <c r="B576" i="82"/>
  <c r="AV575" i="82"/>
  <c r="AF694" i="82"/>
  <c r="AI694" i="82"/>
  <c r="CE696" i="82"/>
  <c r="CB696" i="82"/>
  <c r="BV694" i="82"/>
  <c r="BY694" i="82"/>
  <c r="BA704" i="82"/>
  <c r="AI692" i="82"/>
  <c r="AF692" i="82"/>
  <c r="AC685" i="82"/>
  <c r="Z685" i="82"/>
  <c r="BV689" i="82"/>
  <c r="BY689" i="82"/>
  <c r="BV698" i="82"/>
  <c r="BY698" i="82"/>
  <c r="AC688" i="82"/>
  <c r="Z688" i="82"/>
  <c r="BA686" i="82"/>
  <c r="BA710" i="82"/>
  <c r="BA696" i="82"/>
  <c r="AF685" i="82"/>
  <c r="AI685" i="82"/>
  <c r="AI683" i="82"/>
  <c r="AF683" i="82"/>
  <c r="AF684" i="82"/>
  <c r="AI684" i="82"/>
  <c r="AC686" i="82"/>
  <c r="Z686" i="82"/>
  <c r="AC682" i="82"/>
  <c r="Z682" i="82"/>
  <c r="Z700" i="82"/>
  <c r="AC700" i="82"/>
  <c r="Z696" i="82"/>
  <c r="AC696" i="82"/>
  <c r="Z684" i="82"/>
  <c r="AC684" i="82"/>
  <c r="Z683" i="82"/>
  <c r="AC683" i="82"/>
  <c r="AI695" i="82"/>
  <c r="AF695" i="82"/>
  <c r="CB692" i="82"/>
  <c r="CE692" i="82"/>
  <c r="BA702" i="82"/>
  <c r="Z694" i="82"/>
  <c r="AC694" i="82"/>
  <c r="AI700" i="82"/>
  <c r="AF700" i="82"/>
  <c r="AI696" i="82"/>
  <c r="AF696" i="82"/>
  <c r="AF686" i="82"/>
  <c r="AI686" i="82"/>
  <c r="BY700" i="82"/>
  <c r="BV700" i="82"/>
  <c r="AC695" i="82"/>
  <c r="Z695" i="82"/>
  <c r="AI688" i="82"/>
  <c r="AF688" i="82"/>
  <c r="BA688" i="82"/>
  <c r="BA700" i="82"/>
  <c r="BA694" i="82"/>
  <c r="AC692" i="82"/>
  <c r="Z692" i="82"/>
  <c r="BY692" i="82"/>
  <c r="BV692" i="82"/>
  <c r="CE685" i="82"/>
  <c r="CB685" i="82"/>
  <c r="CE693" i="82"/>
  <c r="CB693" i="82"/>
  <c r="CB689" i="82"/>
  <c r="CE689" i="82"/>
  <c r="CB690" i="82"/>
  <c r="CE690" i="82"/>
  <c r="BA714" i="82"/>
  <c r="I20" i="63"/>
  <c r="BA698" i="72"/>
  <c r="BA704" i="72"/>
  <c r="BA686" i="72"/>
  <c r="BA710" i="72"/>
  <c r="BA696" i="72"/>
  <c r="CE698" i="72"/>
  <c r="CB692" i="72"/>
  <c r="BA702" i="72"/>
  <c r="BV696" i="72"/>
  <c r="BA684" i="72"/>
  <c r="Z695" i="72"/>
  <c r="BA688" i="72"/>
  <c r="BA700" i="72"/>
  <c r="BA694" i="72"/>
  <c r="BA712" i="72"/>
  <c r="BV684" i="72"/>
  <c r="CE694" i="72"/>
  <c r="CE689" i="72"/>
  <c r="CE690" i="72"/>
  <c r="G19" i="63"/>
  <c r="I19" i="63" s="1"/>
  <c r="BA714" i="72"/>
  <c r="BY684" i="72"/>
  <c r="CE700" i="72"/>
  <c r="BA706" i="72"/>
  <c r="I28" i="63"/>
  <c r="I30" i="63"/>
  <c r="BA690" i="72"/>
  <c r="I52" i="63"/>
  <c r="BA692" i="72"/>
  <c r="I22" i="63"/>
  <c r="I44" i="63"/>
  <c r="I50" i="63"/>
  <c r="I24" i="63"/>
  <c r="I42" i="63"/>
  <c r="I46" i="63"/>
  <c r="I36" i="63"/>
  <c r="BA708" i="72"/>
  <c r="I48" i="63"/>
  <c r="I34" i="63"/>
  <c r="I26" i="63"/>
  <c r="I40" i="63"/>
  <c r="I38" i="63"/>
  <c r="I32" i="63"/>
  <c r="CE692" i="72"/>
  <c r="BV690" i="72"/>
  <c r="CB690" i="72"/>
  <c r="AF688" i="72"/>
  <c r="BV694" i="72"/>
  <c r="AC688" i="72"/>
  <c r="Z688" i="72"/>
  <c r="BY694" i="72"/>
  <c r="CB693" i="72"/>
  <c r="AI688" i="72"/>
  <c r="CB694" i="72"/>
  <c r="CB689" i="72"/>
  <c r="I138" i="65"/>
  <c r="H153" i="65"/>
  <c r="I154" i="65"/>
  <c r="H154" i="65"/>
  <c r="BY696" i="72"/>
  <c r="CB700" i="72"/>
  <c r="BV692" i="72"/>
  <c r="BV689" i="72"/>
  <c r="H155" i="65"/>
  <c r="I155" i="65"/>
  <c r="AC695" i="72"/>
  <c r="H137" i="65"/>
  <c r="I146" i="65"/>
  <c r="BY698" i="72"/>
  <c r="BV698" i="72"/>
  <c r="CB685" i="72"/>
  <c r="CE685" i="72"/>
  <c r="H136" i="65"/>
  <c r="I136" i="65"/>
  <c r="I164" i="65"/>
  <c r="H164" i="65"/>
  <c r="BY689" i="72"/>
  <c r="BY685" i="72"/>
  <c r="BV685" i="72"/>
  <c r="BV700" i="72"/>
  <c r="BY700" i="72"/>
  <c r="BY692" i="72"/>
  <c r="H31" i="65"/>
  <c r="I31" i="65"/>
  <c r="H38" i="65"/>
  <c r="I38" i="65"/>
  <c r="H30" i="65"/>
  <c r="I30" i="65"/>
  <c r="I134" i="65"/>
  <c r="H134" i="65"/>
  <c r="H29" i="65"/>
  <c r="I29" i="65"/>
  <c r="I150" i="65"/>
  <c r="H150" i="65"/>
  <c r="I28" i="65"/>
  <c r="H28" i="65"/>
  <c r="I51" i="65"/>
  <c r="H51" i="65"/>
  <c r="I55" i="65"/>
  <c r="H55" i="65"/>
  <c r="H142" i="65"/>
  <c r="I142" i="65"/>
  <c r="H59" i="65"/>
  <c r="I59" i="65"/>
  <c r="H42" i="65"/>
  <c r="I42" i="65"/>
  <c r="H56" i="65"/>
  <c r="I56" i="65"/>
  <c r="H165" i="65"/>
  <c r="I165" i="65"/>
  <c r="H35" i="65"/>
  <c r="I35" i="65"/>
  <c r="H40" i="65"/>
  <c r="I40" i="65"/>
  <c r="AI685" i="72"/>
  <c r="AF685" i="72"/>
  <c r="H166" i="65"/>
  <c r="I166" i="65"/>
  <c r="I43" i="65"/>
  <c r="H43" i="65"/>
  <c r="I61" i="65"/>
  <c r="H61" i="65"/>
  <c r="I149" i="65"/>
  <c r="H149" i="65"/>
  <c r="AI696" i="72"/>
  <c r="AF696" i="72"/>
  <c r="H139" i="65"/>
  <c r="I139" i="65"/>
  <c r="I48" i="65"/>
  <c r="H48" i="65"/>
  <c r="H52" i="65"/>
  <c r="I52" i="65"/>
  <c r="H158" i="65"/>
  <c r="I158" i="65"/>
  <c r="CE684" i="72"/>
  <c r="CB684" i="72"/>
  <c r="H46" i="65"/>
  <c r="I46" i="65"/>
  <c r="I53" i="65"/>
  <c r="H53" i="65"/>
  <c r="H44" i="65"/>
  <c r="I44" i="65"/>
  <c r="H60" i="65"/>
  <c r="I60" i="65"/>
  <c r="H33" i="65"/>
  <c r="I33" i="65"/>
  <c r="I54" i="65"/>
  <c r="H54" i="65"/>
  <c r="H45" i="65"/>
  <c r="I45" i="65"/>
  <c r="H37" i="65"/>
  <c r="I37" i="65"/>
  <c r="H39" i="65"/>
  <c r="I39" i="65"/>
  <c r="CB696" i="72"/>
  <c r="CE696" i="72"/>
  <c r="H135" i="65"/>
  <c r="I135" i="65"/>
  <c r="AI684" i="72"/>
  <c r="AF684" i="72"/>
  <c r="I50" i="65"/>
  <c r="H50" i="65"/>
  <c r="AI694" i="72"/>
  <c r="AF694" i="72"/>
  <c r="H36" i="65"/>
  <c r="I36" i="65"/>
  <c r="I162" i="65"/>
  <c r="H162" i="65"/>
  <c r="AI682" i="72"/>
  <c r="AF682" i="72"/>
  <c r="I58" i="65"/>
  <c r="H58" i="65"/>
  <c r="AI683" i="72"/>
  <c r="AF683" i="72"/>
  <c r="H47" i="65"/>
  <c r="I47" i="65"/>
  <c r="AI695" i="72"/>
  <c r="AF695" i="72"/>
  <c r="AI700" i="72"/>
  <c r="AF700" i="72"/>
  <c r="AI692" i="72"/>
  <c r="AF692" i="72"/>
  <c r="AI686" i="72"/>
  <c r="AF686" i="72"/>
  <c r="Z682" i="72"/>
  <c r="AC682" i="72"/>
  <c r="AC700" i="72"/>
  <c r="Z700" i="72"/>
  <c r="AC686" i="72"/>
  <c r="Z686" i="72"/>
  <c r="Z694" i="72"/>
  <c r="AC694" i="72"/>
  <c r="Z692" i="72"/>
  <c r="AC692" i="72"/>
  <c r="AC696" i="72"/>
  <c r="Z696" i="72"/>
  <c r="Z684" i="72"/>
  <c r="AC684" i="72"/>
  <c r="Z683" i="72"/>
  <c r="AC683" i="72"/>
  <c r="AC685" i="72"/>
  <c r="Z685" i="72"/>
  <c r="N427" i="69"/>
  <c r="I427" i="69"/>
  <c r="J427" i="69" s="1"/>
  <c r="N428" i="69"/>
  <c r="I428" i="69"/>
  <c r="J428" i="69" s="1"/>
  <c r="K428" i="69" s="1"/>
  <c r="N469" i="69"/>
  <c r="I469" i="69"/>
  <c r="G469" i="69"/>
  <c r="K469" i="69" s="1"/>
  <c r="N462" i="69"/>
  <c r="N463" i="69"/>
  <c r="N464" i="69"/>
  <c r="N461" i="69"/>
  <c r="BA720" i="82" l="1"/>
  <c r="I58" i="63"/>
  <c r="BA720" i="72"/>
  <c r="I56" i="63"/>
  <c r="BA718" i="82"/>
  <c r="BA718" i="72"/>
  <c r="BA716" i="72"/>
  <c r="I54" i="63"/>
  <c r="BA716" i="82"/>
  <c r="BA722" i="82"/>
  <c r="I60" i="63"/>
  <c r="BA722" i="72"/>
  <c r="I21" i="63"/>
  <c r="BA683" i="82"/>
  <c r="G31" i="63"/>
  <c r="G33" i="63"/>
  <c r="G27" i="63"/>
  <c r="G25" i="63"/>
  <c r="G29" i="63"/>
  <c r="BA723" i="82"/>
  <c r="BA723" i="72"/>
  <c r="I61" i="63"/>
  <c r="G43" i="63"/>
  <c r="G35" i="63"/>
  <c r="I57" i="63"/>
  <c r="BA719" i="82"/>
  <c r="BA719" i="72"/>
  <c r="G41" i="63"/>
  <c r="I53" i="63"/>
  <c r="BA715" i="72"/>
  <c r="BA715" i="82"/>
  <c r="I63" i="63"/>
  <c r="BA725" i="72"/>
  <c r="BA725" i="82"/>
  <c r="G45" i="63"/>
  <c r="I55" i="63"/>
  <c r="BA717" i="72"/>
  <c r="BA717" i="82"/>
  <c r="G49" i="63"/>
  <c r="G51" i="63"/>
  <c r="G47" i="63"/>
  <c r="I59" i="63"/>
  <c r="BA721" i="82"/>
  <c r="BA721" i="72"/>
  <c r="G23" i="63"/>
  <c r="G39" i="63"/>
  <c r="G37" i="63"/>
  <c r="AV576" i="82"/>
  <c r="AI576" i="82"/>
  <c r="B577" i="82"/>
  <c r="AM576" i="82"/>
  <c r="AQ576" i="82"/>
  <c r="AE576" i="82"/>
  <c r="BA681" i="72"/>
  <c r="BC681" i="72" s="1"/>
  <c r="BA681" i="82"/>
  <c r="K427" i="69"/>
  <c r="L427" i="69" s="1"/>
  <c r="O427" i="69" s="1"/>
  <c r="L428" i="69"/>
  <c r="O428" i="69" s="1"/>
  <c r="J469" i="69"/>
  <c r="L469" i="69" s="1"/>
  <c r="O469" i="69" s="1"/>
  <c r="O381" i="69"/>
  <c r="C3" i="53" s="1"/>
  <c r="E36" i="53" s="1"/>
  <c r="L381" i="69"/>
  <c r="K381" i="69"/>
  <c r="J381" i="69"/>
  <c r="B41" i="53"/>
  <c r="C41" i="53" s="1"/>
  <c r="B45" i="53"/>
  <c r="C45" i="53" s="1"/>
  <c r="D39" i="53"/>
  <c r="E39" i="53" s="1"/>
  <c r="D43" i="53"/>
  <c r="E43" i="53" s="1"/>
  <c r="D47" i="53"/>
  <c r="E47" i="53" s="1"/>
  <c r="D50" i="53"/>
  <c r="E50" i="53" s="1"/>
  <c r="F37" i="53"/>
  <c r="G37" i="53" s="1"/>
  <c r="F41" i="53"/>
  <c r="G41" i="53" s="1"/>
  <c r="F45" i="53"/>
  <c r="G45" i="53" s="1"/>
  <c r="F50" i="53"/>
  <c r="G50" i="53" s="1"/>
  <c r="H41" i="53"/>
  <c r="I41" i="53" s="1"/>
  <c r="H48" i="53"/>
  <c r="I48" i="53" s="1"/>
  <c r="H50" i="53"/>
  <c r="I50" i="53" s="1"/>
  <c r="R37" i="53"/>
  <c r="S37" i="53" s="1"/>
  <c r="R40" i="53"/>
  <c r="S40" i="53" s="1"/>
  <c r="R45" i="53"/>
  <c r="S45" i="53" s="1"/>
  <c r="R50" i="53"/>
  <c r="S50" i="53" s="1"/>
  <c r="T37" i="53"/>
  <c r="U37" i="53" s="1"/>
  <c r="T40" i="53"/>
  <c r="U40" i="53" s="1"/>
  <c r="T50" i="53"/>
  <c r="U50" i="53" s="1"/>
  <c r="V38" i="53"/>
  <c r="W38" i="53" s="1"/>
  <c r="V41" i="53"/>
  <c r="W41" i="53" s="1"/>
  <c r="V45" i="53"/>
  <c r="W45" i="53" s="1"/>
  <c r="V50" i="53"/>
  <c r="W50" i="53" s="1"/>
  <c r="X50" i="53"/>
  <c r="Y50" i="53" s="1"/>
  <c r="BA709" i="72" l="1"/>
  <c r="BA709" i="82"/>
  <c r="I47" i="63"/>
  <c r="BA705" i="82"/>
  <c r="I43" i="63"/>
  <c r="BA705" i="72"/>
  <c r="BA685" i="82"/>
  <c r="BA685" i="72"/>
  <c r="I23" i="63"/>
  <c r="I25" i="63"/>
  <c r="BA687" i="72"/>
  <c r="BA687" i="82"/>
  <c r="I51" i="63"/>
  <c r="BA713" i="72"/>
  <c r="BA713" i="82"/>
  <c r="BA707" i="82"/>
  <c r="BA707" i="72"/>
  <c r="I45" i="63"/>
  <c r="I27" i="63"/>
  <c r="BA689" i="82"/>
  <c r="BA689" i="72"/>
  <c r="I49" i="63"/>
  <c r="BA711" i="82"/>
  <c r="BA711" i="72"/>
  <c r="BA699" i="72"/>
  <c r="BA699" i="82"/>
  <c r="I37" i="63"/>
  <c r="I33" i="63"/>
  <c r="BA695" i="82"/>
  <c r="BA695" i="72"/>
  <c r="BA697" i="82"/>
  <c r="I35" i="63"/>
  <c r="BA697" i="72"/>
  <c r="BA701" i="82"/>
  <c r="I39" i="63"/>
  <c r="BA701" i="72"/>
  <c r="BA703" i="72"/>
  <c r="BA703" i="82"/>
  <c r="I41" i="63"/>
  <c r="BA691" i="72"/>
  <c r="I29" i="63"/>
  <c r="BA691" i="82"/>
  <c r="I31" i="63"/>
  <c r="BA693" i="82"/>
  <c r="BA693" i="72"/>
  <c r="B578" i="82"/>
  <c r="AQ577" i="82"/>
  <c r="AI577" i="82"/>
  <c r="AE577" i="82"/>
  <c r="AV577" i="82"/>
  <c r="AM577" i="82"/>
  <c r="BC681" i="82"/>
  <c r="AF40" i="53"/>
  <c r="AG40" i="53" s="1"/>
  <c r="AD40" i="53"/>
  <c r="AE40" i="53" s="1"/>
  <c r="AB40" i="53"/>
  <c r="AC40" i="53" s="1"/>
  <c r="Z40" i="53"/>
  <c r="AA40" i="53" s="1"/>
  <c r="P40" i="53"/>
  <c r="Q40" i="53" s="1"/>
  <c r="N44" i="53"/>
  <c r="O44" i="53" s="1"/>
  <c r="L40" i="53"/>
  <c r="M40" i="53" s="1"/>
  <c r="J40" i="53"/>
  <c r="K40" i="53" s="1"/>
  <c r="X41" i="53"/>
  <c r="Y41" i="53" s="1"/>
  <c r="X42" i="53"/>
  <c r="Y42" i="53" s="1"/>
  <c r="X38" i="53"/>
  <c r="Y38" i="53" s="1"/>
  <c r="D46" i="53"/>
  <c r="E46" i="53" s="1"/>
  <c r="D42" i="53"/>
  <c r="E42" i="53" s="1"/>
  <c r="H40" i="53"/>
  <c r="I40" i="53" s="1"/>
  <c r="X44" i="53"/>
  <c r="Y44" i="53" s="1"/>
  <c r="D41" i="53"/>
  <c r="E41" i="53" s="1"/>
  <c r="X43" i="53"/>
  <c r="Y43" i="53" s="1"/>
  <c r="X49" i="53"/>
  <c r="Y49" i="53" s="1"/>
  <c r="X47" i="53"/>
  <c r="Y47" i="53" s="1"/>
  <c r="H44" i="53"/>
  <c r="I44" i="53" s="1"/>
  <c r="X45" i="53"/>
  <c r="Y45" i="53" s="1"/>
  <c r="X40" i="53"/>
  <c r="Y40" i="53" s="1"/>
  <c r="D37" i="53"/>
  <c r="E37" i="53" s="1"/>
  <c r="R36" i="53"/>
  <c r="S36" i="53" s="1"/>
  <c r="D45" i="53"/>
  <c r="E45" i="53" s="1"/>
  <c r="T36" i="53"/>
  <c r="U36" i="53" s="1"/>
  <c r="X48" i="53"/>
  <c r="Y48" i="53" s="1"/>
  <c r="H42" i="53"/>
  <c r="I42" i="53" s="1"/>
  <c r="X39" i="53"/>
  <c r="Y39" i="53" s="1"/>
  <c r="D38" i="53"/>
  <c r="E38" i="53" s="1"/>
  <c r="H38" i="53"/>
  <c r="I38" i="53" s="1"/>
  <c r="X46" i="53"/>
  <c r="Y46" i="53" s="1"/>
  <c r="X37" i="53"/>
  <c r="Y37" i="53" s="1"/>
  <c r="D49" i="53"/>
  <c r="E49" i="53" s="1"/>
  <c r="H46" i="53"/>
  <c r="I46" i="53" s="1"/>
  <c r="F42" i="53"/>
  <c r="G42" i="53" s="1"/>
  <c r="V44" i="53"/>
  <c r="W44" i="53" s="1"/>
  <c r="D48" i="53"/>
  <c r="E48" i="53" s="1"/>
  <c r="D44" i="53"/>
  <c r="E44" i="53" s="1"/>
  <c r="D40" i="53"/>
  <c r="E40" i="53" s="1"/>
  <c r="H49" i="53"/>
  <c r="I49" i="53" s="1"/>
  <c r="H47" i="53"/>
  <c r="I47" i="53" s="1"/>
  <c r="H45" i="53"/>
  <c r="I45" i="53" s="1"/>
  <c r="H43" i="53"/>
  <c r="I43" i="53" s="1"/>
  <c r="H39" i="53"/>
  <c r="I39" i="53" s="1"/>
  <c r="H37" i="53"/>
  <c r="I37" i="53" s="1"/>
  <c r="T49" i="53"/>
  <c r="U49" i="53" s="1"/>
  <c r="T48" i="53"/>
  <c r="U48" i="53" s="1"/>
  <c r="T47" i="53"/>
  <c r="U47" i="53" s="1"/>
  <c r="T46" i="53"/>
  <c r="U46" i="53" s="1"/>
  <c r="T45" i="53"/>
  <c r="U45" i="53" s="1"/>
  <c r="T44" i="53"/>
  <c r="U44" i="53" s="1"/>
  <c r="T43" i="53"/>
  <c r="U43" i="53" s="1"/>
  <c r="T42" i="53"/>
  <c r="U42" i="53" s="1"/>
  <c r="T41" i="53"/>
  <c r="U41" i="53" s="1"/>
  <c r="T39" i="53"/>
  <c r="U39" i="53" s="1"/>
  <c r="T38" i="53"/>
  <c r="U38" i="53" s="1"/>
  <c r="F48" i="53"/>
  <c r="G48" i="53" s="1"/>
  <c r="F44" i="53"/>
  <c r="G44" i="53" s="1"/>
  <c r="F40" i="53"/>
  <c r="G40" i="53" s="1"/>
  <c r="F38" i="53"/>
  <c r="G38" i="53" s="1"/>
  <c r="V49" i="53"/>
  <c r="W49" i="53" s="1"/>
  <c r="V46" i="53"/>
  <c r="W46" i="53" s="1"/>
  <c r="V43" i="53"/>
  <c r="W43" i="53" s="1"/>
  <c r="V40" i="53"/>
  <c r="W40" i="53" s="1"/>
  <c r="V39" i="53"/>
  <c r="W39" i="53" s="1"/>
  <c r="V37" i="53"/>
  <c r="W37" i="53" s="1"/>
  <c r="V36" i="53"/>
  <c r="W36" i="53" s="1"/>
  <c r="H36" i="53"/>
  <c r="I36" i="53" s="1"/>
  <c r="X36" i="53"/>
  <c r="Y36" i="53" s="1"/>
  <c r="F46" i="53"/>
  <c r="G46" i="53" s="1"/>
  <c r="V48" i="53"/>
  <c r="W48" i="53" s="1"/>
  <c r="V47" i="53"/>
  <c r="W47" i="53" s="1"/>
  <c r="V42" i="53"/>
  <c r="W42" i="53" s="1"/>
  <c r="F36" i="53"/>
  <c r="G36" i="53" s="1"/>
  <c r="F49" i="53"/>
  <c r="G49" i="53" s="1"/>
  <c r="F47" i="53"/>
  <c r="G47" i="53" s="1"/>
  <c r="F43" i="53"/>
  <c r="G43" i="53" s="1"/>
  <c r="F39" i="53"/>
  <c r="G39" i="53" s="1"/>
  <c r="R49" i="53"/>
  <c r="S49" i="53" s="1"/>
  <c r="R48" i="53"/>
  <c r="S48" i="53" s="1"/>
  <c r="R47" i="53"/>
  <c r="S47" i="53" s="1"/>
  <c r="R46" i="53"/>
  <c r="S46" i="53" s="1"/>
  <c r="R44" i="53"/>
  <c r="S44" i="53" s="1"/>
  <c r="R43" i="53"/>
  <c r="S43" i="53" s="1"/>
  <c r="R42" i="53"/>
  <c r="S42" i="53" s="1"/>
  <c r="R41" i="53"/>
  <c r="S41" i="53" s="1"/>
  <c r="R39" i="53"/>
  <c r="S39" i="53" s="1"/>
  <c r="R38" i="53"/>
  <c r="S38" i="53" s="1"/>
  <c r="B46" i="53"/>
  <c r="C46" i="53" s="1"/>
  <c r="B42" i="53"/>
  <c r="C42" i="53" s="1"/>
  <c r="B48" i="53"/>
  <c r="C48" i="53" s="1"/>
  <c r="B44" i="53"/>
  <c r="C44" i="53" s="1"/>
  <c r="B40" i="53"/>
  <c r="C40" i="53" s="1"/>
  <c r="B47" i="53"/>
  <c r="C47" i="53" s="1"/>
  <c r="B43" i="53"/>
  <c r="C43" i="53" s="1"/>
  <c r="B49" i="53"/>
  <c r="C49" i="53" s="1"/>
  <c r="M381" i="69"/>
  <c r="P381" i="69" s="1"/>
  <c r="AI578" i="82" l="1"/>
  <c r="AV578" i="82"/>
  <c r="AE578" i="82"/>
  <c r="B579" i="82"/>
  <c r="AQ578" i="82"/>
  <c r="AM578" i="82"/>
  <c r="D3" i="53"/>
  <c r="AD43" i="53"/>
  <c r="AE43" i="53" s="1"/>
  <c r="AD44" i="53"/>
  <c r="AE44" i="53" s="1"/>
  <c r="N40" i="53"/>
  <c r="O40" i="53" s="1"/>
  <c r="AD41" i="53"/>
  <c r="AE41" i="53" s="1"/>
  <c r="AD42" i="53"/>
  <c r="AE42" i="53" s="1"/>
  <c r="AF42" i="53"/>
  <c r="AG42" i="53" s="1"/>
  <c r="AF41" i="53"/>
  <c r="AG41" i="53" s="1"/>
  <c r="AB41" i="53"/>
  <c r="AC41" i="53" s="1"/>
  <c r="AF43" i="53"/>
  <c r="AG43" i="53" s="1"/>
  <c r="AB42" i="53"/>
  <c r="AC42" i="53" s="1"/>
  <c r="AF44" i="53"/>
  <c r="AG44" i="53" s="1"/>
  <c r="AB43" i="53"/>
  <c r="AC43" i="53" s="1"/>
  <c r="AB44" i="53"/>
  <c r="AC44" i="53" s="1"/>
  <c r="Z41" i="53"/>
  <c r="AA41" i="53" s="1"/>
  <c r="Z42" i="53"/>
  <c r="AA42" i="53" s="1"/>
  <c r="Z43" i="53"/>
  <c r="AA43" i="53" s="1"/>
  <c r="Z44" i="53"/>
  <c r="AA44" i="53" s="1"/>
  <c r="AF50" i="53"/>
  <c r="AG50" i="53" s="1"/>
  <c r="AF47" i="53"/>
  <c r="AG47" i="53" s="1"/>
  <c r="AF36" i="53"/>
  <c r="AG36" i="53" s="1"/>
  <c r="AD50" i="53"/>
  <c r="AE50" i="53" s="1"/>
  <c r="P41" i="53"/>
  <c r="Q41" i="53" s="1"/>
  <c r="AD45" i="53"/>
  <c r="AE45" i="53" s="1"/>
  <c r="P42" i="53"/>
  <c r="Q42" i="53" s="1"/>
  <c r="P43" i="53"/>
  <c r="Q43" i="53" s="1"/>
  <c r="P44" i="53"/>
  <c r="Q44" i="53" s="1"/>
  <c r="AD36" i="53"/>
  <c r="AE36" i="53" s="1"/>
  <c r="AB50" i="53"/>
  <c r="AC50" i="53" s="1"/>
  <c r="N41" i="53"/>
  <c r="O41" i="53" s="1"/>
  <c r="N42" i="53"/>
  <c r="O42" i="53" s="1"/>
  <c r="N43" i="53"/>
  <c r="O43" i="53" s="1"/>
  <c r="AB45" i="53"/>
  <c r="AC45" i="53" s="1"/>
  <c r="AB39" i="53"/>
  <c r="AC39" i="53" s="1"/>
  <c r="L42" i="53"/>
  <c r="M42" i="53" s="1"/>
  <c r="L43" i="53"/>
  <c r="M43" i="53" s="1"/>
  <c r="M44" i="53"/>
  <c r="L41" i="53"/>
  <c r="M41" i="53" s="1"/>
  <c r="Z36" i="53"/>
  <c r="AA36" i="53" s="1"/>
  <c r="J44" i="53"/>
  <c r="K44" i="53" s="1"/>
  <c r="J41" i="53"/>
  <c r="K41" i="53" s="1"/>
  <c r="J42" i="53"/>
  <c r="K42" i="53" s="1"/>
  <c r="P45" i="53"/>
  <c r="Q45" i="53" s="1"/>
  <c r="J43" i="53"/>
  <c r="K43" i="53" s="1"/>
  <c r="N36" i="53"/>
  <c r="L50" i="53"/>
  <c r="M50" i="53" s="1"/>
  <c r="L47" i="53"/>
  <c r="M47" i="53" s="1"/>
  <c r="J50" i="53"/>
  <c r="K50" i="53" s="1"/>
  <c r="J47" i="53"/>
  <c r="K47" i="53" s="1"/>
  <c r="AQ579" i="82" l="1"/>
  <c r="AV579" i="82"/>
  <c r="AE579" i="82"/>
  <c r="AM579" i="82"/>
  <c r="AI579" i="82"/>
  <c r="B580" i="82"/>
  <c r="O36" i="53"/>
  <c r="AF37" i="53"/>
  <c r="AG37" i="53" s="1"/>
  <c r="L45" i="53"/>
  <c r="M45" i="53" s="1"/>
  <c r="AD37" i="53"/>
  <c r="AE37" i="53" s="1"/>
  <c r="AF39" i="53"/>
  <c r="AG39" i="53" s="1"/>
  <c r="P50" i="53"/>
  <c r="Q50" i="53" s="1"/>
  <c r="AF38" i="53"/>
  <c r="AG38" i="53" s="1"/>
  <c r="AB48" i="53"/>
  <c r="AC48" i="53" s="1"/>
  <c r="AB49" i="53"/>
  <c r="AC49" i="53" s="1"/>
  <c r="Z47" i="53"/>
  <c r="AA47" i="53" s="1"/>
  <c r="AB47" i="53"/>
  <c r="AC47" i="53" s="1"/>
  <c r="AB46" i="53"/>
  <c r="AC46" i="53" s="1"/>
  <c r="Z46" i="53"/>
  <c r="AA46" i="53" s="1"/>
  <c r="Z48" i="53"/>
  <c r="AA48" i="53" s="1"/>
  <c r="Z49" i="53"/>
  <c r="AA49" i="53" s="1"/>
  <c r="AD38" i="53"/>
  <c r="AE38" i="53" s="1"/>
  <c r="Z45" i="53"/>
  <c r="AA45" i="53" s="1"/>
  <c r="N50" i="53"/>
  <c r="O50" i="53" s="1"/>
  <c r="AD39" i="53"/>
  <c r="AE39" i="53" s="1"/>
  <c r="AB36" i="53"/>
  <c r="AC36" i="53" s="1"/>
  <c r="AB37" i="53"/>
  <c r="AC37" i="53" s="1"/>
  <c r="AB38" i="53"/>
  <c r="AC38" i="53" s="1"/>
  <c r="AD49" i="53"/>
  <c r="AE49" i="53" s="1"/>
  <c r="AD48" i="53"/>
  <c r="AE48" i="53" s="1"/>
  <c r="AD47" i="53"/>
  <c r="AE47" i="53" s="1"/>
  <c r="AD46" i="53"/>
  <c r="AE46" i="53" s="1"/>
  <c r="AF46" i="53"/>
  <c r="AG46" i="53" s="1"/>
  <c r="AF48" i="53"/>
  <c r="AG48" i="53" s="1"/>
  <c r="AF45" i="53"/>
  <c r="AG45" i="53" s="1"/>
  <c r="AF49" i="53"/>
  <c r="AG49" i="53" s="1"/>
  <c r="Z50" i="53"/>
  <c r="AA50" i="53" s="1"/>
  <c r="P47" i="53"/>
  <c r="Q47" i="53" s="1"/>
  <c r="P48" i="53"/>
  <c r="Q48" i="53" s="1"/>
  <c r="P46" i="53"/>
  <c r="Q46" i="53" s="1"/>
  <c r="P49" i="53"/>
  <c r="Q49" i="53" s="1"/>
  <c r="N46" i="53"/>
  <c r="O46" i="53" s="1"/>
  <c r="N49" i="53"/>
  <c r="O49" i="53" s="1"/>
  <c r="N47" i="53"/>
  <c r="O47" i="53" s="1"/>
  <c r="L36" i="53"/>
  <c r="M36" i="53" s="1"/>
  <c r="N48" i="53"/>
  <c r="O48" i="53" s="1"/>
  <c r="N45" i="53"/>
  <c r="O45" i="53" s="1"/>
  <c r="Z37" i="53"/>
  <c r="AA37" i="53" s="1"/>
  <c r="Z39" i="53"/>
  <c r="AA39" i="53" s="1"/>
  <c r="P37" i="53"/>
  <c r="Q37" i="53" s="1"/>
  <c r="Z38" i="53"/>
  <c r="AA38" i="53" s="1"/>
  <c r="P38" i="53"/>
  <c r="Q38" i="53" s="1"/>
  <c r="P36" i="53"/>
  <c r="Q36" i="53" s="1"/>
  <c r="P39" i="53"/>
  <c r="Q39" i="53" s="1"/>
  <c r="J45" i="53"/>
  <c r="K45" i="53" s="1"/>
  <c r="N38" i="53"/>
  <c r="O38" i="53" s="1"/>
  <c r="N39" i="53"/>
  <c r="O39" i="53" s="1"/>
  <c r="N37" i="53"/>
  <c r="O37" i="53" s="1"/>
  <c r="L46" i="53"/>
  <c r="M46" i="53" s="1"/>
  <c r="L48" i="53"/>
  <c r="M48" i="53" s="1"/>
  <c r="L49" i="53"/>
  <c r="M49" i="53" s="1"/>
  <c r="L39" i="53"/>
  <c r="M39" i="53" s="1"/>
  <c r="L37" i="53"/>
  <c r="M37" i="53" s="1"/>
  <c r="L38" i="53"/>
  <c r="M38" i="53" s="1"/>
  <c r="J46" i="53"/>
  <c r="K46" i="53" s="1"/>
  <c r="J48" i="53"/>
  <c r="K48" i="53" s="1"/>
  <c r="J49" i="53"/>
  <c r="K49" i="53" s="1"/>
  <c r="N238" i="69"/>
  <c r="C11" i="53" s="1"/>
  <c r="B36" i="53" s="1"/>
  <c r="C36" i="53" s="1"/>
  <c r="I238" i="69"/>
  <c r="J238" i="69" s="1"/>
  <c r="B581" i="82" l="1"/>
  <c r="AM580" i="82"/>
  <c r="AE580" i="82"/>
  <c r="AQ580" i="82"/>
  <c r="AV580" i="82"/>
  <c r="AI580" i="82"/>
  <c r="B37" i="53"/>
  <c r="C37" i="53" s="1"/>
  <c r="B38" i="53"/>
  <c r="C38" i="53" s="1"/>
  <c r="B39" i="53"/>
  <c r="C39" i="53" s="1"/>
  <c r="K238" i="69"/>
  <c r="L238" i="69" s="1"/>
  <c r="O238" i="69" s="1"/>
  <c r="EX661" i="72"/>
  <c r="EY661" i="72" s="1"/>
  <c r="ES661" i="72"/>
  <c r="EN661" i="72"/>
  <c r="EI661" i="72"/>
  <c r="EE661" i="72"/>
  <c r="EA661" i="72"/>
  <c r="BP661" i="72"/>
  <c r="BQ661" i="72" s="1"/>
  <c r="BK661" i="72"/>
  <c r="BF661" i="72"/>
  <c r="BA661" i="72"/>
  <c r="AW661" i="72"/>
  <c r="AS661" i="72"/>
  <c r="DG661" i="72"/>
  <c r="DH661" i="72" s="1"/>
  <c r="DB661" i="72"/>
  <c r="CW661" i="72"/>
  <c r="CR661" i="72"/>
  <c r="CN661" i="72"/>
  <c r="CJ661" i="72"/>
  <c r="Y661" i="72"/>
  <c r="T661" i="72"/>
  <c r="O661" i="72"/>
  <c r="J661" i="72"/>
  <c r="F661" i="72"/>
  <c r="B661" i="72"/>
  <c r="I31" i="32"/>
  <c r="J31" i="32" s="1"/>
  <c r="K31" i="32" s="1"/>
  <c r="I12" i="32"/>
  <c r="J12" i="32" s="1"/>
  <c r="K12" i="32" s="1"/>
  <c r="L12" i="32" s="1"/>
  <c r="J375" i="69"/>
  <c r="K375" i="69"/>
  <c r="L375" i="69"/>
  <c r="O375" i="69"/>
  <c r="J376" i="69"/>
  <c r="K376" i="69"/>
  <c r="L376" i="69"/>
  <c r="O376" i="69"/>
  <c r="J377" i="69"/>
  <c r="K377" i="69"/>
  <c r="L377" i="69"/>
  <c r="O377" i="69"/>
  <c r="O374" i="69"/>
  <c r="L374" i="69"/>
  <c r="K374" i="69"/>
  <c r="J374" i="69"/>
  <c r="AV581" i="82" l="1"/>
  <c r="AE581" i="82"/>
  <c r="AI581" i="82"/>
  <c r="B582" i="82"/>
  <c r="AQ581" i="82"/>
  <c r="AM581" i="82"/>
  <c r="D11" i="53"/>
  <c r="J37" i="53" s="1"/>
  <c r="K37" i="53" s="1"/>
  <c r="E3" i="32"/>
  <c r="E6" i="32"/>
  <c r="E4" i="32"/>
  <c r="E5" i="32"/>
  <c r="M377" i="69"/>
  <c r="P377" i="69" s="1"/>
  <c r="L31" i="32"/>
  <c r="E31" i="32" s="1"/>
  <c r="E12" i="32"/>
  <c r="M376" i="69"/>
  <c r="P376" i="69" s="1"/>
  <c r="M375" i="69"/>
  <c r="P375" i="69" s="1"/>
  <c r="M374" i="69"/>
  <c r="P374" i="69" s="1"/>
  <c r="AI582" i="82" l="1"/>
  <c r="AV582" i="82"/>
  <c r="B583" i="82"/>
  <c r="AM582" i="82"/>
  <c r="AQ582" i="82"/>
  <c r="AE582" i="82"/>
  <c r="F6" i="32"/>
  <c r="F5" i="32"/>
  <c r="F4" i="32"/>
  <c r="F3" i="32"/>
  <c r="J39" i="53"/>
  <c r="K39" i="53" s="1"/>
  <c r="J38" i="53"/>
  <c r="K38" i="53" s="1"/>
  <c r="J36" i="53"/>
  <c r="K36" i="53" s="1"/>
  <c r="Z661" i="72"/>
  <c r="N66" i="69"/>
  <c r="N65" i="69"/>
  <c r="O65" i="69"/>
  <c r="AQ583" i="82" l="1"/>
  <c r="AM583" i="82"/>
  <c r="AI583" i="82"/>
  <c r="AE583" i="82"/>
  <c r="B584" i="82"/>
  <c r="AV583" i="82"/>
  <c r="AT555" i="72"/>
  <c r="AQ584" i="82" l="1"/>
  <c r="AE584" i="82"/>
  <c r="AV584" i="82"/>
  <c r="AI584" i="82"/>
  <c r="B585" i="82"/>
  <c r="AM584" i="82"/>
  <c r="AV585" i="82" l="1"/>
  <c r="AI585" i="82"/>
  <c r="AE585" i="82"/>
  <c r="AQ585" i="82"/>
  <c r="AM585" i="82"/>
  <c r="B586" i="82"/>
  <c r="AI586" i="82" l="1"/>
  <c r="AM586" i="82"/>
  <c r="B587" i="82"/>
  <c r="AE586" i="82"/>
  <c r="AV586" i="82"/>
  <c r="AQ586" i="82"/>
  <c r="I24" i="73"/>
  <c r="I26" i="73"/>
  <c r="I31" i="73"/>
  <c r="I32" i="73"/>
  <c r="I33" i="73"/>
  <c r="I34" i="73"/>
  <c r="I39" i="73"/>
  <c r="I40" i="73"/>
  <c r="I41" i="73"/>
  <c r="I42" i="73"/>
  <c r="I47" i="73"/>
  <c r="I48" i="73"/>
  <c r="I49" i="73"/>
  <c r="I50" i="73"/>
  <c r="I55" i="73"/>
  <c r="I56" i="73"/>
  <c r="I57" i="73"/>
  <c r="I58" i="73"/>
  <c r="I63" i="73"/>
  <c r="I64" i="73"/>
  <c r="I65" i="73"/>
  <c r="I66" i="73"/>
  <c r="I71" i="73"/>
  <c r="I72" i="73"/>
  <c r="I73" i="73"/>
  <c r="I74" i="73"/>
  <c r="I79" i="73"/>
  <c r="I80" i="73"/>
  <c r="I81" i="73"/>
  <c r="I82" i="73"/>
  <c r="I87" i="73"/>
  <c r="I88" i="73"/>
  <c r="I89" i="73"/>
  <c r="I90" i="73"/>
  <c r="I92" i="73"/>
  <c r="I94" i="73"/>
  <c r="I99" i="73"/>
  <c r="I100" i="73"/>
  <c r="I101" i="73"/>
  <c r="I102" i="73"/>
  <c r="I107" i="73"/>
  <c r="I108" i="73"/>
  <c r="I109" i="73"/>
  <c r="I110" i="73"/>
  <c r="I115" i="73"/>
  <c r="I116" i="73"/>
  <c r="I117" i="73"/>
  <c r="I118" i="73"/>
  <c r="I123" i="73"/>
  <c r="I124" i="73"/>
  <c r="I125" i="73"/>
  <c r="I126" i="73"/>
  <c r="I131" i="73"/>
  <c r="I132" i="73"/>
  <c r="I133" i="73"/>
  <c r="I134" i="73"/>
  <c r="I140" i="73"/>
  <c r="I141" i="73"/>
  <c r="I142" i="73"/>
  <c r="I139" i="73"/>
  <c r="I148" i="73"/>
  <c r="I149" i="73"/>
  <c r="I150" i="73"/>
  <c r="I147" i="73"/>
  <c r="I156" i="73"/>
  <c r="I157" i="73"/>
  <c r="I158" i="73"/>
  <c r="I155" i="73"/>
  <c r="G308" i="69"/>
  <c r="K308" i="69" s="1"/>
  <c r="H308" i="69"/>
  <c r="L308" i="69" s="1"/>
  <c r="J308" i="69"/>
  <c r="O308" i="69"/>
  <c r="G309" i="69"/>
  <c r="K309" i="69" s="1"/>
  <c r="H309" i="69"/>
  <c r="L309" i="69" s="1"/>
  <c r="J309" i="69"/>
  <c r="O309" i="69"/>
  <c r="G310" i="69"/>
  <c r="K310" i="69" s="1"/>
  <c r="H310" i="69"/>
  <c r="L310" i="69" s="1"/>
  <c r="J310" i="69"/>
  <c r="O310" i="69"/>
  <c r="G311" i="69"/>
  <c r="K311" i="69" s="1"/>
  <c r="H311" i="69"/>
  <c r="L311" i="69" s="1"/>
  <c r="J311" i="69"/>
  <c r="O311" i="69"/>
  <c r="G312" i="69"/>
  <c r="K312" i="69" s="1"/>
  <c r="H312" i="69"/>
  <c r="L312" i="69" s="1"/>
  <c r="J312" i="69"/>
  <c r="O312" i="69"/>
  <c r="G313" i="69"/>
  <c r="K313" i="69" s="1"/>
  <c r="H313" i="69"/>
  <c r="L313" i="69" s="1"/>
  <c r="J313" i="69"/>
  <c r="O313" i="69"/>
  <c r="G314" i="69"/>
  <c r="K314" i="69" s="1"/>
  <c r="H314" i="69"/>
  <c r="L314" i="69" s="1"/>
  <c r="J314" i="69"/>
  <c r="O314" i="69"/>
  <c r="G315" i="69"/>
  <c r="K315" i="69" s="1"/>
  <c r="H315" i="69"/>
  <c r="L315" i="69" s="1"/>
  <c r="J315" i="69"/>
  <c r="O315" i="69"/>
  <c r="G316" i="69"/>
  <c r="K316" i="69" s="1"/>
  <c r="H316" i="69"/>
  <c r="L316" i="69" s="1"/>
  <c r="J316" i="69"/>
  <c r="O316" i="69"/>
  <c r="G317" i="69"/>
  <c r="K317" i="69" s="1"/>
  <c r="H317" i="69"/>
  <c r="L317" i="69" s="1"/>
  <c r="J317" i="69"/>
  <c r="O317" i="69"/>
  <c r="G318" i="69"/>
  <c r="K318" i="69" s="1"/>
  <c r="H318" i="69"/>
  <c r="L318" i="69" s="1"/>
  <c r="J318" i="69"/>
  <c r="O318" i="69"/>
  <c r="G319" i="69"/>
  <c r="K319" i="69" s="1"/>
  <c r="H319" i="69"/>
  <c r="L319" i="69" s="1"/>
  <c r="J319" i="69"/>
  <c r="O319" i="69"/>
  <c r="G320" i="69"/>
  <c r="K320" i="69" s="1"/>
  <c r="H320" i="69"/>
  <c r="L320" i="69" s="1"/>
  <c r="J320" i="69"/>
  <c r="O320" i="69"/>
  <c r="G321" i="69"/>
  <c r="K321" i="69" s="1"/>
  <c r="H321" i="69"/>
  <c r="L321" i="69" s="1"/>
  <c r="J321" i="69"/>
  <c r="O321" i="69"/>
  <c r="G322" i="69"/>
  <c r="K322" i="69" s="1"/>
  <c r="H322" i="69"/>
  <c r="L322" i="69" s="1"/>
  <c r="J322" i="69"/>
  <c r="O322" i="69"/>
  <c r="G323" i="69"/>
  <c r="K323" i="69" s="1"/>
  <c r="H323" i="69"/>
  <c r="L323" i="69" s="1"/>
  <c r="J323" i="69"/>
  <c r="O323" i="69"/>
  <c r="G324" i="69"/>
  <c r="K324" i="69" s="1"/>
  <c r="H324" i="69"/>
  <c r="L324" i="69" s="1"/>
  <c r="J324" i="69"/>
  <c r="O324" i="69"/>
  <c r="G325" i="69"/>
  <c r="K325" i="69" s="1"/>
  <c r="H325" i="69"/>
  <c r="L325" i="69" s="1"/>
  <c r="J325" i="69"/>
  <c r="O325" i="69"/>
  <c r="G326" i="69"/>
  <c r="K326" i="69" s="1"/>
  <c r="H326" i="69"/>
  <c r="L326" i="69" s="1"/>
  <c r="J326" i="69"/>
  <c r="O326" i="69"/>
  <c r="G327" i="69"/>
  <c r="K327" i="69" s="1"/>
  <c r="H327" i="69"/>
  <c r="L327" i="69" s="1"/>
  <c r="J327" i="69"/>
  <c r="O327" i="69"/>
  <c r="G328" i="69"/>
  <c r="K328" i="69" s="1"/>
  <c r="H328" i="69"/>
  <c r="L328" i="69" s="1"/>
  <c r="J328" i="69"/>
  <c r="O328" i="69"/>
  <c r="G329" i="69"/>
  <c r="K329" i="69" s="1"/>
  <c r="H329" i="69"/>
  <c r="L329" i="69" s="1"/>
  <c r="J329" i="69"/>
  <c r="O329" i="69"/>
  <c r="G330" i="69"/>
  <c r="K330" i="69" s="1"/>
  <c r="H330" i="69"/>
  <c r="L330" i="69" s="1"/>
  <c r="J330" i="69"/>
  <c r="O330" i="69"/>
  <c r="G331" i="69"/>
  <c r="K331" i="69" s="1"/>
  <c r="H331" i="69"/>
  <c r="L331" i="69" s="1"/>
  <c r="J331" i="69"/>
  <c r="O331" i="69"/>
  <c r="G332" i="69"/>
  <c r="K332" i="69" s="1"/>
  <c r="H332" i="69"/>
  <c r="L332" i="69" s="1"/>
  <c r="J332" i="69"/>
  <c r="O332" i="69"/>
  <c r="G333" i="69"/>
  <c r="K333" i="69" s="1"/>
  <c r="H333" i="69"/>
  <c r="L333" i="69" s="1"/>
  <c r="J333" i="69"/>
  <c r="O333" i="69"/>
  <c r="G334" i="69"/>
  <c r="K334" i="69" s="1"/>
  <c r="H334" i="69"/>
  <c r="L334" i="69" s="1"/>
  <c r="J334" i="69"/>
  <c r="O334" i="69"/>
  <c r="G335" i="69"/>
  <c r="K335" i="69" s="1"/>
  <c r="H335" i="69"/>
  <c r="L335" i="69" s="1"/>
  <c r="J335" i="69"/>
  <c r="O335" i="69"/>
  <c r="G336" i="69"/>
  <c r="K336" i="69" s="1"/>
  <c r="H336" i="69"/>
  <c r="L336" i="69" s="1"/>
  <c r="J336" i="69"/>
  <c r="O336" i="69"/>
  <c r="G337" i="69"/>
  <c r="K337" i="69" s="1"/>
  <c r="H337" i="69"/>
  <c r="L337" i="69" s="1"/>
  <c r="J337" i="69"/>
  <c r="O337" i="69"/>
  <c r="G338" i="69"/>
  <c r="K338" i="69" s="1"/>
  <c r="H338" i="69"/>
  <c r="L338" i="69" s="1"/>
  <c r="J338" i="69"/>
  <c r="O338" i="69"/>
  <c r="G339" i="69"/>
  <c r="K339" i="69" s="1"/>
  <c r="H339" i="69"/>
  <c r="L339" i="69" s="1"/>
  <c r="J339" i="69"/>
  <c r="O339" i="69"/>
  <c r="G340" i="69"/>
  <c r="K340" i="69" s="1"/>
  <c r="H340" i="69"/>
  <c r="L340" i="69" s="1"/>
  <c r="J340" i="69"/>
  <c r="O340" i="69"/>
  <c r="G341" i="69"/>
  <c r="K341" i="69" s="1"/>
  <c r="H341" i="69"/>
  <c r="L341" i="69" s="1"/>
  <c r="J341" i="69"/>
  <c r="O341" i="69"/>
  <c r="G342" i="69"/>
  <c r="K342" i="69" s="1"/>
  <c r="H342" i="69"/>
  <c r="L342" i="69" s="1"/>
  <c r="J342" i="69"/>
  <c r="O342" i="69"/>
  <c r="G343" i="69"/>
  <c r="K343" i="69" s="1"/>
  <c r="H343" i="69"/>
  <c r="L343" i="69" s="1"/>
  <c r="J343" i="69"/>
  <c r="O343" i="69"/>
  <c r="G344" i="69"/>
  <c r="K344" i="69" s="1"/>
  <c r="H344" i="69"/>
  <c r="L344" i="69" s="1"/>
  <c r="J344" i="69"/>
  <c r="O344" i="69"/>
  <c r="G345" i="69"/>
  <c r="K345" i="69" s="1"/>
  <c r="H345" i="69"/>
  <c r="L345" i="69" s="1"/>
  <c r="J345" i="69"/>
  <c r="O345" i="69"/>
  <c r="G346" i="69"/>
  <c r="K346" i="69" s="1"/>
  <c r="H346" i="69"/>
  <c r="L346" i="69" s="1"/>
  <c r="J346" i="69"/>
  <c r="O346" i="69"/>
  <c r="G347" i="69"/>
  <c r="K347" i="69" s="1"/>
  <c r="H347" i="69"/>
  <c r="L347" i="69" s="1"/>
  <c r="J347" i="69"/>
  <c r="O347" i="69"/>
  <c r="G348" i="69"/>
  <c r="K348" i="69" s="1"/>
  <c r="H348" i="69"/>
  <c r="L348" i="69" s="1"/>
  <c r="J348" i="69"/>
  <c r="O348" i="69"/>
  <c r="G349" i="69"/>
  <c r="K349" i="69" s="1"/>
  <c r="H349" i="69"/>
  <c r="L349" i="69" s="1"/>
  <c r="J349" i="69"/>
  <c r="O349" i="69"/>
  <c r="G350" i="69"/>
  <c r="K350" i="69" s="1"/>
  <c r="H350" i="69"/>
  <c r="L350" i="69" s="1"/>
  <c r="J350" i="69"/>
  <c r="O350" i="69"/>
  <c r="G351" i="69"/>
  <c r="K351" i="69" s="1"/>
  <c r="H351" i="69"/>
  <c r="L351" i="69" s="1"/>
  <c r="J351" i="69"/>
  <c r="O351" i="69"/>
  <c r="G352" i="69"/>
  <c r="K352" i="69" s="1"/>
  <c r="H352" i="69"/>
  <c r="L352" i="69" s="1"/>
  <c r="J352" i="69"/>
  <c r="O352" i="69"/>
  <c r="G353" i="69"/>
  <c r="K353" i="69" s="1"/>
  <c r="H353" i="69"/>
  <c r="L353" i="69" s="1"/>
  <c r="J353" i="69"/>
  <c r="O353" i="69"/>
  <c r="G354" i="69"/>
  <c r="K354" i="69" s="1"/>
  <c r="H354" i="69"/>
  <c r="L354" i="69" s="1"/>
  <c r="J354" i="69"/>
  <c r="O354" i="69"/>
  <c r="G355" i="69"/>
  <c r="K355" i="69" s="1"/>
  <c r="H355" i="69"/>
  <c r="L355" i="69" s="1"/>
  <c r="J355" i="69"/>
  <c r="O355" i="69"/>
  <c r="G356" i="69"/>
  <c r="K356" i="69" s="1"/>
  <c r="H356" i="69"/>
  <c r="L356" i="69" s="1"/>
  <c r="J356" i="69"/>
  <c r="O356" i="69"/>
  <c r="G357" i="69"/>
  <c r="K357" i="69" s="1"/>
  <c r="H357" i="69"/>
  <c r="L357" i="69" s="1"/>
  <c r="J357" i="69"/>
  <c r="O357" i="69"/>
  <c r="G358" i="69"/>
  <c r="K358" i="69" s="1"/>
  <c r="H358" i="69"/>
  <c r="L358" i="69" s="1"/>
  <c r="J358" i="69"/>
  <c r="O358" i="69"/>
  <c r="G359" i="69"/>
  <c r="K359" i="69" s="1"/>
  <c r="H359" i="69"/>
  <c r="L359" i="69" s="1"/>
  <c r="J359" i="69"/>
  <c r="O359" i="69"/>
  <c r="G360" i="69"/>
  <c r="K360" i="69" s="1"/>
  <c r="H360" i="69"/>
  <c r="L360" i="69" s="1"/>
  <c r="J360" i="69"/>
  <c r="O360" i="69"/>
  <c r="G361" i="69"/>
  <c r="K361" i="69" s="1"/>
  <c r="H361" i="69"/>
  <c r="L361" i="69" s="1"/>
  <c r="J361" i="69"/>
  <c r="O361" i="69"/>
  <c r="G362" i="69"/>
  <c r="K362" i="69" s="1"/>
  <c r="H362" i="69"/>
  <c r="L362" i="69" s="1"/>
  <c r="J362" i="69"/>
  <c r="O362" i="69"/>
  <c r="G363" i="69"/>
  <c r="K363" i="69" s="1"/>
  <c r="H363" i="69"/>
  <c r="L363" i="69" s="1"/>
  <c r="J363" i="69"/>
  <c r="O363" i="69"/>
  <c r="G364" i="69"/>
  <c r="K364" i="69" s="1"/>
  <c r="H364" i="69"/>
  <c r="L364" i="69" s="1"/>
  <c r="J364" i="69"/>
  <c r="O364" i="69"/>
  <c r="G365" i="69"/>
  <c r="K365" i="69" s="1"/>
  <c r="H365" i="69"/>
  <c r="L365" i="69" s="1"/>
  <c r="J365" i="69"/>
  <c r="O365" i="69"/>
  <c r="G366" i="69"/>
  <c r="K366" i="69" s="1"/>
  <c r="H366" i="69"/>
  <c r="L366" i="69" s="1"/>
  <c r="J366" i="69"/>
  <c r="O366" i="69"/>
  <c r="G367" i="69"/>
  <c r="K367" i="69" s="1"/>
  <c r="H367" i="69"/>
  <c r="L367" i="69" s="1"/>
  <c r="J367" i="69"/>
  <c r="O367" i="69"/>
  <c r="G368" i="69"/>
  <c r="K368" i="69" s="1"/>
  <c r="H368" i="69"/>
  <c r="L368" i="69" s="1"/>
  <c r="J368" i="69"/>
  <c r="O368" i="69"/>
  <c r="G369" i="69"/>
  <c r="K369" i="69" s="1"/>
  <c r="H369" i="69"/>
  <c r="L369" i="69" s="1"/>
  <c r="J369" i="69"/>
  <c r="O369" i="69"/>
  <c r="G370" i="69"/>
  <c r="K370" i="69" s="1"/>
  <c r="H370" i="69"/>
  <c r="L370" i="69" s="1"/>
  <c r="J370" i="69"/>
  <c r="O370" i="69"/>
  <c r="O307" i="69"/>
  <c r="J307" i="69"/>
  <c r="H307" i="69"/>
  <c r="L307" i="69" s="1"/>
  <c r="G307" i="69"/>
  <c r="K307" i="69" s="1"/>
  <c r="AQ587" i="82" l="1"/>
  <c r="B588" i="82"/>
  <c r="AM587" i="82"/>
  <c r="AI587" i="82"/>
  <c r="AE587" i="82"/>
  <c r="AV587" i="82"/>
  <c r="AB30" i="18"/>
  <c r="AB24" i="18"/>
  <c r="AE14" i="18"/>
  <c r="AC16" i="18"/>
  <c r="AE8" i="18"/>
  <c r="AD6" i="18"/>
  <c r="AB6" i="18"/>
  <c r="AC33" i="18"/>
  <c r="AB33" i="18"/>
  <c r="AD25" i="18"/>
  <c r="AE32" i="18"/>
  <c r="AE30" i="18"/>
  <c r="AD32" i="18"/>
  <c r="AD30" i="18"/>
  <c r="AC30" i="18"/>
  <c r="AB32" i="18"/>
  <c r="AE22" i="18"/>
  <c r="AD24" i="18"/>
  <c r="AD22" i="18"/>
  <c r="AC24" i="18"/>
  <c r="AE16" i="18"/>
  <c r="AD14" i="18"/>
  <c r="AC14" i="18"/>
  <c r="AB14" i="18"/>
  <c r="AD8" i="18"/>
  <c r="AC6" i="18"/>
  <c r="AE33" i="18"/>
  <c r="AE31" i="18"/>
  <c r="AD33" i="18"/>
  <c r="AC32" i="18"/>
  <c r="AB22" i="18"/>
  <c r="AD16" i="18"/>
  <c r="AB16" i="18"/>
  <c r="AE6" i="18"/>
  <c r="AC8" i="18"/>
  <c r="AB8" i="18"/>
  <c r="AD31" i="18"/>
  <c r="AC31" i="18"/>
  <c r="AB31" i="18"/>
  <c r="AE25" i="18"/>
  <c r="AE23" i="18"/>
  <c r="AD23" i="18"/>
  <c r="AC23" i="18"/>
  <c r="AB25" i="18"/>
  <c r="AB23" i="18"/>
  <c r="AE17" i="18"/>
  <c r="AE15" i="18"/>
  <c r="AD17" i="18"/>
  <c r="AD15" i="18"/>
  <c r="AC17" i="18"/>
  <c r="AC15" i="18"/>
  <c r="AB17" i="18"/>
  <c r="AB15" i="18"/>
  <c r="AE9" i="18"/>
  <c r="AE7" i="18"/>
  <c r="AD9" i="18"/>
  <c r="AD7" i="18"/>
  <c r="AC9" i="18"/>
  <c r="AC7" i="18"/>
  <c r="AB9" i="18"/>
  <c r="AB7" i="18"/>
  <c r="AE24" i="18"/>
  <c r="AC22" i="18"/>
  <c r="AC25" i="18"/>
  <c r="M335" i="69"/>
  <c r="P335" i="69" s="1"/>
  <c r="M331" i="69"/>
  <c r="P331" i="69" s="1"/>
  <c r="M353" i="69"/>
  <c r="P353" i="69" s="1"/>
  <c r="M321" i="69"/>
  <c r="P321" i="69" s="1"/>
  <c r="M333" i="69"/>
  <c r="P333" i="69" s="1"/>
  <c r="M325" i="69"/>
  <c r="P325" i="69" s="1"/>
  <c r="M345" i="69"/>
  <c r="P345" i="69" s="1"/>
  <c r="M307" i="69"/>
  <c r="P307" i="69" s="1"/>
  <c r="M320" i="69"/>
  <c r="P320" i="69" s="1"/>
  <c r="M337" i="69"/>
  <c r="P337" i="69" s="1"/>
  <c r="M314" i="69"/>
  <c r="P314" i="69" s="1"/>
  <c r="M329" i="69"/>
  <c r="P329" i="69" s="1"/>
  <c r="M311" i="69"/>
  <c r="P311" i="69" s="1"/>
  <c r="M361" i="69"/>
  <c r="P361" i="69" s="1"/>
  <c r="M357" i="69"/>
  <c r="P357" i="69" s="1"/>
  <c r="M349" i="69"/>
  <c r="P349" i="69" s="1"/>
  <c r="M341" i="69"/>
  <c r="P341" i="69" s="1"/>
  <c r="M309" i="69"/>
  <c r="P309" i="69" s="1"/>
  <c r="M365" i="69"/>
  <c r="P365" i="69" s="1"/>
  <c r="M327" i="69"/>
  <c r="P327" i="69" s="1"/>
  <c r="M324" i="69"/>
  <c r="P324" i="69" s="1"/>
  <c r="M318" i="69"/>
  <c r="P318" i="69" s="1"/>
  <c r="M369" i="69"/>
  <c r="P369" i="69" s="1"/>
  <c r="M313" i="69"/>
  <c r="P313" i="69" s="1"/>
  <c r="M336" i="69"/>
  <c r="P336" i="69" s="1"/>
  <c r="M332" i="69"/>
  <c r="P332" i="69" s="1"/>
  <c r="M328" i="69"/>
  <c r="P328" i="69" s="1"/>
  <c r="M317" i="69"/>
  <c r="P317" i="69" s="1"/>
  <c r="M310" i="69"/>
  <c r="P310" i="69" s="1"/>
  <c r="M322" i="69"/>
  <c r="P322" i="69" s="1"/>
  <c r="M315" i="69"/>
  <c r="P315" i="69" s="1"/>
  <c r="M308" i="69"/>
  <c r="P308" i="69" s="1"/>
  <c r="M370" i="69"/>
  <c r="P370" i="69" s="1"/>
  <c r="M366" i="69"/>
  <c r="P366" i="69" s="1"/>
  <c r="M362" i="69"/>
  <c r="P362" i="69" s="1"/>
  <c r="M358" i="69"/>
  <c r="P358" i="69" s="1"/>
  <c r="M354" i="69"/>
  <c r="P354" i="69" s="1"/>
  <c r="M350" i="69"/>
  <c r="P350" i="69" s="1"/>
  <c r="M346" i="69"/>
  <c r="P346" i="69" s="1"/>
  <c r="M342" i="69"/>
  <c r="P342" i="69" s="1"/>
  <c r="M338" i="69"/>
  <c r="P338" i="69" s="1"/>
  <c r="M334" i="69"/>
  <c r="P334" i="69" s="1"/>
  <c r="M330" i="69"/>
  <c r="P330" i="69" s="1"/>
  <c r="M326" i="69"/>
  <c r="P326" i="69" s="1"/>
  <c r="M319" i="69"/>
  <c r="P319" i="69" s="1"/>
  <c r="M312" i="69"/>
  <c r="P312" i="69" s="1"/>
  <c r="M323" i="69"/>
  <c r="P323" i="69" s="1"/>
  <c r="M316" i="69"/>
  <c r="P316" i="69" s="1"/>
  <c r="M367" i="69"/>
  <c r="P367" i="69" s="1"/>
  <c r="M363" i="69"/>
  <c r="P363" i="69" s="1"/>
  <c r="M359" i="69"/>
  <c r="P359" i="69" s="1"/>
  <c r="M355" i="69"/>
  <c r="P355" i="69" s="1"/>
  <c r="M351" i="69"/>
  <c r="P351" i="69" s="1"/>
  <c r="M347" i="69"/>
  <c r="P347" i="69" s="1"/>
  <c r="M343" i="69"/>
  <c r="P343" i="69" s="1"/>
  <c r="M339" i="69"/>
  <c r="P339" i="69" s="1"/>
  <c r="M368" i="69"/>
  <c r="P368" i="69" s="1"/>
  <c r="M364" i="69"/>
  <c r="P364" i="69" s="1"/>
  <c r="M360" i="69"/>
  <c r="P360" i="69" s="1"/>
  <c r="M356" i="69"/>
  <c r="P356" i="69" s="1"/>
  <c r="M352" i="69"/>
  <c r="P352" i="69" s="1"/>
  <c r="M348" i="69"/>
  <c r="P348" i="69" s="1"/>
  <c r="M344" i="69"/>
  <c r="P344" i="69" s="1"/>
  <c r="M340" i="69"/>
  <c r="P340" i="69" s="1"/>
  <c r="I84" i="69"/>
  <c r="J84" i="69" s="1"/>
  <c r="K84" i="69" s="1"/>
  <c r="N84" i="69"/>
  <c r="B7" i="18" s="1"/>
  <c r="C7" i="18" s="1"/>
  <c r="O84" i="69"/>
  <c r="I85" i="69"/>
  <c r="J85" i="69" s="1"/>
  <c r="K85" i="69" s="1"/>
  <c r="N85" i="69"/>
  <c r="B8" i="18" s="1"/>
  <c r="O85" i="69"/>
  <c r="I86" i="69"/>
  <c r="J86" i="69" s="1"/>
  <c r="N86" i="69"/>
  <c r="B9" i="18" s="1"/>
  <c r="O86" i="69"/>
  <c r="I87" i="69"/>
  <c r="J87" i="69" s="1"/>
  <c r="K87" i="69" s="1"/>
  <c r="N87" i="69"/>
  <c r="B10" i="18" s="1"/>
  <c r="C10" i="18" s="1"/>
  <c r="I88" i="69"/>
  <c r="J88" i="69" s="1"/>
  <c r="K88" i="69" s="1"/>
  <c r="N88" i="69"/>
  <c r="B11" i="18" s="1"/>
  <c r="C11" i="18" s="1"/>
  <c r="I89" i="69"/>
  <c r="J89" i="69" s="1"/>
  <c r="K89" i="69" s="1"/>
  <c r="N89" i="69"/>
  <c r="B12" i="18" s="1"/>
  <c r="I90" i="69"/>
  <c r="J90" i="69" s="1"/>
  <c r="N90" i="69"/>
  <c r="B13" i="18" s="1"/>
  <c r="I91" i="69"/>
  <c r="J91" i="69" s="1"/>
  <c r="K91" i="69" s="1"/>
  <c r="N91" i="69"/>
  <c r="B14" i="18" s="1"/>
  <c r="I92" i="69"/>
  <c r="J92" i="69" s="1"/>
  <c r="N92" i="69"/>
  <c r="B15" i="18" s="1"/>
  <c r="C15" i="18" s="1"/>
  <c r="I93" i="69"/>
  <c r="J93" i="69" s="1"/>
  <c r="K93" i="69" s="1"/>
  <c r="N93" i="69"/>
  <c r="B16" i="18" s="1"/>
  <c r="I94" i="69"/>
  <c r="J94" i="69" s="1"/>
  <c r="N94" i="69"/>
  <c r="B17" i="18" s="1"/>
  <c r="I95" i="69"/>
  <c r="J95" i="69" s="1"/>
  <c r="K95" i="69" s="1"/>
  <c r="N95" i="69"/>
  <c r="B18" i="18" s="1"/>
  <c r="C18" i="18" s="1"/>
  <c r="I96" i="69"/>
  <c r="J96" i="69" s="1"/>
  <c r="K96" i="69" s="1"/>
  <c r="L96" i="69" s="1"/>
  <c r="O96" i="69" s="1"/>
  <c r="N96" i="69"/>
  <c r="B19" i="18" s="1"/>
  <c r="C19" i="18" s="1"/>
  <c r="I97" i="69"/>
  <c r="J97" i="69" s="1"/>
  <c r="K97" i="69" s="1"/>
  <c r="N97" i="69"/>
  <c r="B20" i="18" s="1"/>
  <c r="I98" i="69"/>
  <c r="J98" i="69" s="1"/>
  <c r="N98" i="69"/>
  <c r="B21" i="18" s="1"/>
  <c r="I99" i="69"/>
  <c r="J99" i="69" s="1"/>
  <c r="N99" i="69"/>
  <c r="B22" i="18" s="1"/>
  <c r="I100" i="69"/>
  <c r="J100" i="69" s="1"/>
  <c r="N100" i="69"/>
  <c r="B23" i="18" s="1"/>
  <c r="I101" i="69"/>
  <c r="J101" i="69" s="1"/>
  <c r="K101" i="69" s="1"/>
  <c r="N101" i="69"/>
  <c r="B24" i="18" s="1"/>
  <c r="I102" i="69"/>
  <c r="J102" i="69" s="1"/>
  <c r="N102" i="69"/>
  <c r="E6" i="18" s="1"/>
  <c r="F6" i="18" s="1"/>
  <c r="I103" i="69"/>
  <c r="J103" i="69" s="1"/>
  <c r="K103" i="69" s="1"/>
  <c r="L103" i="69" s="1"/>
  <c r="O103" i="69" s="1"/>
  <c r="N103" i="69"/>
  <c r="E7" i="18" s="1"/>
  <c r="I104" i="69"/>
  <c r="J104" i="69" s="1"/>
  <c r="K104" i="69" s="1"/>
  <c r="N104" i="69"/>
  <c r="E8" i="18" s="1"/>
  <c r="I105" i="69"/>
  <c r="J105" i="69" s="1"/>
  <c r="K105" i="69" s="1"/>
  <c r="N105" i="69"/>
  <c r="E9" i="18" s="1"/>
  <c r="F9" i="18" s="1"/>
  <c r="I106" i="69"/>
  <c r="J106" i="69" s="1"/>
  <c r="N106" i="69"/>
  <c r="E10" i="18" s="1"/>
  <c r="F10" i="18" s="1"/>
  <c r="I107" i="69"/>
  <c r="J107" i="69" s="1"/>
  <c r="K107" i="69" s="1"/>
  <c r="N107" i="69"/>
  <c r="E11" i="18" s="1"/>
  <c r="I108" i="69"/>
  <c r="J108" i="69" s="1"/>
  <c r="N108" i="69"/>
  <c r="E12" i="18" s="1"/>
  <c r="I109" i="69"/>
  <c r="J109" i="69" s="1"/>
  <c r="K109" i="69" s="1"/>
  <c r="N109" i="69"/>
  <c r="E13" i="18" s="1"/>
  <c r="F13" i="18" s="1"/>
  <c r="I110" i="69"/>
  <c r="J110" i="69" s="1"/>
  <c r="N110" i="69"/>
  <c r="E14" i="18" s="1"/>
  <c r="I111" i="69"/>
  <c r="J111" i="69" s="1"/>
  <c r="K111" i="69" s="1"/>
  <c r="N111" i="69"/>
  <c r="E15" i="18" s="1"/>
  <c r="I112" i="69"/>
  <c r="J112" i="69" s="1"/>
  <c r="N112" i="69"/>
  <c r="E16" i="18" s="1"/>
  <c r="I113" i="69"/>
  <c r="J113" i="69" s="1"/>
  <c r="K113" i="69" s="1"/>
  <c r="N113" i="69"/>
  <c r="E17" i="18" s="1"/>
  <c r="I114" i="69"/>
  <c r="J114" i="69" s="1"/>
  <c r="N114" i="69"/>
  <c r="E18" i="18" s="1"/>
  <c r="F18" i="18" s="1"/>
  <c r="I115" i="69"/>
  <c r="J115" i="69" s="1"/>
  <c r="N115" i="69"/>
  <c r="E19" i="18" s="1"/>
  <c r="I116" i="69"/>
  <c r="J116" i="69" s="1"/>
  <c r="K116" i="69" s="1"/>
  <c r="L116" i="69" s="1"/>
  <c r="O116" i="69" s="1"/>
  <c r="N116" i="69"/>
  <c r="E20" i="18" s="1"/>
  <c r="I117" i="69"/>
  <c r="J117" i="69" s="1"/>
  <c r="K117" i="69" s="1"/>
  <c r="N117" i="69"/>
  <c r="E21" i="18" s="1"/>
  <c r="I118" i="69"/>
  <c r="J118" i="69" s="1"/>
  <c r="N118" i="69"/>
  <c r="E22" i="18" s="1"/>
  <c r="I119" i="69"/>
  <c r="J119" i="69" s="1"/>
  <c r="K119" i="69" s="1"/>
  <c r="N119" i="69"/>
  <c r="E23" i="18" s="1"/>
  <c r="I120" i="69"/>
  <c r="J120" i="69" s="1"/>
  <c r="K120" i="69" s="1"/>
  <c r="L120" i="69" s="1"/>
  <c r="O120" i="69" s="1"/>
  <c r="N120" i="69"/>
  <c r="E24" i="18" s="1"/>
  <c r="I121" i="69"/>
  <c r="J121" i="69" s="1"/>
  <c r="K121" i="69" s="1"/>
  <c r="N121" i="69"/>
  <c r="H6" i="18" s="1"/>
  <c r="I6" i="18" s="1"/>
  <c r="I122" i="69"/>
  <c r="J122" i="69" s="1"/>
  <c r="N122" i="69"/>
  <c r="H7" i="18" s="1"/>
  <c r="I123" i="69"/>
  <c r="J123" i="69" s="1"/>
  <c r="K123" i="69" s="1"/>
  <c r="N123" i="69"/>
  <c r="H8" i="18" s="1"/>
  <c r="I8" i="18" s="1"/>
  <c r="I124" i="69"/>
  <c r="J124" i="69" s="1"/>
  <c r="K124" i="69" s="1"/>
  <c r="N124" i="69"/>
  <c r="H9" i="18" s="1"/>
  <c r="I9" i="18" s="1"/>
  <c r="I125" i="69"/>
  <c r="J125" i="69" s="1"/>
  <c r="K125" i="69" s="1"/>
  <c r="N125" i="69"/>
  <c r="H10" i="18" s="1"/>
  <c r="I126" i="69"/>
  <c r="J126" i="69" s="1"/>
  <c r="N126" i="69"/>
  <c r="H11" i="18" s="1"/>
  <c r="I127" i="69"/>
  <c r="J127" i="69" s="1"/>
  <c r="K127" i="69" s="1"/>
  <c r="N127" i="69"/>
  <c r="H12" i="18" s="1"/>
  <c r="I12" i="18" s="1"/>
  <c r="I128" i="69"/>
  <c r="J128" i="69" s="1"/>
  <c r="N128" i="69"/>
  <c r="H13" i="18" s="1"/>
  <c r="I13" i="18" s="1"/>
  <c r="I129" i="69"/>
  <c r="J129" i="69" s="1"/>
  <c r="K129" i="69" s="1"/>
  <c r="N129" i="69"/>
  <c r="H14" i="18" s="1"/>
  <c r="I130" i="69"/>
  <c r="J130" i="69" s="1"/>
  <c r="N130" i="69"/>
  <c r="H15" i="18" s="1"/>
  <c r="I131" i="69"/>
  <c r="J131" i="69" s="1"/>
  <c r="K131" i="69" s="1"/>
  <c r="N131" i="69"/>
  <c r="H16" i="18" s="1"/>
  <c r="I132" i="69"/>
  <c r="J132" i="69" s="1"/>
  <c r="K132" i="69" s="1"/>
  <c r="N132" i="69"/>
  <c r="H17" i="18" s="1"/>
  <c r="I133" i="69"/>
  <c r="J133" i="69" s="1"/>
  <c r="K133" i="69" s="1"/>
  <c r="N133" i="69"/>
  <c r="H18" i="18" s="1"/>
  <c r="I18" i="18" s="1"/>
  <c r="I134" i="69"/>
  <c r="J134" i="69" s="1"/>
  <c r="N134" i="69"/>
  <c r="H19" i="18" s="1"/>
  <c r="I135" i="69"/>
  <c r="J135" i="69" s="1"/>
  <c r="K135" i="69" s="1"/>
  <c r="N135" i="69"/>
  <c r="H20" i="18" s="1"/>
  <c r="I136" i="69"/>
  <c r="J136" i="69" s="1"/>
  <c r="N136" i="69"/>
  <c r="H21" i="18" s="1"/>
  <c r="I137" i="69"/>
  <c r="J137" i="69" s="1"/>
  <c r="K137" i="69" s="1"/>
  <c r="N137" i="69"/>
  <c r="H22" i="18" s="1"/>
  <c r="I138" i="69"/>
  <c r="J138" i="69" s="1"/>
  <c r="N138" i="69"/>
  <c r="H23" i="18" s="1"/>
  <c r="I139" i="69"/>
  <c r="J139" i="69" s="1"/>
  <c r="K139" i="69" s="1"/>
  <c r="N139" i="69"/>
  <c r="H24" i="18" s="1"/>
  <c r="I140" i="69"/>
  <c r="J140" i="69" s="1"/>
  <c r="K140" i="69" s="1"/>
  <c r="L140" i="69" s="1"/>
  <c r="N140" i="69"/>
  <c r="K6" i="18" s="1"/>
  <c r="O140" i="69"/>
  <c r="I141" i="69"/>
  <c r="J141" i="69" s="1"/>
  <c r="K141" i="69" s="1"/>
  <c r="N141" i="69"/>
  <c r="K7" i="18" s="1"/>
  <c r="L7" i="18" s="1"/>
  <c r="O141" i="69"/>
  <c r="I142" i="69"/>
  <c r="J142" i="69" s="1"/>
  <c r="N142" i="69"/>
  <c r="K8" i="18" s="1"/>
  <c r="L8" i="18" s="1"/>
  <c r="O142" i="69"/>
  <c r="I143" i="69"/>
  <c r="J143" i="69" s="1"/>
  <c r="K143" i="69" s="1"/>
  <c r="L143" i="69" s="1"/>
  <c r="N143" i="69"/>
  <c r="K9" i="18" s="1"/>
  <c r="O143" i="69"/>
  <c r="I144" i="69"/>
  <c r="J144" i="69" s="1"/>
  <c r="N144" i="69"/>
  <c r="K10" i="18" s="1"/>
  <c r="I145" i="69"/>
  <c r="J145" i="69" s="1"/>
  <c r="K145" i="69" s="1"/>
  <c r="N145" i="69"/>
  <c r="K11" i="18" s="1"/>
  <c r="L11" i="18" s="1"/>
  <c r="I146" i="69"/>
  <c r="J146" i="69" s="1"/>
  <c r="N146" i="69"/>
  <c r="K12" i="18" s="1"/>
  <c r="L12" i="18" s="1"/>
  <c r="I147" i="69"/>
  <c r="J147" i="69" s="1"/>
  <c r="N147" i="69"/>
  <c r="K13" i="18" s="1"/>
  <c r="I148" i="69"/>
  <c r="J148" i="69" s="1"/>
  <c r="K148" i="69" s="1"/>
  <c r="L148" i="69" s="1"/>
  <c r="O148" i="69" s="1"/>
  <c r="N148" i="69"/>
  <c r="K14" i="18" s="1"/>
  <c r="I149" i="69"/>
  <c r="J149" i="69" s="1"/>
  <c r="K149" i="69" s="1"/>
  <c r="N149" i="69"/>
  <c r="K15" i="18" s="1"/>
  <c r="I150" i="69"/>
  <c r="J150" i="69" s="1"/>
  <c r="N150" i="69"/>
  <c r="K16" i="18" s="1"/>
  <c r="I151" i="69"/>
  <c r="J151" i="69" s="1"/>
  <c r="K151" i="69" s="1"/>
  <c r="N151" i="69"/>
  <c r="K17" i="18" s="1"/>
  <c r="I152" i="69"/>
  <c r="J152" i="69" s="1"/>
  <c r="N152" i="69"/>
  <c r="K18" i="18" s="1"/>
  <c r="I153" i="69"/>
  <c r="J153" i="69" s="1"/>
  <c r="K153" i="69" s="1"/>
  <c r="N153" i="69"/>
  <c r="K19" i="18" s="1"/>
  <c r="I154" i="69"/>
  <c r="J154" i="69" s="1"/>
  <c r="N154" i="69"/>
  <c r="K20" i="18" s="1"/>
  <c r="I155" i="69"/>
  <c r="J155" i="69" s="1"/>
  <c r="K155" i="69" s="1"/>
  <c r="N155" i="69"/>
  <c r="K21" i="18" s="1"/>
  <c r="I156" i="69"/>
  <c r="J156" i="69" s="1"/>
  <c r="K156" i="69" s="1"/>
  <c r="N156" i="69"/>
  <c r="K22" i="18" s="1"/>
  <c r="I157" i="69"/>
  <c r="J157" i="69" s="1"/>
  <c r="K157" i="69" s="1"/>
  <c r="N157" i="69"/>
  <c r="K23" i="18" s="1"/>
  <c r="I158" i="69"/>
  <c r="J158" i="69" s="1"/>
  <c r="N158" i="69"/>
  <c r="K24" i="18" s="1"/>
  <c r="I159" i="69"/>
  <c r="J159" i="69" s="1"/>
  <c r="N159" i="69"/>
  <c r="B30" i="18" s="1"/>
  <c r="O159" i="69"/>
  <c r="I160" i="69"/>
  <c r="J160" i="69" s="1"/>
  <c r="N160" i="69"/>
  <c r="B31" i="18" s="1"/>
  <c r="O160" i="69"/>
  <c r="I161" i="69"/>
  <c r="J161" i="69" s="1"/>
  <c r="K161" i="69" s="1"/>
  <c r="N161" i="69"/>
  <c r="B32" i="18" s="1"/>
  <c r="O161" i="69"/>
  <c r="I162" i="69"/>
  <c r="J162" i="69" s="1"/>
  <c r="N162" i="69"/>
  <c r="B33" i="18" s="1"/>
  <c r="O162" i="69"/>
  <c r="I163" i="69"/>
  <c r="J163" i="69" s="1"/>
  <c r="K163" i="69" s="1"/>
  <c r="N163" i="69"/>
  <c r="B34" i="18" s="1"/>
  <c r="I164" i="69"/>
  <c r="J164" i="69" s="1"/>
  <c r="K164" i="69" s="1"/>
  <c r="N164" i="69"/>
  <c r="B35" i="18" s="1"/>
  <c r="I165" i="69"/>
  <c r="J165" i="69" s="1"/>
  <c r="K165" i="69" s="1"/>
  <c r="N165" i="69"/>
  <c r="B36" i="18" s="1"/>
  <c r="I166" i="69"/>
  <c r="J166" i="69" s="1"/>
  <c r="N166" i="69"/>
  <c r="B37" i="18" s="1"/>
  <c r="I167" i="69"/>
  <c r="J167" i="69" s="1"/>
  <c r="K167" i="69" s="1"/>
  <c r="N167" i="69"/>
  <c r="B38" i="18" s="1"/>
  <c r="I168" i="69"/>
  <c r="J168" i="69" s="1"/>
  <c r="K168" i="69" s="1"/>
  <c r="N168" i="69"/>
  <c r="B39" i="18" s="1"/>
  <c r="I169" i="69"/>
  <c r="J169" i="69" s="1"/>
  <c r="K169" i="69" s="1"/>
  <c r="N169" i="69"/>
  <c r="B40" i="18" s="1"/>
  <c r="I170" i="69"/>
  <c r="J170" i="69" s="1"/>
  <c r="N170" i="69"/>
  <c r="B41" i="18" s="1"/>
  <c r="I171" i="69"/>
  <c r="J171" i="69" s="1"/>
  <c r="K171" i="69" s="1"/>
  <c r="N171" i="69"/>
  <c r="B42" i="18" s="1"/>
  <c r="I172" i="69"/>
  <c r="J172" i="69" s="1"/>
  <c r="N172" i="69"/>
  <c r="B43" i="18" s="1"/>
  <c r="I173" i="69"/>
  <c r="J173" i="69" s="1"/>
  <c r="K173" i="69" s="1"/>
  <c r="N173" i="69"/>
  <c r="B44" i="18" s="1"/>
  <c r="I174" i="69"/>
  <c r="J174" i="69" s="1"/>
  <c r="N174" i="69"/>
  <c r="B45" i="18" s="1"/>
  <c r="I175" i="69"/>
  <c r="J175" i="69" s="1"/>
  <c r="N175" i="69"/>
  <c r="B46" i="18" s="1"/>
  <c r="I176" i="69"/>
  <c r="J176" i="69" s="1"/>
  <c r="K176" i="69" s="1"/>
  <c r="L176" i="69" s="1"/>
  <c r="O176" i="69" s="1"/>
  <c r="N176" i="69"/>
  <c r="B47" i="18" s="1"/>
  <c r="I177" i="69"/>
  <c r="J177" i="69" s="1"/>
  <c r="K177" i="69" s="1"/>
  <c r="N177" i="69"/>
  <c r="B48" i="18" s="1"/>
  <c r="I178" i="69"/>
  <c r="J178" i="69" s="1"/>
  <c r="N178" i="69"/>
  <c r="E30" i="18" s="1"/>
  <c r="O178" i="69"/>
  <c r="I179" i="69"/>
  <c r="J179" i="69" s="1"/>
  <c r="K179" i="69" s="1"/>
  <c r="N179" i="69"/>
  <c r="E31" i="18" s="1"/>
  <c r="I180" i="69"/>
  <c r="J180" i="69" s="1"/>
  <c r="K180" i="69" s="1"/>
  <c r="L180" i="69" s="1"/>
  <c r="O180" i="69" s="1"/>
  <c r="N180" i="69"/>
  <c r="E32" i="18" s="1"/>
  <c r="I181" i="69"/>
  <c r="J181" i="69" s="1"/>
  <c r="K181" i="69" s="1"/>
  <c r="N181" i="69"/>
  <c r="E33" i="18" s="1"/>
  <c r="I182" i="69"/>
  <c r="J182" i="69" s="1"/>
  <c r="N182" i="69"/>
  <c r="E34" i="18" s="1"/>
  <c r="I183" i="69"/>
  <c r="J183" i="69" s="1"/>
  <c r="K183" i="69" s="1"/>
  <c r="L183" i="69" s="1"/>
  <c r="O183" i="69" s="1"/>
  <c r="N183" i="69"/>
  <c r="E35" i="18" s="1"/>
  <c r="I184" i="69"/>
  <c r="J184" i="69" s="1"/>
  <c r="N184" i="69"/>
  <c r="E36" i="18" s="1"/>
  <c r="I185" i="69"/>
  <c r="J185" i="69" s="1"/>
  <c r="N185" i="69"/>
  <c r="E37" i="18" s="1"/>
  <c r="I186" i="69"/>
  <c r="J186" i="69" s="1"/>
  <c r="N186" i="69"/>
  <c r="E38" i="18" s="1"/>
  <c r="I187" i="69"/>
  <c r="J187" i="69" s="1"/>
  <c r="K187" i="69" s="1"/>
  <c r="N187" i="69"/>
  <c r="E39" i="18" s="1"/>
  <c r="I188" i="69"/>
  <c r="J188" i="69" s="1"/>
  <c r="N188" i="69"/>
  <c r="E40" i="18" s="1"/>
  <c r="I189" i="69"/>
  <c r="J189" i="69" s="1"/>
  <c r="N189" i="69"/>
  <c r="E41" i="18" s="1"/>
  <c r="I190" i="69"/>
  <c r="J190" i="69" s="1"/>
  <c r="N190" i="69"/>
  <c r="E42" i="18" s="1"/>
  <c r="I191" i="69"/>
  <c r="J191" i="69" s="1"/>
  <c r="K191" i="69" s="1"/>
  <c r="L191" i="69" s="1"/>
  <c r="O191" i="69" s="1"/>
  <c r="N191" i="69"/>
  <c r="E43" i="18" s="1"/>
  <c r="I192" i="69"/>
  <c r="J192" i="69" s="1"/>
  <c r="N192" i="69"/>
  <c r="E44" i="18" s="1"/>
  <c r="I193" i="69"/>
  <c r="J193" i="69" s="1"/>
  <c r="N193" i="69"/>
  <c r="E45" i="18" s="1"/>
  <c r="I194" i="69"/>
  <c r="J194" i="69" s="1"/>
  <c r="N194" i="69"/>
  <c r="E46" i="18" s="1"/>
  <c r="I195" i="69"/>
  <c r="J195" i="69" s="1"/>
  <c r="N195" i="69"/>
  <c r="E47" i="18" s="1"/>
  <c r="I196" i="69"/>
  <c r="J196" i="69" s="1"/>
  <c r="N196" i="69"/>
  <c r="E48" i="18" s="1"/>
  <c r="I197" i="69"/>
  <c r="J197" i="69" s="1"/>
  <c r="N197" i="69"/>
  <c r="H30" i="18" s="1"/>
  <c r="I198" i="69"/>
  <c r="J198" i="69" s="1"/>
  <c r="N198" i="69"/>
  <c r="H31" i="18" s="1"/>
  <c r="I31" i="18" s="1"/>
  <c r="I199" i="69"/>
  <c r="J199" i="69" s="1"/>
  <c r="K199" i="69" s="1"/>
  <c r="L199" i="69" s="1"/>
  <c r="O199" i="69" s="1"/>
  <c r="N199" i="69"/>
  <c r="H32" i="18" s="1"/>
  <c r="J32" i="18" s="1"/>
  <c r="I200" i="69"/>
  <c r="J200" i="69" s="1"/>
  <c r="K200" i="69" s="1"/>
  <c r="L200" i="69" s="1"/>
  <c r="O200" i="69" s="1"/>
  <c r="N200" i="69"/>
  <c r="H33" i="18" s="1"/>
  <c r="I33" i="18" s="1"/>
  <c r="I201" i="69"/>
  <c r="J201" i="69" s="1"/>
  <c r="N201" i="69"/>
  <c r="H34" i="18" s="1"/>
  <c r="J34" i="18" s="1"/>
  <c r="I202" i="69"/>
  <c r="J202" i="69" s="1"/>
  <c r="N202" i="69"/>
  <c r="H35" i="18" s="1"/>
  <c r="J35" i="18" s="1"/>
  <c r="I203" i="69"/>
  <c r="J203" i="69" s="1"/>
  <c r="K203" i="69" s="1"/>
  <c r="N203" i="69"/>
  <c r="H36" i="18" s="1"/>
  <c r="J36" i="18" s="1"/>
  <c r="I204" i="69"/>
  <c r="J204" i="69" s="1"/>
  <c r="N204" i="69"/>
  <c r="H37" i="18" s="1"/>
  <c r="J37" i="18" s="1"/>
  <c r="I205" i="69"/>
  <c r="J205" i="69" s="1"/>
  <c r="N205" i="69"/>
  <c r="H38" i="18" s="1"/>
  <c r="I206" i="69"/>
  <c r="J206" i="69" s="1"/>
  <c r="N206" i="69"/>
  <c r="H39" i="18" s="1"/>
  <c r="J39" i="18" s="1"/>
  <c r="I207" i="69"/>
  <c r="J207" i="69" s="1"/>
  <c r="K207" i="69" s="1"/>
  <c r="L207" i="69" s="1"/>
  <c r="O207" i="69" s="1"/>
  <c r="N207" i="69"/>
  <c r="H40" i="18" s="1"/>
  <c r="I208" i="69"/>
  <c r="J208" i="69" s="1"/>
  <c r="K208" i="69" s="1"/>
  <c r="N208" i="69"/>
  <c r="H41" i="18" s="1"/>
  <c r="I209" i="69"/>
  <c r="J209" i="69" s="1"/>
  <c r="N209" i="69"/>
  <c r="H42" i="18" s="1"/>
  <c r="I210" i="69"/>
  <c r="J210" i="69" s="1"/>
  <c r="N210" i="69"/>
  <c r="H43" i="18" s="1"/>
  <c r="I211" i="69"/>
  <c r="J211" i="69" s="1"/>
  <c r="K211" i="69" s="1"/>
  <c r="N211" i="69"/>
  <c r="H44" i="18" s="1"/>
  <c r="I212" i="69"/>
  <c r="J212" i="69" s="1"/>
  <c r="N212" i="69"/>
  <c r="H45" i="18" s="1"/>
  <c r="I213" i="69"/>
  <c r="J213" i="69" s="1"/>
  <c r="N213" i="69"/>
  <c r="H46" i="18" s="1"/>
  <c r="I214" i="69"/>
  <c r="J214" i="69" s="1"/>
  <c r="N214" i="69"/>
  <c r="H47" i="18" s="1"/>
  <c r="I215" i="69"/>
  <c r="J215" i="69" s="1"/>
  <c r="K215" i="69" s="1"/>
  <c r="L215" i="69" s="1"/>
  <c r="O215" i="69" s="1"/>
  <c r="N215" i="69"/>
  <c r="H48" i="18" s="1"/>
  <c r="I216" i="69"/>
  <c r="J216" i="69" s="1"/>
  <c r="K216" i="69" s="1"/>
  <c r="N216" i="69"/>
  <c r="K30" i="18" s="1"/>
  <c r="O216" i="69"/>
  <c r="I217" i="69"/>
  <c r="J217" i="69" s="1"/>
  <c r="N217" i="69"/>
  <c r="K31" i="18" s="1"/>
  <c r="O217" i="69"/>
  <c r="I218" i="69"/>
  <c r="J218" i="69" s="1"/>
  <c r="N218" i="69"/>
  <c r="K32" i="18" s="1"/>
  <c r="O218" i="69"/>
  <c r="I219" i="69"/>
  <c r="J219" i="69" s="1"/>
  <c r="K219" i="69" s="1"/>
  <c r="N219" i="69"/>
  <c r="K33" i="18" s="1"/>
  <c r="M33" i="18" s="1"/>
  <c r="O219" i="69"/>
  <c r="I220" i="69"/>
  <c r="J220" i="69" s="1"/>
  <c r="N220" i="69"/>
  <c r="K34" i="18" s="1"/>
  <c r="M34" i="18" s="1"/>
  <c r="O220" i="69"/>
  <c r="I221" i="69"/>
  <c r="J221" i="69" s="1"/>
  <c r="N221" i="69"/>
  <c r="K35" i="18" s="1"/>
  <c r="O221" i="69"/>
  <c r="I222" i="69"/>
  <c r="J222" i="69" s="1"/>
  <c r="K222" i="69" s="1"/>
  <c r="N222" i="69"/>
  <c r="K36" i="18" s="1"/>
  <c r="M36" i="18" s="1"/>
  <c r="O222" i="69"/>
  <c r="I223" i="69"/>
  <c r="J223" i="69" s="1"/>
  <c r="N223" i="69"/>
  <c r="K37" i="18" s="1"/>
  <c r="O223" i="69"/>
  <c r="I224" i="69"/>
  <c r="J224" i="69" s="1"/>
  <c r="K224" i="69" s="1"/>
  <c r="L224" i="69" s="1"/>
  <c r="O224" i="69" s="1"/>
  <c r="N224" i="69"/>
  <c r="K38" i="18" s="1"/>
  <c r="I225" i="69"/>
  <c r="J225" i="69" s="1"/>
  <c r="N225" i="69"/>
  <c r="K39" i="18" s="1"/>
  <c r="I226" i="69"/>
  <c r="J226" i="69" s="1"/>
  <c r="N226" i="69"/>
  <c r="K40" i="18" s="1"/>
  <c r="I227" i="69"/>
  <c r="J227" i="69" s="1"/>
  <c r="K227" i="69" s="1"/>
  <c r="L227" i="69" s="1"/>
  <c r="O227" i="69" s="1"/>
  <c r="N227" i="69"/>
  <c r="K41" i="18" s="1"/>
  <c r="I228" i="69"/>
  <c r="J228" i="69" s="1"/>
  <c r="K228" i="69" s="1"/>
  <c r="L228" i="69" s="1"/>
  <c r="O228" i="69" s="1"/>
  <c r="N228" i="69"/>
  <c r="K42" i="18" s="1"/>
  <c r="I229" i="69"/>
  <c r="J229" i="69" s="1"/>
  <c r="N229" i="69"/>
  <c r="K43" i="18" s="1"/>
  <c r="I230" i="69"/>
  <c r="J230" i="69" s="1"/>
  <c r="N230" i="69"/>
  <c r="K44" i="18" s="1"/>
  <c r="I231" i="69"/>
  <c r="J231" i="69" s="1"/>
  <c r="N231" i="69"/>
  <c r="K45" i="18" s="1"/>
  <c r="I232" i="69"/>
  <c r="J232" i="69" s="1"/>
  <c r="N232" i="69"/>
  <c r="K46" i="18" s="1"/>
  <c r="I233" i="69"/>
  <c r="J233" i="69" s="1"/>
  <c r="N233" i="69"/>
  <c r="K47" i="18" s="1"/>
  <c r="I234" i="69"/>
  <c r="J234" i="69" s="1"/>
  <c r="N234" i="69"/>
  <c r="K48" i="18" s="1"/>
  <c r="O83" i="69"/>
  <c r="N83" i="69"/>
  <c r="B6" i="18" s="1"/>
  <c r="I83" i="69"/>
  <c r="J83" i="69" s="1"/>
  <c r="B555" i="72"/>
  <c r="B24" i="15"/>
  <c r="C24" i="15" s="1"/>
  <c r="B25" i="15"/>
  <c r="C25" i="15" s="1"/>
  <c r="D25" i="15" s="1"/>
  <c r="B26" i="15"/>
  <c r="K26" i="15" s="1"/>
  <c r="B27" i="15"/>
  <c r="K27" i="15" s="1"/>
  <c r="L27" i="15" s="1"/>
  <c r="M27" i="15" s="1"/>
  <c r="B28" i="15"/>
  <c r="C28" i="15" s="1"/>
  <c r="D28" i="15" s="1"/>
  <c r="B29" i="15"/>
  <c r="B30" i="15"/>
  <c r="B31" i="15"/>
  <c r="K31" i="15" s="1"/>
  <c r="L31" i="15" s="1"/>
  <c r="M31" i="15" s="1"/>
  <c r="B32" i="15"/>
  <c r="C32" i="15" s="1"/>
  <c r="B33" i="15"/>
  <c r="C33" i="15" s="1"/>
  <c r="D33" i="15" s="1"/>
  <c r="B34" i="15"/>
  <c r="K34" i="15" s="1"/>
  <c r="B35" i="15"/>
  <c r="C35" i="15" s="1"/>
  <c r="B36" i="15"/>
  <c r="B37" i="15"/>
  <c r="B38" i="15"/>
  <c r="C38" i="15" s="1"/>
  <c r="D38" i="15" s="1"/>
  <c r="B39" i="15"/>
  <c r="C39" i="15" s="1"/>
  <c r="B40" i="15"/>
  <c r="C40" i="15" s="1"/>
  <c r="D40" i="15" s="1"/>
  <c r="B41" i="15"/>
  <c r="C41" i="15" s="1"/>
  <c r="B42" i="15"/>
  <c r="C42" i="15" s="1"/>
  <c r="E42" i="15" s="1"/>
  <c r="B43" i="15"/>
  <c r="B44" i="15"/>
  <c r="B45" i="15"/>
  <c r="C45" i="15" s="1"/>
  <c r="B46" i="15"/>
  <c r="B47" i="15"/>
  <c r="C47" i="15" s="1"/>
  <c r="D47" i="15" s="1"/>
  <c r="B48" i="15"/>
  <c r="K48" i="15" s="1"/>
  <c r="L48" i="15" s="1"/>
  <c r="M48" i="15" s="1"/>
  <c r="B49" i="15"/>
  <c r="C49" i="15" s="1"/>
  <c r="B50" i="15"/>
  <c r="K50" i="15" s="1"/>
  <c r="L50" i="15" s="1"/>
  <c r="M50" i="15" s="1"/>
  <c r="B51" i="15"/>
  <c r="C51" i="15" s="1"/>
  <c r="D51" i="15" s="1"/>
  <c r="B52" i="15"/>
  <c r="C52" i="15" s="1"/>
  <c r="B53" i="15"/>
  <c r="K53" i="15" s="1"/>
  <c r="L53" i="15" s="1"/>
  <c r="M53" i="15" s="1"/>
  <c r="B54" i="15"/>
  <c r="B55" i="15"/>
  <c r="C55" i="15" s="1"/>
  <c r="E55" i="15" s="1"/>
  <c r="B56" i="15"/>
  <c r="K56" i="15" s="1"/>
  <c r="L56" i="15" s="1"/>
  <c r="M56" i="15" s="1"/>
  <c r="N56" i="15" s="1"/>
  <c r="B57" i="15"/>
  <c r="C57" i="15" s="1"/>
  <c r="B58" i="15"/>
  <c r="K58" i="15" s="1"/>
  <c r="L58" i="15" s="1"/>
  <c r="M58" i="15" s="1"/>
  <c r="B59" i="15"/>
  <c r="B60" i="15"/>
  <c r="B61" i="15"/>
  <c r="B62" i="15"/>
  <c r="B63" i="15"/>
  <c r="K63" i="15" s="1"/>
  <c r="L63" i="15" s="1"/>
  <c r="M63" i="15" s="1"/>
  <c r="N63" i="15" s="1"/>
  <c r="B64" i="15"/>
  <c r="K64" i="15" s="1"/>
  <c r="L64" i="15" s="1"/>
  <c r="M64" i="15" s="1"/>
  <c r="N64" i="15" s="1"/>
  <c r="B65" i="15"/>
  <c r="K65" i="15" s="1"/>
  <c r="L65" i="15" s="1"/>
  <c r="M65" i="15" s="1"/>
  <c r="N65" i="15" s="1"/>
  <c r="B66" i="15"/>
  <c r="K66" i="15" s="1"/>
  <c r="L66" i="15" s="1"/>
  <c r="M66" i="15" s="1"/>
  <c r="B67" i="15"/>
  <c r="K67" i="15" s="1"/>
  <c r="L67" i="15" s="1"/>
  <c r="M67" i="15" s="1"/>
  <c r="B68" i="15"/>
  <c r="B69" i="15"/>
  <c r="B70" i="15"/>
  <c r="B71" i="15"/>
  <c r="K71" i="15" s="1"/>
  <c r="L71" i="15" s="1"/>
  <c r="M71" i="15" s="1"/>
  <c r="B72" i="15"/>
  <c r="K72" i="15" s="1"/>
  <c r="L72" i="15" s="1"/>
  <c r="M72" i="15" s="1"/>
  <c r="N72" i="15" s="1"/>
  <c r="B73" i="15"/>
  <c r="K73" i="15" s="1"/>
  <c r="L73" i="15" s="1"/>
  <c r="B74" i="15"/>
  <c r="K74" i="15" s="1"/>
  <c r="L74" i="15" s="1"/>
  <c r="M74" i="15" s="1"/>
  <c r="B75" i="15"/>
  <c r="K75" i="15" s="1"/>
  <c r="L75" i="15" s="1"/>
  <c r="M75" i="15" s="1"/>
  <c r="B76" i="15"/>
  <c r="B77" i="15"/>
  <c r="K77" i="15" s="1"/>
  <c r="L77" i="15" s="1"/>
  <c r="M77" i="15" s="1"/>
  <c r="B78" i="15"/>
  <c r="B79" i="15"/>
  <c r="K79" i="15" s="1"/>
  <c r="L79" i="15" s="1"/>
  <c r="M79" i="15" s="1"/>
  <c r="B80" i="15"/>
  <c r="K80" i="15" s="1"/>
  <c r="L80" i="15" s="1"/>
  <c r="M80" i="15" s="1"/>
  <c r="B81" i="15"/>
  <c r="B82" i="15"/>
  <c r="K82" i="15" s="1"/>
  <c r="L82" i="15" s="1"/>
  <c r="M82" i="15" s="1"/>
  <c r="B83" i="15"/>
  <c r="K83" i="15" s="1"/>
  <c r="L83" i="15" s="1"/>
  <c r="M83" i="15" s="1"/>
  <c r="B84" i="15"/>
  <c r="B85" i="15"/>
  <c r="B86" i="15"/>
  <c r="B87" i="15"/>
  <c r="K87" i="15" s="1"/>
  <c r="B88" i="15"/>
  <c r="K88" i="15" s="1"/>
  <c r="L88" i="15" s="1"/>
  <c r="M88" i="15" s="1"/>
  <c r="N88" i="15" s="1"/>
  <c r="B89" i="15"/>
  <c r="K89" i="15" s="1"/>
  <c r="L89" i="15" s="1"/>
  <c r="M89" i="15" s="1"/>
  <c r="B90" i="15"/>
  <c r="B91" i="15"/>
  <c r="K91" i="15" s="1"/>
  <c r="L91" i="15" s="1"/>
  <c r="M91" i="15" s="1"/>
  <c r="N91" i="15" s="1"/>
  <c r="B92" i="15"/>
  <c r="K92" i="15" s="1"/>
  <c r="L92" i="15" s="1"/>
  <c r="B93" i="15"/>
  <c r="B94" i="15"/>
  <c r="B95" i="15"/>
  <c r="K95" i="15" s="1"/>
  <c r="L95" i="15" s="1"/>
  <c r="M95" i="15" s="1"/>
  <c r="N95" i="15" s="1"/>
  <c r="B96" i="15"/>
  <c r="K96" i="15" s="1"/>
  <c r="L96" i="15" s="1"/>
  <c r="M96" i="15" s="1"/>
  <c r="N96" i="15" s="1"/>
  <c r="B97" i="15"/>
  <c r="K97" i="15" s="1"/>
  <c r="L97" i="15" s="1"/>
  <c r="M97" i="15" s="1"/>
  <c r="B98" i="15"/>
  <c r="B99" i="15"/>
  <c r="K99" i="15" s="1"/>
  <c r="L99" i="15" s="1"/>
  <c r="M99" i="15" s="1"/>
  <c r="B100" i="15"/>
  <c r="B101" i="15"/>
  <c r="B102" i="15"/>
  <c r="B103" i="15"/>
  <c r="K103" i="15" s="1"/>
  <c r="L103" i="15" s="1"/>
  <c r="M103" i="15" s="1"/>
  <c r="B104" i="15"/>
  <c r="K104" i="15" s="1"/>
  <c r="L104" i="15" s="1"/>
  <c r="M104" i="15" s="1"/>
  <c r="B105" i="15"/>
  <c r="K105" i="15" s="1"/>
  <c r="L105" i="15" s="1"/>
  <c r="M105" i="15" s="1"/>
  <c r="N105" i="15" s="1"/>
  <c r="B106" i="15"/>
  <c r="K106" i="15" s="1"/>
  <c r="L106" i="15" s="1"/>
  <c r="B107" i="15"/>
  <c r="K107" i="15" s="1"/>
  <c r="L107" i="15" s="1"/>
  <c r="M107" i="15" s="1"/>
  <c r="B108" i="15"/>
  <c r="B109" i="15"/>
  <c r="B110" i="15"/>
  <c r="B111" i="15"/>
  <c r="B112" i="15"/>
  <c r="K112" i="15" s="1"/>
  <c r="L112" i="15" s="1"/>
  <c r="M112" i="15" s="1"/>
  <c r="B113" i="15"/>
  <c r="K113" i="15" s="1"/>
  <c r="L113" i="15" s="1"/>
  <c r="M113" i="15" s="1"/>
  <c r="B114" i="15"/>
  <c r="K114" i="15" s="1"/>
  <c r="L114" i="15" s="1"/>
  <c r="M114" i="15" s="1"/>
  <c r="B115" i="15"/>
  <c r="K115" i="15" s="1"/>
  <c r="B116" i="15"/>
  <c r="B117" i="15"/>
  <c r="K117" i="15" s="1"/>
  <c r="L117" i="15" s="1"/>
  <c r="M117" i="15" s="1"/>
  <c r="N117" i="15" s="1"/>
  <c r="B118" i="15"/>
  <c r="K118" i="15" s="1"/>
  <c r="L118" i="15" s="1"/>
  <c r="M118" i="15" s="1"/>
  <c r="N118" i="15" s="1"/>
  <c r="B119" i="15"/>
  <c r="B120" i="15"/>
  <c r="K120" i="15" s="1"/>
  <c r="L120" i="15" s="1"/>
  <c r="B121" i="15"/>
  <c r="K121" i="15" s="1"/>
  <c r="L121" i="15" s="1"/>
  <c r="M121" i="15" s="1"/>
  <c r="B122" i="15"/>
  <c r="B123" i="15"/>
  <c r="K123" i="15" s="1"/>
  <c r="L123" i="15" s="1"/>
  <c r="M123" i="15" s="1"/>
  <c r="N123" i="15" s="1"/>
  <c r="B124" i="15"/>
  <c r="K124" i="15" s="1"/>
  <c r="L124" i="15" s="1"/>
  <c r="M124" i="15" s="1"/>
  <c r="C23" i="15"/>
  <c r="E23" i="15" s="1"/>
  <c r="K23" i="15"/>
  <c r="L23" i="15" s="1"/>
  <c r="M23" i="15" s="1"/>
  <c r="G293" i="69"/>
  <c r="K293" i="69" s="1"/>
  <c r="H293" i="69"/>
  <c r="L293" i="69" s="1"/>
  <c r="G294" i="69"/>
  <c r="K294" i="69" s="1"/>
  <c r="H294" i="69"/>
  <c r="L294" i="69" s="1"/>
  <c r="G295" i="69"/>
  <c r="K295" i="69" s="1"/>
  <c r="H295" i="69"/>
  <c r="L295" i="69" s="1"/>
  <c r="G296" i="69"/>
  <c r="K296" i="69" s="1"/>
  <c r="H296" i="69"/>
  <c r="L296" i="69" s="1"/>
  <c r="G297" i="69"/>
  <c r="K297" i="69" s="1"/>
  <c r="H297" i="69"/>
  <c r="L297" i="69" s="1"/>
  <c r="G298" i="69"/>
  <c r="K298" i="69" s="1"/>
  <c r="H298" i="69"/>
  <c r="L298" i="69" s="1"/>
  <c r="G299" i="69"/>
  <c r="K299" i="69" s="1"/>
  <c r="H299" i="69"/>
  <c r="L299" i="69" s="1"/>
  <c r="G300" i="69"/>
  <c r="K300" i="69" s="1"/>
  <c r="H300" i="69"/>
  <c r="L300" i="69" s="1"/>
  <c r="G301" i="69"/>
  <c r="K301" i="69" s="1"/>
  <c r="H301" i="69"/>
  <c r="L301" i="69" s="1"/>
  <c r="G302" i="69"/>
  <c r="K302" i="69" s="1"/>
  <c r="H302" i="69"/>
  <c r="L302" i="69" s="1"/>
  <c r="G303" i="69"/>
  <c r="K303" i="69" s="1"/>
  <c r="H303" i="69"/>
  <c r="L303" i="69" s="1"/>
  <c r="H292" i="69"/>
  <c r="L292" i="69" s="1"/>
  <c r="K292" i="69"/>
  <c r="J293" i="69"/>
  <c r="O293" i="69"/>
  <c r="J294" i="69"/>
  <c r="O294" i="69"/>
  <c r="J295" i="69"/>
  <c r="O295" i="69"/>
  <c r="J296" i="69"/>
  <c r="O296" i="69"/>
  <c r="J297" i="69"/>
  <c r="O297" i="69"/>
  <c r="J298" i="69"/>
  <c r="O298" i="69"/>
  <c r="J299" i="69"/>
  <c r="O299" i="69"/>
  <c r="J300" i="69"/>
  <c r="O300" i="69"/>
  <c r="J301" i="69"/>
  <c r="O301" i="69"/>
  <c r="J302" i="69"/>
  <c r="O302" i="69"/>
  <c r="J303" i="69"/>
  <c r="O303" i="69"/>
  <c r="O292" i="69"/>
  <c r="J292" i="69"/>
  <c r="C264" i="72"/>
  <c r="C263" i="72"/>
  <c r="N416" i="69"/>
  <c r="J5" i="73" s="1"/>
  <c r="N415" i="69"/>
  <c r="J4" i="73" s="1"/>
  <c r="J42" i="18" l="1"/>
  <c r="L23" i="18"/>
  <c r="I16" i="18"/>
  <c r="AQ588" i="82"/>
  <c r="B589" i="82"/>
  <c r="AE588" i="82"/>
  <c r="AV588" i="82"/>
  <c r="AM588" i="82"/>
  <c r="AI588" i="82"/>
  <c r="AV555" i="72"/>
  <c r="AM555" i="72"/>
  <c r="F22" i="18"/>
  <c r="G15" i="18"/>
  <c r="M43" i="18"/>
  <c r="M39" i="18"/>
  <c r="J38" i="18"/>
  <c r="M42" i="18"/>
  <c r="M38" i="18"/>
  <c r="J41" i="18"/>
  <c r="C47" i="18"/>
  <c r="C23" i="18"/>
  <c r="L15" i="18"/>
  <c r="AI33" i="18"/>
  <c r="AI32" i="18"/>
  <c r="AI31" i="18"/>
  <c r="AI30" i="18"/>
  <c r="AH33" i="18"/>
  <c r="AH32" i="18"/>
  <c r="AH31" i="18"/>
  <c r="AH30" i="18"/>
  <c r="AG33" i="18"/>
  <c r="AG32" i="18"/>
  <c r="AG31" i="18"/>
  <c r="AG30" i="18"/>
  <c r="AF33" i="18"/>
  <c r="AF32" i="18"/>
  <c r="AF31" i="18"/>
  <c r="AF30" i="18"/>
  <c r="AI25" i="18"/>
  <c r="AI24" i="18"/>
  <c r="AI23" i="18"/>
  <c r="AI22" i="18"/>
  <c r="AH25" i="18"/>
  <c r="AH24" i="18"/>
  <c r="AH23" i="18"/>
  <c r="AH22" i="18"/>
  <c r="AG25" i="18"/>
  <c r="AG24" i="18"/>
  <c r="AG23" i="18"/>
  <c r="AG22" i="18"/>
  <c r="AF25" i="18"/>
  <c r="AF24" i="18"/>
  <c r="AF23" i="18"/>
  <c r="AF22" i="18"/>
  <c r="AI17" i="18"/>
  <c r="AI16" i="18"/>
  <c r="AI15" i="18"/>
  <c r="AI14" i="18"/>
  <c r="AH17" i="18"/>
  <c r="AH16" i="18"/>
  <c r="AH15" i="18"/>
  <c r="AH14" i="18"/>
  <c r="AG17" i="18"/>
  <c r="AG16" i="18"/>
  <c r="AG15" i="18"/>
  <c r="AG14" i="18"/>
  <c r="I44" i="18"/>
  <c r="L20" i="18"/>
  <c r="L19" i="18"/>
  <c r="L22" i="18"/>
  <c r="F14" i="18"/>
  <c r="D17" i="18"/>
  <c r="I45" i="18"/>
  <c r="L21" i="18"/>
  <c r="AF17" i="18"/>
  <c r="AF16" i="18"/>
  <c r="AF15" i="18"/>
  <c r="AF14" i="18"/>
  <c r="AI9" i="18"/>
  <c r="AI8" i="18"/>
  <c r="AI7" i="18"/>
  <c r="AI6" i="18"/>
  <c r="AH9" i="18"/>
  <c r="AH8" i="18"/>
  <c r="AH7" i="18"/>
  <c r="AH6" i="18"/>
  <c r="AG9" i="18"/>
  <c r="AG8" i="18"/>
  <c r="AG7" i="18"/>
  <c r="AG6" i="18"/>
  <c r="AF9" i="18"/>
  <c r="AF8" i="18"/>
  <c r="AF7" i="18"/>
  <c r="AF6" i="18"/>
  <c r="W36" i="18"/>
  <c r="Y36" i="18" s="1"/>
  <c r="N31" i="18"/>
  <c r="O31" i="18" s="1"/>
  <c r="W8" i="18"/>
  <c r="X8" i="18" s="1"/>
  <c r="W33" i="18"/>
  <c r="Y33" i="18" s="1"/>
  <c r="W32" i="18"/>
  <c r="Y32" i="18" s="1"/>
  <c r="N6" i="18"/>
  <c r="O6" i="18" s="1"/>
  <c r="L48" i="18"/>
  <c r="W31" i="18"/>
  <c r="X31" i="18" s="1"/>
  <c r="L16" i="18"/>
  <c r="I21" i="18"/>
  <c r="I17" i="18"/>
  <c r="N8" i="18"/>
  <c r="Q30" i="18"/>
  <c r="S30" i="18" s="1"/>
  <c r="M47" i="18"/>
  <c r="N33" i="18"/>
  <c r="I24" i="18"/>
  <c r="I20" i="18"/>
  <c r="W30" i="18"/>
  <c r="Y30" i="18" s="1"/>
  <c r="C22" i="18"/>
  <c r="C14" i="18"/>
  <c r="N7" i="18"/>
  <c r="P7" i="18" s="1"/>
  <c r="M46" i="18"/>
  <c r="W35" i="18"/>
  <c r="Y35" i="18" s="1"/>
  <c r="N30" i="18"/>
  <c r="O30" i="18" s="1"/>
  <c r="L18" i="18"/>
  <c r="W7" i="18"/>
  <c r="X7" i="18" s="1"/>
  <c r="N32" i="18"/>
  <c r="O32" i="18" s="1"/>
  <c r="N9" i="18"/>
  <c r="P9" i="18" s="1"/>
  <c r="W37" i="18"/>
  <c r="Y37" i="18" s="1"/>
  <c r="C43" i="18"/>
  <c r="W9" i="18"/>
  <c r="X9" i="18" s="1"/>
  <c r="J22" i="18"/>
  <c r="W34" i="18"/>
  <c r="Y34" i="18" s="1"/>
  <c r="J40" i="18"/>
  <c r="L24" i="18"/>
  <c r="W6" i="18"/>
  <c r="X6" i="18" s="1"/>
  <c r="F21" i="18"/>
  <c r="F17" i="18"/>
  <c r="D16" i="18"/>
  <c r="W42" i="18"/>
  <c r="W41" i="18"/>
  <c r="W38" i="18"/>
  <c r="T48" i="18"/>
  <c r="T40" i="18"/>
  <c r="T33" i="18"/>
  <c r="U33" i="18" s="1"/>
  <c r="T32" i="18"/>
  <c r="U32" i="18" s="1"/>
  <c r="Q43" i="18"/>
  <c r="Q35" i="18"/>
  <c r="R35" i="18" s="1"/>
  <c r="Q32" i="18"/>
  <c r="S32" i="18" s="1"/>
  <c r="N47" i="18"/>
  <c r="W14" i="18"/>
  <c r="Q24" i="18"/>
  <c r="Q20" i="18"/>
  <c r="Q7" i="18"/>
  <c r="S7" i="18" s="1"/>
  <c r="N19" i="18"/>
  <c r="C14" i="15"/>
  <c r="C15" i="65"/>
  <c r="B19" i="15"/>
  <c r="B20" i="65"/>
  <c r="B15" i="15"/>
  <c r="B16" i="65"/>
  <c r="C17" i="15"/>
  <c r="C18" i="65"/>
  <c r="C16" i="15"/>
  <c r="C17" i="65"/>
  <c r="B18" i="15"/>
  <c r="B19" i="65"/>
  <c r="C15" i="15"/>
  <c r="C16" i="65"/>
  <c r="B14" i="15"/>
  <c r="B15" i="65"/>
  <c r="B17" i="15"/>
  <c r="B18" i="65"/>
  <c r="C19" i="15"/>
  <c r="C20" i="65"/>
  <c r="B16" i="15"/>
  <c r="B17" i="65"/>
  <c r="C18" i="15"/>
  <c r="C19" i="65"/>
  <c r="C50" i="15"/>
  <c r="E50" i="15" s="1"/>
  <c r="C26" i="15"/>
  <c r="E26" i="15" s="1"/>
  <c r="K42" i="15"/>
  <c r="L42" i="15" s="1"/>
  <c r="M42" i="15" s="1"/>
  <c r="N42" i="15" s="1"/>
  <c r="F42" i="15" s="1"/>
  <c r="G42" i="15" s="1"/>
  <c r="K190" i="69"/>
  <c r="L190" i="69" s="1"/>
  <c r="O190" i="69" s="1"/>
  <c r="K226" i="69"/>
  <c r="L226" i="69" s="1"/>
  <c r="O226" i="69" s="1"/>
  <c r="K188" i="69"/>
  <c r="L188" i="69" s="1"/>
  <c r="O188" i="69" s="1"/>
  <c r="K160" i="69"/>
  <c r="L160" i="69" s="1"/>
  <c r="L164" i="69"/>
  <c r="O164" i="69" s="1"/>
  <c r="L171" i="69"/>
  <c r="O171" i="69" s="1"/>
  <c r="M293" i="69"/>
  <c r="P293" i="69" s="1"/>
  <c r="K39" i="15"/>
  <c r="L39" i="15" s="1"/>
  <c r="M39" i="15" s="1"/>
  <c r="N39" i="15" s="1"/>
  <c r="F39" i="15" s="1"/>
  <c r="G39" i="15" s="1"/>
  <c r="M120" i="15"/>
  <c r="N120" i="15" s="1"/>
  <c r="F120" i="15" s="1"/>
  <c r="K55" i="15"/>
  <c r="L55" i="15" s="1"/>
  <c r="M55" i="15" s="1"/>
  <c r="N55" i="15" s="1"/>
  <c r="C31" i="15"/>
  <c r="E31" i="15" s="1"/>
  <c r="K47" i="15"/>
  <c r="L47" i="15" s="1"/>
  <c r="M47" i="15" s="1"/>
  <c r="N47" i="15" s="1"/>
  <c r="L156" i="69"/>
  <c r="O156" i="69" s="1"/>
  <c r="L135" i="69"/>
  <c r="O135" i="69" s="1"/>
  <c r="L88" i="69"/>
  <c r="O88" i="69" s="1"/>
  <c r="F15" i="18"/>
  <c r="B556" i="72"/>
  <c r="AQ555" i="72"/>
  <c r="G21" i="18"/>
  <c r="I22" i="18"/>
  <c r="L34" i="18"/>
  <c r="J31" i="18"/>
  <c r="J17" i="18"/>
  <c r="J21" i="18"/>
  <c r="J44" i="18"/>
  <c r="M22" i="18"/>
  <c r="M15" i="18"/>
  <c r="G10" i="18"/>
  <c r="I39" i="18"/>
  <c r="M19" i="18"/>
  <c r="D11" i="18"/>
  <c r="J33" i="18"/>
  <c r="D22" i="18"/>
  <c r="J8" i="18"/>
  <c r="D15" i="18"/>
  <c r="G9" i="18"/>
  <c r="K220" i="69"/>
  <c r="L220" i="69" s="1"/>
  <c r="K206" i="69"/>
  <c r="L206" i="69" s="1"/>
  <c r="O206" i="69" s="1"/>
  <c r="K196" i="69"/>
  <c r="L196" i="69" s="1"/>
  <c r="O196" i="69" s="1"/>
  <c r="K184" i="69"/>
  <c r="L184" i="69" s="1"/>
  <c r="O184" i="69" s="1"/>
  <c r="K108" i="69"/>
  <c r="L108" i="69" s="1"/>
  <c r="O108" i="69" s="1"/>
  <c r="K214" i="69"/>
  <c r="L214" i="69" s="1"/>
  <c r="O214" i="69" s="1"/>
  <c r="K192" i="69"/>
  <c r="L192" i="69" s="1"/>
  <c r="O192" i="69" s="1"/>
  <c r="K159" i="69"/>
  <c r="L159" i="69" s="1"/>
  <c r="K152" i="69"/>
  <c r="L152" i="69" s="1"/>
  <c r="O152" i="69" s="1"/>
  <c r="K115" i="69"/>
  <c r="L115" i="69" s="1"/>
  <c r="O115" i="69" s="1"/>
  <c r="K92" i="69"/>
  <c r="L92" i="69" s="1"/>
  <c r="O92" i="69" s="1"/>
  <c r="K136" i="69"/>
  <c r="L136" i="69" s="1"/>
  <c r="O136" i="69" s="1"/>
  <c r="K100" i="69"/>
  <c r="L100" i="69" s="1"/>
  <c r="O100" i="69" s="1"/>
  <c r="K112" i="69"/>
  <c r="L112" i="69" s="1"/>
  <c r="O112" i="69" s="1"/>
  <c r="K232" i="69"/>
  <c r="L232" i="69" s="1"/>
  <c r="O232" i="69" s="1"/>
  <c r="K231" i="69"/>
  <c r="L231" i="69" s="1"/>
  <c r="O231" i="69" s="1"/>
  <c r="K175" i="69"/>
  <c r="L175" i="69" s="1"/>
  <c r="O175" i="69" s="1"/>
  <c r="K212" i="69"/>
  <c r="L212" i="69" s="1"/>
  <c r="O212" i="69" s="1"/>
  <c r="K147" i="69"/>
  <c r="L147" i="69" s="1"/>
  <c r="O147" i="69" s="1"/>
  <c r="K128" i="69"/>
  <c r="L128" i="69" s="1"/>
  <c r="O128" i="69" s="1"/>
  <c r="K99" i="69"/>
  <c r="L99" i="69" s="1"/>
  <c r="O99" i="69" s="1"/>
  <c r="K172" i="69"/>
  <c r="L172" i="69" s="1"/>
  <c r="O172" i="69" s="1"/>
  <c r="K223" i="69"/>
  <c r="L223" i="69" s="1"/>
  <c r="K204" i="69"/>
  <c r="L204" i="69" s="1"/>
  <c r="O204" i="69" s="1"/>
  <c r="K198" i="69"/>
  <c r="L198" i="69" s="1"/>
  <c r="O198" i="69" s="1"/>
  <c r="K234" i="69"/>
  <c r="L234" i="69" s="1"/>
  <c r="O234" i="69" s="1"/>
  <c r="K144" i="69"/>
  <c r="L144" i="69" s="1"/>
  <c r="O144" i="69" s="1"/>
  <c r="K33" i="15"/>
  <c r="L33" i="15" s="1"/>
  <c r="M33" i="15" s="1"/>
  <c r="N33" i="15" s="1"/>
  <c r="L30" i="18"/>
  <c r="M30" i="18"/>
  <c r="I47" i="18"/>
  <c r="J47" i="18"/>
  <c r="I43" i="18"/>
  <c r="J43" i="18"/>
  <c r="L87" i="15"/>
  <c r="M87" i="15" s="1"/>
  <c r="N87" i="15" s="1"/>
  <c r="K57" i="15"/>
  <c r="L57" i="15" s="1"/>
  <c r="M57" i="15" s="1"/>
  <c r="N57" i="15" s="1"/>
  <c r="F57" i="15" s="1"/>
  <c r="G57" i="15" s="1"/>
  <c r="K49" i="15"/>
  <c r="L49" i="15" s="1"/>
  <c r="M49" i="15" s="1"/>
  <c r="N49" i="15" s="1"/>
  <c r="K40" i="15"/>
  <c r="L40" i="15" s="1"/>
  <c r="M40" i="15" s="1"/>
  <c r="N40" i="15" s="1"/>
  <c r="M45" i="18"/>
  <c r="L45" i="18"/>
  <c r="M37" i="18"/>
  <c r="L37" i="18"/>
  <c r="M32" i="18"/>
  <c r="L32" i="18"/>
  <c r="L216" i="69"/>
  <c r="G48" i="18"/>
  <c r="F48" i="18"/>
  <c r="F37" i="18"/>
  <c r="G37" i="18"/>
  <c r="F35" i="18"/>
  <c r="G35" i="18"/>
  <c r="L179" i="69"/>
  <c r="O179" i="69" s="1"/>
  <c r="L168" i="69"/>
  <c r="O168" i="69" s="1"/>
  <c r="M17" i="18"/>
  <c r="L17" i="18"/>
  <c r="M10" i="18"/>
  <c r="L10" i="18"/>
  <c r="L132" i="69"/>
  <c r="O132" i="69" s="1"/>
  <c r="L119" i="69"/>
  <c r="O119" i="69" s="1"/>
  <c r="G16" i="18"/>
  <c r="F16" i="18"/>
  <c r="D24" i="18"/>
  <c r="C24" i="18"/>
  <c r="D13" i="18"/>
  <c r="C13" i="18"/>
  <c r="M7" i="18"/>
  <c r="J20" i="18"/>
  <c r="D14" i="18"/>
  <c r="J9" i="18"/>
  <c r="G22" i="18"/>
  <c r="I32" i="18"/>
  <c r="I37" i="18"/>
  <c r="L47" i="18"/>
  <c r="L42" i="18"/>
  <c r="I36" i="18"/>
  <c r="I42" i="18"/>
  <c r="M18" i="18"/>
  <c r="C16" i="18"/>
  <c r="AI555" i="72"/>
  <c r="AE555" i="72"/>
  <c r="M41" i="18"/>
  <c r="L41" i="18"/>
  <c r="D39" i="18"/>
  <c r="C39" i="18"/>
  <c r="D37" i="18"/>
  <c r="C37" i="18"/>
  <c r="F23" i="18"/>
  <c r="G23" i="18"/>
  <c r="C20" i="18"/>
  <c r="D20" i="18"/>
  <c r="C56" i="15"/>
  <c r="D56" i="15" s="1"/>
  <c r="C48" i="15"/>
  <c r="D48" i="15" s="1"/>
  <c r="F46" i="18"/>
  <c r="G46" i="18"/>
  <c r="F32" i="18"/>
  <c r="G32" i="18"/>
  <c r="C32" i="18"/>
  <c r="D32" i="18"/>
  <c r="L14" i="18"/>
  <c r="M14" i="18"/>
  <c r="J15" i="18"/>
  <c r="I15" i="18"/>
  <c r="I10" i="18"/>
  <c r="J10" i="18"/>
  <c r="F20" i="18"/>
  <c r="G20" i="18"/>
  <c r="G7" i="18"/>
  <c r="F7" i="18"/>
  <c r="C8" i="18"/>
  <c r="D8" i="18"/>
  <c r="M11" i="18"/>
  <c r="J24" i="18"/>
  <c r="D18" i="18"/>
  <c r="J13" i="18"/>
  <c r="D7" i="18"/>
  <c r="D43" i="18"/>
  <c r="M35" i="18"/>
  <c r="L35" i="18"/>
  <c r="L203" i="69"/>
  <c r="O203" i="69" s="1"/>
  <c r="F41" i="18"/>
  <c r="G41" i="18"/>
  <c r="C41" i="18"/>
  <c r="D41" i="18"/>
  <c r="C36" i="18"/>
  <c r="D36" i="18"/>
  <c r="C34" i="18"/>
  <c r="D34" i="18"/>
  <c r="M6" i="18"/>
  <c r="L6" i="18"/>
  <c r="I23" i="18"/>
  <c r="J23" i="18"/>
  <c r="I19" i="18"/>
  <c r="J19" i="18"/>
  <c r="G24" i="18"/>
  <c r="F24" i="18"/>
  <c r="K100" i="15"/>
  <c r="L100" i="15" s="1"/>
  <c r="M100" i="15" s="1"/>
  <c r="N100" i="15" s="1"/>
  <c r="F100" i="15" s="1"/>
  <c r="M40" i="18"/>
  <c r="L40" i="18"/>
  <c r="M31" i="18"/>
  <c r="L31" i="18"/>
  <c r="I46" i="18"/>
  <c r="J46" i="18"/>
  <c r="F45" i="18"/>
  <c r="G45" i="18"/>
  <c r="G43" i="18"/>
  <c r="F43" i="18"/>
  <c r="F36" i="18"/>
  <c r="G36" i="18"/>
  <c r="F34" i="18"/>
  <c r="G34" i="18"/>
  <c r="F30" i="18"/>
  <c r="G30" i="18"/>
  <c r="C45" i="18"/>
  <c r="D45" i="18"/>
  <c r="C30" i="18"/>
  <c r="D30" i="18"/>
  <c r="J14" i="18"/>
  <c r="I14" i="18"/>
  <c r="F11" i="18"/>
  <c r="G11" i="18"/>
  <c r="D12" i="18"/>
  <c r="C12" i="18"/>
  <c r="G13" i="18"/>
  <c r="M8" i="18"/>
  <c r="L39" i="18"/>
  <c r="L46" i="18"/>
  <c r="M23" i="18"/>
  <c r="G17" i="18"/>
  <c r="M12" i="18"/>
  <c r="J6" i="18"/>
  <c r="D19" i="18"/>
  <c r="I35" i="18"/>
  <c r="I41" i="18"/>
  <c r="L33" i="18"/>
  <c r="D47" i="18"/>
  <c r="M21" i="18"/>
  <c r="D6" i="18"/>
  <c r="C6" i="18"/>
  <c r="G39" i="18"/>
  <c r="F39" i="18"/>
  <c r="L115" i="15"/>
  <c r="M115" i="15" s="1"/>
  <c r="C53" i="15"/>
  <c r="D53" i="15" s="1"/>
  <c r="K43" i="15"/>
  <c r="L43" i="15" s="1"/>
  <c r="M43" i="15" s="1"/>
  <c r="N43" i="15" s="1"/>
  <c r="I48" i="18"/>
  <c r="J48" i="18"/>
  <c r="L187" i="69"/>
  <c r="O187" i="69" s="1"/>
  <c r="D40" i="18"/>
  <c r="C40" i="18"/>
  <c r="D38" i="18"/>
  <c r="C38" i="18"/>
  <c r="I7" i="18"/>
  <c r="J7" i="18"/>
  <c r="F8" i="18"/>
  <c r="G8" i="18"/>
  <c r="C43" i="15"/>
  <c r="E43" i="15" s="1"/>
  <c r="K35" i="15"/>
  <c r="L35" i="15" s="1"/>
  <c r="M35" i="15" s="1"/>
  <c r="N35" i="15" s="1"/>
  <c r="F35" i="15" s="1"/>
  <c r="G35" i="15" s="1"/>
  <c r="K25" i="15"/>
  <c r="L25" i="15" s="1"/>
  <c r="M25" i="15" s="1"/>
  <c r="M44" i="18"/>
  <c r="L44" i="18"/>
  <c r="L211" i="69"/>
  <c r="O211" i="69" s="1"/>
  <c r="L208" i="69"/>
  <c r="O208" i="69" s="1"/>
  <c r="J30" i="18"/>
  <c r="I30" i="18"/>
  <c r="G47" i="18"/>
  <c r="F47" i="18"/>
  <c r="G40" i="18"/>
  <c r="F40" i="18"/>
  <c r="D44" i="18"/>
  <c r="C44" i="18"/>
  <c r="C42" i="18"/>
  <c r="D42" i="18"/>
  <c r="C35" i="18"/>
  <c r="D35" i="18"/>
  <c r="P33" i="18"/>
  <c r="O33" i="18"/>
  <c r="D31" i="18"/>
  <c r="C31" i="18"/>
  <c r="L131" i="69"/>
  <c r="O131" i="69" s="1"/>
  <c r="L124" i="69"/>
  <c r="O124" i="69" s="1"/>
  <c r="L104" i="69"/>
  <c r="O104" i="69" s="1"/>
  <c r="C21" i="18"/>
  <c r="D21" i="18"/>
  <c r="C9" i="18"/>
  <c r="D9" i="18"/>
  <c r="M16" i="18"/>
  <c r="D23" i="18"/>
  <c r="L38" i="18"/>
  <c r="M48" i="18"/>
  <c r="J18" i="18"/>
  <c r="K52" i="15"/>
  <c r="L52" i="15" s="1"/>
  <c r="M52" i="15" s="1"/>
  <c r="C34" i="15"/>
  <c r="E34" i="15" s="1"/>
  <c r="K195" i="69"/>
  <c r="L195" i="69" s="1"/>
  <c r="O195" i="69" s="1"/>
  <c r="G44" i="18"/>
  <c r="F44" i="18"/>
  <c r="F42" i="18"/>
  <c r="G42" i="18"/>
  <c r="G38" i="18"/>
  <c r="F38" i="18"/>
  <c r="F33" i="18"/>
  <c r="G33" i="18"/>
  <c r="F31" i="18"/>
  <c r="G31" i="18"/>
  <c r="D48" i="18"/>
  <c r="C48" i="18"/>
  <c r="C46" i="18"/>
  <c r="D46" i="18"/>
  <c r="C33" i="18"/>
  <c r="D33" i="18"/>
  <c r="M13" i="18"/>
  <c r="L13" i="18"/>
  <c r="M9" i="18"/>
  <c r="L9" i="18"/>
  <c r="J11" i="18"/>
  <c r="I11" i="18"/>
  <c r="F19" i="18"/>
  <c r="G19" i="18"/>
  <c r="G12" i="18"/>
  <c r="F12" i="18"/>
  <c r="L84" i="69"/>
  <c r="J12" i="18"/>
  <c r="G6" i="18"/>
  <c r="M20" i="18"/>
  <c r="G14" i="18"/>
  <c r="C17" i="18"/>
  <c r="X35" i="18"/>
  <c r="L43" i="18"/>
  <c r="I40" i="18"/>
  <c r="I34" i="18"/>
  <c r="I38" i="18"/>
  <c r="J16" i="18"/>
  <c r="D10" i="18"/>
  <c r="M24" i="18"/>
  <c r="G18" i="18"/>
  <c r="L36" i="18"/>
  <c r="J45" i="18"/>
  <c r="O8" i="18"/>
  <c r="P8" i="18"/>
  <c r="Y6" i="18"/>
  <c r="K174" i="69"/>
  <c r="L174" i="69" s="1"/>
  <c r="O174" i="69" s="1"/>
  <c r="K170" i="69"/>
  <c r="L170" i="69" s="1"/>
  <c r="O170" i="69" s="1"/>
  <c r="K186" i="69"/>
  <c r="L186" i="69" s="1"/>
  <c r="O186" i="69" s="1"/>
  <c r="K158" i="69"/>
  <c r="L158" i="69" s="1"/>
  <c r="O158" i="69" s="1"/>
  <c r="K210" i="69"/>
  <c r="L210" i="69" s="1"/>
  <c r="O210" i="69" s="1"/>
  <c r="K118" i="69"/>
  <c r="L118" i="69" s="1"/>
  <c r="O118" i="69" s="1"/>
  <c r="K114" i="69"/>
  <c r="L114" i="69" s="1"/>
  <c r="O114" i="69" s="1"/>
  <c r="K218" i="69"/>
  <c r="L218" i="69" s="1"/>
  <c r="K146" i="69"/>
  <c r="L146" i="69" s="1"/>
  <c r="O146" i="69" s="1"/>
  <c r="K230" i="69"/>
  <c r="L230" i="69" s="1"/>
  <c r="O230" i="69" s="1"/>
  <c r="K194" i="69"/>
  <c r="L194" i="69" s="1"/>
  <c r="O194" i="69" s="1"/>
  <c r="K134" i="69"/>
  <c r="L134" i="69" s="1"/>
  <c r="O134" i="69" s="1"/>
  <c r="K130" i="69"/>
  <c r="L130" i="69" s="1"/>
  <c r="O130" i="69" s="1"/>
  <c r="K102" i="69"/>
  <c r="L102" i="69" s="1"/>
  <c r="O102" i="69" s="1"/>
  <c r="K98" i="69"/>
  <c r="L98" i="69" s="1"/>
  <c r="O98" i="69" s="1"/>
  <c r="K202" i="69"/>
  <c r="L202" i="69" s="1"/>
  <c r="O202" i="69" s="1"/>
  <c r="K162" i="69"/>
  <c r="L162" i="69" s="1"/>
  <c r="K201" i="69"/>
  <c r="L201" i="69" s="1"/>
  <c r="O201" i="69" s="1"/>
  <c r="K154" i="69"/>
  <c r="L154" i="69" s="1"/>
  <c r="O154" i="69" s="1"/>
  <c r="K138" i="69"/>
  <c r="L138" i="69" s="1"/>
  <c r="O138" i="69" s="1"/>
  <c r="L219" i="69"/>
  <c r="L163" i="69"/>
  <c r="O163" i="69" s="1"/>
  <c r="L151" i="69"/>
  <c r="O151" i="69" s="1"/>
  <c r="L139" i="69"/>
  <c r="O139" i="69" s="1"/>
  <c r="L123" i="69"/>
  <c r="O123" i="69" s="1"/>
  <c r="L107" i="69"/>
  <c r="O107" i="69" s="1"/>
  <c r="L91" i="69"/>
  <c r="O91" i="69" s="1"/>
  <c r="L87" i="69"/>
  <c r="O87" i="69" s="1"/>
  <c r="K233" i="69"/>
  <c r="L233" i="69" s="1"/>
  <c r="O233" i="69" s="1"/>
  <c r="K225" i="69"/>
  <c r="L225" i="69" s="1"/>
  <c r="O225" i="69" s="1"/>
  <c r="L222" i="69"/>
  <c r="K182" i="69"/>
  <c r="L182" i="69" s="1"/>
  <c r="O182" i="69" s="1"/>
  <c r="K193" i="69"/>
  <c r="L193" i="69" s="1"/>
  <c r="O193" i="69" s="1"/>
  <c r="K166" i="69"/>
  <c r="L166" i="69" s="1"/>
  <c r="O166" i="69" s="1"/>
  <c r="K178" i="69"/>
  <c r="L178" i="69" s="1"/>
  <c r="K150" i="69"/>
  <c r="L150" i="69" s="1"/>
  <c r="O150" i="69" s="1"/>
  <c r="K106" i="69"/>
  <c r="L106" i="69" s="1"/>
  <c r="O106" i="69" s="1"/>
  <c r="K90" i="69"/>
  <c r="L90" i="69" s="1"/>
  <c r="O90" i="69" s="1"/>
  <c r="K221" i="69"/>
  <c r="L221" i="69" s="1"/>
  <c r="L167" i="69"/>
  <c r="O167" i="69" s="1"/>
  <c r="L155" i="69"/>
  <c r="O155" i="69" s="1"/>
  <c r="L127" i="69"/>
  <c r="O127" i="69" s="1"/>
  <c r="L111" i="69"/>
  <c r="O111" i="69" s="1"/>
  <c r="L95" i="69"/>
  <c r="O95" i="69" s="1"/>
  <c r="K86" i="69"/>
  <c r="L86" i="69" s="1"/>
  <c r="K217" i="69"/>
  <c r="L217" i="69" s="1"/>
  <c r="K209" i="69"/>
  <c r="L209" i="69" s="1"/>
  <c r="O209" i="69" s="1"/>
  <c r="K185" i="69"/>
  <c r="L185" i="69" s="1"/>
  <c r="O185" i="69" s="1"/>
  <c r="K142" i="69"/>
  <c r="L142" i="69" s="1"/>
  <c r="K126" i="69"/>
  <c r="L126" i="69" s="1"/>
  <c r="O126" i="69" s="1"/>
  <c r="K110" i="69"/>
  <c r="L110" i="69" s="1"/>
  <c r="O110" i="69" s="1"/>
  <c r="K94" i="69"/>
  <c r="L94" i="69" s="1"/>
  <c r="O94" i="69" s="1"/>
  <c r="K229" i="69"/>
  <c r="L229" i="69" s="1"/>
  <c r="O229" i="69" s="1"/>
  <c r="K122" i="69"/>
  <c r="L122" i="69" s="1"/>
  <c r="O122" i="69" s="1"/>
  <c r="K213" i="69"/>
  <c r="L213" i="69" s="1"/>
  <c r="O213" i="69" s="1"/>
  <c r="K205" i="69"/>
  <c r="L205" i="69" s="1"/>
  <c r="O205" i="69" s="1"/>
  <c r="K197" i="69"/>
  <c r="L197" i="69" s="1"/>
  <c r="O197" i="69" s="1"/>
  <c r="K189" i="69"/>
  <c r="L189" i="69" s="1"/>
  <c r="O189" i="69" s="1"/>
  <c r="L181" i="69"/>
  <c r="O181" i="69" s="1"/>
  <c r="L177" i="69"/>
  <c r="O177" i="69" s="1"/>
  <c r="L173" i="69"/>
  <c r="O173" i="69" s="1"/>
  <c r="L169" i="69"/>
  <c r="O169" i="69" s="1"/>
  <c r="L165" i="69"/>
  <c r="O165" i="69" s="1"/>
  <c r="L161" i="69"/>
  <c r="L157" i="69"/>
  <c r="O157" i="69" s="1"/>
  <c r="L153" i="69"/>
  <c r="O153" i="69" s="1"/>
  <c r="L149" i="69"/>
  <c r="O149" i="69" s="1"/>
  <c r="L145" i="69"/>
  <c r="O145" i="69" s="1"/>
  <c r="L141" i="69"/>
  <c r="L137" i="69"/>
  <c r="O137" i="69" s="1"/>
  <c r="L133" i="69"/>
  <c r="O133" i="69" s="1"/>
  <c r="L129" i="69"/>
  <c r="O129" i="69" s="1"/>
  <c r="L125" i="69"/>
  <c r="O125" i="69" s="1"/>
  <c r="L121" i="69"/>
  <c r="O121" i="69" s="1"/>
  <c r="L117" i="69"/>
  <c r="O117" i="69" s="1"/>
  <c r="L113" i="69"/>
  <c r="O113" i="69" s="1"/>
  <c r="L109" i="69"/>
  <c r="O109" i="69" s="1"/>
  <c r="L105" i="69"/>
  <c r="O105" i="69" s="1"/>
  <c r="L101" i="69"/>
  <c r="O101" i="69" s="1"/>
  <c r="L97" i="69"/>
  <c r="O97" i="69" s="1"/>
  <c r="L93" i="69"/>
  <c r="O93" i="69" s="1"/>
  <c r="L89" i="69"/>
  <c r="O89" i="69" s="1"/>
  <c r="L85" i="69"/>
  <c r="M300" i="69"/>
  <c r="P300" i="69" s="1"/>
  <c r="M296" i="69"/>
  <c r="P296" i="69" s="1"/>
  <c r="M303" i="69"/>
  <c r="P303" i="69" s="1"/>
  <c r="M295" i="69"/>
  <c r="P295" i="69" s="1"/>
  <c r="K83" i="69"/>
  <c r="L83" i="69" s="1"/>
  <c r="E47" i="15"/>
  <c r="E40" i="15"/>
  <c r="E33" i="15"/>
  <c r="D55" i="15"/>
  <c r="N67" i="15"/>
  <c r="F67" i="15" s="1"/>
  <c r="K109" i="15"/>
  <c r="L109" i="15" s="1"/>
  <c r="M109" i="15" s="1"/>
  <c r="N109" i="15" s="1"/>
  <c r="F109" i="15" s="1"/>
  <c r="K36" i="15"/>
  <c r="L36" i="15" s="1"/>
  <c r="M36" i="15" s="1"/>
  <c r="N36" i="15" s="1"/>
  <c r="D39" i="15"/>
  <c r="E39" i="15"/>
  <c r="K86" i="15"/>
  <c r="L86" i="15" s="1"/>
  <c r="M86" i="15" s="1"/>
  <c r="N86" i="15" s="1"/>
  <c r="F86" i="15" s="1"/>
  <c r="K78" i="15"/>
  <c r="L78" i="15" s="1"/>
  <c r="M78" i="15" s="1"/>
  <c r="N78" i="15" s="1"/>
  <c r="F78" i="15" s="1"/>
  <c r="K62" i="15"/>
  <c r="L62" i="15" s="1"/>
  <c r="M62" i="15" s="1"/>
  <c r="N62" i="15" s="1"/>
  <c r="C54" i="15"/>
  <c r="D54" i="15" s="1"/>
  <c r="K54" i="15"/>
  <c r="L54" i="15" s="1"/>
  <c r="M54" i="15" s="1"/>
  <c r="K30" i="15"/>
  <c r="L30" i="15" s="1"/>
  <c r="M30" i="15" s="1"/>
  <c r="N30" i="15" s="1"/>
  <c r="F30" i="15" s="1"/>
  <c r="G30" i="15" s="1"/>
  <c r="C30" i="15"/>
  <c r="K94" i="15"/>
  <c r="L94" i="15" s="1"/>
  <c r="M94" i="15" s="1"/>
  <c r="N94" i="15" s="1"/>
  <c r="F94" i="15" s="1"/>
  <c r="K101" i="15"/>
  <c r="L101" i="15" s="1"/>
  <c r="M101" i="15" s="1"/>
  <c r="N101" i="15" s="1"/>
  <c r="F101" i="15" s="1"/>
  <c r="K93" i="15"/>
  <c r="L93" i="15" s="1"/>
  <c r="M93" i="15" s="1"/>
  <c r="N93" i="15" s="1"/>
  <c r="F93" i="15" s="1"/>
  <c r="K61" i="15"/>
  <c r="L61" i="15" s="1"/>
  <c r="M61" i="15" s="1"/>
  <c r="C37" i="15"/>
  <c r="E37" i="15" s="1"/>
  <c r="K37" i="15"/>
  <c r="L37" i="15" s="1"/>
  <c r="M37" i="15" s="1"/>
  <c r="N37" i="15" s="1"/>
  <c r="F123" i="15"/>
  <c r="K110" i="15"/>
  <c r="L110" i="15" s="1"/>
  <c r="M110" i="15" s="1"/>
  <c r="N110" i="15" s="1"/>
  <c r="F110" i="15" s="1"/>
  <c r="K116" i="15"/>
  <c r="L116" i="15" s="1"/>
  <c r="M116" i="15" s="1"/>
  <c r="N116" i="15" s="1"/>
  <c r="K108" i="15"/>
  <c r="L108" i="15" s="1"/>
  <c r="M108" i="15" s="1"/>
  <c r="M92" i="15"/>
  <c r="N92" i="15" s="1"/>
  <c r="K84" i="15"/>
  <c r="L84" i="15" s="1"/>
  <c r="M84" i="15" s="1"/>
  <c r="N84" i="15" s="1"/>
  <c r="F84" i="15" s="1"/>
  <c r="K76" i="15"/>
  <c r="L76" i="15" s="1"/>
  <c r="M76" i="15" s="1"/>
  <c r="N76" i="15" s="1"/>
  <c r="K68" i="15"/>
  <c r="L68" i="15" s="1"/>
  <c r="M68" i="15" s="1"/>
  <c r="N68" i="15" s="1"/>
  <c r="F68" i="15" s="1"/>
  <c r="E52" i="15"/>
  <c r="D52" i="15"/>
  <c r="C44" i="15"/>
  <c r="K44" i="15"/>
  <c r="L44" i="15" s="1"/>
  <c r="M44" i="15" s="1"/>
  <c r="N44" i="15" s="1"/>
  <c r="K69" i="15"/>
  <c r="L69" i="15" s="1"/>
  <c r="M69" i="15" s="1"/>
  <c r="N69" i="15" s="1"/>
  <c r="K45" i="15"/>
  <c r="L45" i="15" s="1"/>
  <c r="M45" i="15" s="1"/>
  <c r="N45" i="15" s="1"/>
  <c r="K28" i="15"/>
  <c r="L28" i="15" s="1"/>
  <c r="M28" i="15" s="1"/>
  <c r="N28" i="15" s="1"/>
  <c r="F28" i="15" s="1"/>
  <c r="G28" i="15" s="1"/>
  <c r="E35" i="15"/>
  <c r="D35" i="15"/>
  <c r="K102" i="15"/>
  <c r="L102" i="15" s="1"/>
  <c r="M102" i="15" s="1"/>
  <c r="N102" i="15" s="1"/>
  <c r="F102" i="15" s="1"/>
  <c r="K85" i="15"/>
  <c r="L85" i="15" s="1"/>
  <c r="M85" i="15" s="1"/>
  <c r="D57" i="15"/>
  <c r="E57" i="15"/>
  <c r="E49" i="15"/>
  <c r="D49" i="15"/>
  <c r="E41" i="15"/>
  <c r="D41" i="15"/>
  <c r="K38" i="15"/>
  <c r="L38" i="15" s="1"/>
  <c r="M38" i="15" s="1"/>
  <c r="K70" i="15"/>
  <c r="L70" i="15" s="1"/>
  <c r="M70" i="15" s="1"/>
  <c r="N70" i="15" s="1"/>
  <c r="C46" i="15"/>
  <c r="E46" i="15" s="1"/>
  <c r="K46" i="15"/>
  <c r="L46" i="15" s="1"/>
  <c r="M46" i="15" s="1"/>
  <c r="C29" i="15"/>
  <c r="D29" i="15" s="1"/>
  <c r="K29" i="15"/>
  <c r="L29" i="15" s="1"/>
  <c r="M29" i="15" s="1"/>
  <c r="N29" i="15" s="1"/>
  <c r="D32" i="15"/>
  <c r="E32" i="15"/>
  <c r="D24" i="15"/>
  <c r="E24" i="15"/>
  <c r="K60" i="15"/>
  <c r="L60" i="15" s="1"/>
  <c r="M60" i="15" s="1"/>
  <c r="N60" i="15" s="1"/>
  <c r="C36" i="15"/>
  <c r="D36" i="15" s="1"/>
  <c r="M106" i="15"/>
  <c r="N106" i="15" s="1"/>
  <c r="F106" i="15" s="1"/>
  <c r="K122" i="15"/>
  <c r="L122" i="15" s="1"/>
  <c r="M122" i="15" s="1"/>
  <c r="N122" i="15" s="1"/>
  <c r="K119" i="15"/>
  <c r="L119" i="15" s="1"/>
  <c r="M119" i="15" s="1"/>
  <c r="N119" i="15" s="1"/>
  <c r="K111" i="15"/>
  <c r="L111" i="15" s="1"/>
  <c r="M111" i="15" s="1"/>
  <c r="N111" i="15" s="1"/>
  <c r="K90" i="15"/>
  <c r="L90" i="15" s="1"/>
  <c r="M90" i="15" s="1"/>
  <c r="N90" i="15" s="1"/>
  <c r="F90" i="15" s="1"/>
  <c r="K81" i="15"/>
  <c r="L81" i="15" s="1"/>
  <c r="M81" i="15" s="1"/>
  <c r="N81" i="15" s="1"/>
  <c r="F81" i="15" s="1"/>
  <c r="M73" i="15"/>
  <c r="N73" i="15" s="1"/>
  <c r="K59" i="15"/>
  <c r="L59" i="15" s="1"/>
  <c r="M59" i="15" s="1"/>
  <c r="N59" i="15" s="1"/>
  <c r="K51" i="15"/>
  <c r="L51" i="15" s="1"/>
  <c r="M51" i="15" s="1"/>
  <c r="N51" i="15" s="1"/>
  <c r="F51" i="15" s="1"/>
  <c r="G51" i="15" s="1"/>
  <c r="K41" i="15"/>
  <c r="L41" i="15" s="1"/>
  <c r="M41" i="15" s="1"/>
  <c r="N41" i="15" s="1"/>
  <c r="F41" i="15" s="1"/>
  <c r="G41" i="15" s="1"/>
  <c r="I41" i="15" s="1"/>
  <c r="K32" i="15"/>
  <c r="L32" i="15" s="1"/>
  <c r="M32" i="15" s="1"/>
  <c r="N32" i="15" s="1"/>
  <c r="K24" i="15"/>
  <c r="L24" i="15" s="1"/>
  <c r="M24" i="15" s="1"/>
  <c r="N24" i="15" s="1"/>
  <c r="C27" i="15"/>
  <c r="E27" i="15" s="1"/>
  <c r="K98" i="15"/>
  <c r="L98" i="15" s="1"/>
  <c r="M98" i="15" s="1"/>
  <c r="L34" i="15"/>
  <c r="M34" i="15" s="1"/>
  <c r="N34" i="15" s="1"/>
  <c r="F34" i="15" s="1"/>
  <c r="G34" i="15" s="1"/>
  <c r="L26" i="15"/>
  <c r="M26" i="15" s="1"/>
  <c r="N23" i="15"/>
  <c r="F23" i="15" s="1"/>
  <c r="G23" i="15" s="1"/>
  <c r="H23" i="15" s="1"/>
  <c r="N77" i="15"/>
  <c r="F77" i="15" s="1"/>
  <c r="N114" i="15"/>
  <c r="F114" i="15" s="1"/>
  <c r="N124" i="15"/>
  <c r="F124" i="15" s="1"/>
  <c r="E51" i="15"/>
  <c r="E25" i="15"/>
  <c r="D23" i="15"/>
  <c r="D42" i="15"/>
  <c r="E28" i="15"/>
  <c r="N112" i="15"/>
  <c r="F112" i="15" s="1"/>
  <c r="N99" i="15"/>
  <c r="F99" i="15" s="1"/>
  <c r="N113" i="15"/>
  <c r="F113" i="15" s="1"/>
  <c r="N97" i="15"/>
  <c r="F97" i="15" s="1"/>
  <c r="N107" i="15"/>
  <c r="F107" i="15" s="1"/>
  <c r="N89" i="15"/>
  <c r="F89" i="15" s="1"/>
  <c r="N66" i="15"/>
  <c r="F66" i="15" s="1"/>
  <c r="N31" i="15"/>
  <c r="F31" i="15" s="1"/>
  <c r="G31" i="15" s="1"/>
  <c r="N74" i="15"/>
  <c r="F74" i="15" s="1"/>
  <c r="N121" i="15"/>
  <c r="F121" i="15" s="1"/>
  <c r="N75" i="15"/>
  <c r="F75" i="15" s="1"/>
  <c r="F117" i="15"/>
  <c r="N104" i="15"/>
  <c r="F104" i="15" s="1"/>
  <c r="N103" i="15"/>
  <c r="F103" i="15" s="1"/>
  <c r="N53" i="15"/>
  <c r="F53" i="15" s="1"/>
  <c r="G53" i="15" s="1"/>
  <c r="N27" i="15"/>
  <c r="F27" i="15" s="1"/>
  <c r="G27" i="15" s="1"/>
  <c r="F118" i="15"/>
  <c r="F95" i="15"/>
  <c r="N79" i="15"/>
  <c r="F79" i="15" s="1"/>
  <c r="F105" i="15"/>
  <c r="N82" i="15"/>
  <c r="F82" i="15" s="1"/>
  <c r="N50" i="15"/>
  <c r="F50" i="15" s="1"/>
  <c r="G50" i="15" s="1"/>
  <c r="F88" i="15"/>
  <c r="N71" i="15"/>
  <c r="F71" i="15" s="1"/>
  <c r="N83" i="15"/>
  <c r="F83" i="15" s="1"/>
  <c r="F65" i="15"/>
  <c r="F91" i="15"/>
  <c r="F56" i="15"/>
  <c r="G56" i="15" s="1"/>
  <c r="F96" i="15"/>
  <c r="N80" i="15"/>
  <c r="F80" i="15" s="1"/>
  <c r="F72" i="15"/>
  <c r="F63" i="15"/>
  <c r="N58" i="15"/>
  <c r="F58" i="15" s="1"/>
  <c r="N48" i="15"/>
  <c r="F48" i="15" s="1"/>
  <c r="G48" i="15" s="1"/>
  <c r="D45" i="15"/>
  <c r="E45" i="15"/>
  <c r="E38" i="15"/>
  <c r="F64" i="15"/>
  <c r="M299" i="69"/>
  <c r="P299" i="69" s="1"/>
  <c r="M301" i="69"/>
  <c r="P301" i="69" s="1"/>
  <c r="M294" i="69"/>
  <c r="P294" i="69" s="1"/>
  <c r="M297" i="69"/>
  <c r="P297" i="69" s="1"/>
  <c r="M298" i="69"/>
  <c r="P298" i="69" s="1"/>
  <c r="M302" i="69"/>
  <c r="P302" i="69" s="1"/>
  <c r="M292" i="69"/>
  <c r="P292" i="69" s="1"/>
  <c r="C86" i="15" l="1"/>
  <c r="L561" i="82"/>
  <c r="AV589" i="82"/>
  <c r="AM589" i="82"/>
  <c r="AI589" i="82"/>
  <c r="AE589" i="82"/>
  <c r="B590" i="82"/>
  <c r="AQ589" i="82"/>
  <c r="B557" i="72"/>
  <c r="AV557" i="72" s="1"/>
  <c r="AV556" i="72"/>
  <c r="P6" i="18"/>
  <c r="C63" i="15"/>
  <c r="E63" i="15" s="1"/>
  <c r="C80" i="15"/>
  <c r="D80" i="15" s="1"/>
  <c r="C113" i="15"/>
  <c r="D113" i="15" s="1"/>
  <c r="C76" i="15"/>
  <c r="E76" i="15" s="1"/>
  <c r="Y9" i="18"/>
  <c r="X34" i="18"/>
  <c r="X30" i="18"/>
  <c r="X36" i="18"/>
  <c r="P30" i="18"/>
  <c r="Y7" i="18"/>
  <c r="F40" i="15"/>
  <c r="G40" i="15" s="1"/>
  <c r="H40" i="15" s="1"/>
  <c r="X42" i="18"/>
  <c r="U48" i="18"/>
  <c r="U40" i="18"/>
  <c r="R43" i="18"/>
  <c r="O47" i="18"/>
  <c r="Y38" i="18"/>
  <c r="Y41" i="18"/>
  <c r="X14" i="18"/>
  <c r="R24" i="18"/>
  <c r="Y8" i="18"/>
  <c r="O9" i="18"/>
  <c r="F33" i="15"/>
  <c r="G33" i="15" s="1"/>
  <c r="I33" i="15" s="1"/>
  <c r="F73" i="15"/>
  <c r="C119" i="15"/>
  <c r="D119" i="15" s="1"/>
  <c r="O7" i="18"/>
  <c r="C96" i="15"/>
  <c r="D96" i="15" s="1"/>
  <c r="R30" i="18"/>
  <c r="X32" i="18"/>
  <c r="C118" i="15"/>
  <c r="E118" i="15" s="1"/>
  <c r="X37" i="18"/>
  <c r="P32" i="18"/>
  <c r="O19" i="18"/>
  <c r="S20" i="18"/>
  <c r="X38" i="18"/>
  <c r="V32" i="18"/>
  <c r="V40" i="18"/>
  <c r="V33" i="18"/>
  <c r="C108" i="15"/>
  <c r="D108" i="15" s="1"/>
  <c r="C112" i="15"/>
  <c r="E112" i="15" s="1"/>
  <c r="C110" i="15"/>
  <c r="D110" i="15" s="1"/>
  <c r="C111" i="15"/>
  <c r="D111" i="15" s="1"/>
  <c r="Y42" i="18"/>
  <c r="P31" i="18"/>
  <c r="Y31" i="18"/>
  <c r="X33" i="18"/>
  <c r="C120" i="15"/>
  <c r="E120" i="15" s="1"/>
  <c r="C122" i="15"/>
  <c r="D122" i="15" s="1"/>
  <c r="C121" i="15"/>
  <c r="E121" i="15" s="1"/>
  <c r="C123" i="15"/>
  <c r="E123" i="15" s="1"/>
  <c r="C124" i="15"/>
  <c r="E124" i="15" s="1"/>
  <c r="C114" i="15"/>
  <c r="D114" i="15" s="1"/>
  <c r="F69" i="15"/>
  <c r="C117" i="15"/>
  <c r="E117" i="15" s="1"/>
  <c r="C115" i="15"/>
  <c r="D115" i="15" s="1"/>
  <c r="C87" i="15"/>
  <c r="D87" i="15" s="1"/>
  <c r="C68" i="15"/>
  <c r="E68" i="15" s="1"/>
  <c r="X41" i="18"/>
  <c r="W48" i="18"/>
  <c r="X48" i="18" s="1"/>
  <c r="W47" i="18"/>
  <c r="X47" i="18" s="1"/>
  <c r="W46" i="18"/>
  <c r="Y46" i="18" s="1"/>
  <c r="W45" i="18"/>
  <c r="Y45" i="18" s="1"/>
  <c r="W44" i="18"/>
  <c r="Y44" i="18" s="1"/>
  <c r="V48" i="18"/>
  <c r="W43" i="18"/>
  <c r="Y43" i="18" s="1"/>
  <c r="W40" i="18"/>
  <c r="Y40" i="18" s="1"/>
  <c r="W39" i="18"/>
  <c r="X39" i="18" s="1"/>
  <c r="R32" i="18"/>
  <c r="T47" i="18"/>
  <c r="V47" i="18" s="1"/>
  <c r="T46" i="18"/>
  <c r="V46" i="18" s="1"/>
  <c r="T45" i="18"/>
  <c r="V45" i="18" s="1"/>
  <c r="T44" i="18"/>
  <c r="V44" i="18" s="1"/>
  <c r="T43" i="18"/>
  <c r="U43" i="18" s="1"/>
  <c r="T42" i="18"/>
  <c r="U42" i="18" s="1"/>
  <c r="T41" i="18"/>
  <c r="V41" i="18" s="1"/>
  <c r="S43" i="18"/>
  <c r="T39" i="18"/>
  <c r="U39" i="18" s="1"/>
  <c r="T38" i="18"/>
  <c r="U38" i="18" s="1"/>
  <c r="T37" i="18"/>
  <c r="V37" i="18" s="1"/>
  <c r="T36" i="18"/>
  <c r="V36" i="18" s="1"/>
  <c r="T35" i="18"/>
  <c r="U35" i="18" s="1"/>
  <c r="T34" i="18"/>
  <c r="V34" i="18" s="1"/>
  <c r="S24" i="18"/>
  <c r="S35" i="18"/>
  <c r="T31" i="18"/>
  <c r="V31" i="18" s="1"/>
  <c r="T30" i="18"/>
  <c r="V30" i="18" s="1"/>
  <c r="Q48" i="18"/>
  <c r="R48" i="18" s="1"/>
  <c r="Q47" i="18"/>
  <c r="R47" i="18" s="1"/>
  <c r="Q46" i="18"/>
  <c r="S46" i="18" s="1"/>
  <c r="Q45" i="18"/>
  <c r="R45" i="18" s="1"/>
  <c r="P47" i="18"/>
  <c r="Q44" i="18"/>
  <c r="S44" i="18" s="1"/>
  <c r="Q42" i="18"/>
  <c r="R42" i="18" s="1"/>
  <c r="Q41" i="18"/>
  <c r="S41" i="18" s="1"/>
  <c r="Q40" i="18"/>
  <c r="R40" i="18" s="1"/>
  <c r="Q39" i="18"/>
  <c r="R39" i="18" s="1"/>
  <c r="Y14" i="18"/>
  <c r="Q38" i="18"/>
  <c r="R38" i="18" s="1"/>
  <c r="Q37" i="18"/>
  <c r="R37" i="18" s="1"/>
  <c r="Q36" i="18"/>
  <c r="S36" i="18" s="1"/>
  <c r="Q34" i="18"/>
  <c r="R34" i="18" s="1"/>
  <c r="Q33" i="18"/>
  <c r="R33" i="18" s="1"/>
  <c r="Q31" i="18"/>
  <c r="R31" i="18" s="1"/>
  <c r="R20" i="18"/>
  <c r="N48" i="18"/>
  <c r="O48" i="18" s="1"/>
  <c r="N46" i="18"/>
  <c r="O46" i="18" s="1"/>
  <c r="N45" i="18"/>
  <c r="P45" i="18" s="1"/>
  <c r="N44" i="18"/>
  <c r="O44" i="18" s="1"/>
  <c r="N43" i="18"/>
  <c r="O43" i="18" s="1"/>
  <c r="N42" i="18"/>
  <c r="P42" i="18" s="1"/>
  <c r="N41" i="18"/>
  <c r="P41" i="18" s="1"/>
  <c r="N40" i="18"/>
  <c r="O40" i="18" s="1"/>
  <c r="N39" i="18"/>
  <c r="O39" i="18" s="1"/>
  <c r="N38" i="18"/>
  <c r="P38" i="18" s="1"/>
  <c r="N37" i="18"/>
  <c r="P37" i="18" s="1"/>
  <c r="N36" i="18"/>
  <c r="O36" i="18" s="1"/>
  <c r="N35" i="18"/>
  <c r="P35" i="18" s="1"/>
  <c r="N34" i="18"/>
  <c r="P34" i="18" s="1"/>
  <c r="W24" i="18"/>
  <c r="Y24" i="18" s="1"/>
  <c r="W23" i="18"/>
  <c r="X23" i="18" s="1"/>
  <c r="W22" i="18"/>
  <c r="X22" i="18" s="1"/>
  <c r="W21" i="18"/>
  <c r="X21" i="18" s="1"/>
  <c r="W20" i="18"/>
  <c r="X20" i="18" s="1"/>
  <c r="W19" i="18"/>
  <c r="Y19" i="18" s="1"/>
  <c r="W18" i="18"/>
  <c r="X18" i="18" s="1"/>
  <c r="W17" i="18"/>
  <c r="X17" i="18" s="1"/>
  <c r="R7" i="18"/>
  <c r="W16" i="18"/>
  <c r="X16" i="18" s="1"/>
  <c r="W15" i="18"/>
  <c r="Y15" i="18" s="1"/>
  <c r="W13" i="18"/>
  <c r="X13" i="18" s="1"/>
  <c r="W12" i="18"/>
  <c r="Y12" i="18" s="1"/>
  <c r="W11" i="18"/>
  <c r="X11" i="18" s="1"/>
  <c r="W10" i="18"/>
  <c r="X10" i="18" s="1"/>
  <c r="T24" i="18"/>
  <c r="U24" i="18" s="1"/>
  <c r="T23" i="18"/>
  <c r="V23" i="18" s="1"/>
  <c r="T22" i="18"/>
  <c r="U22" i="18" s="1"/>
  <c r="T21" i="18"/>
  <c r="U21" i="18" s="1"/>
  <c r="T20" i="18"/>
  <c r="V20" i="18" s="1"/>
  <c r="T19" i="18"/>
  <c r="V19" i="18" s="1"/>
  <c r="T18" i="18"/>
  <c r="U18" i="18" s="1"/>
  <c r="T17" i="18"/>
  <c r="V17" i="18" s="1"/>
  <c r="T16" i="18"/>
  <c r="U16" i="18" s="1"/>
  <c r="T15" i="18"/>
  <c r="V15" i="18" s="1"/>
  <c r="T14" i="18"/>
  <c r="V14" i="18" s="1"/>
  <c r="T13" i="18"/>
  <c r="U13" i="18" s="1"/>
  <c r="T12" i="18"/>
  <c r="V12" i="18" s="1"/>
  <c r="T11" i="18"/>
  <c r="U11" i="18" s="1"/>
  <c r="T10" i="18"/>
  <c r="V10" i="18" s="1"/>
  <c r="T9" i="18"/>
  <c r="V9" i="18" s="1"/>
  <c r="P19" i="18"/>
  <c r="T8" i="18"/>
  <c r="V8" i="18" s="1"/>
  <c r="T7" i="18"/>
  <c r="V7" i="18" s="1"/>
  <c r="T6" i="18"/>
  <c r="U6" i="18" s="1"/>
  <c r="Q23" i="18"/>
  <c r="S23" i="18" s="1"/>
  <c r="Q22" i="18"/>
  <c r="S22" i="18" s="1"/>
  <c r="Q21" i="18"/>
  <c r="R21" i="18" s="1"/>
  <c r="Q19" i="18"/>
  <c r="R19" i="18" s="1"/>
  <c r="Q18" i="18"/>
  <c r="S18" i="18" s="1"/>
  <c r="Q17" i="18"/>
  <c r="S17" i="18" s="1"/>
  <c r="Q16" i="18"/>
  <c r="S16" i="18" s="1"/>
  <c r="Q15" i="18"/>
  <c r="S15" i="18" s="1"/>
  <c r="Q14" i="18"/>
  <c r="S14" i="18" s="1"/>
  <c r="Q13" i="18"/>
  <c r="S13" i="18" s="1"/>
  <c r="Q12" i="18"/>
  <c r="R12" i="18" s="1"/>
  <c r="Q11" i="18"/>
  <c r="S11" i="18" s="1"/>
  <c r="Q10" i="18"/>
  <c r="S10" i="18" s="1"/>
  <c r="Q9" i="18"/>
  <c r="S9" i="18" s="1"/>
  <c r="Q8" i="18"/>
  <c r="S8" i="18" s="1"/>
  <c r="Q6" i="18"/>
  <c r="S6" i="18" s="1"/>
  <c r="N24" i="18"/>
  <c r="P24" i="18" s="1"/>
  <c r="N23" i="18"/>
  <c r="P23" i="18" s="1"/>
  <c r="N22" i="18"/>
  <c r="P22" i="18" s="1"/>
  <c r="N21" i="18"/>
  <c r="P21" i="18" s="1"/>
  <c r="N20" i="18"/>
  <c r="O20" i="18" s="1"/>
  <c r="N18" i="18"/>
  <c r="O18" i="18" s="1"/>
  <c r="N17" i="18"/>
  <c r="O17" i="18" s="1"/>
  <c r="N16" i="18"/>
  <c r="P16" i="18" s="1"/>
  <c r="N15" i="18"/>
  <c r="P15" i="18" s="1"/>
  <c r="N14" i="18"/>
  <c r="P14" i="18" s="1"/>
  <c r="N13" i="18"/>
  <c r="P13" i="18" s="1"/>
  <c r="N12" i="18"/>
  <c r="O12" i="18" s="1"/>
  <c r="N11" i="18"/>
  <c r="P11" i="18" s="1"/>
  <c r="N10" i="18"/>
  <c r="P10" i="18" s="1"/>
  <c r="C75" i="15"/>
  <c r="E75" i="15" s="1"/>
  <c r="C99" i="15"/>
  <c r="E99" i="15" s="1"/>
  <c r="C71" i="15"/>
  <c r="E71" i="15" s="1"/>
  <c r="C72" i="15"/>
  <c r="D72" i="15" s="1"/>
  <c r="C116" i="15"/>
  <c r="E116" i="15" s="1"/>
  <c r="C83" i="15"/>
  <c r="E83" i="15" s="1"/>
  <c r="C78" i="15"/>
  <c r="D78" i="15" s="1"/>
  <c r="C109" i="15"/>
  <c r="D109" i="15" s="1"/>
  <c r="C70" i="15"/>
  <c r="E70" i="15" s="1"/>
  <c r="C94" i="15"/>
  <c r="D94" i="15" s="1"/>
  <c r="C106" i="15"/>
  <c r="D106" i="15" s="1"/>
  <c r="C74" i="15"/>
  <c r="E74" i="15" s="1"/>
  <c r="C69" i="15"/>
  <c r="E69" i="15" s="1"/>
  <c r="C73" i="15"/>
  <c r="D73" i="15" s="1"/>
  <c r="C81" i="15"/>
  <c r="D81" i="15" s="1"/>
  <c r="L557" i="82" s="1"/>
  <c r="C79" i="15"/>
  <c r="D79" i="15" s="1"/>
  <c r="C61" i="15"/>
  <c r="E61" i="15" s="1"/>
  <c r="C85" i="15"/>
  <c r="D85" i="15" s="1"/>
  <c r="I561" i="82" s="1"/>
  <c r="C77" i="15"/>
  <c r="D77" i="15" s="1"/>
  <c r="C67" i="15"/>
  <c r="E67" i="15" s="1"/>
  <c r="C107" i="15"/>
  <c r="E107" i="15" s="1"/>
  <c r="C103" i="15"/>
  <c r="D103" i="15" s="1"/>
  <c r="E19" i="15"/>
  <c r="E20" i="65"/>
  <c r="C170" i="65"/>
  <c r="C67" i="65"/>
  <c r="C168" i="65"/>
  <c r="C177" i="65"/>
  <c r="C65" i="65"/>
  <c r="C172" i="65"/>
  <c r="C169" i="65"/>
  <c r="C63" i="65"/>
  <c r="C171" i="65"/>
  <c r="C174" i="65"/>
  <c r="C173" i="65"/>
  <c r="C68" i="65"/>
  <c r="C64" i="65"/>
  <c r="C70" i="65"/>
  <c r="C175" i="65"/>
  <c r="C66" i="65"/>
  <c r="C71" i="65"/>
  <c r="C62" i="65"/>
  <c r="C69" i="65"/>
  <c r="C176" i="65"/>
  <c r="E16" i="15"/>
  <c r="E17" i="65"/>
  <c r="D17" i="15"/>
  <c r="D18" i="65"/>
  <c r="C102" i="15"/>
  <c r="D102" i="15" s="1"/>
  <c r="C104" i="15"/>
  <c r="E104" i="15" s="1"/>
  <c r="C194" i="65"/>
  <c r="C87" i="65"/>
  <c r="C197" i="65"/>
  <c r="C82" i="65"/>
  <c r="C195" i="65"/>
  <c r="C193" i="65"/>
  <c r="C88" i="65"/>
  <c r="C85" i="65"/>
  <c r="C189" i="65"/>
  <c r="C84" i="65"/>
  <c r="C83" i="65"/>
  <c r="C192" i="65"/>
  <c r="C191" i="65"/>
  <c r="C90" i="65"/>
  <c r="C86" i="65"/>
  <c r="C190" i="65"/>
  <c r="C196" i="65"/>
  <c r="C91" i="65"/>
  <c r="C188" i="65"/>
  <c r="C89" i="65"/>
  <c r="C182" i="65"/>
  <c r="C80" i="65"/>
  <c r="C178" i="65"/>
  <c r="C185" i="65"/>
  <c r="C72" i="65"/>
  <c r="C75" i="65"/>
  <c r="C183" i="65"/>
  <c r="C73" i="65"/>
  <c r="C78" i="65"/>
  <c r="C81" i="65"/>
  <c r="C184" i="65"/>
  <c r="C180" i="65"/>
  <c r="C77" i="65"/>
  <c r="C74" i="65"/>
  <c r="C187" i="65"/>
  <c r="C186" i="65"/>
  <c r="C76" i="65"/>
  <c r="C79" i="65"/>
  <c r="C181" i="65"/>
  <c r="C179" i="65"/>
  <c r="D15" i="15"/>
  <c r="D16" i="65"/>
  <c r="C62" i="15"/>
  <c r="D62" i="15" s="1"/>
  <c r="C90" i="15"/>
  <c r="E90" i="15" s="1"/>
  <c r="C58" i="15"/>
  <c r="E58" i="15" s="1"/>
  <c r="E17" i="15"/>
  <c r="E18" i="65"/>
  <c r="E15" i="15"/>
  <c r="E16" i="65"/>
  <c r="C66" i="15"/>
  <c r="E66" i="15" s="1"/>
  <c r="C92" i="15"/>
  <c r="D92" i="15" s="1"/>
  <c r="C84" i="15"/>
  <c r="E84" i="15" s="1"/>
  <c r="C101" i="15"/>
  <c r="D101" i="15" s="1"/>
  <c r="C82" i="15"/>
  <c r="E82" i="15" s="1"/>
  <c r="C98" i="15"/>
  <c r="D98" i="15" s="1"/>
  <c r="C97" i="15"/>
  <c r="D97" i="15" s="1"/>
  <c r="C100" i="15"/>
  <c r="E100" i="15" s="1"/>
  <c r="D19" i="15"/>
  <c r="D20" i="65"/>
  <c r="C108" i="65"/>
  <c r="C215" i="65"/>
  <c r="C111" i="65"/>
  <c r="C214" i="65"/>
  <c r="C212" i="65"/>
  <c r="C106" i="65"/>
  <c r="C216" i="65"/>
  <c r="C210" i="65"/>
  <c r="C208" i="65"/>
  <c r="C209" i="65"/>
  <c r="C107" i="65"/>
  <c r="C109" i="65"/>
  <c r="C217" i="65"/>
  <c r="C102" i="65"/>
  <c r="C213" i="65"/>
  <c r="C110" i="65"/>
  <c r="C103" i="65"/>
  <c r="C104" i="65"/>
  <c r="C211" i="65"/>
  <c r="C105" i="65"/>
  <c r="C219" i="65"/>
  <c r="C228" i="65"/>
  <c r="C227" i="65"/>
  <c r="C116" i="65"/>
  <c r="C128" i="65"/>
  <c r="C125" i="65"/>
  <c r="C223" i="65"/>
  <c r="C218" i="65"/>
  <c r="C117" i="65"/>
  <c r="C123" i="65"/>
  <c r="C231" i="65"/>
  <c r="C127" i="65"/>
  <c r="C225" i="65"/>
  <c r="C220" i="65"/>
  <c r="C234" i="65"/>
  <c r="C113" i="65"/>
  <c r="C230" i="65"/>
  <c r="C224" i="65"/>
  <c r="C119" i="65"/>
  <c r="C121" i="65"/>
  <c r="C229" i="65"/>
  <c r="C114" i="65"/>
  <c r="C120" i="65"/>
  <c r="C221" i="65"/>
  <c r="C126" i="65"/>
  <c r="C118" i="65"/>
  <c r="C124" i="65"/>
  <c r="C232" i="65"/>
  <c r="C112" i="65"/>
  <c r="C226" i="65"/>
  <c r="C115" i="65"/>
  <c r="C233" i="65"/>
  <c r="C222" i="65"/>
  <c r="C122" i="65"/>
  <c r="E14" i="15"/>
  <c r="E15" i="65"/>
  <c r="C89" i="15"/>
  <c r="D89" i="15" s="1"/>
  <c r="C95" i="15"/>
  <c r="D95" i="15" s="1"/>
  <c r="C64" i="15"/>
  <c r="D64" i="15" s="1"/>
  <c r="C105" i="15"/>
  <c r="E105" i="15" s="1"/>
  <c r="E18" i="15"/>
  <c r="E19" i="65"/>
  <c r="D18" i="15"/>
  <c r="D19" i="65"/>
  <c r="C65" i="15"/>
  <c r="E65" i="15" s="1"/>
  <c r="C88" i="15"/>
  <c r="D88" i="15" s="1"/>
  <c r="C59" i="15"/>
  <c r="D59" i="15" s="1"/>
  <c r="D50" i="15"/>
  <c r="D16" i="15"/>
  <c r="D17" i="65"/>
  <c r="C205" i="65"/>
  <c r="C95" i="65"/>
  <c r="C96" i="65"/>
  <c r="C199" i="65"/>
  <c r="C97" i="65"/>
  <c r="C200" i="65"/>
  <c r="C204" i="65"/>
  <c r="C101" i="65"/>
  <c r="C99" i="65"/>
  <c r="C203" i="65"/>
  <c r="C207" i="65"/>
  <c r="C93" i="65"/>
  <c r="C92" i="65"/>
  <c r="C206" i="65"/>
  <c r="C94" i="65"/>
  <c r="C198" i="65"/>
  <c r="C98" i="65"/>
  <c r="C100" i="65"/>
  <c r="C201" i="65"/>
  <c r="C202" i="65"/>
  <c r="C93" i="15"/>
  <c r="E93" i="15" s="1"/>
  <c r="D14" i="15"/>
  <c r="D15" i="65"/>
  <c r="C60" i="15"/>
  <c r="D60" i="15" s="1"/>
  <c r="C91" i="15"/>
  <c r="E91" i="15" s="1"/>
  <c r="D26" i="15"/>
  <c r="F62" i="15"/>
  <c r="F49" i="15"/>
  <c r="G49" i="15" s="1"/>
  <c r="H49" i="15" s="1"/>
  <c r="N54" i="15"/>
  <c r="F54" i="15" s="1"/>
  <c r="G54" i="15" s="1"/>
  <c r="I54" i="15" s="1"/>
  <c r="N61" i="15"/>
  <c r="F61" i="15" s="1"/>
  <c r="N25" i="15"/>
  <c r="D31" i="15"/>
  <c r="F47" i="15"/>
  <c r="G47" i="15" s="1"/>
  <c r="H47" i="15" s="1"/>
  <c r="F55" i="15"/>
  <c r="G55" i="15" s="1"/>
  <c r="I55" i="15" s="1"/>
  <c r="F111" i="15"/>
  <c r="N115" i="15"/>
  <c r="F115" i="15" s="1"/>
  <c r="L556" i="72"/>
  <c r="BM662" i="72" s="1"/>
  <c r="AI556" i="72"/>
  <c r="AE556" i="72"/>
  <c r="AQ556" i="72"/>
  <c r="AM556" i="72"/>
  <c r="D34" i="15"/>
  <c r="D43" i="15"/>
  <c r="E53" i="15"/>
  <c r="N98" i="15"/>
  <c r="F98" i="15" s="1"/>
  <c r="N52" i="15"/>
  <c r="F52" i="15" s="1"/>
  <c r="G52" i="15" s="1"/>
  <c r="I52" i="15" s="1"/>
  <c r="N85" i="15"/>
  <c r="F85" i="15" s="1"/>
  <c r="F37" i="15"/>
  <c r="G37" i="15" s="1"/>
  <c r="H37" i="15" s="1"/>
  <c r="F116" i="15"/>
  <c r="E48" i="15"/>
  <c r="F92" i="15"/>
  <c r="F122" i="15"/>
  <c r="E56" i="15"/>
  <c r="F43" i="15"/>
  <c r="G43" i="15" s="1"/>
  <c r="I43" i="15" s="1"/>
  <c r="F87" i="15"/>
  <c r="D27" i="15"/>
  <c r="E29" i="15"/>
  <c r="N38" i="15"/>
  <c r="F38" i="15" s="1"/>
  <c r="G38" i="15" s="1"/>
  <c r="N108" i="15"/>
  <c r="F108" i="15" s="1"/>
  <c r="F24" i="15"/>
  <c r="G24" i="15" s="1"/>
  <c r="H24" i="15" s="1"/>
  <c r="D46" i="15"/>
  <c r="F76" i="15"/>
  <c r="N26" i="15"/>
  <c r="F26" i="15" s="1"/>
  <c r="G26" i="15" s="1"/>
  <c r="H26" i="15" s="1"/>
  <c r="D37" i="15"/>
  <c r="F59" i="15"/>
  <c r="F36" i="15"/>
  <c r="G36" i="15" s="1"/>
  <c r="H36" i="15" s="1"/>
  <c r="H41" i="15"/>
  <c r="F29" i="15"/>
  <c r="G29" i="15" s="1"/>
  <c r="I29" i="15" s="1"/>
  <c r="D30" i="15"/>
  <c r="E30" i="15"/>
  <c r="D86" i="15"/>
  <c r="I562" i="82" s="1"/>
  <c r="E86" i="15"/>
  <c r="F562" i="82" s="1"/>
  <c r="F32" i="15"/>
  <c r="G32" i="15" s="1"/>
  <c r="I32" i="15" s="1"/>
  <c r="E44" i="15"/>
  <c r="D44" i="15"/>
  <c r="F119" i="15"/>
  <c r="F44" i="15"/>
  <c r="G44" i="15" s="1"/>
  <c r="I44" i="15" s="1"/>
  <c r="F60" i="15"/>
  <c r="E36" i="15"/>
  <c r="N46" i="15"/>
  <c r="F46" i="15" s="1"/>
  <c r="G46" i="15" s="1"/>
  <c r="E54" i="15"/>
  <c r="F70" i="15"/>
  <c r="F45" i="15"/>
  <c r="G45" i="15" s="1"/>
  <c r="I45" i="15" s="1"/>
  <c r="I28" i="15"/>
  <c r="H28" i="15"/>
  <c r="I31" i="15"/>
  <c r="H31" i="15"/>
  <c r="H34" i="15"/>
  <c r="I34" i="15"/>
  <c r="I35" i="15"/>
  <c r="H35" i="15"/>
  <c r="I39" i="15"/>
  <c r="H39" i="15"/>
  <c r="H48" i="15"/>
  <c r="I48" i="15"/>
  <c r="I51" i="15"/>
  <c r="H51" i="15"/>
  <c r="H57" i="15"/>
  <c r="I57" i="15"/>
  <c r="H50" i="15"/>
  <c r="I50" i="15"/>
  <c r="H56" i="15"/>
  <c r="I56" i="15"/>
  <c r="H42" i="15"/>
  <c r="I42" i="15"/>
  <c r="H53" i="15"/>
  <c r="I53" i="15"/>
  <c r="H27" i="15"/>
  <c r="I27" i="15"/>
  <c r="I30" i="15"/>
  <c r="H30" i="15"/>
  <c r="I23" i="15"/>
  <c r="I557" i="82" l="1"/>
  <c r="C562" i="82"/>
  <c r="H668" i="82" s="1"/>
  <c r="I556" i="82"/>
  <c r="L556" i="82"/>
  <c r="I556" i="72"/>
  <c r="BH662" i="72" s="1"/>
  <c r="C560" i="82"/>
  <c r="F560" i="82"/>
  <c r="L562" i="82"/>
  <c r="DD668" i="82" s="1"/>
  <c r="E80" i="15"/>
  <c r="AI557" i="72"/>
  <c r="AM557" i="72"/>
  <c r="AQ557" i="72"/>
  <c r="I557" i="72"/>
  <c r="EP663" i="72" s="1"/>
  <c r="L557" i="72"/>
  <c r="V663" i="72" s="1"/>
  <c r="AE557" i="72"/>
  <c r="B558" i="72"/>
  <c r="AQ558" i="72" s="1"/>
  <c r="BI739" i="82"/>
  <c r="BS739" i="82"/>
  <c r="BU739" i="82" s="1"/>
  <c r="AY739" i="82"/>
  <c r="BD739" i="82"/>
  <c r="BN739" i="82"/>
  <c r="BS733" i="82"/>
  <c r="BU733" i="82" s="1"/>
  <c r="BI733" i="82"/>
  <c r="AY733" i="82"/>
  <c r="BN733" i="82"/>
  <c r="BD733" i="82"/>
  <c r="L555" i="82"/>
  <c r="I555" i="82"/>
  <c r="BS766" i="82"/>
  <c r="BU766" i="82" s="1"/>
  <c r="AY766" i="82"/>
  <c r="BN766" i="82"/>
  <c r="BI766" i="82"/>
  <c r="BD766" i="82"/>
  <c r="BN754" i="82"/>
  <c r="BS754" i="82"/>
  <c r="BU754" i="82" s="1"/>
  <c r="BI754" i="82"/>
  <c r="AY754" i="82"/>
  <c r="BD754" i="82"/>
  <c r="M752" i="82"/>
  <c r="W752" i="82"/>
  <c r="Y752" i="82" s="1"/>
  <c r="H752" i="82"/>
  <c r="C752" i="82"/>
  <c r="R752" i="82"/>
  <c r="BI751" i="82"/>
  <c r="BD751" i="82"/>
  <c r="BS751" i="82"/>
  <c r="BU751" i="82" s="1"/>
  <c r="AY751" i="82"/>
  <c r="BN751" i="82"/>
  <c r="W744" i="82"/>
  <c r="Y744" i="82" s="1"/>
  <c r="M744" i="82"/>
  <c r="C744" i="82"/>
  <c r="R744" i="82"/>
  <c r="H744" i="82"/>
  <c r="R748" i="82"/>
  <c r="W748" i="82"/>
  <c r="Y748" i="82" s="1"/>
  <c r="M748" i="82"/>
  <c r="C748" i="82"/>
  <c r="H748" i="82"/>
  <c r="BS747" i="82"/>
  <c r="BU747" i="82" s="1"/>
  <c r="BN747" i="82"/>
  <c r="BD747" i="82"/>
  <c r="AY747" i="82"/>
  <c r="BI747" i="82"/>
  <c r="BI714" i="82"/>
  <c r="BN714" i="82"/>
  <c r="BD714" i="82"/>
  <c r="BS714" i="82"/>
  <c r="BU714" i="82" s="1"/>
  <c r="AY714" i="82"/>
  <c r="BS717" i="82"/>
  <c r="BU717" i="82" s="1"/>
  <c r="BI717" i="82"/>
  <c r="BN717" i="82"/>
  <c r="AY717" i="82"/>
  <c r="BD717" i="82"/>
  <c r="BN711" i="82"/>
  <c r="BD711" i="82"/>
  <c r="BI711" i="82"/>
  <c r="AY711" i="82"/>
  <c r="BS711" i="82"/>
  <c r="BU711" i="82" s="1"/>
  <c r="W725" i="82"/>
  <c r="Y725" i="82" s="1"/>
  <c r="R725" i="82"/>
  <c r="M725" i="82"/>
  <c r="C725" i="82"/>
  <c r="H725" i="82"/>
  <c r="M727" i="82"/>
  <c r="W727" i="82"/>
  <c r="Y727" i="82" s="1"/>
  <c r="H727" i="82"/>
  <c r="R727" i="82"/>
  <c r="C727" i="82"/>
  <c r="W710" i="82"/>
  <c r="Y710" i="82" s="1"/>
  <c r="M710" i="82"/>
  <c r="C710" i="82"/>
  <c r="R710" i="82"/>
  <c r="H710" i="82"/>
  <c r="AY704" i="82"/>
  <c r="BN704" i="82"/>
  <c r="BD704" i="82"/>
  <c r="BS704" i="82"/>
  <c r="BU704" i="82" s="1"/>
  <c r="BI704" i="82"/>
  <c r="BN703" i="82"/>
  <c r="BD703" i="82"/>
  <c r="BS703" i="82"/>
  <c r="BU703" i="82" s="1"/>
  <c r="BI703" i="82"/>
  <c r="AY703" i="82"/>
  <c r="C566" i="82"/>
  <c r="F566" i="82"/>
  <c r="F575" i="82"/>
  <c r="C575" i="82"/>
  <c r="F580" i="82"/>
  <c r="C580" i="82"/>
  <c r="AI590" i="82"/>
  <c r="I590" i="82"/>
  <c r="AV590" i="82"/>
  <c r="AM590" i="82"/>
  <c r="B591" i="82"/>
  <c r="L590" i="82"/>
  <c r="AE590" i="82"/>
  <c r="AQ590" i="82"/>
  <c r="D668" i="82"/>
  <c r="AY668" i="82"/>
  <c r="AU668" i="82"/>
  <c r="CL668" i="82"/>
  <c r="EC668" i="82"/>
  <c r="F558" i="82"/>
  <c r="C558" i="82"/>
  <c r="M731" i="82"/>
  <c r="W731" i="82"/>
  <c r="Y731" i="82" s="1"/>
  <c r="H731" i="82"/>
  <c r="R731" i="82"/>
  <c r="C731" i="82"/>
  <c r="H736" i="82"/>
  <c r="C736" i="82"/>
  <c r="M736" i="82"/>
  <c r="W736" i="82"/>
  <c r="Y736" i="82" s="1"/>
  <c r="R736" i="82"/>
  <c r="I564" i="82"/>
  <c r="L564" i="82"/>
  <c r="H754" i="82"/>
  <c r="M754" i="82"/>
  <c r="R754" i="82"/>
  <c r="W754" i="82"/>
  <c r="Y754" i="82" s="1"/>
  <c r="C754" i="82"/>
  <c r="H759" i="82"/>
  <c r="C759" i="82"/>
  <c r="W759" i="82"/>
  <c r="Y759" i="82" s="1"/>
  <c r="R759" i="82"/>
  <c r="M759" i="82"/>
  <c r="BN756" i="82"/>
  <c r="AY756" i="82"/>
  <c r="BI756" i="82"/>
  <c r="BD756" i="82"/>
  <c r="BS756" i="82"/>
  <c r="BU756" i="82" s="1"/>
  <c r="AY744" i="82"/>
  <c r="BN744" i="82"/>
  <c r="BS744" i="82"/>
  <c r="BU744" i="82" s="1"/>
  <c r="BD744" i="82"/>
  <c r="BI744" i="82"/>
  <c r="H746" i="82"/>
  <c r="R746" i="82"/>
  <c r="C746" i="82"/>
  <c r="M746" i="82"/>
  <c r="W746" i="82"/>
  <c r="Y746" i="82" s="1"/>
  <c r="R750" i="82"/>
  <c r="C750" i="82"/>
  <c r="M750" i="82"/>
  <c r="W750" i="82"/>
  <c r="Y750" i="82" s="1"/>
  <c r="H750" i="82"/>
  <c r="W718" i="82"/>
  <c r="Y718" i="82" s="1"/>
  <c r="C718" i="82"/>
  <c r="M718" i="82"/>
  <c r="R718" i="82"/>
  <c r="H718" i="82"/>
  <c r="R720" i="82"/>
  <c r="H720" i="82"/>
  <c r="C720" i="82"/>
  <c r="W720" i="82"/>
  <c r="Y720" i="82" s="1"/>
  <c r="M720" i="82"/>
  <c r="W719" i="82"/>
  <c r="Y719" i="82" s="1"/>
  <c r="C719" i="82"/>
  <c r="H719" i="82"/>
  <c r="R719" i="82"/>
  <c r="M719" i="82"/>
  <c r="C729" i="82"/>
  <c r="W729" i="82"/>
  <c r="Y729" i="82" s="1"/>
  <c r="M729" i="82"/>
  <c r="H729" i="82"/>
  <c r="R729" i="82"/>
  <c r="AY726" i="82"/>
  <c r="BI726" i="82"/>
  <c r="BN726" i="82"/>
  <c r="BS726" i="82"/>
  <c r="BU726" i="82" s="1"/>
  <c r="BD726" i="82"/>
  <c r="M705" i="82"/>
  <c r="R705" i="82"/>
  <c r="H705" i="82"/>
  <c r="W705" i="82"/>
  <c r="Y705" i="82" s="1"/>
  <c r="C705" i="82"/>
  <c r="W702" i="82"/>
  <c r="Y702" i="82" s="1"/>
  <c r="R702" i="82"/>
  <c r="M702" i="82"/>
  <c r="C702" i="82"/>
  <c r="H702" i="82"/>
  <c r="I584" i="82"/>
  <c r="L584" i="82"/>
  <c r="F581" i="82"/>
  <c r="C581" i="82"/>
  <c r="L668" i="82"/>
  <c r="EK668" i="82"/>
  <c r="CT668" i="82"/>
  <c r="BC668" i="82"/>
  <c r="BI735" i="82"/>
  <c r="BD735" i="82"/>
  <c r="BN735" i="82"/>
  <c r="BS735" i="82"/>
  <c r="BU735" i="82" s="1"/>
  <c r="AY735" i="82"/>
  <c r="R732" i="82"/>
  <c r="H732" i="82"/>
  <c r="M732" i="82"/>
  <c r="W732" i="82"/>
  <c r="Y732" i="82" s="1"/>
  <c r="C732" i="82"/>
  <c r="BN732" i="82"/>
  <c r="BD732" i="82"/>
  <c r="BI732" i="82"/>
  <c r="AY732" i="82"/>
  <c r="BS732" i="82"/>
  <c r="BU732" i="82" s="1"/>
  <c r="BS759" i="82"/>
  <c r="BU759" i="82" s="1"/>
  <c r="AY759" i="82"/>
  <c r="BN759" i="82"/>
  <c r="BI759" i="82"/>
  <c r="BD759" i="82"/>
  <c r="C753" i="82"/>
  <c r="R753" i="82"/>
  <c r="H753" i="82"/>
  <c r="W753" i="82"/>
  <c r="Y753" i="82" s="1"/>
  <c r="M753" i="82"/>
  <c r="BI753" i="82"/>
  <c r="AY753" i="82"/>
  <c r="BD753" i="82"/>
  <c r="BN753" i="82"/>
  <c r="BS753" i="82"/>
  <c r="BU753" i="82" s="1"/>
  <c r="R764" i="82"/>
  <c r="W764" i="82"/>
  <c r="Y764" i="82" s="1"/>
  <c r="C764" i="82"/>
  <c r="M764" i="82"/>
  <c r="H764" i="82"/>
  <c r="W743" i="82"/>
  <c r="Y743" i="82" s="1"/>
  <c r="R743" i="82"/>
  <c r="M743" i="82"/>
  <c r="C743" i="82"/>
  <c r="H743" i="82"/>
  <c r="BS742" i="82"/>
  <c r="BU742" i="82" s="1"/>
  <c r="AY742" i="82"/>
  <c r="BI742" i="82"/>
  <c r="BN742" i="82"/>
  <c r="BD742" i="82"/>
  <c r="BN748" i="82"/>
  <c r="BD748" i="82"/>
  <c r="BS748" i="82"/>
  <c r="BU748" i="82" s="1"/>
  <c r="AY748" i="82"/>
  <c r="BI748" i="82"/>
  <c r="H715" i="82"/>
  <c r="W715" i="82"/>
  <c r="Y715" i="82" s="1"/>
  <c r="M715" i="82"/>
  <c r="C715" i="82"/>
  <c r="R715" i="82"/>
  <c r="R717" i="82"/>
  <c r="H717" i="82"/>
  <c r="W717" i="82"/>
  <c r="Y717" i="82" s="1"/>
  <c r="C717" i="82"/>
  <c r="M717" i="82"/>
  <c r="BN715" i="82"/>
  <c r="BI715" i="82"/>
  <c r="BS715" i="82"/>
  <c r="BU715" i="82" s="1"/>
  <c r="BD715" i="82"/>
  <c r="AY715" i="82"/>
  <c r="BS724" i="82"/>
  <c r="BU724" i="82" s="1"/>
  <c r="BI724" i="82"/>
  <c r="BN724" i="82"/>
  <c r="AY724" i="82"/>
  <c r="BD724" i="82"/>
  <c r="BD728" i="82"/>
  <c r="AY728" i="82"/>
  <c r="BS728" i="82"/>
  <c r="BU728" i="82" s="1"/>
  <c r="BN728" i="82"/>
  <c r="BI728" i="82"/>
  <c r="BS708" i="82"/>
  <c r="BU708" i="82" s="1"/>
  <c r="BN708" i="82"/>
  <c r="BD708" i="82"/>
  <c r="AY708" i="82"/>
  <c r="BI708" i="82"/>
  <c r="BN702" i="82"/>
  <c r="BD702" i="82"/>
  <c r="BS702" i="82"/>
  <c r="BU702" i="82" s="1"/>
  <c r="BI702" i="82"/>
  <c r="AY702" i="82"/>
  <c r="I586" i="82"/>
  <c r="L586" i="82"/>
  <c r="L583" i="82"/>
  <c r="BN734" i="82"/>
  <c r="BD734" i="82"/>
  <c r="BI734" i="82"/>
  <c r="AY734" i="82"/>
  <c r="BS734" i="82"/>
  <c r="BU734" i="82" s="1"/>
  <c r="BN740" i="82"/>
  <c r="BS740" i="82"/>
  <c r="BU740" i="82" s="1"/>
  <c r="BI740" i="82"/>
  <c r="AY740" i="82"/>
  <c r="BD740" i="82"/>
  <c r="W735" i="82"/>
  <c r="Y735" i="82" s="1"/>
  <c r="M735" i="82"/>
  <c r="C735" i="82"/>
  <c r="H735" i="82"/>
  <c r="R735" i="82"/>
  <c r="W751" i="82"/>
  <c r="Y751" i="82" s="1"/>
  <c r="M751" i="82"/>
  <c r="C751" i="82"/>
  <c r="R751" i="82"/>
  <c r="H751" i="82"/>
  <c r="BS762" i="82"/>
  <c r="BU762" i="82" s="1"/>
  <c r="BN762" i="82"/>
  <c r="BD762" i="82"/>
  <c r="BI762" i="82"/>
  <c r="AY762" i="82"/>
  <c r="BI758" i="82"/>
  <c r="BN758" i="82"/>
  <c r="BD758" i="82"/>
  <c r="AY758" i="82"/>
  <c r="BS758" i="82"/>
  <c r="BU758" i="82" s="1"/>
  <c r="R742" i="82"/>
  <c r="W742" i="82"/>
  <c r="Y742" i="82" s="1"/>
  <c r="H742" i="82"/>
  <c r="M742" i="82"/>
  <c r="C742" i="82"/>
  <c r="BS741" i="82"/>
  <c r="BU741" i="82" s="1"/>
  <c r="BI741" i="82"/>
  <c r="AY741" i="82"/>
  <c r="BN741" i="82"/>
  <c r="BD741" i="82"/>
  <c r="M747" i="82"/>
  <c r="C747" i="82"/>
  <c r="W747" i="82"/>
  <c r="Y747" i="82" s="1"/>
  <c r="R747" i="82"/>
  <c r="H747" i="82"/>
  <c r="AY719" i="82"/>
  <c r="BS719" i="82"/>
  <c r="BU719" i="82" s="1"/>
  <c r="BN719" i="82"/>
  <c r="BD719" i="82"/>
  <c r="BI719" i="82"/>
  <c r="C712" i="82"/>
  <c r="W712" i="82"/>
  <c r="Y712" i="82" s="1"/>
  <c r="M712" i="82"/>
  <c r="R712" i="82"/>
  <c r="H712" i="82"/>
  <c r="W728" i="82"/>
  <c r="Y728" i="82" s="1"/>
  <c r="C728" i="82"/>
  <c r="H728" i="82"/>
  <c r="M728" i="82"/>
  <c r="R728" i="82"/>
  <c r="BN725" i="82"/>
  <c r="BD725" i="82"/>
  <c r="BS725" i="82"/>
  <c r="BU725" i="82" s="1"/>
  <c r="AY725" i="82"/>
  <c r="BI725" i="82"/>
  <c r="C721" i="82"/>
  <c r="R721" i="82"/>
  <c r="H721" i="82"/>
  <c r="W721" i="82"/>
  <c r="Y721" i="82" s="1"/>
  <c r="M721" i="82"/>
  <c r="R709" i="82"/>
  <c r="W709" i="82"/>
  <c r="Y709" i="82" s="1"/>
  <c r="M709" i="82"/>
  <c r="C709" i="82"/>
  <c r="H709" i="82"/>
  <c r="BD705" i="82"/>
  <c r="BS705" i="82"/>
  <c r="BU705" i="82" s="1"/>
  <c r="BN705" i="82"/>
  <c r="BI705" i="82"/>
  <c r="AY705" i="82"/>
  <c r="I578" i="82"/>
  <c r="L578" i="82"/>
  <c r="F588" i="82"/>
  <c r="C588" i="82"/>
  <c r="C561" i="82"/>
  <c r="F561" i="82"/>
  <c r="C739" i="82"/>
  <c r="H739" i="82"/>
  <c r="M739" i="82"/>
  <c r="W739" i="82"/>
  <c r="Y739" i="82" s="1"/>
  <c r="R739" i="82"/>
  <c r="BI736" i="82"/>
  <c r="BS736" i="82"/>
  <c r="BU736" i="82" s="1"/>
  <c r="AY736" i="82"/>
  <c r="BD736" i="82"/>
  <c r="BN736" i="82"/>
  <c r="R734" i="82"/>
  <c r="W734" i="82"/>
  <c r="Y734" i="82" s="1"/>
  <c r="M734" i="82"/>
  <c r="C734" i="82"/>
  <c r="H734" i="82"/>
  <c r="BN765" i="82"/>
  <c r="BI765" i="82"/>
  <c r="AY765" i="82"/>
  <c r="BD765" i="82"/>
  <c r="BS765" i="82"/>
  <c r="BU765" i="82" s="1"/>
  <c r="R760" i="82"/>
  <c r="H760" i="82"/>
  <c r="M760" i="82"/>
  <c r="C760" i="82"/>
  <c r="W760" i="82"/>
  <c r="Y760" i="82" s="1"/>
  <c r="M766" i="82"/>
  <c r="W766" i="82"/>
  <c r="Y766" i="82" s="1"/>
  <c r="H766" i="82"/>
  <c r="R766" i="82"/>
  <c r="C766" i="82"/>
  <c r="M755" i="82"/>
  <c r="C755" i="82"/>
  <c r="W755" i="82"/>
  <c r="Y755" i="82" s="1"/>
  <c r="R755" i="82"/>
  <c r="H755" i="82"/>
  <c r="W749" i="82"/>
  <c r="Y749" i="82" s="1"/>
  <c r="M749" i="82"/>
  <c r="H749" i="82"/>
  <c r="C749" i="82"/>
  <c r="R749" i="82"/>
  <c r="BN743" i="82"/>
  <c r="BD743" i="82"/>
  <c r="BI743" i="82"/>
  <c r="BS743" i="82"/>
  <c r="BU743" i="82" s="1"/>
  <c r="AY743" i="82"/>
  <c r="I567" i="82"/>
  <c r="AY720" i="82"/>
  <c r="BD720" i="82"/>
  <c r="BN720" i="82"/>
  <c r="BS720" i="82"/>
  <c r="BU720" i="82" s="1"/>
  <c r="BI720" i="82"/>
  <c r="BS716" i="82"/>
  <c r="BU716" i="82" s="1"/>
  <c r="BI716" i="82"/>
  <c r="BD716" i="82"/>
  <c r="BN716" i="82"/>
  <c r="AY716" i="82"/>
  <c r="BI721" i="82"/>
  <c r="AY721" i="82"/>
  <c r="BS721" i="82"/>
  <c r="BU721" i="82" s="1"/>
  <c r="BD721" i="82"/>
  <c r="BN721" i="82"/>
  <c r="H722" i="82"/>
  <c r="R722" i="82"/>
  <c r="C722" i="82"/>
  <c r="W722" i="82"/>
  <c r="Y722" i="82" s="1"/>
  <c r="M722" i="82"/>
  <c r="BN730" i="82"/>
  <c r="BI730" i="82"/>
  <c r="BS730" i="82"/>
  <c r="BU730" i="82" s="1"/>
  <c r="BD730" i="82"/>
  <c r="AY730" i="82"/>
  <c r="M703" i="82"/>
  <c r="C703" i="82"/>
  <c r="W703" i="82"/>
  <c r="Y703" i="82" s="1"/>
  <c r="R703" i="82"/>
  <c r="H703" i="82"/>
  <c r="W704" i="82"/>
  <c r="Y704" i="82" s="1"/>
  <c r="M704" i="82"/>
  <c r="C704" i="82"/>
  <c r="H704" i="82"/>
  <c r="R704" i="82"/>
  <c r="C568" i="82"/>
  <c r="DD663" i="82"/>
  <c r="EU663" i="82"/>
  <c r="BM663" i="82"/>
  <c r="V663" i="82"/>
  <c r="BM667" i="82"/>
  <c r="DD667" i="82"/>
  <c r="V667" i="82"/>
  <c r="EU667" i="82"/>
  <c r="C737" i="82"/>
  <c r="R737" i="82"/>
  <c r="W737" i="82"/>
  <c r="Y737" i="82" s="1"/>
  <c r="M737" i="82"/>
  <c r="H737" i="82"/>
  <c r="M738" i="82"/>
  <c r="C738" i="82"/>
  <c r="W738" i="82"/>
  <c r="Y738" i="82" s="1"/>
  <c r="H738" i="82"/>
  <c r="R738" i="82"/>
  <c r="BD738" i="82"/>
  <c r="BS738" i="82"/>
  <c r="BU738" i="82" s="1"/>
  <c r="BN738" i="82"/>
  <c r="AY738" i="82"/>
  <c r="BI738" i="82"/>
  <c r="R763" i="82"/>
  <c r="W763" i="82"/>
  <c r="Y763" i="82" s="1"/>
  <c r="M763" i="82"/>
  <c r="C763" i="82"/>
  <c r="H763" i="82"/>
  <c r="R758" i="82"/>
  <c r="H758" i="82"/>
  <c r="C758" i="82"/>
  <c r="M758" i="82"/>
  <c r="W758" i="82"/>
  <c r="Y758" i="82" s="1"/>
  <c r="BN764" i="82"/>
  <c r="BI764" i="82"/>
  <c r="BD764" i="82"/>
  <c r="AY764" i="82"/>
  <c r="BS764" i="82"/>
  <c r="BU764" i="82" s="1"/>
  <c r="AY760" i="82"/>
  <c r="BS760" i="82"/>
  <c r="BU760" i="82" s="1"/>
  <c r="BN760" i="82"/>
  <c r="BD760" i="82"/>
  <c r="BI760" i="82"/>
  <c r="BN746" i="82"/>
  <c r="AY746" i="82"/>
  <c r="BI746" i="82"/>
  <c r="BD746" i="82"/>
  <c r="BS746" i="82"/>
  <c r="BU746" i="82" s="1"/>
  <c r="BS749" i="82"/>
  <c r="BU749" i="82" s="1"/>
  <c r="BI749" i="82"/>
  <c r="BD749" i="82"/>
  <c r="AY749" i="82"/>
  <c r="BN749" i="82"/>
  <c r="M713" i="82"/>
  <c r="C713" i="82"/>
  <c r="W713" i="82"/>
  <c r="Y713" i="82" s="1"/>
  <c r="R713" i="82"/>
  <c r="H713" i="82"/>
  <c r="C714" i="82"/>
  <c r="H714" i="82"/>
  <c r="R714" i="82"/>
  <c r="M714" i="82"/>
  <c r="W714" i="82"/>
  <c r="Y714" i="82" s="1"/>
  <c r="H730" i="82"/>
  <c r="M730" i="82"/>
  <c r="R730" i="82"/>
  <c r="C730" i="82"/>
  <c r="W730" i="82"/>
  <c r="Y730" i="82" s="1"/>
  <c r="M723" i="82"/>
  <c r="C723" i="82"/>
  <c r="W723" i="82"/>
  <c r="Y723" i="82" s="1"/>
  <c r="R723" i="82"/>
  <c r="H723" i="82"/>
  <c r="M726" i="82"/>
  <c r="C726" i="82"/>
  <c r="W726" i="82"/>
  <c r="Y726" i="82" s="1"/>
  <c r="H726" i="82"/>
  <c r="R726" i="82"/>
  <c r="BN709" i="82"/>
  <c r="BD709" i="82"/>
  <c r="BI709" i="82"/>
  <c r="AY709" i="82"/>
  <c r="BS709" i="82"/>
  <c r="BU709" i="82" s="1"/>
  <c r="H707" i="82"/>
  <c r="W707" i="82"/>
  <c r="Y707" i="82" s="1"/>
  <c r="C707" i="82"/>
  <c r="R707" i="82"/>
  <c r="M707" i="82"/>
  <c r="BI710" i="82"/>
  <c r="BN710" i="82"/>
  <c r="BD710" i="82"/>
  <c r="BS710" i="82"/>
  <c r="BU710" i="82" s="1"/>
  <c r="AY710" i="82"/>
  <c r="F572" i="82"/>
  <c r="F579" i="82"/>
  <c r="L577" i="82"/>
  <c r="I577" i="82"/>
  <c r="Q663" i="82"/>
  <c r="EP663" i="82"/>
  <c r="CY663" i="82"/>
  <c r="BH663" i="82"/>
  <c r="C589" i="82"/>
  <c r="Q667" i="82"/>
  <c r="CY667" i="82"/>
  <c r="BH667" i="82"/>
  <c r="EP667" i="82"/>
  <c r="F559" i="82"/>
  <c r="C559" i="82"/>
  <c r="F585" i="82"/>
  <c r="I565" i="82"/>
  <c r="L565" i="82"/>
  <c r="BS731" i="82"/>
  <c r="BU731" i="82" s="1"/>
  <c r="BI731" i="82"/>
  <c r="BD731" i="82"/>
  <c r="BN731" i="82"/>
  <c r="AY731" i="82"/>
  <c r="H740" i="82"/>
  <c r="R740" i="82"/>
  <c r="M740" i="82"/>
  <c r="W740" i="82"/>
  <c r="Y740" i="82" s="1"/>
  <c r="C740" i="82"/>
  <c r="R761" i="82"/>
  <c r="W761" i="82"/>
  <c r="Y761" i="82" s="1"/>
  <c r="H761" i="82"/>
  <c r="C761" i="82"/>
  <c r="M761" i="82"/>
  <c r="W757" i="82"/>
  <c r="Y757" i="82" s="1"/>
  <c r="M757" i="82"/>
  <c r="C757" i="82"/>
  <c r="H757" i="82"/>
  <c r="R757" i="82"/>
  <c r="BI757" i="82"/>
  <c r="BD757" i="82"/>
  <c r="AY757" i="82"/>
  <c r="BS757" i="82"/>
  <c r="BU757" i="82" s="1"/>
  <c r="BN757" i="82"/>
  <c r="M762" i="82"/>
  <c r="W762" i="82"/>
  <c r="Y762" i="82" s="1"/>
  <c r="H762" i="82"/>
  <c r="R762" i="82"/>
  <c r="C762" i="82"/>
  <c r="BN761" i="82"/>
  <c r="BD761" i="82"/>
  <c r="AY761" i="82"/>
  <c r="BS761" i="82"/>
  <c r="BU761" i="82" s="1"/>
  <c r="BI761" i="82"/>
  <c r="M741" i="82"/>
  <c r="R741" i="82"/>
  <c r="H741" i="82"/>
  <c r="W741" i="82"/>
  <c r="Y741" i="82" s="1"/>
  <c r="C741" i="82"/>
  <c r="R745" i="82"/>
  <c r="H745" i="82"/>
  <c r="M745" i="82"/>
  <c r="W745" i="82"/>
  <c r="Y745" i="82" s="1"/>
  <c r="C745" i="82"/>
  <c r="M716" i="82"/>
  <c r="R716" i="82"/>
  <c r="C716" i="82"/>
  <c r="W716" i="82"/>
  <c r="Y716" i="82" s="1"/>
  <c r="H716" i="82"/>
  <c r="H711" i="82"/>
  <c r="C711" i="82"/>
  <c r="W711" i="82"/>
  <c r="Y711" i="82" s="1"/>
  <c r="M711" i="82"/>
  <c r="R711" i="82"/>
  <c r="BI729" i="82"/>
  <c r="BS729" i="82"/>
  <c r="BU729" i="82" s="1"/>
  <c r="BN729" i="82"/>
  <c r="AY729" i="82"/>
  <c r="BD729" i="82"/>
  <c r="BN722" i="82"/>
  <c r="BD722" i="82"/>
  <c r="BS722" i="82"/>
  <c r="BU722" i="82" s="1"/>
  <c r="BI722" i="82"/>
  <c r="AY722" i="82"/>
  <c r="AY727" i="82"/>
  <c r="BN727" i="82"/>
  <c r="BS727" i="82"/>
  <c r="BU727" i="82" s="1"/>
  <c r="BD727" i="82"/>
  <c r="BI727" i="82"/>
  <c r="M708" i="82"/>
  <c r="C708" i="82"/>
  <c r="W708" i="82"/>
  <c r="Y708" i="82" s="1"/>
  <c r="H708" i="82"/>
  <c r="R708" i="82"/>
  <c r="BI706" i="82"/>
  <c r="AY706" i="82"/>
  <c r="BN706" i="82"/>
  <c r="BD706" i="82"/>
  <c r="BS706" i="82"/>
  <c r="BU706" i="82" s="1"/>
  <c r="BS701" i="82"/>
  <c r="BU701" i="82" s="1"/>
  <c r="BI701" i="82"/>
  <c r="AY701" i="82"/>
  <c r="BN701" i="82"/>
  <c r="BD701" i="82"/>
  <c r="I582" i="82"/>
  <c r="L582" i="82"/>
  <c r="C576" i="82"/>
  <c r="F576" i="82"/>
  <c r="L585" i="82"/>
  <c r="I585" i="82"/>
  <c r="W733" i="82"/>
  <c r="Y733" i="82" s="1"/>
  <c r="M733" i="82"/>
  <c r="C733" i="82"/>
  <c r="H733" i="82"/>
  <c r="R733" i="82"/>
  <c r="AY737" i="82"/>
  <c r="BN737" i="82"/>
  <c r="BD737" i="82"/>
  <c r="BS737" i="82"/>
  <c r="BU737" i="82" s="1"/>
  <c r="BI737" i="82"/>
  <c r="BS755" i="82"/>
  <c r="BU755" i="82" s="1"/>
  <c r="BN755" i="82"/>
  <c r="BI755" i="82"/>
  <c r="AY755" i="82"/>
  <c r="BD755" i="82"/>
  <c r="W765" i="82"/>
  <c r="Y765" i="82" s="1"/>
  <c r="H765" i="82"/>
  <c r="R765" i="82"/>
  <c r="M765" i="82"/>
  <c r="C765" i="82"/>
  <c r="BS763" i="82"/>
  <c r="BU763" i="82" s="1"/>
  <c r="BI763" i="82"/>
  <c r="BD763" i="82"/>
  <c r="BN763" i="82"/>
  <c r="AY763" i="82"/>
  <c r="R756" i="82"/>
  <c r="W756" i="82"/>
  <c r="Y756" i="82" s="1"/>
  <c r="H756" i="82"/>
  <c r="C756" i="82"/>
  <c r="M756" i="82"/>
  <c r="BD752" i="82"/>
  <c r="BS752" i="82"/>
  <c r="BU752" i="82" s="1"/>
  <c r="BN752" i="82"/>
  <c r="AY752" i="82"/>
  <c r="BI752" i="82"/>
  <c r="BN750" i="82"/>
  <c r="BI750" i="82"/>
  <c r="BD750" i="82"/>
  <c r="BS750" i="82"/>
  <c r="BU750" i="82" s="1"/>
  <c r="AY750" i="82"/>
  <c r="BI745" i="82"/>
  <c r="BN745" i="82"/>
  <c r="BD745" i="82"/>
  <c r="BS745" i="82"/>
  <c r="BU745" i="82" s="1"/>
  <c r="AY745" i="82"/>
  <c r="AY712" i="82"/>
  <c r="BS712" i="82"/>
  <c r="BU712" i="82" s="1"/>
  <c r="BI712" i="82"/>
  <c r="BN712" i="82"/>
  <c r="BD712" i="82"/>
  <c r="BD713" i="82"/>
  <c r="BS713" i="82"/>
  <c r="BU713" i="82" s="1"/>
  <c r="BN713" i="82"/>
  <c r="AY713" i="82"/>
  <c r="BI713" i="82"/>
  <c r="BS718" i="82"/>
  <c r="BU718" i="82" s="1"/>
  <c r="BI718" i="82"/>
  <c r="AY718" i="82"/>
  <c r="BD718" i="82"/>
  <c r="BN718" i="82"/>
  <c r="BS723" i="82"/>
  <c r="BU723" i="82" s="1"/>
  <c r="AY723" i="82"/>
  <c r="BD723" i="82"/>
  <c r="BI723" i="82"/>
  <c r="BN723" i="82"/>
  <c r="R724" i="82"/>
  <c r="W724" i="82"/>
  <c r="Y724" i="82" s="1"/>
  <c r="H724" i="82"/>
  <c r="M724" i="82"/>
  <c r="C724" i="82"/>
  <c r="R701" i="82"/>
  <c r="W701" i="82"/>
  <c r="Y701" i="82" s="1"/>
  <c r="M701" i="82"/>
  <c r="C701" i="82"/>
  <c r="H701" i="82"/>
  <c r="BN707" i="82"/>
  <c r="BS707" i="82"/>
  <c r="BU707" i="82" s="1"/>
  <c r="AY707" i="82"/>
  <c r="BI707" i="82"/>
  <c r="BD707" i="82"/>
  <c r="C706" i="82"/>
  <c r="M706" i="82"/>
  <c r="W706" i="82"/>
  <c r="Y706" i="82" s="1"/>
  <c r="R706" i="82"/>
  <c r="H706" i="82"/>
  <c r="BH668" i="82"/>
  <c r="EP668" i="82"/>
  <c r="Q668" i="82"/>
  <c r="CY668" i="82"/>
  <c r="D63" i="15"/>
  <c r="D76" i="15"/>
  <c r="E113" i="15"/>
  <c r="F589" i="82" s="1"/>
  <c r="E115" i="15"/>
  <c r="E108" i="15"/>
  <c r="E109" i="15"/>
  <c r="C585" i="82" s="1"/>
  <c r="I40" i="15"/>
  <c r="D118" i="15"/>
  <c r="D75" i="15"/>
  <c r="H33" i="15"/>
  <c r="E81" i="15"/>
  <c r="E96" i="15"/>
  <c r="C572" i="82" s="1"/>
  <c r="E119" i="15"/>
  <c r="D124" i="15"/>
  <c r="G89" i="15"/>
  <c r="H89" i="15" s="1"/>
  <c r="G83" i="15"/>
  <c r="H83" i="15" s="1"/>
  <c r="G75" i="15"/>
  <c r="H75" i="15" s="1"/>
  <c r="G104" i="15"/>
  <c r="I104" i="15" s="1"/>
  <c r="G96" i="15"/>
  <c r="H96" i="15" s="1"/>
  <c r="E110" i="15"/>
  <c r="G91" i="15"/>
  <c r="H91" i="15" s="1"/>
  <c r="G114" i="15"/>
  <c r="H114" i="15" s="1"/>
  <c r="D121" i="15"/>
  <c r="D68" i="15"/>
  <c r="D112" i="15"/>
  <c r="G78" i="15"/>
  <c r="H78" i="15" s="1"/>
  <c r="E122" i="15"/>
  <c r="E111" i="15"/>
  <c r="F587" i="82" s="1"/>
  <c r="D123" i="15"/>
  <c r="E87" i="15"/>
  <c r="C563" i="82" s="1"/>
  <c r="D70" i="15"/>
  <c r="E94" i="15"/>
  <c r="C570" i="82" s="1"/>
  <c r="D120" i="15"/>
  <c r="Y48" i="18"/>
  <c r="G69" i="15"/>
  <c r="I69" i="15" s="1"/>
  <c r="E114" i="15"/>
  <c r="D99" i="15"/>
  <c r="L555" i="72"/>
  <c r="EU661" i="72" s="1"/>
  <c r="E106" i="15"/>
  <c r="E72" i="15"/>
  <c r="G88" i="15"/>
  <c r="H88" i="15" s="1"/>
  <c r="D74" i="15"/>
  <c r="E77" i="15"/>
  <c r="G81" i="15"/>
  <c r="I81" i="15" s="1"/>
  <c r="D71" i="15"/>
  <c r="E97" i="15"/>
  <c r="F573" i="82" s="1"/>
  <c r="X44" i="18"/>
  <c r="D117" i="15"/>
  <c r="D67" i="15"/>
  <c r="E85" i="15"/>
  <c r="G70" i="15"/>
  <c r="I70" i="15" s="1"/>
  <c r="G106" i="15"/>
  <c r="H106" i="15" s="1"/>
  <c r="G79" i="15"/>
  <c r="I79" i="15" s="1"/>
  <c r="Y47" i="18"/>
  <c r="U47" i="18"/>
  <c r="X46" i="18"/>
  <c r="U46" i="18"/>
  <c r="X45" i="18"/>
  <c r="U45" i="18"/>
  <c r="Y39" i="18"/>
  <c r="U44" i="18"/>
  <c r="X43" i="18"/>
  <c r="X40" i="18"/>
  <c r="V42" i="18"/>
  <c r="V43" i="18"/>
  <c r="V38" i="18"/>
  <c r="V39" i="18"/>
  <c r="S48" i="18"/>
  <c r="U34" i="18"/>
  <c r="U41" i="18"/>
  <c r="U37" i="18"/>
  <c r="U36" i="18"/>
  <c r="S40" i="18"/>
  <c r="U30" i="18"/>
  <c r="V35" i="18"/>
  <c r="U20" i="18"/>
  <c r="O42" i="18"/>
  <c r="R41" i="18"/>
  <c r="U31" i="18"/>
  <c r="R46" i="18"/>
  <c r="R36" i="18"/>
  <c r="P48" i="18"/>
  <c r="S42" i="18"/>
  <c r="R44" i="18"/>
  <c r="S47" i="18"/>
  <c r="O34" i="18"/>
  <c r="S45" i="18"/>
  <c r="S37" i="18"/>
  <c r="S31" i="18"/>
  <c r="S33" i="18"/>
  <c r="S39" i="18"/>
  <c r="S34" i="18"/>
  <c r="S38" i="18"/>
  <c r="P46" i="18"/>
  <c r="O41" i="18"/>
  <c r="O45" i="18"/>
  <c r="Y20" i="18"/>
  <c r="P44" i="18"/>
  <c r="P43" i="18"/>
  <c r="O38" i="18"/>
  <c r="Y21" i="18"/>
  <c r="Y13" i="18"/>
  <c r="P40" i="18"/>
  <c r="P36" i="18"/>
  <c r="Y23" i="18"/>
  <c r="Y18" i="18"/>
  <c r="V24" i="18"/>
  <c r="P39" i="18"/>
  <c r="O35" i="18"/>
  <c r="Y22" i="18"/>
  <c r="O37" i="18"/>
  <c r="X24" i="18"/>
  <c r="Y17" i="18"/>
  <c r="V11" i="18"/>
  <c r="X15" i="18"/>
  <c r="X19" i="18"/>
  <c r="V22" i="18"/>
  <c r="Y16" i="18"/>
  <c r="S21" i="18"/>
  <c r="V18" i="18"/>
  <c r="Y11" i="18"/>
  <c r="U14" i="18"/>
  <c r="U19" i="18"/>
  <c r="X12" i="18"/>
  <c r="U23" i="18"/>
  <c r="U15" i="18"/>
  <c r="Y10" i="18"/>
  <c r="V16" i="18"/>
  <c r="V13" i="18"/>
  <c r="V21" i="18"/>
  <c r="U17" i="18"/>
  <c r="U7" i="18"/>
  <c r="R16" i="18"/>
  <c r="P17" i="18"/>
  <c r="R22" i="18"/>
  <c r="U12" i="18"/>
  <c r="U8" i="18"/>
  <c r="U10" i="18"/>
  <c r="V6" i="18"/>
  <c r="U9" i="18"/>
  <c r="R14" i="18"/>
  <c r="R23" i="18"/>
  <c r="S19" i="18"/>
  <c r="O14" i="18"/>
  <c r="R18" i="18"/>
  <c r="P20" i="18"/>
  <c r="P18" i="18"/>
  <c r="R13" i="18"/>
  <c r="O10" i="18"/>
  <c r="R9" i="18"/>
  <c r="R17" i="18"/>
  <c r="O23" i="18"/>
  <c r="R15" i="18"/>
  <c r="S12" i="18"/>
  <c r="R8" i="18"/>
  <c r="R11" i="18"/>
  <c r="O16" i="18"/>
  <c r="R10" i="18"/>
  <c r="O24" i="18"/>
  <c r="O21" i="18"/>
  <c r="P12" i="18"/>
  <c r="R6" i="18"/>
  <c r="O22" i="18"/>
  <c r="O15" i="18"/>
  <c r="O11" i="18"/>
  <c r="O13" i="18"/>
  <c r="G109" i="15"/>
  <c r="H109" i="15" s="1"/>
  <c r="G110" i="15"/>
  <c r="I110" i="15" s="1"/>
  <c r="D58" i="15"/>
  <c r="E78" i="15"/>
  <c r="G121" i="15"/>
  <c r="I121" i="15" s="1"/>
  <c r="E89" i="15"/>
  <c r="G118" i="15"/>
  <c r="I118" i="15" s="1"/>
  <c r="G95" i="15"/>
  <c r="I95" i="15" s="1"/>
  <c r="D84" i="15"/>
  <c r="D116" i="15"/>
  <c r="E79" i="15"/>
  <c r="D83" i="15"/>
  <c r="D65" i="15"/>
  <c r="E95" i="15"/>
  <c r="F571" i="82" s="1"/>
  <c r="E73" i="15"/>
  <c r="G100" i="15"/>
  <c r="H100" i="15" s="1"/>
  <c r="G86" i="15"/>
  <c r="I86" i="15" s="1"/>
  <c r="G99" i="15"/>
  <c r="H99" i="15" s="1"/>
  <c r="D69" i="15"/>
  <c r="D107" i="15"/>
  <c r="I583" i="82" s="1"/>
  <c r="E103" i="15"/>
  <c r="C579" i="82" s="1"/>
  <c r="G87" i="15"/>
  <c r="I87" i="15" s="1"/>
  <c r="G98" i="15"/>
  <c r="H98" i="15" s="1"/>
  <c r="D61" i="15"/>
  <c r="G84" i="15"/>
  <c r="H84" i="15" s="1"/>
  <c r="E92" i="15"/>
  <c r="F568" i="82" s="1"/>
  <c r="E62" i="15"/>
  <c r="G65" i="15"/>
  <c r="I65" i="15" s="1"/>
  <c r="D82" i="15"/>
  <c r="D105" i="15"/>
  <c r="G74" i="15"/>
  <c r="H74" i="15" s="1"/>
  <c r="G67" i="15"/>
  <c r="I67" i="15" s="1"/>
  <c r="G90" i="15"/>
  <c r="H90" i="15" s="1"/>
  <c r="E101" i="15"/>
  <c r="E88" i="15"/>
  <c r="G62" i="15"/>
  <c r="H62" i="15" s="1"/>
  <c r="I555" i="72"/>
  <c r="D104" i="15"/>
  <c r="G97" i="15"/>
  <c r="I97" i="15" s="1"/>
  <c r="G63" i="15"/>
  <c r="I63" i="15" s="1"/>
  <c r="G68" i="15"/>
  <c r="H68" i="15" s="1"/>
  <c r="G94" i="15"/>
  <c r="I94" i="15" s="1"/>
  <c r="D100" i="15"/>
  <c r="G93" i="15"/>
  <c r="I93" i="15" s="1"/>
  <c r="E60" i="15"/>
  <c r="G92" i="15"/>
  <c r="I92" i="15" s="1"/>
  <c r="G71" i="15"/>
  <c r="I71" i="15" s="1"/>
  <c r="E98" i="15"/>
  <c r="F574" i="82" s="1"/>
  <c r="G101" i="15"/>
  <c r="H101" i="15" s="1"/>
  <c r="G58" i="15"/>
  <c r="H58" i="15" s="1"/>
  <c r="G124" i="15"/>
  <c r="H124" i="15" s="1"/>
  <c r="G82" i="15"/>
  <c r="H82" i="15" s="1"/>
  <c r="G76" i="15"/>
  <c r="H76" i="15" s="1"/>
  <c r="E59" i="15"/>
  <c r="G77" i="15"/>
  <c r="I77" i="15" s="1"/>
  <c r="W739" i="72"/>
  <c r="Y739" i="72" s="1"/>
  <c r="C739" i="72"/>
  <c r="H739" i="72"/>
  <c r="E100" i="65"/>
  <c r="D100" i="65"/>
  <c r="M739" i="72"/>
  <c r="R739" i="72"/>
  <c r="R734" i="72"/>
  <c r="H734" i="72"/>
  <c r="M734" i="72"/>
  <c r="W734" i="72"/>
  <c r="Y734" i="72" s="1"/>
  <c r="D95" i="65"/>
  <c r="C734" i="72"/>
  <c r="E95" i="65"/>
  <c r="G216" i="65"/>
  <c r="G208" i="65"/>
  <c r="G214" i="65"/>
  <c r="G212" i="65"/>
  <c r="G217" i="65"/>
  <c r="G210" i="65"/>
  <c r="G209" i="65"/>
  <c r="G215" i="65"/>
  <c r="G211" i="65"/>
  <c r="G106" i="65"/>
  <c r="G102" i="65"/>
  <c r="G104" i="65"/>
  <c r="G105" i="65"/>
  <c r="G110" i="65"/>
  <c r="G103" i="65"/>
  <c r="G111" i="65"/>
  <c r="G108" i="65"/>
  <c r="G213" i="65"/>
  <c r="G107" i="65"/>
  <c r="G109" i="65"/>
  <c r="AY765" i="72"/>
  <c r="BS765" i="72"/>
  <c r="BU765" i="72" s="1"/>
  <c r="BN765" i="72"/>
  <c r="E232" i="65"/>
  <c r="D232" i="65"/>
  <c r="BI765" i="72"/>
  <c r="BD765" i="72"/>
  <c r="W760" i="72"/>
  <c r="Y760" i="72" s="1"/>
  <c r="C760" i="72"/>
  <c r="H760" i="72"/>
  <c r="D121" i="65"/>
  <c r="M760" i="72"/>
  <c r="E121" i="65"/>
  <c r="R760" i="72"/>
  <c r="E127" i="65"/>
  <c r="C766" i="72"/>
  <c r="W766" i="72"/>
  <c r="Y766" i="72" s="1"/>
  <c r="H766" i="72"/>
  <c r="R766" i="72"/>
  <c r="M766" i="72"/>
  <c r="D127" i="65"/>
  <c r="H749" i="72"/>
  <c r="R749" i="72"/>
  <c r="M749" i="72"/>
  <c r="E110" i="65"/>
  <c r="C749" i="72"/>
  <c r="W749" i="72"/>
  <c r="Y749" i="72" s="1"/>
  <c r="D110" i="65"/>
  <c r="BS743" i="72"/>
  <c r="BU743" i="72" s="1"/>
  <c r="BI743" i="72"/>
  <c r="AY743" i="72"/>
  <c r="BN743" i="72"/>
  <c r="D210" i="65"/>
  <c r="BD743" i="72"/>
  <c r="E210" i="65"/>
  <c r="G227" i="65"/>
  <c r="G232" i="65"/>
  <c r="G220" i="65"/>
  <c r="G230" i="65"/>
  <c r="G119" i="65"/>
  <c r="G224" i="65"/>
  <c r="G225" i="65"/>
  <c r="G228" i="65"/>
  <c r="G218" i="65"/>
  <c r="G234" i="65"/>
  <c r="G113" i="65"/>
  <c r="G222" i="65"/>
  <c r="G219" i="65"/>
  <c r="G116" i="65"/>
  <c r="G226" i="65"/>
  <c r="G231" i="65"/>
  <c r="G121" i="65"/>
  <c r="G120" i="65"/>
  <c r="G223" i="65"/>
  <c r="G117" i="65"/>
  <c r="G126" i="65"/>
  <c r="G125" i="65"/>
  <c r="G114" i="65"/>
  <c r="G118" i="65"/>
  <c r="G221" i="65"/>
  <c r="G123" i="65"/>
  <c r="G128" i="65"/>
  <c r="G124" i="65"/>
  <c r="G115" i="65"/>
  <c r="G112" i="65"/>
  <c r="G122" i="65"/>
  <c r="G229" i="65"/>
  <c r="G127" i="65"/>
  <c r="G233" i="65"/>
  <c r="BN719" i="72"/>
  <c r="BD719" i="72"/>
  <c r="BS719" i="72"/>
  <c r="BU719" i="72" s="1"/>
  <c r="AY719" i="72"/>
  <c r="D186" i="65"/>
  <c r="E186" i="65"/>
  <c r="BI719" i="72"/>
  <c r="M712" i="72"/>
  <c r="R712" i="72"/>
  <c r="C712" i="72"/>
  <c r="W712" i="72"/>
  <c r="Y712" i="72" s="1"/>
  <c r="D73" i="65"/>
  <c r="H712" i="72"/>
  <c r="E73" i="65"/>
  <c r="M728" i="72"/>
  <c r="H728" i="72"/>
  <c r="C728" i="72"/>
  <c r="E89" i="65"/>
  <c r="D89" i="65"/>
  <c r="W728" i="72"/>
  <c r="Y728" i="72" s="1"/>
  <c r="R728" i="72"/>
  <c r="BI725" i="72"/>
  <c r="AY725" i="72"/>
  <c r="BN725" i="72"/>
  <c r="BD725" i="72"/>
  <c r="D192" i="65"/>
  <c r="BS725" i="72"/>
  <c r="BU725" i="72" s="1"/>
  <c r="E192" i="65"/>
  <c r="M721" i="72"/>
  <c r="W721" i="72"/>
  <c r="Y721" i="72" s="1"/>
  <c r="R721" i="72"/>
  <c r="C721" i="72"/>
  <c r="D82" i="65"/>
  <c r="H721" i="72"/>
  <c r="E82" i="65"/>
  <c r="E70" i="65"/>
  <c r="R709" i="72"/>
  <c r="M709" i="72"/>
  <c r="H709" i="72"/>
  <c r="D70" i="65"/>
  <c r="W709" i="72"/>
  <c r="Y709" i="72" s="1"/>
  <c r="C709" i="72"/>
  <c r="W737" i="72"/>
  <c r="Y737" i="72" s="1"/>
  <c r="H737" i="72"/>
  <c r="E98" i="65"/>
  <c r="R737" i="72"/>
  <c r="C737" i="72"/>
  <c r="D98" i="65"/>
  <c r="M737" i="72"/>
  <c r="H738" i="72"/>
  <c r="M738" i="72"/>
  <c r="R738" i="72"/>
  <c r="W738" i="72"/>
  <c r="Y738" i="72" s="1"/>
  <c r="E99" i="65"/>
  <c r="C738" i="72"/>
  <c r="D99" i="65"/>
  <c r="BN738" i="72"/>
  <c r="BS738" i="72"/>
  <c r="BU738" i="72" s="1"/>
  <c r="BI738" i="72"/>
  <c r="E205" i="65"/>
  <c r="D205" i="65"/>
  <c r="BD738" i="72"/>
  <c r="AY738" i="72"/>
  <c r="W763" i="72"/>
  <c r="Y763" i="72" s="1"/>
  <c r="E124" i="65"/>
  <c r="R763" i="72"/>
  <c r="D124" i="65"/>
  <c r="M763" i="72"/>
  <c r="C763" i="72"/>
  <c r="H763" i="72"/>
  <c r="H758" i="72"/>
  <c r="M758" i="72"/>
  <c r="D119" i="65"/>
  <c r="R758" i="72"/>
  <c r="W758" i="72"/>
  <c r="Y758" i="72" s="1"/>
  <c r="C758" i="72"/>
  <c r="E119" i="65"/>
  <c r="AY764" i="72"/>
  <c r="BN764" i="72"/>
  <c r="BD764" i="72"/>
  <c r="D231" i="65"/>
  <c r="E231" i="65"/>
  <c r="BS764" i="72"/>
  <c r="BU764" i="72" s="1"/>
  <c r="BI764" i="72"/>
  <c r="AY760" i="72"/>
  <c r="BD760" i="72"/>
  <c r="BI760" i="72"/>
  <c r="BS760" i="72"/>
  <c r="BU760" i="72" s="1"/>
  <c r="BN760" i="72"/>
  <c r="D227" i="65"/>
  <c r="E227" i="65"/>
  <c r="BS746" i="72"/>
  <c r="BU746" i="72" s="1"/>
  <c r="AY746" i="72"/>
  <c r="E213" i="65"/>
  <c r="D213" i="65"/>
  <c r="BN746" i="72"/>
  <c r="BI746" i="72"/>
  <c r="BD746" i="72"/>
  <c r="BS749" i="72"/>
  <c r="BU749" i="72" s="1"/>
  <c r="BN749" i="72"/>
  <c r="BD749" i="72"/>
  <c r="BI749" i="72"/>
  <c r="D216" i="65"/>
  <c r="AY749" i="72"/>
  <c r="E216" i="65"/>
  <c r="BS720" i="72"/>
  <c r="BU720" i="72" s="1"/>
  <c r="BI720" i="72"/>
  <c r="AY720" i="72"/>
  <c r="BN720" i="72"/>
  <c r="D187" i="65"/>
  <c r="BD720" i="72"/>
  <c r="E187" i="65"/>
  <c r="BD716" i="72"/>
  <c r="AY716" i="72"/>
  <c r="BI716" i="72"/>
  <c r="E183" i="65"/>
  <c r="BS716" i="72"/>
  <c r="BU716" i="72" s="1"/>
  <c r="D183" i="65"/>
  <c r="BN716" i="72"/>
  <c r="BI721" i="72"/>
  <c r="BD721" i="72"/>
  <c r="AY721" i="72"/>
  <c r="BS721" i="72"/>
  <c r="BU721" i="72" s="1"/>
  <c r="BN721" i="72"/>
  <c r="D188" i="65"/>
  <c r="E188" i="65"/>
  <c r="R722" i="72"/>
  <c r="D83" i="65"/>
  <c r="W722" i="72"/>
  <c r="Y722" i="72" s="1"/>
  <c r="E83" i="65"/>
  <c r="C722" i="72"/>
  <c r="H722" i="72"/>
  <c r="M722" i="72"/>
  <c r="AY730" i="72"/>
  <c r="BS730" i="72"/>
  <c r="BU730" i="72" s="1"/>
  <c r="E197" i="65"/>
  <c r="D197" i="65"/>
  <c r="BN730" i="72"/>
  <c r="BD730" i="72"/>
  <c r="BI730" i="72"/>
  <c r="W703" i="72"/>
  <c r="Y703" i="72" s="1"/>
  <c r="R703" i="72"/>
  <c r="D64" i="65"/>
  <c r="H703" i="72"/>
  <c r="M703" i="72"/>
  <c r="E64" i="65"/>
  <c r="C703" i="72"/>
  <c r="H704" i="72"/>
  <c r="C704" i="72"/>
  <c r="D65" i="65"/>
  <c r="E65" i="65"/>
  <c r="M704" i="72"/>
  <c r="W704" i="72"/>
  <c r="Y704" i="72" s="1"/>
  <c r="R704" i="72"/>
  <c r="G117" i="15"/>
  <c r="H117" i="15" s="1"/>
  <c r="G64" i="15"/>
  <c r="I64" i="15" s="1"/>
  <c r="G66" i="15"/>
  <c r="H66" i="15" s="1"/>
  <c r="G103" i="15"/>
  <c r="I103" i="15" s="1"/>
  <c r="G108" i="15"/>
  <c r="H108" i="15" s="1"/>
  <c r="D66" i="15"/>
  <c r="G115" i="15"/>
  <c r="H115" i="15" s="1"/>
  <c r="BN731" i="72"/>
  <c r="BI731" i="72"/>
  <c r="AY731" i="72"/>
  <c r="E198" i="65"/>
  <c r="BS731" i="72"/>
  <c r="BU731" i="72" s="1"/>
  <c r="BD731" i="72"/>
  <c r="D198" i="65"/>
  <c r="C740" i="72"/>
  <c r="W740" i="72"/>
  <c r="Y740" i="72" s="1"/>
  <c r="M740" i="72"/>
  <c r="E101" i="65"/>
  <c r="H740" i="72"/>
  <c r="D101" i="65"/>
  <c r="R740" i="72"/>
  <c r="G188" i="65"/>
  <c r="G196" i="65"/>
  <c r="G195" i="65"/>
  <c r="G193" i="65"/>
  <c r="G190" i="65"/>
  <c r="G194" i="65"/>
  <c r="G192" i="65"/>
  <c r="G91" i="65"/>
  <c r="G84" i="65"/>
  <c r="G85" i="65"/>
  <c r="G82" i="65"/>
  <c r="G189" i="65"/>
  <c r="G86" i="65"/>
  <c r="G90" i="65"/>
  <c r="G87" i="65"/>
  <c r="G191" i="65"/>
  <c r="G197" i="65"/>
  <c r="G88" i="65"/>
  <c r="G83" i="65"/>
  <c r="G89" i="65"/>
  <c r="R761" i="72"/>
  <c r="C761" i="72"/>
  <c r="D122" i="65"/>
  <c r="E122" i="65"/>
  <c r="M761" i="72"/>
  <c r="W761" i="72"/>
  <c r="Y761" i="72" s="1"/>
  <c r="H761" i="72"/>
  <c r="C757" i="72"/>
  <c r="R757" i="72"/>
  <c r="M757" i="72"/>
  <c r="W757" i="72"/>
  <c r="Y757" i="72" s="1"/>
  <c r="E118" i="65"/>
  <c r="D118" i="65"/>
  <c r="H757" i="72"/>
  <c r="AY757" i="72"/>
  <c r="BD757" i="72"/>
  <c r="BI757" i="72"/>
  <c r="BN757" i="72"/>
  <c r="D224" i="65"/>
  <c r="BS757" i="72"/>
  <c r="BU757" i="72" s="1"/>
  <c r="E224" i="65"/>
  <c r="M762" i="72"/>
  <c r="R762" i="72"/>
  <c r="H762" i="72"/>
  <c r="W762" i="72"/>
  <c r="Y762" i="72" s="1"/>
  <c r="D123" i="65"/>
  <c r="E123" i="65"/>
  <c r="C762" i="72"/>
  <c r="BI761" i="72"/>
  <c r="BD761" i="72"/>
  <c r="BN761" i="72"/>
  <c r="BS761" i="72"/>
  <c r="BU761" i="72" s="1"/>
  <c r="AY761" i="72"/>
  <c r="D228" i="65"/>
  <c r="E228" i="65"/>
  <c r="W741" i="72"/>
  <c r="Y741" i="72" s="1"/>
  <c r="M741" i="72"/>
  <c r="D102" i="65"/>
  <c r="E102" i="65"/>
  <c r="C741" i="72"/>
  <c r="H741" i="72"/>
  <c r="R741" i="72"/>
  <c r="R745" i="72"/>
  <c r="E106" i="65"/>
  <c r="M745" i="72"/>
  <c r="W745" i="72"/>
  <c r="Y745" i="72" s="1"/>
  <c r="C745" i="72"/>
  <c r="H745" i="72"/>
  <c r="D106" i="65"/>
  <c r="G79" i="65"/>
  <c r="G183" i="65"/>
  <c r="G81" i="65"/>
  <c r="G185" i="65"/>
  <c r="G184" i="65"/>
  <c r="G186" i="65"/>
  <c r="G180" i="65"/>
  <c r="G182" i="65"/>
  <c r="G178" i="65"/>
  <c r="G179" i="65"/>
  <c r="G187" i="65"/>
  <c r="G77" i="65"/>
  <c r="G74" i="65"/>
  <c r="G72" i="65"/>
  <c r="G181" i="65"/>
  <c r="G73" i="65"/>
  <c r="G80" i="65"/>
  <c r="G78" i="65"/>
  <c r="G76" i="65"/>
  <c r="G75" i="65"/>
  <c r="E74" i="65"/>
  <c r="R713" i="72"/>
  <c r="H713" i="72"/>
  <c r="D74" i="65"/>
  <c r="W713" i="72"/>
  <c r="Y713" i="72" s="1"/>
  <c r="C713" i="72"/>
  <c r="M713" i="72"/>
  <c r="R714" i="72"/>
  <c r="E75" i="65"/>
  <c r="C714" i="72"/>
  <c r="M714" i="72"/>
  <c r="H714" i="72"/>
  <c r="W714" i="72"/>
  <c r="Y714" i="72" s="1"/>
  <c r="D75" i="65"/>
  <c r="D91" i="65"/>
  <c r="E91" i="65"/>
  <c r="C730" i="72"/>
  <c r="M730" i="72"/>
  <c r="W730" i="72"/>
  <c r="Y730" i="72" s="1"/>
  <c r="H730" i="72"/>
  <c r="R730" i="72"/>
  <c r="W723" i="72"/>
  <c r="Y723" i="72" s="1"/>
  <c r="D84" i="65"/>
  <c r="R723" i="72"/>
  <c r="C723" i="72"/>
  <c r="M723" i="72"/>
  <c r="H723" i="72"/>
  <c r="E84" i="65"/>
  <c r="W726" i="72"/>
  <c r="Y726" i="72" s="1"/>
  <c r="R726" i="72"/>
  <c r="C726" i="72"/>
  <c r="D87" i="65"/>
  <c r="M726" i="72"/>
  <c r="E87" i="65"/>
  <c r="H726" i="72"/>
  <c r="BI709" i="72"/>
  <c r="BD709" i="72"/>
  <c r="BS709" i="72"/>
  <c r="BU709" i="72" s="1"/>
  <c r="BN709" i="72"/>
  <c r="AY709" i="72"/>
  <c r="E176" i="65"/>
  <c r="D176" i="65"/>
  <c r="R707" i="72"/>
  <c r="C707" i="72"/>
  <c r="H707" i="72"/>
  <c r="W707" i="72"/>
  <c r="Y707" i="72" s="1"/>
  <c r="E68" i="65"/>
  <c r="D68" i="65"/>
  <c r="M707" i="72"/>
  <c r="BI710" i="72"/>
  <c r="BS710" i="72"/>
  <c r="BU710" i="72" s="1"/>
  <c r="AY710" i="72"/>
  <c r="BN710" i="72"/>
  <c r="E177" i="65"/>
  <c r="D177" i="65"/>
  <c r="BD710" i="72"/>
  <c r="G105" i="15"/>
  <c r="I105" i="15" s="1"/>
  <c r="G112" i="15"/>
  <c r="I112" i="15" s="1"/>
  <c r="G60" i="15"/>
  <c r="H60" i="15" s="1"/>
  <c r="G122" i="15"/>
  <c r="H122" i="15" s="1"/>
  <c r="G111" i="15"/>
  <c r="H111" i="15" s="1"/>
  <c r="G61" i="15"/>
  <c r="I61" i="15" s="1"/>
  <c r="G170" i="65"/>
  <c r="G169" i="65"/>
  <c r="G176" i="65"/>
  <c r="G63" i="65"/>
  <c r="G171" i="65"/>
  <c r="G174" i="65"/>
  <c r="G172" i="65"/>
  <c r="G168" i="65"/>
  <c r="G177" i="65"/>
  <c r="G62" i="65"/>
  <c r="G71" i="65"/>
  <c r="G67" i="65"/>
  <c r="G66" i="65"/>
  <c r="G64" i="65"/>
  <c r="G173" i="65"/>
  <c r="G69" i="65"/>
  <c r="G175" i="65"/>
  <c r="G68" i="65"/>
  <c r="G65" i="65"/>
  <c r="G70" i="65"/>
  <c r="E94" i="65"/>
  <c r="D94" i="65"/>
  <c r="H733" i="72"/>
  <c r="R733" i="72"/>
  <c r="M733" i="72"/>
  <c r="W733" i="72"/>
  <c r="Y733" i="72" s="1"/>
  <c r="C733" i="72"/>
  <c r="BN737" i="72"/>
  <c r="BI737" i="72"/>
  <c r="E204" i="65"/>
  <c r="D204" i="65"/>
  <c r="AY737" i="72"/>
  <c r="BD737" i="72"/>
  <c r="BS737" i="72"/>
  <c r="BU737" i="72" s="1"/>
  <c r="BD755" i="72"/>
  <c r="BS755" i="72"/>
  <c r="BU755" i="72" s="1"/>
  <c r="BI755" i="72"/>
  <c r="E222" i="65"/>
  <c r="AY755" i="72"/>
  <c r="BN755" i="72"/>
  <c r="D222" i="65"/>
  <c r="H765" i="72"/>
  <c r="R765" i="72"/>
  <c r="C765" i="72"/>
  <c r="M765" i="72"/>
  <c r="E126" i="65"/>
  <c r="D126" i="65"/>
  <c r="W765" i="72"/>
  <c r="Y765" i="72" s="1"/>
  <c r="BN763" i="72"/>
  <c r="BD763" i="72"/>
  <c r="BS763" i="72"/>
  <c r="BU763" i="72" s="1"/>
  <c r="BI763" i="72"/>
  <c r="AY763" i="72"/>
  <c r="D230" i="65"/>
  <c r="E230" i="65"/>
  <c r="H756" i="72"/>
  <c r="E117" i="65"/>
  <c r="D117" i="65"/>
  <c r="M756" i="72"/>
  <c r="R756" i="72"/>
  <c r="C756" i="72"/>
  <c r="W756" i="72"/>
  <c r="Y756" i="72" s="1"/>
  <c r="AY752" i="72"/>
  <c r="BD752" i="72"/>
  <c r="BI752" i="72"/>
  <c r="D219" i="65"/>
  <c r="BS752" i="72"/>
  <c r="BU752" i="72" s="1"/>
  <c r="E219" i="65"/>
  <c r="BN752" i="72"/>
  <c r="BI750" i="72"/>
  <c r="BD750" i="72"/>
  <c r="BS750" i="72"/>
  <c r="BU750" i="72" s="1"/>
  <c r="E217" i="65"/>
  <c r="D217" i="65"/>
  <c r="BN750" i="72"/>
  <c r="AY750" i="72"/>
  <c r="BI745" i="72"/>
  <c r="BD745" i="72"/>
  <c r="AY745" i="72"/>
  <c r="BN745" i="72"/>
  <c r="D212" i="65"/>
  <c r="BS745" i="72"/>
  <c r="BU745" i="72" s="1"/>
  <c r="E212" i="65"/>
  <c r="R716" i="72"/>
  <c r="W716" i="72"/>
  <c r="Y716" i="72" s="1"/>
  <c r="H716" i="72"/>
  <c r="C716" i="72"/>
  <c r="E77" i="65"/>
  <c r="D77" i="65"/>
  <c r="M716" i="72"/>
  <c r="W711" i="72"/>
  <c r="Y711" i="72" s="1"/>
  <c r="H711" i="72"/>
  <c r="C711" i="72"/>
  <c r="M711" i="72"/>
  <c r="D72" i="65"/>
  <c r="R711" i="72"/>
  <c r="E72" i="65"/>
  <c r="AY729" i="72"/>
  <c r="BS729" i="72"/>
  <c r="BU729" i="72" s="1"/>
  <c r="BI729" i="72"/>
  <c r="E196" i="65"/>
  <c r="D196" i="65"/>
  <c r="BD729" i="72"/>
  <c r="BN729" i="72"/>
  <c r="BN722" i="72"/>
  <c r="BS722" i="72"/>
  <c r="BU722" i="72" s="1"/>
  <c r="BI722" i="72"/>
  <c r="E189" i="65"/>
  <c r="BD722" i="72"/>
  <c r="D189" i="65"/>
  <c r="AY722" i="72"/>
  <c r="BD727" i="72"/>
  <c r="BI727" i="72"/>
  <c r="AY727" i="72"/>
  <c r="E194" i="65"/>
  <c r="BN727" i="72"/>
  <c r="BS727" i="72"/>
  <c r="BU727" i="72" s="1"/>
  <c r="D194" i="65"/>
  <c r="E69" i="65"/>
  <c r="W708" i="72"/>
  <c r="Y708" i="72" s="1"/>
  <c r="R708" i="72"/>
  <c r="M708" i="72"/>
  <c r="H708" i="72"/>
  <c r="D69" i="65"/>
  <c r="C708" i="72"/>
  <c r="AY706" i="72"/>
  <c r="BI706" i="72"/>
  <c r="E173" i="65"/>
  <c r="BS706" i="72"/>
  <c r="BU706" i="72" s="1"/>
  <c r="D173" i="65"/>
  <c r="BD706" i="72"/>
  <c r="BN706" i="72"/>
  <c r="BN701" i="72"/>
  <c r="BI701" i="72"/>
  <c r="E168" i="65"/>
  <c r="BS701" i="72"/>
  <c r="BU701" i="72" s="1"/>
  <c r="AY701" i="72"/>
  <c r="BD701" i="72"/>
  <c r="D168" i="65"/>
  <c r="G73" i="15"/>
  <c r="H73" i="15" s="1"/>
  <c r="G102" i="15"/>
  <c r="I102" i="15" s="1"/>
  <c r="G80" i="15"/>
  <c r="I80" i="15" s="1"/>
  <c r="G59" i="15"/>
  <c r="H59" i="15" s="1"/>
  <c r="G72" i="15"/>
  <c r="H72" i="15" s="1"/>
  <c r="E102" i="15"/>
  <c r="E64" i="15"/>
  <c r="G116" i="15"/>
  <c r="H116" i="15" s="1"/>
  <c r="BI739" i="72"/>
  <c r="BD739" i="72"/>
  <c r="BS739" i="72"/>
  <c r="BU739" i="72" s="1"/>
  <c r="BN739" i="72"/>
  <c r="D206" i="65"/>
  <c r="E206" i="65"/>
  <c r="AY739" i="72"/>
  <c r="BS733" i="72"/>
  <c r="BU733" i="72" s="1"/>
  <c r="BN733" i="72"/>
  <c r="BD733" i="72"/>
  <c r="D200" i="65"/>
  <c r="BI733" i="72"/>
  <c r="E200" i="65"/>
  <c r="AY733" i="72"/>
  <c r="BI766" i="72"/>
  <c r="BS766" i="72"/>
  <c r="BU766" i="72" s="1"/>
  <c r="BN766" i="72"/>
  <c r="BD766" i="72"/>
  <c r="E233" i="65"/>
  <c r="AY766" i="72"/>
  <c r="D233" i="65"/>
  <c r="BN754" i="72"/>
  <c r="BD754" i="72"/>
  <c r="D221" i="65"/>
  <c r="BI754" i="72"/>
  <c r="AY754" i="72"/>
  <c r="E221" i="65"/>
  <c r="BS754" i="72"/>
  <c r="BU754" i="72" s="1"/>
  <c r="M752" i="72"/>
  <c r="W752" i="72"/>
  <c r="Y752" i="72" s="1"/>
  <c r="C752" i="72"/>
  <c r="D113" i="65"/>
  <c r="H752" i="72"/>
  <c r="R752" i="72"/>
  <c r="E113" i="65"/>
  <c r="AY751" i="72"/>
  <c r="BI751" i="72"/>
  <c r="D218" i="65"/>
  <c r="BN751" i="72"/>
  <c r="BD751" i="72"/>
  <c r="BS751" i="72"/>
  <c r="BU751" i="72" s="1"/>
  <c r="E218" i="65"/>
  <c r="R744" i="72"/>
  <c r="E105" i="65"/>
  <c r="M744" i="72"/>
  <c r="W744" i="72"/>
  <c r="Y744" i="72" s="1"/>
  <c r="H744" i="72"/>
  <c r="D105" i="65"/>
  <c r="C744" i="72"/>
  <c r="H748" i="72"/>
  <c r="E109" i="65"/>
  <c r="M748" i="72"/>
  <c r="D109" i="65"/>
  <c r="R748" i="72"/>
  <c r="W748" i="72"/>
  <c r="Y748" i="72" s="1"/>
  <c r="C748" i="72"/>
  <c r="BD747" i="72"/>
  <c r="AY747" i="72"/>
  <c r="BI747" i="72"/>
  <c r="D214" i="65"/>
  <c r="BS747" i="72"/>
  <c r="BU747" i="72" s="1"/>
  <c r="E214" i="65"/>
  <c r="BN747" i="72"/>
  <c r="BD712" i="72"/>
  <c r="BN712" i="72"/>
  <c r="BI712" i="72"/>
  <c r="AY712" i="72"/>
  <c r="D179" i="65"/>
  <c r="E179" i="65"/>
  <c r="BS712" i="72"/>
  <c r="BU712" i="72" s="1"/>
  <c r="BN713" i="72"/>
  <c r="AY713" i="72"/>
  <c r="D180" i="65"/>
  <c r="E180" i="65"/>
  <c r="BS713" i="72"/>
  <c r="BU713" i="72" s="1"/>
  <c r="BI713" i="72"/>
  <c r="BD713" i="72"/>
  <c r="BI718" i="72"/>
  <c r="AY718" i="72"/>
  <c r="E185" i="65"/>
  <c r="BN718" i="72"/>
  <c r="D185" i="65"/>
  <c r="BD718" i="72"/>
  <c r="BS718" i="72"/>
  <c r="BU718" i="72" s="1"/>
  <c r="BN723" i="72"/>
  <c r="AY723" i="72"/>
  <c r="BD723" i="72"/>
  <c r="BI723" i="72"/>
  <c r="D190" i="65"/>
  <c r="BS723" i="72"/>
  <c r="BU723" i="72" s="1"/>
  <c r="E190" i="65"/>
  <c r="E85" i="65"/>
  <c r="D85" i="65"/>
  <c r="R724" i="72"/>
  <c r="C724" i="72"/>
  <c r="M724" i="72"/>
  <c r="H724" i="72"/>
  <c r="W724" i="72"/>
  <c r="Y724" i="72" s="1"/>
  <c r="E62" i="65"/>
  <c r="D62" i="65"/>
  <c r="H701" i="72"/>
  <c r="R701" i="72"/>
  <c r="C701" i="72"/>
  <c r="W701" i="72"/>
  <c r="Y701" i="72" s="1"/>
  <c r="M701" i="72"/>
  <c r="BN707" i="72"/>
  <c r="BD707" i="72"/>
  <c r="BI707" i="72"/>
  <c r="BS707" i="72"/>
  <c r="BU707" i="72" s="1"/>
  <c r="AY707" i="72"/>
  <c r="D174" i="65"/>
  <c r="E174" i="65"/>
  <c r="C706" i="72"/>
  <c r="W706" i="72"/>
  <c r="Y706" i="72" s="1"/>
  <c r="H706" i="72"/>
  <c r="R706" i="72"/>
  <c r="D67" i="65"/>
  <c r="E67" i="65"/>
  <c r="M706" i="72"/>
  <c r="BI736" i="72"/>
  <c r="AY736" i="72"/>
  <c r="BS736" i="72"/>
  <c r="BU736" i="72" s="1"/>
  <c r="E203" i="65"/>
  <c r="BD736" i="72"/>
  <c r="BN736" i="72"/>
  <c r="D203" i="65"/>
  <c r="R755" i="72"/>
  <c r="C755" i="72"/>
  <c r="H755" i="72"/>
  <c r="D116" i="65"/>
  <c r="W755" i="72"/>
  <c r="Y755" i="72" s="1"/>
  <c r="M755" i="72"/>
  <c r="E116" i="65"/>
  <c r="BN705" i="72"/>
  <c r="D172" i="65"/>
  <c r="BD705" i="72"/>
  <c r="BS705" i="72"/>
  <c r="BU705" i="72" s="1"/>
  <c r="BI705" i="72"/>
  <c r="E172" i="65"/>
  <c r="AY705" i="72"/>
  <c r="D92" i="65"/>
  <c r="C731" i="72"/>
  <c r="W731" i="72"/>
  <c r="Y731" i="72" s="1"/>
  <c r="R731" i="72"/>
  <c r="M731" i="72"/>
  <c r="H731" i="72"/>
  <c r="E92" i="65"/>
  <c r="E97" i="65"/>
  <c r="W736" i="72"/>
  <c r="Y736" i="72" s="1"/>
  <c r="R736" i="72"/>
  <c r="C736" i="72"/>
  <c r="H736" i="72"/>
  <c r="D97" i="65"/>
  <c r="M736" i="72"/>
  <c r="H754" i="72"/>
  <c r="D115" i="65"/>
  <c r="R754" i="72"/>
  <c r="M754" i="72"/>
  <c r="W754" i="72"/>
  <c r="Y754" i="72" s="1"/>
  <c r="C754" i="72"/>
  <c r="E115" i="65"/>
  <c r="H759" i="72"/>
  <c r="M759" i="72"/>
  <c r="D120" i="65"/>
  <c r="E120" i="65"/>
  <c r="R759" i="72"/>
  <c r="C759" i="72"/>
  <c r="W759" i="72"/>
  <c r="Y759" i="72" s="1"/>
  <c r="D234" i="65"/>
  <c r="E234" i="65"/>
  <c r="BS756" i="72"/>
  <c r="BU756" i="72" s="1"/>
  <c r="BD756" i="72"/>
  <c r="BN756" i="72"/>
  <c r="D223" i="65"/>
  <c r="E223" i="65"/>
  <c r="BI756" i="72"/>
  <c r="AY756" i="72"/>
  <c r="BI744" i="72"/>
  <c r="BN744" i="72"/>
  <c r="AY744" i="72"/>
  <c r="BD744" i="72"/>
  <c r="D211" i="65"/>
  <c r="E211" i="65"/>
  <c r="BS744" i="72"/>
  <c r="BU744" i="72" s="1"/>
  <c r="W746" i="72"/>
  <c r="Y746" i="72" s="1"/>
  <c r="E107" i="65"/>
  <c r="C746" i="72"/>
  <c r="M746" i="72"/>
  <c r="H746" i="72"/>
  <c r="R746" i="72"/>
  <c r="D107" i="65"/>
  <c r="M750" i="72"/>
  <c r="E111" i="65"/>
  <c r="W750" i="72"/>
  <c r="Y750" i="72" s="1"/>
  <c r="H750" i="72"/>
  <c r="R750" i="72"/>
  <c r="C750" i="72"/>
  <c r="D111" i="65"/>
  <c r="BI714" i="72"/>
  <c r="BS714" i="72"/>
  <c r="BU714" i="72" s="1"/>
  <c r="BN714" i="72"/>
  <c r="BD714" i="72"/>
  <c r="E181" i="65"/>
  <c r="D181" i="65"/>
  <c r="AY714" i="72"/>
  <c r="BI717" i="72"/>
  <c r="AY717" i="72"/>
  <c r="BN717" i="72"/>
  <c r="D184" i="65"/>
  <c r="BD717" i="72"/>
  <c r="BS717" i="72"/>
  <c r="BU717" i="72" s="1"/>
  <c r="E184" i="65"/>
  <c r="BI711" i="72"/>
  <c r="AY711" i="72"/>
  <c r="BD711" i="72"/>
  <c r="BS711" i="72"/>
  <c r="BU711" i="72" s="1"/>
  <c r="BN711" i="72"/>
  <c r="E178" i="65"/>
  <c r="D178" i="65"/>
  <c r="H725" i="72"/>
  <c r="R725" i="72"/>
  <c r="M725" i="72"/>
  <c r="E86" i="65"/>
  <c r="W725" i="72"/>
  <c r="Y725" i="72" s="1"/>
  <c r="D86" i="65"/>
  <c r="C725" i="72"/>
  <c r="W727" i="72"/>
  <c r="Y727" i="72" s="1"/>
  <c r="R727" i="72"/>
  <c r="C727" i="72"/>
  <c r="H727" i="72"/>
  <c r="M727" i="72"/>
  <c r="E88" i="65"/>
  <c r="D88" i="65"/>
  <c r="C710" i="72"/>
  <c r="D71" i="65"/>
  <c r="R710" i="72"/>
  <c r="E71" i="65"/>
  <c r="W710" i="72"/>
  <c r="Y710" i="72" s="1"/>
  <c r="H710" i="72"/>
  <c r="M710" i="72"/>
  <c r="BN704" i="72"/>
  <c r="BS704" i="72"/>
  <c r="BU704" i="72" s="1"/>
  <c r="BI704" i="72"/>
  <c r="AY704" i="72"/>
  <c r="D171" i="65"/>
  <c r="E171" i="65"/>
  <c r="BD704" i="72"/>
  <c r="BI703" i="72"/>
  <c r="BD703" i="72"/>
  <c r="BS703" i="72"/>
  <c r="BU703" i="72" s="1"/>
  <c r="E170" i="65"/>
  <c r="AY703" i="72"/>
  <c r="D170" i="65"/>
  <c r="BN703" i="72"/>
  <c r="G123" i="15"/>
  <c r="H123" i="15" s="1"/>
  <c r="G107" i="15"/>
  <c r="H107" i="15" s="1"/>
  <c r="G113" i="15"/>
  <c r="H113" i="15" s="1"/>
  <c r="G120" i="15"/>
  <c r="I120" i="15" s="1"/>
  <c r="D93" i="15"/>
  <c r="L569" i="82" s="1"/>
  <c r="D90" i="15"/>
  <c r="D91" i="15"/>
  <c r="L567" i="82" s="1"/>
  <c r="G85" i="15"/>
  <c r="H85" i="15" s="1"/>
  <c r="BS735" i="72"/>
  <c r="BU735" i="72" s="1"/>
  <c r="BI735" i="72"/>
  <c r="BN735" i="72"/>
  <c r="AY735" i="72"/>
  <c r="BD735" i="72"/>
  <c r="D202" i="65"/>
  <c r="E202" i="65"/>
  <c r="H732" i="72"/>
  <c r="W732" i="72"/>
  <c r="Y732" i="72" s="1"/>
  <c r="E93" i="65"/>
  <c r="R732" i="72"/>
  <c r="C732" i="72"/>
  <c r="M732" i="72"/>
  <c r="D93" i="65"/>
  <c r="BS732" i="72"/>
  <c r="BU732" i="72" s="1"/>
  <c r="BD732" i="72"/>
  <c r="AY732" i="72"/>
  <c r="BN732" i="72"/>
  <c r="D199" i="65"/>
  <c r="E199" i="65"/>
  <c r="BI732" i="72"/>
  <c r="E226" i="65"/>
  <c r="BI759" i="72"/>
  <c r="AY759" i="72"/>
  <c r="BS759" i="72"/>
  <c r="BU759" i="72" s="1"/>
  <c r="BN759" i="72"/>
  <c r="BD759" i="72"/>
  <c r="D226" i="65"/>
  <c r="C753" i="72"/>
  <c r="R753" i="72"/>
  <c r="M753" i="72"/>
  <c r="H753" i="72"/>
  <c r="W753" i="72"/>
  <c r="Y753" i="72" s="1"/>
  <c r="D114" i="65"/>
  <c r="E114" i="65"/>
  <c r="BS753" i="72"/>
  <c r="BU753" i="72" s="1"/>
  <c r="BN753" i="72"/>
  <c r="BI753" i="72"/>
  <c r="D220" i="65"/>
  <c r="E220" i="65"/>
  <c r="BD753" i="72"/>
  <c r="AY753" i="72"/>
  <c r="E125" i="65"/>
  <c r="C764" i="72"/>
  <c r="H764" i="72"/>
  <c r="R764" i="72"/>
  <c r="M764" i="72"/>
  <c r="D125" i="65"/>
  <c r="W764" i="72"/>
  <c r="Y764" i="72" s="1"/>
  <c r="R743" i="72"/>
  <c r="D104" i="65"/>
  <c r="C743" i="72"/>
  <c r="W743" i="72"/>
  <c r="Y743" i="72" s="1"/>
  <c r="H743" i="72"/>
  <c r="M743" i="72"/>
  <c r="E104" i="65"/>
  <c r="BD742" i="72"/>
  <c r="AY742" i="72"/>
  <c r="BS742" i="72"/>
  <c r="BU742" i="72" s="1"/>
  <c r="BN742" i="72"/>
  <c r="E209" i="65"/>
  <c r="D209" i="65"/>
  <c r="BI742" i="72"/>
  <c r="BN748" i="72"/>
  <c r="BS748" i="72"/>
  <c r="BU748" i="72" s="1"/>
  <c r="BI748" i="72"/>
  <c r="E215" i="65"/>
  <c r="AY748" i="72"/>
  <c r="BD748" i="72"/>
  <c r="D215" i="65"/>
  <c r="W718" i="72"/>
  <c r="Y718" i="72" s="1"/>
  <c r="H718" i="72"/>
  <c r="C718" i="72"/>
  <c r="D79" i="65"/>
  <c r="E79" i="65"/>
  <c r="M718" i="72"/>
  <c r="R718" i="72"/>
  <c r="M720" i="72"/>
  <c r="W720" i="72"/>
  <c r="Y720" i="72" s="1"/>
  <c r="D81" i="65"/>
  <c r="E81" i="65"/>
  <c r="R720" i="72"/>
  <c r="H720" i="72"/>
  <c r="C720" i="72"/>
  <c r="W719" i="72"/>
  <c r="Y719" i="72" s="1"/>
  <c r="H719" i="72"/>
  <c r="R719" i="72"/>
  <c r="C719" i="72"/>
  <c r="M719" i="72"/>
  <c r="D80" i="65"/>
  <c r="E80" i="65"/>
  <c r="M729" i="72"/>
  <c r="H729" i="72"/>
  <c r="C729" i="72"/>
  <c r="R729" i="72"/>
  <c r="D90" i="65"/>
  <c r="E90" i="65"/>
  <c r="W729" i="72"/>
  <c r="Y729" i="72" s="1"/>
  <c r="BI726" i="72"/>
  <c r="AY726" i="72"/>
  <c r="BN726" i="72"/>
  <c r="E193" i="65"/>
  <c r="BD726" i="72"/>
  <c r="BS726" i="72"/>
  <c r="BU726" i="72" s="1"/>
  <c r="D193" i="65"/>
  <c r="G202" i="65"/>
  <c r="G97" i="65"/>
  <c r="G203" i="65"/>
  <c r="G204" i="65"/>
  <c r="G199" i="65"/>
  <c r="G206" i="65"/>
  <c r="G198" i="65"/>
  <c r="G201" i="65"/>
  <c r="G200" i="65"/>
  <c r="G94" i="65"/>
  <c r="G205" i="65"/>
  <c r="G99" i="65"/>
  <c r="G101" i="65"/>
  <c r="G207" i="65"/>
  <c r="G96" i="65"/>
  <c r="G92" i="65"/>
  <c r="G98" i="65"/>
  <c r="G95" i="65"/>
  <c r="G100" i="65"/>
  <c r="G93" i="65"/>
  <c r="H705" i="72"/>
  <c r="C705" i="72"/>
  <c r="D66" i="65"/>
  <c r="E66" i="65"/>
  <c r="W705" i="72"/>
  <c r="Y705" i="72" s="1"/>
  <c r="R705" i="72"/>
  <c r="M705" i="72"/>
  <c r="W702" i="72"/>
  <c r="Y702" i="72" s="1"/>
  <c r="H702" i="72"/>
  <c r="M702" i="72"/>
  <c r="D63" i="65"/>
  <c r="R702" i="72"/>
  <c r="C702" i="72"/>
  <c r="E63" i="65"/>
  <c r="G119" i="15"/>
  <c r="I119" i="15" s="1"/>
  <c r="BI734" i="72"/>
  <c r="BD734" i="72"/>
  <c r="BS734" i="72"/>
  <c r="BU734" i="72" s="1"/>
  <c r="E201" i="65"/>
  <c r="D201" i="65"/>
  <c r="BN734" i="72"/>
  <c r="AY734" i="72"/>
  <c r="AY740" i="72"/>
  <c r="BI740" i="72"/>
  <c r="D207" i="65"/>
  <c r="E207" i="65"/>
  <c r="BN740" i="72"/>
  <c r="BD740" i="72"/>
  <c r="BS740" i="72"/>
  <c r="BU740" i="72" s="1"/>
  <c r="E96" i="65"/>
  <c r="H735" i="72"/>
  <c r="C735" i="72"/>
  <c r="D96" i="65"/>
  <c r="M735" i="72"/>
  <c r="R735" i="72"/>
  <c r="W735" i="72"/>
  <c r="Y735" i="72" s="1"/>
  <c r="W751" i="72"/>
  <c r="Y751" i="72" s="1"/>
  <c r="R751" i="72"/>
  <c r="C751" i="72"/>
  <c r="M751" i="72"/>
  <c r="D112" i="65"/>
  <c r="E112" i="65"/>
  <c r="H751" i="72"/>
  <c r="BN762" i="72"/>
  <c r="AY762" i="72"/>
  <c r="D229" i="65"/>
  <c r="BD762" i="72"/>
  <c r="E229" i="65"/>
  <c r="BI762" i="72"/>
  <c r="BS762" i="72"/>
  <c r="BU762" i="72" s="1"/>
  <c r="BS758" i="72"/>
  <c r="BU758" i="72" s="1"/>
  <c r="E225" i="65"/>
  <c r="BI758" i="72"/>
  <c r="D225" i="65"/>
  <c r="BD758" i="72"/>
  <c r="AY758" i="72"/>
  <c r="BN758" i="72"/>
  <c r="E128" i="65"/>
  <c r="D128" i="65"/>
  <c r="D103" i="65"/>
  <c r="C742" i="72"/>
  <c r="W742" i="72"/>
  <c r="Y742" i="72" s="1"/>
  <c r="R742" i="72"/>
  <c r="M742" i="72"/>
  <c r="E103" i="65"/>
  <c r="H742" i="72"/>
  <c r="BS741" i="72"/>
  <c r="BU741" i="72" s="1"/>
  <c r="AY741" i="72"/>
  <c r="BD741" i="72"/>
  <c r="BI741" i="72"/>
  <c r="E208" i="65"/>
  <c r="D208" i="65"/>
  <c r="BN741" i="72"/>
  <c r="C747" i="72"/>
  <c r="M747" i="72"/>
  <c r="W747" i="72"/>
  <c r="Y747" i="72" s="1"/>
  <c r="E108" i="65"/>
  <c r="R747" i="72"/>
  <c r="H747" i="72"/>
  <c r="D108" i="65"/>
  <c r="C715" i="72"/>
  <c r="W715" i="72"/>
  <c r="Y715" i="72" s="1"/>
  <c r="E76" i="65"/>
  <c r="M715" i="72"/>
  <c r="D76" i="65"/>
  <c r="H715" i="72"/>
  <c r="R715" i="72"/>
  <c r="H717" i="72"/>
  <c r="R717" i="72"/>
  <c r="M717" i="72"/>
  <c r="E78" i="65"/>
  <c r="W717" i="72"/>
  <c r="Y717" i="72" s="1"/>
  <c r="D78" i="65"/>
  <c r="C717" i="72"/>
  <c r="BN715" i="72"/>
  <c r="BD715" i="72"/>
  <c r="AY715" i="72"/>
  <c r="BS715" i="72"/>
  <c r="BU715" i="72" s="1"/>
  <c r="BI715" i="72"/>
  <c r="D182" i="65"/>
  <c r="E182" i="65"/>
  <c r="BN724" i="72"/>
  <c r="BD724" i="72"/>
  <c r="BS724" i="72"/>
  <c r="BU724" i="72" s="1"/>
  <c r="E191" i="65"/>
  <c r="BI724" i="72"/>
  <c r="AY724" i="72"/>
  <c r="D191" i="65"/>
  <c r="BS728" i="72"/>
  <c r="BU728" i="72" s="1"/>
  <c r="BN728" i="72"/>
  <c r="BI728" i="72"/>
  <c r="BD728" i="72"/>
  <c r="E195" i="65"/>
  <c r="AY728" i="72"/>
  <c r="D195" i="65"/>
  <c r="BN708" i="72"/>
  <c r="BS708" i="72"/>
  <c r="BU708" i="72" s="1"/>
  <c r="BI708" i="72"/>
  <c r="AY708" i="72"/>
  <c r="D175" i="65"/>
  <c r="E175" i="65"/>
  <c r="BD708" i="72"/>
  <c r="AY702" i="72"/>
  <c r="D169" i="65"/>
  <c r="BS702" i="72"/>
  <c r="BU702" i="72" s="1"/>
  <c r="BD702" i="72"/>
  <c r="BN702" i="72"/>
  <c r="E169" i="65"/>
  <c r="BI702" i="72"/>
  <c r="I49" i="15"/>
  <c r="I47" i="15"/>
  <c r="V662" i="72"/>
  <c r="EU662" i="72"/>
  <c r="H55" i="15"/>
  <c r="H54" i="15"/>
  <c r="DD662" i="72"/>
  <c r="F25" i="15"/>
  <c r="G25" i="15" s="1"/>
  <c r="H52" i="15"/>
  <c r="H43" i="15"/>
  <c r="I37" i="15"/>
  <c r="H45" i="15"/>
  <c r="H32" i="15"/>
  <c r="I36" i="15"/>
  <c r="H44" i="15"/>
  <c r="H46" i="15"/>
  <c r="I46" i="15"/>
  <c r="H38" i="15"/>
  <c r="I38" i="15"/>
  <c r="H29" i="15"/>
  <c r="I24" i="15"/>
  <c r="I26" i="15"/>
  <c r="AY7" i="72"/>
  <c r="EG668" i="82" l="1"/>
  <c r="CP668" i="82"/>
  <c r="BM663" i="72"/>
  <c r="EU663" i="72"/>
  <c r="EP662" i="72"/>
  <c r="F555" i="72"/>
  <c r="C555" i="72"/>
  <c r="F555" i="82"/>
  <c r="C555" i="82"/>
  <c r="C571" i="82"/>
  <c r="F570" i="82"/>
  <c r="BC676" i="82" s="1"/>
  <c r="C587" i="82"/>
  <c r="I569" i="82"/>
  <c r="Q675" i="82" s="1"/>
  <c r="CT666" i="82"/>
  <c r="L666" i="82"/>
  <c r="BC666" i="82"/>
  <c r="EK666" i="82"/>
  <c r="I560" i="82"/>
  <c r="L560" i="82"/>
  <c r="CL666" i="82"/>
  <c r="EC666" i="82"/>
  <c r="H666" i="82"/>
  <c r="AY666" i="82"/>
  <c r="CP666" i="82"/>
  <c r="AU666" i="82"/>
  <c r="D666" i="82"/>
  <c r="EG666" i="82"/>
  <c r="BM668" i="82"/>
  <c r="C573" i="82"/>
  <c r="V668" i="82"/>
  <c r="C574" i="82"/>
  <c r="BB685" i="82" s="1"/>
  <c r="F563" i="82"/>
  <c r="EK669" i="82" s="1"/>
  <c r="V662" i="82"/>
  <c r="EU662" i="82"/>
  <c r="BM662" i="82"/>
  <c r="DD662" i="82"/>
  <c r="EU668" i="82"/>
  <c r="Q662" i="72"/>
  <c r="I558" i="82"/>
  <c r="L558" i="82"/>
  <c r="C557" i="82"/>
  <c r="F557" i="82"/>
  <c r="F557" i="72"/>
  <c r="CT663" i="72" s="1"/>
  <c r="CY662" i="82"/>
  <c r="BH662" i="82"/>
  <c r="EP662" i="82"/>
  <c r="Q662" i="82"/>
  <c r="CY662" i="72"/>
  <c r="I559" i="82"/>
  <c r="L559" i="82"/>
  <c r="C557" i="72"/>
  <c r="CP663" i="72" s="1"/>
  <c r="C556" i="72"/>
  <c r="F556" i="72"/>
  <c r="F556" i="82"/>
  <c r="C556" i="82"/>
  <c r="AE558" i="72"/>
  <c r="DD663" i="72"/>
  <c r="L558" i="72"/>
  <c r="EU664" i="72" s="1"/>
  <c r="C558" i="72"/>
  <c r="D664" i="72" s="1"/>
  <c r="F558" i="72"/>
  <c r="BC664" i="72" s="1"/>
  <c r="AI558" i="72"/>
  <c r="AV558" i="72"/>
  <c r="AM558" i="72"/>
  <c r="I558" i="72"/>
  <c r="B559" i="72"/>
  <c r="AV559" i="72" s="1"/>
  <c r="CY663" i="72"/>
  <c r="Q663" i="72"/>
  <c r="BH663" i="72"/>
  <c r="AC751" i="82"/>
  <c r="Z751" i="82"/>
  <c r="BV740" i="82"/>
  <c r="BY740" i="82"/>
  <c r="CB753" i="82"/>
  <c r="CE753" i="82"/>
  <c r="BY735" i="82"/>
  <c r="BV735" i="82"/>
  <c r="CB703" i="82"/>
  <c r="CE703" i="82"/>
  <c r="CE704" i="82"/>
  <c r="CB704" i="82"/>
  <c r="Z710" i="82"/>
  <c r="AC710" i="82"/>
  <c r="Z759" i="82"/>
  <c r="AC759" i="82"/>
  <c r="AF731" i="82"/>
  <c r="AI731" i="82"/>
  <c r="AC755" i="82"/>
  <c r="Z755" i="82"/>
  <c r="AI706" i="82"/>
  <c r="AF706" i="82"/>
  <c r="AF724" i="82"/>
  <c r="AI724" i="82"/>
  <c r="BV712" i="82"/>
  <c r="BY712" i="82"/>
  <c r="AF748" i="82"/>
  <c r="AI748" i="82"/>
  <c r="CE766" i="82"/>
  <c r="CB766" i="82"/>
  <c r="BY733" i="82"/>
  <c r="BV733" i="82"/>
  <c r="CB739" i="82"/>
  <c r="CE739" i="82"/>
  <c r="Z711" i="82"/>
  <c r="AC711" i="82"/>
  <c r="AI716" i="82"/>
  <c r="AF716" i="82"/>
  <c r="CE745" i="82"/>
  <c r="CB745" i="82"/>
  <c r="BY750" i="82"/>
  <c r="BV750" i="82"/>
  <c r="Z756" i="82"/>
  <c r="AC756" i="82"/>
  <c r="CB755" i="82"/>
  <c r="CE755" i="82"/>
  <c r="CE710" i="82"/>
  <c r="CB710" i="82"/>
  <c r="AC707" i="82"/>
  <c r="Z707" i="82"/>
  <c r="AI723" i="82"/>
  <c r="AF723" i="82"/>
  <c r="AF730" i="82"/>
  <c r="AI730" i="82"/>
  <c r="Z745" i="82"/>
  <c r="AC745" i="82"/>
  <c r="Z757" i="82"/>
  <c r="AC757" i="82"/>
  <c r="AC761" i="82"/>
  <c r="Z761" i="82"/>
  <c r="Z704" i="82"/>
  <c r="AC704" i="82"/>
  <c r="AI703" i="82"/>
  <c r="AF703" i="82"/>
  <c r="CB749" i="82"/>
  <c r="CE749" i="82"/>
  <c r="CB746" i="82"/>
  <c r="CE746" i="82"/>
  <c r="AF749" i="82"/>
  <c r="AI749" i="82"/>
  <c r="BV765" i="82"/>
  <c r="BY765" i="82"/>
  <c r="Z734" i="82"/>
  <c r="AC734" i="82"/>
  <c r="F565" i="82"/>
  <c r="C565" i="82"/>
  <c r="I587" i="82"/>
  <c r="L587" i="82"/>
  <c r="L570" i="82"/>
  <c r="I570" i="82"/>
  <c r="F582" i="82"/>
  <c r="C582" i="82"/>
  <c r="C586" i="82"/>
  <c r="F586" i="82"/>
  <c r="P696" i="82"/>
  <c r="BL696" i="82"/>
  <c r="BG687" i="82"/>
  <c r="K687" i="82"/>
  <c r="BG683" i="82"/>
  <c r="K683" i="82"/>
  <c r="P689" i="82"/>
  <c r="BL689" i="82"/>
  <c r="CT664" i="82"/>
  <c r="EK664" i="82"/>
  <c r="L664" i="82"/>
  <c r="BC664" i="82"/>
  <c r="BL701" i="82"/>
  <c r="P701" i="82"/>
  <c r="H672" i="82"/>
  <c r="EG672" i="82"/>
  <c r="AU672" i="82"/>
  <c r="EC672" i="82"/>
  <c r="AY672" i="82"/>
  <c r="D672" i="82"/>
  <c r="CP672" i="82"/>
  <c r="CL672" i="82"/>
  <c r="BY708" i="82"/>
  <c r="BV708" i="82"/>
  <c r="BV728" i="82"/>
  <c r="BY728" i="82"/>
  <c r="BV724" i="82"/>
  <c r="BY724" i="82"/>
  <c r="Z742" i="82"/>
  <c r="AC742" i="82"/>
  <c r="AF751" i="82"/>
  <c r="AI751" i="82"/>
  <c r="AF735" i="82"/>
  <c r="AI735" i="82"/>
  <c r="CB740" i="82"/>
  <c r="CE740" i="82"/>
  <c r="BY726" i="82"/>
  <c r="BV726" i="82"/>
  <c r="CB748" i="82"/>
  <c r="CE748" i="82"/>
  <c r="CB742" i="82"/>
  <c r="CE742" i="82"/>
  <c r="BY759" i="82"/>
  <c r="BV759" i="82"/>
  <c r="AF732" i="82"/>
  <c r="AI732" i="82"/>
  <c r="CB735" i="82"/>
  <c r="CE735" i="82"/>
  <c r="BY717" i="82"/>
  <c r="BV717" i="82"/>
  <c r="CE714" i="82"/>
  <c r="CB714" i="82"/>
  <c r="AF759" i="82"/>
  <c r="AI759" i="82"/>
  <c r="AF754" i="82"/>
  <c r="AI754" i="82"/>
  <c r="Z736" i="82"/>
  <c r="AC736" i="82"/>
  <c r="AF701" i="82"/>
  <c r="AI701" i="82"/>
  <c r="Z724" i="82"/>
  <c r="AC724" i="82"/>
  <c r="CE712" i="82"/>
  <c r="CB712" i="82"/>
  <c r="CE747" i="82"/>
  <c r="CB747" i="82"/>
  <c r="AC744" i="82"/>
  <c r="Z744" i="82"/>
  <c r="BY706" i="82"/>
  <c r="BV706" i="82"/>
  <c r="AC716" i="82"/>
  <c r="Z716" i="82"/>
  <c r="BY710" i="82"/>
  <c r="BV710" i="82"/>
  <c r="AI714" i="82"/>
  <c r="AF714" i="82"/>
  <c r="BV761" i="82"/>
  <c r="BY761" i="82"/>
  <c r="AC762" i="82"/>
  <c r="Z762" i="82"/>
  <c r="CB757" i="82"/>
  <c r="CE757" i="82"/>
  <c r="AF761" i="82"/>
  <c r="AI761" i="82"/>
  <c r="AF740" i="82"/>
  <c r="AI740" i="82"/>
  <c r="AF704" i="82"/>
  <c r="AI704" i="82"/>
  <c r="BY721" i="82"/>
  <c r="BV721" i="82"/>
  <c r="CB716" i="82"/>
  <c r="CE716" i="82"/>
  <c r="CE720" i="82"/>
  <c r="CB720" i="82"/>
  <c r="BV746" i="82"/>
  <c r="BY746" i="82"/>
  <c r="Z738" i="82"/>
  <c r="AC738" i="82"/>
  <c r="AC712" i="82"/>
  <c r="Z712" i="82"/>
  <c r="BV719" i="82"/>
  <c r="BY719" i="82"/>
  <c r="BY743" i="82"/>
  <c r="BV743" i="82"/>
  <c r="AI760" i="82"/>
  <c r="AF760" i="82"/>
  <c r="AI739" i="82"/>
  <c r="AF739" i="82"/>
  <c r="L588" i="82"/>
  <c r="I588" i="82"/>
  <c r="C583" i="82"/>
  <c r="F583" i="82"/>
  <c r="L579" i="82"/>
  <c r="I579" i="82"/>
  <c r="L581" i="82"/>
  <c r="I581" i="82"/>
  <c r="BQ696" i="82"/>
  <c r="U696" i="82"/>
  <c r="F687" i="82"/>
  <c r="BB687" i="82"/>
  <c r="BM671" i="82"/>
  <c r="DD671" i="82"/>
  <c r="V671" i="82"/>
  <c r="EU671" i="82"/>
  <c r="K685" i="82"/>
  <c r="BG685" i="82"/>
  <c r="C590" i="82"/>
  <c r="BY702" i="82"/>
  <c r="BV702" i="82"/>
  <c r="CE708" i="82"/>
  <c r="CB708" i="82"/>
  <c r="AF747" i="82"/>
  <c r="AI747" i="82"/>
  <c r="CE741" i="82"/>
  <c r="CB741" i="82"/>
  <c r="BY762" i="82"/>
  <c r="BV762" i="82"/>
  <c r="BV742" i="82"/>
  <c r="BY742" i="82"/>
  <c r="BY703" i="82"/>
  <c r="BV703" i="82"/>
  <c r="AF710" i="82"/>
  <c r="AI710" i="82"/>
  <c r="CE711" i="82"/>
  <c r="CB711" i="82"/>
  <c r="BY714" i="82"/>
  <c r="BV714" i="82"/>
  <c r="AC731" i="82"/>
  <c r="Z731" i="82"/>
  <c r="BV705" i="82"/>
  <c r="BY705" i="82"/>
  <c r="BY736" i="82"/>
  <c r="BV736" i="82"/>
  <c r="Z701" i="82"/>
  <c r="AC701" i="82"/>
  <c r="BV723" i="82"/>
  <c r="BY723" i="82"/>
  <c r="Z748" i="82"/>
  <c r="AC748" i="82"/>
  <c r="AC752" i="82"/>
  <c r="Z752" i="82"/>
  <c r="BV754" i="82"/>
  <c r="BY754" i="82"/>
  <c r="BY766" i="82"/>
  <c r="BV766" i="82"/>
  <c r="CB733" i="82"/>
  <c r="CE733" i="82"/>
  <c r="BY701" i="82"/>
  <c r="BV701" i="82"/>
  <c r="AC708" i="82"/>
  <c r="Z708" i="82"/>
  <c r="AI711" i="82"/>
  <c r="AF711" i="82"/>
  <c r="BV763" i="82"/>
  <c r="BY763" i="82"/>
  <c r="AF765" i="82"/>
  <c r="AI765" i="82"/>
  <c r="CE737" i="82"/>
  <c r="CB737" i="82"/>
  <c r="CE761" i="82"/>
  <c r="CB761" i="82"/>
  <c r="AI762" i="82"/>
  <c r="AF762" i="82"/>
  <c r="BY731" i="82"/>
  <c r="BV731" i="82"/>
  <c r="CB721" i="82"/>
  <c r="CE721" i="82"/>
  <c r="Z758" i="82"/>
  <c r="AC758" i="82"/>
  <c r="CB738" i="82"/>
  <c r="CE738" i="82"/>
  <c r="Z737" i="82"/>
  <c r="AC737" i="82"/>
  <c r="CE719" i="82"/>
  <c r="CB719" i="82"/>
  <c r="AI734" i="82"/>
  <c r="AF734" i="82"/>
  <c r="AC739" i="82"/>
  <c r="Z739" i="82"/>
  <c r="F567" i="82"/>
  <c r="C567" i="82"/>
  <c r="L574" i="82"/>
  <c r="I574" i="82"/>
  <c r="C584" i="82"/>
  <c r="F584" i="82"/>
  <c r="L563" i="82"/>
  <c r="I563" i="82"/>
  <c r="L572" i="82"/>
  <c r="I572" i="82"/>
  <c r="I580" i="82"/>
  <c r="L580" i="82"/>
  <c r="K684" i="82"/>
  <c r="BG684" i="82"/>
  <c r="BQ693" i="82"/>
  <c r="U693" i="82"/>
  <c r="Q671" i="82"/>
  <c r="EP671" i="82"/>
  <c r="BH671" i="82"/>
  <c r="CY671" i="82"/>
  <c r="BG682" i="82"/>
  <c r="K682" i="82"/>
  <c r="BQ694" i="82"/>
  <c r="U694" i="82"/>
  <c r="AU669" i="82"/>
  <c r="D669" i="82"/>
  <c r="CL669" i="82"/>
  <c r="AY669" i="82"/>
  <c r="EG669" i="82"/>
  <c r="CP669" i="82"/>
  <c r="EC669" i="82"/>
  <c r="H669" i="82"/>
  <c r="F692" i="82"/>
  <c r="BB692" i="82"/>
  <c r="K698" i="82"/>
  <c r="BG698" i="82"/>
  <c r="BM675" i="82"/>
  <c r="V675" i="82"/>
  <c r="DD675" i="82"/>
  <c r="EU675" i="82"/>
  <c r="K700" i="82"/>
  <c r="BG700" i="82"/>
  <c r="F590" i="82"/>
  <c r="BY741" i="82"/>
  <c r="BV741" i="82"/>
  <c r="CB759" i="82"/>
  <c r="CE759" i="82"/>
  <c r="BY732" i="82"/>
  <c r="BV732" i="82"/>
  <c r="BY711" i="82"/>
  <c r="BV711" i="82"/>
  <c r="AC746" i="82"/>
  <c r="Z746" i="82"/>
  <c r="AI755" i="82"/>
  <c r="AF755" i="82"/>
  <c r="CE718" i="82"/>
  <c r="CB718" i="82"/>
  <c r="BV713" i="82"/>
  <c r="BY713" i="82"/>
  <c r="BY751" i="82"/>
  <c r="BV751" i="82"/>
  <c r="CE727" i="82"/>
  <c r="CB727" i="82"/>
  <c r="CE722" i="82"/>
  <c r="CB722" i="82"/>
  <c r="CB729" i="82"/>
  <c r="CE729" i="82"/>
  <c r="CB763" i="82"/>
  <c r="CE763" i="82"/>
  <c r="Z765" i="82"/>
  <c r="AC765" i="82"/>
  <c r="BY755" i="82"/>
  <c r="BV755" i="82"/>
  <c r="BY737" i="82"/>
  <c r="BV737" i="82"/>
  <c r="AF733" i="82"/>
  <c r="AI733" i="82"/>
  <c r="AC723" i="82"/>
  <c r="Z723" i="82"/>
  <c r="AF713" i="82"/>
  <c r="AI713" i="82"/>
  <c r="AI745" i="82"/>
  <c r="AF745" i="82"/>
  <c r="Z740" i="82"/>
  <c r="AC740" i="82"/>
  <c r="BV716" i="82"/>
  <c r="BY716" i="82"/>
  <c r="BY738" i="82"/>
  <c r="BV738" i="82"/>
  <c r="Z709" i="82"/>
  <c r="AC709" i="82"/>
  <c r="BV725" i="82"/>
  <c r="BY725" i="82"/>
  <c r="AF712" i="82"/>
  <c r="AI712" i="82"/>
  <c r="CE743" i="82"/>
  <c r="CB743" i="82"/>
  <c r="Z749" i="82"/>
  <c r="AC749" i="82"/>
  <c r="F577" i="82"/>
  <c r="C577" i="82"/>
  <c r="I573" i="82"/>
  <c r="L573" i="82"/>
  <c r="BL693" i="82"/>
  <c r="P693" i="82"/>
  <c r="F696" i="82"/>
  <c r="BB696" i="82"/>
  <c r="BL688" i="82"/>
  <c r="P688" i="82"/>
  <c r="D676" i="82"/>
  <c r="EC676" i="82"/>
  <c r="H676" i="82"/>
  <c r="CP676" i="82"/>
  <c r="AY676" i="82"/>
  <c r="AU676" i="82"/>
  <c r="EG676" i="82"/>
  <c r="CL676" i="82"/>
  <c r="P694" i="82"/>
  <c r="BL694" i="82"/>
  <c r="BG692" i="82"/>
  <c r="K692" i="82"/>
  <c r="V670" i="82"/>
  <c r="BM670" i="82"/>
  <c r="EU670" i="82"/>
  <c r="DD670" i="82"/>
  <c r="BB691" i="82"/>
  <c r="F691" i="82"/>
  <c r="CE758" i="82"/>
  <c r="CB758" i="82"/>
  <c r="CE762" i="82"/>
  <c r="CB762" i="82"/>
  <c r="AC735" i="82"/>
  <c r="Z735" i="82"/>
  <c r="Z702" i="82"/>
  <c r="AC702" i="82"/>
  <c r="Z719" i="82"/>
  <c r="AC719" i="82"/>
  <c r="Z718" i="82"/>
  <c r="AC718" i="82"/>
  <c r="BY748" i="82"/>
  <c r="BV748" i="82"/>
  <c r="AI743" i="82"/>
  <c r="AF743" i="82"/>
  <c r="Z764" i="82"/>
  <c r="AC764" i="82"/>
  <c r="Z753" i="82"/>
  <c r="AC753" i="82"/>
  <c r="CE732" i="82"/>
  <c r="CB732" i="82"/>
  <c r="AI727" i="82"/>
  <c r="AF727" i="82"/>
  <c r="AF725" i="82"/>
  <c r="AI725" i="82"/>
  <c r="CB717" i="82"/>
  <c r="CE717" i="82"/>
  <c r="Z750" i="82"/>
  <c r="AC750" i="82"/>
  <c r="AC754" i="82"/>
  <c r="Z754" i="82"/>
  <c r="AI736" i="82"/>
  <c r="AF736" i="82"/>
  <c r="CE723" i="82"/>
  <c r="CB723" i="82"/>
  <c r="CB713" i="82"/>
  <c r="CE713" i="82"/>
  <c r="BY729" i="82"/>
  <c r="BV729" i="82"/>
  <c r="AC733" i="82"/>
  <c r="Z733" i="82"/>
  <c r="BY760" i="82"/>
  <c r="BV760" i="82"/>
  <c r="AF763" i="82"/>
  <c r="AI763" i="82"/>
  <c r="AC721" i="82"/>
  <c r="Z721" i="82"/>
  <c r="AF728" i="82"/>
  <c r="AI728" i="82"/>
  <c r="L589" i="82"/>
  <c r="I589" i="82"/>
  <c r="I575" i="82"/>
  <c r="L575" i="82"/>
  <c r="I568" i="82"/>
  <c r="L568" i="82"/>
  <c r="BG696" i="82"/>
  <c r="K696" i="82"/>
  <c r="F700" i="82"/>
  <c r="BB700" i="82"/>
  <c r="BQ688" i="82"/>
  <c r="U688" i="82"/>
  <c r="L667" i="82"/>
  <c r="CT667" i="82"/>
  <c r="BC667" i="82"/>
  <c r="EK667" i="82"/>
  <c r="U697" i="82"/>
  <c r="BQ697" i="82"/>
  <c r="U695" i="82"/>
  <c r="BQ695" i="82"/>
  <c r="CY670" i="82"/>
  <c r="BH670" i="82"/>
  <c r="Q670" i="82"/>
  <c r="EP670" i="82"/>
  <c r="AQ591" i="82"/>
  <c r="L591" i="82"/>
  <c r="C591" i="82"/>
  <c r="AE591" i="82"/>
  <c r="I591" i="82"/>
  <c r="AM591" i="82"/>
  <c r="F591" i="82"/>
  <c r="B592" i="82"/>
  <c r="AI591" i="82"/>
  <c r="AV591" i="82"/>
  <c r="K691" i="82"/>
  <c r="BG691" i="82"/>
  <c r="EP661" i="82"/>
  <c r="BH661" i="82"/>
  <c r="Q661" i="82"/>
  <c r="CY661" i="82"/>
  <c r="BV715" i="82"/>
  <c r="BY715" i="82"/>
  <c r="AI717" i="82"/>
  <c r="AF717" i="82"/>
  <c r="AF715" i="82"/>
  <c r="AI715" i="82"/>
  <c r="AC747" i="82"/>
  <c r="Z747" i="82"/>
  <c r="AF719" i="82"/>
  <c r="AI719" i="82"/>
  <c r="AI718" i="82"/>
  <c r="AF718" i="82"/>
  <c r="AI753" i="82"/>
  <c r="AF753" i="82"/>
  <c r="Z732" i="82"/>
  <c r="AC732" i="82"/>
  <c r="Z727" i="82"/>
  <c r="AC727" i="82"/>
  <c r="BV707" i="82"/>
  <c r="BY707" i="82"/>
  <c r="BV718" i="82"/>
  <c r="BY718" i="82"/>
  <c r="AF744" i="82"/>
  <c r="AI744" i="82"/>
  <c r="AI752" i="82"/>
  <c r="AF752" i="82"/>
  <c r="CB754" i="82"/>
  <c r="CE754" i="82"/>
  <c r="AF708" i="82"/>
  <c r="AI708" i="82"/>
  <c r="BV722" i="82"/>
  <c r="BY722" i="82"/>
  <c r="BV752" i="82"/>
  <c r="BY752" i="82"/>
  <c r="CB709" i="82"/>
  <c r="CE709" i="82"/>
  <c r="AC726" i="82"/>
  <c r="Z726" i="82"/>
  <c r="AC741" i="82"/>
  <c r="Z741" i="82"/>
  <c r="AC703" i="82"/>
  <c r="Z703" i="82"/>
  <c r="AC722" i="82"/>
  <c r="Z722" i="82"/>
  <c r="CE760" i="82"/>
  <c r="CB760" i="82"/>
  <c r="BY764" i="82"/>
  <c r="BV764" i="82"/>
  <c r="CE725" i="82"/>
  <c r="CB725" i="82"/>
  <c r="AC728" i="82"/>
  <c r="Z728" i="82"/>
  <c r="AC766" i="82"/>
  <c r="Z766" i="82"/>
  <c r="L566" i="82"/>
  <c r="I566" i="82"/>
  <c r="AY665" i="82"/>
  <c r="EC665" i="82"/>
  <c r="AU665" i="82"/>
  <c r="CP665" i="82"/>
  <c r="H665" i="82"/>
  <c r="EG665" i="82"/>
  <c r="D665" i="82"/>
  <c r="CL665" i="82"/>
  <c r="K690" i="82"/>
  <c r="BG690" i="82"/>
  <c r="CY673" i="82"/>
  <c r="Q673" i="82"/>
  <c r="EP673" i="82"/>
  <c r="BH673" i="82"/>
  <c r="EG667" i="82"/>
  <c r="D667" i="82"/>
  <c r="CP667" i="82"/>
  <c r="CL667" i="82"/>
  <c r="AU667" i="82"/>
  <c r="EC667" i="82"/>
  <c r="H667" i="82"/>
  <c r="AY667" i="82"/>
  <c r="BB699" i="82"/>
  <c r="F699" i="82"/>
  <c r="P697" i="82"/>
  <c r="BL697" i="82"/>
  <c r="BL695" i="82"/>
  <c r="P695" i="82"/>
  <c r="F686" i="82"/>
  <c r="BB686" i="82"/>
  <c r="BM661" i="82"/>
  <c r="V661" i="82"/>
  <c r="DD661" i="82"/>
  <c r="EU661" i="82"/>
  <c r="CE702" i="82"/>
  <c r="CB702" i="82"/>
  <c r="CB724" i="82"/>
  <c r="CE724" i="82"/>
  <c r="CE715" i="82"/>
  <c r="CB715" i="82"/>
  <c r="AF742" i="82"/>
  <c r="AI742" i="82"/>
  <c r="BY758" i="82"/>
  <c r="BV758" i="82"/>
  <c r="CB734" i="82"/>
  <c r="CE734" i="82"/>
  <c r="AC705" i="82"/>
  <c r="Z705" i="82"/>
  <c r="CB726" i="82"/>
  <c r="CE726" i="82"/>
  <c r="Z729" i="82"/>
  <c r="AC729" i="82"/>
  <c r="AC720" i="82"/>
  <c r="Z720" i="82"/>
  <c r="AC725" i="82"/>
  <c r="Z725" i="82"/>
  <c r="AF746" i="82"/>
  <c r="AI746" i="82"/>
  <c r="BY744" i="82"/>
  <c r="BV744" i="82"/>
  <c r="BY756" i="82"/>
  <c r="BV756" i="82"/>
  <c r="CB705" i="82"/>
  <c r="CE705" i="82"/>
  <c r="CB707" i="82"/>
  <c r="CE707" i="82"/>
  <c r="CB701" i="82"/>
  <c r="CE701" i="82"/>
  <c r="BY727" i="82"/>
  <c r="BV727" i="82"/>
  <c r="BY745" i="82"/>
  <c r="BV745" i="82"/>
  <c r="BY709" i="82"/>
  <c r="BV709" i="82"/>
  <c r="AC714" i="82"/>
  <c r="Z714" i="82"/>
  <c r="Z713" i="82"/>
  <c r="AC713" i="82"/>
  <c r="AI741" i="82"/>
  <c r="AF741" i="82"/>
  <c r="CE730" i="82"/>
  <c r="CB730" i="82"/>
  <c r="BV749" i="82"/>
  <c r="BY749" i="82"/>
  <c r="CE764" i="82"/>
  <c r="CB764" i="82"/>
  <c r="AI758" i="82"/>
  <c r="AF758" i="82"/>
  <c r="Z763" i="82"/>
  <c r="AC763" i="82"/>
  <c r="AI721" i="82"/>
  <c r="AF721" i="82"/>
  <c r="F578" i="82"/>
  <c r="C578" i="82"/>
  <c r="I576" i="82"/>
  <c r="L576" i="82"/>
  <c r="L665" i="82"/>
  <c r="EK665" i="82"/>
  <c r="CT665" i="82"/>
  <c r="BC665" i="82"/>
  <c r="F690" i="82"/>
  <c r="BB690" i="82"/>
  <c r="CT674" i="82"/>
  <c r="EK674" i="82"/>
  <c r="BC674" i="82"/>
  <c r="L674" i="82"/>
  <c r="DD673" i="82"/>
  <c r="BM673" i="82"/>
  <c r="V673" i="82"/>
  <c r="EU673" i="82"/>
  <c r="BG699" i="82"/>
  <c r="K699" i="82"/>
  <c r="BG686" i="82"/>
  <c r="K686" i="82"/>
  <c r="CB728" i="82"/>
  <c r="CE728" i="82"/>
  <c r="Z717" i="82"/>
  <c r="AC717" i="82"/>
  <c r="Z715" i="82"/>
  <c r="AC715" i="82"/>
  <c r="BY734" i="82"/>
  <c r="BV734" i="82"/>
  <c r="AI702" i="82"/>
  <c r="AF702" i="82"/>
  <c r="AI705" i="82"/>
  <c r="AF705" i="82"/>
  <c r="AI729" i="82"/>
  <c r="AF729" i="82"/>
  <c r="AI720" i="82"/>
  <c r="AF720" i="82"/>
  <c r="Z743" i="82"/>
  <c r="AC743" i="82"/>
  <c r="AF764" i="82"/>
  <c r="AI764" i="82"/>
  <c r="BY753" i="82"/>
  <c r="BV753" i="82"/>
  <c r="BV704" i="82"/>
  <c r="BY704" i="82"/>
  <c r="AI750" i="82"/>
  <c r="AF750" i="82"/>
  <c r="CB744" i="82"/>
  <c r="CE744" i="82"/>
  <c r="CB756" i="82"/>
  <c r="CE756" i="82"/>
  <c r="CB736" i="82"/>
  <c r="CE736" i="82"/>
  <c r="Z706" i="82"/>
  <c r="AC706" i="82"/>
  <c r="BY747" i="82"/>
  <c r="BV747" i="82"/>
  <c r="CE751" i="82"/>
  <c r="CB751" i="82"/>
  <c r="BY739" i="82"/>
  <c r="BV739" i="82"/>
  <c r="F569" i="82"/>
  <c r="C569" i="82"/>
  <c r="CB706" i="82"/>
  <c r="CE706" i="82"/>
  <c r="CE750" i="82"/>
  <c r="CB750" i="82"/>
  <c r="CB752" i="82"/>
  <c r="CE752" i="82"/>
  <c r="AI756" i="82"/>
  <c r="AF756" i="82"/>
  <c r="AF707" i="82"/>
  <c r="AI707" i="82"/>
  <c r="AI726" i="82"/>
  <c r="AF726" i="82"/>
  <c r="AC730" i="82"/>
  <c r="Z730" i="82"/>
  <c r="BY757" i="82"/>
  <c r="BV757" i="82"/>
  <c r="AF757" i="82"/>
  <c r="AI757" i="82"/>
  <c r="CB731" i="82"/>
  <c r="CE731" i="82"/>
  <c r="I571" i="82"/>
  <c r="L571" i="82"/>
  <c r="BV730" i="82"/>
  <c r="BY730" i="82"/>
  <c r="AF722" i="82"/>
  <c r="AI722" i="82"/>
  <c r="BY720" i="82"/>
  <c r="BV720" i="82"/>
  <c r="AI738" i="82"/>
  <c r="AF738" i="82"/>
  <c r="AI737" i="82"/>
  <c r="AF737" i="82"/>
  <c r="AF709" i="82"/>
  <c r="AI709" i="82"/>
  <c r="AF766" i="82"/>
  <c r="AI766" i="82"/>
  <c r="Z760" i="82"/>
  <c r="AC760" i="82"/>
  <c r="CE765" i="82"/>
  <c r="CB765" i="82"/>
  <c r="F564" i="82"/>
  <c r="C564" i="82"/>
  <c r="BB683" i="82"/>
  <c r="F683" i="82"/>
  <c r="CP674" i="82"/>
  <c r="CL674" i="82"/>
  <c r="AU674" i="82"/>
  <c r="H674" i="82"/>
  <c r="AY674" i="82"/>
  <c r="D674" i="82"/>
  <c r="EG674" i="82"/>
  <c r="EC674" i="82"/>
  <c r="U689" i="82"/>
  <c r="BQ689" i="82"/>
  <c r="H664" i="82"/>
  <c r="CL664" i="82"/>
  <c r="CP664" i="82"/>
  <c r="D664" i="82"/>
  <c r="AU664" i="82"/>
  <c r="EG664" i="82"/>
  <c r="AY664" i="82"/>
  <c r="EC664" i="82"/>
  <c r="BQ701" i="82"/>
  <c r="U701" i="82"/>
  <c r="CT672" i="82"/>
  <c r="BC672" i="82"/>
  <c r="EK672" i="82"/>
  <c r="L672" i="82"/>
  <c r="I89" i="15"/>
  <c r="I83" i="15"/>
  <c r="I75" i="15"/>
  <c r="I96" i="15"/>
  <c r="H104" i="15"/>
  <c r="I114" i="15"/>
  <c r="I91" i="15"/>
  <c r="DD661" i="72"/>
  <c r="I78" i="15"/>
  <c r="V661" i="72"/>
  <c r="BM661" i="72"/>
  <c r="H69" i="15"/>
  <c r="I106" i="15"/>
  <c r="H81" i="15"/>
  <c r="H79" i="15"/>
  <c r="H70" i="15"/>
  <c r="I88" i="15"/>
  <c r="I109" i="15"/>
  <c r="I76" i="15"/>
  <c r="H110" i="15"/>
  <c r="H92" i="15"/>
  <c r="I98" i="15"/>
  <c r="I100" i="15"/>
  <c r="H105" i="15"/>
  <c r="I74" i="15"/>
  <c r="H121" i="15"/>
  <c r="H118" i="15"/>
  <c r="H80" i="15"/>
  <c r="H86" i="15"/>
  <c r="H95" i="15"/>
  <c r="H97" i="15"/>
  <c r="H71" i="15"/>
  <c r="I99" i="15"/>
  <c r="H112" i="15"/>
  <c r="I72" i="15"/>
  <c r="H77" i="15"/>
  <c r="I108" i="15"/>
  <c r="I85" i="15"/>
  <c r="H64" i="15"/>
  <c r="I124" i="15"/>
  <c r="I73" i="15"/>
  <c r="H65" i="15"/>
  <c r="H87" i="15"/>
  <c r="I62" i="15"/>
  <c r="I122" i="15"/>
  <c r="H93" i="15"/>
  <c r="I117" i="15"/>
  <c r="H63" i="15"/>
  <c r="I115" i="15"/>
  <c r="I59" i="15"/>
  <c r="I90" i="15"/>
  <c r="I123" i="15"/>
  <c r="H67" i="15"/>
  <c r="I111" i="15"/>
  <c r="I60" i="15"/>
  <c r="I84" i="15"/>
  <c r="H119" i="15"/>
  <c r="I68" i="15"/>
  <c r="I58" i="15"/>
  <c r="H61" i="15"/>
  <c r="H120" i="15"/>
  <c r="I101" i="15"/>
  <c r="I113" i="15"/>
  <c r="I82" i="15"/>
  <c r="I66" i="15"/>
  <c r="H94" i="15"/>
  <c r="EP661" i="72"/>
  <c r="Q661" i="72"/>
  <c r="CY661" i="72"/>
  <c r="BH661" i="72"/>
  <c r="CE740" i="72"/>
  <c r="CB740" i="72"/>
  <c r="I201" i="65"/>
  <c r="H201" i="65"/>
  <c r="Z719" i="72"/>
  <c r="AC719" i="72"/>
  <c r="Z753" i="72"/>
  <c r="AC753" i="72"/>
  <c r="AF755" i="72"/>
  <c r="AI755" i="72"/>
  <c r="AI724" i="72"/>
  <c r="AF724" i="72"/>
  <c r="BY747" i="72"/>
  <c r="BV747" i="72"/>
  <c r="CE739" i="72"/>
  <c r="CB739" i="72"/>
  <c r="I62" i="65"/>
  <c r="H62" i="65"/>
  <c r="AF723" i="72"/>
  <c r="AI723" i="72"/>
  <c r="I77" i="65"/>
  <c r="H77" i="65"/>
  <c r="BV757" i="72"/>
  <c r="BY757" i="72"/>
  <c r="I189" i="65"/>
  <c r="H189" i="65"/>
  <c r="Z740" i="72"/>
  <c r="AC740" i="72"/>
  <c r="Z758" i="72"/>
  <c r="AC758" i="72"/>
  <c r="Z721" i="72"/>
  <c r="AC721" i="72"/>
  <c r="H116" i="65"/>
  <c r="I116" i="65"/>
  <c r="BY724" i="72"/>
  <c r="BV724" i="72"/>
  <c r="AC717" i="72"/>
  <c r="Z717" i="72"/>
  <c r="AF702" i="72"/>
  <c r="AI702" i="72"/>
  <c r="AI753" i="72"/>
  <c r="AF753" i="72"/>
  <c r="CE735" i="72"/>
  <c r="CB735" i="72"/>
  <c r="CE706" i="72"/>
  <c r="CB706" i="72"/>
  <c r="AC733" i="72"/>
  <c r="Z733" i="72"/>
  <c r="I76" i="65"/>
  <c r="H76" i="65"/>
  <c r="H82" i="65"/>
  <c r="I82" i="65"/>
  <c r="BY760" i="72"/>
  <c r="BV760" i="72"/>
  <c r="BV719" i="72"/>
  <c r="BY719" i="72"/>
  <c r="I119" i="65"/>
  <c r="H119" i="65"/>
  <c r="AI735" i="72"/>
  <c r="AF735" i="72"/>
  <c r="CE734" i="72"/>
  <c r="CB734" i="72"/>
  <c r="CE703" i="72"/>
  <c r="CB703" i="72"/>
  <c r="AC725" i="72"/>
  <c r="Z725" i="72"/>
  <c r="AF746" i="72"/>
  <c r="AI746" i="72"/>
  <c r="AI736" i="72"/>
  <c r="AF736" i="72"/>
  <c r="BV705" i="72"/>
  <c r="BY705" i="72"/>
  <c r="CB736" i="72"/>
  <c r="CE736" i="72"/>
  <c r="CE747" i="72"/>
  <c r="CB747" i="72"/>
  <c r="BY727" i="72"/>
  <c r="BV727" i="72"/>
  <c r="BY745" i="72"/>
  <c r="BV745" i="72"/>
  <c r="BY763" i="72"/>
  <c r="BV763" i="72"/>
  <c r="CB710" i="72"/>
  <c r="CE710" i="72"/>
  <c r="H78" i="65"/>
  <c r="I78" i="65"/>
  <c r="H88" i="65"/>
  <c r="I88" i="65"/>
  <c r="Z703" i="72"/>
  <c r="AC703" i="72"/>
  <c r="CB716" i="72"/>
  <c r="CE716" i="72"/>
  <c r="I117" i="65"/>
  <c r="H117" i="65"/>
  <c r="I222" i="65"/>
  <c r="H222" i="65"/>
  <c r="I230" i="65"/>
  <c r="H230" i="65"/>
  <c r="AF749" i="72"/>
  <c r="AI749" i="72"/>
  <c r="H109" i="65"/>
  <c r="I109" i="65"/>
  <c r="H104" i="65"/>
  <c r="I104" i="65"/>
  <c r="I116" i="15"/>
  <c r="BV702" i="72"/>
  <c r="BY702" i="72"/>
  <c r="CB715" i="72"/>
  <c r="CE715" i="72"/>
  <c r="AF715" i="72"/>
  <c r="AI715" i="72"/>
  <c r="CB741" i="72"/>
  <c r="CE741" i="72"/>
  <c r="AC751" i="72"/>
  <c r="Z751" i="72"/>
  <c r="H101" i="65"/>
  <c r="I101" i="65"/>
  <c r="H199" i="65"/>
  <c r="I199" i="65"/>
  <c r="AF720" i="72"/>
  <c r="AI720" i="72"/>
  <c r="AC718" i="72"/>
  <c r="Z718" i="72"/>
  <c r="AI743" i="72"/>
  <c r="AF743" i="72"/>
  <c r="BV732" i="72"/>
  <c r="BY732" i="72"/>
  <c r="BY704" i="72"/>
  <c r="BV704" i="72"/>
  <c r="AC727" i="72"/>
  <c r="Z727" i="72"/>
  <c r="BV711" i="72"/>
  <c r="BY711" i="72"/>
  <c r="CE717" i="72"/>
  <c r="CB717" i="72"/>
  <c r="CB723" i="72"/>
  <c r="CE723" i="72"/>
  <c r="CB713" i="72"/>
  <c r="CE713" i="72"/>
  <c r="AC744" i="72"/>
  <c r="Z744" i="72"/>
  <c r="BY706" i="72"/>
  <c r="BV706" i="72"/>
  <c r="AI708" i="72"/>
  <c r="AF708" i="72"/>
  <c r="CB722" i="72"/>
  <c r="CE722" i="72"/>
  <c r="BV737" i="72"/>
  <c r="BY737" i="72"/>
  <c r="I173" i="65"/>
  <c r="H173" i="65"/>
  <c r="I172" i="65"/>
  <c r="H172" i="65"/>
  <c r="Z730" i="72"/>
  <c r="AC730" i="72"/>
  <c r="I80" i="65"/>
  <c r="H80" i="65"/>
  <c r="H178" i="65"/>
  <c r="I178" i="65"/>
  <c r="H79" i="65"/>
  <c r="I79" i="65"/>
  <c r="AC745" i="72"/>
  <c r="Z745" i="72"/>
  <c r="AC757" i="72"/>
  <c r="Z757" i="72"/>
  <c r="AI761" i="72"/>
  <c r="AF761" i="72"/>
  <c r="I197" i="65"/>
  <c r="H197" i="65"/>
  <c r="H84" i="65"/>
  <c r="I84" i="65"/>
  <c r="H188" i="65"/>
  <c r="I188" i="65"/>
  <c r="CE738" i="72"/>
  <c r="CB738" i="72"/>
  <c r="H128" i="65"/>
  <c r="I128" i="65"/>
  <c r="I223" i="65"/>
  <c r="H223" i="65"/>
  <c r="H113" i="65"/>
  <c r="I113" i="65"/>
  <c r="H220" i="65"/>
  <c r="I220" i="65"/>
  <c r="AC760" i="72"/>
  <c r="Z760" i="72"/>
  <c r="H107" i="65"/>
  <c r="I107" i="65"/>
  <c r="I102" i="65"/>
  <c r="H102" i="65"/>
  <c r="I214" i="65"/>
  <c r="H214" i="65"/>
  <c r="BV735" i="72"/>
  <c r="BY735" i="72"/>
  <c r="BY766" i="72"/>
  <c r="BV766" i="72"/>
  <c r="AI765" i="72"/>
  <c r="AF765" i="72"/>
  <c r="I169" i="65"/>
  <c r="H169" i="65"/>
  <c r="H185" i="65"/>
  <c r="I185" i="65"/>
  <c r="H89" i="65"/>
  <c r="I89" i="65"/>
  <c r="CE731" i="72"/>
  <c r="CB731" i="72"/>
  <c r="H224" i="65"/>
  <c r="I224" i="65"/>
  <c r="Z747" i="72"/>
  <c r="AC747" i="72"/>
  <c r="Z710" i="72"/>
  <c r="AC710" i="72"/>
  <c r="I177" i="65"/>
  <c r="H177" i="65"/>
  <c r="H187" i="65"/>
  <c r="I187" i="65"/>
  <c r="BY749" i="72"/>
  <c r="BV749" i="72"/>
  <c r="I115" i="65"/>
  <c r="H115" i="65"/>
  <c r="AF734" i="72"/>
  <c r="AI734" i="72"/>
  <c r="BY715" i="72"/>
  <c r="BV715" i="72"/>
  <c r="Z720" i="72"/>
  <c r="AC720" i="72"/>
  <c r="CB750" i="72"/>
  <c r="CE750" i="72"/>
  <c r="I69" i="65"/>
  <c r="H69" i="65"/>
  <c r="I179" i="65"/>
  <c r="H179" i="65"/>
  <c r="CE757" i="72"/>
  <c r="CB757" i="72"/>
  <c r="H85" i="65"/>
  <c r="I85" i="65"/>
  <c r="AI763" i="72"/>
  <c r="AF763" i="72"/>
  <c r="I212" i="65"/>
  <c r="H212" i="65"/>
  <c r="CE724" i="72"/>
  <c r="CB724" i="72"/>
  <c r="BV734" i="72"/>
  <c r="BY734" i="72"/>
  <c r="I204" i="65"/>
  <c r="H204" i="65"/>
  <c r="BV756" i="72"/>
  <c r="BY756" i="72"/>
  <c r="H174" i="65"/>
  <c r="I174" i="65"/>
  <c r="AC713" i="72"/>
  <c r="Z713" i="72"/>
  <c r="AF739" i="72"/>
  <c r="AI739" i="72"/>
  <c r="AF747" i="72"/>
  <c r="AI747" i="72"/>
  <c r="AF705" i="72"/>
  <c r="AI705" i="72"/>
  <c r="AF710" i="72"/>
  <c r="AI710" i="72"/>
  <c r="BV714" i="72"/>
  <c r="BY714" i="72"/>
  <c r="CE756" i="72"/>
  <c r="CB756" i="72"/>
  <c r="AC759" i="72"/>
  <c r="Z759" i="72"/>
  <c r="AC754" i="72"/>
  <c r="Z754" i="72"/>
  <c r="AC755" i="72"/>
  <c r="Z755" i="72"/>
  <c r="BV736" i="72"/>
  <c r="BY736" i="72"/>
  <c r="CB707" i="72"/>
  <c r="CE707" i="72"/>
  <c r="CB712" i="72"/>
  <c r="CE712" i="72"/>
  <c r="AC752" i="72"/>
  <c r="Z752" i="72"/>
  <c r="CB766" i="72"/>
  <c r="CE766" i="72"/>
  <c r="BY722" i="72"/>
  <c r="BV722" i="72"/>
  <c r="BY729" i="72"/>
  <c r="BV729" i="72"/>
  <c r="AI756" i="72"/>
  <c r="AF756" i="72"/>
  <c r="CE763" i="72"/>
  <c r="CB763" i="72"/>
  <c r="BY755" i="72"/>
  <c r="BV755" i="72"/>
  <c r="H66" i="65"/>
  <c r="I66" i="65"/>
  <c r="I171" i="65"/>
  <c r="H171" i="65"/>
  <c r="AC726" i="72"/>
  <c r="Z726" i="72"/>
  <c r="H181" i="65"/>
  <c r="I181" i="65"/>
  <c r="I180" i="65"/>
  <c r="H180" i="65"/>
  <c r="H87" i="65"/>
  <c r="I87" i="65"/>
  <c r="I192" i="65"/>
  <c r="H192" i="65"/>
  <c r="AI740" i="72"/>
  <c r="AF740" i="72"/>
  <c r="Z722" i="72"/>
  <c r="AC722" i="72"/>
  <c r="CE721" i="72"/>
  <c r="CB721" i="72"/>
  <c r="BY716" i="72"/>
  <c r="BV716" i="72"/>
  <c r="AI758" i="72"/>
  <c r="AF758" i="72"/>
  <c r="Z728" i="72"/>
  <c r="AC728" i="72"/>
  <c r="H127" i="65"/>
  <c r="I127" i="65"/>
  <c r="I221" i="65"/>
  <c r="H221" i="65"/>
  <c r="H121" i="65"/>
  <c r="I121" i="65"/>
  <c r="H218" i="65"/>
  <c r="I218" i="65"/>
  <c r="H227" i="65"/>
  <c r="I227" i="65"/>
  <c r="BV765" i="72"/>
  <c r="BY765" i="72"/>
  <c r="H108" i="65"/>
  <c r="I108" i="65"/>
  <c r="I211" i="65"/>
  <c r="H211" i="65"/>
  <c r="I216" i="65"/>
  <c r="H216" i="65"/>
  <c r="Z739" i="72"/>
  <c r="AC739" i="72"/>
  <c r="CE708" i="72"/>
  <c r="CB708" i="72"/>
  <c r="CB728" i="72"/>
  <c r="CE728" i="72"/>
  <c r="H92" i="65"/>
  <c r="I92" i="65"/>
  <c r="CB753" i="72"/>
  <c r="CE753" i="72"/>
  <c r="BV723" i="72"/>
  <c r="BY723" i="72"/>
  <c r="BV713" i="72"/>
  <c r="BY713" i="72"/>
  <c r="AC716" i="72"/>
  <c r="Z716" i="72"/>
  <c r="H68" i="65"/>
  <c r="I68" i="65"/>
  <c r="Z714" i="72"/>
  <c r="AC714" i="72"/>
  <c r="H75" i="65"/>
  <c r="I75" i="65"/>
  <c r="I193" i="65"/>
  <c r="H193" i="65"/>
  <c r="Z704" i="72"/>
  <c r="AC704" i="72"/>
  <c r="AF722" i="72"/>
  <c r="AI722" i="72"/>
  <c r="AF709" i="72"/>
  <c r="AI709" i="72"/>
  <c r="I125" i="65"/>
  <c r="H125" i="65"/>
  <c r="CB743" i="72"/>
  <c r="CE743" i="72"/>
  <c r="I110" i="65"/>
  <c r="H110" i="65"/>
  <c r="CE702" i="72"/>
  <c r="CB702" i="72"/>
  <c r="BV762" i="72"/>
  <c r="BY762" i="72"/>
  <c r="I96" i="65"/>
  <c r="H96" i="65"/>
  <c r="CE742" i="72"/>
  <c r="CB742" i="72"/>
  <c r="AI764" i="72"/>
  <c r="AF764" i="72"/>
  <c r="Z732" i="72"/>
  <c r="AC732" i="72"/>
  <c r="Z748" i="72"/>
  <c r="AC748" i="72"/>
  <c r="BY751" i="72"/>
  <c r="BV751" i="72"/>
  <c r="AC708" i="72"/>
  <c r="Z708" i="72"/>
  <c r="AC765" i="72"/>
  <c r="Z765" i="72"/>
  <c r="H175" i="65"/>
  <c r="I175" i="65"/>
  <c r="Z723" i="72"/>
  <c r="AC723" i="72"/>
  <c r="AI714" i="72"/>
  <c r="AF714" i="72"/>
  <c r="I81" i="65"/>
  <c r="H81" i="65"/>
  <c r="I195" i="65"/>
  <c r="H195" i="65"/>
  <c r="AI704" i="72"/>
  <c r="AF704" i="72"/>
  <c r="BY730" i="72"/>
  <c r="BV730" i="72"/>
  <c r="BV746" i="72"/>
  <c r="BY746" i="72"/>
  <c r="I219" i="65"/>
  <c r="H219" i="65"/>
  <c r="I105" i="65"/>
  <c r="H105" i="65"/>
  <c r="H102" i="15"/>
  <c r="I207" i="65"/>
  <c r="H207" i="65"/>
  <c r="BV742" i="72"/>
  <c r="BY742" i="72"/>
  <c r="AC764" i="72"/>
  <c r="Z764" i="72"/>
  <c r="CB711" i="72"/>
  <c r="CE711" i="72"/>
  <c r="AF754" i="72"/>
  <c r="AI754" i="72"/>
  <c r="BV718" i="72"/>
  <c r="BY718" i="72"/>
  <c r="BY754" i="72"/>
  <c r="BV754" i="72"/>
  <c r="BV733" i="72"/>
  <c r="BY733" i="72"/>
  <c r="CB701" i="72"/>
  <c r="CE701" i="72"/>
  <c r="Z711" i="72"/>
  <c r="AC711" i="72"/>
  <c r="CE755" i="72"/>
  <c r="CB755" i="72"/>
  <c r="CB737" i="72"/>
  <c r="CE737" i="72"/>
  <c r="BV709" i="72"/>
  <c r="BY709" i="72"/>
  <c r="I183" i="65"/>
  <c r="H183" i="65"/>
  <c r="AI757" i="72"/>
  <c r="AF757" i="72"/>
  <c r="Z761" i="72"/>
  <c r="AC761" i="72"/>
  <c r="H196" i="65"/>
  <c r="I196" i="65"/>
  <c r="CE764" i="72"/>
  <c r="CB764" i="72"/>
  <c r="AI737" i="72"/>
  <c r="AF737" i="72"/>
  <c r="AI721" i="72"/>
  <c r="AF721" i="72"/>
  <c r="I124" i="65"/>
  <c r="H124" i="65"/>
  <c r="BY741" i="72"/>
  <c r="BV741" i="72"/>
  <c r="CE762" i="72"/>
  <c r="CB762" i="72"/>
  <c r="AF751" i="72"/>
  <c r="AI751" i="72"/>
  <c r="Z702" i="72"/>
  <c r="AC702" i="72"/>
  <c r="Z705" i="72"/>
  <c r="AC705" i="72"/>
  <c r="H93" i="65"/>
  <c r="I93" i="65"/>
  <c r="H99" i="65"/>
  <c r="I99" i="65"/>
  <c r="BV726" i="72"/>
  <c r="BY726" i="72"/>
  <c r="CB732" i="72"/>
  <c r="CE732" i="72"/>
  <c r="AF732" i="72"/>
  <c r="AI732" i="72"/>
  <c r="BY703" i="72"/>
  <c r="BV703" i="72"/>
  <c r="CE714" i="72"/>
  <c r="CB714" i="72"/>
  <c r="Z750" i="72"/>
  <c r="AC750" i="72"/>
  <c r="Z731" i="72"/>
  <c r="AC731" i="72"/>
  <c r="AI731" i="72"/>
  <c r="AF731" i="72"/>
  <c r="BV712" i="72"/>
  <c r="BY712" i="72"/>
  <c r="CE733" i="72"/>
  <c r="CB733" i="72"/>
  <c r="CE745" i="72"/>
  <c r="CB745" i="72"/>
  <c r="BV750" i="72"/>
  <c r="BY750" i="72"/>
  <c r="BY752" i="72"/>
  <c r="BV752" i="72"/>
  <c r="H64" i="65"/>
  <c r="I64" i="65"/>
  <c r="BY710" i="72"/>
  <c r="BV710" i="72"/>
  <c r="AI730" i="72"/>
  <c r="AF730" i="72"/>
  <c r="H73" i="65"/>
  <c r="I73" i="65"/>
  <c r="I182" i="65"/>
  <c r="H182" i="65"/>
  <c r="AI745" i="72"/>
  <c r="AF745" i="72"/>
  <c r="BY761" i="72"/>
  <c r="BV761" i="72"/>
  <c r="H191" i="65"/>
  <c r="I191" i="65"/>
  <c r="I91" i="65"/>
  <c r="H91" i="65"/>
  <c r="BV721" i="72"/>
  <c r="BY721" i="72"/>
  <c r="BV720" i="72"/>
  <c r="BY720" i="72"/>
  <c r="CE749" i="72"/>
  <c r="CB749" i="72"/>
  <c r="CB760" i="72"/>
  <c r="CE760" i="72"/>
  <c r="AC763" i="72"/>
  <c r="Z763" i="72"/>
  <c r="BY738" i="72"/>
  <c r="BV738" i="72"/>
  <c r="AF738" i="72"/>
  <c r="AI738" i="72"/>
  <c r="AC709" i="72"/>
  <c r="Z709" i="72"/>
  <c r="BV725" i="72"/>
  <c r="BY725" i="72"/>
  <c r="AI728" i="72"/>
  <c r="AF728" i="72"/>
  <c r="Z712" i="72"/>
  <c r="AC712" i="72"/>
  <c r="CB719" i="72"/>
  <c r="CE719" i="72"/>
  <c r="I233" i="65"/>
  <c r="H233" i="65"/>
  <c r="H123" i="65"/>
  <c r="I123" i="65"/>
  <c r="I120" i="65"/>
  <c r="H120" i="65"/>
  <c r="I234" i="65"/>
  <c r="H234" i="65"/>
  <c r="H232" i="65"/>
  <c r="I232" i="65"/>
  <c r="CE765" i="72"/>
  <c r="CB765" i="72"/>
  <c r="H213" i="65"/>
  <c r="I213" i="65"/>
  <c r="I106" i="65"/>
  <c r="H106" i="65"/>
  <c r="I208" i="65"/>
  <c r="H208" i="65"/>
  <c r="BY728" i="72"/>
  <c r="BV728" i="72"/>
  <c r="Z715" i="72"/>
  <c r="AC715" i="72"/>
  <c r="AI742" i="72"/>
  <c r="AF742" i="72"/>
  <c r="I100" i="65"/>
  <c r="H100" i="65"/>
  <c r="I205" i="65"/>
  <c r="H205" i="65"/>
  <c r="H203" i="65"/>
  <c r="I203" i="65"/>
  <c r="AC729" i="72"/>
  <c r="Z729" i="72"/>
  <c r="AI718" i="72"/>
  <c r="AF718" i="72"/>
  <c r="CE748" i="72"/>
  <c r="CB748" i="72"/>
  <c r="AC743" i="72"/>
  <c r="Z743" i="72"/>
  <c r="CB759" i="72"/>
  <c r="CE759" i="72"/>
  <c r="BV759" i="72"/>
  <c r="BY759" i="72"/>
  <c r="I107" i="15"/>
  <c r="H103" i="15"/>
  <c r="AF717" i="72"/>
  <c r="AI717" i="72"/>
  <c r="CE758" i="72"/>
  <c r="CB758" i="72"/>
  <c r="BY740" i="72"/>
  <c r="BV740" i="72"/>
  <c r="I95" i="65"/>
  <c r="H95" i="65"/>
  <c r="H94" i="65"/>
  <c r="I94" i="65"/>
  <c r="H97" i="65"/>
  <c r="I97" i="65"/>
  <c r="CB704" i="72"/>
  <c r="CE704" i="72"/>
  <c r="BY717" i="72"/>
  <c r="BV717" i="72"/>
  <c r="AF750" i="72"/>
  <c r="AI750" i="72"/>
  <c r="AF759" i="72"/>
  <c r="AI759" i="72"/>
  <c r="AC706" i="72"/>
  <c r="Z706" i="72"/>
  <c r="AF701" i="72"/>
  <c r="AI701" i="72"/>
  <c r="AF744" i="72"/>
  <c r="AI744" i="72"/>
  <c r="CB727" i="72"/>
  <c r="CE727" i="72"/>
  <c r="AF711" i="72"/>
  <c r="AI711" i="72"/>
  <c r="CB752" i="72"/>
  <c r="CE752" i="72"/>
  <c r="Z756" i="72"/>
  <c r="AC756" i="72"/>
  <c r="I70" i="65"/>
  <c r="H70" i="65"/>
  <c r="H67" i="65"/>
  <c r="I67" i="65"/>
  <c r="I63" i="65"/>
  <c r="H63" i="65"/>
  <c r="AI707" i="72"/>
  <c r="AF707" i="72"/>
  <c r="H72" i="65"/>
  <c r="I72" i="65"/>
  <c r="H186" i="65"/>
  <c r="I186" i="65"/>
  <c r="AC741" i="72"/>
  <c r="Z741" i="72"/>
  <c r="CE761" i="72"/>
  <c r="CB761" i="72"/>
  <c r="I90" i="65"/>
  <c r="H90" i="65"/>
  <c r="H194" i="65"/>
  <c r="I194" i="65"/>
  <c r="BY764" i="72"/>
  <c r="BV764" i="72"/>
  <c r="Z737" i="72"/>
  <c r="AC737" i="72"/>
  <c r="AI712" i="72"/>
  <c r="AF712" i="72"/>
  <c r="I229" i="65"/>
  <c r="H229" i="65"/>
  <c r="H118" i="65"/>
  <c r="I118" i="65"/>
  <c r="H231" i="65"/>
  <c r="I231" i="65"/>
  <c r="I228" i="65"/>
  <c r="H228" i="65"/>
  <c r="BY743" i="72"/>
  <c r="BV743" i="72"/>
  <c r="AC749" i="72"/>
  <c r="Z749" i="72"/>
  <c r="AF766" i="72"/>
  <c r="AI766" i="72"/>
  <c r="Z766" i="72"/>
  <c r="AC766" i="72"/>
  <c r="AI760" i="72"/>
  <c r="AF760" i="72"/>
  <c r="H111" i="65"/>
  <c r="I111" i="65"/>
  <c r="H215" i="65"/>
  <c r="I215" i="65"/>
  <c r="CE726" i="72"/>
  <c r="CB726" i="72"/>
  <c r="AI733" i="72"/>
  <c r="AF733" i="72"/>
  <c r="AI713" i="72"/>
  <c r="AF713" i="72"/>
  <c r="CB720" i="72"/>
  <c r="CE720" i="72"/>
  <c r="H112" i="65"/>
  <c r="I112" i="65"/>
  <c r="H210" i="65"/>
  <c r="I210" i="65"/>
  <c r="BY758" i="72"/>
  <c r="BV758" i="72"/>
  <c r="I198" i="65"/>
  <c r="H198" i="65"/>
  <c r="AF719" i="72"/>
  <c r="AI719" i="72"/>
  <c r="BY748" i="72"/>
  <c r="BV748" i="72"/>
  <c r="CB744" i="72"/>
  <c r="CE744" i="72"/>
  <c r="AC736" i="72"/>
  <c r="Z736" i="72"/>
  <c r="BV707" i="72"/>
  <c r="BY707" i="72"/>
  <c r="Z724" i="72"/>
  <c r="AC724" i="72"/>
  <c r="AF752" i="72"/>
  <c r="AI752" i="72"/>
  <c r="CB729" i="72"/>
  <c r="CE729" i="72"/>
  <c r="H170" i="65"/>
  <c r="I170" i="65"/>
  <c r="CE709" i="72"/>
  <c r="CB709" i="72"/>
  <c r="Z762" i="72"/>
  <c r="AC762" i="72"/>
  <c r="I83" i="65"/>
  <c r="H83" i="65"/>
  <c r="CE725" i="72"/>
  <c r="CB725" i="72"/>
  <c r="H126" i="65"/>
  <c r="I126" i="65"/>
  <c r="I217" i="65"/>
  <c r="H217" i="65"/>
  <c r="H206" i="65"/>
  <c r="I206" i="65"/>
  <c r="AI727" i="72"/>
  <c r="AF727" i="72"/>
  <c r="I168" i="65"/>
  <c r="H168" i="65"/>
  <c r="AF762" i="72"/>
  <c r="AI762" i="72"/>
  <c r="BY708" i="72"/>
  <c r="BV708" i="72"/>
  <c r="Z742" i="72"/>
  <c r="AC742" i="72"/>
  <c r="AC735" i="72"/>
  <c r="Z735" i="72"/>
  <c r="H98" i="65"/>
  <c r="I98" i="65"/>
  <c r="H200" i="65"/>
  <c r="I200" i="65"/>
  <c r="H202" i="65"/>
  <c r="I202" i="65"/>
  <c r="AI729" i="72"/>
  <c r="AF729" i="72"/>
  <c r="BV753" i="72"/>
  <c r="BY753" i="72"/>
  <c r="AI725" i="72"/>
  <c r="AF725" i="72"/>
  <c r="Z746" i="72"/>
  <c r="AC746" i="72"/>
  <c r="BY744" i="72"/>
  <c r="BV744" i="72"/>
  <c r="CE705" i="72"/>
  <c r="CB705" i="72"/>
  <c r="AI706" i="72"/>
  <c r="AF706" i="72"/>
  <c r="AC701" i="72"/>
  <c r="Z701" i="72"/>
  <c r="CB718" i="72"/>
  <c r="CE718" i="72"/>
  <c r="AF748" i="72"/>
  <c r="AI748" i="72"/>
  <c r="CB751" i="72"/>
  <c r="CE751" i="72"/>
  <c r="CE754" i="72"/>
  <c r="CB754" i="72"/>
  <c r="BV739" i="72"/>
  <c r="BY739" i="72"/>
  <c r="BV701" i="72"/>
  <c r="BY701" i="72"/>
  <c r="AI716" i="72"/>
  <c r="AF716" i="72"/>
  <c r="I65" i="65"/>
  <c r="H65" i="65"/>
  <c r="I71" i="65"/>
  <c r="H71" i="65"/>
  <c r="I176" i="65"/>
  <c r="H176" i="65"/>
  <c r="Z707" i="72"/>
  <c r="AC707" i="72"/>
  <c r="AF726" i="72"/>
  <c r="AI726" i="72"/>
  <c r="H74" i="65"/>
  <c r="I74" i="65"/>
  <c r="H184" i="65"/>
  <c r="I184" i="65"/>
  <c r="AI741" i="72"/>
  <c r="AF741" i="72"/>
  <c r="I86" i="65"/>
  <c r="H86" i="65"/>
  <c r="I190" i="65"/>
  <c r="H190" i="65"/>
  <c r="BY731" i="72"/>
  <c r="BV731" i="72"/>
  <c r="AF703" i="72"/>
  <c r="AI703" i="72"/>
  <c r="CE730" i="72"/>
  <c r="CB730" i="72"/>
  <c r="CE746" i="72"/>
  <c r="CB746" i="72"/>
  <c r="Z738" i="72"/>
  <c r="AC738" i="72"/>
  <c r="H122" i="65"/>
  <c r="I122" i="65"/>
  <c r="H114" i="65"/>
  <c r="I114" i="65"/>
  <c r="H226" i="65"/>
  <c r="I226" i="65"/>
  <c r="H225" i="65"/>
  <c r="I225" i="65"/>
  <c r="I103" i="65"/>
  <c r="H103" i="65"/>
  <c r="I209" i="65"/>
  <c r="H209" i="65"/>
  <c r="Z734" i="72"/>
  <c r="AC734" i="72"/>
  <c r="H25" i="15"/>
  <c r="I25" i="15"/>
  <c r="AY12" i="72"/>
  <c r="N47" i="69"/>
  <c r="N48" i="69"/>
  <c r="K557" i="82" s="1"/>
  <c r="N49" i="69"/>
  <c r="N50" i="69"/>
  <c r="D556" i="82" s="1"/>
  <c r="N51" i="69"/>
  <c r="N52" i="69"/>
  <c r="N53" i="69"/>
  <c r="N54" i="69"/>
  <c r="N55" i="69"/>
  <c r="N56" i="69"/>
  <c r="N57" i="69"/>
  <c r="N58" i="69"/>
  <c r="N59" i="69"/>
  <c r="N60" i="69"/>
  <c r="N61" i="69"/>
  <c r="N46" i="69"/>
  <c r="G556" i="82" s="1"/>
  <c r="N439" i="69"/>
  <c r="B3" i="73" s="1"/>
  <c r="N440" i="69"/>
  <c r="B4" i="73" s="1"/>
  <c r="N441" i="69"/>
  <c r="B5" i="73" s="1"/>
  <c r="N442" i="69"/>
  <c r="B6" i="73" s="1"/>
  <c r="N443" i="69"/>
  <c r="B7" i="73" s="1"/>
  <c r="N444" i="69"/>
  <c r="B8" i="73" s="1"/>
  <c r="N445" i="69"/>
  <c r="B9" i="73" s="1"/>
  <c r="N446" i="69"/>
  <c r="B10" i="73" s="1"/>
  <c r="N447" i="69"/>
  <c r="B11" i="73" s="1"/>
  <c r="N448" i="69"/>
  <c r="B12" i="73" s="1"/>
  <c r="N449" i="69"/>
  <c r="B13" i="73" s="1"/>
  <c r="N450" i="69"/>
  <c r="B14" i="73" s="1"/>
  <c r="N451" i="69"/>
  <c r="B15" i="73" s="1"/>
  <c r="N438" i="69"/>
  <c r="B2" i="73" s="1"/>
  <c r="N457" i="69"/>
  <c r="F4" i="73" s="1"/>
  <c r="N455" i="69"/>
  <c r="F2" i="73" s="1"/>
  <c r="CA760" i="82" l="1"/>
  <c r="CD717" i="82"/>
  <c r="AB718" i="82"/>
  <c r="AK739" i="82"/>
  <c r="CD716" i="82"/>
  <c r="AH701" i="82"/>
  <c r="BX724" i="82"/>
  <c r="AE714" i="82"/>
  <c r="CA744" i="82"/>
  <c r="CA758" i="82"/>
  <c r="AB709" i="82"/>
  <c r="CA737" i="82"/>
  <c r="BX713" i="82"/>
  <c r="AA764" i="82"/>
  <c r="AA760" i="82"/>
  <c r="AA756" i="82"/>
  <c r="AA752" i="82"/>
  <c r="AA748" i="82"/>
  <c r="AA744" i="82"/>
  <c r="AA740" i="82"/>
  <c r="AA736" i="82"/>
  <c r="AA732" i="82"/>
  <c r="AA728" i="82"/>
  <c r="AA766" i="82"/>
  <c r="AA762" i="82"/>
  <c r="AB762" i="82" s="1"/>
  <c r="AA758" i="82"/>
  <c r="AA754" i="82"/>
  <c r="AA750" i="82"/>
  <c r="AA746" i="82"/>
  <c r="AB746" i="82" s="1"/>
  <c r="AA742" i="82"/>
  <c r="AA738" i="82"/>
  <c r="AA734" i="82"/>
  <c r="AA730" i="82"/>
  <c r="AA726" i="82"/>
  <c r="AA765" i="82"/>
  <c r="AB765" i="82" s="1"/>
  <c r="AA761" i="82"/>
  <c r="AA757" i="82"/>
  <c r="AB757" i="82" s="1"/>
  <c r="AA753" i="82"/>
  <c r="AB753" i="82" s="1"/>
  <c r="AA749" i="82"/>
  <c r="AB749" i="82" s="1"/>
  <c r="AA745" i="82"/>
  <c r="AA741" i="82"/>
  <c r="AB741" i="82" s="1"/>
  <c r="AA737" i="82"/>
  <c r="AA733" i="82"/>
  <c r="AA729" i="82"/>
  <c r="AB729" i="82" s="1"/>
  <c r="AA725" i="82"/>
  <c r="AA723" i="82"/>
  <c r="AA719" i="82"/>
  <c r="AA724" i="82"/>
  <c r="AA720" i="82"/>
  <c r="AB720" i="82" s="1"/>
  <c r="AA716" i="82"/>
  <c r="AA712" i="82"/>
  <c r="AA707" i="82"/>
  <c r="AA714" i="82"/>
  <c r="AB714" i="82" s="1"/>
  <c r="AA710" i="82"/>
  <c r="AA704" i="82"/>
  <c r="AA701" i="82"/>
  <c r="AA700" i="82"/>
  <c r="AB700" i="82" s="1"/>
  <c r="AA694" i="82"/>
  <c r="AB694" i="82" s="1"/>
  <c r="AA689" i="82"/>
  <c r="AB689" i="82" s="1"/>
  <c r="AA763" i="82"/>
  <c r="AA755" i="82"/>
  <c r="AB755" i="82" s="1"/>
  <c r="AA747" i="82"/>
  <c r="AA739" i="82"/>
  <c r="AA731" i="82"/>
  <c r="AA715" i="82"/>
  <c r="AB715" i="82" s="1"/>
  <c r="AA706" i="82"/>
  <c r="AA703" i="82"/>
  <c r="AA699" i="82"/>
  <c r="AB699" i="82" s="1"/>
  <c r="AA696" i="82"/>
  <c r="AB696" i="82" s="1"/>
  <c r="AA690" i="82"/>
  <c r="AB690" i="82" s="1"/>
  <c r="AA687" i="82"/>
  <c r="AB687" i="82" s="1"/>
  <c r="AA684" i="82"/>
  <c r="AB684" i="82" s="1"/>
  <c r="AA721" i="82"/>
  <c r="AB721" i="82" s="1"/>
  <c r="AA717" i="82"/>
  <c r="AA705" i="82"/>
  <c r="AA702" i="82"/>
  <c r="AB702" i="82" s="1"/>
  <c r="AA692" i="82"/>
  <c r="AB692" i="82" s="1"/>
  <c r="AA686" i="82"/>
  <c r="AB686" i="82" s="1"/>
  <c r="AA685" i="82"/>
  <c r="AB685" i="82" s="1"/>
  <c r="AA759" i="82"/>
  <c r="AA743" i="82"/>
  <c r="AB743" i="82" s="1"/>
  <c r="AA727" i="82"/>
  <c r="AA718" i="82"/>
  <c r="AA713" i="82"/>
  <c r="AA711" i="82"/>
  <c r="AB711" i="82" s="1"/>
  <c r="AA709" i="82"/>
  <c r="AA697" i="82"/>
  <c r="AB697" i="82" s="1"/>
  <c r="AA695" i="82"/>
  <c r="AB695" i="82" s="1"/>
  <c r="AA688" i="82"/>
  <c r="AB688" i="82" s="1"/>
  <c r="AA682" i="82"/>
  <c r="AB682" i="82" s="1"/>
  <c r="AA698" i="82"/>
  <c r="AB698" i="82" s="1"/>
  <c r="AA683" i="82"/>
  <c r="AB683" i="82" s="1"/>
  <c r="AA751" i="82"/>
  <c r="AB751" i="82" s="1"/>
  <c r="AA735" i="82"/>
  <c r="AA722" i="82"/>
  <c r="AA708" i="82"/>
  <c r="AA693" i="82"/>
  <c r="AB693" i="82" s="1"/>
  <c r="AA691" i="82"/>
  <c r="AB691" i="82" s="1"/>
  <c r="CC766" i="82"/>
  <c r="AG766" i="82"/>
  <c r="CC762" i="82"/>
  <c r="CD762" i="82" s="1"/>
  <c r="AG762" i="82"/>
  <c r="CC758" i="82"/>
  <c r="AG758" i="82"/>
  <c r="CC754" i="82"/>
  <c r="CD754" i="82" s="1"/>
  <c r="AG754" i="82"/>
  <c r="AH754" i="82" s="1"/>
  <c r="CC750" i="82"/>
  <c r="AG750" i="82"/>
  <c r="CC746" i="82"/>
  <c r="CD746" i="82" s="1"/>
  <c r="AG746" i="82"/>
  <c r="CC742" i="82"/>
  <c r="AG742" i="82"/>
  <c r="CC738" i="82"/>
  <c r="CD738" i="82" s="1"/>
  <c r="AG738" i="82"/>
  <c r="CC734" i="82"/>
  <c r="AG734" i="82"/>
  <c r="CC730" i="82"/>
  <c r="CD730" i="82" s="1"/>
  <c r="AG730" i="82"/>
  <c r="CC726" i="82"/>
  <c r="AG726" i="82"/>
  <c r="CC764" i="82"/>
  <c r="CD764" i="82" s="1"/>
  <c r="AG764" i="82"/>
  <c r="CC760" i="82"/>
  <c r="AG760" i="82"/>
  <c r="CC756" i="82"/>
  <c r="AG756" i="82"/>
  <c r="CC752" i="82"/>
  <c r="AG752" i="82"/>
  <c r="CC748" i="82"/>
  <c r="CD748" i="82" s="1"/>
  <c r="AG748" i="82"/>
  <c r="CC744" i="82"/>
  <c r="AG744" i="82"/>
  <c r="CC740" i="82"/>
  <c r="CD740" i="82" s="1"/>
  <c r="AG740" i="82"/>
  <c r="CC736" i="82"/>
  <c r="AG736" i="82"/>
  <c r="CC732" i="82"/>
  <c r="CD732" i="82" s="1"/>
  <c r="AG732" i="82"/>
  <c r="CC728" i="82"/>
  <c r="AG728" i="82"/>
  <c r="CC724" i="82"/>
  <c r="CD724" i="82" s="1"/>
  <c r="CC721" i="82"/>
  <c r="AG721" i="82"/>
  <c r="CC717" i="82"/>
  <c r="AG717" i="82"/>
  <c r="AH717" i="82" s="1"/>
  <c r="CC765" i="82"/>
  <c r="AG763" i="82"/>
  <c r="CC761" i="82"/>
  <c r="AG759" i="82"/>
  <c r="AH759" i="82" s="1"/>
  <c r="CC757" i="82"/>
  <c r="AG755" i="82"/>
  <c r="CC753" i="82"/>
  <c r="AG751" i="82"/>
  <c r="AH751" i="82" s="1"/>
  <c r="CC749" i="82"/>
  <c r="AG747" i="82"/>
  <c r="CC745" i="82"/>
  <c r="AG743" i="82"/>
  <c r="AH743" i="82" s="1"/>
  <c r="CC741" i="82"/>
  <c r="AG739" i="82"/>
  <c r="CC737" i="82"/>
  <c r="AG735" i="82"/>
  <c r="AH735" i="82" s="1"/>
  <c r="CC733" i="82"/>
  <c r="AG731" i="82"/>
  <c r="CC729" i="82"/>
  <c r="CD729" i="82" s="1"/>
  <c r="AG727" i="82"/>
  <c r="AH727" i="82" s="1"/>
  <c r="CC725" i="82"/>
  <c r="CC722" i="82"/>
  <c r="AG722" i="82"/>
  <c r="CC718" i="82"/>
  <c r="AG718" i="82"/>
  <c r="CC714" i="82"/>
  <c r="AG714" i="82"/>
  <c r="CC710" i="82"/>
  <c r="CD710" i="82" s="1"/>
  <c r="AG710" i="82"/>
  <c r="CC709" i="82"/>
  <c r="AG709" i="82"/>
  <c r="CC705" i="82"/>
  <c r="CD705" i="82" s="1"/>
  <c r="CC704" i="82"/>
  <c r="AG704" i="82"/>
  <c r="AH704" i="82" s="1"/>
  <c r="AG765" i="82"/>
  <c r="AG761" i="82"/>
  <c r="AH761" i="82" s="1"/>
  <c r="AG757" i="82"/>
  <c r="AG753" i="82"/>
  <c r="AG749" i="82"/>
  <c r="AG745" i="82"/>
  <c r="AH745" i="82" s="1"/>
  <c r="AG741" i="82"/>
  <c r="AG737" i="82"/>
  <c r="AG733" i="82"/>
  <c r="AG729" i="82"/>
  <c r="AH729" i="82" s="1"/>
  <c r="AG725" i="82"/>
  <c r="AG713" i="82"/>
  <c r="CC707" i="82"/>
  <c r="CC706" i="82"/>
  <c r="CD706" i="82" s="1"/>
  <c r="AG703" i="82"/>
  <c r="CC698" i="82"/>
  <c r="CD698" i="82" s="1"/>
  <c r="CC697" i="82"/>
  <c r="CD697" i="82" s="1"/>
  <c r="AG697" i="82"/>
  <c r="AH697" i="82" s="1"/>
  <c r="AG693" i="82"/>
  <c r="AH693" i="82" s="1"/>
  <c r="AG692" i="82"/>
  <c r="AH692" i="82" s="1"/>
  <c r="CC687" i="82"/>
  <c r="CD687" i="82" s="1"/>
  <c r="CC686" i="82"/>
  <c r="CD686" i="82" s="1"/>
  <c r="AG686" i="82"/>
  <c r="AH686" i="82" s="1"/>
  <c r="CC715" i="82"/>
  <c r="AG711" i="82"/>
  <c r="CC703" i="82"/>
  <c r="CD703" i="82" s="1"/>
  <c r="AG702" i="82"/>
  <c r="AG698" i="82"/>
  <c r="AH698" i="82" s="1"/>
  <c r="CC696" i="82"/>
  <c r="CD696" i="82" s="1"/>
  <c r="CC692" i="82"/>
  <c r="CD692" i="82" s="1"/>
  <c r="CC690" i="82"/>
  <c r="CD690" i="82" s="1"/>
  <c r="AG689" i="82"/>
  <c r="AH689" i="82" s="1"/>
  <c r="AG688" i="82"/>
  <c r="AH688" i="82" s="1"/>
  <c r="CC682" i="82"/>
  <c r="CD682" i="82" s="1"/>
  <c r="AG682" i="82"/>
  <c r="AH682" i="82" s="1"/>
  <c r="CC759" i="82"/>
  <c r="CD759" i="82" s="1"/>
  <c r="CC751" i="82"/>
  <c r="CC743" i="82"/>
  <c r="CD743" i="82" s="1"/>
  <c r="CC735" i="82"/>
  <c r="CD735" i="82" s="1"/>
  <c r="CC727" i="82"/>
  <c r="AG723" i="82"/>
  <c r="AG719" i="82"/>
  <c r="AG712" i="82"/>
  <c r="AH712" i="82" s="1"/>
  <c r="AG708" i="82"/>
  <c r="AG707" i="82"/>
  <c r="CC702" i="82"/>
  <c r="CD702" i="82" s="1"/>
  <c r="AG701" i="82"/>
  <c r="CC695" i="82"/>
  <c r="CD695" i="82" s="1"/>
  <c r="AG695" i="82"/>
  <c r="AH695" i="82" s="1"/>
  <c r="AG691" i="82"/>
  <c r="AH691" i="82" s="1"/>
  <c r="CC689" i="82"/>
  <c r="CD689" i="82" s="1"/>
  <c r="CC688" i="82"/>
  <c r="CD688" i="82" s="1"/>
  <c r="CC683" i="82"/>
  <c r="CD683" i="82" s="1"/>
  <c r="AG683" i="82"/>
  <c r="AH683" i="82" s="1"/>
  <c r="CC716" i="82"/>
  <c r="AG706" i="82"/>
  <c r="CC701" i="82"/>
  <c r="CD701" i="82" s="1"/>
  <c r="AG700" i="82"/>
  <c r="AH700" i="82" s="1"/>
  <c r="CC691" i="82"/>
  <c r="CD691" i="82" s="1"/>
  <c r="CC685" i="82"/>
  <c r="CD685" i="82" s="1"/>
  <c r="K654" i="82"/>
  <c r="K652" i="82"/>
  <c r="K650" i="82"/>
  <c r="K648" i="82"/>
  <c r="K646" i="82"/>
  <c r="K644" i="82"/>
  <c r="K642" i="82"/>
  <c r="K640" i="82"/>
  <c r="K638" i="82"/>
  <c r="K636" i="82"/>
  <c r="K634" i="82"/>
  <c r="K632" i="82"/>
  <c r="K630" i="82"/>
  <c r="K628" i="82"/>
  <c r="K626" i="82"/>
  <c r="K624" i="82"/>
  <c r="K622" i="82"/>
  <c r="K620" i="82"/>
  <c r="K618" i="82"/>
  <c r="K616" i="82"/>
  <c r="K614" i="82"/>
  <c r="K612" i="82"/>
  <c r="K610" i="82"/>
  <c r="K608" i="82"/>
  <c r="K606" i="82"/>
  <c r="K604" i="82"/>
  <c r="K602" i="82"/>
  <c r="K600" i="82"/>
  <c r="K598" i="82"/>
  <c r="K596" i="82"/>
  <c r="K594" i="82"/>
  <c r="K592" i="82"/>
  <c r="K590" i="82"/>
  <c r="K588" i="82"/>
  <c r="K586" i="82"/>
  <c r="K584" i="82"/>
  <c r="K582" i="82"/>
  <c r="K580" i="82"/>
  <c r="K578" i="82"/>
  <c r="K576" i="82"/>
  <c r="K574" i="82"/>
  <c r="K572" i="82"/>
  <c r="K568" i="82"/>
  <c r="K555" i="82"/>
  <c r="CC755" i="82"/>
  <c r="CC739" i="82"/>
  <c r="AG724" i="82"/>
  <c r="CC723" i="82"/>
  <c r="AG716" i="82"/>
  <c r="AG715" i="82"/>
  <c r="AH715" i="82" s="1"/>
  <c r="CC712" i="82"/>
  <c r="CC708" i="82"/>
  <c r="AG705" i="82"/>
  <c r="CC699" i="82"/>
  <c r="CD699" i="82" s="1"/>
  <c r="CC694" i="82"/>
  <c r="CD694" i="82" s="1"/>
  <c r="AG690" i="82"/>
  <c r="AH690" i="82" s="1"/>
  <c r="AG684" i="82"/>
  <c r="AH684" i="82" s="1"/>
  <c r="K569" i="82"/>
  <c r="CC720" i="82"/>
  <c r="CC711" i="82"/>
  <c r="CC700" i="82"/>
  <c r="CD700" i="82" s="1"/>
  <c r="AG699" i="82"/>
  <c r="AH699" i="82" s="1"/>
  <c r="AG696" i="82"/>
  <c r="AH696" i="82" s="1"/>
  <c r="AG694" i="82"/>
  <c r="AH694" i="82" s="1"/>
  <c r="AG687" i="82"/>
  <c r="AH687" i="82" s="1"/>
  <c r="K655" i="82"/>
  <c r="K653" i="82"/>
  <c r="K651" i="82"/>
  <c r="K649" i="82"/>
  <c r="K647" i="82"/>
  <c r="K645" i="82"/>
  <c r="K643" i="82"/>
  <c r="K641" i="82"/>
  <c r="K639" i="82"/>
  <c r="K637" i="82"/>
  <c r="K635" i="82"/>
  <c r="K633" i="82"/>
  <c r="K631" i="82"/>
  <c r="K629" i="82"/>
  <c r="K627" i="82"/>
  <c r="K625" i="82"/>
  <c r="K623" i="82"/>
  <c r="K621" i="82"/>
  <c r="K619" i="82"/>
  <c r="K617" i="82"/>
  <c r="K615" i="82"/>
  <c r="K613" i="82"/>
  <c r="K611" i="82"/>
  <c r="K609" i="82"/>
  <c r="K607" i="82"/>
  <c r="K605" i="82"/>
  <c r="K603" i="82"/>
  <c r="K601" i="82"/>
  <c r="K599" i="82"/>
  <c r="K597" i="82"/>
  <c r="K595" i="82"/>
  <c r="K593" i="82"/>
  <c r="K591" i="82"/>
  <c r="K589" i="82"/>
  <c r="K587" i="82"/>
  <c r="K585" i="82"/>
  <c r="K583" i="82"/>
  <c r="K581" i="82"/>
  <c r="K579" i="82"/>
  <c r="K577" i="82"/>
  <c r="K575" i="82"/>
  <c r="K573" i="82"/>
  <c r="K570" i="82"/>
  <c r="CC763" i="82"/>
  <c r="CC747" i="82"/>
  <c r="CD747" i="82" s="1"/>
  <c r="CC731" i="82"/>
  <c r="AG720" i="82"/>
  <c r="CC719" i="82"/>
  <c r="CC713" i="82"/>
  <c r="CD713" i="82" s="1"/>
  <c r="CC693" i="82"/>
  <c r="CD693" i="82" s="1"/>
  <c r="AG685" i="82"/>
  <c r="AH685" i="82" s="1"/>
  <c r="CC684" i="82"/>
  <c r="CD684" i="82" s="1"/>
  <c r="K571" i="82"/>
  <c r="K564" i="82"/>
  <c r="K560" i="82"/>
  <c r="K556" i="82"/>
  <c r="K567" i="82"/>
  <c r="K565" i="82"/>
  <c r="K563" i="82"/>
  <c r="K561" i="82"/>
  <c r="K559" i="82"/>
  <c r="K566" i="82"/>
  <c r="K562" i="82"/>
  <c r="K558" i="82"/>
  <c r="BW764" i="82"/>
  <c r="BW760" i="82"/>
  <c r="BW756" i="82"/>
  <c r="BW752" i="82"/>
  <c r="BW748" i="82"/>
  <c r="BX748" i="82" s="1"/>
  <c r="BW744" i="82"/>
  <c r="BW740" i="82"/>
  <c r="BW736" i="82"/>
  <c r="BW732" i="82"/>
  <c r="BX732" i="82" s="1"/>
  <c r="BW728" i="82"/>
  <c r="BW724" i="82"/>
  <c r="BW766" i="82"/>
  <c r="BW762" i="82"/>
  <c r="BX762" i="82" s="1"/>
  <c r="BW758" i="82"/>
  <c r="BW754" i="82"/>
  <c r="BW750" i="82"/>
  <c r="BW746" i="82"/>
  <c r="BX746" i="82" s="1"/>
  <c r="BW742" i="82"/>
  <c r="BW738" i="82"/>
  <c r="BW734" i="82"/>
  <c r="BW730" i="82"/>
  <c r="BW726" i="82"/>
  <c r="BW763" i="82"/>
  <c r="BW759" i="82"/>
  <c r="BW755" i="82"/>
  <c r="BW751" i="82"/>
  <c r="BW747" i="82"/>
  <c r="BW743" i="82"/>
  <c r="BW739" i="82"/>
  <c r="BW735" i="82"/>
  <c r="BW731" i="82"/>
  <c r="BW727" i="82"/>
  <c r="BW723" i="82"/>
  <c r="BX723" i="82" s="1"/>
  <c r="BW719" i="82"/>
  <c r="BW720" i="82"/>
  <c r="BW716" i="82"/>
  <c r="BX716" i="82" s="1"/>
  <c r="BW712" i="82"/>
  <c r="BX712" i="82" s="1"/>
  <c r="BW707" i="82"/>
  <c r="BW721" i="82"/>
  <c r="BW717" i="82"/>
  <c r="BW715" i="82"/>
  <c r="BX715" i="82" s="1"/>
  <c r="BW711" i="82"/>
  <c r="BW708" i="82"/>
  <c r="BW701" i="82"/>
  <c r="BW695" i="82"/>
  <c r="BX695" i="82" s="1"/>
  <c r="BW694" i="82"/>
  <c r="BX694" i="82" s="1"/>
  <c r="BW689" i="82"/>
  <c r="BX689" i="82" s="1"/>
  <c r="BW713" i="82"/>
  <c r="BW709" i="82"/>
  <c r="BX709" i="82" s="1"/>
  <c r="BW700" i="82"/>
  <c r="BX700" i="82" s="1"/>
  <c r="BW697" i="82"/>
  <c r="BX697" i="82" s="1"/>
  <c r="BW687" i="82"/>
  <c r="BX687" i="82" s="1"/>
  <c r="BW685" i="82"/>
  <c r="BX685" i="82" s="1"/>
  <c r="BW684" i="82"/>
  <c r="BX684" i="82" s="1"/>
  <c r="D655" i="82"/>
  <c r="D654" i="82"/>
  <c r="D653" i="82"/>
  <c r="D652" i="82"/>
  <c r="D651" i="82"/>
  <c r="D650" i="82"/>
  <c r="D649" i="82"/>
  <c r="D648" i="82"/>
  <c r="D647" i="82"/>
  <c r="D646" i="82"/>
  <c r="D645" i="82"/>
  <c r="D644" i="82"/>
  <c r="D643" i="82"/>
  <c r="D642" i="82"/>
  <c r="D641" i="82"/>
  <c r="D640" i="82"/>
  <c r="D639" i="82"/>
  <c r="D638" i="82"/>
  <c r="D637" i="82"/>
  <c r="D636" i="82"/>
  <c r="D635" i="82"/>
  <c r="D634" i="82"/>
  <c r="D633" i="82"/>
  <c r="D632" i="82"/>
  <c r="D631" i="82"/>
  <c r="D630" i="82"/>
  <c r="D629" i="82"/>
  <c r="D628" i="82"/>
  <c r="D627" i="82"/>
  <c r="D626" i="82"/>
  <c r="D625" i="82"/>
  <c r="D624" i="82"/>
  <c r="D623" i="82"/>
  <c r="D622" i="82"/>
  <c r="D621" i="82"/>
  <c r="D620" i="82"/>
  <c r="D619" i="82"/>
  <c r="D618" i="82"/>
  <c r="D617" i="82"/>
  <c r="D616" i="82"/>
  <c r="D615" i="82"/>
  <c r="D614" i="82"/>
  <c r="D613" i="82"/>
  <c r="D612" i="82"/>
  <c r="D611" i="82"/>
  <c r="D610" i="82"/>
  <c r="D609" i="82"/>
  <c r="D608" i="82"/>
  <c r="D607" i="82"/>
  <c r="D606" i="82"/>
  <c r="D605" i="82"/>
  <c r="D604" i="82"/>
  <c r="D603" i="82"/>
  <c r="D602" i="82"/>
  <c r="D601" i="82"/>
  <c r="D600" i="82"/>
  <c r="D599" i="82"/>
  <c r="D598" i="82"/>
  <c r="D597" i="82"/>
  <c r="D596" i="82"/>
  <c r="D595" i="82"/>
  <c r="D594" i="82"/>
  <c r="D593" i="82"/>
  <c r="D592" i="82"/>
  <c r="D591" i="82"/>
  <c r="D590" i="82"/>
  <c r="D589" i="82"/>
  <c r="D588" i="82"/>
  <c r="D587" i="82"/>
  <c r="D586" i="82"/>
  <c r="D585" i="82"/>
  <c r="D584" i="82"/>
  <c r="D583" i="82"/>
  <c r="D582" i="82"/>
  <c r="D581" i="82"/>
  <c r="D580" i="82"/>
  <c r="D579" i="82"/>
  <c r="D578" i="82"/>
  <c r="D577" i="82"/>
  <c r="D576" i="82"/>
  <c r="D575" i="82"/>
  <c r="D574" i="82"/>
  <c r="D573" i="82"/>
  <c r="BW761" i="82"/>
  <c r="BW753" i="82"/>
  <c r="BW745" i="82"/>
  <c r="BW737" i="82"/>
  <c r="BW729" i="82"/>
  <c r="BW722" i="82"/>
  <c r="BW718" i="82"/>
  <c r="BW714" i="82"/>
  <c r="BX714" i="82" s="1"/>
  <c r="BW703" i="82"/>
  <c r="BW699" i="82"/>
  <c r="BX699" i="82" s="1"/>
  <c r="BW696" i="82"/>
  <c r="BX696" i="82" s="1"/>
  <c r="BW692" i="82"/>
  <c r="BX692" i="82" s="1"/>
  <c r="BW690" i="82"/>
  <c r="BX690" i="82" s="1"/>
  <c r="BW705" i="82"/>
  <c r="BW693" i="82"/>
  <c r="BX693" i="82" s="1"/>
  <c r="D570" i="82"/>
  <c r="BW757" i="82"/>
  <c r="BW741" i="82"/>
  <c r="BW725" i="82"/>
  <c r="BW710" i="82"/>
  <c r="BX710" i="82" s="1"/>
  <c r="BW704" i="82"/>
  <c r="BW691" i="82"/>
  <c r="BX691" i="82" s="1"/>
  <c r="D571" i="82"/>
  <c r="BW682" i="82"/>
  <c r="BX682" i="82" s="1"/>
  <c r="D572" i="82"/>
  <c r="D568" i="82"/>
  <c r="D555" i="82"/>
  <c r="BW765" i="82"/>
  <c r="BX765" i="82" s="1"/>
  <c r="BW749" i="82"/>
  <c r="BX749" i="82" s="1"/>
  <c r="BW733" i="82"/>
  <c r="BW706" i="82"/>
  <c r="BW702" i="82"/>
  <c r="BW698" i="82"/>
  <c r="BX698" i="82" s="1"/>
  <c r="BW688" i="82"/>
  <c r="BX688" i="82" s="1"/>
  <c r="BW686" i="82"/>
  <c r="BX686" i="82" s="1"/>
  <c r="BW683" i="82"/>
  <c r="BX683" i="82" s="1"/>
  <c r="D569" i="82"/>
  <c r="D566" i="82"/>
  <c r="D564" i="82"/>
  <c r="D562" i="82"/>
  <c r="D560" i="82"/>
  <c r="D558" i="82"/>
  <c r="D567" i="82"/>
  <c r="D565" i="82"/>
  <c r="D563" i="82"/>
  <c r="D561" i="82"/>
  <c r="D559" i="82"/>
  <c r="D557" i="82"/>
  <c r="AB728" i="82"/>
  <c r="BX764" i="82"/>
  <c r="AB722" i="82"/>
  <c r="CA722" i="82"/>
  <c r="AH718" i="82"/>
  <c r="AB747" i="82"/>
  <c r="AB739" i="82"/>
  <c r="CD719" i="82"/>
  <c r="CG738" i="82"/>
  <c r="AH762" i="82"/>
  <c r="CD737" i="82"/>
  <c r="CA763" i="82"/>
  <c r="AB708" i="82"/>
  <c r="AE748" i="82"/>
  <c r="AK710" i="82"/>
  <c r="CD741" i="82"/>
  <c r="CD708" i="82"/>
  <c r="EO663" i="82"/>
  <c r="P663" i="82"/>
  <c r="BG663" i="82"/>
  <c r="CX663" i="82"/>
  <c r="J557" i="82"/>
  <c r="AB760" i="82"/>
  <c r="AH709" i="82"/>
  <c r="AH722" i="82"/>
  <c r="AH757" i="82"/>
  <c r="AH707" i="82"/>
  <c r="CD752" i="82"/>
  <c r="CD736" i="82"/>
  <c r="CD744" i="82"/>
  <c r="BX704" i="82"/>
  <c r="AH764" i="82"/>
  <c r="AK720" i="82"/>
  <c r="AB717" i="82"/>
  <c r="CG703" i="82"/>
  <c r="E587" i="82"/>
  <c r="CD765" i="82"/>
  <c r="AK766" i="82"/>
  <c r="AH737" i="82"/>
  <c r="BX720" i="82"/>
  <c r="BX757" i="82"/>
  <c r="AH726" i="82"/>
  <c r="AH756" i="82"/>
  <c r="CD750" i="82"/>
  <c r="CD751" i="82"/>
  <c r="AH750" i="82"/>
  <c r="BX753" i="82"/>
  <c r="AH702" i="82"/>
  <c r="AE713" i="82"/>
  <c r="BX727" i="82"/>
  <c r="BX756" i="82"/>
  <c r="CG734" i="82"/>
  <c r="CA764" i="82"/>
  <c r="CD709" i="82"/>
  <c r="BX722" i="82"/>
  <c r="AH744" i="82"/>
  <c r="BX707" i="82"/>
  <c r="AB732" i="82"/>
  <c r="AB733" i="82"/>
  <c r="AH736" i="82"/>
  <c r="AK725" i="82"/>
  <c r="AE719" i="82"/>
  <c r="AB735" i="82"/>
  <c r="CD758" i="82"/>
  <c r="BX738" i="82"/>
  <c r="BX755" i="82"/>
  <c r="CD722" i="82"/>
  <c r="BX751" i="82"/>
  <c r="CD718" i="82"/>
  <c r="BX741" i="82"/>
  <c r="AE739" i="82"/>
  <c r="CD721" i="82"/>
  <c r="BX763" i="82"/>
  <c r="CD733" i="82"/>
  <c r="BX754" i="82"/>
  <c r="AB748" i="82"/>
  <c r="AB701" i="82"/>
  <c r="BX705" i="82"/>
  <c r="AH710" i="82"/>
  <c r="BX742" i="82"/>
  <c r="AH760" i="82"/>
  <c r="CA719" i="82"/>
  <c r="CD720" i="82"/>
  <c r="BX721" i="82"/>
  <c r="AK740" i="82"/>
  <c r="BX706" i="82"/>
  <c r="AK759" i="82"/>
  <c r="BX717" i="82"/>
  <c r="BX726" i="82"/>
  <c r="AB734" i="82"/>
  <c r="AH749" i="82"/>
  <c r="CD749" i="82"/>
  <c r="AB704" i="82"/>
  <c r="AH730" i="82"/>
  <c r="AE707" i="82"/>
  <c r="CD755" i="82"/>
  <c r="CD739" i="82"/>
  <c r="AH731" i="82"/>
  <c r="AB710" i="82"/>
  <c r="CD753" i="82"/>
  <c r="AE751" i="82"/>
  <c r="AB707" i="82"/>
  <c r="AH716" i="82"/>
  <c r="BB662" i="82"/>
  <c r="CD662" i="82" s="1"/>
  <c r="CS662" i="82"/>
  <c r="DU662" i="82" s="1"/>
  <c r="EJ662" i="82"/>
  <c r="FL662" i="82" s="1"/>
  <c r="K662" i="82"/>
  <c r="AM662" i="82" s="1"/>
  <c r="CF763" i="82"/>
  <c r="CG763" i="82" s="1"/>
  <c r="AJ763" i="82"/>
  <c r="AK763" i="82" s="1"/>
  <c r="CF759" i="82"/>
  <c r="AJ759" i="82"/>
  <c r="CF755" i="82"/>
  <c r="CG755" i="82" s="1"/>
  <c r="AJ755" i="82"/>
  <c r="AK755" i="82" s="1"/>
  <c r="CF751" i="82"/>
  <c r="AJ751" i="82"/>
  <c r="CF747" i="82"/>
  <c r="CG747" i="82" s="1"/>
  <c r="AJ747" i="82"/>
  <c r="CF743" i="82"/>
  <c r="AJ743" i="82"/>
  <c r="AK743" i="82" s="1"/>
  <c r="CF739" i="82"/>
  <c r="CG739" i="82" s="1"/>
  <c r="AJ739" i="82"/>
  <c r="CF735" i="82"/>
  <c r="AJ735" i="82"/>
  <c r="AK735" i="82" s="1"/>
  <c r="CF731" i="82"/>
  <c r="CG731" i="82" s="1"/>
  <c r="AJ731" i="82"/>
  <c r="AK731" i="82" s="1"/>
  <c r="CF727" i="82"/>
  <c r="CG727" i="82" s="1"/>
  <c r="AJ727" i="82"/>
  <c r="AK727" i="82" s="1"/>
  <c r="CF765" i="82"/>
  <c r="AJ765" i="82"/>
  <c r="CF761" i="82"/>
  <c r="AJ761" i="82"/>
  <c r="CF757" i="82"/>
  <c r="CG757" i="82" s="1"/>
  <c r="AJ757" i="82"/>
  <c r="CF753" i="82"/>
  <c r="AJ753" i="82"/>
  <c r="CF749" i="82"/>
  <c r="CG749" i="82" s="1"/>
  <c r="AJ749" i="82"/>
  <c r="AK749" i="82" s="1"/>
  <c r="CF745" i="82"/>
  <c r="AJ745" i="82"/>
  <c r="AK745" i="82" s="1"/>
  <c r="CF741" i="82"/>
  <c r="CG741" i="82" s="1"/>
  <c r="AJ741" i="82"/>
  <c r="AK741" i="82" s="1"/>
  <c r="CF737" i="82"/>
  <c r="CG737" i="82" s="1"/>
  <c r="AJ737" i="82"/>
  <c r="CF733" i="82"/>
  <c r="CG733" i="82" s="1"/>
  <c r="AJ733" i="82"/>
  <c r="AK733" i="82" s="1"/>
  <c r="CF729" i="82"/>
  <c r="AJ729" i="82"/>
  <c r="CF725" i="82"/>
  <c r="CG725" i="82" s="1"/>
  <c r="AJ725" i="82"/>
  <c r="AJ766" i="82"/>
  <c r="CF764" i="82"/>
  <c r="AJ762" i="82"/>
  <c r="AK762" i="82" s="1"/>
  <c r="CF760" i="82"/>
  <c r="AJ758" i="82"/>
  <c r="AK758" i="82" s="1"/>
  <c r="CF756" i="82"/>
  <c r="CG756" i="82" s="1"/>
  <c r="AJ754" i="82"/>
  <c r="CF752" i="82"/>
  <c r="AJ750" i="82"/>
  <c r="CF748" i="82"/>
  <c r="AJ746" i="82"/>
  <c r="AK746" i="82" s="1"/>
  <c r="CF744" i="82"/>
  <c r="AJ742" i="82"/>
  <c r="AK742" i="82" s="1"/>
  <c r="CF740" i="82"/>
  <c r="AJ738" i="82"/>
  <c r="AK738" i="82" s="1"/>
  <c r="CF736" i="82"/>
  <c r="AJ734" i="82"/>
  <c r="CF732" i="82"/>
  <c r="AJ730" i="82"/>
  <c r="AK730" i="82" s="1"/>
  <c r="CF728" i="82"/>
  <c r="CG728" i="82" s="1"/>
  <c r="AJ726" i="82"/>
  <c r="CF724" i="82"/>
  <c r="CG724" i="82" s="1"/>
  <c r="CF722" i="82"/>
  <c r="CG722" i="82" s="1"/>
  <c r="AJ722" i="82"/>
  <c r="CF718" i="82"/>
  <c r="AJ718" i="82"/>
  <c r="AK718" i="82" s="1"/>
  <c r="CF723" i="82"/>
  <c r="CG723" i="82" s="1"/>
  <c r="AJ723" i="82"/>
  <c r="CF719" i="82"/>
  <c r="CG719" i="82" s="1"/>
  <c r="AJ719" i="82"/>
  <c r="CF715" i="82"/>
  <c r="CG715" i="82" s="1"/>
  <c r="AJ715" i="82"/>
  <c r="CF711" i="82"/>
  <c r="AJ711" i="82"/>
  <c r="CF706" i="82"/>
  <c r="CG706" i="82" s="1"/>
  <c r="AJ706" i="82"/>
  <c r="AK706" i="82" s="1"/>
  <c r="AJ705" i="82"/>
  <c r="AK705" i="82" s="1"/>
  <c r="AJ764" i="82"/>
  <c r="AJ760" i="82"/>
  <c r="AJ756" i="82"/>
  <c r="AJ752" i="82"/>
  <c r="AJ748" i="82"/>
  <c r="AJ744" i="82"/>
  <c r="AK744" i="82" s="1"/>
  <c r="AJ740" i="82"/>
  <c r="AJ736" i="82"/>
  <c r="AJ732" i="82"/>
  <c r="AK732" i="82" s="1"/>
  <c r="AJ728" i="82"/>
  <c r="AK728" i="82" s="1"/>
  <c r="AJ724" i="82"/>
  <c r="AJ720" i="82"/>
  <c r="AJ716" i="82"/>
  <c r="AK716" i="82" s="1"/>
  <c r="CF713" i="82"/>
  <c r="CG713" i="82" s="1"/>
  <c r="AJ712" i="82"/>
  <c r="AJ709" i="82"/>
  <c r="CF703" i="82"/>
  <c r="CF700" i="82"/>
  <c r="CG700" i="82" s="1"/>
  <c r="CF699" i="82"/>
  <c r="CG699" i="82" s="1"/>
  <c r="AJ699" i="82"/>
  <c r="AK699" i="82" s="1"/>
  <c r="AJ698" i="82"/>
  <c r="AK698" i="82" s="1"/>
  <c r="CF688" i="82"/>
  <c r="CG688" i="82" s="1"/>
  <c r="AJ688" i="82"/>
  <c r="AK688" i="82" s="1"/>
  <c r="AJ687" i="82"/>
  <c r="AK687" i="82" s="1"/>
  <c r="CF762" i="82"/>
  <c r="CG762" i="82" s="1"/>
  <c r="CF754" i="82"/>
  <c r="CG754" i="82" s="1"/>
  <c r="CF746" i="82"/>
  <c r="CF738" i="82"/>
  <c r="CF730" i="82"/>
  <c r="AJ721" i="82"/>
  <c r="AK721" i="82" s="1"/>
  <c r="AJ717" i="82"/>
  <c r="AK717" i="82" s="1"/>
  <c r="CF714" i="82"/>
  <c r="CG714" i="82" s="1"/>
  <c r="AJ710" i="82"/>
  <c r="AJ708" i="82"/>
  <c r="AJ707" i="82"/>
  <c r="CF705" i="82"/>
  <c r="CF702" i="82"/>
  <c r="CG702" i="82" s="1"/>
  <c r="AJ701" i="82"/>
  <c r="AK701" i="82" s="1"/>
  <c r="CF698" i="82"/>
  <c r="CG698" i="82" s="1"/>
  <c r="CF695" i="82"/>
  <c r="CG695" i="82" s="1"/>
  <c r="AJ695" i="82"/>
  <c r="AK695" i="82" s="1"/>
  <c r="AJ691" i="82"/>
  <c r="AK691" i="82" s="1"/>
  <c r="CF689" i="82"/>
  <c r="CG689" i="82" s="1"/>
  <c r="CF686" i="82"/>
  <c r="CG686" i="82" s="1"/>
  <c r="CF683" i="82"/>
  <c r="CG683" i="82" s="1"/>
  <c r="AJ683" i="82"/>
  <c r="AK683" i="82" s="1"/>
  <c r="CF720" i="82"/>
  <c r="CF716" i="82"/>
  <c r="AJ713" i="82"/>
  <c r="AK713" i="82" s="1"/>
  <c r="CF704" i="82"/>
  <c r="CG704" i="82" s="1"/>
  <c r="CF701" i="82"/>
  <c r="AJ700" i="82"/>
  <c r="AK700" i="82" s="1"/>
  <c r="AJ697" i="82"/>
  <c r="AK697" i="82" s="1"/>
  <c r="AJ694" i="82"/>
  <c r="AK694" i="82" s="1"/>
  <c r="CF693" i="82"/>
  <c r="CG693" i="82" s="1"/>
  <c r="AJ693" i="82"/>
  <c r="AK693" i="82" s="1"/>
  <c r="CF691" i="82"/>
  <c r="CG691" i="82" s="1"/>
  <c r="CF685" i="82"/>
  <c r="CG685" i="82" s="1"/>
  <c r="CF684" i="82"/>
  <c r="CG684" i="82" s="1"/>
  <c r="AJ684" i="82"/>
  <c r="AK684" i="82" s="1"/>
  <c r="M655" i="82"/>
  <c r="M654" i="82"/>
  <c r="M653" i="82"/>
  <c r="M652" i="82"/>
  <c r="M651" i="82"/>
  <c r="M650" i="82"/>
  <c r="M649" i="82"/>
  <c r="M648" i="82"/>
  <c r="M647" i="82"/>
  <c r="M646" i="82"/>
  <c r="M645" i="82"/>
  <c r="M644" i="82"/>
  <c r="M643" i="82"/>
  <c r="M642" i="82"/>
  <c r="M641" i="82"/>
  <c r="M640" i="82"/>
  <c r="M639" i="82"/>
  <c r="M638" i="82"/>
  <c r="M637" i="82"/>
  <c r="M636" i="82"/>
  <c r="M635" i="82"/>
  <c r="M634" i="82"/>
  <c r="M633" i="82"/>
  <c r="M632" i="82"/>
  <c r="M631" i="82"/>
  <c r="M630" i="82"/>
  <c r="M629" i="82"/>
  <c r="M628" i="82"/>
  <c r="M627" i="82"/>
  <c r="M626" i="82"/>
  <c r="M625" i="82"/>
  <c r="M624" i="82"/>
  <c r="M623" i="82"/>
  <c r="M622" i="82"/>
  <c r="M621" i="82"/>
  <c r="M620" i="82"/>
  <c r="M619" i="82"/>
  <c r="M618" i="82"/>
  <c r="M617" i="82"/>
  <c r="M616" i="82"/>
  <c r="M615" i="82"/>
  <c r="M614" i="82"/>
  <c r="M613" i="82"/>
  <c r="M612" i="82"/>
  <c r="M611" i="82"/>
  <c r="M610" i="82"/>
  <c r="M609" i="82"/>
  <c r="M608" i="82"/>
  <c r="M607" i="82"/>
  <c r="M606" i="82"/>
  <c r="M605" i="82"/>
  <c r="M604" i="82"/>
  <c r="M603" i="82"/>
  <c r="M602" i="82"/>
  <c r="M601" i="82"/>
  <c r="M600" i="82"/>
  <c r="M599" i="82"/>
  <c r="M598" i="82"/>
  <c r="M597" i="82"/>
  <c r="M596" i="82"/>
  <c r="M595" i="82"/>
  <c r="M594" i="82"/>
  <c r="M593" i="82"/>
  <c r="M592" i="82"/>
  <c r="M591" i="82"/>
  <c r="M590" i="82"/>
  <c r="M589" i="82"/>
  <c r="M588" i="82"/>
  <c r="M587" i="82"/>
  <c r="M586" i="82"/>
  <c r="M585" i="82"/>
  <c r="M584" i="82"/>
  <c r="M583" i="82"/>
  <c r="M582" i="82"/>
  <c r="M581" i="82"/>
  <c r="M580" i="82"/>
  <c r="M579" i="82"/>
  <c r="M578" i="82"/>
  <c r="M577" i="82"/>
  <c r="M576" i="82"/>
  <c r="M575" i="82"/>
  <c r="M574" i="82"/>
  <c r="N574" i="82" s="1"/>
  <c r="M573" i="82"/>
  <c r="M572" i="82"/>
  <c r="M571" i="82"/>
  <c r="M570" i="82"/>
  <c r="M569" i="82"/>
  <c r="M568" i="82"/>
  <c r="M567" i="82"/>
  <c r="CF758" i="82"/>
  <c r="CG758" i="82" s="1"/>
  <c r="CF742" i="82"/>
  <c r="CG742" i="82" s="1"/>
  <c r="CF726" i="82"/>
  <c r="CG726" i="82" s="1"/>
  <c r="CF717" i="82"/>
  <c r="CF712" i="82"/>
  <c r="CG712" i="82" s="1"/>
  <c r="CF710" i="82"/>
  <c r="CF708" i="82"/>
  <c r="CG708" i="82" s="1"/>
  <c r="AJ702" i="82"/>
  <c r="CF696" i="82"/>
  <c r="CG696" i="82" s="1"/>
  <c r="CF694" i="82"/>
  <c r="CG694" i="82" s="1"/>
  <c r="AJ692" i="82"/>
  <c r="AK692" i="82" s="1"/>
  <c r="AJ690" i="82"/>
  <c r="AK690" i="82" s="1"/>
  <c r="CF687" i="82"/>
  <c r="CG687" i="82" s="1"/>
  <c r="AJ686" i="82"/>
  <c r="AK686" i="82" s="1"/>
  <c r="CF697" i="82"/>
  <c r="CG697" i="82" s="1"/>
  <c r="AJ696" i="82"/>
  <c r="AK696" i="82" s="1"/>
  <c r="CF682" i="82"/>
  <c r="CG682" i="82" s="1"/>
  <c r="CQ682" i="82" s="1"/>
  <c r="CF750" i="82"/>
  <c r="CF734" i="82"/>
  <c r="CF721" i="82"/>
  <c r="CG721" i="82" s="1"/>
  <c r="AJ714" i="82"/>
  <c r="AK714" i="82" s="1"/>
  <c r="CF709" i="82"/>
  <c r="CG709" i="82" s="1"/>
  <c r="CF707" i="82"/>
  <c r="CG707" i="82" s="1"/>
  <c r="AJ704" i="82"/>
  <c r="AJ703" i="82"/>
  <c r="CF692" i="82"/>
  <c r="CG692" i="82" s="1"/>
  <c r="AJ689" i="82"/>
  <c r="AK689" i="82" s="1"/>
  <c r="AJ685" i="82"/>
  <c r="AK685" i="82" s="1"/>
  <c r="M566" i="82"/>
  <c r="M565" i="82"/>
  <c r="M564" i="82"/>
  <c r="M563" i="82"/>
  <c r="M562" i="82"/>
  <c r="M561" i="82"/>
  <c r="M560" i="82"/>
  <c r="M559" i="82"/>
  <c r="M558" i="82"/>
  <c r="M557" i="82"/>
  <c r="M556" i="82"/>
  <c r="CF766" i="82"/>
  <c r="CG766" i="82" s="1"/>
  <c r="CF690" i="82"/>
  <c r="CG690" i="82" s="1"/>
  <c r="AJ682" i="82"/>
  <c r="AK682" i="82" s="1"/>
  <c r="AU682" i="82" s="1"/>
  <c r="M555" i="82"/>
  <c r="BZ765" i="82"/>
  <c r="AD765" i="82"/>
  <c r="AE765" i="82" s="1"/>
  <c r="BZ761" i="82"/>
  <c r="CA761" i="82" s="1"/>
  <c r="AD761" i="82"/>
  <c r="BZ757" i="82"/>
  <c r="AD757" i="82"/>
  <c r="AE757" i="82" s="1"/>
  <c r="BZ753" i="82"/>
  <c r="CA753" i="82" s="1"/>
  <c r="AD753" i="82"/>
  <c r="BZ749" i="82"/>
  <c r="AD749" i="82"/>
  <c r="AE749" i="82" s="1"/>
  <c r="BZ745" i="82"/>
  <c r="CA745" i="82" s="1"/>
  <c r="AD745" i="82"/>
  <c r="BZ741" i="82"/>
  <c r="AD741" i="82"/>
  <c r="AE741" i="82" s="1"/>
  <c r="BZ737" i="82"/>
  <c r="AD737" i="82"/>
  <c r="BZ733" i="82"/>
  <c r="AD733" i="82"/>
  <c r="AE733" i="82" s="1"/>
  <c r="BZ729" i="82"/>
  <c r="CA729" i="82" s="1"/>
  <c r="AD729" i="82"/>
  <c r="BZ725" i="82"/>
  <c r="CA725" i="82" s="1"/>
  <c r="AD725" i="82"/>
  <c r="AE725" i="82" s="1"/>
  <c r="BZ766" i="82"/>
  <c r="BZ763" i="82"/>
  <c r="AD763" i="82"/>
  <c r="AE763" i="82" s="1"/>
  <c r="BZ759" i="82"/>
  <c r="CA759" i="82" s="1"/>
  <c r="AD759" i="82"/>
  <c r="BZ755" i="82"/>
  <c r="AD755" i="82"/>
  <c r="BZ751" i="82"/>
  <c r="CA751" i="82" s="1"/>
  <c r="AD751" i="82"/>
  <c r="BZ747" i="82"/>
  <c r="CA747" i="82" s="1"/>
  <c r="AD747" i="82"/>
  <c r="AE747" i="82" s="1"/>
  <c r="BZ743" i="82"/>
  <c r="CA743" i="82" s="1"/>
  <c r="AD743" i="82"/>
  <c r="AE743" i="82" s="1"/>
  <c r="BZ739" i="82"/>
  <c r="CA739" i="82" s="1"/>
  <c r="AD739" i="82"/>
  <c r="BZ735" i="82"/>
  <c r="CA735" i="82" s="1"/>
  <c r="AD735" i="82"/>
  <c r="AE735" i="82" s="1"/>
  <c r="BZ731" i="82"/>
  <c r="AD731" i="82"/>
  <c r="BZ727" i="82"/>
  <c r="CA727" i="82" s="1"/>
  <c r="AD727" i="82"/>
  <c r="AE727" i="82" s="1"/>
  <c r="AD724" i="82"/>
  <c r="AE724" i="82" s="1"/>
  <c r="BZ720" i="82"/>
  <c r="AD720" i="82"/>
  <c r="AE720" i="82" s="1"/>
  <c r="BZ716" i="82"/>
  <c r="AD766" i="82"/>
  <c r="BZ764" i="82"/>
  <c r="AD762" i="82"/>
  <c r="AE762" i="82" s="1"/>
  <c r="BZ760" i="82"/>
  <c r="AD758" i="82"/>
  <c r="BZ756" i="82"/>
  <c r="AD754" i="82"/>
  <c r="AE754" i="82" s="1"/>
  <c r="BZ752" i="82"/>
  <c r="CA752" i="82" s="1"/>
  <c r="AD750" i="82"/>
  <c r="AE750" i="82" s="1"/>
  <c r="BZ748" i="82"/>
  <c r="AD746" i="82"/>
  <c r="AE746" i="82" s="1"/>
  <c r="BZ744" i="82"/>
  <c r="AD742" i="82"/>
  <c r="AE742" i="82" s="1"/>
  <c r="BZ740" i="82"/>
  <c r="AD738" i="82"/>
  <c r="AE738" i="82" s="1"/>
  <c r="BZ736" i="82"/>
  <c r="AD734" i="82"/>
  <c r="AE734" i="82" s="1"/>
  <c r="BZ732" i="82"/>
  <c r="AD730" i="82"/>
  <c r="AE730" i="82" s="1"/>
  <c r="BZ728" i="82"/>
  <c r="CA728" i="82" s="1"/>
  <c r="AD726" i="82"/>
  <c r="BZ724" i="82"/>
  <c r="BZ721" i="82"/>
  <c r="AD721" i="82"/>
  <c r="AE721" i="82" s="1"/>
  <c r="BZ717" i="82"/>
  <c r="AD717" i="82"/>
  <c r="BZ713" i="82"/>
  <c r="AD713" i="82"/>
  <c r="BZ708" i="82"/>
  <c r="CA708" i="82" s="1"/>
  <c r="AD708" i="82"/>
  <c r="AE708" i="82" s="1"/>
  <c r="BZ703" i="82"/>
  <c r="CA703" i="82" s="1"/>
  <c r="AD723" i="82"/>
  <c r="AE723" i="82" s="1"/>
  <c r="BZ722" i="82"/>
  <c r="AD719" i="82"/>
  <c r="BZ718" i="82"/>
  <c r="CA718" i="82" s="1"/>
  <c r="BZ714" i="82"/>
  <c r="CA714" i="82" s="1"/>
  <c r="BZ710" i="82"/>
  <c r="AD707" i="82"/>
  <c r="AD706" i="82"/>
  <c r="AE706" i="82" s="1"/>
  <c r="BZ704" i="82"/>
  <c r="BZ702" i="82"/>
  <c r="AD702" i="82"/>
  <c r="BZ696" i="82"/>
  <c r="CA696" i="82" s="1"/>
  <c r="AD696" i="82"/>
  <c r="AE696" i="82" s="1"/>
  <c r="AD695" i="82"/>
  <c r="AE695" i="82" s="1"/>
  <c r="BZ693" i="82"/>
  <c r="CA693" i="82" s="1"/>
  <c r="BZ692" i="82"/>
  <c r="CA692" i="82" s="1"/>
  <c r="BZ691" i="82"/>
  <c r="CA691" i="82" s="1"/>
  <c r="AD691" i="82"/>
  <c r="AE691" i="82" s="1"/>
  <c r="BZ690" i="82"/>
  <c r="CA690" i="82" s="1"/>
  <c r="AD690" i="82"/>
  <c r="AE690" i="82" s="1"/>
  <c r="BZ723" i="82"/>
  <c r="BZ719" i="82"/>
  <c r="AD716" i="82"/>
  <c r="AE716" i="82" s="1"/>
  <c r="BZ712" i="82"/>
  <c r="CA712" i="82" s="1"/>
  <c r="AD705" i="82"/>
  <c r="AE705" i="82" s="1"/>
  <c r="AD704" i="82"/>
  <c r="AE704" i="82" s="1"/>
  <c r="BZ699" i="82"/>
  <c r="CA699" i="82" s="1"/>
  <c r="BZ694" i="82"/>
  <c r="CA694" i="82" s="1"/>
  <c r="AD692" i="82"/>
  <c r="AE692" i="82" s="1"/>
  <c r="AD686" i="82"/>
  <c r="AE686" i="82" s="1"/>
  <c r="AD685" i="82"/>
  <c r="AE685" i="82" s="1"/>
  <c r="BZ762" i="82"/>
  <c r="CA762" i="82" s="1"/>
  <c r="AD760" i="82"/>
  <c r="AE760" i="82" s="1"/>
  <c r="BZ754" i="82"/>
  <c r="CA754" i="82" s="1"/>
  <c r="AD752" i="82"/>
  <c r="BZ746" i="82"/>
  <c r="CA746" i="82" s="1"/>
  <c r="AD744" i="82"/>
  <c r="AE744" i="82" s="1"/>
  <c r="BZ738" i="82"/>
  <c r="AD736" i="82"/>
  <c r="AE736" i="82" s="1"/>
  <c r="BZ730" i="82"/>
  <c r="CA730" i="82" s="1"/>
  <c r="AD728" i="82"/>
  <c r="AE728" i="82" s="1"/>
  <c r="BZ715" i="82"/>
  <c r="AD711" i="82"/>
  <c r="AD710" i="82"/>
  <c r="AE710" i="82" s="1"/>
  <c r="AD709" i="82"/>
  <c r="BZ706" i="82"/>
  <c r="BZ705" i="82"/>
  <c r="CA705" i="82" s="1"/>
  <c r="BZ698" i="82"/>
  <c r="CA698" i="82" s="1"/>
  <c r="AD698" i="82"/>
  <c r="AE698" i="82" s="1"/>
  <c r="AD689" i="82"/>
  <c r="AE689" i="82" s="1"/>
  <c r="AD688" i="82"/>
  <c r="AE688" i="82" s="1"/>
  <c r="BZ686" i="82"/>
  <c r="CA686" i="82" s="1"/>
  <c r="BZ682" i="82"/>
  <c r="AD682" i="82"/>
  <c r="BZ684" i="82"/>
  <c r="CA684" i="82" s="1"/>
  <c r="AD683" i="82"/>
  <c r="AE683" i="82" s="1"/>
  <c r="G571" i="82"/>
  <c r="G567" i="82"/>
  <c r="G566" i="82"/>
  <c r="G565" i="82"/>
  <c r="G564" i="82"/>
  <c r="G563" i="82"/>
  <c r="G562" i="82"/>
  <c r="G561" i="82"/>
  <c r="G560" i="82"/>
  <c r="G559" i="82"/>
  <c r="G558" i="82"/>
  <c r="G557" i="82"/>
  <c r="BZ758" i="82"/>
  <c r="AD756" i="82"/>
  <c r="BZ742" i="82"/>
  <c r="CA742" i="82" s="1"/>
  <c r="AD740" i="82"/>
  <c r="AE740" i="82" s="1"/>
  <c r="BZ726" i="82"/>
  <c r="AD722" i="82"/>
  <c r="AE722" i="82" s="1"/>
  <c r="BZ701" i="82"/>
  <c r="AD700" i="82"/>
  <c r="AE700" i="82" s="1"/>
  <c r="AD693" i="82"/>
  <c r="AE693" i="82" s="1"/>
  <c r="BZ689" i="82"/>
  <c r="CA689" i="82" s="1"/>
  <c r="BZ687" i="82"/>
  <c r="CA687" i="82" s="1"/>
  <c r="BZ685" i="82"/>
  <c r="CA685" i="82" s="1"/>
  <c r="G654" i="82"/>
  <c r="G652" i="82"/>
  <c r="G650" i="82"/>
  <c r="G648" i="82"/>
  <c r="G646" i="82"/>
  <c r="G644" i="82"/>
  <c r="G642" i="82"/>
  <c r="G640" i="82"/>
  <c r="G638" i="82"/>
  <c r="G636" i="82"/>
  <c r="G634" i="82"/>
  <c r="G632" i="82"/>
  <c r="G630" i="82"/>
  <c r="G628" i="82"/>
  <c r="G626" i="82"/>
  <c r="G624" i="82"/>
  <c r="G622" i="82"/>
  <c r="G620" i="82"/>
  <c r="G618" i="82"/>
  <c r="G616" i="82"/>
  <c r="G614" i="82"/>
  <c r="G612" i="82"/>
  <c r="G610" i="82"/>
  <c r="G608" i="82"/>
  <c r="G606" i="82"/>
  <c r="G604" i="82"/>
  <c r="G602" i="82"/>
  <c r="G600" i="82"/>
  <c r="G598" i="82"/>
  <c r="G596" i="82"/>
  <c r="G594" i="82"/>
  <c r="G592" i="82"/>
  <c r="G590" i="82"/>
  <c r="G588" i="82"/>
  <c r="G586" i="82"/>
  <c r="G584" i="82"/>
  <c r="G582" i="82"/>
  <c r="G580" i="82"/>
  <c r="G578" i="82"/>
  <c r="G576" i="82"/>
  <c r="G574" i="82"/>
  <c r="G572" i="82"/>
  <c r="AD715" i="82"/>
  <c r="AE715" i="82" s="1"/>
  <c r="AD712" i="82"/>
  <c r="AE712" i="82" s="1"/>
  <c r="AD701" i="82"/>
  <c r="AE701" i="82" s="1"/>
  <c r="BZ697" i="82"/>
  <c r="CA697" i="82" s="1"/>
  <c r="BZ695" i="82"/>
  <c r="CA695" i="82" s="1"/>
  <c r="BZ688" i="82"/>
  <c r="CA688" i="82" s="1"/>
  <c r="AD684" i="82"/>
  <c r="AE684" i="82" s="1"/>
  <c r="BZ683" i="82"/>
  <c r="CA683" i="82" s="1"/>
  <c r="G569" i="82"/>
  <c r="AD764" i="82"/>
  <c r="AE764" i="82" s="1"/>
  <c r="BZ750" i="82"/>
  <c r="CA750" i="82" s="1"/>
  <c r="AD748" i="82"/>
  <c r="BZ734" i="82"/>
  <c r="CA734" i="82" s="1"/>
  <c r="AD732" i="82"/>
  <c r="AE732" i="82" s="1"/>
  <c r="AD718" i="82"/>
  <c r="AD714" i="82"/>
  <c r="BZ711" i="82"/>
  <c r="CA711" i="82" s="1"/>
  <c r="BZ709" i="82"/>
  <c r="BZ707" i="82"/>
  <c r="CA707" i="82" s="1"/>
  <c r="AD703" i="82"/>
  <c r="BZ700" i="82"/>
  <c r="CA700" i="82" s="1"/>
  <c r="AD699" i="82"/>
  <c r="AE699" i="82" s="1"/>
  <c r="AD697" i="82"/>
  <c r="AE697" i="82" s="1"/>
  <c r="AD694" i="82"/>
  <c r="AE694" i="82" s="1"/>
  <c r="AD687" i="82"/>
  <c r="AE687" i="82" s="1"/>
  <c r="G655" i="82"/>
  <c r="G653" i="82"/>
  <c r="G651" i="82"/>
  <c r="G649" i="82"/>
  <c r="G647" i="82"/>
  <c r="G645" i="82"/>
  <c r="G643" i="82"/>
  <c r="G641" i="82"/>
  <c r="G639" i="82"/>
  <c r="G637" i="82"/>
  <c r="G635" i="82"/>
  <c r="G633" i="82"/>
  <c r="G631" i="82"/>
  <c r="G629" i="82"/>
  <c r="G627" i="82"/>
  <c r="G625" i="82"/>
  <c r="G623" i="82"/>
  <c r="G621" i="82"/>
  <c r="G619" i="82"/>
  <c r="G617" i="82"/>
  <c r="G615" i="82"/>
  <c r="G613" i="82"/>
  <c r="G611" i="82"/>
  <c r="G609" i="82"/>
  <c r="G607" i="82"/>
  <c r="G605" i="82"/>
  <c r="G603" i="82"/>
  <c r="G601" i="82"/>
  <c r="G599" i="82"/>
  <c r="G597" i="82"/>
  <c r="G595" i="82"/>
  <c r="G593" i="82"/>
  <c r="G591" i="82"/>
  <c r="G589" i="82"/>
  <c r="G587" i="82"/>
  <c r="G585" i="82"/>
  <c r="G583" i="82"/>
  <c r="G581" i="82"/>
  <c r="G579" i="82"/>
  <c r="G577" i="82"/>
  <c r="G575" i="82"/>
  <c r="G573" i="82"/>
  <c r="G568" i="82"/>
  <c r="G570" i="82"/>
  <c r="G555" i="82"/>
  <c r="CO662" i="82"/>
  <c r="AX662" i="82"/>
  <c r="C662" i="82"/>
  <c r="EB662" i="82"/>
  <c r="FC662" i="82" s="1"/>
  <c r="CK662" i="82"/>
  <c r="DL662" i="82" s="1"/>
  <c r="EF662" i="82"/>
  <c r="AT662" i="82"/>
  <c r="G662" i="82"/>
  <c r="AD662" i="82" s="1"/>
  <c r="CG765" i="82"/>
  <c r="AH766" i="82"/>
  <c r="AK737" i="82"/>
  <c r="CA720" i="82"/>
  <c r="BX730" i="82"/>
  <c r="CD731" i="82"/>
  <c r="CA757" i="82"/>
  <c r="AK726" i="82"/>
  <c r="AK756" i="82"/>
  <c r="CG750" i="82"/>
  <c r="CG751" i="82"/>
  <c r="AB706" i="82"/>
  <c r="CD756" i="82"/>
  <c r="AK750" i="82"/>
  <c r="AK729" i="82"/>
  <c r="AK702" i="82"/>
  <c r="CD728" i="82"/>
  <c r="AB763" i="82"/>
  <c r="CG764" i="82"/>
  <c r="CG730" i="82"/>
  <c r="AB713" i="82"/>
  <c r="CA709" i="82"/>
  <c r="CD707" i="82"/>
  <c r="CA756" i="82"/>
  <c r="AH746" i="82"/>
  <c r="CD726" i="82"/>
  <c r="CD734" i="82"/>
  <c r="AH742" i="82"/>
  <c r="AB766" i="82"/>
  <c r="CD725" i="82"/>
  <c r="CD760" i="82"/>
  <c r="AB703" i="82"/>
  <c r="AB726" i="82"/>
  <c r="AK708" i="82"/>
  <c r="AH752" i="82"/>
  <c r="AH753" i="82"/>
  <c r="AK719" i="82"/>
  <c r="AK715" i="82"/>
  <c r="CA715" i="82"/>
  <c r="AH728" i="82"/>
  <c r="AH763" i="82"/>
  <c r="AK736" i="82"/>
  <c r="AB750" i="82"/>
  <c r="AH725" i="82"/>
  <c r="CG732" i="82"/>
  <c r="AB764" i="82"/>
  <c r="CA748" i="82"/>
  <c r="AB719" i="82"/>
  <c r="CG743" i="82"/>
  <c r="BX725" i="82"/>
  <c r="CA738" i="82"/>
  <c r="AB740" i="82"/>
  <c r="AH713" i="82"/>
  <c r="AH733" i="82"/>
  <c r="CA755" i="82"/>
  <c r="CD763" i="82"/>
  <c r="CG718" i="82"/>
  <c r="CA732" i="82"/>
  <c r="CA741" i="82"/>
  <c r="AH734" i="82"/>
  <c r="AE737" i="82"/>
  <c r="AE758" i="82"/>
  <c r="BX731" i="82"/>
  <c r="CD761" i="82"/>
  <c r="AK765" i="82"/>
  <c r="AH711" i="82"/>
  <c r="BX701" i="82"/>
  <c r="BX766" i="82"/>
  <c r="AB752" i="82"/>
  <c r="CA723" i="82"/>
  <c r="BX736" i="82"/>
  <c r="AB731" i="82"/>
  <c r="CD711" i="82"/>
  <c r="BX703" i="82"/>
  <c r="AK747" i="82"/>
  <c r="BX702" i="82"/>
  <c r="AK760" i="82"/>
  <c r="BX719" i="82"/>
  <c r="AB738" i="82"/>
  <c r="CG720" i="82"/>
  <c r="CA721" i="82"/>
  <c r="AH740" i="82"/>
  <c r="CD757" i="82"/>
  <c r="BX761" i="82"/>
  <c r="CA710" i="82"/>
  <c r="CA706" i="82"/>
  <c r="AB724" i="82"/>
  <c r="AB736" i="82"/>
  <c r="CA717" i="82"/>
  <c r="AH732" i="82"/>
  <c r="CD742" i="82"/>
  <c r="CA726" i="82"/>
  <c r="AB742" i="82"/>
  <c r="BX728" i="82"/>
  <c r="CA765" i="82"/>
  <c r="CG746" i="82"/>
  <c r="AH703" i="82"/>
  <c r="AB761" i="82"/>
  <c r="AE745" i="82"/>
  <c r="AH723" i="82"/>
  <c r="AE756" i="82"/>
  <c r="CD745" i="82"/>
  <c r="AE711" i="82"/>
  <c r="BX733" i="82"/>
  <c r="AK748" i="82"/>
  <c r="AK724" i="82"/>
  <c r="AE759" i="82"/>
  <c r="CD704" i="82"/>
  <c r="BX735" i="82"/>
  <c r="CA740" i="82"/>
  <c r="L663" i="72"/>
  <c r="E571" i="82"/>
  <c r="BX750" i="82"/>
  <c r="CD766" i="82"/>
  <c r="AH706" i="82"/>
  <c r="CG753" i="82"/>
  <c r="AK709" i="82"/>
  <c r="AH738" i="82"/>
  <c r="AK722" i="82"/>
  <c r="AK757" i="82"/>
  <c r="AB730" i="82"/>
  <c r="AK707" i="82"/>
  <c r="CG752" i="82"/>
  <c r="BX739" i="82"/>
  <c r="BX747" i="82"/>
  <c r="CG736" i="82"/>
  <c r="CG744" i="82"/>
  <c r="CA704" i="82"/>
  <c r="AK764" i="82"/>
  <c r="AH720" i="82"/>
  <c r="AH705" i="82"/>
  <c r="BX734" i="82"/>
  <c r="AE717" i="82"/>
  <c r="AH721" i="82"/>
  <c r="AH758" i="82"/>
  <c r="CA749" i="82"/>
  <c r="AH741" i="82"/>
  <c r="BX745" i="82"/>
  <c r="CG701" i="82"/>
  <c r="CG705" i="82"/>
  <c r="BX744" i="82"/>
  <c r="AB725" i="82"/>
  <c r="AE729" i="82"/>
  <c r="AB705" i="82"/>
  <c r="BX758" i="82"/>
  <c r="CD715" i="82"/>
  <c r="AE766" i="82"/>
  <c r="CG760" i="82"/>
  <c r="AE703" i="82"/>
  <c r="AE726" i="82"/>
  <c r="BX752" i="82"/>
  <c r="AH708" i="82"/>
  <c r="AK752" i="82"/>
  <c r="BX718" i="82"/>
  <c r="AB727" i="82"/>
  <c r="AK753" i="82"/>
  <c r="AH719" i="82"/>
  <c r="BX760" i="82"/>
  <c r="BX729" i="82"/>
  <c r="CD723" i="82"/>
  <c r="AB754" i="82"/>
  <c r="CG717" i="82"/>
  <c r="AE753" i="82"/>
  <c r="AE718" i="82"/>
  <c r="AE702" i="82"/>
  <c r="AK712" i="82"/>
  <c r="AE709" i="82"/>
  <c r="CA716" i="82"/>
  <c r="AB723" i="82"/>
  <c r="BX737" i="82"/>
  <c r="CG729" i="82"/>
  <c r="CD727" i="82"/>
  <c r="CA713" i="82"/>
  <c r="AH755" i="82"/>
  <c r="BX711" i="82"/>
  <c r="CG759" i="82"/>
  <c r="AK734" i="82"/>
  <c r="AB737" i="82"/>
  <c r="AB758" i="82"/>
  <c r="CA731" i="82"/>
  <c r="CG761" i="82"/>
  <c r="AH765" i="82"/>
  <c r="AK711" i="82"/>
  <c r="CA701" i="82"/>
  <c r="CA766" i="82"/>
  <c r="AE752" i="82"/>
  <c r="CA736" i="82"/>
  <c r="AE731" i="82"/>
  <c r="CG711" i="82"/>
  <c r="AH747" i="82"/>
  <c r="CA702" i="82"/>
  <c r="AH739" i="82"/>
  <c r="BX743" i="82"/>
  <c r="AB712" i="82"/>
  <c r="CG716" i="82"/>
  <c r="AK704" i="82"/>
  <c r="AK761" i="82"/>
  <c r="AH714" i="82"/>
  <c r="AB716" i="82"/>
  <c r="AB744" i="82"/>
  <c r="CD712" i="82"/>
  <c r="AK754" i="82"/>
  <c r="CD714" i="82"/>
  <c r="CG735" i="82"/>
  <c r="BX759" i="82"/>
  <c r="CG748" i="82"/>
  <c r="CG740" i="82"/>
  <c r="AK751" i="82"/>
  <c r="CA724" i="82"/>
  <c r="BX708" i="82"/>
  <c r="AK703" i="82"/>
  <c r="AE761" i="82"/>
  <c r="AB745" i="82"/>
  <c r="AK723" i="82"/>
  <c r="CG710" i="82"/>
  <c r="AB756" i="82"/>
  <c r="CG745" i="82"/>
  <c r="CA733" i="82"/>
  <c r="AH748" i="82"/>
  <c r="AH724" i="82"/>
  <c r="AE755" i="82"/>
  <c r="AB759" i="82"/>
  <c r="BX740" i="82"/>
  <c r="BB698" i="82"/>
  <c r="CT676" i="82"/>
  <c r="BC669" i="82"/>
  <c r="L676" i="82"/>
  <c r="H563" i="82"/>
  <c r="EK676" i="82"/>
  <c r="L669" i="82"/>
  <c r="AU663" i="72"/>
  <c r="F684" i="82"/>
  <c r="CL663" i="72"/>
  <c r="EC664" i="72"/>
  <c r="EG664" i="72"/>
  <c r="H570" i="82"/>
  <c r="CY675" i="82"/>
  <c r="BB684" i="82"/>
  <c r="F698" i="82"/>
  <c r="CP664" i="72"/>
  <c r="CT669" i="82"/>
  <c r="CL664" i="72"/>
  <c r="H664" i="72"/>
  <c r="EC662" i="72"/>
  <c r="D662" i="72"/>
  <c r="AU662" i="72"/>
  <c r="H662" i="72"/>
  <c r="CP662" i="72"/>
  <c r="CL662" i="72"/>
  <c r="EG662" i="72"/>
  <c r="AY662" i="72"/>
  <c r="BB682" i="82"/>
  <c r="EG662" i="82"/>
  <c r="EC662" i="82"/>
  <c r="AU662" i="82"/>
  <c r="AY662" i="82"/>
  <c r="CP662" i="82"/>
  <c r="H662" i="82"/>
  <c r="E556" i="82"/>
  <c r="CL662" i="82"/>
  <c r="D662" i="82"/>
  <c r="D663" i="82"/>
  <c r="CL663" i="82"/>
  <c r="AU663" i="82"/>
  <c r="EC663" i="82"/>
  <c r="H663" i="82"/>
  <c r="AY663" i="82"/>
  <c r="EG663" i="82"/>
  <c r="CP663" i="82"/>
  <c r="EP675" i="82"/>
  <c r="F682" i="82"/>
  <c r="EK662" i="82"/>
  <c r="H556" i="82"/>
  <c r="CT662" i="82"/>
  <c r="BC662" i="82"/>
  <c r="L662" i="82"/>
  <c r="V664" i="82"/>
  <c r="DD664" i="82"/>
  <c r="EU664" i="82"/>
  <c r="BM664" i="82"/>
  <c r="V666" i="82"/>
  <c r="DD666" i="82"/>
  <c r="BM666" i="82"/>
  <c r="EU666" i="82"/>
  <c r="N560" i="82"/>
  <c r="CT662" i="72"/>
  <c r="EK662" i="72"/>
  <c r="L662" i="72"/>
  <c r="BC662" i="72"/>
  <c r="J558" i="82"/>
  <c r="BH664" i="82"/>
  <c r="CY664" i="82"/>
  <c r="Q664" i="82"/>
  <c r="EP664" i="82"/>
  <c r="EP666" i="82"/>
  <c r="Q666" i="82"/>
  <c r="J560" i="82"/>
  <c r="BH666" i="82"/>
  <c r="CY666" i="82"/>
  <c r="E574" i="82"/>
  <c r="AY663" i="72"/>
  <c r="EG663" i="72"/>
  <c r="H663" i="72"/>
  <c r="EC663" i="72"/>
  <c r="D663" i="72"/>
  <c r="J569" i="82"/>
  <c r="F685" i="82"/>
  <c r="BM665" i="82"/>
  <c r="DD665" i="82"/>
  <c r="N559" i="82"/>
  <c r="EU665" i="82"/>
  <c r="V665" i="82"/>
  <c r="BC661" i="82"/>
  <c r="CT661" i="82"/>
  <c r="EK661" i="82"/>
  <c r="L661" i="82"/>
  <c r="AU661" i="82"/>
  <c r="AY661" i="82"/>
  <c r="CP661" i="82"/>
  <c r="D661" i="82"/>
  <c r="EC661" i="82"/>
  <c r="CL661" i="82"/>
  <c r="E555" i="82"/>
  <c r="EG661" i="82"/>
  <c r="H661" i="82"/>
  <c r="BH675" i="82"/>
  <c r="EP665" i="82"/>
  <c r="BH665" i="82"/>
  <c r="Q665" i="82"/>
  <c r="CY665" i="82"/>
  <c r="BC663" i="72"/>
  <c r="EK663" i="72"/>
  <c r="EG661" i="72"/>
  <c r="AU661" i="72"/>
  <c r="D661" i="72"/>
  <c r="H661" i="72"/>
  <c r="AY661" i="72"/>
  <c r="EC661" i="72"/>
  <c r="CL661" i="72"/>
  <c r="CP661" i="72"/>
  <c r="EK663" i="82"/>
  <c r="CT663" i="82"/>
  <c r="L663" i="82"/>
  <c r="BC663" i="82"/>
  <c r="EK661" i="72"/>
  <c r="L661" i="72"/>
  <c r="CT661" i="72"/>
  <c r="BC661" i="72"/>
  <c r="DD664" i="72"/>
  <c r="V664" i="72"/>
  <c r="B560" i="72"/>
  <c r="AV560" i="72" s="1"/>
  <c r="AI559" i="72"/>
  <c r="BM664" i="72"/>
  <c r="AU664" i="72"/>
  <c r="AY664" i="72"/>
  <c r="L559" i="72"/>
  <c r="EU665" i="72" s="1"/>
  <c r="I559" i="72"/>
  <c r="Q665" i="72" s="1"/>
  <c r="AE559" i="72"/>
  <c r="AQ559" i="72"/>
  <c r="F559" i="72"/>
  <c r="EK665" i="72" s="1"/>
  <c r="AM559" i="72"/>
  <c r="C559" i="72"/>
  <c r="AY665" i="72" s="1"/>
  <c r="CT664" i="72"/>
  <c r="L664" i="72"/>
  <c r="EK664" i="72"/>
  <c r="EP664" i="72"/>
  <c r="Q664" i="72"/>
  <c r="BH664" i="72"/>
  <c r="CY664" i="72"/>
  <c r="CT670" i="82"/>
  <c r="EK670" i="82"/>
  <c r="L670" i="82"/>
  <c r="BC670" i="82"/>
  <c r="H564" i="82"/>
  <c r="BH672" i="82"/>
  <c r="EP672" i="82"/>
  <c r="Q672" i="82"/>
  <c r="CY672" i="82"/>
  <c r="J566" i="82"/>
  <c r="BG702" i="82"/>
  <c r="K702" i="82"/>
  <c r="J575" i="82"/>
  <c r="BL686" i="82"/>
  <c r="P686" i="82"/>
  <c r="P684" i="82"/>
  <c r="BL684" i="82"/>
  <c r="J573" i="82"/>
  <c r="BL691" i="82"/>
  <c r="P691" i="82"/>
  <c r="J580" i="82"/>
  <c r="BQ685" i="82"/>
  <c r="U685" i="82"/>
  <c r="BG694" i="82"/>
  <c r="K694" i="82"/>
  <c r="U698" i="82"/>
  <c r="BQ698" i="82"/>
  <c r="N587" i="82"/>
  <c r="EG675" i="82"/>
  <c r="H675" i="82"/>
  <c r="AY675" i="82"/>
  <c r="CL675" i="82"/>
  <c r="D675" i="82"/>
  <c r="CP675" i="82"/>
  <c r="AU675" i="82"/>
  <c r="EC675" i="82"/>
  <c r="E569" i="82"/>
  <c r="BM672" i="82"/>
  <c r="DD672" i="82"/>
  <c r="V672" i="82"/>
  <c r="EU672" i="82"/>
  <c r="P700" i="82"/>
  <c r="BL700" i="82"/>
  <c r="J589" i="82"/>
  <c r="F688" i="82"/>
  <c r="BB688" i="82"/>
  <c r="P683" i="82"/>
  <c r="BL683" i="82"/>
  <c r="AY673" i="82"/>
  <c r="EC673" i="82"/>
  <c r="AU673" i="82"/>
  <c r="H673" i="82"/>
  <c r="EG673" i="82"/>
  <c r="CP673" i="82"/>
  <c r="CL673" i="82"/>
  <c r="D673" i="82"/>
  <c r="E567" i="82"/>
  <c r="BB694" i="82"/>
  <c r="F694" i="82"/>
  <c r="E583" i="82"/>
  <c r="P698" i="82"/>
  <c r="J587" i="82"/>
  <c r="BL698" i="82"/>
  <c r="BC675" i="82"/>
  <c r="EK675" i="82"/>
  <c r="L675" i="82"/>
  <c r="CT675" i="82"/>
  <c r="H569" i="82"/>
  <c r="U687" i="82"/>
  <c r="BQ687" i="82"/>
  <c r="N576" i="82"/>
  <c r="U700" i="82"/>
  <c r="BQ700" i="82"/>
  <c r="N589" i="82"/>
  <c r="K688" i="82"/>
  <c r="BG688" i="82"/>
  <c r="H577" i="82"/>
  <c r="BQ683" i="82"/>
  <c r="U683" i="82"/>
  <c r="N572" i="82"/>
  <c r="L673" i="82"/>
  <c r="CT673" i="82"/>
  <c r="BC673" i="82"/>
  <c r="EK673" i="82"/>
  <c r="H567" i="82"/>
  <c r="BL699" i="82"/>
  <c r="P699" i="82"/>
  <c r="J588" i="82"/>
  <c r="K697" i="82"/>
  <c r="BG697" i="82"/>
  <c r="H586" i="82"/>
  <c r="EC671" i="82"/>
  <c r="AY671" i="82"/>
  <c r="CP671" i="82"/>
  <c r="H671" i="82"/>
  <c r="D671" i="82"/>
  <c r="EG671" i="82"/>
  <c r="CL671" i="82"/>
  <c r="AU671" i="82"/>
  <c r="E565" i="82"/>
  <c r="U682" i="82"/>
  <c r="BQ682" i="82"/>
  <c r="N571" i="82"/>
  <c r="BL687" i="82"/>
  <c r="P687" i="82"/>
  <c r="J576" i="82"/>
  <c r="BG701" i="82"/>
  <c r="K701" i="82"/>
  <c r="H590" i="82"/>
  <c r="BH669" i="82"/>
  <c r="Q669" i="82"/>
  <c r="EP669" i="82"/>
  <c r="J563" i="82"/>
  <c r="CY669" i="82"/>
  <c r="BQ699" i="82"/>
  <c r="U699" i="82"/>
  <c r="N588" i="82"/>
  <c r="BB697" i="82"/>
  <c r="F697" i="82"/>
  <c r="E586" i="82"/>
  <c r="EK671" i="82"/>
  <c r="BC671" i="82"/>
  <c r="CT671" i="82"/>
  <c r="L671" i="82"/>
  <c r="J571" i="82"/>
  <c r="BL682" i="82"/>
  <c r="P682" i="82"/>
  <c r="BB689" i="82"/>
  <c r="F689" i="82"/>
  <c r="E578" i="82"/>
  <c r="P702" i="82"/>
  <c r="BL702" i="82"/>
  <c r="EU669" i="82"/>
  <c r="V669" i="82"/>
  <c r="DD669" i="82"/>
  <c r="BM669" i="82"/>
  <c r="N563" i="82"/>
  <c r="P692" i="82"/>
  <c r="BL692" i="82"/>
  <c r="J581" i="82"/>
  <c r="BB693" i="82"/>
  <c r="F693" i="82"/>
  <c r="E582" i="82"/>
  <c r="K689" i="82"/>
  <c r="H578" i="82"/>
  <c r="BG689" i="82"/>
  <c r="V674" i="82"/>
  <c r="DD674" i="82"/>
  <c r="EU674" i="82"/>
  <c r="BM674" i="82"/>
  <c r="N568" i="82"/>
  <c r="BG695" i="82"/>
  <c r="K695" i="82"/>
  <c r="H584" i="82"/>
  <c r="BB701" i="82"/>
  <c r="F701" i="82"/>
  <c r="E590" i="82"/>
  <c r="BQ692" i="82"/>
  <c r="U692" i="82"/>
  <c r="N581" i="82"/>
  <c r="K693" i="82"/>
  <c r="BG693" i="82"/>
  <c r="H582" i="82"/>
  <c r="BB702" i="82"/>
  <c r="F702" i="82"/>
  <c r="E591" i="82"/>
  <c r="EP674" i="82"/>
  <c r="Q674" i="82"/>
  <c r="BH674" i="82"/>
  <c r="CY674" i="82"/>
  <c r="J568" i="82"/>
  <c r="BB695" i="82"/>
  <c r="F695" i="82"/>
  <c r="E584" i="82"/>
  <c r="BL690" i="82"/>
  <c r="P690" i="82"/>
  <c r="J579" i="82"/>
  <c r="EP676" i="82"/>
  <c r="J570" i="82"/>
  <c r="Q676" i="82"/>
  <c r="BH676" i="82"/>
  <c r="CY676" i="82"/>
  <c r="CL670" i="82"/>
  <c r="CP670" i="82"/>
  <c r="D670" i="82"/>
  <c r="AY670" i="82"/>
  <c r="AU670" i="82"/>
  <c r="EC670" i="82"/>
  <c r="H670" i="82"/>
  <c r="EG670" i="82"/>
  <c r="E564" i="82"/>
  <c r="C592" i="82"/>
  <c r="AV592" i="82"/>
  <c r="F592" i="82"/>
  <c r="AE592" i="82"/>
  <c r="B593" i="82"/>
  <c r="AI592" i="82"/>
  <c r="I592" i="82"/>
  <c r="L592" i="82"/>
  <c r="AM592" i="82"/>
  <c r="AQ592" i="82"/>
  <c r="U702" i="82"/>
  <c r="N591" i="82"/>
  <c r="BQ702" i="82"/>
  <c r="U686" i="82"/>
  <c r="BQ686" i="82"/>
  <c r="N575" i="82"/>
  <c r="BQ684" i="82"/>
  <c r="U684" i="82"/>
  <c r="N573" i="82"/>
  <c r="BQ691" i="82"/>
  <c r="U691" i="82"/>
  <c r="N580" i="82"/>
  <c r="P685" i="82"/>
  <c r="J574" i="82"/>
  <c r="BL685" i="82"/>
  <c r="U690" i="82"/>
  <c r="BQ690" i="82"/>
  <c r="N579" i="82"/>
  <c r="DD676" i="82"/>
  <c r="EU676" i="82"/>
  <c r="BM676" i="82"/>
  <c r="V676" i="82"/>
  <c r="C23" i="73"/>
  <c r="B17" i="73"/>
  <c r="C59" i="73" s="1"/>
  <c r="CF760" i="72"/>
  <c r="CG760" i="72" s="1"/>
  <c r="CF752" i="72"/>
  <c r="CG752" i="72" s="1"/>
  <c r="CF744" i="72"/>
  <c r="CG744" i="72" s="1"/>
  <c r="CF736" i="72"/>
  <c r="CG736" i="72" s="1"/>
  <c r="CF728" i="72"/>
  <c r="CG728" i="72" s="1"/>
  <c r="CF720" i="72"/>
  <c r="CG720" i="72" s="1"/>
  <c r="CF712" i="72"/>
  <c r="CG712" i="72" s="1"/>
  <c r="CF704" i="72"/>
  <c r="CG704" i="72" s="1"/>
  <c r="CF696" i="72"/>
  <c r="CG696" i="72" s="1"/>
  <c r="CF688" i="72"/>
  <c r="CG688" i="72" s="1"/>
  <c r="CF733" i="72"/>
  <c r="CG733" i="72" s="1"/>
  <c r="CF730" i="72"/>
  <c r="CG730" i="72" s="1"/>
  <c r="CF727" i="72"/>
  <c r="CG727" i="72" s="1"/>
  <c r="CF724" i="72"/>
  <c r="CG724" i="72" s="1"/>
  <c r="CF721" i="72"/>
  <c r="CG721" i="72" s="1"/>
  <c r="CF718" i="72"/>
  <c r="CG718" i="72" s="1"/>
  <c r="CF715" i="72"/>
  <c r="CG715" i="72" s="1"/>
  <c r="CF766" i="72"/>
  <c r="CG766" i="72" s="1"/>
  <c r="CF763" i="72"/>
  <c r="CG763" i="72" s="1"/>
  <c r="CF717" i="72"/>
  <c r="CG717" i="72" s="1"/>
  <c r="CF714" i="72"/>
  <c r="CG714" i="72" s="1"/>
  <c r="CF711" i="72"/>
  <c r="CG711" i="72" s="1"/>
  <c r="CF708" i="72"/>
  <c r="CG708" i="72" s="1"/>
  <c r="CF705" i="72"/>
  <c r="CG705" i="72" s="1"/>
  <c r="CF702" i="72"/>
  <c r="CG702" i="72" s="1"/>
  <c r="CF699" i="72"/>
  <c r="CG699" i="72" s="1"/>
  <c r="CF741" i="72"/>
  <c r="CG741" i="72" s="1"/>
  <c r="CF738" i="72"/>
  <c r="CG738" i="72" s="1"/>
  <c r="CF735" i="72"/>
  <c r="CG735" i="72" s="1"/>
  <c r="CF732" i="72"/>
  <c r="CG732" i="72" s="1"/>
  <c r="CF729" i="72"/>
  <c r="CG729" i="72" s="1"/>
  <c r="CF726" i="72"/>
  <c r="CG726" i="72" s="1"/>
  <c r="CF723" i="72"/>
  <c r="CG723" i="72" s="1"/>
  <c r="CF765" i="72"/>
  <c r="CG765" i="72" s="1"/>
  <c r="CF762" i="72"/>
  <c r="CG762" i="72" s="1"/>
  <c r="CF759" i="72"/>
  <c r="CG759" i="72" s="1"/>
  <c r="CF756" i="72"/>
  <c r="CG756" i="72" s="1"/>
  <c r="CF753" i="72"/>
  <c r="CG753" i="72" s="1"/>
  <c r="CF750" i="72"/>
  <c r="CG750" i="72" s="1"/>
  <c r="CF747" i="72"/>
  <c r="CG747" i="72" s="1"/>
  <c r="CF701" i="72"/>
  <c r="CG701" i="72" s="1"/>
  <c r="CF698" i="72"/>
  <c r="CG698" i="72" s="1"/>
  <c r="CF695" i="72"/>
  <c r="CG695" i="72" s="1"/>
  <c r="CF692" i="72"/>
  <c r="CG692" i="72" s="1"/>
  <c r="CF689" i="72"/>
  <c r="CG689" i="72" s="1"/>
  <c r="CF686" i="72"/>
  <c r="CG686" i="72" s="1"/>
  <c r="CF683" i="72"/>
  <c r="CG683" i="72" s="1"/>
  <c r="CF725" i="72"/>
  <c r="CG725" i="72" s="1"/>
  <c r="CF722" i="72"/>
  <c r="CG722" i="72" s="1"/>
  <c r="CF719" i="72"/>
  <c r="CG719" i="72" s="1"/>
  <c r="CF716" i="72"/>
  <c r="CG716" i="72" s="1"/>
  <c r="CF713" i="72"/>
  <c r="CG713" i="72" s="1"/>
  <c r="CF710" i="72"/>
  <c r="CG710" i="72" s="1"/>
  <c r="CF707" i="72"/>
  <c r="CG707" i="72" s="1"/>
  <c r="CF755" i="72"/>
  <c r="CG755" i="72" s="1"/>
  <c r="CF746" i="72"/>
  <c r="CG746" i="72" s="1"/>
  <c r="CF739" i="72"/>
  <c r="CG739" i="72" s="1"/>
  <c r="CF706" i="72"/>
  <c r="CG706" i="72" s="1"/>
  <c r="CF690" i="72"/>
  <c r="CG690" i="72" s="1"/>
  <c r="CF761" i="72"/>
  <c r="CG761" i="72" s="1"/>
  <c r="CF745" i="72"/>
  <c r="CG745" i="72" s="1"/>
  <c r="CF682" i="72"/>
  <c r="CG682" i="72" s="1"/>
  <c r="CF743" i="72"/>
  <c r="CG743" i="72" s="1"/>
  <c r="CF703" i="72"/>
  <c r="CG703" i="72" s="1"/>
  <c r="CF687" i="72"/>
  <c r="CG687" i="72" s="1"/>
  <c r="CF751" i="72"/>
  <c r="CG751" i="72" s="1"/>
  <c r="CF734" i="72"/>
  <c r="CG734" i="72" s="1"/>
  <c r="CF694" i="72"/>
  <c r="CG694" i="72" s="1"/>
  <c r="CF685" i="72"/>
  <c r="CG685" i="72" s="1"/>
  <c r="CF758" i="72"/>
  <c r="CG758" i="72" s="1"/>
  <c r="CF749" i="72"/>
  <c r="CG749" i="72" s="1"/>
  <c r="CF742" i="72"/>
  <c r="CG742" i="72" s="1"/>
  <c r="CF709" i="72"/>
  <c r="CG709" i="72" s="1"/>
  <c r="CF693" i="72"/>
  <c r="CG693" i="72" s="1"/>
  <c r="CF757" i="72"/>
  <c r="CG757" i="72" s="1"/>
  <c r="CF740" i="72"/>
  <c r="CG740" i="72" s="1"/>
  <c r="CF700" i="72"/>
  <c r="CG700" i="72" s="1"/>
  <c r="CF684" i="72"/>
  <c r="CG684" i="72" s="1"/>
  <c r="CF764" i="72"/>
  <c r="CG764" i="72" s="1"/>
  <c r="CF748" i="72"/>
  <c r="CG748" i="72" s="1"/>
  <c r="CF731" i="72"/>
  <c r="CG731" i="72" s="1"/>
  <c r="CF691" i="72"/>
  <c r="CG691" i="72" s="1"/>
  <c r="CF754" i="72"/>
  <c r="CG754" i="72" s="1"/>
  <c r="CF737" i="72"/>
  <c r="CG737" i="72" s="1"/>
  <c r="CF697" i="72"/>
  <c r="CG697" i="72" s="1"/>
  <c r="AJ685" i="72"/>
  <c r="AK685" i="72" s="1"/>
  <c r="AJ693" i="72"/>
  <c r="AK693" i="72" s="1"/>
  <c r="AJ701" i="72"/>
  <c r="AK701" i="72" s="1"/>
  <c r="AJ709" i="72"/>
  <c r="AK709" i="72" s="1"/>
  <c r="AJ717" i="72"/>
  <c r="AK717" i="72" s="1"/>
  <c r="AJ725" i="72"/>
  <c r="AK725" i="72" s="1"/>
  <c r="AJ733" i="72"/>
  <c r="AK733" i="72" s="1"/>
  <c r="AJ741" i="72"/>
  <c r="AK741" i="72" s="1"/>
  <c r="AJ749" i="72"/>
  <c r="AK749" i="72" s="1"/>
  <c r="AJ757" i="72"/>
  <c r="AK757" i="72" s="1"/>
  <c r="AJ765" i="72"/>
  <c r="AK765" i="72" s="1"/>
  <c r="AJ734" i="72"/>
  <c r="AK734" i="72" s="1"/>
  <c r="AJ687" i="72"/>
  <c r="AK687" i="72" s="1"/>
  <c r="AJ695" i="72"/>
  <c r="AK695" i="72" s="1"/>
  <c r="AJ703" i="72"/>
  <c r="AK703" i="72" s="1"/>
  <c r="AJ711" i="72"/>
  <c r="AK711" i="72" s="1"/>
  <c r="AJ719" i="72"/>
  <c r="AK719" i="72" s="1"/>
  <c r="AJ727" i="72"/>
  <c r="AK727" i="72" s="1"/>
  <c r="AJ735" i="72"/>
  <c r="AK735" i="72" s="1"/>
  <c r="AJ743" i="72"/>
  <c r="AK743" i="72" s="1"/>
  <c r="AJ751" i="72"/>
  <c r="AK751" i="72" s="1"/>
  <c r="AJ759" i="72"/>
  <c r="AK759" i="72" s="1"/>
  <c r="AJ706" i="72"/>
  <c r="AK706" i="72" s="1"/>
  <c r="AJ738" i="72"/>
  <c r="AK738" i="72" s="1"/>
  <c r="AJ762" i="72"/>
  <c r="AK762" i="72" s="1"/>
  <c r="AJ694" i="72"/>
  <c r="AK694" i="72" s="1"/>
  <c r="AJ718" i="72"/>
  <c r="AK718" i="72" s="1"/>
  <c r="AJ750" i="72"/>
  <c r="AK750" i="72" s="1"/>
  <c r="AJ766" i="72"/>
  <c r="AK766" i="72" s="1"/>
  <c r="AJ688" i="72"/>
  <c r="AK688" i="72" s="1"/>
  <c r="AJ696" i="72"/>
  <c r="AK696" i="72" s="1"/>
  <c r="AJ704" i="72"/>
  <c r="AK704" i="72" s="1"/>
  <c r="AJ712" i="72"/>
  <c r="AK712" i="72" s="1"/>
  <c r="AJ720" i="72"/>
  <c r="AK720" i="72" s="1"/>
  <c r="AJ728" i="72"/>
  <c r="AK728" i="72" s="1"/>
  <c r="AJ736" i="72"/>
  <c r="AK736" i="72" s="1"/>
  <c r="AJ744" i="72"/>
  <c r="AK744" i="72" s="1"/>
  <c r="AJ752" i="72"/>
  <c r="AK752" i="72" s="1"/>
  <c r="AJ760" i="72"/>
  <c r="AK760" i="72" s="1"/>
  <c r="AJ689" i="72"/>
  <c r="AK689" i="72" s="1"/>
  <c r="AJ697" i="72"/>
  <c r="AK697" i="72" s="1"/>
  <c r="AJ713" i="72"/>
  <c r="AK713" i="72" s="1"/>
  <c r="AJ721" i="72"/>
  <c r="AK721" i="72" s="1"/>
  <c r="AJ729" i="72"/>
  <c r="AK729" i="72" s="1"/>
  <c r="AJ737" i="72"/>
  <c r="AK737" i="72" s="1"/>
  <c r="AJ745" i="72"/>
  <c r="AK745" i="72" s="1"/>
  <c r="AJ753" i="72"/>
  <c r="AK753" i="72" s="1"/>
  <c r="AJ761" i="72"/>
  <c r="AK761" i="72" s="1"/>
  <c r="AJ682" i="72"/>
  <c r="AK682" i="72" s="1"/>
  <c r="AJ698" i="72"/>
  <c r="AK698" i="72" s="1"/>
  <c r="AJ714" i="72"/>
  <c r="AK714" i="72" s="1"/>
  <c r="AJ722" i="72"/>
  <c r="AK722" i="72" s="1"/>
  <c r="AJ730" i="72"/>
  <c r="AK730" i="72" s="1"/>
  <c r="AJ746" i="72"/>
  <c r="AK746" i="72" s="1"/>
  <c r="AJ754" i="72"/>
  <c r="AK754" i="72" s="1"/>
  <c r="AJ683" i="72"/>
  <c r="AK683" i="72" s="1"/>
  <c r="AJ691" i="72"/>
  <c r="AK691" i="72" s="1"/>
  <c r="AJ699" i="72"/>
  <c r="AK699" i="72" s="1"/>
  <c r="AJ707" i="72"/>
  <c r="AK707" i="72" s="1"/>
  <c r="AJ715" i="72"/>
  <c r="AK715" i="72" s="1"/>
  <c r="AJ723" i="72"/>
  <c r="AK723" i="72" s="1"/>
  <c r="AJ731" i="72"/>
  <c r="AK731" i="72" s="1"/>
  <c r="AJ739" i="72"/>
  <c r="AK739" i="72" s="1"/>
  <c r="AJ747" i="72"/>
  <c r="AK747" i="72" s="1"/>
  <c r="AJ755" i="72"/>
  <c r="AK755" i="72" s="1"/>
  <c r="AJ763" i="72"/>
  <c r="AK763" i="72" s="1"/>
  <c r="AJ684" i="72"/>
  <c r="AK684" i="72" s="1"/>
  <c r="AJ692" i="72"/>
  <c r="AK692" i="72" s="1"/>
  <c r="AJ700" i="72"/>
  <c r="AK700" i="72" s="1"/>
  <c r="AJ708" i="72"/>
  <c r="AK708" i="72" s="1"/>
  <c r="AJ716" i="72"/>
  <c r="AK716" i="72" s="1"/>
  <c r="AJ724" i="72"/>
  <c r="AK724" i="72" s="1"/>
  <c r="AJ732" i="72"/>
  <c r="AK732" i="72" s="1"/>
  <c r="AJ740" i="72"/>
  <c r="AK740" i="72" s="1"/>
  <c r="AJ748" i="72"/>
  <c r="AK748" i="72" s="1"/>
  <c r="AJ764" i="72"/>
  <c r="AK764" i="72" s="1"/>
  <c r="AJ686" i="72"/>
  <c r="AK686" i="72" s="1"/>
  <c r="AJ702" i="72"/>
  <c r="AK702" i="72" s="1"/>
  <c r="AJ710" i="72"/>
  <c r="AK710" i="72" s="1"/>
  <c r="AJ726" i="72"/>
  <c r="AK726" i="72" s="1"/>
  <c r="AJ742" i="72"/>
  <c r="AK742" i="72" s="1"/>
  <c r="AJ758" i="72"/>
  <c r="AK758" i="72" s="1"/>
  <c r="AJ705" i="72"/>
  <c r="AK705" i="72" s="1"/>
  <c r="AJ690" i="72"/>
  <c r="AK690" i="72" s="1"/>
  <c r="AJ756" i="72"/>
  <c r="AK756" i="72" s="1"/>
  <c r="D556" i="72"/>
  <c r="EB662" i="72" s="1"/>
  <c r="BW690" i="72"/>
  <c r="BX690" i="72" s="1"/>
  <c r="BW698" i="72"/>
  <c r="BX698" i="72" s="1"/>
  <c r="BW706" i="72"/>
  <c r="BX706" i="72" s="1"/>
  <c r="BW714" i="72"/>
  <c r="BX714" i="72" s="1"/>
  <c r="BW722" i="72"/>
  <c r="BX722" i="72" s="1"/>
  <c r="BW730" i="72"/>
  <c r="BX730" i="72" s="1"/>
  <c r="BW738" i="72"/>
  <c r="BX738" i="72" s="1"/>
  <c r="BW746" i="72"/>
  <c r="BX746" i="72" s="1"/>
  <c r="BW754" i="72"/>
  <c r="BX754" i="72" s="1"/>
  <c r="BW762" i="72"/>
  <c r="BX762" i="72" s="1"/>
  <c r="BW683" i="72"/>
  <c r="BX683" i="72" s="1"/>
  <c r="BW692" i="72"/>
  <c r="BX692" i="72" s="1"/>
  <c r="BW701" i="72"/>
  <c r="BX701" i="72" s="1"/>
  <c r="BW710" i="72"/>
  <c r="BX710" i="72" s="1"/>
  <c r="BW684" i="72"/>
  <c r="BX684" i="72" s="1"/>
  <c r="BW693" i="72"/>
  <c r="BX693" i="72" s="1"/>
  <c r="BW702" i="72"/>
  <c r="BX702" i="72" s="1"/>
  <c r="BW711" i="72"/>
  <c r="BX711" i="72" s="1"/>
  <c r="BW720" i="72"/>
  <c r="BX720" i="72" s="1"/>
  <c r="BW729" i="72"/>
  <c r="BX729" i="72" s="1"/>
  <c r="BW739" i="72"/>
  <c r="BX739" i="72" s="1"/>
  <c r="BW748" i="72"/>
  <c r="BX748" i="72" s="1"/>
  <c r="BW757" i="72"/>
  <c r="BX757" i="72" s="1"/>
  <c r="BW766" i="72"/>
  <c r="BX766" i="72" s="1"/>
  <c r="BW686" i="72"/>
  <c r="BX686" i="72" s="1"/>
  <c r="BW695" i="72"/>
  <c r="BX695" i="72" s="1"/>
  <c r="BW704" i="72"/>
  <c r="BX704" i="72" s="1"/>
  <c r="BW713" i="72"/>
  <c r="BX713" i="72" s="1"/>
  <c r="BW723" i="72"/>
  <c r="BX723" i="72" s="1"/>
  <c r="BW732" i="72"/>
  <c r="BX732" i="72" s="1"/>
  <c r="BW741" i="72"/>
  <c r="BX741" i="72" s="1"/>
  <c r="BW750" i="72"/>
  <c r="BX750" i="72" s="1"/>
  <c r="BW759" i="72"/>
  <c r="BX759" i="72" s="1"/>
  <c r="BW687" i="72"/>
  <c r="BX687" i="72" s="1"/>
  <c r="BW696" i="72"/>
  <c r="BX696" i="72" s="1"/>
  <c r="BW705" i="72"/>
  <c r="BX705" i="72" s="1"/>
  <c r="BW715" i="72"/>
  <c r="BX715" i="72" s="1"/>
  <c r="BW724" i="72"/>
  <c r="BX724" i="72" s="1"/>
  <c r="BW733" i="72"/>
  <c r="BX733" i="72" s="1"/>
  <c r="BW742" i="72"/>
  <c r="BX742" i="72" s="1"/>
  <c r="BW751" i="72"/>
  <c r="BX751" i="72" s="1"/>
  <c r="BW760" i="72"/>
  <c r="BX760" i="72" s="1"/>
  <c r="BW688" i="72"/>
  <c r="BX688" i="72" s="1"/>
  <c r="BW697" i="72"/>
  <c r="BX697" i="72" s="1"/>
  <c r="BW707" i="72"/>
  <c r="BX707" i="72" s="1"/>
  <c r="BW716" i="72"/>
  <c r="BX716" i="72" s="1"/>
  <c r="BW725" i="72"/>
  <c r="BX725" i="72" s="1"/>
  <c r="BW734" i="72"/>
  <c r="BX734" i="72" s="1"/>
  <c r="BW743" i="72"/>
  <c r="BX743" i="72" s="1"/>
  <c r="BW752" i="72"/>
  <c r="BX752" i="72" s="1"/>
  <c r="BW761" i="72"/>
  <c r="BX761" i="72" s="1"/>
  <c r="BW689" i="72"/>
  <c r="BX689" i="72" s="1"/>
  <c r="BW699" i="72"/>
  <c r="BX699" i="72" s="1"/>
  <c r="BW708" i="72"/>
  <c r="BX708" i="72" s="1"/>
  <c r="BW717" i="72"/>
  <c r="BX717" i="72" s="1"/>
  <c r="BW726" i="72"/>
  <c r="BX726" i="72" s="1"/>
  <c r="BW735" i="72"/>
  <c r="BX735" i="72" s="1"/>
  <c r="BW744" i="72"/>
  <c r="BX744" i="72" s="1"/>
  <c r="BW753" i="72"/>
  <c r="BX753" i="72" s="1"/>
  <c r="BW763" i="72"/>
  <c r="BX763" i="72" s="1"/>
  <c r="BW700" i="72"/>
  <c r="BX700" i="72" s="1"/>
  <c r="BW728" i="72"/>
  <c r="BX728" i="72" s="1"/>
  <c r="BW755" i="72"/>
  <c r="BX755" i="72" s="1"/>
  <c r="BW709" i="72"/>
  <c r="BX709" i="72" s="1"/>
  <c r="BW736" i="72"/>
  <c r="BX736" i="72" s="1"/>
  <c r="BW758" i="72"/>
  <c r="BX758" i="72" s="1"/>
  <c r="BW747" i="72"/>
  <c r="BX747" i="72" s="1"/>
  <c r="BW749" i="72"/>
  <c r="BX749" i="72" s="1"/>
  <c r="BW712" i="72"/>
  <c r="BX712" i="72" s="1"/>
  <c r="BW737" i="72"/>
  <c r="BX737" i="72" s="1"/>
  <c r="BW764" i="72"/>
  <c r="BX764" i="72" s="1"/>
  <c r="BW718" i="72"/>
  <c r="BX718" i="72" s="1"/>
  <c r="BW740" i="72"/>
  <c r="BX740" i="72" s="1"/>
  <c r="BW765" i="72"/>
  <c r="BX765" i="72" s="1"/>
  <c r="BW685" i="72"/>
  <c r="BX685" i="72" s="1"/>
  <c r="BW719" i="72"/>
  <c r="BX719" i="72" s="1"/>
  <c r="BW745" i="72"/>
  <c r="BX745" i="72" s="1"/>
  <c r="BW682" i="72"/>
  <c r="BX682" i="72" s="1"/>
  <c r="BW691" i="72"/>
  <c r="BX691" i="72" s="1"/>
  <c r="BW721" i="72"/>
  <c r="BX721" i="72" s="1"/>
  <c r="BW694" i="72"/>
  <c r="BX694" i="72" s="1"/>
  <c r="BW727" i="72"/>
  <c r="BX727" i="72" s="1"/>
  <c r="BW703" i="72"/>
  <c r="BX703" i="72" s="1"/>
  <c r="BW731" i="72"/>
  <c r="BX731" i="72" s="1"/>
  <c r="BW756" i="72"/>
  <c r="BX756" i="72" s="1"/>
  <c r="BZ766" i="72"/>
  <c r="CA766" i="72" s="1"/>
  <c r="BZ758" i="72"/>
  <c r="CA758" i="72" s="1"/>
  <c r="BZ750" i="72"/>
  <c r="CA750" i="72" s="1"/>
  <c r="BZ742" i="72"/>
  <c r="CA742" i="72" s="1"/>
  <c r="BZ734" i="72"/>
  <c r="CA734" i="72" s="1"/>
  <c r="BZ726" i="72"/>
  <c r="CA726" i="72" s="1"/>
  <c r="BZ718" i="72"/>
  <c r="CA718" i="72" s="1"/>
  <c r="BZ710" i="72"/>
  <c r="CA710" i="72" s="1"/>
  <c r="BZ702" i="72"/>
  <c r="CA702" i="72" s="1"/>
  <c r="BZ694" i="72"/>
  <c r="CA694" i="72" s="1"/>
  <c r="BZ686" i="72"/>
  <c r="CA686" i="72" s="1"/>
  <c r="BZ755" i="72"/>
  <c r="CA755" i="72" s="1"/>
  <c r="BZ752" i="72"/>
  <c r="CA752" i="72" s="1"/>
  <c r="BZ749" i="72"/>
  <c r="CA749" i="72" s="1"/>
  <c r="BZ746" i="72"/>
  <c r="CA746" i="72" s="1"/>
  <c r="BZ743" i="72"/>
  <c r="CA743" i="72" s="1"/>
  <c r="BZ740" i="72"/>
  <c r="CA740" i="72" s="1"/>
  <c r="BZ737" i="72"/>
  <c r="CA737" i="72" s="1"/>
  <c r="BZ691" i="72"/>
  <c r="CA691" i="72" s="1"/>
  <c r="BZ688" i="72"/>
  <c r="CA688" i="72" s="1"/>
  <c r="BZ685" i="72"/>
  <c r="CA685" i="72" s="1"/>
  <c r="BZ682" i="72"/>
  <c r="BZ739" i="72"/>
  <c r="CA739" i="72" s="1"/>
  <c r="BZ736" i="72"/>
  <c r="CA736" i="72" s="1"/>
  <c r="BZ733" i="72"/>
  <c r="CA733" i="72" s="1"/>
  <c r="BZ730" i="72"/>
  <c r="CA730" i="72" s="1"/>
  <c r="BZ727" i="72"/>
  <c r="CA727" i="72" s="1"/>
  <c r="BZ724" i="72"/>
  <c r="CA724" i="72" s="1"/>
  <c r="BZ721" i="72"/>
  <c r="CA721" i="72" s="1"/>
  <c r="BZ763" i="72"/>
  <c r="CA763" i="72" s="1"/>
  <c r="BZ760" i="72"/>
  <c r="CA760" i="72" s="1"/>
  <c r="BZ757" i="72"/>
  <c r="CA757" i="72" s="1"/>
  <c r="BZ754" i="72"/>
  <c r="CA754" i="72" s="1"/>
  <c r="BZ751" i="72"/>
  <c r="CA751" i="72" s="1"/>
  <c r="BZ748" i="72"/>
  <c r="CA748" i="72" s="1"/>
  <c r="BZ745" i="72"/>
  <c r="CA745" i="72" s="1"/>
  <c r="BZ699" i="72"/>
  <c r="CA699" i="72" s="1"/>
  <c r="BZ696" i="72"/>
  <c r="CA696" i="72" s="1"/>
  <c r="BZ693" i="72"/>
  <c r="CA693" i="72" s="1"/>
  <c r="BZ690" i="72"/>
  <c r="CA690" i="72" s="1"/>
  <c r="BZ687" i="72"/>
  <c r="CA687" i="72" s="1"/>
  <c r="BZ684" i="72"/>
  <c r="CA684" i="72" s="1"/>
  <c r="BZ723" i="72"/>
  <c r="CA723" i="72" s="1"/>
  <c r="BZ720" i="72"/>
  <c r="CA720" i="72" s="1"/>
  <c r="BZ717" i="72"/>
  <c r="CA717" i="72" s="1"/>
  <c r="BZ714" i="72"/>
  <c r="CA714" i="72" s="1"/>
  <c r="BZ711" i="72"/>
  <c r="CA711" i="72" s="1"/>
  <c r="BZ708" i="72"/>
  <c r="CA708" i="72" s="1"/>
  <c r="BZ705" i="72"/>
  <c r="CA705" i="72" s="1"/>
  <c r="BZ747" i="72"/>
  <c r="CA747" i="72" s="1"/>
  <c r="BZ744" i="72"/>
  <c r="CA744" i="72" s="1"/>
  <c r="BZ741" i="72"/>
  <c r="CA741" i="72" s="1"/>
  <c r="BZ738" i="72"/>
  <c r="CA738" i="72" s="1"/>
  <c r="BZ735" i="72"/>
  <c r="CA735" i="72" s="1"/>
  <c r="BZ732" i="72"/>
  <c r="CA732" i="72" s="1"/>
  <c r="BZ729" i="72"/>
  <c r="CA729" i="72" s="1"/>
  <c r="BZ683" i="72"/>
  <c r="CA683" i="72" s="1"/>
  <c r="BZ764" i="72"/>
  <c r="CA764" i="72" s="1"/>
  <c r="BZ731" i="72"/>
  <c r="CA731" i="72" s="1"/>
  <c r="BZ715" i="72"/>
  <c r="CA715" i="72" s="1"/>
  <c r="BZ698" i="72"/>
  <c r="CA698" i="72" s="1"/>
  <c r="BZ753" i="72"/>
  <c r="CA753" i="72" s="1"/>
  <c r="BZ713" i="72"/>
  <c r="CA713" i="72" s="1"/>
  <c r="BZ704" i="72"/>
  <c r="CA704" i="72" s="1"/>
  <c r="BZ697" i="72"/>
  <c r="CA697" i="72" s="1"/>
  <c r="BZ722" i="72"/>
  <c r="CA722" i="72" s="1"/>
  <c r="BZ761" i="72"/>
  <c r="CA761" i="72" s="1"/>
  <c r="BZ728" i="72"/>
  <c r="CA728" i="72" s="1"/>
  <c r="BZ712" i="72"/>
  <c r="CA712" i="72" s="1"/>
  <c r="BZ695" i="72"/>
  <c r="CA695" i="72" s="1"/>
  <c r="BZ759" i="72"/>
  <c r="CA759" i="72" s="1"/>
  <c r="BZ719" i="72"/>
  <c r="CA719" i="72" s="1"/>
  <c r="BZ703" i="72"/>
  <c r="CA703" i="72" s="1"/>
  <c r="BZ701" i="72"/>
  <c r="CA701" i="72" s="1"/>
  <c r="BZ765" i="72"/>
  <c r="CA765" i="72" s="1"/>
  <c r="BZ725" i="72"/>
  <c r="CA725" i="72" s="1"/>
  <c r="BZ709" i="72"/>
  <c r="CA709" i="72" s="1"/>
  <c r="BZ692" i="72"/>
  <c r="CA692" i="72" s="1"/>
  <c r="BZ756" i="72"/>
  <c r="CA756" i="72" s="1"/>
  <c r="BZ716" i="72"/>
  <c r="CA716" i="72" s="1"/>
  <c r="BZ707" i="72"/>
  <c r="CA707" i="72" s="1"/>
  <c r="BZ700" i="72"/>
  <c r="CA700" i="72" s="1"/>
  <c r="BZ762" i="72"/>
  <c r="CA762" i="72" s="1"/>
  <c r="BZ706" i="72"/>
  <c r="CA706" i="72" s="1"/>
  <c r="BZ689" i="72"/>
  <c r="CA689" i="72" s="1"/>
  <c r="AD689" i="72"/>
  <c r="AE689" i="72" s="1"/>
  <c r="AD697" i="72"/>
  <c r="AE697" i="72" s="1"/>
  <c r="AD705" i="72"/>
  <c r="AE705" i="72" s="1"/>
  <c r="AD713" i="72"/>
  <c r="AE713" i="72" s="1"/>
  <c r="AD721" i="72"/>
  <c r="AE721" i="72" s="1"/>
  <c r="AD729" i="72"/>
  <c r="AE729" i="72" s="1"/>
  <c r="AD737" i="72"/>
  <c r="AE737" i="72" s="1"/>
  <c r="AD745" i="72"/>
  <c r="AE745" i="72" s="1"/>
  <c r="AD753" i="72"/>
  <c r="AE753" i="72" s="1"/>
  <c r="AD761" i="72"/>
  <c r="AE761" i="72" s="1"/>
  <c r="AD682" i="72"/>
  <c r="AD690" i="72"/>
  <c r="AE690" i="72" s="1"/>
  <c r="AD698" i="72"/>
  <c r="AE698" i="72" s="1"/>
  <c r="AD706" i="72"/>
  <c r="AE706" i="72" s="1"/>
  <c r="AD714" i="72"/>
  <c r="AE714" i="72" s="1"/>
  <c r="AD722" i="72"/>
  <c r="AE722" i="72" s="1"/>
  <c r="AD730" i="72"/>
  <c r="AE730" i="72" s="1"/>
  <c r="AD738" i="72"/>
  <c r="AE738" i="72" s="1"/>
  <c r="AD746" i="72"/>
  <c r="AE746" i="72" s="1"/>
  <c r="AD754" i="72"/>
  <c r="AE754" i="72" s="1"/>
  <c r="AD762" i="72"/>
  <c r="AE762" i="72" s="1"/>
  <c r="AD707" i="72"/>
  <c r="AE707" i="72" s="1"/>
  <c r="AD739" i="72"/>
  <c r="AE739" i="72" s="1"/>
  <c r="AD684" i="72"/>
  <c r="AE684" i="72" s="1"/>
  <c r="AD692" i="72"/>
  <c r="AE692" i="72" s="1"/>
  <c r="AD700" i="72"/>
  <c r="AE700" i="72" s="1"/>
  <c r="AD708" i="72"/>
  <c r="AE708" i="72" s="1"/>
  <c r="AD716" i="72"/>
  <c r="AE716" i="72" s="1"/>
  <c r="AD724" i="72"/>
  <c r="AE724" i="72" s="1"/>
  <c r="AD732" i="72"/>
  <c r="AE732" i="72" s="1"/>
  <c r="AD740" i="72"/>
  <c r="AE740" i="72" s="1"/>
  <c r="AD748" i="72"/>
  <c r="AE748" i="72" s="1"/>
  <c r="AD756" i="72"/>
  <c r="AE756" i="72" s="1"/>
  <c r="AD764" i="72"/>
  <c r="AE764" i="72" s="1"/>
  <c r="AD686" i="72"/>
  <c r="AE686" i="72" s="1"/>
  <c r="AD702" i="72"/>
  <c r="AE702" i="72" s="1"/>
  <c r="AD710" i="72"/>
  <c r="AE710" i="72" s="1"/>
  <c r="AD718" i="72"/>
  <c r="AE718" i="72" s="1"/>
  <c r="AD726" i="72"/>
  <c r="AE726" i="72" s="1"/>
  <c r="AD734" i="72"/>
  <c r="AE734" i="72" s="1"/>
  <c r="AD750" i="72"/>
  <c r="AE750" i="72" s="1"/>
  <c r="AD758" i="72"/>
  <c r="AE758" i="72" s="1"/>
  <c r="AD766" i="72"/>
  <c r="AE766" i="72" s="1"/>
  <c r="AD687" i="72"/>
  <c r="AE687" i="72" s="1"/>
  <c r="AD703" i="72"/>
  <c r="AE703" i="72" s="1"/>
  <c r="AD711" i="72"/>
  <c r="AE711" i="72" s="1"/>
  <c r="AD719" i="72"/>
  <c r="AE719" i="72" s="1"/>
  <c r="AD727" i="72"/>
  <c r="AE727" i="72" s="1"/>
  <c r="AD743" i="72"/>
  <c r="AE743" i="72" s="1"/>
  <c r="AD751" i="72"/>
  <c r="AE751" i="72" s="1"/>
  <c r="AD759" i="72"/>
  <c r="AE759" i="72" s="1"/>
  <c r="AD688" i="72"/>
  <c r="AE688" i="72" s="1"/>
  <c r="AD704" i="72"/>
  <c r="AE704" i="72" s="1"/>
  <c r="AD712" i="72"/>
  <c r="AE712" i="72" s="1"/>
  <c r="AD720" i="72"/>
  <c r="AE720" i="72" s="1"/>
  <c r="AD728" i="72"/>
  <c r="AE728" i="72" s="1"/>
  <c r="AD744" i="72"/>
  <c r="AE744" i="72" s="1"/>
  <c r="AD752" i="72"/>
  <c r="AE752" i="72" s="1"/>
  <c r="AD760" i="72"/>
  <c r="AE760" i="72" s="1"/>
  <c r="AD683" i="72"/>
  <c r="AE683" i="72" s="1"/>
  <c r="AD691" i="72"/>
  <c r="AE691" i="72" s="1"/>
  <c r="AD699" i="72"/>
  <c r="AE699" i="72" s="1"/>
  <c r="AD715" i="72"/>
  <c r="AE715" i="72" s="1"/>
  <c r="AD723" i="72"/>
  <c r="AE723" i="72" s="1"/>
  <c r="AD731" i="72"/>
  <c r="AE731" i="72" s="1"/>
  <c r="AD747" i="72"/>
  <c r="AE747" i="72" s="1"/>
  <c r="AD755" i="72"/>
  <c r="AE755" i="72" s="1"/>
  <c r="AD685" i="72"/>
  <c r="AE685" i="72" s="1"/>
  <c r="AD693" i="72"/>
  <c r="AE693" i="72" s="1"/>
  <c r="AD701" i="72"/>
  <c r="AE701" i="72" s="1"/>
  <c r="AD709" i="72"/>
  <c r="AE709" i="72" s="1"/>
  <c r="AD717" i="72"/>
  <c r="AE717" i="72" s="1"/>
  <c r="AD725" i="72"/>
  <c r="AE725" i="72" s="1"/>
  <c r="AD733" i="72"/>
  <c r="AE733" i="72" s="1"/>
  <c r="AD741" i="72"/>
  <c r="AE741" i="72" s="1"/>
  <c r="AD749" i="72"/>
  <c r="AE749" i="72" s="1"/>
  <c r="AD757" i="72"/>
  <c r="AE757" i="72" s="1"/>
  <c r="AD765" i="72"/>
  <c r="AE765" i="72" s="1"/>
  <c r="AD694" i="72"/>
  <c r="AE694" i="72" s="1"/>
  <c r="AD742" i="72"/>
  <c r="AE742" i="72" s="1"/>
  <c r="AD695" i="72"/>
  <c r="AE695" i="72" s="1"/>
  <c r="AD735" i="72"/>
  <c r="AE735" i="72" s="1"/>
  <c r="AD696" i="72"/>
  <c r="AE696" i="72" s="1"/>
  <c r="AD736" i="72"/>
  <c r="AE736" i="72" s="1"/>
  <c r="AD763" i="72"/>
  <c r="AE763" i="72" s="1"/>
  <c r="CC763" i="72"/>
  <c r="CD763" i="72" s="1"/>
  <c r="CC755" i="72"/>
  <c r="CD755" i="72" s="1"/>
  <c r="CC747" i="72"/>
  <c r="CD747" i="72" s="1"/>
  <c r="CC739" i="72"/>
  <c r="CD739" i="72" s="1"/>
  <c r="CC731" i="72"/>
  <c r="CD731" i="72" s="1"/>
  <c r="CC723" i="72"/>
  <c r="CD723" i="72" s="1"/>
  <c r="CC715" i="72"/>
  <c r="CD715" i="72" s="1"/>
  <c r="CC707" i="72"/>
  <c r="CD707" i="72" s="1"/>
  <c r="CC699" i="72"/>
  <c r="CD699" i="72" s="1"/>
  <c r="CC691" i="72"/>
  <c r="CD691" i="72" s="1"/>
  <c r="CC683" i="72"/>
  <c r="CD683" i="72" s="1"/>
  <c r="CC764" i="72"/>
  <c r="CD764" i="72" s="1"/>
  <c r="CC761" i="72"/>
  <c r="CD761" i="72" s="1"/>
  <c r="CC758" i="72"/>
  <c r="CD758" i="72" s="1"/>
  <c r="CC712" i="72"/>
  <c r="CD712" i="72" s="1"/>
  <c r="CC709" i="72"/>
  <c r="CD709" i="72" s="1"/>
  <c r="CC706" i="72"/>
  <c r="CD706" i="72" s="1"/>
  <c r="CC703" i="72"/>
  <c r="CD703" i="72" s="1"/>
  <c r="CC700" i="72"/>
  <c r="CD700" i="72" s="1"/>
  <c r="CC697" i="72"/>
  <c r="CD697" i="72" s="1"/>
  <c r="CC694" i="72"/>
  <c r="CD694" i="72" s="1"/>
  <c r="CC760" i="72"/>
  <c r="CD760" i="72" s="1"/>
  <c r="CC757" i="72"/>
  <c r="CD757" i="72" s="1"/>
  <c r="CC754" i="72"/>
  <c r="CD754" i="72" s="1"/>
  <c r="CC751" i="72"/>
  <c r="CD751" i="72" s="1"/>
  <c r="CC748" i="72"/>
  <c r="CD748" i="72" s="1"/>
  <c r="CC745" i="72"/>
  <c r="CD745" i="72" s="1"/>
  <c r="CC742" i="72"/>
  <c r="CD742" i="72" s="1"/>
  <c r="CC696" i="72"/>
  <c r="CD696" i="72" s="1"/>
  <c r="CC693" i="72"/>
  <c r="CD693" i="72" s="1"/>
  <c r="CC690" i="72"/>
  <c r="CD690" i="72" s="1"/>
  <c r="CC687" i="72"/>
  <c r="CD687" i="72" s="1"/>
  <c r="CC684" i="72"/>
  <c r="CD684" i="72" s="1"/>
  <c r="CC766" i="72"/>
  <c r="CD766" i="72" s="1"/>
  <c r="CC720" i="72"/>
  <c r="CD720" i="72" s="1"/>
  <c r="CC717" i="72"/>
  <c r="CD717" i="72" s="1"/>
  <c r="CC714" i="72"/>
  <c r="CD714" i="72" s="1"/>
  <c r="CC711" i="72"/>
  <c r="CD711" i="72" s="1"/>
  <c r="CC708" i="72"/>
  <c r="CD708" i="72" s="1"/>
  <c r="CC705" i="72"/>
  <c r="CD705" i="72" s="1"/>
  <c r="CC702" i="72"/>
  <c r="CD702" i="72" s="1"/>
  <c r="CC744" i="72"/>
  <c r="CD744" i="72" s="1"/>
  <c r="CC741" i="72"/>
  <c r="CD741" i="72" s="1"/>
  <c r="CC738" i="72"/>
  <c r="CD738" i="72" s="1"/>
  <c r="CC735" i="72"/>
  <c r="CD735" i="72" s="1"/>
  <c r="CC732" i="72"/>
  <c r="CD732" i="72" s="1"/>
  <c r="CC729" i="72"/>
  <c r="CD729" i="72" s="1"/>
  <c r="CC726" i="72"/>
  <c r="CD726" i="72" s="1"/>
  <c r="CC765" i="72"/>
  <c r="CD765" i="72" s="1"/>
  <c r="CC762" i="72"/>
  <c r="CD762" i="72" s="1"/>
  <c r="CC759" i="72"/>
  <c r="CD759" i="72" s="1"/>
  <c r="CC756" i="72"/>
  <c r="CD756" i="72" s="1"/>
  <c r="CC753" i="72"/>
  <c r="CD753" i="72" s="1"/>
  <c r="CC750" i="72"/>
  <c r="CD750" i="72" s="1"/>
  <c r="CC704" i="72"/>
  <c r="CD704" i="72" s="1"/>
  <c r="CC701" i="72"/>
  <c r="CD701" i="72" s="1"/>
  <c r="CC698" i="72"/>
  <c r="CD698" i="72" s="1"/>
  <c r="CC695" i="72"/>
  <c r="CD695" i="72" s="1"/>
  <c r="CC692" i="72"/>
  <c r="CD692" i="72" s="1"/>
  <c r="CC689" i="72"/>
  <c r="CD689" i="72" s="1"/>
  <c r="CC686" i="72"/>
  <c r="CD686" i="72" s="1"/>
  <c r="CC722" i="72"/>
  <c r="CD722" i="72" s="1"/>
  <c r="CC682" i="72"/>
  <c r="CD682" i="72" s="1"/>
  <c r="CC713" i="72"/>
  <c r="CD713" i="72" s="1"/>
  <c r="CC737" i="72"/>
  <c r="CD737" i="72" s="1"/>
  <c r="CC728" i="72"/>
  <c r="CD728" i="72" s="1"/>
  <c r="CC721" i="72"/>
  <c r="CD721" i="72" s="1"/>
  <c r="CC688" i="72"/>
  <c r="CD688" i="72" s="1"/>
  <c r="CC724" i="72"/>
  <c r="CD724" i="72" s="1"/>
  <c r="CC752" i="72"/>
  <c r="CD752" i="72" s="1"/>
  <c r="CC736" i="72"/>
  <c r="CD736" i="72" s="1"/>
  <c r="CC719" i="72"/>
  <c r="CD719" i="72" s="1"/>
  <c r="CC743" i="72"/>
  <c r="CD743" i="72" s="1"/>
  <c r="CC727" i="72"/>
  <c r="CD727" i="72" s="1"/>
  <c r="CC710" i="72"/>
  <c r="CD710" i="72" s="1"/>
  <c r="CC734" i="72"/>
  <c r="CD734" i="72" s="1"/>
  <c r="CC725" i="72"/>
  <c r="CD725" i="72" s="1"/>
  <c r="CC718" i="72"/>
  <c r="CD718" i="72" s="1"/>
  <c r="CC685" i="72"/>
  <c r="CD685" i="72" s="1"/>
  <c r="CC749" i="72"/>
  <c r="CD749" i="72" s="1"/>
  <c r="CC733" i="72"/>
  <c r="CD733" i="72" s="1"/>
  <c r="CC716" i="72"/>
  <c r="CD716" i="72" s="1"/>
  <c r="CC740" i="72"/>
  <c r="CD740" i="72" s="1"/>
  <c r="CC746" i="72"/>
  <c r="CD746" i="72" s="1"/>
  <c r="CC730" i="72"/>
  <c r="CD730" i="72" s="1"/>
  <c r="AG684" i="72"/>
  <c r="AH684" i="72" s="1"/>
  <c r="AG692" i="72"/>
  <c r="AH692" i="72" s="1"/>
  <c r="AG700" i="72"/>
  <c r="AH700" i="72" s="1"/>
  <c r="AG708" i="72"/>
  <c r="AH708" i="72" s="1"/>
  <c r="AG716" i="72"/>
  <c r="AH716" i="72" s="1"/>
  <c r="AG724" i="72"/>
  <c r="AH724" i="72" s="1"/>
  <c r="AG732" i="72"/>
  <c r="AH732" i="72" s="1"/>
  <c r="AG740" i="72"/>
  <c r="AH740" i="72" s="1"/>
  <c r="AG748" i="72"/>
  <c r="AH748" i="72" s="1"/>
  <c r="AG756" i="72"/>
  <c r="AH756" i="72" s="1"/>
  <c r="AG764" i="72"/>
  <c r="AH764" i="72" s="1"/>
  <c r="AG685" i="72"/>
  <c r="AH685" i="72" s="1"/>
  <c r="AG693" i="72"/>
  <c r="AH693" i="72" s="1"/>
  <c r="AG701" i="72"/>
  <c r="AH701" i="72" s="1"/>
  <c r="AG709" i="72"/>
  <c r="AH709" i="72" s="1"/>
  <c r="AG717" i="72"/>
  <c r="AH717" i="72" s="1"/>
  <c r="AG725" i="72"/>
  <c r="AH725" i="72" s="1"/>
  <c r="AG733" i="72"/>
  <c r="AH733" i="72" s="1"/>
  <c r="AG741" i="72"/>
  <c r="AH741" i="72" s="1"/>
  <c r="AG749" i="72"/>
  <c r="AH749" i="72" s="1"/>
  <c r="AG757" i="72"/>
  <c r="AH757" i="72" s="1"/>
  <c r="AG765" i="72"/>
  <c r="AH765" i="72" s="1"/>
  <c r="AG694" i="72"/>
  <c r="AH694" i="72" s="1"/>
  <c r="AG742" i="72"/>
  <c r="AH742" i="72" s="1"/>
  <c r="AG687" i="72"/>
  <c r="AH687" i="72" s="1"/>
  <c r="AG695" i="72"/>
  <c r="AH695" i="72" s="1"/>
  <c r="AG703" i="72"/>
  <c r="AH703" i="72" s="1"/>
  <c r="AG711" i="72"/>
  <c r="AH711" i="72" s="1"/>
  <c r="AG719" i="72"/>
  <c r="AH719" i="72" s="1"/>
  <c r="AG727" i="72"/>
  <c r="AH727" i="72" s="1"/>
  <c r="AG735" i="72"/>
  <c r="AH735" i="72" s="1"/>
  <c r="AG743" i="72"/>
  <c r="AH743" i="72" s="1"/>
  <c r="AG751" i="72"/>
  <c r="AH751" i="72" s="1"/>
  <c r="AG759" i="72"/>
  <c r="AH759" i="72" s="1"/>
  <c r="AG720" i="72"/>
  <c r="AH720" i="72" s="1"/>
  <c r="AG736" i="72"/>
  <c r="AH736" i="72" s="1"/>
  <c r="AG744" i="72"/>
  <c r="AH744" i="72" s="1"/>
  <c r="AG752" i="72"/>
  <c r="AH752" i="72" s="1"/>
  <c r="AG760" i="72"/>
  <c r="AH760" i="72" s="1"/>
  <c r="AG689" i="72"/>
  <c r="AH689" i="72" s="1"/>
  <c r="AG697" i="72"/>
  <c r="AH697" i="72" s="1"/>
  <c r="AG713" i="72"/>
  <c r="AH713" i="72" s="1"/>
  <c r="AG721" i="72"/>
  <c r="AH721" i="72" s="1"/>
  <c r="AG729" i="72"/>
  <c r="AH729" i="72" s="1"/>
  <c r="AG737" i="72"/>
  <c r="AH737" i="72" s="1"/>
  <c r="AG745" i="72"/>
  <c r="AH745" i="72" s="1"/>
  <c r="AG761" i="72"/>
  <c r="AH761" i="72" s="1"/>
  <c r="AG682" i="72"/>
  <c r="AH682" i="72" s="1"/>
  <c r="AG698" i="72"/>
  <c r="AH698" i="72" s="1"/>
  <c r="AG706" i="72"/>
  <c r="AH706" i="72" s="1"/>
  <c r="AG714" i="72"/>
  <c r="AH714" i="72" s="1"/>
  <c r="AG722" i="72"/>
  <c r="AH722" i="72" s="1"/>
  <c r="AG738" i="72"/>
  <c r="AH738" i="72" s="1"/>
  <c r="AG746" i="72"/>
  <c r="AH746" i="72" s="1"/>
  <c r="AG754" i="72"/>
  <c r="AH754" i="72" s="1"/>
  <c r="AG762" i="72"/>
  <c r="AH762" i="72" s="1"/>
  <c r="AG683" i="72"/>
  <c r="AH683" i="72" s="1"/>
  <c r="AG699" i="72"/>
  <c r="AH699" i="72" s="1"/>
  <c r="AG707" i="72"/>
  <c r="AH707" i="72" s="1"/>
  <c r="AG715" i="72"/>
  <c r="AH715" i="72" s="1"/>
  <c r="AG723" i="72"/>
  <c r="AH723" i="72" s="1"/>
  <c r="AG731" i="72"/>
  <c r="AH731" i="72" s="1"/>
  <c r="AG747" i="72"/>
  <c r="AH747" i="72" s="1"/>
  <c r="AG755" i="72"/>
  <c r="AH755" i="72" s="1"/>
  <c r="AG763" i="72"/>
  <c r="AH763" i="72" s="1"/>
  <c r="AG686" i="72"/>
  <c r="AH686" i="72" s="1"/>
  <c r="AG702" i="72"/>
  <c r="AH702" i="72" s="1"/>
  <c r="AG710" i="72"/>
  <c r="AH710" i="72" s="1"/>
  <c r="AG718" i="72"/>
  <c r="AH718" i="72" s="1"/>
  <c r="AG726" i="72"/>
  <c r="AH726" i="72" s="1"/>
  <c r="AG734" i="72"/>
  <c r="AH734" i="72" s="1"/>
  <c r="AG758" i="72"/>
  <c r="AH758" i="72" s="1"/>
  <c r="AG766" i="72"/>
  <c r="AH766" i="72" s="1"/>
  <c r="AG688" i="72"/>
  <c r="AH688" i="72" s="1"/>
  <c r="AG696" i="72"/>
  <c r="AH696" i="72" s="1"/>
  <c r="AG704" i="72"/>
  <c r="AH704" i="72" s="1"/>
  <c r="AG712" i="72"/>
  <c r="AH712" i="72" s="1"/>
  <c r="AG728" i="72"/>
  <c r="AH728" i="72" s="1"/>
  <c r="AG705" i="72"/>
  <c r="AH705" i="72" s="1"/>
  <c r="AG753" i="72"/>
  <c r="AH753" i="72" s="1"/>
  <c r="AG690" i="72"/>
  <c r="AH690" i="72" s="1"/>
  <c r="AG730" i="72"/>
  <c r="AH730" i="72" s="1"/>
  <c r="AG691" i="72"/>
  <c r="AH691" i="72" s="1"/>
  <c r="AG739" i="72"/>
  <c r="AH739" i="72" s="1"/>
  <c r="AG750" i="72"/>
  <c r="AH750" i="72" s="1"/>
  <c r="K557" i="72"/>
  <c r="P663" i="72" s="1"/>
  <c r="G556" i="72"/>
  <c r="CS662" i="72" s="1"/>
  <c r="DU662" i="72" s="1"/>
  <c r="AA686" i="72"/>
  <c r="AB686" i="72" s="1"/>
  <c r="AA694" i="72"/>
  <c r="AB694" i="72" s="1"/>
  <c r="AA702" i="72"/>
  <c r="AB702" i="72" s="1"/>
  <c r="AA710" i="72"/>
  <c r="AB710" i="72" s="1"/>
  <c r="AA718" i="72"/>
  <c r="AB718" i="72" s="1"/>
  <c r="AA726" i="72"/>
  <c r="AB726" i="72" s="1"/>
  <c r="AA734" i="72"/>
  <c r="AB734" i="72" s="1"/>
  <c r="AA742" i="72"/>
  <c r="AB742" i="72" s="1"/>
  <c r="AA750" i="72"/>
  <c r="AB750" i="72" s="1"/>
  <c r="AA758" i="72"/>
  <c r="AB758" i="72" s="1"/>
  <c r="AA766" i="72"/>
  <c r="AB766" i="72" s="1"/>
  <c r="AA687" i="72"/>
  <c r="AB687" i="72" s="1"/>
  <c r="AA695" i="72"/>
  <c r="AB695" i="72" s="1"/>
  <c r="AA703" i="72"/>
  <c r="AB703" i="72" s="1"/>
  <c r="AA711" i="72"/>
  <c r="AB711" i="72" s="1"/>
  <c r="AA719" i="72"/>
  <c r="AB719" i="72" s="1"/>
  <c r="AA727" i="72"/>
  <c r="AB727" i="72" s="1"/>
  <c r="AA735" i="72"/>
  <c r="AB735" i="72" s="1"/>
  <c r="AA743" i="72"/>
  <c r="AB743" i="72" s="1"/>
  <c r="AA751" i="72"/>
  <c r="AB751" i="72" s="1"/>
  <c r="AA759" i="72"/>
  <c r="AB759" i="72" s="1"/>
  <c r="AA688" i="72"/>
  <c r="AB688" i="72" s="1"/>
  <c r="AA696" i="72"/>
  <c r="AB696" i="72" s="1"/>
  <c r="AA704" i="72"/>
  <c r="AB704" i="72" s="1"/>
  <c r="AA712" i="72"/>
  <c r="AB712" i="72" s="1"/>
  <c r="AA720" i="72"/>
  <c r="AB720" i="72" s="1"/>
  <c r="AA736" i="72"/>
  <c r="AB736" i="72" s="1"/>
  <c r="AA760" i="72"/>
  <c r="AB760" i="72" s="1"/>
  <c r="AA689" i="72"/>
  <c r="AB689" i="72" s="1"/>
  <c r="AA697" i="72"/>
  <c r="AB697" i="72" s="1"/>
  <c r="AA705" i="72"/>
  <c r="AB705" i="72" s="1"/>
  <c r="AA713" i="72"/>
  <c r="AB713" i="72" s="1"/>
  <c r="AA721" i="72"/>
  <c r="AB721" i="72" s="1"/>
  <c r="AA729" i="72"/>
  <c r="AB729" i="72" s="1"/>
  <c r="AA737" i="72"/>
  <c r="AB737" i="72" s="1"/>
  <c r="AA745" i="72"/>
  <c r="AB745" i="72" s="1"/>
  <c r="AA753" i="72"/>
  <c r="AB753" i="72" s="1"/>
  <c r="AA761" i="72"/>
  <c r="AB761" i="72" s="1"/>
  <c r="AA691" i="72"/>
  <c r="AB691" i="72" s="1"/>
  <c r="AA699" i="72"/>
  <c r="AB699" i="72" s="1"/>
  <c r="AA707" i="72"/>
  <c r="AB707" i="72" s="1"/>
  <c r="AA715" i="72"/>
  <c r="AB715" i="72" s="1"/>
  <c r="AA723" i="72"/>
  <c r="AB723" i="72" s="1"/>
  <c r="AA739" i="72"/>
  <c r="AB739" i="72" s="1"/>
  <c r="AA747" i="72"/>
  <c r="AB747" i="72" s="1"/>
  <c r="AA755" i="72"/>
  <c r="AB755" i="72" s="1"/>
  <c r="AA763" i="72"/>
  <c r="AB763" i="72" s="1"/>
  <c r="AA684" i="72"/>
  <c r="AB684" i="72" s="1"/>
  <c r="AA700" i="72"/>
  <c r="AB700" i="72" s="1"/>
  <c r="AA708" i="72"/>
  <c r="AB708" i="72" s="1"/>
  <c r="AA716" i="72"/>
  <c r="AB716" i="72" s="1"/>
  <c r="AA724" i="72"/>
  <c r="AB724" i="72" s="1"/>
  <c r="AA740" i="72"/>
  <c r="AB740" i="72" s="1"/>
  <c r="AA748" i="72"/>
  <c r="AB748" i="72" s="1"/>
  <c r="AA756" i="72"/>
  <c r="AB756" i="72" s="1"/>
  <c r="AA764" i="72"/>
  <c r="AB764" i="72" s="1"/>
  <c r="AA693" i="72"/>
  <c r="AB693" i="72" s="1"/>
  <c r="AA701" i="72"/>
  <c r="AB701" i="72" s="1"/>
  <c r="AA709" i="72"/>
  <c r="AB709" i="72" s="1"/>
  <c r="AA717" i="72"/>
  <c r="AB717" i="72" s="1"/>
  <c r="AA725" i="72"/>
  <c r="AB725" i="72" s="1"/>
  <c r="AA741" i="72"/>
  <c r="AB741" i="72" s="1"/>
  <c r="AA749" i="72"/>
  <c r="AB749" i="72" s="1"/>
  <c r="AA757" i="72"/>
  <c r="AB757" i="72" s="1"/>
  <c r="AA765" i="72"/>
  <c r="AB765" i="72" s="1"/>
  <c r="AA728" i="72"/>
  <c r="AB728" i="72" s="1"/>
  <c r="AA752" i="72"/>
  <c r="AB752" i="72" s="1"/>
  <c r="AA682" i="72"/>
  <c r="AB682" i="72" s="1"/>
  <c r="AA690" i="72"/>
  <c r="AB690" i="72" s="1"/>
  <c r="AA698" i="72"/>
  <c r="AB698" i="72" s="1"/>
  <c r="AA706" i="72"/>
  <c r="AB706" i="72" s="1"/>
  <c r="AA714" i="72"/>
  <c r="AB714" i="72" s="1"/>
  <c r="AA722" i="72"/>
  <c r="AB722" i="72" s="1"/>
  <c r="AA730" i="72"/>
  <c r="AB730" i="72" s="1"/>
  <c r="AA738" i="72"/>
  <c r="AB738" i="72" s="1"/>
  <c r="AA746" i="72"/>
  <c r="AB746" i="72" s="1"/>
  <c r="AA754" i="72"/>
  <c r="AB754" i="72" s="1"/>
  <c r="AA762" i="72"/>
  <c r="AB762" i="72" s="1"/>
  <c r="AA683" i="72"/>
  <c r="AB683" i="72" s="1"/>
  <c r="AA731" i="72"/>
  <c r="AB731" i="72" s="1"/>
  <c r="AA692" i="72"/>
  <c r="AB692" i="72" s="1"/>
  <c r="AA732" i="72"/>
  <c r="AB732" i="72" s="1"/>
  <c r="AA685" i="72"/>
  <c r="AB685" i="72" s="1"/>
  <c r="AA733" i="72"/>
  <c r="AB733" i="72" s="1"/>
  <c r="AA744" i="72"/>
  <c r="AB744" i="72" s="1"/>
  <c r="AM560" i="72"/>
  <c r="AY15" i="72"/>
  <c r="E147" i="73"/>
  <c r="E45" i="73"/>
  <c r="E53" i="73"/>
  <c r="E29" i="73"/>
  <c r="E37" i="73"/>
  <c r="E73" i="73"/>
  <c r="E141" i="73"/>
  <c r="E51" i="73"/>
  <c r="E119" i="73"/>
  <c r="E27" i="73"/>
  <c r="E129" i="73"/>
  <c r="E69" i="73"/>
  <c r="E63" i="73"/>
  <c r="E33" i="73"/>
  <c r="E101" i="73"/>
  <c r="E75" i="73"/>
  <c r="E31" i="73"/>
  <c r="E87" i="73"/>
  <c r="E121" i="73"/>
  <c r="E145" i="73"/>
  <c r="E123" i="73"/>
  <c r="E81" i="73"/>
  <c r="E149" i="73"/>
  <c r="E59" i="73"/>
  <c r="E127" i="73"/>
  <c r="E155" i="73"/>
  <c r="E105" i="73"/>
  <c r="E115" i="73"/>
  <c r="E97" i="73"/>
  <c r="E89" i="73"/>
  <c r="E157" i="73"/>
  <c r="E67" i="73"/>
  <c r="E135" i="73"/>
  <c r="E143" i="73"/>
  <c r="E77" i="73"/>
  <c r="E107" i="73"/>
  <c r="E99" i="73"/>
  <c r="E55" i="73"/>
  <c r="E79" i="73"/>
  <c r="E65" i="73"/>
  <c r="E133" i="73"/>
  <c r="E43" i="73"/>
  <c r="E111" i="73"/>
  <c r="E137" i="73"/>
  <c r="E151" i="73"/>
  <c r="E39" i="73"/>
  <c r="E153" i="73"/>
  <c r="E41" i="73"/>
  <c r="E109" i="73"/>
  <c r="E83" i="73"/>
  <c r="E47" i="73"/>
  <c r="E131" i="73"/>
  <c r="E139" i="73"/>
  <c r="E61" i="73"/>
  <c r="E49" i="73"/>
  <c r="E117" i="73"/>
  <c r="E95" i="73"/>
  <c r="E71" i="73"/>
  <c r="E85" i="73"/>
  <c r="E113" i="73"/>
  <c r="E57" i="73"/>
  <c r="E125" i="73"/>
  <c r="E35" i="73"/>
  <c r="E103" i="73"/>
  <c r="E152" i="73"/>
  <c r="E138" i="73"/>
  <c r="E124" i="73"/>
  <c r="E142" i="73"/>
  <c r="E106" i="73"/>
  <c r="E74" i="73"/>
  <c r="E68" i="73"/>
  <c r="E140" i="73"/>
  <c r="E36" i="73"/>
  <c r="E38" i="73"/>
  <c r="E156" i="73"/>
  <c r="E52" i="73"/>
  <c r="E40" i="73"/>
  <c r="E54" i="73"/>
  <c r="E108" i="73"/>
  <c r="E110" i="73"/>
  <c r="E136" i="73"/>
  <c r="E70" i="73"/>
  <c r="E86" i="73"/>
  <c r="E56" i="73"/>
  <c r="E126" i="73"/>
  <c r="E42" i="73"/>
  <c r="E84" i="73"/>
  <c r="E122" i="73"/>
  <c r="E154" i="73"/>
  <c r="E72" i="73"/>
  <c r="E158" i="73"/>
  <c r="E58" i="73"/>
  <c r="E104" i="73"/>
  <c r="E88" i="73"/>
  <c r="E90" i="73"/>
  <c r="E120" i="73"/>
  <c r="C91" i="73"/>
  <c r="C93" i="73"/>
  <c r="C25" i="73"/>
  <c r="C24" i="73"/>
  <c r="C92" i="73"/>
  <c r="C94" i="73"/>
  <c r="C26" i="73"/>
  <c r="B18" i="73"/>
  <c r="M559" i="72"/>
  <c r="M567" i="72"/>
  <c r="M575" i="72"/>
  <c r="M583" i="72"/>
  <c r="M591" i="72"/>
  <c r="M599" i="72"/>
  <c r="M607" i="72"/>
  <c r="M615" i="72"/>
  <c r="M623" i="72"/>
  <c r="M631" i="72"/>
  <c r="M639" i="72"/>
  <c r="M647" i="72"/>
  <c r="M655" i="72"/>
  <c r="M560" i="72"/>
  <c r="M568" i="72"/>
  <c r="M576" i="72"/>
  <c r="M584" i="72"/>
  <c r="M592" i="72"/>
  <c r="M600" i="72"/>
  <c r="M608" i="72"/>
  <c r="M616" i="72"/>
  <c r="M624" i="72"/>
  <c r="M632" i="72"/>
  <c r="M640" i="72"/>
  <c r="M648" i="72"/>
  <c r="M555" i="72"/>
  <c r="M561" i="72"/>
  <c r="M569" i="72"/>
  <c r="M577" i="72"/>
  <c r="M585" i="72"/>
  <c r="M593" i="72"/>
  <c r="M601" i="72"/>
  <c r="M609" i="72"/>
  <c r="M617" i="72"/>
  <c r="M625" i="72"/>
  <c r="M633" i="72"/>
  <c r="M641" i="72"/>
  <c r="M649" i="72"/>
  <c r="M563" i="72"/>
  <c r="M571" i="72"/>
  <c r="M579" i="72"/>
  <c r="M587" i="72"/>
  <c r="M595" i="72"/>
  <c r="M603" i="72"/>
  <c r="M611" i="72"/>
  <c r="M619" i="72"/>
  <c r="M627" i="72"/>
  <c r="M635" i="72"/>
  <c r="M643" i="72"/>
  <c r="M651" i="72"/>
  <c r="M570" i="72"/>
  <c r="M586" i="72"/>
  <c r="M602" i="72"/>
  <c r="M618" i="72"/>
  <c r="M634" i="72"/>
  <c r="M650" i="72"/>
  <c r="M556" i="72"/>
  <c r="M572" i="72"/>
  <c r="M588" i="72"/>
  <c r="M604" i="72"/>
  <c r="M620" i="72"/>
  <c r="M636" i="72"/>
  <c r="M652" i="72"/>
  <c r="M557" i="72"/>
  <c r="M573" i="72"/>
  <c r="M589" i="72"/>
  <c r="M605" i="72"/>
  <c r="M621" i="72"/>
  <c r="M637" i="72"/>
  <c r="M653" i="72"/>
  <c r="M558" i="72"/>
  <c r="M581" i="72"/>
  <c r="M610" i="72"/>
  <c r="M630" i="72"/>
  <c r="M562" i="72"/>
  <c r="M582" i="72"/>
  <c r="M612" i="72"/>
  <c r="M638" i="72"/>
  <c r="M565" i="72"/>
  <c r="M594" i="72"/>
  <c r="M614" i="72"/>
  <c r="M644" i="72"/>
  <c r="M566" i="72"/>
  <c r="M596" i="72"/>
  <c r="M622" i="72"/>
  <c r="M645" i="72"/>
  <c r="M574" i="72"/>
  <c r="M597" i="72"/>
  <c r="M626" i="72"/>
  <c r="M646" i="72"/>
  <c r="M578" i="72"/>
  <c r="M598" i="72"/>
  <c r="M628" i="72"/>
  <c r="M564" i="72"/>
  <c r="M580" i="72"/>
  <c r="M606" i="72"/>
  <c r="M629" i="72"/>
  <c r="M590" i="72"/>
  <c r="M613" i="72"/>
  <c r="M642" i="72"/>
  <c r="M654" i="72"/>
  <c r="K559" i="72"/>
  <c r="K567" i="72"/>
  <c r="K575" i="72"/>
  <c r="K583" i="72"/>
  <c r="K591" i="72"/>
  <c r="K599" i="72"/>
  <c r="K607" i="72"/>
  <c r="K615" i="72"/>
  <c r="K623" i="72"/>
  <c r="K631" i="72"/>
  <c r="K639" i="72"/>
  <c r="K647" i="72"/>
  <c r="K655" i="72"/>
  <c r="K560" i="72"/>
  <c r="K568" i="72"/>
  <c r="K576" i="72"/>
  <c r="K584" i="72"/>
  <c r="K592" i="72"/>
  <c r="K600" i="72"/>
  <c r="K608" i="72"/>
  <c r="K616" i="72"/>
  <c r="K624" i="72"/>
  <c r="K632" i="72"/>
  <c r="K640" i="72"/>
  <c r="K648" i="72"/>
  <c r="K555" i="72"/>
  <c r="K561" i="72"/>
  <c r="K569" i="72"/>
  <c r="K577" i="72"/>
  <c r="K585" i="72"/>
  <c r="K593" i="72"/>
  <c r="K601" i="72"/>
  <c r="K609" i="72"/>
  <c r="K617" i="72"/>
  <c r="K625" i="72"/>
  <c r="K633" i="72"/>
  <c r="K641" i="72"/>
  <c r="K649" i="72"/>
  <c r="K563" i="72"/>
  <c r="K571" i="72"/>
  <c r="K579" i="72"/>
  <c r="K587" i="72"/>
  <c r="K595" i="72"/>
  <c r="K603" i="72"/>
  <c r="K611" i="72"/>
  <c r="K619" i="72"/>
  <c r="K627" i="72"/>
  <c r="K635" i="72"/>
  <c r="K643" i="72"/>
  <c r="K651" i="72"/>
  <c r="K573" i="72"/>
  <c r="K589" i="72"/>
  <c r="K605" i="72"/>
  <c r="K621" i="72"/>
  <c r="K637" i="72"/>
  <c r="K653" i="72"/>
  <c r="K558" i="72"/>
  <c r="K574" i="72"/>
  <c r="K590" i="72"/>
  <c r="K606" i="72"/>
  <c r="K622" i="72"/>
  <c r="K638" i="72"/>
  <c r="K654" i="72"/>
  <c r="K562" i="72"/>
  <c r="K578" i="72"/>
  <c r="K594" i="72"/>
  <c r="K610" i="72"/>
  <c r="K626" i="72"/>
  <c r="K642" i="72"/>
  <c r="K580" i="72"/>
  <c r="K602" i="72"/>
  <c r="K629" i="72"/>
  <c r="K652" i="72"/>
  <c r="K581" i="72"/>
  <c r="K604" i="72"/>
  <c r="K630" i="72"/>
  <c r="K564" i="72"/>
  <c r="K586" i="72"/>
  <c r="K613" i="72"/>
  <c r="K636" i="72"/>
  <c r="K565" i="72"/>
  <c r="K588" i="72"/>
  <c r="K614" i="72"/>
  <c r="K644" i="72"/>
  <c r="K566" i="72"/>
  <c r="K596" i="72"/>
  <c r="K618" i="72"/>
  <c r="K645" i="72"/>
  <c r="K570" i="72"/>
  <c r="K597" i="72"/>
  <c r="K620" i="72"/>
  <c r="K646" i="72"/>
  <c r="K628" i="72"/>
  <c r="K572" i="72"/>
  <c r="K634" i="72"/>
  <c r="K556" i="72"/>
  <c r="K650" i="72"/>
  <c r="K582" i="72"/>
  <c r="K598" i="72"/>
  <c r="K612" i="72"/>
  <c r="G562" i="72"/>
  <c r="G570" i="72"/>
  <c r="G578" i="72"/>
  <c r="G586" i="72"/>
  <c r="G594" i="72"/>
  <c r="G602" i="72"/>
  <c r="G610" i="72"/>
  <c r="G618" i="72"/>
  <c r="G626" i="72"/>
  <c r="G634" i="72"/>
  <c r="G642" i="72"/>
  <c r="G650" i="72"/>
  <c r="G563" i="72"/>
  <c r="G571" i="72"/>
  <c r="G579" i="72"/>
  <c r="G587" i="72"/>
  <c r="G595" i="72"/>
  <c r="G603" i="72"/>
  <c r="G611" i="72"/>
  <c r="G619" i="72"/>
  <c r="G627" i="72"/>
  <c r="G635" i="72"/>
  <c r="G643" i="72"/>
  <c r="G651" i="72"/>
  <c r="G564" i="72"/>
  <c r="G572" i="72"/>
  <c r="G580" i="72"/>
  <c r="G588" i="72"/>
  <c r="G596" i="72"/>
  <c r="G604" i="72"/>
  <c r="G612" i="72"/>
  <c r="G620" i="72"/>
  <c r="G628" i="72"/>
  <c r="G636" i="72"/>
  <c r="G644" i="72"/>
  <c r="G652" i="72"/>
  <c r="G558" i="72"/>
  <c r="G566" i="72"/>
  <c r="G574" i="72"/>
  <c r="G582" i="72"/>
  <c r="G590" i="72"/>
  <c r="G598" i="72"/>
  <c r="G606" i="72"/>
  <c r="G614" i="72"/>
  <c r="G622" i="72"/>
  <c r="G630" i="72"/>
  <c r="G638" i="72"/>
  <c r="G646" i="72"/>
  <c r="G654" i="72"/>
  <c r="G567" i="72"/>
  <c r="G583" i="72"/>
  <c r="G599" i="72"/>
  <c r="G615" i="72"/>
  <c r="G631" i="72"/>
  <c r="G647" i="72"/>
  <c r="G568" i="72"/>
  <c r="G584" i="72"/>
  <c r="G600" i="72"/>
  <c r="G616" i="72"/>
  <c r="G632" i="72"/>
  <c r="G648" i="72"/>
  <c r="G569" i="72"/>
  <c r="G585" i="72"/>
  <c r="G601" i="72"/>
  <c r="G617" i="72"/>
  <c r="G633" i="72"/>
  <c r="G649" i="72"/>
  <c r="G575" i="72"/>
  <c r="G597" i="72"/>
  <c r="G624" i="72"/>
  <c r="G653" i="72"/>
  <c r="G576" i="72"/>
  <c r="G605" i="72"/>
  <c r="G625" i="72"/>
  <c r="G655" i="72"/>
  <c r="G559" i="72"/>
  <c r="G581" i="72"/>
  <c r="G608" i="72"/>
  <c r="G637" i="72"/>
  <c r="G560" i="72"/>
  <c r="G589" i="72"/>
  <c r="G609" i="72"/>
  <c r="G639" i="72"/>
  <c r="G561" i="72"/>
  <c r="G591" i="72"/>
  <c r="G613" i="72"/>
  <c r="G640" i="72"/>
  <c r="G565" i="72"/>
  <c r="G593" i="72"/>
  <c r="G607" i="72"/>
  <c r="G623" i="72"/>
  <c r="G557" i="72"/>
  <c r="G629" i="72"/>
  <c r="G641" i="72"/>
  <c r="G621" i="72"/>
  <c r="G573" i="72"/>
  <c r="G592" i="72"/>
  <c r="G555" i="72"/>
  <c r="G577" i="72"/>
  <c r="G645" i="72"/>
  <c r="D563" i="72"/>
  <c r="D566" i="72"/>
  <c r="D579" i="72"/>
  <c r="D582" i="72"/>
  <c r="D595" i="72"/>
  <c r="D598" i="72"/>
  <c r="D611" i="72"/>
  <c r="D560" i="72"/>
  <c r="D564" i="72"/>
  <c r="D571" i="72"/>
  <c r="D586" i="72"/>
  <c r="D593" i="72"/>
  <c r="D600" i="72"/>
  <c r="D604" i="72"/>
  <c r="D618" i="72"/>
  <c r="D621" i="72"/>
  <c r="D624" i="72"/>
  <c r="D634" i="72"/>
  <c r="D637" i="72"/>
  <c r="D640" i="72"/>
  <c r="D650" i="72"/>
  <c r="D653" i="72"/>
  <c r="D555" i="72"/>
  <c r="D557" i="72"/>
  <c r="D575" i="72"/>
  <c r="D597" i="72"/>
  <c r="D608" i="72"/>
  <c r="D612" i="72"/>
  <c r="D615" i="72"/>
  <c r="D628" i="72"/>
  <c r="D631" i="72"/>
  <c r="D644" i="72"/>
  <c r="D647" i="72"/>
  <c r="D565" i="72"/>
  <c r="D576" i="72"/>
  <c r="D580" i="72"/>
  <c r="D587" i="72"/>
  <c r="D602" i="72"/>
  <c r="D609" i="72"/>
  <c r="D619" i="72"/>
  <c r="D622" i="72"/>
  <c r="D635" i="72"/>
  <c r="D638" i="72"/>
  <c r="D651" i="72"/>
  <c r="D654" i="72"/>
  <c r="D558" i="72"/>
  <c r="D562" i="72"/>
  <c r="D569" i="72"/>
  <c r="D573" i="72"/>
  <c r="D591" i="72"/>
  <c r="D613" i="72"/>
  <c r="D616" i="72"/>
  <c r="D626" i="72"/>
  <c r="D629" i="72"/>
  <c r="D632" i="72"/>
  <c r="D642" i="72"/>
  <c r="D645" i="72"/>
  <c r="D648" i="72"/>
  <c r="D570" i="72"/>
  <c r="D577" i="72"/>
  <c r="D584" i="72"/>
  <c r="D588" i="72"/>
  <c r="D599" i="72"/>
  <c r="D606" i="72"/>
  <c r="D610" i="72"/>
  <c r="D620" i="72"/>
  <c r="D623" i="72"/>
  <c r="D636" i="72"/>
  <c r="D639" i="72"/>
  <c r="D652" i="72"/>
  <c r="D655" i="72"/>
  <c r="D589" i="72"/>
  <c r="D643" i="72"/>
  <c r="D594" i="72"/>
  <c r="D561" i="72"/>
  <c r="D581" i="72"/>
  <c r="D590" i="72"/>
  <c r="D627" i="72"/>
  <c r="D583" i="72"/>
  <c r="D603" i="72"/>
  <c r="D630" i="72"/>
  <c r="D572" i="72"/>
  <c r="D592" i="72"/>
  <c r="D601" i="72"/>
  <c r="D646" i="72"/>
  <c r="D574" i="72"/>
  <c r="D567" i="72"/>
  <c r="D596" i="72"/>
  <c r="D617" i="72"/>
  <c r="D641" i="72"/>
  <c r="D649" i="72"/>
  <c r="D607" i="72"/>
  <c r="D633" i="72"/>
  <c r="D614" i="72"/>
  <c r="D568" i="72"/>
  <c r="D585" i="72"/>
  <c r="D559" i="72"/>
  <c r="D605" i="72"/>
  <c r="D625" i="72"/>
  <c r="D578" i="72"/>
  <c r="J282" i="69"/>
  <c r="K282" i="69"/>
  <c r="L282" i="69"/>
  <c r="O282" i="69"/>
  <c r="J283" i="69"/>
  <c r="K283" i="69"/>
  <c r="L283" i="69"/>
  <c r="O283" i="69"/>
  <c r="J284" i="69"/>
  <c r="K284" i="69"/>
  <c r="L284" i="69"/>
  <c r="O284" i="69"/>
  <c r="J285" i="69"/>
  <c r="K285" i="69"/>
  <c r="L285" i="69"/>
  <c r="O285" i="69"/>
  <c r="J286" i="69"/>
  <c r="K286" i="69"/>
  <c r="L286" i="69"/>
  <c r="O286" i="69"/>
  <c r="J287" i="69"/>
  <c r="K287" i="69"/>
  <c r="L287" i="69"/>
  <c r="O287" i="69"/>
  <c r="J288" i="69"/>
  <c r="K288" i="69"/>
  <c r="L288" i="69"/>
  <c r="O288" i="69"/>
  <c r="N42" i="69"/>
  <c r="I42" i="69"/>
  <c r="J42" i="69" s="1"/>
  <c r="N41" i="69"/>
  <c r="I41" i="69"/>
  <c r="J41" i="69" s="1"/>
  <c r="N40" i="69"/>
  <c r="I40" i="69"/>
  <c r="J40" i="69" s="1"/>
  <c r="N39" i="69"/>
  <c r="I39" i="69"/>
  <c r="J39" i="69" s="1"/>
  <c r="N38" i="69"/>
  <c r="I38" i="69"/>
  <c r="J38" i="69" s="1"/>
  <c r="N37" i="69"/>
  <c r="I37" i="69"/>
  <c r="J37" i="69" s="1"/>
  <c r="O281" i="69"/>
  <c r="L281" i="69"/>
  <c r="K281" i="69"/>
  <c r="J281" i="69"/>
  <c r="N9" i="69"/>
  <c r="B13" i="6" s="1"/>
  <c r="N10" i="69"/>
  <c r="B14" i="6" s="1"/>
  <c r="N11" i="69"/>
  <c r="B20" i="6" s="1"/>
  <c r="N12" i="69"/>
  <c r="B21" i="6" s="1"/>
  <c r="N13" i="69"/>
  <c r="B22" i="6" s="1"/>
  <c r="N14" i="69"/>
  <c r="B23" i="6" s="1"/>
  <c r="N18" i="69"/>
  <c r="B29" i="6" s="1"/>
  <c r="AB33" i="82" s="1"/>
  <c r="AB64" i="82" s="1"/>
  <c r="N19" i="69"/>
  <c r="B30" i="6" s="1"/>
  <c r="AB99" i="82" s="1"/>
  <c r="AB128" i="82" s="1"/>
  <c r="N20" i="69"/>
  <c r="B31" i="6" s="1"/>
  <c r="AB163" i="82" s="1"/>
  <c r="AB192" i="82" s="1"/>
  <c r="N21" i="69"/>
  <c r="B32" i="6" s="1"/>
  <c r="AB227" i="82" s="1"/>
  <c r="AB256" i="82" s="1"/>
  <c r="N25" i="69"/>
  <c r="B37" i="6" s="1"/>
  <c r="N26" i="69"/>
  <c r="B38" i="6" s="1"/>
  <c r="N30" i="69"/>
  <c r="B43" i="6" s="1"/>
  <c r="N31" i="69"/>
  <c r="B44" i="6" s="1"/>
  <c r="N32" i="69"/>
  <c r="B45" i="6" s="1"/>
  <c r="N33" i="69"/>
  <c r="B46" i="6" s="1"/>
  <c r="N8" i="69"/>
  <c r="B12" i="6" s="1"/>
  <c r="I686" i="82" l="1"/>
  <c r="L686" i="82" s="1"/>
  <c r="BE686" i="82"/>
  <c r="BH686" i="82" s="1"/>
  <c r="H575" i="82"/>
  <c r="BE702" i="82"/>
  <c r="I702" i="82"/>
  <c r="I718" i="82"/>
  <c r="BE718" i="82"/>
  <c r="I734" i="82"/>
  <c r="BE734" i="82"/>
  <c r="BE750" i="82"/>
  <c r="I750" i="82"/>
  <c r="I695" i="82"/>
  <c r="BE695" i="82"/>
  <c r="I711" i="82"/>
  <c r="BE711" i="82"/>
  <c r="BE719" i="82"/>
  <c r="I719" i="82"/>
  <c r="BE735" i="82"/>
  <c r="I735" i="82"/>
  <c r="I751" i="82"/>
  <c r="BE751" i="82"/>
  <c r="EJ663" i="82"/>
  <c r="FD663" i="82" s="1"/>
  <c r="BB663" i="82"/>
  <c r="K663" i="82"/>
  <c r="CS663" i="82"/>
  <c r="K671" i="82"/>
  <c r="BB671" i="82"/>
  <c r="CS671" i="82"/>
  <c r="EJ671" i="82"/>
  <c r="X668" i="82"/>
  <c r="EW668" i="82"/>
  <c r="EV668" i="82"/>
  <c r="DE668" i="82"/>
  <c r="BN668" i="82"/>
  <c r="W668" i="82"/>
  <c r="BO668" i="82"/>
  <c r="DF668" i="82"/>
  <c r="N562" i="82"/>
  <c r="X672" i="82"/>
  <c r="EV672" i="82"/>
  <c r="EW672" i="82"/>
  <c r="BO672" i="82"/>
  <c r="DF672" i="82"/>
  <c r="BN672" i="82"/>
  <c r="W672" i="82"/>
  <c r="DE672" i="82"/>
  <c r="EW676" i="82"/>
  <c r="X676" i="82"/>
  <c r="EV676" i="82"/>
  <c r="DF676" i="82"/>
  <c r="BO676" i="82"/>
  <c r="W676" i="82"/>
  <c r="BN676" i="82"/>
  <c r="DE676" i="82"/>
  <c r="BO689" i="82"/>
  <c r="BR689" i="82" s="1"/>
  <c r="S689" i="82"/>
  <c r="V689" i="82" s="1"/>
  <c r="N578" i="82"/>
  <c r="S697" i="82"/>
  <c r="V697" i="82" s="1"/>
  <c r="BO697" i="82"/>
  <c r="BR697" i="82" s="1"/>
  <c r="N586" i="82"/>
  <c r="BO705" i="82"/>
  <c r="S705" i="82"/>
  <c r="BO713" i="82"/>
  <c r="S713" i="82"/>
  <c r="BO721" i="82"/>
  <c r="S721" i="82"/>
  <c r="S725" i="82"/>
  <c r="BO725" i="82"/>
  <c r="BO733" i="82"/>
  <c r="S733" i="82"/>
  <c r="S741" i="82"/>
  <c r="BO741" i="82"/>
  <c r="BO749" i="82"/>
  <c r="S749" i="82"/>
  <c r="S757" i="82"/>
  <c r="BO757" i="82"/>
  <c r="S765" i="82"/>
  <c r="BO765" i="82"/>
  <c r="AX663" i="82"/>
  <c r="EF663" i="82"/>
  <c r="CK663" i="82"/>
  <c r="EB663" i="82"/>
  <c r="AT663" i="82"/>
  <c r="CO663" i="82"/>
  <c r="G663" i="82"/>
  <c r="C663" i="82"/>
  <c r="D688" i="82"/>
  <c r="AZ688" i="82"/>
  <c r="AZ696" i="82"/>
  <c r="BC696" i="82" s="1"/>
  <c r="D696" i="82"/>
  <c r="G696" i="82" s="1"/>
  <c r="E585" i="82"/>
  <c r="AZ704" i="82"/>
  <c r="D704" i="82"/>
  <c r="AZ708" i="82"/>
  <c r="D708" i="82"/>
  <c r="AZ720" i="82"/>
  <c r="D720" i="82"/>
  <c r="AZ728" i="82"/>
  <c r="D728" i="82"/>
  <c r="D736" i="82"/>
  <c r="AZ736" i="82"/>
  <c r="D744" i="82"/>
  <c r="AZ744" i="82"/>
  <c r="AZ752" i="82"/>
  <c r="D752" i="82"/>
  <c r="AZ760" i="82"/>
  <c r="D760" i="82"/>
  <c r="P665" i="82"/>
  <c r="BG665" i="82"/>
  <c r="EO665" i="82"/>
  <c r="CX665" i="82"/>
  <c r="BJ682" i="82"/>
  <c r="N682" i="82"/>
  <c r="BJ694" i="82"/>
  <c r="BM694" i="82" s="1"/>
  <c r="N694" i="82"/>
  <c r="Q694" i="82" s="1"/>
  <c r="J583" i="82"/>
  <c r="N710" i="82"/>
  <c r="BJ710" i="82"/>
  <c r="N718" i="82"/>
  <c r="BJ718" i="82"/>
  <c r="N734" i="82"/>
  <c r="BJ734" i="82"/>
  <c r="N750" i="82"/>
  <c r="BJ750" i="82"/>
  <c r="BJ766" i="82"/>
  <c r="N766" i="82"/>
  <c r="CX675" i="82"/>
  <c r="P675" i="82"/>
  <c r="BG675" i="82"/>
  <c r="EO675" i="82"/>
  <c r="N683" i="82"/>
  <c r="Q683" i="82" s="1"/>
  <c r="BJ683" i="82"/>
  <c r="BJ691" i="82"/>
  <c r="N691" i="82"/>
  <c r="N707" i="82"/>
  <c r="BJ707" i="82"/>
  <c r="BJ723" i="82"/>
  <c r="N723" i="82"/>
  <c r="BJ739" i="82"/>
  <c r="N739" i="82"/>
  <c r="BJ755" i="82"/>
  <c r="N755" i="82"/>
  <c r="AT20" i="82"/>
  <c r="AT23" i="82" s="1"/>
  <c r="AT212" i="82"/>
  <c r="AT215" i="82" s="1"/>
  <c r="AT148" i="82"/>
  <c r="AT151" i="82" s="1"/>
  <c r="AT100" i="82"/>
  <c r="AT103" i="82" s="1"/>
  <c r="AT36" i="82"/>
  <c r="AT39" i="82" s="1"/>
  <c r="AT84" i="82"/>
  <c r="AT87" i="82" s="1"/>
  <c r="AT228" i="82"/>
  <c r="AT231" i="82" s="1"/>
  <c r="AT164" i="82"/>
  <c r="AT167" i="82" s="1"/>
  <c r="AT284" i="82"/>
  <c r="AT287" i="82" s="1"/>
  <c r="AT12" i="82"/>
  <c r="AT15" i="82" s="1"/>
  <c r="AH395" i="82"/>
  <c r="AH408" i="82" s="1"/>
  <c r="AH123" i="82"/>
  <c r="AH136" i="82" s="1"/>
  <c r="AH363" i="82"/>
  <c r="AH376" i="82" s="1"/>
  <c r="AH91" i="82"/>
  <c r="AH104" i="82" s="1"/>
  <c r="AH251" i="82"/>
  <c r="AH264" i="82" s="1"/>
  <c r="AH219" i="82"/>
  <c r="AH232" i="82" s="1"/>
  <c r="AH491" i="82"/>
  <c r="AH504" i="82" s="1"/>
  <c r="AH523" i="82"/>
  <c r="AH536" i="82" s="1"/>
  <c r="L695" i="82"/>
  <c r="H565" i="82"/>
  <c r="E577" i="82"/>
  <c r="N566" i="82"/>
  <c r="Q691" i="82"/>
  <c r="H591" i="82"/>
  <c r="J559" i="82"/>
  <c r="E557" i="82"/>
  <c r="BU662" i="82"/>
  <c r="BV663" i="82" s="1"/>
  <c r="CS676" i="82"/>
  <c r="K676" i="82"/>
  <c r="BB676" i="82"/>
  <c r="EJ676" i="82"/>
  <c r="BE688" i="82"/>
  <c r="I688" i="82"/>
  <c r="L688" i="82" s="1"/>
  <c r="I696" i="82"/>
  <c r="L696" i="82" s="1"/>
  <c r="BE696" i="82"/>
  <c r="BH696" i="82" s="1"/>
  <c r="H585" i="82"/>
  <c r="BE704" i="82"/>
  <c r="I704" i="82"/>
  <c r="BE712" i="82"/>
  <c r="I712" i="82"/>
  <c r="BE720" i="82"/>
  <c r="I720" i="82"/>
  <c r="BE728" i="82"/>
  <c r="I728" i="82"/>
  <c r="I736" i="82"/>
  <c r="BE736" i="82"/>
  <c r="BE744" i="82"/>
  <c r="I744" i="82"/>
  <c r="BE752" i="82"/>
  <c r="I752" i="82"/>
  <c r="I760" i="82"/>
  <c r="BE760" i="82"/>
  <c r="EJ675" i="82"/>
  <c r="K675" i="82"/>
  <c r="CS675" i="82"/>
  <c r="BB675" i="82"/>
  <c r="BE689" i="82"/>
  <c r="BH689" i="82" s="1"/>
  <c r="I689" i="82"/>
  <c r="BE697" i="82"/>
  <c r="I697" i="82"/>
  <c r="BE705" i="82"/>
  <c r="I705" i="82"/>
  <c r="BE713" i="82"/>
  <c r="I713" i="82"/>
  <c r="I721" i="82"/>
  <c r="BE721" i="82"/>
  <c r="I729" i="82"/>
  <c r="BE729" i="82"/>
  <c r="I737" i="82"/>
  <c r="BE737" i="82"/>
  <c r="I745" i="82"/>
  <c r="BE745" i="82"/>
  <c r="BE753" i="82"/>
  <c r="I753" i="82"/>
  <c r="I761" i="82"/>
  <c r="BE761" i="82"/>
  <c r="BB664" i="82"/>
  <c r="K664" i="82"/>
  <c r="CS664" i="82"/>
  <c r="EJ664" i="82"/>
  <c r="H558" i="82"/>
  <c r="EJ668" i="82"/>
  <c r="CS668" i="82"/>
  <c r="K668" i="82"/>
  <c r="BB668" i="82"/>
  <c r="H562" i="82"/>
  <c r="CS672" i="82"/>
  <c r="K672" i="82"/>
  <c r="BB672" i="82"/>
  <c r="EJ672" i="82"/>
  <c r="H566" i="82"/>
  <c r="X665" i="82"/>
  <c r="EV665" i="82"/>
  <c r="DE665" i="82"/>
  <c r="BN665" i="82"/>
  <c r="DF665" i="82"/>
  <c r="W665" i="82"/>
  <c r="EW665" i="82"/>
  <c r="BO665" i="82"/>
  <c r="BN669" i="82"/>
  <c r="W669" i="82"/>
  <c r="X669" i="82"/>
  <c r="DE669" i="82"/>
  <c r="BO669" i="82"/>
  <c r="EV669" i="82"/>
  <c r="DF669" i="82"/>
  <c r="EW669" i="82"/>
  <c r="DE673" i="82"/>
  <c r="X673" i="82"/>
  <c r="BO673" i="82"/>
  <c r="W673" i="82"/>
  <c r="EV673" i="82"/>
  <c r="DF673" i="82"/>
  <c r="EW673" i="82"/>
  <c r="BN673" i="82"/>
  <c r="N567" i="82"/>
  <c r="S682" i="82"/>
  <c r="BO682" i="82"/>
  <c r="BO686" i="82"/>
  <c r="BR686" i="82" s="1"/>
  <c r="S686" i="82"/>
  <c r="V686" i="82" s="1"/>
  <c r="BO690" i="82"/>
  <c r="BR690" i="82" s="1"/>
  <c r="S690" i="82"/>
  <c r="V690" i="82" s="1"/>
  <c r="BO694" i="82"/>
  <c r="BR694" i="82" s="1"/>
  <c r="S694" i="82"/>
  <c r="V694" i="82" s="1"/>
  <c r="N583" i="82"/>
  <c r="S698" i="82"/>
  <c r="V698" i="82" s="1"/>
  <c r="BO698" i="82"/>
  <c r="BO702" i="82"/>
  <c r="S702" i="82"/>
  <c r="S706" i="82"/>
  <c r="BO706" i="82"/>
  <c r="BO710" i="82"/>
  <c r="S710" i="82"/>
  <c r="S714" i="82"/>
  <c r="BO714" i="82"/>
  <c r="BO718" i="82"/>
  <c r="S718" i="82"/>
  <c r="S722" i="82"/>
  <c r="BO722" i="82"/>
  <c r="S726" i="82"/>
  <c r="BO726" i="82"/>
  <c r="BO730" i="82"/>
  <c r="S730" i="82"/>
  <c r="S734" i="82"/>
  <c r="BO734" i="82"/>
  <c r="BO738" i="82"/>
  <c r="S738" i="82"/>
  <c r="S742" i="82"/>
  <c r="BO742" i="82"/>
  <c r="S746" i="82"/>
  <c r="BO746" i="82"/>
  <c r="S750" i="82"/>
  <c r="BO750" i="82"/>
  <c r="BO754" i="82"/>
  <c r="S754" i="82"/>
  <c r="BO758" i="82"/>
  <c r="S758" i="82"/>
  <c r="BO762" i="82"/>
  <c r="S762" i="82"/>
  <c r="BO766" i="82"/>
  <c r="S766" i="82"/>
  <c r="AT665" i="82"/>
  <c r="EF665" i="82"/>
  <c r="AX665" i="82"/>
  <c r="EB665" i="82"/>
  <c r="CO665" i="82"/>
  <c r="C665" i="82"/>
  <c r="G665" i="82"/>
  <c r="CK665" i="82"/>
  <c r="E559" i="82"/>
  <c r="AT673" i="82"/>
  <c r="CK673" i="82"/>
  <c r="EB673" i="82"/>
  <c r="EF673" i="82"/>
  <c r="AX673" i="82"/>
  <c r="G673" i="82"/>
  <c r="CO673" i="82"/>
  <c r="C673" i="82"/>
  <c r="EB670" i="82"/>
  <c r="CO670" i="82"/>
  <c r="G670" i="82"/>
  <c r="EF670" i="82"/>
  <c r="AT670" i="82"/>
  <c r="CK670" i="82"/>
  <c r="AX670" i="82"/>
  <c r="C670" i="82"/>
  <c r="EF661" i="82"/>
  <c r="EH661" i="82" s="1"/>
  <c r="AX661" i="82"/>
  <c r="CO661" i="82"/>
  <c r="CK661" i="82"/>
  <c r="AT661" i="82"/>
  <c r="AV661" i="82" s="1"/>
  <c r="G661" i="82"/>
  <c r="C661" i="82"/>
  <c r="E661" i="82" s="1"/>
  <c r="EB661" i="82"/>
  <c r="D682" i="82"/>
  <c r="AZ682" i="82"/>
  <c r="BC682" i="82" s="1"/>
  <c r="D685" i="82"/>
  <c r="AZ685" i="82"/>
  <c r="BC685" i="82" s="1"/>
  <c r="AZ689" i="82"/>
  <c r="BC689" i="82" s="1"/>
  <c r="D689" i="82"/>
  <c r="G689" i="82" s="1"/>
  <c r="AZ693" i="82"/>
  <c r="BC693" i="82" s="1"/>
  <c r="D693" i="82"/>
  <c r="G693" i="82" s="1"/>
  <c r="AZ697" i="82"/>
  <c r="D697" i="82"/>
  <c r="AZ701" i="82"/>
  <c r="D701" i="82"/>
  <c r="D705" i="82"/>
  <c r="AZ705" i="82"/>
  <c r="AZ709" i="82"/>
  <c r="D709" i="82"/>
  <c r="D713" i="82"/>
  <c r="AZ713" i="82"/>
  <c r="D717" i="82"/>
  <c r="AZ717" i="82"/>
  <c r="AZ721" i="82"/>
  <c r="D721" i="82"/>
  <c r="AZ725" i="82"/>
  <c r="D725" i="82"/>
  <c r="AZ729" i="82"/>
  <c r="D729" i="82"/>
  <c r="D733" i="82"/>
  <c r="AZ733" i="82"/>
  <c r="D737" i="82"/>
  <c r="AZ737" i="82"/>
  <c r="AZ741" i="82"/>
  <c r="D741" i="82"/>
  <c r="AZ745" i="82"/>
  <c r="D745" i="82"/>
  <c r="AZ749" i="82"/>
  <c r="D749" i="82"/>
  <c r="D753" i="82"/>
  <c r="AZ753" i="82"/>
  <c r="AZ757" i="82"/>
  <c r="D757" i="82"/>
  <c r="AZ761" i="82"/>
  <c r="D761" i="82"/>
  <c r="D765" i="82"/>
  <c r="AZ765" i="82"/>
  <c r="CX664" i="82"/>
  <c r="BG664" i="82"/>
  <c r="P664" i="82"/>
  <c r="EO664" i="82"/>
  <c r="P667" i="82"/>
  <c r="EO667" i="82"/>
  <c r="BG667" i="82"/>
  <c r="CX667" i="82"/>
  <c r="J561" i="82"/>
  <c r="EO662" i="82"/>
  <c r="P662" i="82"/>
  <c r="CX662" i="82"/>
  <c r="BG662" i="82"/>
  <c r="J556" i="82"/>
  <c r="N688" i="82"/>
  <c r="Q688" i="82" s="1"/>
  <c r="BJ688" i="82"/>
  <c r="BM688" i="82" s="1"/>
  <c r="J577" i="82"/>
  <c r="N696" i="82"/>
  <c r="Q696" i="82" s="1"/>
  <c r="BJ696" i="82"/>
  <c r="BM696" i="82" s="1"/>
  <c r="J585" i="82"/>
  <c r="BJ704" i="82"/>
  <c r="N704" i="82"/>
  <c r="BJ712" i="82"/>
  <c r="N712" i="82"/>
  <c r="BJ720" i="82"/>
  <c r="N720" i="82"/>
  <c r="BJ728" i="82"/>
  <c r="N728" i="82"/>
  <c r="N736" i="82"/>
  <c r="BJ736" i="82"/>
  <c r="N744" i="82"/>
  <c r="BJ744" i="82"/>
  <c r="N752" i="82"/>
  <c r="BJ752" i="82"/>
  <c r="BJ760" i="82"/>
  <c r="N760" i="82"/>
  <c r="BJ685" i="82"/>
  <c r="N685" i="82"/>
  <c r="N693" i="82"/>
  <c r="Q693" i="82" s="1"/>
  <c r="BJ693" i="82"/>
  <c r="BM693" i="82" s="1"/>
  <c r="J582" i="82"/>
  <c r="N701" i="82"/>
  <c r="Q701" i="82" s="1"/>
  <c r="BJ701" i="82"/>
  <c r="BM701" i="82" s="1"/>
  <c r="J590" i="82"/>
  <c r="N709" i="82"/>
  <c r="BJ709" i="82"/>
  <c r="N717" i="82"/>
  <c r="BJ717" i="82"/>
  <c r="N725" i="82"/>
  <c r="BJ725" i="82"/>
  <c r="N733" i="82"/>
  <c r="BJ733" i="82"/>
  <c r="BJ741" i="82"/>
  <c r="N741" i="82"/>
  <c r="N749" i="82"/>
  <c r="BJ749" i="82"/>
  <c r="BJ757" i="82"/>
  <c r="N757" i="82"/>
  <c r="N765" i="82"/>
  <c r="BJ765" i="82"/>
  <c r="AT108" i="82"/>
  <c r="AT111" i="82" s="1"/>
  <c r="AT92" i="82"/>
  <c r="AT95" i="82" s="1"/>
  <c r="AT44" i="82"/>
  <c r="AT47" i="82" s="1"/>
  <c r="AT28" i="82"/>
  <c r="AT31" i="82" s="1"/>
  <c r="AT172" i="82"/>
  <c r="AT175" i="82" s="1"/>
  <c r="AT220" i="82"/>
  <c r="AT223" i="82" s="1"/>
  <c r="AT236" i="82"/>
  <c r="AT239" i="82" s="1"/>
  <c r="AT156" i="82"/>
  <c r="AT159" i="82" s="1"/>
  <c r="Q685" i="82"/>
  <c r="V702" i="82"/>
  <c r="BC697" i="82"/>
  <c r="BH688" i="82"/>
  <c r="BR698" i="82"/>
  <c r="I661" i="82"/>
  <c r="ED661" i="82"/>
  <c r="G682" i="82"/>
  <c r="AE663" i="82"/>
  <c r="EJ661" i="82"/>
  <c r="CS661" i="82"/>
  <c r="BB661" i="82"/>
  <c r="K661" i="82"/>
  <c r="BE694" i="82"/>
  <c r="BH694" i="82" s="1"/>
  <c r="I694" i="82"/>
  <c r="I710" i="82"/>
  <c r="BE710" i="82"/>
  <c r="I726" i="82"/>
  <c r="BE726" i="82"/>
  <c r="BE742" i="82"/>
  <c r="I742" i="82"/>
  <c r="BE758" i="82"/>
  <c r="I758" i="82"/>
  <c r="BE766" i="82"/>
  <c r="I766" i="82"/>
  <c r="I687" i="82"/>
  <c r="L687" i="82" s="1"/>
  <c r="BE687" i="82"/>
  <c r="BH687" i="82" s="1"/>
  <c r="H576" i="82"/>
  <c r="BE703" i="82"/>
  <c r="I703" i="82"/>
  <c r="I727" i="82"/>
  <c r="BE727" i="82"/>
  <c r="BE743" i="82"/>
  <c r="I743" i="82"/>
  <c r="BE759" i="82"/>
  <c r="I759" i="82"/>
  <c r="K667" i="82"/>
  <c r="BB667" i="82"/>
  <c r="EJ667" i="82"/>
  <c r="CS667" i="82"/>
  <c r="H561" i="82"/>
  <c r="W664" i="82"/>
  <c r="DF664" i="82"/>
  <c r="EW664" i="82"/>
  <c r="EV664" i="82"/>
  <c r="X664" i="82"/>
  <c r="BN664" i="82"/>
  <c r="BO664" i="82"/>
  <c r="DE664" i="82"/>
  <c r="S685" i="82"/>
  <c r="BO685" i="82"/>
  <c r="S693" i="82"/>
  <c r="V693" i="82" s="1"/>
  <c r="BO693" i="82"/>
  <c r="BR693" i="82" s="1"/>
  <c r="N582" i="82"/>
  <c r="BO701" i="82"/>
  <c r="BR701" i="82" s="1"/>
  <c r="S701" i="82"/>
  <c r="V701" i="82" s="1"/>
  <c r="N590" i="82"/>
  <c r="S709" i="82"/>
  <c r="BO709" i="82"/>
  <c r="S717" i="82"/>
  <c r="BO717" i="82"/>
  <c r="BO729" i="82"/>
  <c r="S729" i="82"/>
  <c r="BO737" i="82"/>
  <c r="S737" i="82"/>
  <c r="BO745" i="82"/>
  <c r="S745" i="82"/>
  <c r="BO753" i="82"/>
  <c r="S753" i="82"/>
  <c r="S761" i="82"/>
  <c r="BO761" i="82"/>
  <c r="G671" i="82"/>
  <c r="EF671" i="82"/>
  <c r="AT671" i="82"/>
  <c r="AX671" i="82"/>
  <c r="EB671" i="82"/>
  <c r="CO671" i="82"/>
  <c r="C671" i="82"/>
  <c r="CK671" i="82"/>
  <c r="CO668" i="82"/>
  <c r="EB668" i="82"/>
  <c r="CK668" i="82"/>
  <c r="C668" i="82"/>
  <c r="AX668" i="82"/>
  <c r="AT668" i="82"/>
  <c r="EF668" i="82"/>
  <c r="G668" i="82"/>
  <c r="E562" i="82"/>
  <c r="G676" i="82"/>
  <c r="EB676" i="82"/>
  <c r="C676" i="82"/>
  <c r="AT676" i="82"/>
  <c r="AX676" i="82"/>
  <c r="CO676" i="82"/>
  <c r="EF676" i="82"/>
  <c r="CK676" i="82"/>
  <c r="E570" i="82"/>
  <c r="AZ684" i="82"/>
  <c r="D684" i="82"/>
  <c r="G684" i="82" s="1"/>
  <c r="D692" i="82"/>
  <c r="G692" i="82" s="1"/>
  <c r="AZ692" i="82"/>
  <c r="BC692" i="82" s="1"/>
  <c r="E581" i="82"/>
  <c r="AZ700" i="82"/>
  <c r="BC700" i="82" s="1"/>
  <c r="D700" i="82"/>
  <c r="G700" i="82" s="1"/>
  <c r="E589" i="82"/>
  <c r="D712" i="82"/>
  <c r="AZ712" i="82"/>
  <c r="D716" i="82"/>
  <c r="AZ716" i="82"/>
  <c r="AZ724" i="82"/>
  <c r="D724" i="82"/>
  <c r="D732" i="82"/>
  <c r="AZ732" i="82"/>
  <c r="AZ740" i="82"/>
  <c r="D740" i="82"/>
  <c r="D748" i="82"/>
  <c r="AZ748" i="82"/>
  <c r="AZ756" i="82"/>
  <c r="D756" i="82"/>
  <c r="D764" i="82"/>
  <c r="AZ764" i="82"/>
  <c r="P673" i="82"/>
  <c r="CX673" i="82"/>
  <c r="EO673" i="82"/>
  <c r="BG673" i="82"/>
  <c r="J567" i="82"/>
  <c r="N686" i="82"/>
  <c r="BJ686" i="82"/>
  <c r="BJ702" i="82"/>
  <c r="N702" i="82"/>
  <c r="Q702" i="82" s="1"/>
  <c r="N726" i="82"/>
  <c r="BJ726" i="82"/>
  <c r="BJ742" i="82"/>
  <c r="N742" i="82"/>
  <c r="N758" i="82"/>
  <c r="BJ758" i="82"/>
  <c r="N699" i="82"/>
  <c r="Q699" i="82" s="1"/>
  <c r="BJ699" i="82"/>
  <c r="N715" i="82"/>
  <c r="BJ715" i="82"/>
  <c r="BJ731" i="82"/>
  <c r="N731" i="82"/>
  <c r="BJ747" i="82"/>
  <c r="N747" i="82"/>
  <c r="BJ763" i="82"/>
  <c r="N763" i="82"/>
  <c r="AT76" i="82"/>
  <c r="AT79" i="82" s="1"/>
  <c r="AT252" i="82"/>
  <c r="AT255" i="82" s="1"/>
  <c r="AT140" i="82"/>
  <c r="AT143" i="82" s="1"/>
  <c r="AT268" i="82"/>
  <c r="AT271" i="82" s="1"/>
  <c r="AT188" i="82"/>
  <c r="AT191" i="82" s="1"/>
  <c r="AT204" i="82"/>
  <c r="AT207" i="82" s="1"/>
  <c r="AT124" i="82"/>
  <c r="AT127" i="82" s="1"/>
  <c r="AT60" i="82"/>
  <c r="AT63" i="82" s="1"/>
  <c r="AN199" i="82"/>
  <c r="AN204" i="82" s="1"/>
  <c r="AN119" i="82"/>
  <c r="AN124" i="82" s="1"/>
  <c r="AN55" i="82"/>
  <c r="AN60" i="82" s="1"/>
  <c r="AN263" i="82"/>
  <c r="AN268" i="82" s="1"/>
  <c r="AN247" i="82"/>
  <c r="AN252" i="82" s="1"/>
  <c r="AN135" i="82"/>
  <c r="AN140" i="82" s="1"/>
  <c r="AN71" i="82"/>
  <c r="AN76" i="82" s="1"/>
  <c r="AN183" i="82"/>
  <c r="AN188" i="82" s="1"/>
  <c r="N570" i="82"/>
  <c r="BM685" i="82"/>
  <c r="BR702" i="82"/>
  <c r="G701" i="82"/>
  <c r="BH695" i="82"/>
  <c r="L689" i="82"/>
  <c r="J591" i="82"/>
  <c r="Q682" i="82"/>
  <c r="BR682" i="82"/>
  <c r="BH697" i="82"/>
  <c r="BM699" i="82"/>
  <c r="BM683" i="82"/>
  <c r="BC688" i="82"/>
  <c r="H583" i="82"/>
  <c r="V685" i="82"/>
  <c r="BM691" i="82"/>
  <c r="Q686" i="82"/>
  <c r="L702" i="82"/>
  <c r="CQ661" i="82"/>
  <c r="N558" i="82"/>
  <c r="BC684" i="82"/>
  <c r="CS674" i="82"/>
  <c r="K674" i="82"/>
  <c r="EJ674" i="82"/>
  <c r="BB674" i="82"/>
  <c r="H568" i="82"/>
  <c r="I690" i="82"/>
  <c r="L690" i="82" s="1"/>
  <c r="BE690" i="82"/>
  <c r="BH690" i="82" s="1"/>
  <c r="H579" i="82"/>
  <c r="BE698" i="82"/>
  <c r="BH698" i="82" s="1"/>
  <c r="I698" i="82"/>
  <c r="L698" i="82" s="1"/>
  <c r="H587" i="82"/>
  <c r="BE706" i="82"/>
  <c r="I706" i="82"/>
  <c r="I714" i="82"/>
  <c r="BE714" i="82"/>
  <c r="BE722" i="82"/>
  <c r="I722" i="82"/>
  <c r="BE730" i="82"/>
  <c r="I730" i="82"/>
  <c r="BE738" i="82"/>
  <c r="I738" i="82"/>
  <c r="BE746" i="82"/>
  <c r="I746" i="82"/>
  <c r="I754" i="82"/>
  <c r="BE754" i="82"/>
  <c r="BE762" i="82"/>
  <c r="I762" i="82"/>
  <c r="BE683" i="82"/>
  <c r="BH683" i="82" s="1"/>
  <c r="I683" i="82"/>
  <c r="L683" i="82" s="1"/>
  <c r="H572" i="82"/>
  <c r="BE691" i="82"/>
  <c r="BH691" i="82" s="1"/>
  <c r="I691" i="82"/>
  <c r="L691" i="82" s="1"/>
  <c r="H580" i="82"/>
  <c r="BE699" i="82"/>
  <c r="BH699" i="82" s="1"/>
  <c r="I699" i="82"/>
  <c r="L699" i="82" s="1"/>
  <c r="H588" i="82"/>
  <c r="I707" i="82"/>
  <c r="BE707" i="82"/>
  <c r="BE715" i="82"/>
  <c r="I715" i="82"/>
  <c r="BE723" i="82"/>
  <c r="I723" i="82"/>
  <c r="I731" i="82"/>
  <c r="BE731" i="82"/>
  <c r="BE739" i="82"/>
  <c r="I739" i="82"/>
  <c r="BE747" i="82"/>
  <c r="I747" i="82"/>
  <c r="I755" i="82"/>
  <c r="BE755" i="82"/>
  <c r="I763" i="82"/>
  <c r="BE763" i="82"/>
  <c r="EJ665" i="82"/>
  <c r="K665" i="82"/>
  <c r="BB665" i="82"/>
  <c r="CS665" i="82"/>
  <c r="H559" i="82"/>
  <c r="EJ669" i="82"/>
  <c r="BB669" i="82"/>
  <c r="K669" i="82"/>
  <c r="CS669" i="82"/>
  <c r="EJ673" i="82"/>
  <c r="CS673" i="82"/>
  <c r="BB673" i="82"/>
  <c r="K673" i="82"/>
  <c r="AT682" i="82"/>
  <c r="AE682" i="82"/>
  <c r="BO661" i="82"/>
  <c r="BN661" i="82"/>
  <c r="X661" i="82"/>
  <c r="EV661" i="82"/>
  <c r="DE661" i="82"/>
  <c r="DC661" i="82" s="1"/>
  <c r="W661" i="82"/>
  <c r="U661" i="82" s="1"/>
  <c r="DF661" i="82"/>
  <c r="EW661" i="82"/>
  <c r="N555" i="82"/>
  <c r="DF662" i="82"/>
  <c r="BO662" i="82"/>
  <c r="EW662" i="82"/>
  <c r="EV662" i="82"/>
  <c r="X662" i="82"/>
  <c r="DE662" i="82"/>
  <c r="BN662" i="82"/>
  <c r="W662" i="82"/>
  <c r="N556" i="82"/>
  <c r="S556" i="82" s="1"/>
  <c r="EV666" i="82"/>
  <c r="DF666" i="82"/>
  <c r="BN666" i="82"/>
  <c r="X666" i="82"/>
  <c r="W666" i="82"/>
  <c r="DE666" i="82"/>
  <c r="EW666" i="82"/>
  <c r="BO666" i="82"/>
  <c r="EV670" i="82"/>
  <c r="BO670" i="82"/>
  <c r="DE670" i="82"/>
  <c r="EW670" i="82"/>
  <c r="X670" i="82"/>
  <c r="DF670" i="82"/>
  <c r="W670" i="82"/>
  <c r="BN670" i="82"/>
  <c r="N564" i="82"/>
  <c r="EW674" i="82"/>
  <c r="W674" i="82"/>
  <c r="X674" i="82"/>
  <c r="DF674" i="82"/>
  <c r="DE674" i="82"/>
  <c r="EV674" i="82"/>
  <c r="BO674" i="82"/>
  <c r="BN674" i="82"/>
  <c r="BO683" i="82"/>
  <c r="BR683" i="82" s="1"/>
  <c r="S683" i="82"/>
  <c r="V683" i="82" s="1"/>
  <c r="S687" i="82"/>
  <c r="V687" i="82" s="1"/>
  <c r="BO687" i="82"/>
  <c r="BR687" i="82" s="1"/>
  <c r="BO691" i="82"/>
  <c r="S691" i="82"/>
  <c r="V691" i="82" s="1"/>
  <c r="BO695" i="82"/>
  <c r="BR695" i="82" s="1"/>
  <c r="S695" i="82"/>
  <c r="V695" i="82" s="1"/>
  <c r="N584" i="82"/>
  <c r="BO699" i="82"/>
  <c r="S699" i="82"/>
  <c r="V699" i="82" s="1"/>
  <c r="S703" i="82"/>
  <c r="BO703" i="82"/>
  <c r="S707" i="82"/>
  <c r="BO707" i="82"/>
  <c r="BO711" i="82"/>
  <c r="S711" i="82"/>
  <c r="S715" i="82"/>
  <c r="BO715" i="82"/>
  <c r="S719" i="82"/>
  <c r="BO719" i="82"/>
  <c r="BO723" i="82"/>
  <c r="S723" i="82"/>
  <c r="BO727" i="82"/>
  <c r="S727" i="82"/>
  <c r="S731" i="82"/>
  <c r="BO731" i="82"/>
  <c r="BO735" i="82"/>
  <c r="S735" i="82"/>
  <c r="S739" i="82"/>
  <c r="BO739" i="82"/>
  <c r="S743" i="82"/>
  <c r="BO743" i="82"/>
  <c r="BO747" i="82"/>
  <c r="S747" i="82"/>
  <c r="BO751" i="82"/>
  <c r="S751" i="82"/>
  <c r="BO755" i="82"/>
  <c r="S755" i="82"/>
  <c r="S759" i="82"/>
  <c r="BO759" i="82"/>
  <c r="BO763" i="82"/>
  <c r="S763" i="82"/>
  <c r="E573" i="82"/>
  <c r="CO667" i="82"/>
  <c r="C667" i="82"/>
  <c r="AT667" i="82"/>
  <c r="EB667" i="82"/>
  <c r="G667" i="82"/>
  <c r="AX667" i="82"/>
  <c r="CK667" i="82"/>
  <c r="EF667" i="82"/>
  <c r="E561" i="82"/>
  <c r="EB664" i="82"/>
  <c r="AT664" i="82"/>
  <c r="EF664" i="82"/>
  <c r="CO664" i="82"/>
  <c r="AX664" i="82"/>
  <c r="G664" i="82"/>
  <c r="C664" i="82"/>
  <c r="CK664" i="82"/>
  <c r="E558" i="82"/>
  <c r="C672" i="82"/>
  <c r="G672" i="82"/>
  <c r="AX672" i="82"/>
  <c r="EB672" i="82"/>
  <c r="CO672" i="82"/>
  <c r="AT672" i="82"/>
  <c r="CK672" i="82"/>
  <c r="EF672" i="82"/>
  <c r="E566" i="82"/>
  <c r="EB674" i="82"/>
  <c r="EF674" i="82"/>
  <c r="C674" i="82"/>
  <c r="G674" i="82"/>
  <c r="CK674" i="82"/>
  <c r="CO674" i="82"/>
  <c r="AX674" i="82"/>
  <c r="AT674" i="82"/>
  <c r="E568" i="82"/>
  <c r="AZ686" i="82"/>
  <c r="BC686" i="82" s="1"/>
  <c r="D686" i="82"/>
  <c r="G686" i="82" s="1"/>
  <c r="E575" i="82"/>
  <c r="AZ690" i="82"/>
  <c r="BC690" i="82" s="1"/>
  <c r="D690" i="82"/>
  <c r="G690" i="82" s="1"/>
  <c r="E579" i="82"/>
  <c r="D694" i="82"/>
  <c r="AZ694" i="82"/>
  <c r="BC694" i="82" s="1"/>
  <c r="D698" i="82"/>
  <c r="G698" i="82" s="1"/>
  <c r="AZ698" i="82"/>
  <c r="BC698" i="82" s="1"/>
  <c r="D702" i="82"/>
  <c r="G702" i="82" s="1"/>
  <c r="AZ702" i="82"/>
  <c r="BC702" i="82" s="1"/>
  <c r="AZ706" i="82"/>
  <c r="D706" i="82"/>
  <c r="D710" i="82"/>
  <c r="AZ710" i="82"/>
  <c r="D714" i="82"/>
  <c r="AZ714" i="82"/>
  <c r="D718" i="82"/>
  <c r="AZ718" i="82"/>
  <c r="AZ722" i="82"/>
  <c r="D722" i="82"/>
  <c r="D726" i="82"/>
  <c r="AZ726" i="82"/>
  <c r="AZ730" i="82"/>
  <c r="D730" i="82"/>
  <c r="D734" i="82"/>
  <c r="AZ734" i="82"/>
  <c r="AZ738" i="82"/>
  <c r="D738" i="82"/>
  <c r="AZ742" i="82"/>
  <c r="D742" i="82"/>
  <c r="D746" i="82"/>
  <c r="AZ746" i="82"/>
  <c r="AZ750" i="82"/>
  <c r="D750" i="82"/>
  <c r="D754" i="82"/>
  <c r="AZ754" i="82"/>
  <c r="D758" i="82"/>
  <c r="AZ758" i="82"/>
  <c r="AZ762" i="82"/>
  <c r="D762" i="82"/>
  <c r="D766" i="82"/>
  <c r="AZ766" i="82"/>
  <c r="BG668" i="82"/>
  <c r="P668" i="82"/>
  <c r="CX668" i="82"/>
  <c r="EO668" i="82"/>
  <c r="J562" i="82"/>
  <c r="EO669" i="82"/>
  <c r="P669" i="82"/>
  <c r="CX669" i="82"/>
  <c r="BG669" i="82"/>
  <c r="P666" i="82"/>
  <c r="EO666" i="82"/>
  <c r="CX666" i="82"/>
  <c r="BG666" i="82"/>
  <c r="P676" i="82"/>
  <c r="CX676" i="82"/>
  <c r="EO676" i="82"/>
  <c r="BG676" i="82"/>
  <c r="N690" i="82"/>
  <c r="Q690" i="82" s="1"/>
  <c r="BJ690" i="82"/>
  <c r="N698" i="82"/>
  <c r="Q698" i="82" s="1"/>
  <c r="BJ698" i="82"/>
  <c r="BJ706" i="82"/>
  <c r="N706" i="82"/>
  <c r="BJ714" i="82"/>
  <c r="N714" i="82"/>
  <c r="BJ722" i="82"/>
  <c r="N722" i="82"/>
  <c r="N730" i="82"/>
  <c r="BJ730" i="82"/>
  <c r="N738" i="82"/>
  <c r="BJ738" i="82"/>
  <c r="N746" i="82"/>
  <c r="BJ746" i="82"/>
  <c r="N754" i="82"/>
  <c r="BJ754" i="82"/>
  <c r="BJ762" i="82"/>
  <c r="N762" i="82"/>
  <c r="EO661" i="82"/>
  <c r="BG661" i="82"/>
  <c r="CX661" i="82"/>
  <c r="P661" i="82"/>
  <c r="J555" i="82"/>
  <c r="N687" i="82"/>
  <c r="BJ687" i="82"/>
  <c r="BM687" i="82" s="1"/>
  <c r="N695" i="82"/>
  <c r="Q695" i="82" s="1"/>
  <c r="BJ695" i="82"/>
  <c r="BM695" i="82" s="1"/>
  <c r="J584" i="82"/>
  <c r="BJ703" i="82"/>
  <c r="N703" i="82"/>
  <c r="BJ711" i="82"/>
  <c r="N711" i="82"/>
  <c r="BJ719" i="82"/>
  <c r="N719" i="82"/>
  <c r="BJ727" i="82"/>
  <c r="N727" i="82"/>
  <c r="N735" i="82"/>
  <c r="BJ735" i="82"/>
  <c r="BJ743" i="82"/>
  <c r="N743" i="82"/>
  <c r="N751" i="82"/>
  <c r="BJ751" i="82"/>
  <c r="BJ759" i="82"/>
  <c r="N759" i="82"/>
  <c r="AT180" i="82"/>
  <c r="AT183" i="82" s="1"/>
  <c r="AT244" i="82"/>
  <c r="AT247" i="82" s="1"/>
  <c r="AT132" i="82"/>
  <c r="AT135" i="82" s="1"/>
  <c r="AT116" i="82"/>
  <c r="AT119" i="82" s="1"/>
  <c r="AT68" i="82"/>
  <c r="AT71" i="82" s="1"/>
  <c r="AT52" i="82"/>
  <c r="AT55" i="82" s="1"/>
  <c r="AT196" i="82"/>
  <c r="AT199" i="82" s="1"/>
  <c r="AT260" i="82"/>
  <c r="AT263" i="82" s="1"/>
  <c r="AN231" i="82"/>
  <c r="AN236" i="82" s="1"/>
  <c r="AN167" i="82"/>
  <c r="AN172" i="82" s="1"/>
  <c r="AN87" i="82"/>
  <c r="AN92" i="82" s="1"/>
  <c r="AN23" i="82"/>
  <c r="AN28" i="82" s="1"/>
  <c r="AN215" i="82"/>
  <c r="AN220" i="82" s="1"/>
  <c r="AN103" i="82"/>
  <c r="AN108" i="82" s="1"/>
  <c r="AN39" i="82"/>
  <c r="AN44" i="82" s="1"/>
  <c r="AN151" i="82"/>
  <c r="AN156" i="82" s="1"/>
  <c r="AT276" i="82"/>
  <c r="AT279" i="82" s="1"/>
  <c r="AT4" i="82"/>
  <c r="AT7" i="82" s="1"/>
  <c r="AH59" i="82"/>
  <c r="AH72" i="82" s="1"/>
  <c r="AH299" i="82"/>
  <c r="AH312" i="82" s="1"/>
  <c r="AH331" i="82"/>
  <c r="AH344" i="82" s="1"/>
  <c r="AH26" i="82"/>
  <c r="AH40" i="82" s="1"/>
  <c r="AH459" i="82"/>
  <c r="AH472" i="82" s="1"/>
  <c r="AH155" i="82"/>
  <c r="AH168" i="82" s="1"/>
  <c r="AH187" i="82"/>
  <c r="AH200" i="82" s="1"/>
  <c r="AH427" i="82"/>
  <c r="AH440" i="82" s="1"/>
  <c r="BR691" i="82"/>
  <c r="BM690" i="82"/>
  <c r="BC701" i="82"/>
  <c r="BM702" i="82"/>
  <c r="BM682" i="82"/>
  <c r="G697" i="82"/>
  <c r="BR699" i="82"/>
  <c r="Q687" i="82"/>
  <c r="V682" i="82"/>
  <c r="L697" i="82"/>
  <c r="BM698" i="82"/>
  <c r="G694" i="82"/>
  <c r="J572" i="82"/>
  <c r="G688" i="82"/>
  <c r="L694" i="82"/>
  <c r="BR685" i="82"/>
  <c r="BM686" i="82"/>
  <c r="BH702" i="82"/>
  <c r="H557" i="82"/>
  <c r="CM661" i="82"/>
  <c r="AZ661" i="82"/>
  <c r="H555" i="82"/>
  <c r="G685" i="82"/>
  <c r="DM663" i="82"/>
  <c r="I684" i="82"/>
  <c r="L684" i="82" s="1"/>
  <c r="BE684" i="82"/>
  <c r="BH684" i="82" s="1"/>
  <c r="H573" i="82"/>
  <c r="BE692" i="82"/>
  <c r="BH692" i="82" s="1"/>
  <c r="I692" i="82"/>
  <c r="L692" i="82" s="1"/>
  <c r="H581" i="82"/>
  <c r="BE700" i="82"/>
  <c r="BH700" i="82" s="1"/>
  <c r="I700" i="82"/>
  <c r="L700" i="82" s="1"/>
  <c r="H589" i="82"/>
  <c r="BE708" i="82"/>
  <c r="I708" i="82"/>
  <c r="BE716" i="82"/>
  <c r="I716" i="82"/>
  <c r="I724" i="82"/>
  <c r="BE724" i="82"/>
  <c r="BE732" i="82"/>
  <c r="I732" i="82"/>
  <c r="BE740" i="82"/>
  <c r="I740" i="82"/>
  <c r="I748" i="82"/>
  <c r="BE748" i="82"/>
  <c r="BE756" i="82"/>
  <c r="I756" i="82"/>
  <c r="I764" i="82"/>
  <c r="BE764" i="82"/>
  <c r="BE685" i="82"/>
  <c r="BH685" i="82" s="1"/>
  <c r="I685" i="82"/>
  <c r="L685" i="82" s="1"/>
  <c r="H574" i="82"/>
  <c r="I693" i="82"/>
  <c r="L693" i="82" s="1"/>
  <c r="BE693" i="82"/>
  <c r="BH693" i="82" s="1"/>
  <c r="BE701" i="82"/>
  <c r="BH701" i="82" s="1"/>
  <c r="I701" i="82"/>
  <c r="L701" i="82" s="1"/>
  <c r="BE709" i="82"/>
  <c r="I709" i="82"/>
  <c r="BE717" i="82"/>
  <c r="I717" i="82"/>
  <c r="BE725" i="82"/>
  <c r="I725" i="82"/>
  <c r="BE733" i="82"/>
  <c r="I733" i="82"/>
  <c r="BE741" i="82"/>
  <c r="I741" i="82"/>
  <c r="BE749" i="82"/>
  <c r="I749" i="82"/>
  <c r="BE757" i="82"/>
  <c r="I757" i="82"/>
  <c r="BE765" i="82"/>
  <c r="I765" i="82"/>
  <c r="CS666" i="82"/>
  <c r="EJ666" i="82"/>
  <c r="BB666" i="82"/>
  <c r="K666" i="82"/>
  <c r="H560" i="82"/>
  <c r="BB670" i="82"/>
  <c r="K670" i="82"/>
  <c r="CS670" i="82"/>
  <c r="EJ670" i="82"/>
  <c r="I682" i="82"/>
  <c r="L682" i="82" s="1"/>
  <c r="BE682" i="82"/>
  <c r="BH682" i="82" s="1"/>
  <c r="H571" i="82"/>
  <c r="CP682" i="82"/>
  <c r="CA682" i="82"/>
  <c r="BN663" i="82"/>
  <c r="BO663" i="82"/>
  <c r="DF663" i="82"/>
  <c r="DE663" i="82"/>
  <c r="X663" i="82"/>
  <c r="W663" i="82"/>
  <c r="EV663" i="82"/>
  <c r="EW663" i="82"/>
  <c r="N557" i="82"/>
  <c r="BO667" i="82"/>
  <c r="DF667" i="82"/>
  <c r="BN667" i="82"/>
  <c r="EW667" i="82"/>
  <c r="DE667" i="82"/>
  <c r="W667" i="82"/>
  <c r="X667" i="82"/>
  <c r="EV667" i="82"/>
  <c r="N561" i="82"/>
  <c r="W671" i="82"/>
  <c r="EW671" i="82"/>
  <c r="X671" i="82"/>
  <c r="BO671" i="82"/>
  <c r="DE671" i="82"/>
  <c r="BN671" i="82"/>
  <c r="DF671" i="82"/>
  <c r="EV671" i="82"/>
  <c r="N565" i="82"/>
  <c r="DE675" i="82"/>
  <c r="BO675" i="82"/>
  <c r="DF675" i="82"/>
  <c r="EW675" i="82"/>
  <c r="EV675" i="82"/>
  <c r="BN675" i="82"/>
  <c r="W675" i="82"/>
  <c r="X675" i="82"/>
  <c r="N569" i="82"/>
  <c r="S684" i="82"/>
  <c r="V684" i="82" s="1"/>
  <c r="BO684" i="82"/>
  <c r="BR684" i="82" s="1"/>
  <c r="S688" i="82"/>
  <c r="V688" i="82" s="1"/>
  <c r="BO688" i="82"/>
  <c r="BR688" i="82" s="1"/>
  <c r="N577" i="82"/>
  <c r="BO692" i="82"/>
  <c r="BR692" i="82" s="1"/>
  <c r="S692" i="82"/>
  <c r="V692" i="82" s="1"/>
  <c r="BO696" i="82"/>
  <c r="BR696" i="82" s="1"/>
  <c r="S696" i="82"/>
  <c r="V696" i="82" s="1"/>
  <c r="N585" i="82"/>
  <c r="BO700" i="82"/>
  <c r="BR700" i="82" s="1"/>
  <c r="S700" i="82"/>
  <c r="V700" i="82" s="1"/>
  <c r="S704" i="82"/>
  <c r="BO704" i="82"/>
  <c r="S708" i="82"/>
  <c r="BO708" i="82"/>
  <c r="BO712" i="82"/>
  <c r="S712" i="82"/>
  <c r="S716" i="82"/>
  <c r="BO716" i="82"/>
  <c r="BO720" i="82"/>
  <c r="S720" i="82"/>
  <c r="BO724" i="82"/>
  <c r="S724" i="82"/>
  <c r="S728" i="82"/>
  <c r="BO728" i="82"/>
  <c r="BO732" i="82"/>
  <c r="S732" i="82"/>
  <c r="BO736" i="82"/>
  <c r="S736" i="82"/>
  <c r="S740" i="82"/>
  <c r="BO740" i="82"/>
  <c r="S744" i="82"/>
  <c r="BO744" i="82"/>
  <c r="S748" i="82"/>
  <c r="BO748" i="82"/>
  <c r="BO752" i="82"/>
  <c r="S752" i="82"/>
  <c r="BO756" i="82"/>
  <c r="S756" i="82"/>
  <c r="S760" i="82"/>
  <c r="BO760" i="82"/>
  <c r="S764" i="82"/>
  <c r="BO764" i="82"/>
  <c r="CO669" i="82"/>
  <c r="EB669" i="82"/>
  <c r="CK669" i="82"/>
  <c r="AT669" i="82"/>
  <c r="EF669" i="82"/>
  <c r="C669" i="82"/>
  <c r="G669" i="82"/>
  <c r="AX669" i="82"/>
  <c r="E563" i="82"/>
  <c r="CO666" i="82"/>
  <c r="C666" i="82"/>
  <c r="AX666" i="82"/>
  <c r="EF666" i="82"/>
  <c r="EB666" i="82"/>
  <c r="G666" i="82"/>
  <c r="CK666" i="82"/>
  <c r="AT666" i="82"/>
  <c r="E560" i="82"/>
  <c r="G675" i="82"/>
  <c r="EB675" i="82"/>
  <c r="C675" i="82"/>
  <c r="CK675" i="82"/>
  <c r="CO675" i="82"/>
  <c r="AX675" i="82"/>
  <c r="AT675" i="82"/>
  <c r="EF675" i="82"/>
  <c r="AZ683" i="82"/>
  <c r="BC683" i="82" s="1"/>
  <c r="D683" i="82"/>
  <c r="G683" i="82" s="1"/>
  <c r="E572" i="82"/>
  <c r="D687" i="82"/>
  <c r="G687" i="82" s="1"/>
  <c r="AZ687" i="82"/>
  <c r="BC687" i="82" s="1"/>
  <c r="E576" i="82"/>
  <c r="D691" i="82"/>
  <c r="G691" i="82" s="1"/>
  <c r="AZ691" i="82"/>
  <c r="BC691" i="82" s="1"/>
  <c r="E580" i="82"/>
  <c r="D695" i="82"/>
  <c r="G695" i="82" s="1"/>
  <c r="AZ695" i="82"/>
  <c r="BC695" i="82" s="1"/>
  <c r="AZ699" i="82"/>
  <c r="BC699" i="82" s="1"/>
  <c r="D699" i="82"/>
  <c r="G699" i="82" s="1"/>
  <c r="E588" i="82"/>
  <c r="AZ703" i="82"/>
  <c r="D703" i="82"/>
  <c r="AZ707" i="82"/>
  <c r="D707" i="82"/>
  <c r="D711" i="82"/>
  <c r="AZ711" i="82"/>
  <c r="AZ715" i="82"/>
  <c r="D715" i="82"/>
  <c r="AZ719" i="82"/>
  <c r="D719" i="82"/>
  <c r="AZ723" i="82"/>
  <c r="D723" i="82"/>
  <c r="D727" i="82"/>
  <c r="AZ727" i="82"/>
  <c r="D731" i="82"/>
  <c r="AZ731" i="82"/>
  <c r="AZ735" i="82"/>
  <c r="D735" i="82"/>
  <c r="D739" i="82"/>
  <c r="AZ739" i="82"/>
  <c r="AZ743" i="82"/>
  <c r="D743" i="82"/>
  <c r="AZ747" i="82"/>
  <c r="D747" i="82"/>
  <c r="D751" i="82"/>
  <c r="AZ751" i="82"/>
  <c r="AZ755" i="82"/>
  <c r="D755" i="82"/>
  <c r="AZ759" i="82"/>
  <c r="D759" i="82"/>
  <c r="D763" i="82"/>
  <c r="AZ763" i="82"/>
  <c r="EO672" i="82"/>
  <c r="BG672" i="82"/>
  <c r="P672" i="82"/>
  <c r="CX672" i="82"/>
  <c r="CX671" i="82"/>
  <c r="BG671" i="82"/>
  <c r="EO671" i="82"/>
  <c r="P671" i="82"/>
  <c r="J565" i="82"/>
  <c r="EO670" i="82"/>
  <c r="CX670" i="82"/>
  <c r="P670" i="82"/>
  <c r="BG670" i="82"/>
  <c r="J564" i="82"/>
  <c r="N684" i="82"/>
  <c r="Q684" i="82" s="1"/>
  <c r="BJ684" i="82"/>
  <c r="BM684" i="82" s="1"/>
  <c r="N692" i="82"/>
  <c r="Q692" i="82" s="1"/>
  <c r="BJ692" i="82"/>
  <c r="BM692" i="82" s="1"/>
  <c r="N700" i="82"/>
  <c r="Q700" i="82" s="1"/>
  <c r="BJ700" i="82"/>
  <c r="BM700" i="82" s="1"/>
  <c r="N708" i="82"/>
  <c r="BJ708" i="82"/>
  <c r="N716" i="82"/>
  <c r="BJ716" i="82"/>
  <c r="N724" i="82"/>
  <c r="BJ724" i="82"/>
  <c r="BJ732" i="82"/>
  <c r="N732" i="82"/>
  <c r="N740" i="82"/>
  <c r="BJ740" i="82"/>
  <c r="N748" i="82"/>
  <c r="BJ748" i="82"/>
  <c r="N756" i="82"/>
  <c r="BJ756" i="82"/>
  <c r="N764" i="82"/>
  <c r="BJ764" i="82"/>
  <c r="EO674" i="82"/>
  <c r="CX674" i="82"/>
  <c r="BG674" i="82"/>
  <c r="P674" i="82"/>
  <c r="BJ689" i="82"/>
  <c r="BM689" i="82" s="1"/>
  <c r="N689" i="82"/>
  <c r="Q689" i="82" s="1"/>
  <c r="J578" i="82"/>
  <c r="N697" i="82"/>
  <c r="Q697" i="82" s="1"/>
  <c r="BJ697" i="82"/>
  <c r="BM697" i="82" s="1"/>
  <c r="J586" i="82"/>
  <c r="N705" i="82"/>
  <c r="BJ705" i="82"/>
  <c r="N713" i="82"/>
  <c r="BJ713" i="82"/>
  <c r="BJ721" i="82"/>
  <c r="N721" i="82"/>
  <c r="BJ729" i="82"/>
  <c r="N729" i="82"/>
  <c r="BJ737" i="82"/>
  <c r="N737" i="82"/>
  <c r="N745" i="82"/>
  <c r="BJ745" i="82"/>
  <c r="N753" i="82"/>
  <c r="BJ753" i="82"/>
  <c r="N761" i="82"/>
  <c r="BJ761" i="82"/>
  <c r="L560" i="72"/>
  <c r="C560" i="72"/>
  <c r="BC665" i="72"/>
  <c r="F560" i="72"/>
  <c r="EK666" i="72" s="1"/>
  <c r="EC665" i="72"/>
  <c r="M661" i="82"/>
  <c r="N661" i="82"/>
  <c r="AU665" i="72"/>
  <c r="EG665" i="72"/>
  <c r="EM661" i="82"/>
  <c r="EL661" i="82"/>
  <c r="CU661" i="82"/>
  <c r="CV661" i="82"/>
  <c r="BE661" i="82"/>
  <c r="BD661" i="82"/>
  <c r="CL665" i="72"/>
  <c r="CP665" i="72"/>
  <c r="I560" i="72"/>
  <c r="Q666" i="72" s="1"/>
  <c r="AQ560" i="72"/>
  <c r="BM665" i="72"/>
  <c r="AE560" i="72"/>
  <c r="DD665" i="72"/>
  <c r="B561" i="72"/>
  <c r="AV561" i="72" s="1"/>
  <c r="V665" i="72"/>
  <c r="AI560" i="72"/>
  <c r="CT665" i="72"/>
  <c r="L665" i="72"/>
  <c r="H665" i="72"/>
  <c r="CY665" i="72"/>
  <c r="BH665" i="72"/>
  <c r="D665" i="72"/>
  <c r="EP665" i="72"/>
  <c r="AV593" i="82"/>
  <c r="I593" i="82"/>
  <c r="AE593" i="82"/>
  <c r="F593" i="82"/>
  <c r="AQ593" i="82"/>
  <c r="B594" i="82"/>
  <c r="AI593" i="82"/>
  <c r="L593" i="82"/>
  <c r="AM593" i="82"/>
  <c r="C593" i="82"/>
  <c r="BG703" i="82"/>
  <c r="BH703" i="82" s="1"/>
  <c r="K703" i="82"/>
  <c r="L703" i="82" s="1"/>
  <c r="H592" i="82"/>
  <c r="BQ703" i="82"/>
  <c r="BR703" i="82" s="1"/>
  <c r="U703" i="82"/>
  <c r="V703" i="82" s="1"/>
  <c r="N592" i="82"/>
  <c r="P703" i="82"/>
  <c r="Q703" i="82" s="1"/>
  <c r="BL703" i="82"/>
  <c r="BM703" i="82" s="1"/>
  <c r="J592" i="82"/>
  <c r="BB703" i="82"/>
  <c r="BC703" i="82" s="1"/>
  <c r="F703" i="82"/>
  <c r="G703" i="82" s="1"/>
  <c r="E592" i="82"/>
  <c r="C129" i="73"/>
  <c r="C31" i="73"/>
  <c r="C27" i="73"/>
  <c r="C136" i="73"/>
  <c r="C51" i="73"/>
  <c r="C39" i="73"/>
  <c r="C75" i="73"/>
  <c r="CK662" i="72"/>
  <c r="C662" i="72"/>
  <c r="CO662" i="72"/>
  <c r="G662" i="72"/>
  <c r="B7" i="6"/>
  <c r="F5" i="6"/>
  <c r="C46" i="6" s="1"/>
  <c r="B5" i="6"/>
  <c r="F3" i="6"/>
  <c r="C29" i="6" s="1"/>
  <c r="AB307" i="82" s="1"/>
  <c r="AB336" i="82" s="1"/>
  <c r="B3" i="6"/>
  <c r="F4" i="6"/>
  <c r="C38" i="6" s="1"/>
  <c r="B6" i="6"/>
  <c r="B4" i="6"/>
  <c r="E556" i="72"/>
  <c r="AX662" i="72"/>
  <c r="EO663" i="72"/>
  <c r="EF662" i="72"/>
  <c r="FC662" i="72" s="1"/>
  <c r="AT662" i="72"/>
  <c r="J557" i="72"/>
  <c r="AU682" i="72"/>
  <c r="CQ682" i="72"/>
  <c r="AT682" i="72"/>
  <c r="AE682" i="72"/>
  <c r="CP682" i="72"/>
  <c r="CA682" i="72"/>
  <c r="H556" i="72"/>
  <c r="BG663" i="72"/>
  <c r="EJ662" i="72"/>
  <c r="FL662" i="72" s="1"/>
  <c r="CX663" i="72"/>
  <c r="K662" i="72"/>
  <c r="AM662" i="72" s="1"/>
  <c r="AB227" i="72"/>
  <c r="AB256" i="72" s="1"/>
  <c r="BB662" i="72"/>
  <c r="CD662" i="72" s="1"/>
  <c r="AB163" i="72"/>
  <c r="AB99" i="72"/>
  <c r="AZ691" i="72"/>
  <c r="D691" i="72"/>
  <c r="BJ737" i="72"/>
  <c r="N737" i="72"/>
  <c r="S737" i="72"/>
  <c r="BO737" i="72"/>
  <c r="S734" i="72"/>
  <c r="BO734" i="72"/>
  <c r="AZ717" i="72"/>
  <c r="D717" i="72"/>
  <c r="BE686" i="72"/>
  <c r="I686" i="72"/>
  <c r="I699" i="72"/>
  <c r="BE699" i="72"/>
  <c r="BJ756" i="72"/>
  <c r="N756" i="72"/>
  <c r="N682" i="72"/>
  <c r="BJ682" i="72"/>
  <c r="BO739" i="72"/>
  <c r="S739" i="72"/>
  <c r="S752" i="72"/>
  <c r="BO752" i="72"/>
  <c r="AZ710" i="72"/>
  <c r="D710" i="72"/>
  <c r="AZ729" i="72"/>
  <c r="D729" i="72"/>
  <c r="BE760" i="72"/>
  <c r="I760" i="72"/>
  <c r="I722" i="72"/>
  <c r="BE722" i="72"/>
  <c r="N713" i="72"/>
  <c r="BJ713" i="72"/>
  <c r="BJ743" i="72"/>
  <c r="N743" i="72"/>
  <c r="S732" i="72"/>
  <c r="BO732" i="72"/>
  <c r="S719" i="72"/>
  <c r="BO719" i="72"/>
  <c r="AZ699" i="72"/>
  <c r="D699" i="72"/>
  <c r="BE711" i="72"/>
  <c r="I711" i="72"/>
  <c r="BJ697" i="72"/>
  <c r="N697" i="72"/>
  <c r="BJ691" i="72"/>
  <c r="N691" i="72"/>
  <c r="BJ732" i="72"/>
  <c r="N732" i="72"/>
  <c r="N730" i="72"/>
  <c r="BJ730" i="72"/>
  <c r="BJ760" i="72"/>
  <c r="N760" i="72"/>
  <c r="BJ696" i="72"/>
  <c r="N696" i="72"/>
  <c r="BJ735" i="72"/>
  <c r="N735" i="72"/>
  <c r="N710" i="72"/>
  <c r="BJ710" i="72"/>
  <c r="S724" i="72"/>
  <c r="BO724" i="72"/>
  <c r="BO689" i="72"/>
  <c r="S689" i="72"/>
  <c r="BO716" i="72"/>
  <c r="S716" i="72"/>
  <c r="S699" i="72"/>
  <c r="BO699" i="72"/>
  <c r="BO706" i="72"/>
  <c r="S706" i="72"/>
  <c r="S736" i="72"/>
  <c r="BO736" i="72"/>
  <c r="BO711" i="72"/>
  <c r="S711" i="72"/>
  <c r="S750" i="72"/>
  <c r="BO750" i="72"/>
  <c r="S686" i="72"/>
  <c r="BO686" i="72"/>
  <c r="AZ689" i="72"/>
  <c r="D689" i="72"/>
  <c r="AZ718" i="72"/>
  <c r="D718" i="72"/>
  <c r="AZ692" i="72"/>
  <c r="D692" i="72"/>
  <c r="AZ747" i="72"/>
  <c r="D747" i="72"/>
  <c r="AZ688" i="72"/>
  <c r="D688" i="72"/>
  <c r="AZ727" i="72"/>
  <c r="D727" i="72"/>
  <c r="AZ762" i="72"/>
  <c r="D762" i="72"/>
  <c r="AZ751" i="72"/>
  <c r="D751" i="72"/>
  <c r="AZ704" i="72"/>
  <c r="D704" i="72"/>
  <c r="AZ693" i="72"/>
  <c r="D693" i="72"/>
  <c r="BE687" i="72"/>
  <c r="I687" i="72"/>
  <c r="BE712" i="72"/>
  <c r="I712" i="72"/>
  <c r="BE693" i="72"/>
  <c r="I693" i="72"/>
  <c r="BE731" i="72"/>
  <c r="I731" i="72"/>
  <c r="BE762" i="72"/>
  <c r="I762" i="72"/>
  <c r="BE729" i="72"/>
  <c r="I729" i="72"/>
  <c r="BJ723" i="72"/>
  <c r="N723" i="72"/>
  <c r="BJ757" i="72"/>
  <c r="N757" i="72"/>
  <c r="BJ755" i="72"/>
  <c r="N755" i="72"/>
  <c r="BJ717" i="72"/>
  <c r="N717" i="72"/>
  <c r="N700" i="72"/>
  <c r="BJ700" i="72"/>
  <c r="BJ714" i="72"/>
  <c r="N714" i="72"/>
  <c r="BJ744" i="72"/>
  <c r="N744" i="72"/>
  <c r="BJ719" i="72"/>
  <c r="N719" i="72"/>
  <c r="BJ758" i="72"/>
  <c r="N758" i="72"/>
  <c r="BO740" i="72"/>
  <c r="S740" i="72"/>
  <c r="BO725" i="72"/>
  <c r="S725" i="72"/>
  <c r="BO721" i="72"/>
  <c r="S721" i="72"/>
  <c r="BO684" i="72"/>
  <c r="S684" i="72"/>
  <c r="S690" i="72"/>
  <c r="BO690" i="72"/>
  <c r="BO759" i="72"/>
  <c r="S759" i="72"/>
  <c r="BO695" i="72"/>
  <c r="S695" i="72"/>
  <c r="AZ736" i="72"/>
  <c r="D736" i="72"/>
  <c r="AZ703" i="72"/>
  <c r="D703" i="72"/>
  <c r="AZ696" i="72"/>
  <c r="D696" i="72"/>
  <c r="AZ707" i="72"/>
  <c r="D707" i="72"/>
  <c r="AZ714" i="72"/>
  <c r="D714" i="72"/>
  <c r="AZ700" i="72"/>
  <c r="D700" i="72"/>
  <c r="AZ753" i="72"/>
  <c r="D753" i="72"/>
  <c r="AZ730" i="72"/>
  <c r="D730" i="72"/>
  <c r="AZ755" i="72"/>
  <c r="D755" i="72"/>
  <c r="AZ732" i="72"/>
  <c r="D732" i="72"/>
  <c r="BE756" i="72"/>
  <c r="I756" i="72"/>
  <c r="BE743" i="72"/>
  <c r="I743" i="72"/>
  <c r="BE710" i="72"/>
  <c r="I710" i="72"/>
  <c r="BE725" i="72"/>
  <c r="I725" i="72"/>
  <c r="BE763" i="72"/>
  <c r="I763" i="72"/>
  <c r="BE730" i="72"/>
  <c r="I730" i="72"/>
  <c r="BE761" i="72"/>
  <c r="I761" i="72"/>
  <c r="I697" i="72"/>
  <c r="BE697" i="72"/>
  <c r="BJ747" i="72"/>
  <c r="N747" i="72"/>
  <c r="BJ740" i="72"/>
  <c r="N740" i="72"/>
  <c r="N764" i="72"/>
  <c r="BJ764" i="72"/>
  <c r="BJ746" i="72"/>
  <c r="N746" i="72"/>
  <c r="BJ712" i="72"/>
  <c r="N712" i="72"/>
  <c r="BJ751" i="72"/>
  <c r="N751" i="72"/>
  <c r="N687" i="72"/>
  <c r="BJ687" i="72"/>
  <c r="BJ726" i="72"/>
  <c r="N726" i="72"/>
  <c r="BO765" i="72"/>
  <c r="S765" i="72"/>
  <c r="BO733" i="72"/>
  <c r="S733" i="72"/>
  <c r="S723" i="72"/>
  <c r="BO723" i="72"/>
  <c r="BO748" i="72"/>
  <c r="S748" i="72"/>
  <c r="BO731" i="72"/>
  <c r="S731" i="72"/>
  <c r="BO713" i="72"/>
  <c r="S713" i="72"/>
  <c r="BO722" i="72"/>
  <c r="S722" i="72"/>
  <c r="S688" i="72"/>
  <c r="BO688" i="72"/>
  <c r="S727" i="72"/>
  <c r="BO727" i="72"/>
  <c r="BO766" i="72"/>
  <c r="S766" i="72"/>
  <c r="S702" i="72"/>
  <c r="BO702" i="72"/>
  <c r="AZ694" i="72"/>
  <c r="D694" i="72"/>
  <c r="AZ766" i="72"/>
  <c r="D766" i="72"/>
  <c r="AZ743" i="72"/>
  <c r="D743" i="72"/>
  <c r="AZ720" i="72"/>
  <c r="D720" i="72"/>
  <c r="AZ742" i="72"/>
  <c r="D742" i="72"/>
  <c r="AZ722" i="72"/>
  <c r="D722" i="72"/>
  <c r="BE688" i="72"/>
  <c r="I688" i="72"/>
  <c r="BE734" i="72"/>
  <c r="I734" i="72"/>
  <c r="I750" i="72"/>
  <c r="BE750" i="72"/>
  <c r="BE766" i="72"/>
  <c r="I766" i="72"/>
  <c r="BE727" i="72"/>
  <c r="I727" i="72"/>
  <c r="I694" i="72"/>
  <c r="BE694" i="72"/>
  <c r="BE717" i="72"/>
  <c r="I717" i="72"/>
  <c r="BE755" i="72"/>
  <c r="I755" i="72"/>
  <c r="I691" i="72"/>
  <c r="BE691" i="72"/>
  <c r="BE753" i="72"/>
  <c r="I753" i="72"/>
  <c r="I689" i="72"/>
  <c r="BE689" i="72"/>
  <c r="BJ745" i="72"/>
  <c r="N745" i="72"/>
  <c r="BJ729" i="72"/>
  <c r="N729" i="72"/>
  <c r="N724" i="72"/>
  <c r="BJ724" i="72"/>
  <c r="N765" i="72"/>
  <c r="BJ765" i="72"/>
  <c r="BJ748" i="72"/>
  <c r="N748" i="72"/>
  <c r="BJ738" i="72"/>
  <c r="N738" i="72"/>
  <c r="N704" i="72"/>
  <c r="BJ704" i="72"/>
  <c r="BJ718" i="72"/>
  <c r="N718" i="72"/>
  <c r="BO753" i="72"/>
  <c r="S753" i="72"/>
  <c r="S709" i="72"/>
  <c r="BO709" i="72"/>
  <c r="BO707" i="72"/>
  <c r="S707" i="72"/>
  <c r="S693" i="72"/>
  <c r="BO693" i="72"/>
  <c r="BO715" i="72"/>
  <c r="S715" i="72"/>
  <c r="BO697" i="72"/>
  <c r="S697" i="72"/>
  <c r="BO714" i="72"/>
  <c r="S714" i="72"/>
  <c r="S744" i="72"/>
  <c r="BO744" i="72"/>
  <c r="S758" i="72"/>
  <c r="BO758" i="72"/>
  <c r="S694" i="72"/>
  <c r="BO694" i="72"/>
  <c r="AZ725" i="72"/>
  <c r="D725" i="72"/>
  <c r="AZ685" i="72"/>
  <c r="D685" i="72"/>
  <c r="AZ738" i="72"/>
  <c r="D738" i="72"/>
  <c r="AZ763" i="72"/>
  <c r="D763" i="72"/>
  <c r="AZ740" i="72"/>
  <c r="D740" i="72"/>
  <c r="AZ713" i="72"/>
  <c r="D713" i="72"/>
  <c r="AZ739" i="72"/>
  <c r="D739" i="72"/>
  <c r="AZ764" i="72"/>
  <c r="D764" i="72"/>
  <c r="AZ715" i="72"/>
  <c r="D715" i="72"/>
  <c r="AZ709" i="72"/>
  <c r="D709" i="72"/>
  <c r="BE718" i="72"/>
  <c r="I718" i="72"/>
  <c r="BE720" i="72"/>
  <c r="I720" i="72"/>
  <c r="BE736" i="72"/>
  <c r="I736" i="72"/>
  <c r="BE744" i="72"/>
  <c r="I744" i="72"/>
  <c r="BE709" i="72"/>
  <c r="I709" i="72"/>
  <c r="BE747" i="72"/>
  <c r="I747" i="72"/>
  <c r="I683" i="72"/>
  <c r="BE683" i="72"/>
  <c r="BE714" i="72"/>
  <c r="I714" i="72"/>
  <c r="BE745" i="72"/>
  <c r="I745" i="72"/>
  <c r="BJ683" i="72"/>
  <c r="N683" i="72"/>
  <c r="BJ707" i="72"/>
  <c r="N707" i="72"/>
  <c r="BJ749" i="72"/>
  <c r="N749" i="72"/>
  <c r="AZ744" i="72"/>
  <c r="D744" i="72"/>
  <c r="AZ757" i="72"/>
  <c r="D757" i="72"/>
  <c r="AZ701" i="72"/>
  <c r="D701" i="72"/>
  <c r="AZ750" i="72"/>
  <c r="D750" i="72"/>
  <c r="AZ695" i="72"/>
  <c r="D695" i="72"/>
  <c r="AZ737" i="72"/>
  <c r="D737" i="72"/>
  <c r="AZ765" i="72"/>
  <c r="D765" i="72"/>
  <c r="AZ698" i="72"/>
  <c r="D698" i="72"/>
  <c r="AZ726" i="72"/>
  <c r="D726" i="72"/>
  <c r="AZ761" i="72"/>
  <c r="D761" i="72"/>
  <c r="AZ711" i="72"/>
  <c r="D711" i="72"/>
  <c r="AZ706" i="72"/>
  <c r="D706" i="72"/>
  <c r="BE703" i="72"/>
  <c r="I703" i="72"/>
  <c r="BE704" i="72"/>
  <c r="I704" i="72"/>
  <c r="BE700" i="72"/>
  <c r="I700" i="72"/>
  <c r="BE716" i="72"/>
  <c r="I716" i="72"/>
  <c r="BE728" i="72"/>
  <c r="I728" i="72"/>
  <c r="BE695" i="72"/>
  <c r="I695" i="72"/>
  <c r="BE765" i="72"/>
  <c r="I765" i="72"/>
  <c r="BE701" i="72"/>
  <c r="I701" i="72"/>
  <c r="BE739" i="72"/>
  <c r="I739" i="72"/>
  <c r="BE706" i="72"/>
  <c r="I706" i="72"/>
  <c r="BE737" i="72"/>
  <c r="I737" i="72"/>
  <c r="N739" i="72"/>
  <c r="BJ739" i="72"/>
  <c r="BJ753" i="72"/>
  <c r="N753" i="72"/>
  <c r="BJ733" i="72"/>
  <c r="N733" i="72"/>
  <c r="BJ716" i="72"/>
  <c r="N716" i="72"/>
  <c r="BJ722" i="72"/>
  <c r="N722" i="72"/>
  <c r="BJ752" i="72"/>
  <c r="N752" i="72"/>
  <c r="BJ688" i="72"/>
  <c r="N688" i="72"/>
  <c r="BJ727" i="72"/>
  <c r="N727" i="72"/>
  <c r="BJ766" i="72"/>
  <c r="N766" i="72"/>
  <c r="BJ702" i="72"/>
  <c r="N702" i="72"/>
  <c r="BO701" i="72"/>
  <c r="S701" i="72"/>
  <c r="S757" i="72"/>
  <c r="BO757" i="72"/>
  <c r="BO755" i="72"/>
  <c r="S755" i="72"/>
  <c r="BO741" i="72"/>
  <c r="S741" i="72"/>
  <c r="BO700" i="72"/>
  <c r="S700" i="72"/>
  <c r="BO683" i="72"/>
  <c r="S683" i="72"/>
  <c r="BO762" i="72"/>
  <c r="S762" i="72"/>
  <c r="S698" i="72"/>
  <c r="BO698" i="72"/>
  <c r="BO728" i="72"/>
  <c r="S728" i="72"/>
  <c r="BO703" i="72"/>
  <c r="S703" i="72"/>
  <c r="BO742" i="72"/>
  <c r="S742" i="72"/>
  <c r="AZ723" i="72"/>
  <c r="D723" i="72"/>
  <c r="BE757" i="72"/>
  <c r="I757" i="72"/>
  <c r="BJ741" i="72"/>
  <c r="N741" i="72"/>
  <c r="BJ694" i="72"/>
  <c r="N694" i="72"/>
  <c r="BO720" i="72"/>
  <c r="S720" i="72"/>
  <c r="AZ760" i="72"/>
  <c r="D760" i="72"/>
  <c r="AZ724" i="72"/>
  <c r="D724" i="72"/>
  <c r="AZ687" i="72"/>
  <c r="D687" i="72"/>
  <c r="AZ748" i="72"/>
  <c r="D748" i="72"/>
  <c r="BE732" i="72"/>
  <c r="I732" i="72"/>
  <c r="BE748" i="72"/>
  <c r="I748" i="72"/>
  <c r="BE696" i="72"/>
  <c r="I696" i="72"/>
  <c r="BE749" i="72"/>
  <c r="I749" i="72"/>
  <c r="I723" i="72"/>
  <c r="BE723" i="72"/>
  <c r="I690" i="72"/>
  <c r="BE690" i="72"/>
  <c r="N709" i="72"/>
  <c r="BJ709" i="72"/>
  <c r="BJ725" i="72"/>
  <c r="N725" i="72"/>
  <c r="BJ721" i="72"/>
  <c r="N721" i="72"/>
  <c r="N684" i="72"/>
  <c r="BJ684" i="72"/>
  <c r="BJ750" i="72"/>
  <c r="N750" i="72"/>
  <c r="BO717" i="72"/>
  <c r="S717" i="72"/>
  <c r="BO705" i="72"/>
  <c r="S705" i="72"/>
  <c r="BO746" i="72"/>
  <c r="S746" i="72"/>
  <c r="S712" i="72"/>
  <c r="BO712" i="72"/>
  <c r="BO687" i="72"/>
  <c r="S687" i="72"/>
  <c r="AZ716" i="72"/>
  <c r="D716" i="72"/>
  <c r="AZ752" i="72"/>
  <c r="D752" i="72"/>
  <c r="AZ683" i="72"/>
  <c r="D683" i="72"/>
  <c r="AZ705" i="72"/>
  <c r="D705" i="72"/>
  <c r="AZ731" i="72"/>
  <c r="D731" i="72"/>
  <c r="AZ759" i="72"/>
  <c r="D759" i="72"/>
  <c r="AZ702" i="72"/>
  <c r="D702" i="72"/>
  <c r="AZ746" i="72"/>
  <c r="D746" i="72"/>
  <c r="AZ708" i="72"/>
  <c r="D708" i="72"/>
  <c r="AZ745" i="72"/>
  <c r="D745" i="72"/>
  <c r="AZ682" i="72"/>
  <c r="D682" i="72"/>
  <c r="BE752" i="72"/>
  <c r="I752" i="72"/>
  <c r="BE724" i="72"/>
  <c r="I724" i="72"/>
  <c r="BE719" i="72"/>
  <c r="I719" i="72"/>
  <c r="I735" i="72"/>
  <c r="BE735" i="72"/>
  <c r="BE742" i="72"/>
  <c r="I742" i="72"/>
  <c r="BE741" i="72"/>
  <c r="I741" i="72"/>
  <c r="BE715" i="72"/>
  <c r="I715" i="72"/>
  <c r="BE746" i="72"/>
  <c r="I746" i="72"/>
  <c r="I682" i="72"/>
  <c r="BE682" i="72"/>
  <c r="BE713" i="72"/>
  <c r="I713" i="72"/>
  <c r="N693" i="72"/>
  <c r="BJ693" i="72"/>
  <c r="N708" i="72"/>
  <c r="BJ708" i="72"/>
  <c r="BJ699" i="72"/>
  <c r="N699" i="72"/>
  <c r="N692" i="72"/>
  <c r="BJ692" i="72"/>
  <c r="BJ705" i="72"/>
  <c r="N705" i="72"/>
  <c r="BJ685" i="72"/>
  <c r="N685" i="72"/>
  <c r="BJ762" i="72"/>
  <c r="N762" i="72"/>
  <c r="BJ698" i="72"/>
  <c r="N698" i="72"/>
  <c r="BJ728" i="72"/>
  <c r="N728" i="72"/>
  <c r="N703" i="72"/>
  <c r="BJ703" i="72"/>
  <c r="BJ742" i="72"/>
  <c r="N742" i="72"/>
  <c r="BO691" i="72"/>
  <c r="S691" i="72"/>
  <c r="BO685" i="72"/>
  <c r="S685" i="72"/>
  <c r="S763" i="72"/>
  <c r="BO763" i="72"/>
  <c r="S745" i="72"/>
  <c r="BO745" i="72"/>
  <c r="BO738" i="72"/>
  <c r="S738" i="72"/>
  <c r="BO704" i="72"/>
  <c r="S704" i="72"/>
  <c r="BO743" i="72"/>
  <c r="S743" i="72"/>
  <c r="BO718" i="72"/>
  <c r="S718" i="72"/>
  <c r="AZ712" i="72"/>
  <c r="D712" i="72"/>
  <c r="BE684" i="72"/>
  <c r="I684" i="72"/>
  <c r="BE698" i="72"/>
  <c r="I698" i="72"/>
  <c r="BO754" i="72"/>
  <c r="S754" i="72"/>
  <c r="AZ734" i="72"/>
  <c r="D734" i="72"/>
  <c r="AZ749" i="72"/>
  <c r="D749" i="72"/>
  <c r="AZ719" i="72"/>
  <c r="D719" i="72"/>
  <c r="AZ697" i="72"/>
  <c r="D697" i="72"/>
  <c r="AZ690" i="72"/>
  <c r="D690" i="72"/>
  <c r="BE751" i="72"/>
  <c r="I751" i="72"/>
  <c r="BE764" i="72"/>
  <c r="I764" i="72"/>
  <c r="I758" i="72"/>
  <c r="BE758" i="72"/>
  <c r="I685" i="72"/>
  <c r="BE685" i="72"/>
  <c r="BE754" i="72"/>
  <c r="I754" i="72"/>
  <c r="BE721" i="72"/>
  <c r="I721" i="72"/>
  <c r="BJ731" i="72"/>
  <c r="N731" i="72"/>
  <c r="BJ715" i="72"/>
  <c r="N715" i="72"/>
  <c r="BJ701" i="72"/>
  <c r="N701" i="72"/>
  <c r="BJ706" i="72"/>
  <c r="N706" i="72"/>
  <c r="BJ736" i="72"/>
  <c r="N736" i="72"/>
  <c r="N711" i="72"/>
  <c r="BJ711" i="72"/>
  <c r="BJ686" i="72"/>
  <c r="N686" i="72"/>
  <c r="BO708" i="72"/>
  <c r="S708" i="72"/>
  <c r="BO692" i="72"/>
  <c r="S692" i="72"/>
  <c r="BO761" i="72"/>
  <c r="S761" i="72"/>
  <c r="S682" i="72"/>
  <c r="BO682" i="72"/>
  <c r="BO751" i="72"/>
  <c r="S751" i="72"/>
  <c r="BO726" i="72"/>
  <c r="S726" i="72"/>
  <c r="AZ728" i="72"/>
  <c r="D728" i="72"/>
  <c r="AZ741" i="72"/>
  <c r="D741" i="72"/>
  <c r="AZ754" i="72"/>
  <c r="D754" i="72"/>
  <c r="AZ721" i="72"/>
  <c r="D721" i="72"/>
  <c r="AZ756" i="72"/>
  <c r="D756" i="72"/>
  <c r="AZ684" i="72"/>
  <c r="D684" i="72"/>
  <c r="AZ733" i="72"/>
  <c r="D733" i="72"/>
  <c r="AZ758" i="72"/>
  <c r="D758" i="72"/>
  <c r="AZ686" i="72"/>
  <c r="D686" i="72"/>
  <c r="AZ735" i="72"/>
  <c r="D735" i="72"/>
  <c r="I740" i="72"/>
  <c r="BE740" i="72"/>
  <c r="BE702" i="72"/>
  <c r="I702" i="72"/>
  <c r="BE692" i="72"/>
  <c r="I692" i="72"/>
  <c r="BE708" i="72"/>
  <c r="I708" i="72"/>
  <c r="BE759" i="72"/>
  <c r="I759" i="72"/>
  <c r="BE726" i="72"/>
  <c r="I726" i="72"/>
  <c r="BE733" i="72"/>
  <c r="I733" i="72"/>
  <c r="I707" i="72"/>
  <c r="BE707" i="72"/>
  <c r="BE738" i="72"/>
  <c r="I738" i="72"/>
  <c r="BE705" i="72"/>
  <c r="I705" i="72"/>
  <c r="BJ761" i="72"/>
  <c r="N761" i="72"/>
  <c r="N763" i="72"/>
  <c r="BJ763" i="72"/>
  <c r="BJ689" i="72"/>
  <c r="N689" i="72"/>
  <c r="N754" i="72"/>
  <c r="BJ754" i="72"/>
  <c r="BJ690" i="72"/>
  <c r="N690" i="72"/>
  <c r="BJ720" i="72"/>
  <c r="N720" i="72"/>
  <c r="BJ759" i="72"/>
  <c r="N759" i="72"/>
  <c r="BJ695" i="72"/>
  <c r="N695" i="72"/>
  <c r="BJ734" i="72"/>
  <c r="N734" i="72"/>
  <c r="BO756" i="72"/>
  <c r="S756" i="72"/>
  <c r="BO749" i="72"/>
  <c r="S749" i="72"/>
  <c r="BO764" i="72"/>
  <c r="S764" i="72"/>
  <c r="BO747" i="72"/>
  <c r="S747" i="72"/>
  <c r="BO729" i="72"/>
  <c r="S729" i="72"/>
  <c r="BO730" i="72"/>
  <c r="S730" i="72"/>
  <c r="BO760" i="72"/>
  <c r="S760" i="72"/>
  <c r="BO696" i="72"/>
  <c r="S696" i="72"/>
  <c r="BO735" i="72"/>
  <c r="S735" i="72"/>
  <c r="S710" i="72"/>
  <c r="BO710" i="72"/>
  <c r="EB675" i="72"/>
  <c r="EF675" i="72"/>
  <c r="AX675" i="72"/>
  <c r="AT675" i="72"/>
  <c r="EB663" i="72"/>
  <c r="EF663" i="72"/>
  <c r="AT663" i="72"/>
  <c r="AX663" i="72"/>
  <c r="EB666" i="72"/>
  <c r="EF666" i="72"/>
  <c r="AT666" i="72"/>
  <c r="AX666" i="72"/>
  <c r="CS663" i="72"/>
  <c r="EJ663" i="72"/>
  <c r="BB663" i="72"/>
  <c r="EJ671" i="72"/>
  <c r="BB671" i="72"/>
  <c r="EJ667" i="72"/>
  <c r="BB667" i="72"/>
  <c r="CS666" i="72"/>
  <c r="EJ666" i="72"/>
  <c r="BB666" i="72"/>
  <c r="CS665" i="72"/>
  <c r="EJ665" i="72"/>
  <c r="BB665" i="72"/>
  <c r="BB674" i="72"/>
  <c r="EJ674" i="72"/>
  <c r="EO662" i="72"/>
  <c r="BG662" i="72"/>
  <c r="EO668" i="72"/>
  <c r="BG668" i="72"/>
  <c r="EO675" i="72"/>
  <c r="BG675" i="72"/>
  <c r="EV662" i="72"/>
  <c r="BN662" i="72"/>
  <c r="EW662" i="72"/>
  <c r="BO662" i="72"/>
  <c r="EV665" i="72"/>
  <c r="EW665" i="72"/>
  <c r="BO665" i="72"/>
  <c r="BN665" i="72"/>
  <c r="EU666" i="72"/>
  <c r="BM666" i="72"/>
  <c r="EF674" i="72"/>
  <c r="AX674" i="72"/>
  <c r="AT674" i="72"/>
  <c r="EB674" i="72"/>
  <c r="EB673" i="72"/>
  <c r="EF673" i="72"/>
  <c r="AX673" i="72"/>
  <c r="AT673" i="72"/>
  <c r="EB667" i="72"/>
  <c r="EF667" i="72"/>
  <c r="AX667" i="72"/>
  <c r="AT667" i="72"/>
  <c r="EF676" i="72"/>
  <c r="AT676" i="72"/>
  <c r="EB676" i="72"/>
  <c r="AX676" i="72"/>
  <c r="EF668" i="72"/>
  <c r="EB668" i="72"/>
  <c r="AX668" i="72"/>
  <c r="AT668" i="72"/>
  <c r="EF661" i="72"/>
  <c r="EH661" i="72" s="1"/>
  <c r="AX661" i="72"/>
  <c r="AZ661" i="72" s="1"/>
  <c r="EB661" i="72"/>
  <c r="ED661" i="72" s="1"/>
  <c r="AT661" i="72"/>
  <c r="AV661" i="72" s="1"/>
  <c r="BG669" i="72"/>
  <c r="EO669" i="72"/>
  <c r="BG667" i="72"/>
  <c r="EO667" i="72"/>
  <c r="EO674" i="72"/>
  <c r="BG674" i="72"/>
  <c r="EV663" i="72"/>
  <c r="BN663" i="72"/>
  <c r="EW663" i="72"/>
  <c r="BO663" i="72"/>
  <c r="EV675" i="72"/>
  <c r="EW675" i="72"/>
  <c r="BN675" i="72"/>
  <c r="BO675" i="72"/>
  <c r="EC666" i="72"/>
  <c r="EG666" i="72"/>
  <c r="AY666" i="72"/>
  <c r="AU666" i="72"/>
  <c r="EB664" i="72"/>
  <c r="AT664" i="72"/>
  <c r="AX664" i="72"/>
  <c r="EF664" i="72"/>
  <c r="EF671" i="72"/>
  <c r="EB671" i="72"/>
  <c r="AX671" i="72"/>
  <c r="AT671" i="72"/>
  <c r="EF672" i="72"/>
  <c r="AT672" i="72"/>
  <c r="EB672" i="72"/>
  <c r="AX672" i="72"/>
  <c r="CS661" i="72"/>
  <c r="CU661" i="72" s="1"/>
  <c r="EJ661" i="72"/>
  <c r="BB661" i="72"/>
  <c r="EJ675" i="72"/>
  <c r="BB675" i="72"/>
  <c r="EJ673" i="72"/>
  <c r="BB673" i="72"/>
  <c r="EJ672" i="72"/>
  <c r="BB672" i="72"/>
  <c r="EJ676" i="72"/>
  <c r="BB676" i="72"/>
  <c r="CX661" i="72"/>
  <c r="CZ661" i="72" s="1"/>
  <c r="EO661" i="72"/>
  <c r="BG661" i="72"/>
  <c r="CX666" i="72"/>
  <c r="BG666" i="72"/>
  <c r="EO666" i="72"/>
  <c r="EO673" i="72"/>
  <c r="BG673" i="72"/>
  <c r="EW672" i="72"/>
  <c r="EV672" i="72"/>
  <c r="BN672" i="72"/>
  <c r="BO672" i="72"/>
  <c r="EV671" i="72"/>
  <c r="BO671" i="72"/>
  <c r="EW671" i="72"/>
  <c r="BN671" i="72"/>
  <c r="EV668" i="72"/>
  <c r="EW668" i="72"/>
  <c r="BN668" i="72"/>
  <c r="BO668" i="72"/>
  <c r="EW664" i="72"/>
  <c r="BO664" i="72"/>
  <c r="EV664" i="72"/>
  <c r="BN664" i="72"/>
  <c r="EV676" i="72"/>
  <c r="EW676" i="72"/>
  <c r="BN676" i="72"/>
  <c r="BO676" i="72"/>
  <c r="EV669" i="72"/>
  <c r="BN669" i="72"/>
  <c r="EW669" i="72"/>
  <c r="BO669" i="72"/>
  <c r="EV667" i="72"/>
  <c r="EW667" i="72"/>
  <c r="BO667" i="72"/>
  <c r="BN667" i="72"/>
  <c r="EV674" i="72"/>
  <c r="EW674" i="72"/>
  <c r="BN674" i="72"/>
  <c r="BO674" i="72"/>
  <c r="AT665" i="72"/>
  <c r="AX665" i="72"/>
  <c r="EB665" i="72"/>
  <c r="EF665" i="72"/>
  <c r="EB670" i="72"/>
  <c r="EF670" i="72"/>
  <c r="AX670" i="72"/>
  <c r="AT670" i="72"/>
  <c r="EF669" i="72"/>
  <c r="EB669" i="72"/>
  <c r="AX669" i="72"/>
  <c r="AT669" i="72"/>
  <c r="CS664" i="72"/>
  <c r="EJ664" i="72"/>
  <c r="BB664" i="72"/>
  <c r="EJ670" i="72"/>
  <c r="BB670" i="72"/>
  <c r="EJ669" i="72"/>
  <c r="BB669" i="72"/>
  <c r="BB668" i="72"/>
  <c r="EJ668" i="72"/>
  <c r="EO676" i="72"/>
  <c r="BG676" i="72"/>
  <c r="EO672" i="72"/>
  <c r="BG672" i="72"/>
  <c r="EO671" i="72"/>
  <c r="BG671" i="72"/>
  <c r="EO670" i="72"/>
  <c r="BG670" i="72"/>
  <c r="CX664" i="72"/>
  <c r="EO664" i="72"/>
  <c r="BG664" i="72"/>
  <c r="CX665" i="72"/>
  <c r="BG665" i="72"/>
  <c r="EO665" i="72"/>
  <c r="EW670" i="72"/>
  <c r="EV670" i="72"/>
  <c r="BO670" i="72"/>
  <c r="BN670" i="72"/>
  <c r="EV661" i="72"/>
  <c r="EW661" i="72"/>
  <c r="BO661" i="72"/>
  <c r="BN661" i="72"/>
  <c r="EV666" i="72"/>
  <c r="BN666" i="72"/>
  <c r="EW666" i="72"/>
  <c r="BO666" i="72"/>
  <c r="EV673" i="72"/>
  <c r="BN673" i="72"/>
  <c r="BO673" i="72"/>
  <c r="EW673" i="72"/>
  <c r="BH666" i="72"/>
  <c r="CO663" i="72"/>
  <c r="CK663" i="72"/>
  <c r="P662" i="72"/>
  <c r="CX662" i="72"/>
  <c r="CK673" i="72"/>
  <c r="CO673" i="72"/>
  <c r="CP666" i="72"/>
  <c r="CL666" i="72"/>
  <c r="DE672" i="72"/>
  <c r="DF672" i="72"/>
  <c r="CO665" i="72"/>
  <c r="CK665" i="72"/>
  <c r="CK670" i="72"/>
  <c r="CO670" i="72"/>
  <c r="CO669" i="72"/>
  <c r="CK669" i="72"/>
  <c r="K669" i="72"/>
  <c r="CS669" i="72"/>
  <c r="P676" i="72"/>
  <c r="CX676" i="72"/>
  <c r="P671" i="72"/>
  <c r="CX671" i="72"/>
  <c r="DE670" i="72"/>
  <c r="DF670" i="72"/>
  <c r="DF666" i="72"/>
  <c r="DE666" i="72"/>
  <c r="CK674" i="72"/>
  <c r="CO674" i="72"/>
  <c r="CO664" i="72"/>
  <c r="CK664" i="72"/>
  <c r="K676" i="72"/>
  <c r="CS676" i="72"/>
  <c r="DF667" i="72"/>
  <c r="DE667" i="72"/>
  <c r="K670" i="72"/>
  <c r="CS670" i="72"/>
  <c r="K668" i="72"/>
  <c r="CS668" i="72"/>
  <c r="P672" i="72"/>
  <c r="CX672" i="72"/>
  <c r="P670" i="72"/>
  <c r="CX670" i="72"/>
  <c r="DF661" i="72"/>
  <c r="DE661" i="72"/>
  <c r="DE673" i="72"/>
  <c r="DF673" i="72"/>
  <c r="K667" i="72"/>
  <c r="CS667" i="72"/>
  <c r="V666" i="72"/>
  <c r="DD666" i="72"/>
  <c r="K673" i="72"/>
  <c r="CS673" i="72"/>
  <c r="DE668" i="72"/>
  <c r="DF668" i="72"/>
  <c r="DE676" i="72"/>
  <c r="DF676" i="72"/>
  <c r="K671" i="72"/>
  <c r="CS671" i="72"/>
  <c r="K674" i="72"/>
  <c r="CS674" i="72"/>
  <c r="P675" i="72"/>
  <c r="CX675" i="72"/>
  <c r="DE662" i="72"/>
  <c r="DF662" i="72"/>
  <c r="DE665" i="72"/>
  <c r="DF665" i="72"/>
  <c r="CO675" i="72"/>
  <c r="CK675" i="72"/>
  <c r="CK666" i="72"/>
  <c r="CO666" i="72"/>
  <c r="CK668" i="72"/>
  <c r="CO668" i="72"/>
  <c r="P674" i="72"/>
  <c r="CX674" i="72"/>
  <c r="DE675" i="72"/>
  <c r="DF675" i="72"/>
  <c r="CK667" i="72"/>
  <c r="CO667" i="72"/>
  <c r="CK676" i="72"/>
  <c r="CO676" i="72"/>
  <c r="P667" i="72"/>
  <c r="CX667" i="72"/>
  <c r="DE663" i="72"/>
  <c r="DF663" i="72"/>
  <c r="P668" i="72"/>
  <c r="CX668" i="72"/>
  <c r="CK661" i="72"/>
  <c r="CM661" i="72" s="1"/>
  <c r="CO661" i="72"/>
  <c r="CQ661" i="72" s="1"/>
  <c r="P669" i="72"/>
  <c r="CX669" i="72"/>
  <c r="CO671" i="72"/>
  <c r="CK671" i="72"/>
  <c r="CK672" i="72"/>
  <c r="CO672" i="72"/>
  <c r="K675" i="72"/>
  <c r="CS675" i="72"/>
  <c r="K672" i="72"/>
  <c r="CS672" i="72"/>
  <c r="P673" i="72"/>
  <c r="CX673" i="72"/>
  <c r="DF671" i="72"/>
  <c r="DE671" i="72"/>
  <c r="DE664" i="72"/>
  <c r="DF664" i="72"/>
  <c r="DE669" i="72"/>
  <c r="DF669" i="72"/>
  <c r="DE674" i="72"/>
  <c r="DF674" i="72"/>
  <c r="AY20" i="72"/>
  <c r="N557" i="72"/>
  <c r="W663" i="72"/>
  <c r="X663" i="72"/>
  <c r="W671" i="72"/>
  <c r="X671" i="72"/>
  <c r="N558" i="72"/>
  <c r="X664" i="72"/>
  <c r="W664" i="72"/>
  <c r="W669" i="72"/>
  <c r="X669" i="72"/>
  <c r="W674" i="72"/>
  <c r="X674" i="72"/>
  <c r="W666" i="72"/>
  <c r="X666" i="72"/>
  <c r="W675" i="72"/>
  <c r="X675" i="72"/>
  <c r="W672" i="72"/>
  <c r="X672" i="72"/>
  <c r="W668" i="72"/>
  <c r="X668" i="72"/>
  <c r="W676" i="72"/>
  <c r="X676" i="72"/>
  <c r="X667" i="72"/>
  <c r="W667" i="72"/>
  <c r="W670" i="72"/>
  <c r="X670" i="72"/>
  <c r="N555" i="72"/>
  <c r="W661" i="72"/>
  <c r="X661" i="72"/>
  <c r="W673" i="72"/>
  <c r="X673" i="72"/>
  <c r="N556" i="72"/>
  <c r="S556" i="72" s="1"/>
  <c r="W662" i="72"/>
  <c r="X662" i="72"/>
  <c r="N559" i="72"/>
  <c r="W665" i="72"/>
  <c r="X665" i="72"/>
  <c r="E557" i="72"/>
  <c r="G663" i="72"/>
  <c r="C663" i="72"/>
  <c r="E560" i="72"/>
  <c r="G666" i="72"/>
  <c r="C666" i="72"/>
  <c r="H559" i="72"/>
  <c r="K665" i="72"/>
  <c r="H666" i="72"/>
  <c r="D666" i="72"/>
  <c r="C673" i="72"/>
  <c r="G673" i="72"/>
  <c r="E555" i="72"/>
  <c r="G661" i="72"/>
  <c r="I661" i="72" s="1"/>
  <c r="C661" i="72"/>
  <c r="E661" i="72" s="1"/>
  <c r="K666" i="72"/>
  <c r="C674" i="72"/>
  <c r="G674" i="72"/>
  <c r="C668" i="72"/>
  <c r="G668" i="72"/>
  <c r="E558" i="72"/>
  <c r="C664" i="72"/>
  <c r="G664" i="72"/>
  <c r="H555" i="72"/>
  <c r="K661" i="72"/>
  <c r="G667" i="72"/>
  <c r="C667" i="72"/>
  <c r="G676" i="72"/>
  <c r="C676" i="72"/>
  <c r="P666" i="72"/>
  <c r="C671" i="72"/>
  <c r="G671" i="72"/>
  <c r="G672" i="72"/>
  <c r="C672" i="72"/>
  <c r="J555" i="72"/>
  <c r="P661" i="72"/>
  <c r="G675" i="72"/>
  <c r="C675" i="72"/>
  <c r="H557" i="72"/>
  <c r="K663" i="72"/>
  <c r="E559" i="72"/>
  <c r="C665" i="72"/>
  <c r="G665" i="72"/>
  <c r="G670" i="72"/>
  <c r="C670" i="72"/>
  <c r="G669" i="72"/>
  <c r="C669" i="72"/>
  <c r="H558" i="72"/>
  <c r="K664" i="72"/>
  <c r="J558" i="72"/>
  <c r="P664" i="72"/>
  <c r="J559" i="72"/>
  <c r="P665" i="72"/>
  <c r="N560" i="72"/>
  <c r="C84" i="73"/>
  <c r="C67" i="73"/>
  <c r="C141" i="73"/>
  <c r="C90" i="73"/>
  <c r="C139" i="73"/>
  <c r="C145" i="73"/>
  <c r="C144" i="73"/>
  <c r="C83" i="73"/>
  <c r="C80" i="73"/>
  <c r="C132" i="73"/>
  <c r="C65" i="73"/>
  <c r="C60" i="73"/>
  <c r="C142" i="73"/>
  <c r="C135" i="73"/>
  <c r="C85" i="73"/>
  <c r="C78" i="73"/>
  <c r="C146" i="73"/>
  <c r="C138" i="73"/>
  <c r="C66" i="73"/>
  <c r="C131" i="73"/>
  <c r="C73" i="73"/>
  <c r="C62" i="73"/>
  <c r="C128" i="73"/>
  <c r="C149" i="73"/>
  <c r="C79" i="73"/>
  <c r="C127" i="73"/>
  <c r="C155" i="73"/>
  <c r="C87" i="73"/>
  <c r="C154" i="73"/>
  <c r="C81" i="73"/>
  <c r="C86" i="73"/>
  <c r="C64" i="73"/>
  <c r="C130" i="73"/>
  <c r="C71" i="73"/>
  <c r="C63" i="73"/>
  <c r="C113" i="73"/>
  <c r="C118" i="73"/>
  <c r="C116" i="73"/>
  <c r="C97" i="73"/>
  <c r="C48" i="73"/>
  <c r="C44" i="73"/>
  <c r="C100" i="73"/>
  <c r="C111" i="73"/>
  <c r="C32" i="73"/>
  <c r="C28" i="73"/>
  <c r="C114" i="73"/>
  <c r="C102" i="73"/>
  <c r="C50" i="73"/>
  <c r="C45" i="73"/>
  <c r="C98" i="73"/>
  <c r="C101" i="73"/>
  <c r="C49" i="73"/>
  <c r="C29" i="73"/>
  <c r="C117" i="73"/>
  <c r="C30" i="73"/>
  <c r="C96" i="73"/>
  <c r="C76" i="73"/>
  <c r="C147" i="73"/>
  <c r="C95" i="73"/>
  <c r="C150" i="73"/>
  <c r="C34" i="73"/>
  <c r="C99" i="73"/>
  <c r="C112" i="73"/>
  <c r="C43" i="73"/>
  <c r="C61" i="73"/>
  <c r="C77" i="73"/>
  <c r="C82" i="73"/>
  <c r="C33" i="73"/>
  <c r="C148" i="73"/>
  <c r="C134" i="73"/>
  <c r="C115" i="73"/>
  <c r="C47" i="73"/>
  <c r="C46" i="73"/>
  <c r="C143" i="73"/>
  <c r="C157" i="73"/>
  <c r="C137" i="73"/>
  <c r="C133" i="73"/>
  <c r="C69" i="73"/>
  <c r="C88" i="73"/>
  <c r="C124" i="73"/>
  <c r="C105" i="73"/>
  <c r="C56" i="73"/>
  <c r="C52" i="73"/>
  <c r="C108" i="73"/>
  <c r="C120" i="73"/>
  <c r="C40" i="73"/>
  <c r="C36" i="73"/>
  <c r="C125" i="73"/>
  <c r="C104" i="73"/>
  <c r="C42" i="73"/>
  <c r="C53" i="73"/>
  <c r="C123" i="73"/>
  <c r="C119" i="73"/>
  <c r="C57" i="73"/>
  <c r="C37" i="73"/>
  <c r="C107" i="73"/>
  <c r="C103" i="73"/>
  <c r="C41" i="73"/>
  <c r="C54" i="73"/>
  <c r="C126" i="73"/>
  <c r="C35" i="73"/>
  <c r="C89" i="73"/>
  <c r="C156" i="73"/>
  <c r="C55" i="73"/>
  <c r="C152" i="73"/>
  <c r="C122" i="73"/>
  <c r="C72" i="73"/>
  <c r="C121" i="73"/>
  <c r="C110" i="73"/>
  <c r="C109" i="73"/>
  <c r="C58" i="73"/>
  <c r="C153" i="73"/>
  <c r="C106" i="73"/>
  <c r="C38" i="73"/>
  <c r="C158" i="73"/>
  <c r="C151" i="73"/>
  <c r="C68" i="73"/>
  <c r="C140" i="73"/>
  <c r="C70" i="73"/>
  <c r="C74" i="73"/>
  <c r="J556" i="72"/>
  <c r="AH299" i="72"/>
  <c r="AH331" i="72"/>
  <c r="AH26" i="72"/>
  <c r="AH59" i="72"/>
  <c r="AH491" i="72"/>
  <c r="AH523" i="72"/>
  <c r="AH251" i="72"/>
  <c r="AH219" i="72"/>
  <c r="AH232" i="72" s="1"/>
  <c r="AT276" i="72"/>
  <c r="AT279" i="72" s="1"/>
  <c r="AT4" i="72"/>
  <c r="AT7" i="72" s="1"/>
  <c r="AH395" i="72"/>
  <c r="AH363" i="72"/>
  <c r="AH123" i="72"/>
  <c r="AH91" i="72"/>
  <c r="AT284" i="72"/>
  <c r="AT12" i="72"/>
  <c r="AT15" i="72" s="1"/>
  <c r="AH427" i="72"/>
  <c r="AH459" i="72"/>
  <c r="AH187" i="72"/>
  <c r="AH155" i="72"/>
  <c r="AH168" i="72" s="1"/>
  <c r="AT164" i="72"/>
  <c r="AT167" i="72" s="1"/>
  <c r="AT36" i="72"/>
  <c r="AT39" i="72" s="1"/>
  <c r="AT148" i="72"/>
  <c r="AT151" i="72" s="1"/>
  <c r="AT20" i="72"/>
  <c r="AT23" i="72" s="1"/>
  <c r="AT228" i="72"/>
  <c r="AT231" i="72" s="1"/>
  <c r="AT100" i="72"/>
  <c r="AT103" i="72" s="1"/>
  <c r="AT212" i="72"/>
  <c r="AT215" i="72" s="1"/>
  <c r="AT84" i="72"/>
  <c r="AT87" i="72" s="1"/>
  <c r="AT172" i="72"/>
  <c r="AT175" i="72" s="1"/>
  <c r="AT44" i="72"/>
  <c r="AT47" i="72" s="1"/>
  <c r="AT156" i="72"/>
  <c r="AT159" i="72" s="1"/>
  <c r="AT28" i="72"/>
  <c r="AT31" i="72" s="1"/>
  <c r="AT92" i="72"/>
  <c r="AT95" i="72" s="1"/>
  <c r="AT236" i="72"/>
  <c r="AT239" i="72" s="1"/>
  <c r="AT108" i="72"/>
  <c r="AT111" i="72" s="1"/>
  <c r="AT220" i="72"/>
  <c r="AT223" i="72" s="1"/>
  <c r="AN199" i="72"/>
  <c r="AN119" i="72"/>
  <c r="AN124" i="72" s="1"/>
  <c r="AN247" i="72"/>
  <c r="AN71" i="72"/>
  <c r="AN76" i="72" s="1"/>
  <c r="AN135" i="72"/>
  <c r="AN140" i="72" s="1"/>
  <c r="AN263" i="72"/>
  <c r="AN268" i="72" s="1"/>
  <c r="AN55" i="72"/>
  <c r="AN183" i="72"/>
  <c r="AT124" i="72"/>
  <c r="AT127" i="72" s="1"/>
  <c r="AT252" i="72"/>
  <c r="AT255" i="72" s="1"/>
  <c r="AT76" i="72"/>
  <c r="AT79" i="72" s="1"/>
  <c r="AT140" i="72"/>
  <c r="AT143" i="72" s="1"/>
  <c r="AT268" i="72"/>
  <c r="AT271" i="72" s="1"/>
  <c r="AT60" i="72"/>
  <c r="AT188" i="72"/>
  <c r="AT191" i="72" s="1"/>
  <c r="AT204" i="72"/>
  <c r="AT207" i="72" s="1"/>
  <c r="AN167" i="72"/>
  <c r="AN172" i="72" s="1"/>
  <c r="AN39" i="72"/>
  <c r="AN44" i="72" s="1"/>
  <c r="AN87" i="72"/>
  <c r="AN92" i="72" s="1"/>
  <c r="AN151" i="72"/>
  <c r="AN156" i="72" s="1"/>
  <c r="AN23" i="72"/>
  <c r="AN28" i="72" s="1"/>
  <c r="AN215" i="72"/>
  <c r="AN220" i="72" s="1"/>
  <c r="AN231" i="72"/>
  <c r="AN236" i="72" s="1"/>
  <c r="AN103" i="72"/>
  <c r="AN108" i="72" s="1"/>
  <c r="AT196" i="72"/>
  <c r="AT199" i="72" s="1"/>
  <c r="AT68" i="72"/>
  <c r="AT52" i="72"/>
  <c r="AT55" i="72" s="1"/>
  <c r="AT180" i="72"/>
  <c r="AT183" i="72" s="1"/>
  <c r="AT132" i="72"/>
  <c r="AT135" i="72" s="1"/>
  <c r="AT244" i="72"/>
  <c r="AT260" i="72"/>
  <c r="AT263" i="72" s="1"/>
  <c r="AT116" i="72"/>
  <c r="AT119" i="72" s="1"/>
  <c r="AB33" i="72"/>
  <c r="AB64" i="72" s="1"/>
  <c r="C31" i="6"/>
  <c r="AB435" i="82" s="1"/>
  <c r="AB464" i="82" s="1"/>
  <c r="B15" i="6"/>
  <c r="C13" i="6" s="1"/>
  <c r="P15" i="82" s="1"/>
  <c r="B24" i="6"/>
  <c r="C20" i="6" s="1"/>
  <c r="V50" i="82" s="1"/>
  <c r="M288" i="69"/>
  <c r="P288" i="69" s="1"/>
  <c r="M282" i="69"/>
  <c r="P282" i="69" s="1"/>
  <c r="M285" i="69"/>
  <c r="P285" i="69" s="1"/>
  <c r="M281" i="69"/>
  <c r="P281" i="69" s="1"/>
  <c r="M287" i="69"/>
  <c r="P287" i="69" s="1"/>
  <c r="M284" i="69"/>
  <c r="P284" i="69" s="1"/>
  <c r="M286" i="69"/>
  <c r="P286" i="69" s="1"/>
  <c r="M283" i="69"/>
  <c r="P283" i="69" s="1"/>
  <c r="K37" i="69"/>
  <c r="L37" i="69" s="1"/>
  <c r="O37" i="69" s="1"/>
  <c r="K38" i="69"/>
  <c r="L38" i="69" s="1"/>
  <c r="O38" i="69" s="1"/>
  <c r="K41" i="69"/>
  <c r="L41" i="69" s="1"/>
  <c r="O41" i="69" s="1"/>
  <c r="K39" i="69"/>
  <c r="L39" i="69" s="1"/>
  <c r="O39" i="69" s="1"/>
  <c r="K42" i="69"/>
  <c r="L42" i="69" s="1"/>
  <c r="O42" i="69" s="1"/>
  <c r="K40" i="69"/>
  <c r="L40" i="69" s="1"/>
  <c r="O40" i="69" s="1"/>
  <c r="CQ683" i="82" l="1"/>
  <c r="DG682" i="82"/>
  <c r="ER661" i="82"/>
  <c r="EQ661" i="82"/>
  <c r="S661" i="82"/>
  <c r="R661" i="82"/>
  <c r="ET661" i="82"/>
  <c r="AN519" i="82"/>
  <c r="AN524" i="82" s="1"/>
  <c r="AN343" i="82"/>
  <c r="AN348" i="82" s="1"/>
  <c r="AN327" i="82"/>
  <c r="AN332" i="82" s="1"/>
  <c r="AN455" i="82"/>
  <c r="AN460" i="82" s="1"/>
  <c r="AN391" i="82"/>
  <c r="AN396" i="82" s="1"/>
  <c r="AN535" i="82"/>
  <c r="AN540" i="82" s="1"/>
  <c r="AN471" i="82"/>
  <c r="AN476" i="82" s="1"/>
  <c r="AN407" i="82"/>
  <c r="AN412" i="82" s="1"/>
  <c r="AT540" i="82"/>
  <c r="AT543" i="82" s="1"/>
  <c r="AT476" i="82"/>
  <c r="AT479" i="82" s="1"/>
  <c r="AT412" i="82"/>
  <c r="AT415" i="82" s="1"/>
  <c r="AT332" i="82"/>
  <c r="AT335" i="82" s="1"/>
  <c r="AT348" i="82"/>
  <c r="AT351" i="82" s="1"/>
  <c r="AT524" i="82"/>
  <c r="AT527" i="82" s="1"/>
  <c r="AT460" i="82"/>
  <c r="AT463" i="82" s="1"/>
  <c r="AT396" i="82"/>
  <c r="AT399" i="82" s="1"/>
  <c r="CZ661" i="82"/>
  <c r="DA661" i="82"/>
  <c r="CY682" i="82"/>
  <c r="AU683" i="82"/>
  <c r="BI661" i="82"/>
  <c r="BJ661" i="82"/>
  <c r="BL661" i="82"/>
  <c r="BC666" i="72"/>
  <c r="AQ561" i="72"/>
  <c r="AE561" i="72"/>
  <c r="H560" i="72"/>
  <c r="CT666" i="72"/>
  <c r="L666" i="72"/>
  <c r="EP666" i="72"/>
  <c r="CY666" i="72"/>
  <c r="J560" i="72"/>
  <c r="B562" i="72"/>
  <c r="AV562" i="72" s="1"/>
  <c r="AM561" i="72"/>
  <c r="I561" i="72"/>
  <c r="Q667" i="72" s="1"/>
  <c r="F561" i="72"/>
  <c r="BC667" i="72" s="1"/>
  <c r="L561" i="72"/>
  <c r="BM667" i="72" s="1"/>
  <c r="C561" i="72"/>
  <c r="AU667" i="72" s="1"/>
  <c r="AI561" i="72"/>
  <c r="U704" i="82"/>
  <c r="V704" i="82" s="1"/>
  <c r="BQ704" i="82"/>
  <c r="BR704" i="82" s="1"/>
  <c r="N593" i="82"/>
  <c r="BG704" i="82"/>
  <c r="BH704" i="82" s="1"/>
  <c r="K704" i="82"/>
  <c r="L704" i="82" s="1"/>
  <c r="H593" i="82"/>
  <c r="P704" i="82"/>
  <c r="Q704" i="82" s="1"/>
  <c r="BL704" i="82"/>
  <c r="BM704" i="82" s="1"/>
  <c r="J593" i="82"/>
  <c r="AI594" i="82"/>
  <c r="C594" i="82"/>
  <c r="F594" i="82"/>
  <c r="AV594" i="82"/>
  <c r="AE594" i="82"/>
  <c r="B595" i="82"/>
  <c r="L594" i="82"/>
  <c r="AQ594" i="82"/>
  <c r="AM594" i="82"/>
  <c r="I594" i="82"/>
  <c r="BB704" i="82"/>
  <c r="BC704" i="82" s="1"/>
  <c r="F704" i="82"/>
  <c r="G704" i="82" s="1"/>
  <c r="E593" i="82"/>
  <c r="C37" i="6"/>
  <c r="AD662" i="72"/>
  <c r="C43" i="6"/>
  <c r="C3" i="6"/>
  <c r="C44" i="6"/>
  <c r="C45" i="6"/>
  <c r="BU662" i="72"/>
  <c r="G5" i="6"/>
  <c r="G4" i="6"/>
  <c r="G3" i="6"/>
  <c r="C7" i="6"/>
  <c r="C6" i="6"/>
  <c r="C5" i="6"/>
  <c r="C4" i="6"/>
  <c r="C32" i="6"/>
  <c r="AB499" i="82" s="1"/>
  <c r="AB528" i="82" s="1"/>
  <c r="C30" i="6"/>
  <c r="AB371" i="82" s="1"/>
  <c r="AB400" i="82" s="1"/>
  <c r="AU683" i="72"/>
  <c r="CQ683" i="72"/>
  <c r="DG682" i="72"/>
  <c r="AB435" i="72"/>
  <c r="AB464" i="72" s="1"/>
  <c r="CY682" i="72"/>
  <c r="AB307" i="72"/>
  <c r="AB336" i="72" s="1"/>
  <c r="DA661" i="72"/>
  <c r="ET661" i="72"/>
  <c r="CV661" i="72"/>
  <c r="BD661" i="72"/>
  <c r="BE661" i="72"/>
  <c r="DC661" i="72"/>
  <c r="BL661" i="72"/>
  <c r="BJ661" i="72"/>
  <c r="BI661" i="72"/>
  <c r="EL661" i="72"/>
  <c r="EM661" i="72"/>
  <c r="EQ661" i="72"/>
  <c r="ER661" i="72"/>
  <c r="AI562" i="72"/>
  <c r="AY23" i="72"/>
  <c r="N661" i="72"/>
  <c r="M661" i="72"/>
  <c r="S661" i="72"/>
  <c r="R661" i="72"/>
  <c r="U661" i="72"/>
  <c r="L562" i="72"/>
  <c r="AT540" i="72"/>
  <c r="AT524" i="72"/>
  <c r="AT460" i="72"/>
  <c r="AT463" i="72" s="1"/>
  <c r="AT396" i="72"/>
  <c r="AT332" i="72"/>
  <c r="AT348" i="72"/>
  <c r="AT351" i="72" s="1"/>
  <c r="AT412" i="72"/>
  <c r="AT476" i="72"/>
  <c r="AT479" i="72" s="1"/>
  <c r="AN519" i="72"/>
  <c r="AN455" i="72"/>
  <c r="AN391" i="72"/>
  <c r="AN327" i="72"/>
  <c r="AN535" i="72"/>
  <c r="AN471" i="72"/>
  <c r="AN407" i="72"/>
  <c r="AN343" i="72"/>
  <c r="AH472" i="72"/>
  <c r="AH344" i="72"/>
  <c r="AT287" i="72"/>
  <c r="AH312" i="72"/>
  <c r="AN503" i="72"/>
  <c r="AN439" i="72"/>
  <c r="AN375" i="72"/>
  <c r="AN311" i="72"/>
  <c r="AN487" i="72"/>
  <c r="AN423" i="72"/>
  <c r="AN359" i="72"/>
  <c r="AN295" i="72"/>
  <c r="AH376" i="72"/>
  <c r="AH536" i="72"/>
  <c r="AH440" i="72"/>
  <c r="AT492" i="72"/>
  <c r="AH408" i="72"/>
  <c r="AH504" i="72"/>
  <c r="D13" i="6"/>
  <c r="P287" i="82" s="1"/>
  <c r="P15" i="72"/>
  <c r="D20" i="6"/>
  <c r="V323" i="82" s="1"/>
  <c r="V50" i="72"/>
  <c r="C22" i="6"/>
  <c r="V179" i="82" s="1"/>
  <c r="C12" i="6"/>
  <c r="P7" i="82" s="1"/>
  <c r="P144" i="82" s="1"/>
  <c r="C21" i="6"/>
  <c r="V114" i="82" s="1"/>
  <c r="V240" i="82" s="1"/>
  <c r="C14" i="6"/>
  <c r="C23" i="6"/>
  <c r="AB128" i="72"/>
  <c r="AN252" i="72"/>
  <c r="AB192" i="72"/>
  <c r="AT247" i="72"/>
  <c r="AH264" i="72"/>
  <c r="AN188" i="72"/>
  <c r="AN204" i="72"/>
  <c r="AH200" i="72"/>
  <c r="AH104" i="72"/>
  <c r="AH136" i="72"/>
  <c r="AH72" i="72"/>
  <c r="AH40" i="72"/>
  <c r="AN60" i="72"/>
  <c r="AT63" i="72"/>
  <c r="AT71" i="72"/>
  <c r="AT436" i="72" l="1"/>
  <c r="AT439" i="72" s="1"/>
  <c r="AT292" i="82"/>
  <c r="AT295" i="82" s="1"/>
  <c r="AT500" i="82"/>
  <c r="AT503" i="82" s="1"/>
  <c r="AT436" i="82"/>
  <c r="AT439" i="82" s="1"/>
  <c r="AT372" i="82"/>
  <c r="AT375" i="82" s="1"/>
  <c r="AT484" i="82"/>
  <c r="AT487" i="82" s="1"/>
  <c r="AT420" i="82"/>
  <c r="AT423" i="82" s="1"/>
  <c r="AT356" i="82"/>
  <c r="AT359" i="82" s="1"/>
  <c r="AT308" i="82"/>
  <c r="AT311" i="82" s="1"/>
  <c r="AT532" i="72"/>
  <c r="AT532" i="82"/>
  <c r="AT535" i="82" s="1"/>
  <c r="AT468" i="82"/>
  <c r="AT471" i="82" s="1"/>
  <c r="AT452" i="82"/>
  <c r="AT455" i="82" s="1"/>
  <c r="AT404" i="82"/>
  <c r="AT407" i="82" s="1"/>
  <c r="AT388" i="82"/>
  <c r="AT391" i="82" s="1"/>
  <c r="AT516" i="82"/>
  <c r="AT519" i="82" s="1"/>
  <c r="AT324" i="82"/>
  <c r="AT327" i="82" s="1"/>
  <c r="AT340" i="82"/>
  <c r="AT343" i="82" s="1"/>
  <c r="AT428" i="72"/>
  <c r="AT431" i="72" s="1"/>
  <c r="AT508" i="82"/>
  <c r="AT511" i="82" s="1"/>
  <c r="AT492" i="82"/>
  <c r="AT495" i="82" s="1"/>
  <c r="AT444" i="82"/>
  <c r="AT447" i="82" s="1"/>
  <c r="AT428" i="82"/>
  <c r="AT431" i="82" s="1"/>
  <c r="AT380" i="82"/>
  <c r="AT383" i="82" s="1"/>
  <c r="AT364" i="82"/>
  <c r="AT367" i="82" s="1"/>
  <c r="AT316" i="82"/>
  <c r="AT319" i="82" s="1"/>
  <c r="AT300" i="82"/>
  <c r="AT303" i="82" s="1"/>
  <c r="AN487" i="82"/>
  <c r="AN492" i="82" s="1"/>
  <c r="AN423" i="82"/>
  <c r="AN428" i="82" s="1"/>
  <c r="AN359" i="82"/>
  <c r="AN364" i="82" s="1"/>
  <c r="AN311" i="82"/>
  <c r="AN316" i="82" s="1"/>
  <c r="AN295" i="82"/>
  <c r="AN300" i="82" s="1"/>
  <c r="AN503" i="82"/>
  <c r="AN508" i="82" s="1"/>
  <c r="AN439" i="82"/>
  <c r="AN444" i="82" s="1"/>
  <c r="AN375" i="82"/>
  <c r="AN380" i="82" s="1"/>
  <c r="N561" i="72"/>
  <c r="CP667" i="72"/>
  <c r="E561" i="72"/>
  <c r="EC667" i="72"/>
  <c r="EG667" i="72"/>
  <c r="H667" i="72"/>
  <c r="J561" i="72"/>
  <c r="AQ562" i="72"/>
  <c r="BH667" i="72"/>
  <c r="CY667" i="72"/>
  <c r="EP667" i="72"/>
  <c r="EK667" i="72"/>
  <c r="C562" i="72"/>
  <c r="CP668" i="72" s="1"/>
  <c r="CT667" i="72"/>
  <c r="H561" i="72"/>
  <c r="L667" i="72"/>
  <c r="F562" i="72"/>
  <c r="CT668" i="72" s="1"/>
  <c r="AM562" i="72"/>
  <c r="AE562" i="72"/>
  <c r="DD667" i="72"/>
  <c r="EU667" i="72"/>
  <c r="I562" i="72"/>
  <c r="J562" i="72" s="1"/>
  <c r="V667" i="72"/>
  <c r="B563" i="72"/>
  <c r="AV563" i="72" s="1"/>
  <c r="AY667" i="72"/>
  <c r="D667" i="72"/>
  <c r="CL667" i="72"/>
  <c r="BQ705" i="82"/>
  <c r="BR705" i="82" s="1"/>
  <c r="U705" i="82"/>
  <c r="V705" i="82" s="1"/>
  <c r="N594" i="82"/>
  <c r="F705" i="82"/>
  <c r="G705" i="82" s="1"/>
  <c r="BB705" i="82"/>
  <c r="BC705" i="82" s="1"/>
  <c r="E594" i="82"/>
  <c r="BL705" i="82"/>
  <c r="BM705" i="82" s="1"/>
  <c r="P705" i="82"/>
  <c r="Q705" i="82" s="1"/>
  <c r="J594" i="82"/>
  <c r="AQ595" i="82"/>
  <c r="AV595" i="82"/>
  <c r="F595" i="82"/>
  <c r="B596" i="82"/>
  <c r="AM595" i="82"/>
  <c r="C595" i="82"/>
  <c r="AI595" i="82"/>
  <c r="AE595" i="82"/>
  <c r="L595" i="82"/>
  <c r="I595" i="82"/>
  <c r="K705" i="82"/>
  <c r="L705" i="82" s="1"/>
  <c r="BG705" i="82"/>
  <c r="BH705" i="82" s="1"/>
  <c r="H594" i="82"/>
  <c r="AT500" i="72"/>
  <c r="AT503" i="72" s="1"/>
  <c r="AT292" i="72"/>
  <c r="AT295" i="72" s="1"/>
  <c r="AT420" i="72"/>
  <c r="AT423" i="72" s="1"/>
  <c r="AT316" i="72"/>
  <c r="AT319" i="72" s="1"/>
  <c r="AT356" i="72"/>
  <c r="AT359" i="72" s="1"/>
  <c r="AT508" i="72"/>
  <c r="AT511" i="72" s="1"/>
  <c r="AT484" i="72"/>
  <c r="AT487" i="72" s="1"/>
  <c r="AT380" i="72"/>
  <c r="AT383" i="72" s="1"/>
  <c r="AT444" i="72"/>
  <c r="AT447" i="72" s="1"/>
  <c r="AT300" i="72"/>
  <c r="AT303" i="72" s="1"/>
  <c r="AT308" i="72"/>
  <c r="AT311" i="72" s="1"/>
  <c r="AT372" i="72"/>
  <c r="AT375" i="72" s="1"/>
  <c r="AT364" i="72"/>
  <c r="AT367" i="72" s="1"/>
  <c r="AT452" i="72"/>
  <c r="AT455" i="72" s="1"/>
  <c r="AT516" i="72"/>
  <c r="AT519" i="72" s="1"/>
  <c r="AT324" i="72"/>
  <c r="AT327" i="72" s="1"/>
  <c r="AT388" i="72"/>
  <c r="AT391" i="72" s="1"/>
  <c r="AT340" i="72"/>
  <c r="AT404" i="72"/>
  <c r="AT407" i="72" s="1"/>
  <c r="AT468" i="72"/>
  <c r="AT471" i="72" s="1"/>
  <c r="AB499" i="72"/>
  <c r="AB528" i="72" s="1"/>
  <c r="AB371" i="72"/>
  <c r="AB400" i="72" s="1"/>
  <c r="P287" i="72"/>
  <c r="V323" i="72"/>
  <c r="DD668" i="72"/>
  <c r="EU668" i="72"/>
  <c r="BM668" i="72"/>
  <c r="AY28" i="72"/>
  <c r="N562" i="72"/>
  <c r="V668" i="72"/>
  <c r="D668" i="72"/>
  <c r="H668" i="72"/>
  <c r="AN348" i="72"/>
  <c r="AT535" i="72"/>
  <c r="AN428" i="72"/>
  <c r="AN332" i="72"/>
  <c r="AN492" i="72"/>
  <c r="AN396" i="72"/>
  <c r="AT335" i="72"/>
  <c r="AN444" i="72"/>
  <c r="AT527" i="72"/>
  <c r="AT495" i="72"/>
  <c r="AN508" i="72"/>
  <c r="AN412" i="72"/>
  <c r="AT543" i="72"/>
  <c r="AN300" i="72"/>
  <c r="AN364" i="72"/>
  <c r="AN540" i="72"/>
  <c r="AN316" i="72"/>
  <c r="AT343" i="72"/>
  <c r="AN460" i="72"/>
  <c r="AT399" i="72"/>
  <c r="AN476" i="72"/>
  <c r="AT415" i="72"/>
  <c r="AN380" i="72"/>
  <c r="AN524" i="72"/>
  <c r="D21" i="6"/>
  <c r="V387" i="82" s="1"/>
  <c r="V512" i="82" s="1"/>
  <c r="V114" i="72"/>
  <c r="D12" i="6"/>
  <c r="P279" i="82" s="1"/>
  <c r="P416" i="82" s="1"/>
  <c r="P7" i="72"/>
  <c r="D22" i="6"/>
  <c r="V451" i="82" s="1"/>
  <c r="V179" i="72"/>
  <c r="G5" i="70"/>
  <c r="H4" i="70" s="1"/>
  <c r="EG668" i="72" l="1"/>
  <c r="E562" i="72"/>
  <c r="AY668" i="72"/>
  <c r="AU668" i="72"/>
  <c r="EC668" i="72"/>
  <c r="CL668" i="72"/>
  <c r="L668" i="72"/>
  <c r="L563" i="72"/>
  <c r="BM669" i="72" s="1"/>
  <c r="AQ563" i="72"/>
  <c r="EP668" i="72"/>
  <c r="CY668" i="72"/>
  <c r="H562" i="72"/>
  <c r="BC668" i="72"/>
  <c r="BH668" i="72"/>
  <c r="C563" i="72"/>
  <c r="AU669" i="72" s="1"/>
  <c r="EK668" i="72"/>
  <c r="I563" i="72"/>
  <c r="J563" i="72" s="1"/>
  <c r="AM563" i="72"/>
  <c r="F563" i="72"/>
  <c r="CT669" i="72" s="1"/>
  <c r="AE563" i="72"/>
  <c r="B564" i="72"/>
  <c r="AV564" i="72" s="1"/>
  <c r="Q668" i="72"/>
  <c r="AI563" i="72"/>
  <c r="BQ706" i="82"/>
  <c r="BR706" i="82" s="1"/>
  <c r="N595" i="82"/>
  <c r="U706" i="82"/>
  <c r="V706" i="82" s="1"/>
  <c r="C596" i="82"/>
  <c r="B597" i="82"/>
  <c r="AM596" i="82"/>
  <c r="L596" i="82"/>
  <c r="AQ596" i="82"/>
  <c r="AI596" i="82"/>
  <c r="AE596" i="82"/>
  <c r="AV596" i="82"/>
  <c r="I596" i="82"/>
  <c r="F596" i="82"/>
  <c r="K706" i="82"/>
  <c r="L706" i="82" s="1"/>
  <c r="BG706" i="82"/>
  <c r="BH706" i="82" s="1"/>
  <c r="H595" i="82"/>
  <c r="P706" i="82"/>
  <c r="Q706" i="82" s="1"/>
  <c r="BL706" i="82"/>
  <c r="BM706" i="82" s="1"/>
  <c r="J595" i="82"/>
  <c r="BB706" i="82"/>
  <c r="BC706" i="82" s="1"/>
  <c r="F706" i="82"/>
  <c r="G706" i="82" s="1"/>
  <c r="E595" i="82"/>
  <c r="V451" i="72"/>
  <c r="V387" i="72"/>
  <c r="EP669" i="72"/>
  <c r="BC669" i="72"/>
  <c r="DD669" i="72"/>
  <c r="CP669" i="72"/>
  <c r="AY31" i="72"/>
  <c r="E563" i="72"/>
  <c r="L669" i="72"/>
  <c r="B565" i="72"/>
  <c r="AV565" i="72" s="1"/>
  <c r="AE564" i="72"/>
  <c r="D14" i="6"/>
  <c r="P279" i="72"/>
  <c r="D23" i="6"/>
  <c r="H2" i="70"/>
  <c r="H3" i="70"/>
  <c r="V669" i="72" l="1"/>
  <c r="EU669" i="72"/>
  <c r="AY669" i="72"/>
  <c r="N563" i="72"/>
  <c r="EG669" i="72"/>
  <c r="L564" i="72"/>
  <c r="CY669" i="72"/>
  <c r="D669" i="72"/>
  <c r="CL669" i="72"/>
  <c r="EC669" i="72"/>
  <c r="F564" i="72"/>
  <c r="H564" i="72" s="1"/>
  <c r="H669" i="72"/>
  <c r="BH669" i="72"/>
  <c r="Q669" i="72"/>
  <c r="AI564" i="72"/>
  <c r="C564" i="72"/>
  <c r="AY670" i="72" s="1"/>
  <c r="H563" i="72"/>
  <c r="AM564" i="72"/>
  <c r="EK669" i="72"/>
  <c r="I564" i="72"/>
  <c r="J564" i="72" s="1"/>
  <c r="AQ564" i="72"/>
  <c r="AV597" i="82"/>
  <c r="I597" i="82"/>
  <c r="AI597" i="82"/>
  <c r="F597" i="82"/>
  <c r="AM597" i="82"/>
  <c r="AE597" i="82"/>
  <c r="AQ597" i="82"/>
  <c r="C597" i="82"/>
  <c r="B598" i="82"/>
  <c r="L597" i="82"/>
  <c r="F707" i="82"/>
  <c r="G707" i="82" s="1"/>
  <c r="BB707" i="82"/>
  <c r="BC707" i="82" s="1"/>
  <c r="E596" i="82"/>
  <c r="BG707" i="82"/>
  <c r="BH707" i="82" s="1"/>
  <c r="K707" i="82"/>
  <c r="L707" i="82" s="1"/>
  <c r="H596" i="82"/>
  <c r="P707" i="82"/>
  <c r="Q707" i="82" s="1"/>
  <c r="BL707" i="82"/>
  <c r="BM707" i="82" s="1"/>
  <c r="J596" i="82"/>
  <c r="BQ707" i="82"/>
  <c r="BR707" i="82" s="1"/>
  <c r="U707" i="82"/>
  <c r="V707" i="82" s="1"/>
  <c r="N596" i="82"/>
  <c r="V512" i="72"/>
  <c r="DD670" i="72"/>
  <c r="EU670" i="72"/>
  <c r="BM670" i="72"/>
  <c r="EC670" i="72"/>
  <c r="AY36" i="72"/>
  <c r="AQ565" i="72"/>
  <c r="AM565" i="72"/>
  <c r="AI565" i="72"/>
  <c r="N564" i="72"/>
  <c r="V670" i="72"/>
  <c r="B566" i="72"/>
  <c r="AV566" i="72" s="1"/>
  <c r="AE565" i="72"/>
  <c r="I565" i="72"/>
  <c r="L565" i="72"/>
  <c r="C565" i="72"/>
  <c r="F565" i="72"/>
  <c r="P416" i="72"/>
  <c r="V240" i="72"/>
  <c r="C16" i="70"/>
  <c r="C15" i="70"/>
  <c r="C14" i="70"/>
  <c r="C13" i="70"/>
  <c r="C12" i="70"/>
  <c r="C11" i="70"/>
  <c r="C9" i="70"/>
  <c r="C8" i="70"/>
  <c r="C6" i="70"/>
  <c r="C5" i="70"/>
  <c r="C4" i="70"/>
  <c r="C2" i="70"/>
  <c r="CL670" i="72" l="1"/>
  <c r="H670" i="72"/>
  <c r="AU670" i="72"/>
  <c r="EG670" i="72"/>
  <c r="L670" i="72"/>
  <c r="BC670" i="72"/>
  <c r="D670" i="72"/>
  <c r="EK670" i="72"/>
  <c r="E564" i="72"/>
  <c r="CP670" i="72"/>
  <c r="CT670" i="72"/>
  <c r="BH670" i="72"/>
  <c r="EP670" i="72"/>
  <c r="CY670" i="72"/>
  <c r="Q670" i="72"/>
  <c r="BL708" i="82"/>
  <c r="BM708" i="82" s="1"/>
  <c r="P708" i="82"/>
  <c r="Q708" i="82" s="1"/>
  <c r="J597" i="82"/>
  <c r="U708" i="82"/>
  <c r="V708" i="82" s="1"/>
  <c r="BQ708" i="82"/>
  <c r="BR708" i="82" s="1"/>
  <c r="N597" i="82"/>
  <c r="AI598" i="82"/>
  <c r="AV598" i="82"/>
  <c r="AE598" i="82"/>
  <c r="I598" i="82"/>
  <c r="B599" i="82"/>
  <c r="AQ598" i="82"/>
  <c r="L598" i="82"/>
  <c r="F598" i="82"/>
  <c r="AM598" i="82"/>
  <c r="C598" i="82"/>
  <c r="K708" i="82"/>
  <c r="L708" i="82" s="1"/>
  <c r="BG708" i="82"/>
  <c r="BH708" i="82" s="1"/>
  <c r="H597" i="82"/>
  <c r="F708" i="82"/>
  <c r="G708" i="82" s="1"/>
  <c r="BB708" i="82"/>
  <c r="BC708" i="82" s="1"/>
  <c r="E597" i="82"/>
  <c r="CT671" i="72"/>
  <c r="EK671" i="72"/>
  <c r="BC671" i="72"/>
  <c r="EC671" i="72"/>
  <c r="EG671" i="72"/>
  <c r="AU671" i="72"/>
  <c r="AY671" i="72"/>
  <c r="DD671" i="72"/>
  <c r="EU671" i="72"/>
  <c r="BM671" i="72"/>
  <c r="CY671" i="72"/>
  <c r="EP671" i="72"/>
  <c r="BH671" i="72"/>
  <c r="CL671" i="72"/>
  <c r="CP671" i="72"/>
  <c r="AQ566" i="72"/>
  <c r="AM566" i="72"/>
  <c r="AI566" i="72"/>
  <c r="AY39" i="72"/>
  <c r="N565" i="72"/>
  <c r="V671" i="72"/>
  <c r="J565" i="72"/>
  <c r="Q671" i="72"/>
  <c r="E565" i="72"/>
  <c r="D671" i="72"/>
  <c r="H671" i="72"/>
  <c r="H565" i="72"/>
  <c r="L671" i="72"/>
  <c r="B567" i="72"/>
  <c r="AV567" i="72" s="1"/>
  <c r="AE566" i="72"/>
  <c r="C566" i="72"/>
  <c r="F566" i="72"/>
  <c r="L566" i="72"/>
  <c r="I566" i="72"/>
  <c r="P144" i="72"/>
  <c r="F22" i="70"/>
  <c r="B24" i="70"/>
  <c r="F26" i="70"/>
  <c r="B28" i="70"/>
  <c r="F30" i="70"/>
  <c r="B32" i="70"/>
  <c r="F34" i="70"/>
  <c r="B36" i="70"/>
  <c r="F38" i="70"/>
  <c r="B40" i="70"/>
  <c r="F42" i="70"/>
  <c r="B44" i="70"/>
  <c r="F46" i="70"/>
  <c r="B48" i="70"/>
  <c r="F50" i="70"/>
  <c r="B52" i="70"/>
  <c r="F54" i="70"/>
  <c r="B56" i="70"/>
  <c r="F58" i="70"/>
  <c r="B60" i="70"/>
  <c r="F62" i="70"/>
  <c r="B64" i="70"/>
  <c r="F66" i="70"/>
  <c r="B68" i="70"/>
  <c r="F70" i="70"/>
  <c r="B72" i="70"/>
  <c r="F74" i="70"/>
  <c r="B76" i="70"/>
  <c r="F78" i="70"/>
  <c r="B80" i="70"/>
  <c r="F82" i="70"/>
  <c r="B84" i="70"/>
  <c r="F86" i="70"/>
  <c r="B88" i="70"/>
  <c r="F90" i="70"/>
  <c r="B92" i="70"/>
  <c r="F94" i="70"/>
  <c r="B96" i="70"/>
  <c r="F98" i="70"/>
  <c r="B100" i="70"/>
  <c r="F102" i="70"/>
  <c r="B104" i="70"/>
  <c r="F106" i="70"/>
  <c r="B108" i="70"/>
  <c r="F110" i="70"/>
  <c r="B112" i="70"/>
  <c r="C24" i="70"/>
  <c r="E25" i="70"/>
  <c r="C28" i="70"/>
  <c r="E29" i="70"/>
  <c r="C32" i="70"/>
  <c r="E33" i="70"/>
  <c r="C36" i="70"/>
  <c r="E37" i="70"/>
  <c r="C40" i="70"/>
  <c r="E41" i="70"/>
  <c r="C44" i="70"/>
  <c r="E45" i="70"/>
  <c r="C48" i="70"/>
  <c r="E49" i="70"/>
  <c r="C52" i="70"/>
  <c r="E53" i="70"/>
  <c r="C56" i="70"/>
  <c r="E57" i="70"/>
  <c r="C60" i="70"/>
  <c r="E61" i="70"/>
  <c r="C64" i="70"/>
  <c r="E65" i="70"/>
  <c r="C68" i="70"/>
  <c r="E69" i="70"/>
  <c r="C72" i="70"/>
  <c r="E73" i="70"/>
  <c r="C76" i="70"/>
  <c r="E77" i="70"/>
  <c r="C80" i="70"/>
  <c r="E81" i="70"/>
  <c r="C84" i="70"/>
  <c r="E85" i="70"/>
  <c r="C88" i="70"/>
  <c r="E89" i="70"/>
  <c r="C92" i="70"/>
  <c r="E93" i="70"/>
  <c r="C96" i="70"/>
  <c r="E97" i="70"/>
  <c r="C100" i="70"/>
  <c r="E101" i="70"/>
  <c r="C104" i="70"/>
  <c r="E105" i="70"/>
  <c r="C108" i="70"/>
  <c r="E109" i="70"/>
  <c r="C112" i="70"/>
  <c r="E113" i="70"/>
  <c r="C116" i="70"/>
  <c r="E117" i="70"/>
  <c r="C120" i="70"/>
  <c r="C21" i="70"/>
  <c r="C23" i="70"/>
  <c r="E24" i="70"/>
  <c r="C27" i="70"/>
  <c r="E28" i="70"/>
  <c r="C31" i="70"/>
  <c r="E32" i="70"/>
  <c r="C35" i="70"/>
  <c r="E36" i="70"/>
  <c r="C39" i="70"/>
  <c r="E40" i="70"/>
  <c r="C43" i="70"/>
  <c r="E44" i="70"/>
  <c r="C47" i="70"/>
  <c r="E48" i="70"/>
  <c r="C51" i="70"/>
  <c r="E52" i="70"/>
  <c r="C55" i="70"/>
  <c r="E56" i="70"/>
  <c r="C59" i="70"/>
  <c r="E60" i="70"/>
  <c r="C63" i="70"/>
  <c r="E64" i="70"/>
  <c r="C67" i="70"/>
  <c r="E68" i="70"/>
  <c r="C71" i="70"/>
  <c r="E72" i="70"/>
  <c r="C75" i="70"/>
  <c r="E76" i="70"/>
  <c r="C79" i="70"/>
  <c r="E80" i="70"/>
  <c r="C83" i="70"/>
  <c r="E84" i="70"/>
  <c r="C87" i="70"/>
  <c r="E88" i="70"/>
  <c r="C91" i="70"/>
  <c r="E92" i="70"/>
  <c r="E23" i="70"/>
  <c r="F25" i="70"/>
  <c r="F27" i="70"/>
  <c r="B30" i="70"/>
  <c r="C34" i="70"/>
  <c r="F40" i="70"/>
  <c r="E42" i="70"/>
  <c r="B47" i="70"/>
  <c r="B49" i="70"/>
  <c r="C53" i="70"/>
  <c r="E55" i="70"/>
  <c r="F57" i="70"/>
  <c r="F59" i="70"/>
  <c r="B62" i="70"/>
  <c r="C66" i="70"/>
  <c r="F72" i="70"/>
  <c r="E74" i="70"/>
  <c r="B79" i="70"/>
  <c r="B81" i="70"/>
  <c r="C85" i="70"/>
  <c r="E87" i="70"/>
  <c r="F89" i="70"/>
  <c r="F91" i="70"/>
  <c r="E95" i="70"/>
  <c r="C97" i="70"/>
  <c r="C99" i="70"/>
  <c r="E102" i="70"/>
  <c r="E104" i="70"/>
  <c r="C106" i="70"/>
  <c r="E111" i="70"/>
  <c r="C113" i="70"/>
  <c r="B115" i="70"/>
  <c r="E116" i="70"/>
  <c r="B118" i="70"/>
  <c r="E119" i="70"/>
  <c r="B22" i="70"/>
  <c r="E47" i="70"/>
  <c r="F64" i="70"/>
  <c r="F83" i="70"/>
  <c r="C90" i="70"/>
  <c r="C103" i="70"/>
  <c r="E106" i="70"/>
  <c r="E21" i="70"/>
  <c r="B46" i="70"/>
  <c r="B63" i="70"/>
  <c r="B78" i="70"/>
  <c r="E94" i="70"/>
  <c r="C105" i="70"/>
  <c r="E112" i="70"/>
  <c r="C117" i="70"/>
  <c r="B21" i="70"/>
  <c r="C46" i="70"/>
  <c r="F69" i="70"/>
  <c r="E86" i="70"/>
  <c r="F23" i="70"/>
  <c r="B26" i="70"/>
  <c r="C30" i="70"/>
  <c r="F36" i="70"/>
  <c r="E38" i="70"/>
  <c r="B43" i="70"/>
  <c r="B45" i="70"/>
  <c r="C49" i="70"/>
  <c r="E51" i="70"/>
  <c r="F53" i="70"/>
  <c r="F55" i="70"/>
  <c r="B58" i="70"/>
  <c r="C62" i="70"/>
  <c r="F68" i="70"/>
  <c r="E70" i="70"/>
  <c r="B75" i="70"/>
  <c r="B77" i="70"/>
  <c r="C81" i="70"/>
  <c r="E83" i="70"/>
  <c r="F85" i="70"/>
  <c r="F87" i="70"/>
  <c r="B90" i="70"/>
  <c r="B94" i="70"/>
  <c r="F95" i="70"/>
  <c r="F97" i="70"/>
  <c r="B101" i="70"/>
  <c r="B103" i="70"/>
  <c r="F104" i="70"/>
  <c r="B110" i="70"/>
  <c r="F111" i="70"/>
  <c r="F113" i="70"/>
  <c r="C115" i="70"/>
  <c r="F116" i="70"/>
  <c r="C118" i="70"/>
  <c r="F119" i="70"/>
  <c r="F21" i="70"/>
  <c r="C26" i="70"/>
  <c r="F32" i="70"/>
  <c r="E34" i="70"/>
  <c r="B39" i="70"/>
  <c r="B41" i="70"/>
  <c r="C45" i="70"/>
  <c r="F49" i="70"/>
  <c r="F51" i="70"/>
  <c r="B54" i="70"/>
  <c r="C58" i="70"/>
  <c r="E66" i="70"/>
  <c r="B71" i="70"/>
  <c r="B73" i="70"/>
  <c r="C77" i="70"/>
  <c r="E79" i="70"/>
  <c r="F81" i="70"/>
  <c r="B86" i="70"/>
  <c r="C94" i="70"/>
  <c r="E99" i="70"/>
  <c r="C101" i="70"/>
  <c r="E108" i="70"/>
  <c r="C110" i="70"/>
  <c r="F24" i="70"/>
  <c r="E26" i="70"/>
  <c r="B31" i="70"/>
  <c r="B33" i="70"/>
  <c r="C37" i="70"/>
  <c r="E39" i="70"/>
  <c r="F41" i="70"/>
  <c r="F43" i="70"/>
  <c r="C50" i="70"/>
  <c r="E58" i="70"/>
  <c r="B65" i="70"/>
  <c r="C69" i="70"/>
  <c r="E71" i="70"/>
  <c r="F73" i="70"/>
  <c r="C82" i="70"/>
  <c r="F88" i="70"/>
  <c r="E96" i="70"/>
  <c r="C98" i="70"/>
  <c r="E103" i="70"/>
  <c r="C107" i="70"/>
  <c r="C114" i="70"/>
  <c r="F115" i="70"/>
  <c r="E22" i="70"/>
  <c r="B27" i="70"/>
  <c r="B29" i="70"/>
  <c r="C33" i="70"/>
  <c r="E35" i="70"/>
  <c r="F37" i="70"/>
  <c r="F39" i="70"/>
  <c r="E54" i="70"/>
  <c r="B59" i="70"/>
  <c r="C65" i="70"/>
  <c r="E67" i="70"/>
  <c r="B74" i="70"/>
  <c r="C78" i="70"/>
  <c r="F84" i="70"/>
  <c r="B93" i="70"/>
  <c r="F96" i="70"/>
  <c r="C22" i="70"/>
  <c r="F28" i="70"/>
  <c r="E30" i="70"/>
  <c r="B35" i="70"/>
  <c r="B37" i="70"/>
  <c r="C41" i="70"/>
  <c r="E43" i="70"/>
  <c r="F45" i="70"/>
  <c r="F47" i="70"/>
  <c r="B50" i="70"/>
  <c r="C54" i="70"/>
  <c r="F60" i="70"/>
  <c r="E62" i="70"/>
  <c r="B67" i="70"/>
  <c r="B69" i="70"/>
  <c r="C73" i="70"/>
  <c r="E75" i="70"/>
  <c r="F77" i="70"/>
  <c r="F79" i="70"/>
  <c r="B82" i="70"/>
  <c r="C86" i="70"/>
  <c r="F92" i="70"/>
  <c r="B98" i="70"/>
  <c r="F99" i="70"/>
  <c r="F101" i="70"/>
  <c r="B105" i="70"/>
  <c r="B107" i="70"/>
  <c r="F108" i="70"/>
  <c r="B114" i="70"/>
  <c r="E115" i="70"/>
  <c r="B117" i="70"/>
  <c r="E118" i="70"/>
  <c r="B120" i="70"/>
  <c r="F56" i="70"/>
  <c r="F75" i="70"/>
  <c r="E90" i="70"/>
  <c r="E110" i="70"/>
  <c r="F118" i="70"/>
  <c r="B42" i="70"/>
  <c r="F52" i="70"/>
  <c r="B61" i="70"/>
  <c r="F71" i="70"/>
  <c r="B91" i="70"/>
  <c r="B95" i="70"/>
  <c r="E27" i="70"/>
  <c r="F44" i="70"/>
  <c r="B53" i="70"/>
  <c r="F61" i="70"/>
  <c r="C70" i="70"/>
  <c r="E78" i="70"/>
  <c r="B102" i="70"/>
  <c r="B106" i="70"/>
  <c r="C111" i="70"/>
  <c r="B57" i="70"/>
  <c r="F107" i="70"/>
  <c r="F31" i="70"/>
  <c r="E91" i="70"/>
  <c r="B25" i="70"/>
  <c r="F67" i="70"/>
  <c r="B99" i="70"/>
  <c r="F76" i="70"/>
  <c r="F105" i="70"/>
  <c r="B119" i="70"/>
  <c r="B111" i="70"/>
  <c r="C29" i="70"/>
  <c r="B38" i="70"/>
  <c r="B55" i="70"/>
  <c r="E63" i="70"/>
  <c r="F80" i="70"/>
  <c r="B89" i="70"/>
  <c r="C102" i="70"/>
  <c r="B116" i="70"/>
  <c r="E120" i="70"/>
  <c r="F29" i="70"/>
  <c r="C38" i="70"/>
  <c r="E46" i="70"/>
  <c r="F63" i="70"/>
  <c r="C89" i="70"/>
  <c r="B97" i="70"/>
  <c r="E107" i="70"/>
  <c r="F112" i="70"/>
  <c r="F120" i="70"/>
  <c r="E31" i="70"/>
  <c r="F48" i="70"/>
  <c r="F65" i="70"/>
  <c r="C74" i="70"/>
  <c r="F103" i="70"/>
  <c r="C57" i="70"/>
  <c r="B66" i="70"/>
  <c r="E98" i="70"/>
  <c r="B109" i="70"/>
  <c r="B113" i="70"/>
  <c r="F33" i="70"/>
  <c r="C42" i="70"/>
  <c r="C93" i="70"/>
  <c r="C109" i="70"/>
  <c r="C25" i="70"/>
  <c r="B51" i="70"/>
  <c r="B85" i="70"/>
  <c r="E100" i="70"/>
  <c r="F109" i="70"/>
  <c r="F35" i="70"/>
  <c r="B70" i="70"/>
  <c r="C95" i="70"/>
  <c r="F100" i="70"/>
  <c r="F114" i="70"/>
  <c r="C119" i="70"/>
  <c r="B23" i="70"/>
  <c r="E82" i="70"/>
  <c r="B83" i="70"/>
  <c r="F117" i="70"/>
  <c r="E50" i="70"/>
  <c r="B34" i="70"/>
  <c r="E59" i="70"/>
  <c r="F93" i="70"/>
  <c r="E114" i="70"/>
  <c r="C61" i="70"/>
  <c r="B87" i="70"/>
  <c r="C7" i="70"/>
  <c r="D29" i="70" s="1"/>
  <c r="U709" i="82" l="1"/>
  <c r="V709" i="82" s="1"/>
  <c r="BQ709" i="82"/>
  <c r="BR709" i="82" s="1"/>
  <c r="N598" i="82"/>
  <c r="BB709" i="82"/>
  <c r="BC709" i="82" s="1"/>
  <c r="F709" i="82"/>
  <c r="G709" i="82" s="1"/>
  <c r="E598" i="82"/>
  <c r="AQ599" i="82"/>
  <c r="AM599" i="82"/>
  <c r="L599" i="82"/>
  <c r="I599" i="82"/>
  <c r="F599" i="82"/>
  <c r="AI599" i="82"/>
  <c r="AE599" i="82"/>
  <c r="B600" i="82"/>
  <c r="AV599" i="82"/>
  <c r="C599" i="82"/>
  <c r="P709" i="82"/>
  <c r="Q709" i="82" s="1"/>
  <c r="BL709" i="82"/>
  <c r="BM709" i="82" s="1"/>
  <c r="J598" i="82"/>
  <c r="BG709" i="82"/>
  <c r="BH709" i="82" s="1"/>
  <c r="K709" i="82"/>
  <c r="L709" i="82" s="1"/>
  <c r="H598" i="82"/>
  <c r="EC672" i="72"/>
  <c r="AU672" i="72"/>
  <c r="EG672" i="72"/>
  <c r="AY672" i="72"/>
  <c r="DD672" i="72"/>
  <c r="EU672" i="72"/>
  <c r="BM672" i="72"/>
  <c r="CT672" i="72"/>
  <c r="EK672" i="72"/>
  <c r="BC672" i="72"/>
  <c r="CY672" i="72"/>
  <c r="EP672" i="72"/>
  <c r="BH672" i="72"/>
  <c r="CL672" i="72"/>
  <c r="CP672" i="72"/>
  <c r="AY44" i="72"/>
  <c r="AM567" i="72"/>
  <c r="AQ567" i="72"/>
  <c r="AI567" i="72"/>
  <c r="N566" i="72"/>
  <c r="V672" i="72"/>
  <c r="J566" i="72"/>
  <c r="Q672" i="72"/>
  <c r="H566" i="72"/>
  <c r="L672" i="72"/>
  <c r="E566" i="72"/>
  <c r="D672" i="72"/>
  <c r="H672" i="72"/>
  <c r="B568" i="72"/>
  <c r="AV568" i="72" s="1"/>
  <c r="AE567" i="72"/>
  <c r="I567" i="72"/>
  <c r="L567" i="72"/>
  <c r="F567" i="72"/>
  <c r="C567" i="72"/>
  <c r="J2" i="73"/>
  <c r="G28" i="70"/>
  <c r="G87" i="70"/>
  <c r="D62" i="70"/>
  <c r="D60" i="70"/>
  <c r="G43" i="70"/>
  <c r="D120" i="70"/>
  <c r="D38" i="70"/>
  <c r="D101" i="70"/>
  <c r="G101" i="70"/>
  <c r="G111" i="70"/>
  <c r="D113" i="70"/>
  <c r="D69" i="70"/>
  <c r="G83" i="70"/>
  <c r="D59" i="70"/>
  <c r="G37" i="70"/>
  <c r="G94" i="70"/>
  <c r="G92" i="70"/>
  <c r="D82" i="70"/>
  <c r="D27" i="70"/>
  <c r="D91" i="70"/>
  <c r="D102" i="70"/>
  <c r="G49" i="70"/>
  <c r="G106" i="70"/>
  <c r="G62" i="70"/>
  <c r="G91" i="70"/>
  <c r="G72" i="70"/>
  <c r="G99" i="70"/>
  <c r="G30" i="70"/>
  <c r="D37" i="70"/>
  <c r="G96" i="70"/>
  <c r="D36" i="70"/>
  <c r="G74" i="70"/>
  <c r="D81" i="70"/>
  <c r="D119" i="70"/>
  <c r="G51" i="70"/>
  <c r="G32" i="70"/>
  <c r="D106" i="70"/>
  <c r="G42" i="70"/>
  <c r="D49" i="70"/>
  <c r="G115" i="70"/>
  <c r="G69" i="70"/>
  <c r="G47" i="70"/>
  <c r="D76" i="70"/>
  <c r="D67" i="70"/>
  <c r="G40" i="70"/>
  <c r="D70" i="70"/>
  <c r="G81" i="70"/>
  <c r="D34" i="70"/>
  <c r="D83" i="70"/>
  <c r="D40" i="70"/>
  <c r="D117" i="70"/>
  <c r="G80" i="70"/>
  <c r="G35" i="70"/>
  <c r="D21" i="70"/>
  <c r="D94" i="70"/>
  <c r="D26" i="70"/>
  <c r="D80" i="70"/>
  <c r="G56" i="70"/>
  <c r="G108" i="70"/>
  <c r="G119" i="70"/>
  <c r="D28" i="70"/>
  <c r="D99" i="70"/>
  <c r="D66" i="70"/>
  <c r="D32" i="70"/>
  <c r="G36" i="70"/>
  <c r="G63" i="70"/>
  <c r="G65" i="70"/>
  <c r="G33" i="70"/>
  <c r="G90" i="70"/>
  <c r="G58" i="70"/>
  <c r="G26" i="70"/>
  <c r="D97" i="70"/>
  <c r="D65" i="70"/>
  <c r="D33" i="70"/>
  <c r="G103" i="70"/>
  <c r="G67" i="70"/>
  <c r="G48" i="70"/>
  <c r="D112" i="70"/>
  <c r="D63" i="70"/>
  <c r="G104" i="70"/>
  <c r="D86" i="70"/>
  <c r="G55" i="70"/>
  <c r="G100" i="70"/>
  <c r="D51" i="70"/>
  <c r="G89" i="70"/>
  <c r="G57" i="70"/>
  <c r="G25" i="70"/>
  <c r="G114" i="70"/>
  <c r="G82" i="70"/>
  <c r="G50" i="70"/>
  <c r="D89" i="70"/>
  <c r="D57" i="70"/>
  <c r="D25" i="70"/>
  <c r="D23" i="70"/>
  <c r="G71" i="70"/>
  <c r="D44" i="70"/>
  <c r="D110" i="70"/>
  <c r="D96" i="70"/>
  <c r="D84" i="70"/>
  <c r="G60" i="70"/>
  <c r="D30" i="70"/>
  <c r="G31" i="70"/>
  <c r="G77" i="70"/>
  <c r="G45" i="70"/>
  <c r="G102" i="70"/>
  <c r="G70" i="70"/>
  <c r="G38" i="70"/>
  <c r="D109" i="70"/>
  <c r="D77" i="70"/>
  <c r="G105" i="70"/>
  <c r="G117" i="70"/>
  <c r="G52" i="70"/>
  <c r="D114" i="70"/>
  <c r="G112" i="70"/>
  <c r="D72" i="70"/>
  <c r="D111" i="70"/>
  <c r="G120" i="70"/>
  <c r="D95" i="70"/>
  <c r="D31" i="70"/>
  <c r="D58" i="70"/>
  <c r="D24" i="70"/>
  <c r="G79" i="70"/>
  <c r="D54" i="70"/>
  <c r="D35" i="70"/>
  <c r="D118" i="70"/>
  <c r="G95" i="70"/>
  <c r="D64" i="70"/>
  <c r="D47" i="70"/>
  <c r="G109" i="70"/>
  <c r="G44" i="70"/>
  <c r="G85" i="70"/>
  <c r="G53" i="70"/>
  <c r="G110" i="70"/>
  <c r="G78" i="70"/>
  <c r="G46" i="70"/>
  <c r="D85" i="70"/>
  <c r="D53" i="70"/>
  <c r="D104" i="70"/>
  <c r="G39" i="70"/>
  <c r="D116" i="70"/>
  <c r="D107" i="70"/>
  <c r="D46" i="70"/>
  <c r="D87" i="70"/>
  <c r="D90" i="70"/>
  <c r="D56" i="70"/>
  <c r="D39" i="70"/>
  <c r="G75" i="70"/>
  <c r="D50" i="70"/>
  <c r="D52" i="70"/>
  <c r="D115" i="70"/>
  <c r="D43" i="70"/>
  <c r="G23" i="70"/>
  <c r="D79" i="70"/>
  <c r="G27" i="70"/>
  <c r="D75" i="70"/>
  <c r="G21" i="70"/>
  <c r="G107" i="70"/>
  <c r="G93" i="70"/>
  <c r="G76" i="70"/>
  <c r="G73" i="70"/>
  <c r="G41" i="70"/>
  <c r="G98" i="70"/>
  <c r="G66" i="70"/>
  <c r="G34" i="70"/>
  <c r="D105" i="70"/>
  <c r="D73" i="70"/>
  <c r="D41" i="70"/>
  <c r="D78" i="70"/>
  <c r="G64" i="70"/>
  <c r="G88" i="70"/>
  <c r="D68" i="70"/>
  <c r="D22" i="70"/>
  <c r="G97" i="70"/>
  <c r="D45" i="70"/>
  <c r="G84" i="70"/>
  <c r="D74" i="70"/>
  <c r="D98" i="70"/>
  <c r="D55" i="70"/>
  <c r="D42" i="70"/>
  <c r="D103" i="70"/>
  <c r="D88" i="70"/>
  <c r="D71" i="70"/>
  <c r="D100" i="70"/>
  <c r="D48" i="70"/>
  <c r="G24" i="70"/>
  <c r="G113" i="70"/>
  <c r="D92" i="70"/>
  <c r="D108" i="70"/>
  <c r="G59" i="70"/>
  <c r="G116" i="70"/>
  <c r="G68" i="70"/>
  <c r="G61" i="70"/>
  <c r="G29" i="70"/>
  <c r="G118" i="70"/>
  <c r="G86" i="70"/>
  <c r="G54" i="70"/>
  <c r="G22" i="70"/>
  <c r="D93" i="70"/>
  <c r="D61" i="70"/>
  <c r="U710" i="82" l="1"/>
  <c r="V710" i="82" s="1"/>
  <c r="BQ710" i="82"/>
  <c r="BR710" i="82" s="1"/>
  <c r="N599" i="82"/>
  <c r="C600" i="82"/>
  <c r="AQ600" i="82"/>
  <c r="AE600" i="82"/>
  <c r="F600" i="82"/>
  <c r="B601" i="82"/>
  <c r="I600" i="82"/>
  <c r="L600" i="82"/>
  <c r="AM600" i="82"/>
  <c r="AI600" i="82"/>
  <c r="AV600" i="82"/>
  <c r="K710" i="82"/>
  <c r="L710" i="82" s="1"/>
  <c r="BG710" i="82"/>
  <c r="BH710" i="82" s="1"/>
  <c r="H599" i="82"/>
  <c r="BB710" i="82"/>
  <c r="BC710" i="82" s="1"/>
  <c r="F710" i="82"/>
  <c r="G710" i="82" s="1"/>
  <c r="E599" i="82"/>
  <c r="BL710" i="82"/>
  <c r="BM710" i="82" s="1"/>
  <c r="P710" i="82"/>
  <c r="Q710" i="82" s="1"/>
  <c r="J599" i="82"/>
  <c r="EC673" i="72"/>
  <c r="EG673" i="72"/>
  <c r="AY673" i="72"/>
  <c r="AU673" i="72"/>
  <c r="CT673" i="72"/>
  <c r="EK673" i="72"/>
  <c r="BC673" i="72"/>
  <c r="DD673" i="72"/>
  <c r="EU673" i="72"/>
  <c r="BM673" i="72"/>
  <c r="CY673" i="72"/>
  <c r="EP673" i="72"/>
  <c r="BH673" i="72"/>
  <c r="CP673" i="72"/>
  <c r="CL673" i="72"/>
  <c r="AY47" i="72"/>
  <c r="AM568" i="72"/>
  <c r="AQ568" i="72"/>
  <c r="AI568" i="72"/>
  <c r="N567" i="72"/>
  <c r="V673" i="72"/>
  <c r="E567" i="72"/>
  <c r="D673" i="72"/>
  <c r="H673" i="72"/>
  <c r="H567" i="72"/>
  <c r="L673" i="72"/>
  <c r="J567" i="72"/>
  <c r="Q673" i="72"/>
  <c r="B569" i="72"/>
  <c r="AV569" i="72" s="1"/>
  <c r="AE568" i="72"/>
  <c r="C568" i="72"/>
  <c r="F568" i="72"/>
  <c r="I568" i="72"/>
  <c r="L568" i="72"/>
  <c r="G82" i="73"/>
  <c r="G66" i="73"/>
  <c r="G50" i="73"/>
  <c r="G34" i="73"/>
  <c r="G80" i="73"/>
  <c r="G64" i="73"/>
  <c r="G48" i="73"/>
  <c r="G32" i="73"/>
  <c r="G79" i="73"/>
  <c r="G63" i="73"/>
  <c r="G47" i="73"/>
  <c r="G31" i="73"/>
  <c r="G74" i="73"/>
  <c r="G58" i="73"/>
  <c r="G42" i="73"/>
  <c r="G26" i="73"/>
  <c r="G90" i="73"/>
  <c r="G65" i="73"/>
  <c r="G33" i="73"/>
  <c r="G88" i="73"/>
  <c r="G56" i="73"/>
  <c r="G24" i="73"/>
  <c r="G87" i="73"/>
  <c r="G55" i="73"/>
  <c r="G41" i="73"/>
  <c r="G81" i="73"/>
  <c r="G49" i="73"/>
  <c r="G72" i="73"/>
  <c r="G40" i="73"/>
  <c r="G73" i="73"/>
  <c r="G71" i="73"/>
  <c r="G39" i="73"/>
  <c r="G89" i="73"/>
  <c r="G57" i="73"/>
  <c r="J3" i="73"/>
  <c r="G117" i="73" s="1"/>
  <c r="U711" i="82" l="1"/>
  <c r="V711" i="82" s="1"/>
  <c r="BQ711" i="82"/>
  <c r="BR711" i="82" s="1"/>
  <c r="N600" i="82"/>
  <c r="BL711" i="82"/>
  <c r="BM711" i="82" s="1"/>
  <c r="P711" i="82"/>
  <c r="Q711" i="82" s="1"/>
  <c r="J600" i="82"/>
  <c r="BB711" i="82"/>
  <c r="BC711" i="82" s="1"/>
  <c r="F711" i="82"/>
  <c r="G711" i="82" s="1"/>
  <c r="E600" i="82"/>
  <c r="AV601" i="82"/>
  <c r="I601" i="82"/>
  <c r="AI601" i="82"/>
  <c r="B602" i="82"/>
  <c r="AM601" i="82"/>
  <c r="L601" i="82"/>
  <c r="C601" i="82"/>
  <c r="AQ601" i="82"/>
  <c r="AE601" i="82"/>
  <c r="F601" i="82"/>
  <c r="BG711" i="82"/>
  <c r="BH711" i="82" s="1"/>
  <c r="K711" i="82"/>
  <c r="L711" i="82" s="1"/>
  <c r="H600" i="82"/>
  <c r="DD674" i="72"/>
  <c r="BM674" i="72"/>
  <c r="EU674" i="72"/>
  <c r="CY674" i="72"/>
  <c r="EP674" i="72"/>
  <c r="BH674" i="72"/>
  <c r="CT674" i="72"/>
  <c r="EK674" i="72"/>
  <c r="BC674" i="72"/>
  <c r="EC674" i="72"/>
  <c r="EG674" i="72"/>
  <c r="AY674" i="72"/>
  <c r="AU674" i="72"/>
  <c r="CL674" i="72"/>
  <c r="CP674" i="72"/>
  <c r="AM569" i="72"/>
  <c r="AQ569" i="72"/>
  <c r="AI569" i="72"/>
  <c r="AY52" i="72"/>
  <c r="N568" i="72"/>
  <c r="V674" i="72"/>
  <c r="J568" i="72"/>
  <c r="Q674" i="72"/>
  <c r="H568" i="72"/>
  <c r="L674" i="72"/>
  <c r="E568" i="72"/>
  <c r="D674" i="72"/>
  <c r="H674" i="72"/>
  <c r="B570" i="72"/>
  <c r="AV570" i="72" s="1"/>
  <c r="AE569" i="72"/>
  <c r="I569" i="72"/>
  <c r="L569" i="72"/>
  <c r="F569" i="72"/>
  <c r="C569" i="72"/>
  <c r="G148" i="73"/>
  <c r="G132" i="73"/>
  <c r="G116" i="73"/>
  <c r="G100" i="73"/>
  <c r="G147" i="73"/>
  <c r="G131" i="73"/>
  <c r="G115" i="73"/>
  <c r="G99" i="73"/>
  <c r="G157" i="73"/>
  <c r="G141" i="73"/>
  <c r="G125" i="73"/>
  <c r="G92" i="73"/>
  <c r="G124" i="73"/>
  <c r="G108" i="73"/>
  <c r="G156" i="73"/>
  <c r="G140" i="73"/>
  <c r="G158" i="73"/>
  <c r="G126" i="73"/>
  <c r="G94" i="73"/>
  <c r="G155" i="73"/>
  <c r="G123" i="73"/>
  <c r="G149" i="73"/>
  <c r="G101" i="73"/>
  <c r="G118" i="73"/>
  <c r="G142" i="73"/>
  <c r="G110" i="73"/>
  <c r="G139" i="73"/>
  <c r="G107" i="73"/>
  <c r="G134" i="73"/>
  <c r="G102" i="73"/>
  <c r="G133" i="73"/>
  <c r="G150" i="73"/>
  <c r="G109" i="73"/>
  <c r="BB712" i="82" l="1"/>
  <c r="BC712" i="82" s="1"/>
  <c r="E601" i="82"/>
  <c r="F712" i="82"/>
  <c r="G712" i="82" s="1"/>
  <c r="BL712" i="82"/>
  <c r="BM712" i="82" s="1"/>
  <c r="P712" i="82"/>
  <c r="Q712" i="82" s="1"/>
  <c r="J601" i="82"/>
  <c r="U712" i="82"/>
  <c r="V712" i="82" s="1"/>
  <c r="BQ712" i="82"/>
  <c r="BR712" i="82" s="1"/>
  <c r="N601" i="82"/>
  <c r="BG712" i="82"/>
  <c r="BH712" i="82" s="1"/>
  <c r="K712" i="82"/>
  <c r="L712" i="82" s="1"/>
  <c r="H601" i="82"/>
  <c r="AI602" i="82"/>
  <c r="AM602" i="82"/>
  <c r="AV602" i="82"/>
  <c r="I602" i="82"/>
  <c r="B603" i="82"/>
  <c r="AE602" i="82"/>
  <c r="AQ602" i="82"/>
  <c r="L602" i="82"/>
  <c r="F602" i="82"/>
  <c r="C602" i="82"/>
  <c r="DD675" i="72"/>
  <c r="EU675" i="72"/>
  <c r="BM675" i="72"/>
  <c r="EG675" i="72"/>
  <c r="EC675" i="72"/>
  <c r="AU675" i="72"/>
  <c r="AY675" i="72"/>
  <c r="CT675" i="72"/>
  <c r="EK675" i="72"/>
  <c r="BC675" i="72"/>
  <c r="CY675" i="72"/>
  <c r="EP675" i="72"/>
  <c r="BH675" i="72"/>
  <c r="CP675" i="72"/>
  <c r="CL675" i="72"/>
  <c r="AY55" i="72"/>
  <c r="AM570" i="72"/>
  <c r="AQ570" i="72"/>
  <c r="AI570" i="72"/>
  <c r="N569" i="72"/>
  <c r="V675" i="72"/>
  <c r="E569" i="72"/>
  <c r="H675" i="72"/>
  <c r="D675" i="72"/>
  <c r="H569" i="72"/>
  <c r="L675" i="72"/>
  <c r="J569" i="72"/>
  <c r="Q675" i="72"/>
  <c r="B571" i="72"/>
  <c r="AV571" i="72" s="1"/>
  <c r="AE570" i="72"/>
  <c r="F570" i="72"/>
  <c r="C570" i="72"/>
  <c r="I570" i="72"/>
  <c r="L570" i="72"/>
  <c r="L455" i="69"/>
  <c r="O455" i="69" s="1"/>
  <c r="L400" i="69"/>
  <c r="L401" i="69"/>
  <c r="L402" i="69"/>
  <c r="L403" i="69"/>
  <c r="L404" i="69"/>
  <c r="L405" i="69"/>
  <c r="L406" i="69"/>
  <c r="L407" i="69"/>
  <c r="L408" i="69"/>
  <c r="L409" i="69"/>
  <c r="L410" i="69"/>
  <c r="L411" i="69"/>
  <c r="L438" i="69"/>
  <c r="O438" i="69" s="1"/>
  <c r="L439" i="69"/>
  <c r="L440" i="69"/>
  <c r="L441" i="69"/>
  <c r="L442" i="69"/>
  <c r="L443" i="69"/>
  <c r="L444" i="69"/>
  <c r="L445" i="69"/>
  <c r="L446" i="69"/>
  <c r="L447" i="69"/>
  <c r="L448" i="69"/>
  <c r="L449" i="69"/>
  <c r="L450" i="69"/>
  <c r="L451" i="69"/>
  <c r="G462" i="69"/>
  <c r="J462" i="69" s="1"/>
  <c r="G463" i="69"/>
  <c r="K463" i="69" s="1"/>
  <c r="K464" i="69"/>
  <c r="G461" i="69"/>
  <c r="J461" i="69" s="1"/>
  <c r="I420" i="69"/>
  <c r="J420" i="69" s="1"/>
  <c r="K420" i="69" s="1"/>
  <c r="I421" i="69"/>
  <c r="J421" i="69" s="1"/>
  <c r="I422" i="69"/>
  <c r="J422" i="69" s="1"/>
  <c r="K422" i="69" s="1"/>
  <c r="I423" i="69"/>
  <c r="J423" i="69" s="1"/>
  <c r="I461" i="69"/>
  <c r="I462" i="69"/>
  <c r="I463" i="69"/>
  <c r="I464" i="69"/>
  <c r="I61" i="69"/>
  <c r="J61" i="69" s="1"/>
  <c r="G54" i="69"/>
  <c r="G50" i="69"/>
  <c r="F713" i="82" l="1"/>
  <c r="G713" i="82" s="1"/>
  <c r="BB713" i="82"/>
  <c r="BC713" i="82" s="1"/>
  <c r="E602" i="82"/>
  <c r="AQ603" i="82"/>
  <c r="I603" i="82"/>
  <c r="AE603" i="82"/>
  <c r="F603" i="82"/>
  <c r="B604" i="82"/>
  <c r="AV603" i="82"/>
  <c r="AM603" i="82"/>
  <c r="AI603" i="82"/>
  <c r="L603" i="82"/>
  <c r="C603" i="82"/>
  <c r="K713" i="82"/>
  <c r="L713" i="82" s="1"/>
  <c r="BG713" i="82"/>
  <c r="BH713" i="82" s="1"/>
  <c r="H602" i="82"/>
  <c r="BL713" i="82"/>
  <c r="BM713" i="82" s="1"/>
  <c r="P713" i="82"/>
  <c r="Q713" i="82" s="1"/>
  <c r="J602" i="82"/>
  <c r="U713" i="82"/>
  <c r="V713" i="82" s="1"/>
  <c r="BQ713" i="82"/>
  <c r="BR713" i="82" s="1"/>
  <c r="N602" i="82"/>
  <c r="G2" i="73"/>
  <c r="F43" i="73" s="1"/>
  <c r="C2" i="73"/>
  <c r="J463" i="69"/>
  <c r="L463" i="69" s="1"/>
  <c r="O463" i="69" s="1"/>
  <c r="CY676" i="72"/>
  <c r="EP676" i="72"/>
  <c r="BH676" i="72"/>
  <c r="EC676" i="72"/>
  <c r="AY676" i="72"/>
  <c r="AU676" i="72"/>
  <c r="EG676" i="72"/>
  <c r="CT676" i="72"/>
  <c r="EK676" i="72"/>
  <c r="BC676" i="72"/>
  <c r="DD676" i="72"/>
  <c r="EU676" i="72"/>
  <c r="BM676" i="72"/>
  <c r="CL676" i="72"/>
  <c r="CP676" i="72"/>
  <c r="AM571" i="72"/>
  <c r="AQ571" i="72"/>
  <c r="AI571" i="72"/>
  <c r="AY60" i="72"/>
  <c r="N570" i="72"/>
  <c r="V676" i="72"/>
  <c r="J570" i="72"/>
  <c r="Q676" i="72"/>
  <c r="E570" i="72"/>
  <c r="H676" i="72"/>
  <c r="D676" i="72"/>
  <c r="H570" i="72"/>
  <c r="L676" i="72"/>
  <c r="B572" i="72"/>
  <c r="AV572" i="72" s="1"/>
  <c r="AE571" i="72"/>
  <c r="F571" i="72"/>
  <c r="C571" i="72"/>
  <c r="L571" i="72"/>
  <c r="I571" i="72"/>
  <c r="J464" i="69"/>
  <c r="L464" i="69" s="1"/>
  <c r="O464" i="69" s="1"/>
  <c r="K461" i="69"/>
  <c r="K423" i="69"/>
  <c r="L423" i="69" s="1"/>
  <c r="O423" i="69" s="1"/>
  <c r="L422" i="69"/>
  <c r="O422" i="69" s="1"/>
  <c r="L420" i="69"/>
  <c r="O420" i="69" s="1"/>
  <c r="K462" i="69"/>
  <c r="K421" i="69"/>
  <c r="K61" i="69"/>
  <c r="L61" i="69" s="1"/>
  <c r="O61" i="69" s="1"/>
  <c r="J603" i="82" l="1"/>
  <c r="BL714" i="82"/>
  <c r="BM714" i="82" s="1"/>
  <c r="P714" i="82"/>
  <c r="Q714" i="82" s="1"/>
  <c r="C604" i="82"/>
  <c r="L604" i="82"/>
  <c r="AQ604" i="82"/>
  <c r="F604" i="82"/>
  <c r="AV604" i="82"/>
  <c r="AI604" i="82"/>
  <c r="B605" i="82"/>
  <c r="I604" i="82"/>
  <c r="AM604" i="82"/>
  <c r="AE604" i="82"/>
  <c r="F714" i="82"/>
  <c r="G714" i="82" s="1"/>
  <c r="BB714" i="82"/>
  <c r="BC714" i="82" s="1"/>
  <c r="E603" i="82"/>
  <c r="BQ714" i="82"/>
  <c r="BR714" i="82" s="1"/>
  <c r="U714" i="82"/>
  <c r="V714" i="82" s="1"/>
  <c r="N603" i="82"/>
  <c r="K714" i="82"/>
  <c r="L714" i="82" s="1"/>
  <c r="BG714" i="82"/>
  <c r="BH714" i="82" s="1"/>
  <c r="H603" i="82"/>
  <c r="F95" i="73"/>
  <c r="F35" i="73"/>
  <c r="F115" i="73"/>
  <c r="F73" i="73"/>
  <c r="F89" i="73"/>
  <c r="F139" i="73"/>
  <c r="F147" i="73"/>
  <c r="F85" i="73"/>
  <c r="F117" i="73"/>
  <c r="F81" i="73"/>
  <c r="F71" i="73"/>
  <c r="F129" i="73"/>
  <c r="F55" i="73"/>
  <c r="F113" i="73"/>
  <c r="F103" i="73"/>
  <c r="F61" i="73"/>
  <c r="F151" i="73"/>
  <c r="F157" i="73"/>
  <c r="F53" i="73"/>
  <c r="F127" i="73"/>
  <c r="F121" i="73"/>
  <c r="F41" i="73"/>
  <c r="F31" i="73"/>
  <c r="F27" i="73"/>
  <c r="F87" i="73"/>
  <c r="F45" i="73"/>
  <c r="F57" i="73"/>
  <c r="F83" i="73"/>
  <c r="F153" i="73"/>
  <c r="F141" i="73"/>
  <c r="F131" i="73"/>
  <c r="F59" i="73"/>
  <c r="F133" i="73"/>
  <c r="F63" i="73"/>
  <c r="F105" i="73"/>
  <c r="F37" i="73"/>
  <c r="F123" i="73"/>
  <c r="F33" i="73"/>
  <c r="F143" i="73"/>
  <c r="F75" i="73"/>
  <c r="F109" i="73"/>
  <c r="F47" i="73"/>
  <c r="F97" i="73"/>
  <c r="F29" i="73"/>
  <c r="F99" i="73"/>
  <c r="F155" i="73"/>
  <c r="F135" i="73"/>
  <c r="F67" i="73"/>
  <c r="F65" i="73"/>
  <c r="F145" i="73"/>
  <c r="F77" i="73"/>
  <c r="F125" i="73"/>
  <c r="F39" i="73"/>
  <c r="F107" i="73"/>
  <c r="F119" i="73"/>
  <c r="F51" i="73"/>
  <c r="F49" i="73"/>
  <c r="F137" i="73"/>
  <c r="F69" i="73"/>
  <c r="F101" i="73"/>
  <c r="F149" i="73"/>
  <c r="F79" i="73"/>
  <c r="F111" i="73"/>
  <c r="E571" i="72"/>
  <c r="BB682" i="72"/>
  <c r="BC682" i="72" s="1"/>
  <c r="F682" i="72"/>
  <c r="G682" i="72" s="1"/>
  <c r="H571" i="72"/>
  <c r="BG682" i="72"/>
  <c r="BH682" i="72" s="1"/>
  <c r="K682" i="72"/>
  <c r="L682" i="72" s="1"/>
  <c r="J571" i="72"/>
  <c r="BL682" i="72"/>
  <c r="BM682" i="72" s="1"/>
  <c r="P682" i="72"/>
  <c r="Q682" i="72" s="1"/>
  <c r="N571" i="72"/>
  <c r="BQ682" i="72"/>
  <c r="BR682" i="72" s="1"/>
  <c r="U682" i="72"/>
  <c r="V682" i="72" s="1"/>
  <c r="L461" i="69"/>
  <c r="O461" i="69" s="1"/>
  <c r="AQ572" i="72"/>
  <c r="AM572" i="72"/>
  <c r="AI572" i="72"/>
  <c r="AY63" i="72"/>
  <c r="B573" i="72"/>
  <c r="AV573" i="72" s="1"/>
  <c r="AE572" i="72"/>
  <c r="I572" i="72"/>
  <c r="L572" i="72"/>
  <c r="F572" i="72"/>
  <c r="C572" i="72"/>
  <c r="L462" i="69"/>
  <c r="O462" i="69" s="1"/>
  <c r="L421" i="69"/>
  <c r="O421" i="69" s="1"/>
  <c r="I46" i="69"/>
  <c r="J46" i="69" s="1"/>
  <c r="I47" i="69"/>
  <c r="J47" i="69" s="1"/>
  <c r="I48" i="69"/>
  <c r="J48" i="69" s="1"/>
  <c r="I49" i="69"/>
  <c r="J49" i="69" s="1"/>
  <c r="I50" i="69"/>
  <c r="J50" i="69" s="1"/>
  <c r="I51" i="69"/>
  <c r="J51" i="69" s="1"/>
  <c r="I52" i="69"/>
  <c r="J52" i="69" s="1"/>
  <c r="I53" i="69"/>
  <c r="J53" i="69" s="1"/>
  <c r="I54" i="69"/>
  <c r="J54" i="69" s="1"/>
  <c r="I55" i="69"/>
  <c r="J55" i="69" s="1"/>
  <c r="I56" i="69"/>
  <c r="J56" i="69" s="1"/>
  <c r="I57" i="69"/>
  <c r="J57" i="69" s="1"/>
  <c r="I58" i="69"/>
  <c r="J58" i="69" s="1"/>
  <c r="I59" i="69"/>
  <c r="J59" i="69" s="1"/>
  <c r="I66" i="69"/>
  <c r="J66" i="69" s="1"/>
  <c r="BB715" i="82" l="1"/>
  <c r="BC715" i="82" s="1"/>
  <c r="F715" i="82"/>
  <c r="G715" i="82" s="1"/>
  <c r="E604" i="82"/>
  <c r="P715" i="82"/>
  <c r="Q715" i="82" s="1"/>
  <c r="J604" i="82"/>
  <c r="BL715" i="82"/>
  <c r="BM715" i="82" s="1"/>
  <c r="BG715" i="82"/>
  <c r="BH715" i="82" s="1"/>
  <c r="K715" i="82"/>
  <c r="L715" i="82" s="1"/>
  <c r="H604" i="82"/>
  <c r="AV605" i="82"/>
  <c r="I605" i="82"/>
  <c r="AM605" i="82"/>
  <c r="F605" i="82"/>
  <c r="AQ605" i="82"/>
  <c r="AE605" i="82"/>
  <c r="AI605" i="82"/>
  <c r="L605" i="82"/>
  <c r="B606" i="82"/>
  <c r="C605" i="82"/>
  <c r="BQ715" i="82"/>
  <c r="BR715" i="82" s="1"/>
  <c r="U715" i="82"/>
  <c r="V715" i="82" s="1"/>
  <c r="N604" i="82"/>
  <c r="J572" i="72"/>
  <c r="BL683" i="72"/>
  <c r="BM683" i="72" s="1"/>
  <c r="P683" i="72"/>
  <c r="Q683" i="72" s="1"/>
  <c r="E572" i="72"/>
  <c r="BB683" i="72"/>
  <c r="BC683" i="72" s="1"/>
  <c r="F683" i="72"/>
  <c r="G683" i="72" s="1"/>
  <c r="H572" i="72"/>
  <c r="BG683" i="72"/>
  <c r="BH683" i="72" s="1"/>
  <c r="K683" i="72"/>
  <c r="L683" i="72" s="1"/>
  <c r="N572" i="72"/>
  <c r="U683" i="72"/>
  <c r="V683" i="72" s="1"/>
  <c r="BQ683" i="72"/>
  <c r="BR683" i="72" s="1"/>
  <c r="AY68" i="72"/>
  <c r="AQ573" i="72"/>
  <c r="AM573" i="72"/>
  <c r="AI573" i="72"/>
  <c r="B574" i="72"/>
  <c r="AV574" i="72" s="1"/>
  <c r="AE573" i="72"/>
  <c r="F573" i="72"/>
  <c r="C573" i="72"/>
  <c r="L573" i="72"/>
  <c r="I573" i="72"/>
  <c r="K51" i="69"/>
  <c r="L51" i="69" s="1"/>
  <c r="O51" i="69" s="1"/>
  <c r="K59" i="69"/>
  <c r="L59" i="69" s="1"/>
  <c r="O59" i="69" s="1"/>
  <c r="K55" i="69"/>
  <c r="L55" i="69" s="1"/>
  <c r="O55" i="69" s="1"/>
  <c r="K50" i="69"/>
  <c r="L50" i="69" s="1"/>
  <c r="O50" i="69" s="1"/>
  <c r="K47" i="69"/>
  <c r="L47" i="69" s="1"/>
  <c r="O47" i="69" s="1"/>
  <c r="K58" i="69"/>
  <c r="L58" i="69" s="1"/>
  <c r="K54" i="69"/>
  <c r="K53" i="69"/>
  <c r="L53" i="69" s="1"/>
  <c r="O53" i="69" s="1"/>
  <c r="K56" i="69"/>
  <c r="L56" i="69" s="1"/>
  <c r="K48" i="69"/>
  <c r="L48" i="69" s="1"/>
  <c r="K57" i="69"/>
  <c r="L57" i="69" s="1"/>
  <c r="K49" i="69"/>
  <c r="L49" i="69" s="1"/>
  <c r="O49" i="69" s="1"/>
  <c r="K52" i="69"/>
  <c r="K46" i="69"/>
  <c r="L46" i="69" s="1"/>
  <c r="O46" i="69" s="1"/>
  <c r="K66" i="69"/>
  <c r="L66" i="69" s="1"/>
  <c r="O66" i="69" s="1"/>
  <c r="I456" i="69"/>
  <c r="I457" i="69"/>
  <c r="J457" i="69"/>
  <c r="K457" i="69"/>
  <c r="I455" i="69"/>
  <c r="G433" i="69"/>
  <c r="N433" i="69"/>
  <c r="N4" i="69"/>
  <c r="J77" i="82" s="1"/>
  <c r="G432" i="69"/>
  <c r="I60" i="69"/>
  <c r="J60" i="69" s="1"/>
  <c r="I65" i="69"/>
  <c r="J65" i="69" s="1"/>
  <c r="I9" i="69"/>
  <c r="J9" i="69" s="1"/>
  <c r="I10" i="69"/>
  <c r="J10" i="69" s="1"/>
  <c r="I11" i="69"/>
  <c r="J11" i="69" s="1"/>
  <c r="I12" i="69"/>
  <c r="J12" i="69" s="1"/>
  <c r="I13" i="69"/>
  <c r="J13" i="69" s="1"/>
  <c r="I14" i="69"/>
  <c r="J14" i="69" s="1"/>
  <c r="K14" i="69" s="1"/>
  <c r="I18" i="69"/>
  <c r="J18" i="69" s="1"/>
  <c r="I19" i="69"/>
  <c r="J19" i="69" s="1"/>
  <c r="K19" i="69" s="1"/>
  <c r="I20" i="69"/>
  <c r="J20" i="69" s="1"/>
  <c r="I21" i="69"/>
  <c r="J21" i="69" s="1"/>
  <c r="K21" i="69" s="1"/>
  <c r="I25" i="69"/>
  <c r="J25" i="69" s="1"/>
  <c r="I26" i="69"/>
  <c r="J26" i="69" s="1"/>
  <c r="K26" i="69" s="1"/>
  <c r="I30" i="69"/>
  <c r="J30" i="69" s="1"/>
  <c r="I31" i="69"/>
  <c r="J31" i="69" s="1"/>
  <c r="K31" i="69" s="1"/>
  <c r="I32" i="69"/>
  <c r="J32" i="69" s="1"/>
  <c r="I33" i="69"/>
  <c r="J33" i="69" s="1"/>
  <c r="K33" i="69" s="1"/>
  <c r="I400" i="69"/>
  <c r="J400" i="69"/>
  <c r="K400" i="69"/>
  <c r="O400" i="69"/>
  <c r="I401" i="69"/>
  <c r="J401" i="69"/>
  <c r="K401" i="69"/>
  <c r="O401" i="69"/>
  <c r="I402" i="69"/>
  <c r="J402" i="69"/>
  <c r="K402" i="69"/>
  <c r="O402" i="69"/>
  <c r="I403" i="69"/>
  <c r="J403" i="69"/>
  <c r="K403" i="69"/>
  <c r="O403" i="69"/>
  <c r="I404" i="69"/>
  <c r="J404" i="69"/>
  <c r="K404" i="69"/>
  <c r="O404" i="69"/>
  <c r="I405" i="69"/>
  <c r="J405" i="69"/>
  <c r="K405" i="69"/>
  <c r="O405" i="69"/>
  <c r="I406" i="69"/>
  <c r="J406" i="69"/>
  <c r="K406" i="69"/>
  <c r="O406" i="69"/>
  <c r="I407" i="69"/>
  <c r="J407" i="69"/>
  <c r="K407" i="69"/>
  <c r="O407" i="69"/>
  <c r="I408" i="69"/>
  <c r="J408" i="69"/>
  <c r="K408" i="69"/>
  <c r="O408" i="69"/>
  <c r="I409" i="69"/>
  <c r="J409" i="69"/>
  <c r="K409" i="69"/>
  <c r="O409" i="69"/>
  <c r="I410" i="69"/>
  <c r="J410" i="69"/>
  <c r="K410" i="69"/>
  <c r="O410" i="69"/>
  <c r="I411" i="69"/>
  <c r="J411" i="69"/>
  <c r="K411" i="69"/>
  <c r="O411" i="69"/>
  <c r="I415" i="69"/>
  <c r="J415" i="69" s="1"/>
  <c r="I416" i="69"/>
  <c r="J416" i="69" s="1"/>
  <c r="I438" i="69"/>
  <c r="I439" i="69"/>
  <c r="O439" i="69"/>
  <c r="I440" i="69"/>
  <c r="O440" i="69"/>
  <c r="I441" i="69"/>
  <c r="O441" i="69"/>
  <c r="I442" i="69"/>
  <c r="O442" i="69"/>
  <c r="I443" i="69"/>
  <c r="O443" i="69"/>
  <c r="I444" i="69"/>
  <c r="O444" i="69"/>
  <c r="I445" i="69"/>
  <c r="O445" i="69"/>
  <c r="I446" i="69"/>
  <c r="O446" i="69"/>
  <c r="I447" i="69"/>
  <c r="O447" i="69"/>
  <c r="I448" i="69"/>
  <c r="O448" i="69"/>
  <c r="I449" i="69"/>
  <c r="O449" i="69"/>
  <c r="I450" i="69"/>
  <c r="O450" i="69"/>
  <c r="I451" i="69"/>
  <c r="O451" i="69"/>
  <c r="I8" i="69"/>
  <c r="J8" i="69" s="1"/>
  <c r="I432" i="69"/>
  <c r="I433" i="69"/>
  <c r="N3" i="69"/>
  <c r="J77" i="72" s="1"/>
  <c r="J346" i="82" l="1"/>
  <c r="N77" i="82"/>
  <c r="L77" i="82"/>
  <c r="P716" i="82"/>
  <c r="Q716" i="82" s="1"/>
  <c r="BL716" i="82"/>
  <c r="BM716" i="82" s="1"/>
  <c r="J605" i="82"/>
  <c r="F716" i="82"/>
  <c r="G716" i="82" s="1"/>
  <c r="BB716" i="82"/>
  <c r="BC716" i="82" s="1"/>
  <c r="E605" i="82"/>
  <c r="AI606" i="82"/>
  <c r="I606" i="82"/>
  <c r="B607" i="82"/>
  <c r="AM606" i="82"/>
  <c r="F606" i="82"/>
  <c r="AE606" i="82"/>
  <c r="L606" i="82"/>
  <c r="AV606" i="82"/>
  <c r="C606" i="82"/>
  <c r="AQ606" i="82"/>
  <c r="BG716" i="82"/>
  <c r="BH716" i="82" s="1"/>
  <c r="K716" i="82"/>
  <c r="L716" i="82" s="1"/>
  <c r="H605" i="82"/>
  <c r="U716" i="82"/>
  <c r="V716" i="82" s="1"/>
  <c r="BQ716" i="82"/>
  <c r="BR716" i="82" s="1"/>
  <c r="N605" i="82"/>
  <c r="C15" i="73"/>
  <c r="C14" i="73"/>
  <c r="C13" i="73"/>
  <c r="C12" i="73"/>
  <c r="C11" i="73"/>
  <c r="C10" i="73"/>
  <c r="C9" i="73"/>
  <c r="C8" i="73"/>
  <c r="C7" i="73"/>
  <c r="C6" i="73"/>
  <c r="C5" i="73"/>
  <c r="C4" i="73"/>
  <c r="C3" i="73"/>
  <c r="D16" i="70"/>
  <c r="D15" i="70"/>
  <c r="D14" i="70"/>
  <c r="D13" i="70"/>
  <c r="D12" i="70"/>
  <c r="D11" i="70"/>
  <c r="D9" i="70"/>
  <c r="D8" i="70"/>
  <c r="D6" i="70"/>
  <c r="D5" i="70"/>
  <c r="D4" i="70"/>
  <c r="D2" i="70"/>
  <c r="H26" i="70" s="1"/>
  <c r="E573" i="72"/>
  <c r="BB684" i="72"/>
  <c r="BC684" i="72" s="1"/>
  <c r="F684" i="72"/>
  <c r="G684" i="72" s="1"/>
  <c r="H573" i="72"/>
  <c r="BG684" i="72"/>
  <c r="BH684" i="72" s="1"/>
  <c r="K684" i="72"/>
  <c r="L684" i="72" s="1"/>
  <c r="J573" i="72"/>
  <c r="P684" i="72"/>
  <c r="Q684" i="72" s="1"/>
  <c r="BL684" i="72"/>
  <c r="BM684" i="72" s="1"/>
  <c r="N573" i="72"/>
  <c r="U684" i="72"/>
  <c r="V684" i="72" s="1"/>
  <c r="BQ684" i="72"/>
  <c r="BR684" i="72" s="1"/>
  <c r="AY71" i="72"/>
  <c r="AQ574" i="72"/>
  <c r="AM574" i="72"/>
  <c r="AI574" i="72"/>
  <c r="B575" i="72"/>
  <c r="AV575" i="72" s="1"/>
  <c r="AE574" i="72"/>
  <c r="C574" i="72"/>
  <c r="F574" i="72"/>
  <c r="L574" i="72"/>
  <c r="I574" i="72"/>
  <c r="N432" i="69"/>
  <c r="L77" i="72"/>
  <c r="N77" i="72"/>
  <c r="J346" i="72"/>
  <c r="K18" i="69"/>
  <c r="L18" i="69" s="1"/>
  <c r="O18" i="69" s="1"/>
  <c r="K10" i="69"/>
  <c r="L10" i="69" s="1"/>
  <c r="K9" i="69"/>
  <c r="L9" i="69" s="1"/>
  <c r="K32" i="69"/>
  <c r="L32" i="69" s="1"/>
  <c r="O32" i="69" s="1"/>
  <c r="K13" i="69"/>
  <c r="L13" i="69" s="1"/>
  <c r="O13" i="69" s="1"/>
  <c r="K20" i="69"/>
  <c r="L20" i="69" s="1"/>
  <c r="O20" i="69" s="1"/>
  <c r="K12" i="69"/>
  <c r="L12" i="69" s="1"/>
  <c r="O12" i="69" s="1"/>
  <c r="K415" i="69"/>
  <c r="K30" i="69"/>
  <c r="L30" i="69" s="1"/>
  <c r="O30" i="69" s="1"/>
  <c r="L26" i="69"/>
  <c r="O26" i="69" s="1"/>
  <c r="L457" i="69"/>
  <c r="O457" i="69" s="1"/>
  <c r="L21" i="69"/>
  <c r="O21" i="69" s="1"/>
  <c r="L19" i="69"/>
  <c r="O19" i="69" s="1"/>
  <c r="L14" i="69"/>
  <c r="O14" i="69" s="1"/>
  <c r="K11" i="69"/>
  <c r="L11" i="69" s="1"/>
  <c r="O11" i="69" s="1"/>
  <c r="L52" i="69"/>
  <c r="O52" i="69" s="1"/>
  <c r="L31" i="69"/>
  <c r="O31" i="69" s="1"/>
  <c r="O48" i="69"/>
  <c r="O58" i="69"/>
  <c r="L33" i="69"/>
  <c r="O33" i="69" s="1"/>
  <c r="O57" i="69"/>
  <c r="K416" i="69"/>
  <c r="L416" i="69" s="1"/>
  <c r="O416" i="69" s="1"/>
  <c r="O56" i="69"/>
  <c r="L54" i="69"/>
  <c r="O54" i="69" s="1"/>
  <c r="K60" i="69"/>
  <c r="K433" i="69"/>
  <c r="J433" i="69"/>
  <c r="I4" i="69"/>
  <c r="J4" i="69" s="1"/>
  <c r="K4" i="69" s="1"/>
  <c r="I3" i="69"/>
  <c r="J3" i="69" s="1"/>
  <c r="J432" i="69"/>
  <c r="K65" i="69"/>
  <c r="L65" i="69" s="1"/>
  <c r="K432" i="69"/>
  <c r="K25" i="69"/>
  <c r="L25" i="69" s="1"/>
  <c r="O25" i="69" s="1"/>
  <c r="K8" i="69"/>
  <c r="L8" i="69" s="1"/>
  <c r="B2" i="82" l="1"/>
  <c r="B3" i="82" s="1"/>
  <c r="G15" i="1" s="1"/>
  <c r="R7" i="82"/>
  <c r="R144" i="82"/>
  <c r="R15" i="82"/>
  <c r="T15" i="82"/>
  <c r="T144" i="82"/>
  <c r="T7" i="82"/>
  <c r="N346" i="82"/>
  <c r="L346" i="82"/>
  <c r="BL717" i="82"/>
  <c r="BM717" i="82" s="1"/>
  <c r="P717" i="82"/>
  <c r="Q717" i="82" s="1"/>
  <c r="J606" i="82"/>
  <c r="U717" i="82"/>
  <c r="V717" i="82" s="1"/>
  <c r="BQ717" i="82"/>
  <c r="BR717" i="82" s="1"/>
  <c r="N606" i="82"/>
  <c r="BG717" i="82"/>
  <c r="BH717" i="82" s="1"/>
  <c r="K717" i="82"/>
  <c r="L717" i="82" s="1"/>
  <c r="H606" i="82"/>
  <c r="BB717" i="82"/>
  <c r="BC717" i="82" s="1"/>
  <c r="F717" i="82"/>
  <c r="G717" i="82" s="1"/>
  <c r="E606" i="82"/>
  <c r="AQ607" i="82"/>
  <c r="L607" i="82"/>
  <c r="C607" i="82"/>
  <c r="B608" i="82"/>
  <c r="AM607" i="82"/>
  <c r="I607" i="82"/>
  <c r="AV607" i="82"/>
  <c r="AI607" i="82"/>
  <c r="F607" i="82"/>
  <c r="AE607" i="82"/>
  <c r="B2" i="72"/>
  <c r="D93" i="73"/>
  <c r="G4" i="73"/>
  <c r="F138" i="73" s="1"/>
  <c r="D37" i="6"/>
  <c r="D44" i="6"/>
  <c r="D38" i="6"/>
  <c r="D29" i="6"/>
  <c r="D31" i="6"/>
  <c r="D46" i="6"/>
  <c r="D30" i="6"/>
  <c r="D32" i="6"/>
  <c r="D43" i="6"/>
  <c r="D92" i="73"/>
  <c r="E23" i="6"/>
  <c r="E22" i="6"/>
  <c r="D45" i="6"/>
  <c r="E20" i="6"/>
  <c r="E21" i="6"/>
  <c r="D23" i="73"/>
  <c r="D94" i="73"/>
  <c r="C18" i="73"/>
  <c r="D74" i="73" s="1"/>
  <c r="D25" i="73"/>
  <c r="C17" i="73"/>
  <c r="D144" i="73" s="1"/>
  <c r="D24" i="73"/>
  <c r="D26" i="73"/>
  <c r="D91" i="73"/>
  <c r="K5" i="73"/>
  <c r="I83" i="70"/>
  <c r="H97" i="70"/>
  <c r="I60" i="70"/>
  <c r="L97" i="70"/>
  <c r="I54" i="70"/>
  <c r="I67" i="70"/>
  <c r="H27" i="70"/>
  <c r="H119" i="70"/>
  <c r="H88" i="70"/>
  <c r="I112" i="70"/>
  <c r="I70" i="70"/>
  <c r="I69" i="70"/>
  <c r="H21" i="70"/>
  <c r="I100" i="70"/>
  <c r="I96" i="70"/>
  <c r="I30" i="70"/>
  <c r="H74" i="70"/>
  <c r="I107" i="70"/>
  <c r="I53" i="70"/>
  <c r="I68" i="70"/>
  <c r="H71" i="70"/>
  <c r="K74" i="70"/>
  <c r="H95" i="70"/>
  <c r="L96" i="70"/>
  <c r="H86" i="70"/>
  <c r="I51" i="70"/>
  <c r="H111" i="70"/>
  <c r="H69" i="70"/>
  <c r="H42" i="70"/>
  <c r="I94" i="70"/>
  <c r="H92" i="70"/>
  <c r="I101" i="70"/>
  <c r="I37" i="70"/>
  <c r="L45" i="70"/>
  <c r="I24" i="70"/>
  <c r="I82" i="70"/>
  <c r="H72" i="70"/>
  <c r="H52" i="70"/>
  <c r="I99" i="70"/>
  <c r="I35" i="70"/>
  <c r="I42" i="70"/>
  <c r="H22" i="70"/>
  <c r="H45" i="70"/>
  <c r="H37" i="70"/>
  <c r="H36" i="70"/>
  <c r="I85" i="70"/>
  <c r="K50" i="70"/>
  <c r="H113" i="70"/>
  <c r="H67" i="70"/>
  <c r="I118" i="70"/>
  <c r="I114" i="70"/>
  <c r="K72" i="70"/>
  <c r="I64" i="70"/>
  <c r="H59" i="70"/>
  <c r="H64" i="70"/>
  <c r="H62" i="70"/>
  <c r="K115" i="70"/>
  <c r="K104" i="70"/>
  <c r="K41" i="70"/>
  <c r="K113" i="70"/>
  <c r="L35" i="70"/>
  <c r="L106" i="70"/>
  <c r="L21" i="70"/>
  <c r="K99" i="70"/>
  <c r="K63" i="70"/>
  <c r="L113" i="70"/>
  <c r="L94" i="70"/>
  <c r="L85" i="70"/>
  <c r="K48" i="70"/>
  <c r="K54" i="70"/>
  <c r="L118" i="70"/>
  <c r="K94" i="70"/>
  <c r="L75" i="70"/>
  <c r="K56" i="70"/>
  <c r="L66" i="70"/>
  <c r="K34" i="70"/>
  <c r="L52" i="70"/>
  <c r="K112" i="70"/>
  <c r="L115" i="70"/>
  <c r="L41" i="70"/>
  <c r="L71" i="70"/>
  <c r="L73" i="70"/>
  <c r="L72" i="70"/>
  <c r="K32" i="70"/>
  <c r="K79" i="70"/>
  <c r="K82" i="70"/>
  <c r="L54" i="70"/>
  <c r="K27" i="70"/>
  <c r="L42" i="70"/>
  <c r="K78" i="70"/>
  <c r="K81" i="70"/>
  <c r="K33" i="70"/>
  <c r="L48" i="70"/>
  <c r="L51" i="70"/>
  <c r="K23" i="70"/>
  <c r="L38" i="70"/>
  <c r="K65" i="70"/>
  <c r="K105" i="70"/>
  <c r="L33" i="70"/>
  <c r="K36" i="70"/>
  <c r="K21" i="70"/>
  <c r="L116" i="70"/>
  <c r="H91" i="70"/>
  <c r="L63" i="70"/>
  <c r="L120" i="70"/>
  <c r="H108" i="70"/>
  <c r="K70" i="70"/>
  <c r="L25" i="70"/>
  <c r="K98" i="70"/>
  <c r="K68" i="70"/>
  <c r="K119" i="70"/>
  <c r="H99" i="70"/>
  <c r="I52" i="70"/>
  <c r="K110" i="70"/>
  <c r="K118" i="70"/>
  <c r="I90" i="70"/>
  <c r="K62" i="70"/>
  <c r="I38" i="70"/>
  <c r="K80" i="70"/>
  <c r="I40" i="70"/>
  <c r="H109" i="70"/>
  <c r="L87" i="70"/>
  <c r="I56" i="70"/>
  <c r="H118" i="70"/>
  <c r="K93" i="70"/>
  <c r="K69" i="70"/>
  <c r="I32" i="70"/>
  <c r="I110" i="70"/>
  <c r="H90" i="70"/>
  <c r="L70" i="70"/>
  <c r="L44" i="70"/>
  <c r="K111" i="70"/>
  <c r="L91" i="70"/>
  <c r="H68" i="70"/>
  <c r="H48" i="70"/>
  <c r="H32" i="70"/>
  <c r="K67" i="70"/>
  <c r="K51" i="70"/>
  <c r="I119" i="70"/>
  <c r="H102" i="70"/>
  <c r="L82" i="70"/>
  <c r="L61" i="70"/>
  <c r="L34" i="70"/>
  <c r="I97" i="70"/>
  <c r="I81" i="70"/>
  <c r="I65" i="70"/>
  <c r="I49" i="70"/>
  <c r="I33" i="70"/>
  <c r="K46" i="70"/>
  <c r="K30" i="70"/>
  <c r="K114" i="70"/>
  <c r="H93" i="70"/>
  <c r="I84" i="70"/>
  <c r="K61" i="70"/>
  <c r="H115" i="70"/>
  <c r="H101" i="70"/>
  <c r="L68" i="70"/>
  <c r="I22" i="70"/>
  <c r="K92" i="70"/>
  <c r="K66" i="70"/>
  <c r="H117" i="70"/>
  <c r="I92" i="70"/>
  <c r="H51" i="70"/>
  <c r="H105" i="70"/>
  <c r="H116" i="70"/>
  <c r="K89" i="70"/>
  <c r="L60" i="70"/>
  <c r="K103" i="70"/>
  <c r="H75" i="70"/>
  <c r="H39" i="70"/>
  <c r="K108" i="70"/>
  <c r="H81" i="70"/>
  <c r="H41" i="70"/>
  <c r="L117" i="70"/>
  <c r="K87" i="70"/>
  <c r="I58" i="70"/>
  <c r="H31" i="70"/>
  <c r="I108" i="70"/>
  <c r="L89" i="70"/>
  <c r="H66" i="70"/>
  <c r="L40" i="70"/>
  <c r="K109" i="70"/>
  <c r="L88" i="70"/>
  <c r="L67" i="70"/>
  <c r="L47" i="70"/>
  <c r="L31" i="70"/>
  <c r="H65" i="70"/>
  <c r="K47" i="70"/>
  <c r="I117" i="70"/>
  <c r="L101" i="70"/>
  <c r="H78" i="70"/>
  <c r="L58" i="70"/>
  <c r="L30" i="70"/>
  <c r="I95" i="70"/>
  <c r="I79" i="70"/>
  <c r="I63" i="70"/>
  <c r="I47" i="70"/>
  <c r="I31" i="70"/>
  <c r="K44" i="70"/>
  <c r="K28" i="70"/>
  <c r="K102" i="70"/>
  <c r="H55" i="70"/>
  <c r="K83" i="70"/>
  <c r="K49" i="70"/>
  <c r="H110" i="70"/>
  <c r="K100" i="70"/>
  <c r="K55" i="70"/>
  <c r="H120" i="70"/>
  <c r="L84" i="70"/>
  <c r="K52" i="70"/>
  <c r="K116" i="70"/>
  <c r="K91" i="70"/>
  <c r="H50" i="70"/>
  <c r="I104" i="70"/>
  <c r="L114" i="70"/>
  <c r="K88" i="70"/>
  <c r="H49" i="70"/>
  <c r="H96" i="70"/>
  <c r="H63" i="70"/>
  <c r="H38" i="70"/>
  <c r="H103" i="70"/>
  <c r="I80" i="70"/>
  <c r="K37" i="70"/>
  <c r="H114" i="70"/>
  <c r="K86" i="70"/>
  <c r="K57" i="70"/>
  <c r="H30" i="70"/>
  <c r="H106" i="70"/>
  <c r="L86" i="70"/>
  <c r="L65" i="70"/>
  <c r="L36" i="70"/>
  <c r="K107" i="70"/>
  <c r="H84" i="70"/>
  <c r="L64" i="70"/>
  <c r="H44" i="70"/>
  <c r="H28" i="70"/>
  <c r="K64" i="70"/>
  <c r="K43" i="70"/>
  <c r="I115" i="70"/>
  <c r="L98" i="70"/>
  <c r="L77" i="70"/>
  <c r="H54" i="70"/>
  <c r="L26" i="70"/>
  <c r="I93" i="70"/>
  <c r="I77" i="70"/>
  <c r="I61" i="70"/>
  <c r="I45" i="70"/>
  <c r="I29" i="70"/>
  <c r="K42" i="70"/>
  <c r="K26" i="70"/>
  <c r="K106" i="70"/>
  <c r="H53" i="70"/>
  <c r="H77" i="70"/>
  <c r="I48" i="70"/>
  <c r="L108" i="70"/>
  <c r="H87" i="70"/>
  <c r="H33" i="70"/>
  <c r="L119" i="70"/>
  <c r="H79" i="70"/>
  <c r="I50" i="70"/>
  <c r="H112" i="70"/>
  <c r="K90" i="70"/>
  <c r="L49" i="70"/>
  <c r="I98" i="70"/>
  <c r="L109" i="70"/>
  <c r="H83" i="70"/>
  <c r="K45" i="70"/>
  <c r="L95" i="70"/>
  <c r="H61" i="70"/>
  <c r="L37" i="70"/>
  <c r="I102" i="70"/>
  <c r="I74" i="70"/>
  <c r="I36" i="70"/>
  <c r="L112" i="70"/>
  <c r="H80" i="70"/>
  <c r="H56" i="70"/>
  <c r="L29" i="70"/>
  <c r="L105" i="70"/>
  <c r="H82" i="70"/>
  <c r="L62" i="70"/>
  <c r="L32" i="70"/>
  <c r="L104" i="70"/>
  <c r="L83" i="70"/>
  <c r="H60" i="70"/>
  <c r="L43" i="70"/>
  <c r="L27" i="70"/>
  <c r="I62" i="70"/>
  <c r="K39" i="70"/>
  <c r="I113" i="70"/>
  <c r="H94" i="70"/>
  <c r="L74" i="70"/>
  <c r="L53" i="70"/>
  <c r="L22" i="70"/>
  <c r="I91" i="70"/>
  <c r="I75" i="70"/>
  <c r="I59" i="70"/>
  <c r="I43" i="70"/>
  <c r="I27" i="70"/>
  <c r="K40" i="70"/>
  <c r="K24" i="70"/>
  <c r="L92" i="70"/>
  <c r="H23" i="70"/>
  <c r="K76" i="70"/>
  <c r="H47" i="70"/>
  <c r="I120" i="70"/>
  <c r="I86" i="70"/>
  <c r="K29" i="70"/>
  <c r="L111" i="70"/>
  <c r="I78" i="70"/>
  <c r="H29" i="70"/>
  <c r="L110" i="70"/>
  <c r="H85" i="70"/>
  <c r="I46" i="70"/>
  <c r="K97" i="70"/>
  <c r="H104" i="70"/>
  <c r="I76" i="70"/>
  <c r="I44" i="70"/>
  <c r="H89" i="70"/>
  <c r="K60" i="70"/>
  <c r="I34" i="70"/>
  <c r="K101" i="70"/>
  <c r="K73" i="70"/>
  <c r="H35" i="70"/>
  <c r="L107" i="70"/>
  <c r="L79" i="70"/>
  <c r="L55" i="70"/>
  <c r="I26" i="70"/>
  <c r="L102" i="70"/>
  <c r="L81" i="70"/>
  <c r="H58" i="70"/>
  <c r="L28" i="70"/>
  <c r="H100" i="70"/>
  <c r="L80" i="70"/>
  <c r="L59" i="70"/>
  <c r="H40" i="70"/>
  <c r="H24" i="70"/>
  <c r="K59" i="70"/>
  <c r="K35" i="70"/>
  <c r="I111" i="70"/>
  <c r="L93" i="70"/>
  <c r="H70" i="70"/>
  <c r="L50" i="70"/>
  <c r="I105" i="70"/>
  <c r="I89" i="70"/>
  <c r="I73" i="70"/>
  <c r="I57" i="70"/>
  <c r="I41" i="70"/>
  <c r="I25" i="70"/>
  <c r="K38" i="70"/>
  <c r="K22" i="70"/>
  <c r="I21" i="70"/>
  <c r="K71" i="70"/>
  <c r="L76" i="70"/>
  <c r="I66" i="70"/>
  <c r="H46" i="70"/>
  <c r="K117" i="70"/>
  <c r="K85" i="70"/>
  <c r="I28" i="70"/>
  <c r="H107" i="70"/>
  <c r="K77" i="70"/>
  <c r="K25" i="70"/>
  <c r="I106" i="70"/>
  <c r="K84" i="70"/>
  <c r="H25" i="70"/>
  <c r="K96" i="70"/>
  <c r="L103" i="70"/>
  <c r="K75" i="70"/>
  <c r="H43" i="70"/>
  <c r="I88" i="70"/>
  <c r="K58" i="70"/>
  <c r="K120" i="70"/>
  <c r="K95" i="70"/>
  <c r="I72" i="70"/>
  <c r="H34" i="70"/>
  <c r="L100" i="70"/>
  <c r="H73" i="70"/>
  <c r="K53" i="70"/>
  <c r="I116" i="70"/>
  <c r="H98" i="70"/>
  <c r="L78" i="70"/>
  <c r="L57" i="70"/>
  <c r="L24" i="70"/>
  <c r="L99" i="70"/>
  <c r="H76" i="70"/>
  <c r="L56" i="70"/>
  <c r="L39" i="70"/>
  <c r="L23" i="70"/>
  <c r="H57" i="70"/>
  <c r="K31" i="70"/>
  <c r="I109" i="70"/>
  <c r="L90" i="70"/>
  <c r="L69" i="70"/>
  <c r="L46" i="70"/>
  <c r="I103" i="70"/>
  <c r="I87" i="70"/>
  <c r="I71" i="70"/>
  <c r="I55" i="70"/>
  <c r="I39" i="70"/>
  <c r="I23" i="70"/>
  <c r="D7" i="70"/>
  <c r="J21" i="70" s="1"/>
  <c r="H574" i="72"/>
  <c r="BG685" i="72"/>
  <c r="BH685" i="72" s="1"/>
  <c r="K685" i="72"/>
  <c r="L685" i="72" s="1"/>
  <c r="E574" i="72"/>
  <c r="BB685" i="72"/>
  <c r="BC685" i="72" s="1"/>
  <c r="F685" i="72"/>
  <c r="G685" i="72" s="1"/>
  <c r="J574" i="72"/>
  <c r="P685" i="72"/>
  <c r="Q685" i="72" s="1"/>
  <c r="BL685" i="72"/>
  <c r="BM685" i="72" s="1"/>
  <c r="N574" i="72"/>
  <c r="BQ685" i="72"/>
  <c r="BR685" i="72" s="1"/>
  <c r="U685" i="72"/>
  <c r="V685" i="72" s="1"/>
  <c r="AM575" i="72"/>
  <c r="AQ575" i="72"/>
  <c r="AI575" i="72"/>
  <c r="AY76" i="72"/>
  <c r="B576" i="72"/>
  <c r="AV576" i="72" s="1"/>
  <c r="AE575" i="72"/>
  <c r="F575" i="72"/>
  <c r="C575" i="72"/>
  <c r="I575" i="72"/>
  <c r="L575" i="72"/>
  <c r="T15" i="72"/>
  <c r="T7" i="72"/>
  <c r="T144" i="72"/>
  <c r="L346" i="72"/>
  <c r="N346" i="72"/>
  <c r="R7" i="72"/>
  <c r="R15" i="72"/>
  <c r="R144" i="72"/>
  <c r="O10" i="69"/>
  <c r="O9" i="69"/>
  <c r="L433" i="69"/>
  <c r="O433" i="69" s="1"/>
  <c r="L60" i="69"/>
  <c r="O60" i="69" s="1"/>
  <c r="O8" i="69"/>
  <c r="L415" i="69"/>
  <c r="O415" i="69" s="1"/>
  <c r="L432" i="69"/>
  <c r="O432" i="69" s="1"/>
  <c r="K3" i="69"/>
  <c r="L3" i="69" s="1"/>
  <c r="O3" i="69" s="1"/>
  <c r="L4" i="69"/>
  <c r="AV7" i="82" l="1"/>
  <c r="AV4" i="82"/>
  <c r="T279" i="82"/>
  <c r="T416" i="82"/>
  <c r="T287" i="82"/>
  <c r="AX4" i="82"/>
  <c r="AX7" i="82"/>
  <c r="BI7" i="82" s="1"/>
  <c r="Z179" i="82"/>
  <c r="Z240" i="82"/>
  <c r="Z50" i="82"/>
  <c r="Z114" i="82"/>
  <c r="AX12" i="82"/>
  <c r="BI12" i="82" s="1"/>
  <c r="AX15" i="82"/>
  <c r="BI15" i="82" s="1"/>
  <c r="AV12" i="82"/>
  <c r="AV15" i="82"/>
  <c r="X240" i="82"/>
  <c r="X114" i="82"/>
  <c r="X179" i="82"/>
  <c r="X50" i="82"/>
  <c r="R279" i="82"/>
  <c r="R287" i="82"/>
  <c r="B8" i="82" s="1"/>
  <c r="G20" i="1" s="1"/>
  <c r="R416" i="82"/>
  <c r="K2" i="73"/>
  <c r="H41" i="73" s="1"/>
  <c r="C608" i="82"/>
  <c r="AV608" i="82"/>
  <c r="F608" i="82"/>
  <c r="B609" i="82"/>
  <c r="L608" i="82"/>
  <c r="AI608" i="82"/>
  <c r="AQ608" i="82"/>
  <c r="I608" i="82"/>
  <c r="AM608" i="82"/>
  <c r="AE608" i="82"/>
  <c r="F718" i="82"/>
  <c r="G718" i="82" s="1"/>
  <c r="BB718" i="82"/>
  <c r="BC718" i="82" s="1"/>
  <c r="E607" i="82"/>
  <c r="BL718" i="82"/>
  <c r="BM718" i="82" s="1"/>
  <c r="P718" i="82"/>
  <c r="Q718" i="82" s="1"/>
  <c r="J607" i="82"/>
  <c r="BQ718" i="82"/>
  <c r="BR718" i="82" s="1"/>
  <c r="U718" i="82"/>
  <c r="V718" i="82" s="1"/>
  <c r="N607" i="82"/>
  <c r="BG718" i="82"/>
  <c r="BH718" i="82" s="1"/>
  <c r="K718" i="82"/>
  <c r="L718" i="82" s="1"/>
  <c r="H607" i="82"/>
  <c r="O4" i="69"/>
  <c r="B3" i="72"/>
  <c r="F15" i="1" s="1"/>
  <c r="H15" i="1" s="1"/>
  <c r="F40" i="73"/>
  <c r="F110" i="73"/>
  <c r="F52" i="73"/>
  <c r="E45" i="6"/>
  <c r="F38" i="73"/>
  <c r="F136" i="73"/>
  <c r="F104" i="73"/>
  <c r="E46" i="6"/>
  <c r="F70" i="73"/>
  <c r="F142" i="73"/>
  <c r="F126" i="73"/>
  <c r="F108" i="73"/>
  <c r="F90" i="73"/>
  <c r="F158" i="73"/>
  <c r="F86" i="73"/>
  <c r="F106" i="73"/>
  <c r="E24" i="6"/>
  <c r="F22" i="6" s="1"/>
  <c r="F54" i="73"/>
  <c r="F68" i="73"/>
  <c r="F140" i="73"/>
  <c r="F74" i="73"/>
  <c r="E44" i="6"/>
  <c r="E30" i="6"/>
  <c r="E29" i="6"/>
  <c r="E32" i="6"/>
  <c r="E38" i="6"/>
  <c r="E37" i="6"/>
  <c r="F58" i="73"/>
  <c r="F154" i="73"/>
  <c r="F36" i="73"/>
  <c r="F122" i="73"/>
  <c r="F152" i="73"/>
  <c r="F72" i="73"/>
  <c r="F156" i="73"/>
  <c r="F42" i="73"/>
  <c r="F120" i="73"/>
  <c r="F88" i="73"/>
  <c r="F56" i="73"/>
  <c r="F124" i="73"/>
  <c r="F84" i="73"/>
  <c r="D81" i="73"/>
  <c r="D123" i="73"/>
  <c r="D57" i="73"/>
  <c r="D110" i="73"/>
  <c r="M56" i="70"/>
  <c r="D106" i="73"/>
  <c r="D120" i="73"/>
  <c r="D67" i="73"/>
  <c r="D84" i="73"/>
  <c r="D54" i="73"/>
  <c r="D87" i="73"/>
  <c r="D71" i="73"/>
  <c r="M66" i="70"/>
  <c r="D128" i="73"/>
  <c r="D90" i="73"/>
  <c r="D69" i="73"/>
  <c r="D86" i="73"/>
  <c r="D39" i="73"/>
  <c r="D63" i="73"/>
  <c r="D148" i="73"/>
  <c r="D60" i="73"/>
  <c r="D154" i="73"/>
  <c r="D36" i="73"/>
  <c r="D124" i="73"/>
  <c r="D66" i="73"/>
  <c r="D140" i="73"/>
  <c r="D153" i="73"/>
  <c r="D138" i="73"/>
  <c r="D41" i="73"/>
  <c r="D42" i="73"/>
  <c r="D157" i="73"/>
  <c r="D73" i="73"/>
  <c r="D139" i="73"/>
  <c r="D53" i="73"/>
  <c r="D88" i="73"/>
  <c r="D55" i="73"/>
  <c r="D38" i="73"/>
  <c r="D137" i="73"/>
  <c r="D35" i="73"/>
  <c r="D59" i="73"/>
  <c r="D61" i="73"/>
  <c r="D31" i="73"/>
  <c r="D64" i="73"/>
  <c r="D127" i="73"/>
  <c r="D132" i="73"/>
  <c r="D65" i="73"/>
  <c r="J85" i="70"/>
  <c r="D77" i="73"/>
  <c r="D62" i="73"/>
  <c r="D145" i="73"/>
  <c r="D134" i="73"/>
  <c r="D130" i="73"/>
  <c r="D33" i="73"/>
  <c r="D116" i="73"/>
  <c r="D102" i="73"/>
  <c r="D101" i="73"/>
  <c r="M41" i="70"/>
  <c r="D129" i="73"/>
  <c r="D149" i="73"/>
  <c r="D80" i="73"/>
  <c r="J96" i="70"/>
  <c r="D114" i="73"/>
  <c r="D133" i="73"/>
  <c r="D131" i="73"/>
  <c r="M55" i="70"/>
  <c r="D29" i="73"/>
  <c r="D28" i="73"/>
  <c r="D98" i="73"/>
  <c r="E43" i="6"/>
  <c r="D151" i="73"/>
  <c r="D158" i="73"/>
  <c r="D104" i="73"/>
  <c r="D105" i="73"/>
  <c r="D40" i="73"/>
  <c r="D122" i="73"/>
  <c r="D135" i="73"/>
  <c r="D45" i="73"/>
  <c r="D96" i="73"/>
  <c r="D118" i="73"/>
  <c r="D30" i="73"/>
  <c r="D46" i="73"/>
  <c r="D27" i="73"/>
  <c r="D32" i="73"/>
  <c r="D141" i="73"/>
  <c r="D97" i="73"/>
  <c r="E12" i="6"/>
  <c r="D108" i="73"/>
  <c r="D43" i="73"/>
  <c r="E13" i="6"/>
  <c r="D83" i="73"/>
  <c r="D85" i="73"/>
  <c r="D103" i="73"/>
  <c r="D72" i="73"/>
  <c r="D119" i="73"/>
  <c r="D126" i="73"/>
  <c r="D115" i="73"/>
  <c r="D34" i="73"/>
  <c r="D111" i="73"/>
  <c r="D117" i="73"/>
  <c r="D95" i="73"/>
  <c r="D100" i="73"/>
  <c r="D48" i="73"/>
  <c r="D37" i="73"/>
  <c r="D155" i="73"/>
  <c r="D113" i="73"/>
  <c r="E31" i="6"/>
  <c r="E14" i="6"/>
  <c r="D152" i="73"/>
  <c r="D142" i="73"/>
  <c r="D107" i="73"/>
  <c r="D68" i="73"/>
  <c r="D58" i="73"/>
  <c r="D56" i="73"/>
  <c r="D150" i="73"/>
  <c r="D78" i="73"/>
  <c r="D49" i="73"/>
  <c r="D50" i="73"/>
  <c r="D82" i="73"/>
  <c r="D52" i="73"/>
  <c r="D147" i="73"/>
  <c r="D99" i="73"/>
  <c r="D156" i="73"/>
  <c r="D89" i="73"/>
  <c r="D136" i="73"/>
  <c r="D70" i="73"/>
  <c r="D51" i="73"/>
  <c r="D121" i="73"/>
  <c r="D125" i="73"/>
  <c r="D143" i="73"/>
  <c r="D76" i="73"/>
  <c r="D146" i="73"/>
  <c r="D79" i="73"/>
  <c r="D112" i="73"/>
  <c r="D75" i="73"/>
  <c r="D109" i="73"/>
  <c r="D44" i="73"/>
  <c r="D47" i="73"/>
  <c r="K4" i="73"/>
  <c r="M65" i="70"/>
  <c r="M116" i="70"/>
  <c r="J47" i="70"/>
  <c r="J29" i="70"/>
  <c r="J64" i="70"/>
  <c r="J91" i="70"/>
  <c r="M60" i="70"/>
  <c r="M87" i="70"/>
  <c r="J99" i="70"/>
  <c r="J45" i="70"/>
  <c r="M112" i="70"/>
  <c r="J104" i="70"/>
  <c r="M68" i="70"/>
  <c r="J36" i="70"/>
  <c r="M22" i="70"/>
  <c r="J117" i="70"/>
  <c r="J119" i="70"/>
  <c r="M111" i="70"/>
  <c r="J67" i="70"/>
  <c r="J95" i="70"/>
  <c r="J113" i="70"/>
  <c r="J107" i="70"/>
  <c r="J111" i="70"/>
  <c r="M27" i="70"/>
  <c r="J80" i="70"/>
  <c r="M107" i="70"/>
  <c r="M99" i="70"/>
  <c r="J84" i="70"/>
  <c r="J66" i="70"/>
  <c r="J120" i="70"/>
  <c r="M43" i="70"/>
  <c r="M64" i="70"/>
  <c r="M74" i="70"/>
  <c r="J112" i="70"/>
  <c r="M54" i="70"/>
  <c r="M45" i="70"/>
  <c r="M21" i="70"/>
  <c r="M23" i="70"/>
  <c r="J26" i="70"/>
  <c r="M62" i="70"/>
  <c r="J69" i="70"/>
  <c r="M71" i="70"/>
  <c r="M89" i="70"/>
  <c r="J22" i="70"/>
  <c r="M72" i="70"/>
  <c r="M110" i="70"/>
  <c r="M57" i="70"/>
  <c r="J32" i="70"/>
  <c r="J24" i="70"/>
  <c r="J60" i="70"/>
  <c r="J109" i="70"/>
  <c r="J42" i="70"/>
  <c r="M82" i="70"/>
  <c r="M120" i="70"/>
  <c r="M75" i="70"/>
  <c r="M70" i="70"/>
  <c r="J102" i="70"/>
  <c r="M53" i="70"/>
  <c r="M101" i="70"/>
  <c r="J48" i="70"/>
  <c r="J30" i="70"/>
  <c r="M76" i="70"/>
  <c r="M114" i="70"/>
  <c r="M35" i="70"/>
  <c r="M94" i="70"/>
  <c r="J59" i="70"/>
  <c r="M115" i="70"/>
  <c r="M69" i="70"/>
  <c r="M80" i="70"/>
  <c r="J56" i="70"/>
  <c r="M103" i="70"/>
  <c r="M90" i="70"/>
  <c r="J57" i="70"/>
  <c r="J34" i="70"/>
  <c r="M78" i="70"/>
  <c r="J68" i="70"/>
  <c r="J97" i="70"/>
  <c r="M95" i="70"/>
  <c r="J62" i="70"/>
  <c r="J46" i="70"/>
  <c r="M84" i="70"/>
  <c r="J73" i="70"/>
  <c r="M59" i="70"/>
  <c r="J27" i="70"/>
  <c r="J72" i="70"/>
  <c r="M31" i="70"/>
  <c r="J92" i="70"/>
  <c r="M79" i="70"/>
  <c r="M24" i="70"/>
  <c r="M88" i="70"/>
  <c r="M61" i="70"/>
  <c r="M73" i="70"/>
  <c r="J37" i="70"/>
  <c r="J75" i="70"/>
  <c r="M25" i="70"/>
  <c r="J118" i="70"/>
  <c r="M34" i="70"/>
  <c r="M98" i="70"/>
  <c r="J70" i="70"/>
  <c r="J50" i="70"/>
  <c r="M86" i="70"/>
  <c r="J114" i="70"/>
  <c r="J33" i="70"/>
  <c r="J115" i="70"/>
  <c r="J79" i="70"/>
  <c r="M28" i="70"/>
  <c r="M92" i="70"/>
  <c r="J86" i="70"/>
  <c r="J77" i="70"/>
  <c r="M108" i="70"/>
  <c r="J65" i="70"/>
  <c r="M117" i="70"/>
  <c r="M85" i="70"/>
  <c r="M32" i="70"/>
  <c r="M96" i="70"/>
  <c r="J54" i="70"/>
  <c r="J90" i="70"/>
  <c r="M113" i="70"/>
  <c r="J88" i="70"/>
  <c r="J58" i="70"/>
  <c r="M47" i="70"/>
  <c r="K3" i="73" s="1"/>
  <c r="M42" i="70"/>
  <c r="M106" i="70"/>
  <c r="J87" i="70"/>
  <c r="M30" i="70"/>
  <c r="M102" i="70"/>
  <c r="J82" i="70"/>
  <c r="J49" i="70"/>
  <c r="M97" i="70"/>
  <c r="M37" i="70"/>
  <c r="M36" i="70"/>
  <c r="M100" i="70"/>
  <c r="J52" i="70"/>
  <c r="J98" i="70"/>
  <c r="J89" i="70"/>
  <c r="J78" i="70"/>
  <c r="M39" i="70"/>
  <c r="M29" i="70"/>
  <c r="J38" i="70"/>
  <c r="M118" i="70"/>
  <c r="J40" i="70"/>
  <c r="M109" i="70"/>
  <c r="M26" i="70"/>
  <c r="M40" i="70"/>
  <c r="M104" i="70"/>
  <c r="J105" i="70"/>
  <c r="J116" i="70"/>
  <c r="J106" i="70"/>
  <c r="J81" i="70"/>
  <c r="J74" i="70"/>
  <c r="M91" i="70"/>
  <c r="M50" i="70"/>
  <c r="J35" i="70"/>
  <c r="J100" i="70"/>
  <c r="M38" i="70"/>
  <c r="J43" i="70"/>
  <c r="J28" i="70"/>
  <c r="J63" i="70"/>
  <c r="M49" i="70"/>
  <c r="M81" i="70"/>
  <c r="M44" i="70"/>
  <c r="J23" i="70"/>
  <c r="J103" i="70"/>
  <c r="M105" i="70"/>
  <c r="J55" i="70"/>
  <c r="J25" i="70"/>
  <c r="J61" i="70"/>
  <c r="M93" i="70"/>
  <c r="M48" i="70"/>
  <c r="J31" i="70"/>
  <c r="J71" i="70"/>
  <c r="M67" i="70"/>
  <c r="J93" i="70"/>
  <c r="J94" i="70"/>
  <c r="J110" i="70"/>
  <c r="M119" i="70"/>
  <c r="M58" i="70"/>
  <c r="J51" i="70"/>
  <c r="M33" i="70"/>
  <c r="M46" i="70"/>
  <c r="J83" i="70"/>
  <c r="J44" i="70"/>
  <c r="J76" i="70"/>
  <c r="J53" i="70"/>
  <c r="M51" i="70"/>
  <c r="M52" i="70"/>
  <c r="J39" i="70"/>
  <c r="J101" i="70"/>
  <c r="M63" i="70"/>
  <c r="J108" i="70"/>
  <c r="J41" i="70"/>
  <c r="M77" i="70"/>
  <c r="M83" i="70"/>
  <c r="N575" i="72"/>
  <c r="BQ686" i="72"/>
  <c r="BR686" i="72" s="1"/>
  <c r="U686" i="72"/>
  <c r="V686" i="72" s="1"/>
  <c r="J575" i="72"/>
  <c r="BL686" i="72"/>
  <c r="BM686" i="72" s="1"/>
  <c r="P686" i="72"/>
  <c r="Q686" i="72" s="1"/>
  <c r="E575" i="72"/>
  <c r="F686" i="72"/>
  <c r="G686" i="72" s="1"/>
  <c r="BB686" i="72"/>
  <c r="BC686" i="72" s="1"/>
  <c r="H575" i="72"/>
  <c r="BG686" i="72"/>
  <c r="BH686" i="72" s="1"/>
  <c r="K686" i="72"/>
  <c r="L686" i="72" s="1"/>
  <c r="AM576" i="72"/>
  <c r="AQ576" i="72"/>
  <c r="AI576" i="72"/>
  <c r="AY79" i="72"/>
  <c r="B577" i="72"/>
  <c r="AV577" i="72" s="1"/>
  <c r="AE576" i="72"/>
  <c r="F576" i="72"/>
  <c r="C576" i="72"/>
  <c r="I576" i="72"/>
  <c r="L576" i="72"/>
  <c r="R287" i="72"/>
  <c r="B8" i="72" s="1"/>
  <c r="F20" i="1" s="1"/>
  <c r="R279" i="72"/>
  <c r="B7" i="72" s="1"/>
  <c r="F19" i="1" s="1"/>
  <c r="R416" i="72"/>
  <c r="AV15" i="72"/>
  <c r="AV12" i="72"/>
  <c r="AV4" i="72"/>
  <c r="AV7" i="72"/>
  <c r="T287" i="72"/>
  <c r="T279" i="72"/>
  <c r="T416" i="72"/>
  <c r="Z179" i="72"/>
  <c r="Z240" i="72"/>
  <c r="Z50" i="72"/>
  <c r="Z114" i="72"/>
  <c r="AX7" i="72"/>
  <c r="BI7" i="72" s="1"/>
  <c r="AX4" i="72"/>
  <c r="X114" i="72"/>
  <c r="X179" i="72"/>
  <c r="X240" i="72"/>
  <c r="X50" i="72"/>
  <c r="AX12" i="72"/>
  <c r="BI12" i="72" s="1"/>
  <c r="AX15" i="72"/>
  <c r="BI15" i="72" s="1"/>
  <c r="H20" i="1" l="1"/>
  <c r="AV279" i="82"/>
  <c r="AV276" i="82"/>
  <c r="AD33" i="82"/>
  <c r="AD64" i="82"/>
  <c r="BI4" i="82"/>
  <c r="AD163" i="82"/>
  <c r="AD192" i="82"/>
  <c r="AF99" i="82"/>
  <c r="AF128" i="82"/>
  <c r="AX284" i="82"/>
  <c r="BI284" i="82" s="1"/>
  <c r="AX287" i="82"/>
  <c r="BI287" i="82" s="1"/>
  <c r="AF256" i="82"/>
  <c r="AF227" i="82"/>
  <c r="BE15" i="82"/>
  <c r="BN15" i="82"/>
  <c r="BB15" i="82"/>
  <c r="BF15" i="82"/>
  <c r="BA15" i="82"/>
  <c r="AF163" i="82"/>
  <c r="AF192" i="82"/>
  <c r="BF4" i="82"/>
  <c r="BN4" i="82"/>
  <c r="BE4" i="82"/>
  <c r="BB4" i="82"/>
  <c r="BA4" i="82"/>
  <c r="AD128" i="82"/>
  <c r="AD99" i="82"/>
  <c r="AF64" i="82"/>
  <c r="AF33" i="82"/>
  <c r="Z512" i="82"/>
  <c r="Z387" i="82"/>
  <c r="Z451" i="82"/>
  <c r="Z323" i="82"/>
  <c r="AD227" i="82"/>
  <c r="AD256" i="82"/>
  <c r="X512" i="82"/>
  <c r="X451" i="82"/>
  <c r="X323" i="82"/>
  <c r="X387" i="82"/>
  <c r="B10" i="82" s="1"/>
  <c r="G22" i="1" s="1"/>
  <c r="B7" i="82"/>
  <c r="AX276" i="82"/>
  <c r="AX279" i="82"/>
  <c r="BI279" i="82" s="1"/>
  <c r="AV284" i="82"/>
  <c r="AV287" i="82"/>
  <c r="BE12" i="82"/>
  <c r="BF12" i="82"/>
  <c r="BN12" i="82"/>
  <c r="BB12" i="82"/>
  <c r="BA12" i="82"/>
  <c r="BE7" i="82"/>
  <c r="BN7" i="82"/>
  <c r="BB7" i="82"/>
  <c r="BF7" i="82"/>
  <c r="BA7" i="82"/>
  <c r="H34" i="73"/>
  <c r="H63" i="73"/>
  <c r="H55" i="73"/>
  <c r="H40" i="73"/>
  <c r="H31" i="73"/>
  <c r="H65" i="73"/>
  <c r="H49" i="73"/>
  <c r="H58" i="73"/>
  <c r="H42" i="73"/>
  <c r="H90" i="73"/>
  <c r="H71" i="73"/>
  <c r="H32" i="73"/>
  <c r="H87" i="73"/>
  <c r="H81" i="73"/>
  <c r="H74" i="73"/>
  <c r="H79" i="73"/>
  <c r="H39" i="73"/>
  <c r="H24" i="73"/>
  <c r="H33" i="73"/>
  <c r="H89" i="73"/>
  <c r="H82" i="73"/>
  <c r="H88" i="73"/>
  <c r="H56" i="73"/>
  <c r="H73" i="73"/>
  <c r="H66" i="73"/>
  <c r="H48" i="73"/>
  <c r="H80" i="73"/>
  <c r="H57" i="73"/>
  <c r="H26" i="73"/>
  <c r="H72" i="73"/>
  <c r="H50" i="73"/>
  <c r="H47" i="73"/>
  <c r="H64" i="73"/>
  <c r="AV609" i="82"/>
  <c r="I609" i="82"/>
  <c r="L609" i="82"/>
  <c r="AI609" i="82"/>
  <c r="AM609" i="82"/>
  <c r="B610" i="82"/>
  <c r="F609" i="82"/>
  <c r="AQ609" i="82"/>
  <c r="AE609" i="82"/>
  <c r="C609" i="82"/>
  <c r="BL719" i="82"/>
  <c r="BM719" i="82" s="1"/>
  <c r="P719" i="82"/>
  <c r="Q719" i="82" s="1"/>
  <c r="J608" i="82"/>
  <c r="BG719" i="82"/>
  <c r="BH719" i="82" s="1"/>
  <c r="K719" i="82"/>
  <c r="L719" i="82" s="1"/>
  <c r="H608" i="82"/>
  <c r="BB719" i="82"/>
  <c r="BC719" i="82" s="1"/>
  <c r="F719" i="82"/>
  <c r="G719" i="82" s="1"/>
  <c r="E608" i="82"/>
  <c r="BQ719" i="82"/>
  <c r="BR719" i="82" s="1"/>
  <c r="U719" i="82"/>
  <c r="V719" i="82" s="1"/>
  <c r="N608" i="82"/>
  <c r="BN7" i="72"/>
  <c r="BN4" i="72"/>
  <c r="BN12" i="72"/>
  <c r="BN15" i="72"/>
  <c r="Q4" i="69"/>
  <c r="F23" i="6"/>
  <c r="F20" i="6"/>
  <c r="G22" i="6"/>
  <c r="F21" i="6"/>
  <c r="E15" i="6"/>
  <c r="F12" i="6" s="1"/>
  <c r="H576" i="72"/>
  <c r="K687" i="72"/>
  <c r="L687" i="72" s="1"/>
  <c r="BG687" i="72"/>
  <c r="BH687" i="72" s="1"/>
  <c r="N576" i="72"/>
  <c r="BQ687" i="72"/>
  <c r="BR687" i="72" s="1"/>
  <c r="U687" i="72"/>
  <c r="V687" i="72" s="1"/>
  <c r="J576" i="72"/>
  <c r="P687" i="72"/>
  <c r="Q687" i="72" s="1"/>
  <c r="BL687" i="72"/>
  <c r="BM687" i="72" s="1"/>
  <c r="E576" i="72"/>
  <c r="BB687" i="72"/>
  <c r="BC687" i="72" s="1"/>
  <c r="F687" i="72"/>
  <c r="G687" i="72" s="1"/>
  <c r="BE7" i="72"/>
  <c r="BE4" i="72"/>
  <c r="BE12" i="72"/>
  <c r="BI4" i="72"/>
  <c r="BE15" i="72"/>
  <c r="AM577" i="72"/>
  <c r="AQ577" i="72"/>
  <c r="AI577" i="72"/>
  <c r="AY84" i="72"/>
  <c r="B578" i="72"/>
  <c r="AV578" i="72" s="1"/>
  <c r="AE577" i="72"/>
  <c r="I577" i="72"/>
  <c r="L577" i="72"/>
  <c r="F577" i="72"/>
  <c r="C577" i="72"/>
  <c r="AD256" i="72"/>
  <c r="AD227" i="72"/>
  <c r="AF64" i="72"/>
  <c r="AF33" i="72"/>
  <c r="Z512" i="72"/>
  <c r="Z323" i="72"/>
  <c r="Z451" i="72"/>
  <c r="Z387" i="72"/>
  <c r="AD64" i="72"/>
  <c r="AD33" i="72"/>
  <c r="AF128" i="72"/>
  <c r="AF99" i="72"/>
  <c r="BF4" i="72"/>
  <c r="BB4" i="72"/>
  <c r="BA4" i="72"/>
  <c r="BH4" i="72" s="1"/>
  <c r="AD163" i="72"/>
  <c r="AD192" i="72"/>
  <c r="AF227" i="72"/>
  <c r="AF256" i="72"/>
  <c r="BF12" i="72"/>
  <c r="BB12" i="72"/>
  <c r="BA12" i="72"/>
  <c r="AD128" i="72"/>
  <c r="AD99" i="72"/>
  <c r="AF163" i="72"/>
  <c r="AF192" i="72"/>
  <c r="BB15" i="72"/>
  <c r="BF15" i="72"/>
  <c r="BA15" i="72"/>
  <c r="AX276" i="72"/>
  <c r="AX279" i="72"/>
  <c r="X323" i="72"/>
  <c r="B9" i="72" s="1"/>
  <c r="F21" i="1" s="1"/>
  <c r="X512" i="72"/>
  <c r="X451" i="72"/>
  <c r="B11" i="72" s="1"/>
  <c r="F23" i="1" s="1"/>
  <c r="X387" i="72"/>
  <c r="B10" i="72" s="1"/>
  <c r="F22" i="1" s="1"/>
  <c r="AX284" i="72"/>
  <c r="AX287" i="72"/>
  <c r="AV276" i="72"/>
  <c r="AV279" i="72"/>
  <c r="BF7" i="72"/>
  <c r="BB7" i="72"/>
  <c r="BA7" i="72"/>
  <c r="AV284" i="72"/>
  <c r="AV287" i="72"/>
  <c r="H107" i="73"/>
  <c r="H123" i="73"/>
  <c r="H139" i="73"/>
  <c r="H155" i="73"/>
  <c r="H92" i="73"/>
  <c r="H141" i="73"/>
  <c r="H157" i="73"/>
  <c r="H110" i="73"/>
  <c r="H126" i="73"/>
  <c r="H158" i="73"/>
  <c r="H102" i="73"/>
  <c r="H134" i="73"/>
  <c r="H108" i="73"/>
  <c r="H124" i="73"/>
  <c r="H140" i="73"/>
  <c r="H156" i="73"/>
  <c r="H125" i="73"/>
  <c r="H94" i="73"/>
  <c r="H142" i="73"/>
  <c r="H99" i="73"/>
  <c r="H115" i="73"/>
  <c r="H131" i="73"/>
  <c r="H147" i="73"/>
  <c r="H100" i="73"/>
  <c r="H116" i="73"/>
  <c r="H132" i="73"/>
  <c r="H148" i="73"/>
  <c r="H101" i="73"/>
  <c r="H133" i="73"/>
  <c r="H149" i="73"/>
  <c r="H118" i="73"/>
  <c r="H150" i="73"/>
  <c r="H117" i="73"/>
  <c r="H109" i="73"/>
  <c r="H22" i="1" l="1"/>
  <c r="BF284" i="82"/>
  <c r="BN284" i="82"/>
  <c r="BE284" i="82"/>
  <c r="BB284" i="82"/>
  <c r="BA284" i="82"/>
  <c r="AL72" i="82"/>
  <c r="AL59" i="82"/>
  <c r="AL91" i="82"/>
  <c r="AL104" i="82"/>
  <c r="AJ200" i="82"/>
  <c r="AJ187" i="82"/>
  <c r="AD307" i="82"/>
  <c r="AD336" i="82"/>
  <c r="AF400" i="82"/>
  <c r="AF371" i="82"/>
  <c r="AL168" i="82"/>
  <c r="AL155" i="82"/>
  <c r="AD435" i="82"/>
  <c r="AD464" i="82"/>
  <c r="AF499" i="82"/>
  <c r="AF528" i="82"/>
  <c r="BH15" i="82"/>
  <c r="BJ15" i="82" s="1"/>
  <c r="BC15" i="82"/>
  <c r="BL15" i="82" s="1"/>
  <c r="BE287" i="82"/>
  <c r="BN287" i="82"/>
  <c r="BB287" i="82"/>
  <c r="BF287" i="82"/>
  <c r="BA287" i="82"/>
  <c r="AD499" i="82"/>
  <c r="AD528" i="82"/>
  <c r="AL40" i="82"/>
  <c r="AL26" i="82"/>
  <c r="AL123" i="82"/>
  <c r="AL136" i="82"/>
  <c r="BH12" i="82"/>
  <c r="BJ12" i="82" s="1"/>
  <c r="BC12" i="82"/>
  <c r="BL12" i="82" s="1"/>
  <c r="BI276" i="82"/>
  <c r="AJ91" i="82"/>
  <c r="AJ104" i="82"/>
  <c r="AJ168" i="82"/>
  <c r="AJ155" i="82"/>
  <c r="B9" i="82"/>
  <c r="G21" i="1" s="1"/>
  <c r="H21" i="1" s="1"/>
  <c r="G19" i="1"/>
  <c r="H19" i="1" s="1"/>
  <c r="AF307" i="82"/>
  <c r="AF336" i="82"/>
  <c r="AJ123" i="82"/>
  <c r="AJ136" i="82"/>
  <c r="AL232" i="82"/>
  <c r="AL219" i="82"/>
  <c r="B11" i="82"/>
  <c r="G23" i="1" s="1"/>
  <c r="H23" i="1" s="1"/>
  <c r="BF276" i="82"/>
  <c r="BN276" i="82"/>
  <c r="BE276" i="82"/>
  <c r="BB276" i="82"/>
  <c r="BA276" i="82"/>
  <c r="AJ264" i="82"/>
  <c r="AJ251" i="82"/>
  <c r="AJ59" i="82"/>
  <c r="AJ72" i="82"/>
  <c r="AJ219" i="82"/>
  <c r="AJ232" i="82"/>
  <c r="AJ26" i="82"/>
  <c r="AJ40" i="82"/>
  <c r="BH7" i="82"/>
  <c r="BJ7" i="82" s="1"/>
  <c r="BC7" i="82"/>
  <c r="BL7" i="82" s="1"/>
  <c r="AD371" i="82"/>
  <c r="AD400" i="82"/>
  <c r="AF464" i="82"/>
  <c r="AF435" i="82"/>
  <c r="BC4" i="82"/>
  <c r="BH4" i="82"/>
  <c r="AL187" i="82"/>
  <c r="AL200" i="82"/>
  <c r="AL251" i="82"/>
  <c r="AL264" i="82"/>
  <c r="BN279" i="82"/>
  <c r="BE279" i="82"/>
  <c r="BB279" i="82"/>
  <c r="BF279" i="82"/>
  <c r="BA279" i="82"/>
  <c r="BN276" i="72"/>
  <c r="BQ720" i="82"/>
  <c r="BR720" i="82" s="1"/>
  <c r="U720" i="82"/>
  <c r="V720" i="82" s="1"/>
  <c r="N609" i="82"/>
  <c r="BG720" i="82"/>
  <c r="BH720" i="82" s="1"/>
  <c r="K720" i="82"/>
  <c r="L720" i="82" s="1"/>
  <c r="H609" i="82"/>
  <c r="AI610" i="82"/>
  <c r="C610" i="82"/>
  <c r="AV610" i="82"/>
  <c r="AE610" i="82"/>
  <c r="I610" i="82"/>
  <c r="F610" i="82"/>
  <c r="B611" i="82"/>
  <c r="AQ610" i="82"/>
  <c r="AM610" i="82"/>
  <c r="L610" i="82"/>
  <c r="BL720" i="82"/>
  <c r="BM720" i="82" s="1"/>
  <c r="P720" i="82"/>
  <c r="Q720" i="82" s="1"/>
  <c r="J609" i="82"/>
  <c r="F720" i="82"/>
  <c r="G720" i="82" s="1"/>
  <c r="BB720" i="82"/>
  <c r="BC720" i="82" s="1"/>
  <c r="E609" i="82"/>
  <c r="B12" i="72"/>
  <c r="F24" i="1" s="1"/>
  <c r="BN284" i="72"/>
  <c r="BJ4" i="72"/>
  <c r="BN287" i="72"/>
  <c r="BN279" i="72"/>
  <c r="BH15" i="72"/>
  <c r="BJ15" i="72" s="1"/>
  <c r="BH7" i="72"/>
  <c r="BJ7" i="72" s="1"/>
  <c r="BH12" i="72"/>
  <c r="BJ12" i="72" s="1"/>
  <c r="BC4" i="72"/>
  <c r="G21" i="6"/>
  <c r="G20" i="6"/>
  <c r="G12" i="6"/>
  <c r="F13" i="6"/>
  <c r="F14" i="6"/>
  <c r="H577" i="72"/>
  <c r="BG688" i="72"/>
  <c r="BH688" i="72" s="1"/>
  <c r="K688" i="72"/>
  <c r="L688" i="72" s="1"/>
  <c r="N577" i="72"/>
  <c r="BQ688" i="72"/>
  <c r="BR688" i="72" s="1"/>
  <c r="U688" i="72"/>
  <c r="V688" i="72" s="1"/>
  <c r="J577" i="72"/>
  <c r="BL688" i="72"/>
  <c r="BM688" i="72" s="1"/>
  <c r="P688" i="72"/>
  <c r="Q688" i="72" s="1"/>
  <c r="E577" i="72"/>
  <c r="F688" i="72"/>
  <c r="G688" i="72" s="1"/>
  <c r="BB688" i="72"/>
  <c r="BC688" i="72" s="1"/>
  <c r="AM578" i="72"/>
  <c r="AQ578" i="72"/>
  <c r="AI578" i="72"/>
  <c r="AY87" i="72"/>
  <c r="B579" i="72"/>
  <c r="AV579" i="72" s="1"/>
  <c r="AE578" i="72"/>
  <c r="L578" i="72"/>
  <c r="I578" i="72"/>
  <c r="F578" i="72"/>
  <c r="C578" i="72"/>
  <c r="BC12" i="72"/>
  <c r="BL12" i="72" s="1"/>
  <c r="BC15" i="72"/>
  <c r="BL15" i="72" s="1"/>
  <c r="BC7" i="72"/>
  <c r="BL7" i="72" s="1"/>
  <c r="AL187" i="72"/>
  <c r="AL200" i="72"/>
  <c r="AD499" i="72"/>
  <c r="AD528" i="72"/>
  <c r="AL168" i="72"/>
  <c r="AL155" i="72"/>
  <c r="AL232" i="72"/>
  <c r="AL219" i="72"/>
  <c r="AL91" i="72"/>
  <c r="AL104" i="72"/>
  <c r="AF499" i="72"/>
  <c r="AF528" i="72"/>
  <c r="AL40" i="72"/>
  <c r="AL26" i="72"/>
  <c r="AD435" i="72"/>
  <c r="AD464" i="72"/>
  <c r="AL251" i="72"/>
  <c r="AL264" i="72"/>
  <c r="AF307" i="72"/>
  <c r="AF336" i="72"/>
  <c r="AD307" i="72"/>
  <c r="AD336" i="72"/>
  <c r="AJ91" i="72"/>
  <c r="AJ104" i="72"/>
  <c r="AJ200" i="72"/>
  <c r="AJ187" i="72"/>
  <c r="AL123" i="72"/>
  <c r="AL136" i="72"/>
  <c r="BA279" i="72"/>
  <c r="BH279" i="72" s="1"/>
  <c r="AJ123" i="72"/>
  <c r="AJ136" i="72"/>
  <c r="AJ155" i="72"/>
  <c r="AJ168" i="72"/>
  <c r="AJ26" i="72"/>
  <c r="AJ40" i="72"/>
  <c r="BA287" i="72"/>
  <c r="BH287" i="72" s="1"/>
  <c r="AF371" i="72"/>
  <c r="AF400" i="72"/>
  <c r="AJ232" i="72"/>
  <c r="AJ219" i="72"/>
  <c r="BA276" i="72"/>
  <c r="BH276" i="72" s="1"/>
  <c r="AJ59" i="72"/>
  <c r="AJ72" i="72"/>
  <c r="AL59" i="72"/>
  <c r="AL72" i="72"/>
  <c r="BA284" i="72"/>
  <c r="BH284" i="72" s="1"/>
  <c r="AD371" i="72"/>
  <c r="AD400" i="72"/>
  <c r="AF435" i="72"/>
  <c r="AF464" i="72"/>
  <c r="AJ251" i="72"/>
  <c r="AJ264" i="72"/>
  <c r="AR247" i="82" l="1"/>
  <c r="AR252" i="82"/>
  <c r="AP103" i="82"/>
  <c r="AP108" i="82"/>
  <c r="BH284" i="82"/>
  <c r="BJ284" i="82" s="1"/>
  <c r="BC284" i="82"/>
  <c r="BL284" i="82" s="1"/>
  <c r="BH279" i="82"/>
  <c r="BJ279" i="82" s="1"/>
  <c r="BC279" i="82"/>
  <c r="BL279" i="82" s="1"/>
  <c r="AR183" i="82"/>
  <c r="AR188" i="82"/>
  <c r="AP76" i="82"/>
  <c r="AP71" i="82"/>
  <c r="AP263" i="82"/>
  <c r="AP268" i="82"/>
  <c r="AR231" i="82"/>
  <c r="AR236" i="82"/>
  <c r="AJ536" i="82"/>
  <c r="AJ523" i="82"/>
  <c r="AL363" i="82"/>
  <c r="AL376" i="82"/>
  <c r="AR87" i="82"/>
  <c r="AR92" i="82"/>
  <c r="AL427" i="82"/>
  <c r="AL440" i="82"/>
  <c r="AP39" i="82"/>
  <c r="AP44" i="82"/>
  <c r="BH276" i="82"/>
  <c r="BJ276" i="82" s="1"/>
  <c r="BC276" i="82"/>
  <c r="BL276" i="82" s="1"/>
  <c r="AP156" i="82"/>
  <c r="AP151" i="82"/>
  <c r="AJ491" i="82"/>
  <c r="AJ504" i="82"/>
  <c r="AL523" i="82"/>
  <c r="AL536" i="82"/>
  <c r="AL408" i="82"/>
  <c r="AL395" i="82"/>
  <c r="AR55" i="82"/>
  <c r="AR60" i="82"/>
  <c r="AR268" i="82"/>
  <c r="AR263" i="82"/>
  <c r="AL459" i="82"/>
  <c r="AL472" i="82"/>
  <c r="AP28" i="82"/>
  <c r="AP23" i="82"/>
  <c r="AP135" i="82"/>
  <c r="AP140" i="82"/>
  <c r="AP172" i="82"/>
  <c r="AP167" i="82"/>
  <c r="AR135" i="82"/>
  <c r="AR140" i="82"/>
  <c r="BH287" i="82"/>
  <c r="BJ287" i="82" s="1"/>
  <c r="BC287" i="82"/>
  <c r="BL287" i="82" s="1"/>
  <c r="AL491" i="82"/>
  <c r="AL504" i="82"/>
  <c r="AJ344" i="82"/>
  <c r="AJ331" i="82"/>
  <c r="AR71" i="82"/>
  <c r="AR76" i="82"/>
  <c r="AP236" i="82"/>
  <c r="AP231" i="82"/>
  <c r="AR124" i="82"/>
  <c r="AR119" i="82"/>
  <c r="AJ312" i="82"/>
  <c r="AJ299" i="82"/>
  <c r="AR204" i="82"/>
  <c r="AR199" i="82"/>
  <c r="AP215" i="82"/>
  <c r="AP220" i="82"/>
  <c r="AL331" i="82"/>
  <c r="AL344" i="82"/>
  <c r="AJ440" i="82"/>
  <c r="AJ427" i="82"/>
  <c r="AL312" i="82"/>
  <c r="AL299" i="82"/>
  <c r="B18" i="82"/>
  <c r="G30" i="1" s="1"/>
  <c r="BJ4" i="82"/>
  <c r="AP55" i="82"/>
  <c r="AP60" i="82"/>
  <c r="B12" i="82"/>
  <c r="G24" i="1" s="1"/>
  <c r="H24" i="1" s="1"/>
  <c r="AR23" i="82"/>
  <c r="AR28" i="82"/>
  <c r="AR167" i="82"/>
  <c r="AR172" i="82"/>
  <c r="AJ408" i="82"/>
  <c r="AJ395" i="82"/>
  <c r="AP124" i="82"/>
  <c r="AP119" i="82"/>
  <c r="AJ459" i="82"/>
  <c r="AJ472" i="82"/>
  <c r="AJ376" i="82"/>
  <c r="AJ363" i="82"/>
  <c r="AP92" i="82"/>
  <c r="AP87" i="82"/>
  <c r="AP188" i="82"/>
  <c r="AP183" i="82"/>
  <c r="AR151" i="82"/>
  <c r="AR156" i="82"/>
  <c r="AP199" i="82"/>
  <c r="AP204" i="82"/>
  <c r="BL4" i="82"/>
  <c r="AP247" i="82"/>
  <c r="AP252" i="82"/>
  <c r="AR220" i="82"/>
  <c r="AR215" i="82"/>
  <c r="AR39" i="82"/>
  <c r="AR44" i="82"/>
  <c r="AR103" i="82"/>
  <c r="AR108" i="82"/>
  <c r="F721" i="82"/>
  <c r="G721" i="82" s="1"/>
  <c r="BB721" i="82"/>
  <c r="BC721" i="82" s="1"/>
  <c r="E610" i="82"/>
  <c r="BQ721" i="82"/>
  <c r="BR721" i="82" s="1"/>
  <c r="U721" i="82"/>
  <c r="V721" i="82" s="1"/>
  <c r="N610" i="82"/>
  <c r="AQ611" i="82"/>
  <c r="AV611" i="82"/>
  <c r="F611" i="82"/>
  <c r="AE611" i="82"/>
  <c r="I611" i="82"/>
  <c r="B612" i="82"/>
  <c r="AI611" i="82"/>
  <c r="C611" i="82"/>
  <c r="AM611" i="82"/>
  <c r="L611" i="82"/>
  <c r="K721" i="82"/>
  <c r="L721" i="82" s="1"/>
  <c r="BG721" i="82"/>
  <c r="BH721" i="82" s="1"/>
  <c r="H610" i="82"/>
  <c r="BL721" i="82"/>
  <c r="BM721" i="82" s="1"/>
  <c r="P721" i="82"/>
  <c r="Q721" i="82" s="1"/>
  <c r="J610" i="82"/>
  <c r="BL4" i="72"/>
  <c r="G13" i="6"/>
  <c r="G23" i="6"/>
  <c r="J578" i="72"/>
  <c r="P689" i="72"/>
  <c r="Q689" i="72" s="1"/>
  <c r="BL689" i="72"/>
  <c r="BM689" i="72" s="1"/>
  <c r="N578" i="72"/>
  <c r="BQ689" i="72"/>
  <c r="BR689" i="72" s="1"/>
  <c r="U689" i="72"/>
  <c r="V689" i="72" s="1"/>
  <c r="E578" i="72"/>
  <c r="BB689" i="72"/>
  <c r="BC689" i="72" s="1"/>
  <c r="F689" i="72"/>
  <c r="G689" i="72" s="1"/>
  <c r="H578" i="72"/>
  <c r="K689" i="72"/>
  <c r="L689" i="72" s="1"/>
  <c r="BG689" i="72"/>
  <c r="BH689" i="72" s="1"/>
  <c r="AQ579" i="72"/>
  <c r="AM579" i="72"/>
  <c r="AI579" i="72"/>
  <c r="AY92" i="72"/>
  <c r="B580" i="72"/>
  <c r="AV580" i="72" s="1"/>
  <c r="AE579" i="72"/>
  <c r="C579" i="72"/>
  <c r="I579" i="72"/>
  <c r="F579" i="72"/>
  <c r="L579" i="72"/>
  <c r="AR103" i="72"/>
  <c r="AR108" i="72"/>
  <c r="AP188" i="72"/>
  <c r="AP183" i="72"/>
  <c r="AR151" i="72"/>
  <c r="AR156" i="72"/>
  <c r="AJ395" i="72"/>
  <c r="AJ408" i="72"/>
  <c r="AP76" i="72"/>
  <c r="AP71" i="72"/>
  <c r="AL363" i="72"/>
  <c r="AL376" i="72"/>
  <c r="AP135" i="72"/>
  <c r="AP140" i="72"/>
  <c r="AP204" i="72"/>
  <c r="AP199" i="72"/>
  <c r="AL299" i="72"/>
  <c r="AL312" i="72"/>
  <c r="B18" i="72"/>
  <c r="F30" i="1" s="1"/>
  <c r="AR172" i="72"/>
  <c r="AR167" i="72"/>
  <c r="AP263" i="72"/>
  <c r="AP268" i="72"/>
  <c r="AJ331" i="72"/>
  <c r="AJ344" i="72"/>
  <c r="AJ459" i="72"/>
  <c r="AJ472" i="72"/>
  <c r="AR199" i="72"/>
  <c r="AR204" i="72"/>
  <c r="AP252" i="72"/>
  <c r="AP247" i="72"/>
  <c r="AR55" i="72"/>
  <c r="AX55" i="72" s="1"/>
  <c r="AR60" i="72"/>
  <c r="AL395" i="72"/>
  <c r="AL408" i="72"/>
  <c r="AP156" i="72"/>
  <c r="AP151" i="72"/>
  <c r="AL331" i="72"/>
  <c r="AL344" i="72"/>
  <c r="AR39" i="72"/>
  <c r="AR44" i="72"/>
  <c r="AJ363" i="72"/>
  <c r="AJ376" i="72"/>
  <c r="AP60" i="72"/>
  <c r="AP55" i="72"/>
  <c r="AP124" i="72"/>
  <c r="AP119" i="72"/>
  <c r="AP103" i="72"/>
  <c r="AP108" i="72"/>
  <c r="AR263" i="72"/>
  <c r="AR268" i="72"/>
  <c r="AL523" i="72"/>
  <c r="AL536" i="72"/>
  <c r="AJ523" i="72"/>
  <c r="AJ536" i="72"/>
  <c r="AP87" i="72"/>
  <c r="AP92" i="72"/>
  <c r="AR247" i="72"/>
  <c r="AR252" i="72"/>
  <c r="AL491" i="72"/>
  <c r="AL504" i="72"/>
  <c r="AJ491" i="72"/>
  <c r="AJ504" i="72"/>
  <c r="AP39" i="72"/>
  <c r="AP44" i="72"/>
  <c r="AJ299" i="72"/>
  <c r="AJ312" i="72"/>
  <c r="AJ427" i="72"/>
  <c r="AJ440" i="72"/>
  <c r="AR183" i="72"/>
  <c r="AR188" i="72"/>
  <c r="AL459" i="72"/>
  <c r="AL472" i="72"/>
  <c r="AP215" i="72"/>
  <c r="AP220" i="72"/>
  <c r="AP23" i="72"/>
  <c r="AP28" i="72"/>
  <c r="AR135" i="72"/>
  <c r="AR140" i="72"/>
  <c r="AR220" i="72"/>
  <c r="AR215" i="72"/>
  <c r="AR87" i="72"/>
  <c r="AR92" i="72"/>
  <c r="AL427" i="72"/>
  <c r="AL440" i="72"/>
  <c r="AR71" i="72"/>
  <c r="AR76" i="72"/>
  <c r="AP236" i="72"/>
  <c r="AP231" i="72"/>
  <c r="AP172" i="72"/>
  <c r="AP167" i="72"/>
  <c r="AR124" i="72"/>
  <c r="AR119" i="72"/>
  <c r="AR28" i="72"/>
  <c r="AR23" i="72"/>
  <c r="AX23" i="72" s="1"/>
  <c r="AR236" i="72"/>
  <c r="AR231" i="72"/>
  <c r="B13" i="82" l="1"/>
  <c r="G25" i="1" s="1"/>
  <c r="AX36" i="82"/>
  <c r="BI36" i="82" s="1"/>
  <c r="AX39" i="82"/>
  <c r="AV196" i="82"/>
  <c r="AV199" i="82"/>
  <c r="AV236" i="82"/>
  <c r="AV239" i="82"/>
  <c r="AV20" i="82"/>
  <c r="AV23" i="82"/>
  <c r="AV156" i="82"/>
  <c r="AV159" i="82"/>
  <c r="AX156" i="82"/>
  <c r="BI156" i="82" s="1"/>
  <c r="AX159" i="82"/>
  <c r="AX31" i="82"/>
  <c r="AX28" i="82"/>
  <c r="AX196" i="82"/>
  <c r="BI196" i="82" s="1"/>
  <c r="AX199" i="82"/>
  <c r="BI199" i="82" s="1"/>
  <c r="AX76" i="82"/>
  <c r="BI76" i="82" s="1"/>
  <c r="AX79" i="82"/>
  <c r="BI79" i="82" s="1"/>
  <c r="AV28" i="82"/>
  <c r="AV31" i="82"/>
  <c r="AR391" i="82"/>
  <c r="AR396" i="82"/>
  <c r="AV108" i="82"/>
  <c r="AV111" i="82"/>
  <c r="AX151" i="82"/>
  <c r="AX148" i="82"/>
  <c r="BI148" i="82" s="1"/>
  <c r="AR311" i="82"/>
  <c r="AR316" i="82"/>
  <c r="AX108" i="82"/>
  <c r="BI108" i="82" s="1"/>
  <c r="AX111" i="82"/>
  <c r="AV87" i="82"/>
  <c r="AV84" i="82"/>
  <c r="AP391" i="82"/>
  <c r="AP396" i="82"/>
  <c r="AV52" i="82"/>
  <c r="AV55" i="82"/>
  <c r="AR343" i="82"/>
  <c r="AR348" i="82"/>
  <c r="AX116" i="82"/>
  <c r="BI116" i="82" s="1"/>
  <c r="AX119" i="82"/>
  <c r="BI119" i="82" s="1"/>
  <c r="AR503" i="82"/>
  <c r="AR508" i="82"/>
  <c r="AV143" i="82"/>
  <c r="AV140" i="82"/>
  <c r="AX271" i="82"/>
  <c r="BI271" i="82" s="1"/>
  <c r="AX268" i="82"/>
  <c r="BI268" i="82" s="1"/>
  <c r="AP503" i="82"/>
  <c r="AP508" i="82"/>
  <c r="AR439" i="82"/>
  <c r="AR444" i="82"/>
  <c r="AX236" i="82"/>
  <c r="BI236" i="82" s="1"/>
  <c r="AX239" i="82"/>
  <c r="AX103" i="82"/>
  <c r="AX100" i="82"/>
  <c r="BI100" i="82" s="1"/>
  <c r="AV95" i="82"/>
  <c r="AV92" i="82"/>
  <c r="AP412" i="82"/>
  <c r="AP407" i="82"/>
  <c r="AR327" i="82"/>
  <c r="AR332" i="82"/>
  <c r="AX127" i="82"/>
  <c r="BI127" i="82" s="1"/>
  <c r="AX124" i="82"/>
  <c r="BI124" i="82" s="1"/>
  <c r="AR487" i="82"/>
  <c r="AR492" i="82"/>
  <c r="AV132" i="82"/>
  <c r="AV135" i="82"/>
  <c r="AP487" i="82"/>
  <c r="AP492" i="82"/>
  <c r="AR423" i="82"/>
  <c r="AR428" i="82"/>
  <c r="AX228" i="82"/>
  <c r="BI228" i="82" s="1"/>
  <c r="AX231" i="82"/>
  <c r="AX44" i="82"/>
  <c r="BI44" i="82" s="1"/>
  <c r="AX47" i="82"/>
  <c r="AV204" i="82"/>
  <c r="AV207" i="82"/>
  <c r="AP364" i="82"/>
  <c r="AP359" i="82"/>
  <c r="AX172" i="82"/>
  <c r="BI172" i="82" s="1"/>
  <c r="AX175" i="82"/>
  <c r="AV223" i="82"/>
  <c r="AV220" i="82"/>
  <c r="AV231" i="82"/>
  <c r="AV228" i="82"/>
  <c r="AX63" i="82"/>
  <c r="BI63" i="82" s="1"/>
  <c r="AX60" i="82"/>
  <c r="BI60" i="82" s="1"/>
  <c r="AV151" i="82"/>
  <c r="AV148" i="82"/>
  <c r="AX95" i="82"/>
  <c r="AX92" i="82"/>
  <c r="BI92" i="82" s="1"/>
  <c r="AV268" i="82"/>
  <c r="AV271" i="82"/>
  <c r="AP375" i="82"/>
  <c r="AP380" i="82"/>
  <c r="AV215" i="82"/>
  <c r="AV212" i="82"/>
  <c r="AX52" i="82"/>
  <c r="BI52" i="82" s="1"/>
  <c r="AX55" i="82"/>
  <c r="BI55" i="82" s="1"/>
  <c r="AV260" i="82"/>
  <c r="AV263" i="82"/>
  <c r="AP476" i="82"/>
  <c r="AP471" i="82"/>
  <c r="AR375" i="82"/>
  <c r="AR380" i="82"/>
  <c r="AX220" i="82"/>
  <c r="BI220" i="82" s="1"/>
  <c r="AX223" i="82"/>
  <c r="AX20" i="82"/>
  <c r="AX23" i="82"/>
  <c r="AX71" i="82"/>
  <c r="BI71" i="82" s="1"/>
  <c r="AX68" i="82"/>
  <c r="BI68" i="82" s="1"/>
  <c r="AR471" i="82"/>
  <c r="AR476" i="82"/>
  <c r="AV100" i="82"/>
  <c r="AV103" i="82"/>
  <c r="AV252" i="82"/>
  <c r="AV255" i="82"/>
  <c r="AV180" i="82"/>
  <c r="AV183" i="82"/>
  <c r="AV116" i="82"/>
  <c r="AV119" i="82"/>
  <c r="AP423" i="82"/>
  <c r="AP428" i="82"/>
  <c r="AP295" i="82"/>
  <c r="AP300" i="82"/>
  <c r="AP327" i="82"/>
  <c r="AP332" i="82"/>
  <c r="AV164" i="82"/>
  <c r="AV167" i="82"/>
  <c r="AR460" i="82"/>
  <c r="AR455" i="82"/>
  <c r="AR535" i="82"/>
  <c r="AR540" i="82"/>
  <c r="AV47" i="82"/>
  <c r="AV44" i="82"/>
  <c r="AP519" i="82"/>
  <c r="AP524" i="82"/>
  <c r="AX188" i="82"/>
  <c r="BI188" i="82" s="1"/>
  <c r="AX191" i="82"/>
  <c r="BI191" i="82" s="1"/>
  <c r="AX252" i="82"/>
  <c r="BI252" i="82" s="1"/>
  <c r="AX255" i="82"/>
  <c r="BI255" i="82" s="1"/>
  <c r="AX164" i="82"/>
  <c r="BI164" i="82" s="1"/>
  <c r="AX167" i="82"/>
  <c r="AX84" i="82"/>
  <c r="BI84" i="82" s="1"/>
  <c r="AX87" i="82"/>
  <c r="H30" i="1"/>
  <c r="AX215" i="82"/>
  <c r="AX212" i="82"/>
  <c r="BI212" i="82" s="1"/>
  <c r="AR295" i="82"/>
  <c r="AR300" i="82"/>
  <c r="AX140" i="82"/>
  <c r="BI140" i="82" s="1"/>
  <c r="AX143" i="82"/>
  <c r="BI143" i="82" s="1"/>
  <c r="AV68" i="82"/>
  <c r="AV71" i="82"/>
  <c r="AP460" i="82"/>
  <c r="AP455" i="82"/>
  <c r="AX204" i="82"/>
  <c r="BI204" i="82" s="1"/>
  <c r="AX207" i="82"/>
  <c r="BI207" i="82" s="1"/>
  <c r="AX132" i="82"/>
  <c r="BI132" i="82" s="1"/>
  <c r="AX135" i="82"/>
  <c r="BI135" i="82" s="1"/>
  <c r="AR407" i="82"/>
  <c r="AR412" i="82"/>
  <c r="AR364" i="82"/>
  <c r="AR359" i="82"/>
  <c r="AV76" i="82"/>
  <c r="AV79" i="82"/>
  <c r="AV247" i="82"/>
  <c r="AV244" i="82"/>
  <c r="AV188" i="82"/>
  <c r="AV191" i="82"/>
  <c r="AV124" i="82"/>
  <c r="AV127" i="82"/>
  <c r="AV60" i="82"/>
  <c r="AV63" i="82"/>
  <c r="AP444" i="82"/>
  <c r="AP439" i="82"/>
  <c r="AP311" i="82"/>
  <c r="AP316" i="82"/>
  <c r="AP343" i="82"/>
  <c r="AP348" i="82"/>
  <c r="AV175" i="82"/>
  <c r="AV172" i="82"/>
  <c r="AX260" i="82"/>
  <c r="BI260" i="82" s="1"/>
  <c r="AX263" i="82"/>
  <c r="BI263" i="82" s="1"/>
  <c r="AR519" i="82"/>
  <c r="AR524" i="82"/>
  <c r="AV39" i="82"/>
  <c r="AV36" i="82"/>
  <c r="AP535" i="82"/>
  <c r="AP540" i="82"/>
  <c r="AX180" i="82"/>
  <c r="BI180" i="82" s="1"/>
  <c r="AX183" i="82"/>
  <c r="BI183" i="82" s="1"/>
  <c r="AX247" i="82"/>
  <c r="BI247" i="82" s="1"/>
  <c r="AX244" i="82"/>
  <c r="BI244" i="82" s="1"/>
  <c r="BB722" i="82"/>
  <c r="BC722" i="82" s="1"/>
  <c r="F722" i="82"/>
  <c r="G722" i="82" s="1"/>
  <c r="E611" i="82"/>
  <c r="U722" i="82"/>
  <c r="V722" i="82" s="1"/>
  <c r="N611" i="82"/>
  <c r="BQ722" i="82"/>
  <c r="BR722" i="82" s="1"/>
  <c r="C612" i="82"/>
  <c r="B613" i="82"/>
  <c r="AM612" i="82"/>
  <c r="AE612" i="82"/>
  <c r="AQ612" i="82"/>
  <c r="F612" i="82"/>
  <c r="AV612" i="82"/>
  <c r="AI612" i="82"/>
  <c r="L612" i="82"/>
  <c r="I612" i="82"/>
  <c r="P722" i="82"/>
  <c r="Q722" i="82" s="1"/>
  <c r="BL722" i="82"/>
  <c r="BM722" i="82" s="1"/>
  <c r="J611" i="82"/>
  <c r="BG722" i="82"/>
  <c r="BH722" i="82" s="1"/>
  <c r="K722" i="82"/>
  <c r="L722" i="82" s="1"/>
  <c r="H611" i="82"/>
  <c r="B13" i="72"/>
  <c r="F25" i="1" s="1"/>
  <c r="H25" i="1" s="1"/>
  <c r="G14" i="6"/>
  <c r="J579" i="72"/>
  <c r="BL690" i="72"/>
  <c r="BM690" i="72" s="1"/>
  <c r="P690" i="72"/>
  <c r="Q690" i="72" s="1"/>
  <c r="E579" i="72"/>
  <c r="BB690" i="72"/>
  <c r="BC690" i="72" s="1"/>
  <c r="F690" i="72"/>
  <c r="G690" i="72" s="1"/>
  <c r="N579" i="72"/>
  <c r="BQ690" i="72"/>
  <c r="BR690" i="72" s="1"/>
  <c r="U690" i="72"/>
  <c r="V690" i="72" s="1"/>
  <c r="H579" i="72"/>
  <c r="BG690" i="72"/>
  <c r="BH690" i="72" s="1"/>
  <c r="K690" i="72"/>
  <c r="L690" i="72" s="1"/>
  <c r="AX84" i="72"/>
  <c r="BI84" i="72" s="1"/>
  <c r="AX87" i="72"/>
  <c r="AX180" i="72"/>
  <c r="AX183" i="72"/>
  <c r="AX244" i="72"/>
  <c r="AX247" i="72"/>
  <c r="AX116" i="72"/>
  <c r="AX119" i="72"/>
  <c r="AX212" i="72"/>
  <c r="AX215" i="72"/>
  <c r="AX148" i="72"/>
  <c r="AX151" i="72"/>
  <c r="AQ580" i="72"/>
  <c r="AM580" i="72"/>
  <c r="AI580" i="72"/>
  <c r="AY95" i="72"/>
  <c r="B581" i="72"/>
  <c r="AV581" i="72" s="1"/>
  <c r="AE580" i="72"/>
  <c r="F580" i="72"/>
  <c r="L580" i="72"/>
  <c r="C580" i="72"/>
  <c r="I580" i="72"/>
  <c r="AR519" i="72"/>
  <c r="AR524" i="72"/>
  <c r="AV28" i="72"/>
  <c r="AV31" i="72"/>
  <c r="AV100" i="72"/>
  <c r="AV103" i="72"/>
  <c r="AP407" i="72"/>
  <c r="AP412" i="72"/>
  <c r="AV167" i="72"/>
  <c r="AV164" i="72"/>
  <c r="AX95" i="72"/>
  <c r="AX92" i="72"/>
  <c r="BI92" i="72" s="1"/>
  <c r="AV20" i="72"/>
  <c r="AV23" i="72"/>
  <c r="BN23" i="72" s="1"/>
  <c r="AP423" i="72"/>
  <c r="AP428" i="72"/>
  <c r="AR487" i="72"/>
  <c r="AR492" i="72"/>
  <c r="AP535" i="72"/>
  <c r="AP540" i="72"/>
  <c r="AV119" i="72"/>
  <c r="AV116" i="72"/>
  <c r="AR343" i="72"/>
  <c r="AR348" i="72"/>
  <c r="AV244" i="72"/>
  <c r="AV247" i="72"/>
  <c r="AV268" i="72"/>
  <c r="AV271" i="72"/>
  <c r="AV204" i="72"/>
  <c r="AV207" i="72"/>
  <c r="AP391" i="72"/>
  <c r="AP396" i="72"/>
  <c r="AX236" i="72"/>
  <c r="AX239" i="72"/>
  <c r="AR471" i="72"/>
  <c r="AR476" i="72"/>
  <c r="AV47" i="72"/>
  <c r="AV44" i="72"/>
  <c r="AV95" i="72"/>
  <c r="AV92" i="72"/>
  <c r="AV60" i="72"/>
  <c r="AV63" i="72"/>
  <c r="AV156" i="72"/>
  <c r="AV159" i="72"/>
  <c r="AX196" i="72"/>
  <c r="AX199" i="72"/>
  <c r="AV183" i="72"/>
  <c r="AV180" i="72"/>
  <c r="AX79" i="72"/>
  <c r="BI79" i="72" s="1"/>
  <c r="AX76" i="72"/>
  <c r="BI76" i="72" s="1"/>
  <c r="AX124" i="72"/>
  <c r="AX127" i="72"/>
  <c r="AR423" i="72"/>
  <c r="AR428" i="72"/>
  <c r="AP439" i="72"/>
  <c r="AP444" i="72"/>
  <c r="AR503" i="72"/>
  <c r="AR508" i="72"/>
  <c r="AX36" i="72"/>
  <c r="BI36" i="72" s="1"/>
  <c r="AX39" i="72"/>
  <c r="AX52" i="72"/>
  <c r="BI52" i="72" s="1"/>
  <c r="AP327" i="72"/>
  <c r="AP332" i="72"/>
  <c r="AV196" i="72"/>
  <c r="AV199" i="72"/>
  <c r="AV175" i="72"/>
  <c r="AV172" i="72"/>
  <c r="AV220" i="72"/>
  <c r="AV223" i="72"/>
  <c r="AP311" i="72"/>
  <c r="AP316" i="72"/>
  <c r="AX252" i="72"/>
  <c r="AX255" i="72"/>
  <c r="AP519" i="72"/>
  <c r="AP524" i="72"/>
  <c r="AV124" i="72"/>
  <c r="AV127" i="72"/>
  <c r="AR327" i="72"/>
  <c r="AR332" i="72"/>
  <c r="AV255" i="72"/>
  <c r="AV252" i="72"/>
  <c r="AV263" i="72"/>
  <c r="AV260" i="72"/>
  <c r="AV143" i="72"/>
  <c r="AV140" i="72"/>
  <c r="AX159" i="72"/>
  <c r="AX156" i="72"/>
  <c r="AX228" i="72"/>
  <c r="AX231" i="72"/>
  <c r="AV228" i="72"/>
  <c r="AV231" i="72"/>
  <c r="AV215" i="72"/>
  <c r="BN215" i="72" s="1"/>
  <c r="AV212" i="72"/>
  <c r="AP295" i="72"/>
  <c r="AP300" i="72"/>
  <c r="AR535" i="72"/>
  <c r="AR540" i="72"/>
  <c r="AV55" i="72"/>
  <c r="AV52" i="72"/>
  <c r="AV148" i="72"/>
  <c r="AV151" i="72"/>
  <c r="AX204" i="72"/>
  <c r="AX207" i="72"/>
  <c r="AX164" i="72"/>
  <c r="AX167" i="72"/>
  <c r="AV132" i="72"/>
  <c r="AV135" i="72"/>
  <c r="AX223" i="72"/>
  <c r="AX220" i="72"/>
  <c r="AR375" i="72"/>
  <c r="AR380" i="72"/>
  <c r="AX140" i="72"/>
  <c r="AX143" i="72"/>
  <c r="AV39" i="72"/>
  <c r="AV36" i="72"/>
  <c r="BN36" i="72" s="1"/>
  <c r="AV87" i="72"/>
  <c r="AV84" i="72"/>
  <c r="AP375" i="72"/>
  <c r="AP380" i="72"/>
  <c r="AR407" i="72"/>
  <c r="AR412" i="72"/>
  <c r="AP471" i="72"/>
  <c r="AP476" i="72"/>
  <c r="AV191" i="72"/>
  <c r="AV188" i="72"/>
  <c r="AX28" i="72"/>
  <c r="AX31" i="72"/>
  <c r="AX68" i="72"/>
  <c r="BI68" i="72" s="1"/>
  <c r="AX71" i="72"/>
  <c r="BI71" i="72" s="1"/>
  <c r="AX132" i="72"/>
  <c r="AX135" i="72"/>
  <c r="AX191" i="72"/>
  <c r="AX188" i="72"/>
  <c r="AP503" i="72"/>
  <c r="AP508" i="72"/>
  <c r="AX260" i="72"/>
  <c r="AX263" i="72"/>
  <c r="AP359" i="72"/>
  <c r="AP364" i="72"/>
  <c r="AR391" i="72"/>
  <c r="AR396" i="72"/>
  <c r="AP455" i="72"/>
  <c r="AP460" i="72"/>
  <c r="AR311" i="72"/>
  <c r="AR316" i="72"/>
  <c r="AV71" i="72"/>
  <c r="AV68" i="72"/>
  <c r="AX111" i="72"/>
  <c r="AX108" i="72"/>
  <c r="AV236" i="72"/>
  <c r="AV239" i="72"/>
  <c r="AX175" i="72"/>
  <c r="AX172" i="72"/>
  <c r="AX20" i="72"/>
  <c r="AR455" i="72"/>
  <c r="AR460" i="72"/>
  <c r="AX268" i="72"/>
  <c r="AX271" i="72"/>
  <c r="AR359" i="72"/>
  <c r="AR364" i="72"/>
  <c r="AR439" i="72"/>
  <c r="AR444" i="72"/>
  <c r="AP487" i="72"/>
  <c r="AV487" i="72" s="1"/>
  <c r="AP492" i="72"/>
  <c r="AV108" i="72"/>
  <c r="AV111" i="72"/>
  <c r="AX47" i="72"/>
  <c r="AX44" i="72"/>
  <c r="BI44" i="72" s="1"/>
  <c r="BI55" i="72"/>
  <c r="AX60" i="72"/>
  <c r="BI60" i="72" s="1"/>
  <c r="AX63" i="72"/>
  <c r="BI63" i="72" s="1"/>
  <c r="AP343" i="72"/>
  <c r="AP348" i="72"/>
  <c r="AR295" i="72"/>
  <c r="AR300" i="72"/>
  <c r="AV79" i="72"/>
  <c r="AV76" i="72"/>
  <c r="AX100" i="72"/>
  <c r="AX103" i="72"/>
  <c r="BN36" i="82" l="1"/>
  <c r="BE36" i="82"/>
  <c r="BB36" i="82"/>
  <c r="BF36" i="82"/>
  <c r="BA36" i="82"/>
  <c r="Q555" i="82"/>
  <c r="R556" i="82" s="1"/>
  <c r="AV348" i="82"/>
  <c r="AV351" i="82"/>
  <c r="BF127" i="82"/>
  <c r="BN127" i="82"/>
  <c r="BE127" i="82"/>
  <c r="BB127" i="82"/>
  <c r="BA127" i="82"/>
  <c r="AX356" i="82"/>
  <c r="BI356" i="82" s="1"/>
  <c r="AX359" i="82"/>
  <c r="AX532" i="82"/>
  <c r="BI532" i="82" s="1"/>
  <c r="AX535" i="82"/>
  <c r="BI535" i="82" s="1"/>
  <c r="AV292" i="82"/>
  <c r="AV295" i="82"/>
  <c r="BF252" i="82"/>
  <c r="BN252" i="82"/>
  <c r="BE252" i="82"/>
  <c r="BB252" i="82"/>
  <c r="BA252" i="82"/>
  <c r="BE263" i="82"/>
  <c r="BN263" i="82"/>
  <c r="BB263" i="82"/>
  <c r="BF263" i="82"/>
  <c r="BA263" i="82"/>
  <c r="AV372" i="82"/>
  <c r="AV375" i="82"/>
  <c r="AX340" i="82"/>
  <c r="BI340" i="82" s="1"/>
  <c r="AX343" i="82"/>
  <c r="BI343" i="82" s="1"/>
  <c r="BN236" i="82"/>
  <c r="BE236" i="82"/>
  <c r="BB236" i="82"/>
  <c r="BF236" i="82"/>
  <c r="BA236" i="82"/>
  <c r="AX367" i="82"/>
  <c r="AX364" i="82"/>
  <c r="BI364" i="82" s="1"/>
  <c r="AX452" i="82"/>
  <c r="BI452" i="82" s="1"/>
  <c r="AX455" i="82"/>
  <c r="BI455" i="82" s="1"/>
  <c r="B19" i="82"/>
  <c r="G31" i="1" s="1"/>
  <c r="BN260" i="82"/>
  <c r="BE260" i="82"/>
  <c r="BB260" i="82"/>
  <c r="BF260" i="82"/>
  <c r="BA260" i="82"/>
  <c r="BE271" i="82"/>
  <c r="BN271" i="82"/>
  <c r="BB271" i="82"/>
  <c r="BF271" i="82"/>
  <c r="BA271" i="82"/>
  <c r="BN228" i="82"/>
  <c r="BE228" i="82"/>
  <c r="BB228" i="82"/>
  <c r="BF228" i="82"/>
  <c r="BA228" i="82"/>
  <c r="BN207" i="82"/>
  <c r="BE207" i="82"/>
  <c r="BB207" i="82"/>
  <c r="BF207" i="82"/>
  <c r="BA207" i="82"/>
  <c r="AV492" i="82"/>
  <c r="AV495" i="82"/>
  <c r="AX332" i="82"/>
  <c r="BI332" i="82" s="1"/>
  <c r="AX335" i="82"/>
  <c r="BI335" i="82" s="1"/>
  <c r="BN140" i="82"/>
  <c r="BE140" i="82"/>
  <c r="BB140" i="82"/>
  <c r="BF140" i="82"/>
  <c r="BA140" i="82"/>
  <c r="BE55" i="82"/>
  <c r="BN55" i="82"/>
  <c r="BF55" i="82"/>
  <c r="BB55" i="82"/>
  <c r="BA55" i="82"/>
  <c r="AX319" i="82"/>
  <c r="AX316" i="82"/>
  <c r="BI316" i="82" s="1"/>
  <c r="BN199" i="82"/>
  <c r="BE199" i="82"/>
  <c r="BB199" i="82"/>
  <c r="BF199" i="82"/>
  <c r="BA199" i="82"/>
  <c r="AX524" i="82"/>
  <c r="BI524" i="82" s="1"/>
  <c r="AX527" i="82"/>
  <c r="BI527" i="82" s="1"/>
  <c r="BE191" i="82"/>
  <c r="BN191" i="82"/>
  <c r="BF191" i="82"/>
  <c r="BB191" i="82"/>
  <c r="BA191" i="82"/>
  <c r="BE71" i="82"/>
  <c r="BN71" i="82"/>
  <c r="BB71" i="82"/>
  <c r="BF71" i="82"/>
  <c r="BA71" i="82"/>
  <c r="AV444" i="82"/>
  <c r="AV447" i="82"/>
  <c r="BN247" i="82"/>
  <c r="BE247" i="82"/>
  <c r="BF247" i="82"/>
  <c r="BB247" i="82"/>
  <c r="BA247" i="82"/>
  <c r="BE44" i="82"/>
  <c r="BN44" i="82"/>
  <c r="BB44" i="82"/>
  <c r="BF44" i="82"/>
  <c r="BA44" i="82"/>
  <c r="AV332" i="82"/>
  <c r="AV335" i="82"/>
  <c r="BE183" i="82"/>
  <c r="BF183" i="82"/>
  <c r="BN183" i="82"/>
  <c r="BB183" i="82"/>
  <c r="BA183" i="82"/>
  <c r="AX372" i="82"/>
  <c r="BI372" i="82" s="1"/>
  <c r="AX375" i="82"/>
  <c r="BN212" i="82"/>
  <c r="BF212" i="82"/>
  <c r="BE212" i="82"/>
  <c r="BB212" i="82"/>
  <c r="BA212" i="82"/>
  <c r="BF148" i="82"/>
  <c r="BE148" i="82"/>
  <c r="BN148" i="82"/>
  <c r="BB148" i="82"/>
  <c r="BA148" i="82"/>
  <c r="AX492" i="82"/>
  <c r="AX495" i="82"/>
  <c r="BN92" i="82"/>
  <c r="BF92" i="82"/>
  <c r="BE92" i="82"/>
  <c r="BB92" i="82"/>
  <c r="BA92" i="82"/>
  <c r="AV508" i="82"/>
  <c r="AV511" i="82"/>
  <c r="BF84" i="82"/>
  <c r="BE84" i="82"/>
  <c r="BN84" i="82"/>
  <c r="BB84" i="82"/>
  <c r="BA84" i="82"/>
  <c r="BN111" i="82"/>
  <c r="BE111" i="82"/>
  <c r="BB111" i="82"/>
  <c r="BF111" i="82"/>
  <c r="BA111" i="82"/>
  <c r="BN23" i="82"/>
  <c r="BF23" i="82"/>
  <c r="BE23" i="82"/>
  <c r="BB23" i="82"/>
  <c r="BA23" i="82"/>
  <c r="AV540" i="82"/>
  <c r="AV543" i="82"/>
  <c r="BN172" i="82"/>
  <c r="BE172" i="82"/>
  <c r="BB172" i="82"/>
  <c r="BF172" i="82"/>
  <c r="BA172" i="82"/>
  <c r="BE63" i="82"/>
  <c r="BF63" i="82"/>
  <c r="BN63" i="82"/>
  <c r="BB63" i="82"/>
  <c r="BA63" i="82"/>
  <c r="BN79" i="82"/>
  <c r="BE79" i="82"/>
  <c r="BB79" i="82"/>
  <c r="BF79" i="82"/>
  <c r="BA79" i="82"/>
  <c r="AX300" i="82"/>
  <c r="AX303" i="82"/>
  <c r="BE47" i="82"/>
  <c r="BN47" i="82"/>
  <c r="BB47" i="82"/>
  <c r="BF47" i="82"/>
  <c r="BA47" i="82"/>
  <c r="AV324" i="82"/>
  <c r="AV327" i="82"/>
  <c r="BE180" i="82"/>
  <c r="BN180" i="82"/>
  <c r="BF180" i="82"/>
  <c r="BB180" i="82"/>
  <c r="BA180" i="82"/>
  <c r="AV468" i="82"/>
  <c r="AV471" i="82"/>
  <c r="BE215" i="82"/>
  <c r="BF215" i="82"/>
  <c r="BN215" i="82"/>
  <c r="BB215" i="82"/>
  <c r="BA215" i="82"/>
  <c r="BF151" i="82"/>
  <c r="BN151" i="82"/>
  <c r="BE151" i="82"/>
  <c r="BB151" i="82"/>
  <c r="BA151" i="82"/>
  <c r="AX484" i="82"/>
  <c r="BI484" i="82" s="1"/>
  <c r="AX487" i="82"/>
  <c r="BE95" i="82"/>
  <c r="BF95" i="82"/>
  <c r="BN95" i="82"/>
  <c r="BB95" i="82"/>
  <c r="BA95" i="82"/>
  <c r="AV500" i="82"/>
  <c r="AV503" i="82"/>
  <c r="BN87" i="82"/>
  <c r="BE87" i="82"/>
  <c r="BF87" i="82"/>
  <c r="BB87" i="82"/>
  <c r="BA87" i="82"/>
  <c r="BE108" i="82"/>
  <c r="BN108" i="82"/>
  <c r="BB108" i="82"/>
  <c r="BF108" i="82"/>
  <c r="BA108" i="82"/>
  <c r="BF20" i="82"/>
  <c r="BE20" i="82"/>
  <c r="BN20" i="82"/>
  <c r="BB20" i="82"/>
  <c r="BA20" i="82"/>
  <c r="AV532" i="82"/>
  <c r="AV535" i="82"/>
  <c r="BN175" i="82"/>
  <c r="BE175" i="82"/>
  <c r="BB175" i="82"/>
  <c r="BF175" i="82"/>
  <c r="BA175" i="82"/>
  <c r="BE60" i="82"/>
  <c r="BF60" i="82"/>
  <c r="BN60" i="82"/>
  <c r="BB60" i="82"/>
  <c r="BA60" i="82"/>
  <c r="BN76" i="82"/>
  <c r="BE76" i="82"/>
  <c r="BB76" i="82"/>
  <c r="BF76" i="82"/>
  <c r="BA76" i="82"/>
  <c r="AX292" i="82"/>
  <c r="AX295" i="82"/>
  <c r="AX540" i="82"/>
  <c r="BI540" i="82" s="1"/>
  <c r="AX543" i="82"/>
  <c r="BI543" i="82" s="1"/>
  <c r="AV300" i="82"/>
  <c r="AV303" i="82"/>
  <c r="BF255" i="82"/>
  <c r="BE255" i="82"/>
  <c r="BN255" i="82"/>
  <c r="BB255" i="82"/>
  <c r="BA255" i="82"/>
  <c r="DO661" i="82"/>
  <c r="AG661" i="82"/>
  <c r="AV476" i="82"/>
  <c r="AV479" i="82"/>
  <c r="AV380" i="82"/>
  <c r="AV383" i="82"/>
  <c r="AV356" i="82"/>
  <c r="AV359" i="82"/>
  <c r="AX428" i="82"/>
  <c r="BI428" i="82" s="1"/>
  <c r="AX431" i="82"/>
  <c r="AX351" i="82"/>
  <c r="BI351" i="82" s="1"/>
  <c r="AX348" i="82"/>
  <c r="BI348" i="82" s="1"/>
  <c r="AX396" i="82"/>
  <c r="BI396" i="82" s="1"/>
  <c r="AX399" i="82"/>
  <c r="BI399" i="82" s="1"/>
  <c r="BI28" i="82"/>
  <c r="BY661" i="82"/>
  <c r="FG661" i="82"/>
  <c r="BE239" i="82"/>
  <c r="BN239" i="82"/>
  <c r="BB239" i="82"/>
  <c r="BF239" i="82"/>
  <c r="BA239" i="82"/>
  <c r="DP661" i="82"/>
  <c r="AH661" i="82"/>
  <c r="BI20" i="82"/>
  <c r="AV367" i="82"/>
  <c r="AV364" i="82"/>
  <c r="AX391" i="82"/>
  <c r="BI391" i="82" s="1"/>
  <c r="AX388" i="82"/>
  <c r="BI388" i="82" s="1"/>
  <c r="BN39" i="82"/>
  <c r="BE39" i="82"/>
  <c r="BB39" i="82"/>
  <c r="BF39" i="82"/>
  <c r="BA39" i="82"/>
  <c r="BN124" i="82"/>
  <c r="BF124" i="82"/>
  <c r="BE124" i="82"/>
  <c r="BB124" i="82"/>
  <c r="BA124" i="82"/>
  <c r="AV460" i="82"/>
  <c r="AV463" i="82"/>
  <c r="AV428" i="82"/>
  <c r="AV431" i="82"/>
  <c r="BE31" i="82"/>
  <c r="BN31" i="82"/>
  <c r="BF31" i="82"/>
  <c r="BB31" i="82"/>
  <c r="BA31" i="82"/>
  <c r="BE204" i="82"/>
  <c r="BN204" i="82"/>
  <c r="BB204" i="82"/>
  <c r="BF204" i="82"/>
  <c r="BA204" i="82"/>
  <c r="BN52" i="82"/>
  <c r="BF52" i="82"/>
  <c r="BE52" i="82"/>
  <c r="BB52" i="82"/>
  <c r="BA52" i="82"/>
  <c r="AX308" i="82"/>
  <c r="BI308" i="82" s="1"/>
  <c r="AX311" i="82"/>
  <c r="BN28" i="82"/>
  <c r="BE28" i="82"/>
  <c r="BF28" i="82"/>
  <c r="BB28" i="82"/>
  <c r="BA28" i="82"/>
  <c r="BE196" i="82"/>
  <c r="BN196" i="82"/>
  <c r="BB196" i="82"/>
  <c r="BF196" i="82"/>
  <c r="BA196" i="82"/>
  <c r="AX516" i="82"/>
  <c r="BI516" i="82" s="1"/>
  <c r="AX519" i="82"/>
  <c r="BI519" i="82" s="1"/>
  <c r="AV311" i="82"/>
  <c r="AV308" i="82"/>
  <c r="BN188" i="82"/>
  <c r="BF188" i="82"/>
  <c r="BE188" i="82"/>
  <c r="BB188" i="82"/>
  <c r="BA188" i="82"/>
  <c r="AX404" i="82"/>
  <c r="BI404" i="82" s="1"/>
  <c r="AX407" i="82"/>
  <c r="BI407" i="82" s="1"/>
  <c r="BE68" i="82"/>
  <c r="BN68" i="82"/>
  <c r="BB68" i="82"/>
  <c r="BF68" i="82"/>
  <c r="BA68" i="82"/>
  <c r="AV524" i="82"/>
  <c r="AV527" i="82"/>
  <c r="BE167" i="82"/>
  <c r="BN167" i="82"/>
  <c r="BB167" i="82"/>
  <c r="BF167" i="82"/>
  <c r="BA167" i="82"/>
  <c r="BF119" i="82"/>
  <c r="BE119" i="82"/>
  <c r="BN119" i="82"/>
  <c r="BB119" i="82"/>
  <c r="BA119" i="82"/>
  <c r="AX476" i="82"/>
  <c r="BI476" i="82" s="1"/>
  <c r="AX479" i="82"/>
  <c r="BI479" i="82" s="1"/>
  <c r="BF220" i="82"/>
  <c r="BN220" i="82"/>
  <c r="BE220" i="82"/>
  <c r="BB220" i="82"/>
  <c r="BA220" i="82"/>
  <c r="FC661" i="82"/>
  <c r="FD662" i="82" s="1"/>
  <c r="BU661" i="82"/>
  <c r="BV662" i="82" s="1"/>
  <c r="BN135" i="82"/>
  <c r="BE135" i="82"/>
  <c r="BB135" i="82"/>
  <c r="BF135" i="82"/>
  <c r="BA135" i="82"/>
  <c r="AV407" i="82"/>
  <c r="AV404" i="82"/>
  <c r="AX447" i="82"/>
  <c r="AX444" i="82"/>
  <c r="BI444" i="82" s="1"/>
  <c r="AX508" i="82"/>
  <c r="BI508" i="82" s="1"/>
  <c r="AX511" i="82"/>
  <c r="AV399" i="82"/>
  <c r="AV396" i="82"/>
  <c r="BE159" i="82"/>
  <c r="BN159" i="82"/>
  <c r="BF159" i="82"/>
  <c r="BB159" i="82"/>
  <c r="BA159" i="82"/>
  <c r="DL661" i="82"/>
  <c r="DM662" i="82" s="1"/>
  <c r="AD661" i="82"/>
  <c r="AV452" i="82"/>
  <c r="AV455" i="82"/>
  <c r="AX423" i="82"/>
  <c r="AX420" i="82"/>
  <c r="BI420" i="82" s="1"/>
  <c r="BX661" i="82"/>
  <c r="FF661" i="82"/>
  <c r="AV340" i="82"/>
  <c r="AV343" i="82"/>
  <c r="BN103" i="82"/>
  <c r="BE103" i="82"/>
  <c r="BB103" i="82"/>
  <c r="BF103" i="82"/>
  <c r="BA103" i="82"/>
  <c r="AV319" i="82"/>
  <c r="AV316" i="82"/>
  <c r="AX412" i="82"/>
  <c r="BI412" i="82" s="1"/>
  <c r="AX415" i="82"/>
  <c r="BI415" i="82" s="1"/>
  <c r="AX460" i="82"/>
  <c r="BI460" i="82" s="1"/>
  <c r="AX463" i="82"/>
  <c r="BI463" i="82" s="1"/>
  <c r="AV420" i="82"/>
  <c r="AV423" i="82"/>
  <c r="BN100" i="82"/>
  <c r="BE100" i="82"/>
  <c r="BB100" i="82"/>
  <c r="BF100" i="82"/>
  <c r="BA100" i="82"/>
  <c r="BN268" i="82"/>
  <c r="BE268" i="82"/>
  <c r="BB268" i="82"/>
  <c r="BF268" i="82"/>
  <c r="BA268" i="82"/>
  <c r="BE231" i="82"/>
  <c r="BN231" i="82"/>
  <c r="BB231" i="82"/>
  <c r="BF231" i="82"/>
  <c r="BA231" i="82"/>
  <c r="AV484" i="82"/>
  <c r="AV487" i="82"/>
  <c r="AX324" i="82"/>
  <c r="BI324" i="82" s="1"/>
  <c r="AX327" i="82"/>
  <c r="BI327" i="82" s="1"/>
  <c r="BE143" i="82"/>
  <c r="BN143" i="82"/>
  <c r="BB143" i="82"/>
  <c r="BF143" i="82"/>
  <c r="BA143" i="82"/>
  <c r="AV439" i="82"/>
  <c r="AV436" i="82"/>
  <c r="BF244" i="82"/>
  <c r="BE244" i="82"/>
  <c r="BN244" i="82"/>
  <c r="BB244" i="82"/>
  <c r="BA244" i="82"/>
  <c r="AV519" i="82"/>
  <c r="AV516" i="82"/>
  <c r="BE164" i="82"/>
  <c r="BN164" i="82"/>
  <c r="BB164" i="82"/>
  <c r="BF164" i="82"/>
  <c r="BA164" i="82"/>
  <c r="BF116" i="82"/>
  <c r="BN116" i="82"/>
  <c r="BE116" i="82"/>
  <c r="BB116" i="82"/>
  <c r="BA116" i="82"/>
  <c r="AX471" i="82"/>
  <c r="BI471" i="82" s="1"/>
  <c r="AX468" i="82"/>
  <c r="BI468" i="82" s="1"/>
  <c r="AX383" i="82"/>
  <c r="AX380" i="82"/>
  <c r="BI380" i="82" s="1"/>
  <c r="BF223" i="82"/>
  <c r="BE223" i="82"/>
  <c r="BN223" i="82"/>
  <c r="BB223" i="82"/>
  <c r="BA223" i="82"/>
  <c r="BE132" i="82"/>
  <c r="BN132" i="82"/>
  <c r="BB132" i="82"/>
  <c r="BF132" i="82"/>
  <c r="BA132" i="82"/>
  <c r="AV412" i="82"/>
  <c r="AV415" i="82"/>
  <c r="AX436" i="82"/>
  <c r="BI436" i="82" s="1"/>
  <c r="AX439" i="82"/>
  <c r="AX500" i="82"/>
  <c r="AX503" i="82"/>
  <c r="AV391" i="82"/>
  <c r="AV388" i="82"/>
  <c r="BN156" i="82"/>
  <c r="BE156" i="82"/>
  <c r="BF156" i="82"/>
  <c r="BB156" i="82"/>
  <c r="BA156" i="82"/>
  <c r="BN124" i="72"/>
  <c r="BN143" i="72"/>
  <c r="BN95" i="72"/>
  <c r="BN84" i="72"/>
  <c r="BN212" i="72"/>
  <c r="BN231" i="72"/>
  <c r="BN71" i="72"/>
  <c r="BN79" i="72"/>
  <c r="BN255" i="72"/>
  <c r="BN239" i="72"/>
  <c r="BN236" i="72"/>
  <c r="BN116" i="72"/>
  <c r="BN196" i="72"/>
  <c r="BN180" i="72"/>
  <c r="BN92" i="72"/>
  <c r="AV613" i="82"/>
  <c r="I613" i="82"/>
  <c r="F613" i="82"/>
  <c r="L613" i="82"/>
  <c r="B614" i="82"/>
  <c r="AM613" i="82"/>
  <c r="AE613" i="82"/>
  <c r="AQ613" i="82"/>
  <c r="AI613" i="82"/>
  <c r="C613" i="82"/>
  <c r="BN111" i="72"/>
  <c r="BN103" i="72"/>
  <c r="BB723" i="82"/>
  <c r="BC723" i="82" s="1"/>
  <c r="F723" i="82"/>
  <c r="G723" i="82" s="1"/>
  <c r="E612" i="82"/>
  <c r="BL723" i="82"/>
  <c r="BM723" i="82" s="1"/>
  <c r="P723" i="82"/>
  <c r="Q723" i="82" s="1"/>
  <c r="J612" i="82"/>
  <c r="K723" i="82"/>
  <c r="L723" i="82" s="1"/>
  <c r="BG723" i="82"/>
  <c r="BH723" i="82" s="1"/>
  <c r="H612" i="82"/>
  <c r="BN263" i="72"/>
  <c r="U723" i="82"/>
  <c r="V723" i="82" s="1"/>
  <c r="BQ723" i="82"/>
  <c r="BR723" i="82" s="1"/>
  <c r="N612" i="82"/>
  <c r="BN108" i="72"/>
  <c r="BN207" i="72"/>
  <c r="BN127" i="72"/>
  <c r="BN223" i="72"/>
  <c r="BN47" i="72"/>
  <c r="BN119" i="72"/>
  <c r="BN20" i="72"/>
  <c r="BN100" i="72"/>
  <c r="BN172" i="72"/>
  <c r="BN183" i="72"/>
  <c r="BN188" i="72"/>
  <c r="BN151" i="72"/>
  <c r="BE87" i="72"/>
  <c r="BN87" i="72"/>
  <c r="BN220" i="72"/>
  <c r="BN135" i="72"/>
  <c r="BN148" i="72"/>
  <c r="BN271" i="72"/>
  <c r="BN31" i="72"/>
  <c r="BN52" i="72"/>
  <c r="BN260" i="72"/>
  <c r="BN156" i="72"/>
  <c r="BN39" i="72"/>
  <c r="BN228" i="72"/>
  <c r="BN63" i="72"/>
  <c r="BN44" i="72"/>
  <c r="BN140" i="72"/>
  <c r="BN204" i="72"/>
  <c r="BN191" i="72"/>
  <c r="BN159" i="72"/>
  <c r="BN68" i="72"/>
  <c r="BN268" i="72"/>
  <c r="BN28" i="72"/>
  <c r="BN132" i="72"/>
  <c r="BE55" i="72"/>
  <c r="BN55" i="72"/>
  <c r="BN175" i="72"/>
  <c r="BN247" i="72"/>
  <c r="BN164" i="72"/>
  <c r="BN76" i="72"/>
  <c r="BN252" i="72"/>
  <c r="BN199" i="72"/>
  <c r="BN60" i="72"/>
  <c r="BN244" i="72"/>
  <c r="BN167" i="72"/>
  <c r="BB20" i="72"/>
  <c r="J580" i="72"/>
  <c r="BL691" i="72"/>
  <c r="BM691" i="72" s="1"/>
  <c r="P691" i="72"/>
  <c r="Q691" i="72" s="1"/>
  <c r="N580" i="72"/>
  <c r="U691" i="72"/>
  <c r="V691" i="72" s="1"/>
  <c r="BQ691" i="72"/>
  <c r="BR691" i="72" s="1"/>
  <c r="E580" i="72"/>
  <c r="BB691" i="72"/>
  <c r="BC691" i="72" s="1"/>
  <c r="F691" i="72"/>
  <c r="G691" i="72" s="1"/>
  <c r="H580" i="72"/>
  <c r="BG691" i="72"/>
  <c r="BH691" i="72" s="1"/>
  <c r="K691" i="72"/>
  <c r="L691" i="72" s="1"/>
  <c r="FG661" i="72"/>
  <c r="FF661" i="72"/>
  <c r="DP661" i="72"/>
  <c r="DO661" i="72"/>
  <c r="BY661" i="72"/>
  <c r="BX661" i="72"/>
  <c r="AH661" i="72"/>
  <c r="AG661" i="72"/>
  <c r="BE76" i="72"/>
  <c r="BU661" i="72"/>
  <c r="BV662" i="72" s="1"/>
  <c r="FC661" i="72"/>
  <c r="FD662" i="72" s="1"/>
  <c r="AX388" i="72"/>
  <c r="AX391" i="72"/>
  <c r="AD661" i="72"/>
  <c r="BE92" i="72"/>
  <c r="AX516" i="72"/>
  <c r="AX519" i="72"/>
  <c r="AX292" i="72"/>
  <c r="AX295" i="72"/>
  <c r="AX356" i="72"/>
  <c r="AX359" i="72"/>
  <c r="AX452" i="72"/>
  <c r="AX455" i="72"/>
  <c r="BE68" i="72"/>
  <c r="BE36" i="72"/>
  <c r="BE52" i="72"/>
  <c r="BE31" i="72"/>
  <c r="BE71" i="72"/>
  <c r="BI28" i="72"/>
  <c r="BE39" i="72"/>
  <c r="AX324" i="72"/>
  <c r="AX327" i="72"/>
  <c r="BE63" i="72"/>
  <c r="BE44" i="72"/>
  <c r="BE23" i="72"/>
  <c r="BE28" i="72"/>
  <c r="BE79" i="72"/>
  <c r="BE84" i="72"/>
  <c r="AX420" i="72"/>
  <c r="AX423" i="72"/>
  <c r="BE60" i="72"/>
  <c r="BE47" i="72"/>
  <c r="AX484" i="72"/>
  <c r="AX487" i="72"/>
  <c r="BN487" i="72" s="1"/>
  <c r="BE20" i="72"/>
  <c r="BE95" i="72"/>
  <c r="DL661" i="72"/>
  <c r="DM662" i="72" s="1"/>
  <c r="AY100" i="72"/>
  <c r="BI100" i="72" s="1"/>
  <c r="AQ581" i="72"/>
  <c r="AM581" i="72"/>
  <c r="AI581" i="72"/>
  <c r="B582" i="72"/>
  <c r="AV582" i="72" s="1"/>
  <c r="AE581" i="72"/>
  <c r="F581" i="72"/>
  <c r="C581" i="72"/>
  <c r="L581" i="72"/>
  <c r="I581" i="72"/>
  <c r="Q555" i="72"/>
  <c r="R556" i="72" s="1"/>
  <c r="Y556" i="72" s="1"/>
  <c r="BF68" i="72"/>
  <c r="BB68" i="72"/>
  <c r="BA68" i="72"/>
  <c r="BA188" i="72"/>
  <c r="BH188" i="72" s="1"/>
  <c r="BF39" i="72"/>
  <c r="BB39" i="72"/>
  <c r="BA39" i="72"/>
  <c r="BH39" i="72" s="1"/>
  <c r="AV412" i="72"/>
  <c r="AV415" i="72"/>
  <c r="AV348" i="72"/>
  <c r="AV351" i="72"/>
  <c r="BA108" i="72"/>
  <c r="BH108" i="72" s="1"/>
  <c r="BA239" i="72"/>
  <c r="BH239" i="72" s="1"/>
  <c r="AV463" i="72"/>
  <c r="AV460" i="72"/>
  <c r="AV508" i="72"/>
  <c r="AV511" i="72"/>
  <c r="AX412" i="72"/>
  <c r="AX415" i="72"/>
  <c r="BA132" i="72"/>
  <c r="BH132" i="72" s="1"/>
  <c r="BF55" i="72"/>
  <c r="BB55" i="72"/>
  <c r="BA55" i="72"/>
  <c r="BA228" i="72"/>
  <c r="BH228" i="72" s="1"/>
  <c r="BA260" i="72"/>
  <c r="BH260" i="72" s="1"/>
  <c r="AV524" i="72"/>
  <c r="AV527" i="72"/>
  <c r="BA220" i="72"/>
  <c r="BH220" i="72" s="1"/>
  <c r="BB44" i="72"/>
  <c r="BF44" i="72"/>
  <c r="BA44" i="72"/>
  <c r="BA207" i="72"/>
  <c r="BH207" i="72" s="1"/>
  <c r="BA116" i="72"/>
  <c r="BH116" i="72" s="1"/>
  <c r="BB23" i="72"/>
  <c r="BF23" i="72"/>
  <c r="BA23" i="72"/>
  <c r="BH23" i="72" s="1"/>
  <c r="AV404" i="72"/>
  <c r="AV407" i="72"/>
  <c r="AV375" i="72"/>
  <c r="AV372" i="72"/>
  <c r="AX375" i="72"/>
  <c r="AX372" i="72"/>
  <c r="AV303" i="72"/>
  <c r="AV300" i="72"/>
  <c r="AX508" i="72"/>
  <c r="AX511" i="72"/>
  <c r="BA156" i="72"/>
  <c r="BH156" i="72" s="1"/>
  <c r="AX468" i="72"/>
  <c r="AX471" i="72"/>
  <c r="BF31" i="72"/>
  <c r="BB31" i="72"/>
  <c r="BA31" i="72"/>
  <c r="BH31" i="72" s="1"/>
  <c r="B19" i="72"/>
  <c r="F31" i="1" s="1"/>
  <c r="BF84" i="72"/>
  <c r="BB84" i="72"/>
  <c r="BA84" i="72"/>
  <c r="AV295" i="72"/>
  <c r="BN295" i="72" s="1"/>
  <c r="AV292" i="72"/>
  <c r="BA111" i="72"/>
  <c r="BH111" i="72" s="1"/>
  <c r="AX308" i="72"/>
  <c r="AX311" i="72"/>
  <c r="AV471" i="72"/>
  <c r="AV468" i="72"/>
  <c r="BA135" i="72"/>
  <c r="BH135" i="72" s="1"/>
  <c r="BF52" i="72"/>
  <c r="BB52" i="72"/>
  <c r="BA52" i="72"/>
  <c r="BA231" i="72"/>
  <c r="BH231" i="72" s="1"/>
  <c r="BA143" i="72"/>
  <c r="BH143" i="72" s="1"/>
  <c r="BA124" i="72"/>
  <c r="BH124" i="72" s="1"/>
  <c r="BA223" i="72"/>
  <c r="BH223" i="72" s="1"/>
  <c r="AX431" i="72"/>
  <c r="AX428" i="72"/>
  <c r="BA183" i="72"/>
  <c r="BH183" i="72" s="1"/>
  <c r="BB95" i="72"/>
  <c r="BF95" i="72"/>
  <c r="BA95" i="72"/>
  <c r="BH95" i="72" s="1"/>
  <c r="AV388" i="72"/>
  <c r="AV391" i="72"/>
  <c r="AX340" i="72"/>
  <c r="AX343" i="72"/>
  <c r="AV420" i="72"/>
  <c r="AV423" i="72"/>
  <c r="AV340" i="72"/>
  <c r="AV343" i="72"/>
  <c r="AV492" i="72"/>
  <c r="AV495" i="72"/>
  <c r="BA236" i="72"/>
  <c r="BH236" i="72" s="1"/>
  <c r="AV452" i="72"/>
  <c r="AV455" i="72"/>
  <c r="AV500" i="72"/>
  <c r="AV503" i="72"/>
  <c r="AX404" i="72"/>
  <c r="AX407" i="72"/>
  <c r="AX540" i="72"/>
  <c r="AX543" i="72"/>
  <c r="BA263" i="72"/>
  <c r="BH263" i="72" s="1"/>
  <c r="AV516" i="72"/>
  <c r="AV519" i="72"/>
  <c r="BA172" i="72"/>
  <c r="BH172" i="72" s="1"/>
  <c r="BF47" i="72"/>
  <c r="BB47" i="72"/>
  <c r="BA47" i="72"/>
  <c r="BH47" i="72" s="1"/>
  <c r="BA204" i="72"/>
  <c r="BH204" i="72" s="1"/>
  <c r="BA119" i="72"/>
  <c r="BH119" i="72" s="1"/>
  <c r="BF20" i="72"/>
  <c r="BA20" i="72"/>
  <c r="BH20" i="72" s="1"/>
  <c r="BA103" i="72"/>
  <c r="BH103" i="72" s="1"/>
  <c r="AV484" i="72"/>
  <c r="AX460" i="72"/>
  <c r="AX463" i="72"/>
  <c r="AX396" i="72"/>
  <c r="AX399" i="72"/>
  <c r="AV383" i="72"/>
  <c r="AV380" i="72"/>
  <c r="AX380" i="72"/>
  <c r="AX383" i="72"/>
  <c r="AX532" i="72"/>
  <c r="AX535" i="72"/>
  <c r="BA252" i="72"/>
  <c r="BH252" i="72" s="1"/>
  <c r="BA175" i="72"/>
  <c r="BH175" i="72" s="1"/>
  <c r="BA159" i="72"/>
  <c r="BH159" i="72" s="1"/>
  <c r="AX476" i="72"/>
  <c r="AX479" i="72"/>
  <c r="BA271" i="72"/>
  <c r="BH271" i="72" s="1"/>
  <c r="AV540" i="72"/>
  <c r="AV543" i="72"/>
  <c r="BA100" i="72"/>
  <c r="BH100" i="72" s="1"/>
  <c r="BA255" i="72"/>
  <c r="BH255" i="72" s="1"/>
  <c r="BA199" i="72"/>
  <c r="BH199" i="72" s="1"/>
  <c r="AV532" i="72"/>
  <c r="AV535" i="72"/>
  <c r="BB63" i="72"/>
  <c r="BF63" i="72"/>
  <c r="BA63" i="72"/>
  <c r="BB79" i="72"/>
  <c r="BF79" i="72"/>
  <c r="BA79" i="72"/>
  <c r="AX439" i="72"/>
  <c r="AX436" i="72"/>
  <c r="BI20" i="72"/>
  <c r="BF71" i="72"/>
  <c r="BB71" i="72"/>
  <c r="BA71" i="72"/>
  <c r="AV359" i="72"/>
  <c r="AV356" i="72"/>
  <c r="BN356" i="72" s="1"/>
  <c r="BA191" i="72"/>
  <c r="BH191" i="72" s="1"/>
  <c r="BB87" i="72"/>
  <c r="BF87" i="72"/>
  <c r="BA87" i="72"/>
  <c r="BH87" i="72" s="1"/>
  <c r="BA151" i="72"/>
  <c r="BH151" i="72" s="1"/>
  <c r="BA212" i="72"/>
  <c r="BH212" i="72" s="1"/>
  <c r="AV319" i="72"/>
  <c r="AV316" i="72"/>
  <c r="AV332" i="72"/>
  <c r="AV335" i="72"/>
  <c r="AV444" i="72"/>
  <c r="AV447" i="72"/>
  <c r="BF60" i="72"/>
  <c r="BB60" i="72"/>
  <c r="BA60" i="72"/>
  <c r="BA244" i="72"/>
  <c r="BH244" i="72" s="1"/>
  <c r="BA164" i="72"/>
  <c r="BH164" i="72" s="1"/>
  <c r="AX524" i="72"/>
  <c r="AX527" i="72"/>
  <c r="BA268" i="72"/>
  <c r="BH268" i="72" s="1"/>
  <c r="BB76" i="72"/>
  <c r="BF76" i="72"/>
  <c r="BA76" i="72"/>
  <c r="AX447" i="72"/>
  <c r="AX444" i="72"/>
  <c r="AV364" i="72"/>
  <c r="AV367" i="72"/>
  <c r="AX332" i="72"/>
  <c r="AX335" i="72"/>
  <c r="BA196" i="72"/>
  <c r="BH196" i="72" s="1"/>
  <c r="AX500" i="72"/>
  <c r="AX503" i="72"/>
  <c r="BA247" i="72"/>
  <c r="BH247" i="72" s="1"/>
  <c r="AX492" i="72"/>
  <c r="AX495" i="72"/>
  <c r="BF28" i="72"/>
  <c r="BB28" i="72"/>
  <c r="BA28" i="72"/>
  <c r="BH28" i="72" s="1"/>
  <c r="AX300" i="72"/>
  <c r="AX303" i="72"/>
  <c r="AX364" i="72"/>
  <c r="AX367" i="72"/>
  <c r="AX316" i="72"/>
  <c r="AX319" i="72"/>
  <c r="AV479" i="72"/>
  <c r="AV476" i="72"/>
  <c r="BB36" i="72"/>
  <c r="BF36" i="72"/>
  <c r="BA36" i="72"/>
  <c r="BA148" i="72"/>
  <c r="BH148" i="72" s="1"/>
  <c r="BA215" i="72"/>
  <c r="BH215" i="72" s="1"/>
  <c r="BA140" i="72"/>
  <c r="BH140" i="72" s="1"/>
  <c r="BA127" i="72"/>
  <c r="BH127" i="72" s="1"/>
  <c r="AV308" i="72"/>
  <c r="AV311" i="72"/>
  <c r="AV324" i="72"/>
  <c r="AV327" i="72"/>
  <c r="AV436" i="72"/>
  <c r="AV439" i="72"/>
  <c r="BA180" i="72"/>
  <c r="BH180" i="72" s="1"/>
  <c r="BB92" i="72"/>
  <c r="BF92" i="72"/>
  <c r="BA92" i="72"/>
  <c r="AV396" i="72"/>
  <c r="AV399" i="72"/>
  <c r="AX348" i="72"/>
  <c r="AX351" i="72"/>
  <c r="AV428" i="72"/>
  <c r="AV431" i="72"/>
  <c r="BA167" i="72"/>
  <c r="BH167" i="72" s="1"/>
  <c r="B21" i="82" l="1"/>
  <c r="G32" i="1" s="1"/>
  <c r="BN487" i="82"/>
  <c r="T555" i="82"/>
  <c r="AS555" i="82" s="1"/>
  <c r="BF452" i="82"/>
  <c r="BE452" i="82"/>
  <c r="BN452" i="82"/>
  <c r="BB452" i="82"/>
  <c r="BA452" i="82"/>
  <c r="BC135" i="82"/>
  <c r="BL135" i="82" s="1"/>
  <c r="BH135" i="82"/>
  <c r="BJ135" i="82" s="1"/>
  <c r="BN527" i="82"/>
  <c r="BE527" i="82"/>
  <c r="BF527" i="82"/>
  <c r="BB527" i="82"/>
  <c r="BA527" i="82"/>
  <c r="AX546" i="82"/>
  <c r="BH84" i="82"/>
  <c r="BJ84" i="82" s="1"/>
  <c r="BC84" i="82"/>
  <c r="BL84" i="82" s="1"/>
  <c r="BN332" i="82"/>
  <c r="BE332" i="82"/>
  <c r="BF332" i="82"/>
  <c r="BB332" i="82"/>
  <c r="BA332" i="82"/>
  <c r="BH55" i="82"/>
  <c r="BJ55" i="82" s="1"/>
  <c r="BC55" i="82"/>
  <c r="BL55" i="82" s="1"/>
  <c r="BH271" i="82"/>
  <c r="BJ271" i="82" s="1"/>
  <c r="BC271" i="82"/>
  <c r="BL271" i="82" s="1"/>
  <c r="BC263" i="82"/>
  <c r="BL263" i="82" s="1"/>
  <c r="BH263" i="82"/>
  <c r="BJ263" i="82" s="1"/>
  <c r="BH36" i="82"/>
  <c r="BJ36" i="82" s="1"/>
  <c r="BC36" i="82"/>
  <c r="BL36" i="82" s="1"/>
  <c r="BN343" i="82"/>
  <c r="BE343" i="82"/>
  <c r="BB343" i="82"/>
  <c r="BF343" i="82"/>
  <c r="BA343" i="82"/>
  <c r="AE662" i="82"/>
  <c r="BF524" i="82"/>
  <c r="BE524" i="82"/>
  <c r="BN524" i="82"/>
  <c r="BB524" i="82"/>
  <c r="BA524" i="82"/>
  <c r="BN460" i="82"/>
  <c r="BE460" i="82"/>
  <c r="BF460" i="82"/>
  <c r="BB460" i="82"/>
  <c r="BA460" i="82"/>
  <c r="AV546" i="82"/>
  <c r="AV547" i="82" s="1"/>
  <c r="BH199" i="82"/>
  <c r="BJ199" i="82" s="1"/>
  <c r="BC199" i="82"/>
  <c r="BL199" i="82" s="1"/>
  <c r="BN340" i="82"/>
  <c r="BE340" i="82"/>
  <c r="BB340" i="82"/>
  <c r="BF340" i="82"/>
  <c r="BA340" i="82"/>
  <c r="BH244" i="82"/>
  <c r="BJ244" i="82" s="1"/>
  <c r="BC244" i="82"/>
  <c r="BL244" i="82" s="1"/>
  <c r="BH231" i="82"/>
  <c r="BC231" i="82"/>
  <c r="BF420" i="82"/>
  <c r="BE420" i="82"/>
  <c r="BN420" i="82"/>
  <c r="BB420" i="82"/>
  <c r="BA420" i="82"/>
  <c r="BF356" i="82"/>
  <c r="BN356" i="82"/>
  <c r="BE356" i="82"/>
  <c r="BB356" i="82"/>
  <c r="BA356" i="82"/>
  <c r="BH255" i="82"/>
  <c r="BJ255" i="82" s="1"/>
  <c r="BC255" i="82"/>
  <c r="BL255" i="82" s="1"/>
  <c r="BH60" i="82"/>
  <c r="BJ60" i="82" s="1"/>
  <c r="BC60" i="82"/>
  <c r="BL60" i="82" s="1"/>
  <c r="BH87" i="82"/>
  <c r="BC87" i="82"/>
  <c r="BE471" i="82"/>
  <c r="BN471" i="82"/>
  <c r="BB471" i="82"/>
  <c r="BF471" i="82"/>
  <c r="BA471" i="82"/>
  <c r="BF324" i="82"/>
  <c r="BN324" i="82"/>
  <c r="BE324" i="82"/>
  <c r="BB324" i="82"/>
  <c r="BA324" i="82"/>
  <c r="BH79" i="82"/>
  <c r="BJ79" i="82" s="1"/>
  <c r="BC79" i="82"/>
  <c r="BL79" i="82" s="1"/>
  <c r="BE540" i="82"/>
  <c r="BN540" i="82"/>
  <c r="BB540" i="82"/>
  <c r="BF540" i="82"/>
  <c r="BA540" i="82"/>
  <c r="BE511" i="82"/>
  <c r="BN511" i="82"/>
  <c r="BB511" i="82"/>
  <c r="BF511" i="82"/>
  <c r="BA511" i="82"/>
  <c r="BN492" i="82"/>
  <c r="BI492" i="82"/>
  <c r="BH71" i="82"/>
  <c r="BJ71" i="82" s="1"/>
  <c r="BC71" i="82"/>
  <c r="BL71" i="82" s="1"/>
  <c r="BH140" i="82"/>
  <c r="BJ140" i="82" s="1"/>
  <c r="BC140" i="82"/>
  <c r="BL140" i="82" s="1"/>
  <c r="BE492" i="82"/>
  <c r="BF492" i="82"/>
  <c r="BB492" i="82"/>
  <c r="BA492" i="82"/>
  <c r="BH260" i="82"/>
  <c r="BJ260" i="82" s="1"/>
  <c r="BC260" i="82"/>
  <c r="BL260" i="82" s="1"/>
  <c r="BH252" i="82"/>
  <c r="BJ252" i="82" s="1"/>
  <c r="BC252" i="82"/>
  <c r="BL252" i="82" s="1"/>
  <c r="BE351" i="82"/>
  <c r="BN351" i="82"/>
  <c r="BB351" i="82"/>
  <c r="BF351" i="82"/>
  <c r="BA351" i="82"/>
  <c r="BH156" i="82"/>
  <c r="BJ156" i="82" s="1"/>
  <c r="BC156" i="82"/>
  <c r="BL156" i="82" s="1"/>
  <c r="BN500" i="82"/>
  <c r="BI500" i="82"/>
  <c r="BC164" i="82"/>
  <c r="BL164" i="82" s="1"/>
  <c r="BH164" i="82"/>
  <c r="BJ164" i="82" s="1"/>
  <c r="BE404" i="82"/>
  <c r="BN404" i="82"/>
  <c r="BB404" i="82"/>
  <c r="BF404" i="82"/>
  <c r="BA404" i="82"/>
  <c r="BH119" i="82"/>
  <c r="BJ119" i="82" s="1"/>
  <c r="BC119" i="82"/>
  <c r="BL119" i="82" s="1"/>
  <c r="BN308" i="82"/>
  <c r="BE308" i="82"/>
  <c r="BB308" i="82"/>
  <c r="BF308" i="82"/>
  <c r="BA308" i="82"/>
  <c r="BH52" i="82"/>
  <c r="BJ52" i="82" s="1"/>
  <c r="BC52" i="82"/>
  <c r="BL52" i="82" s="1"/>
  <c r="BF431" i="82"/>
  <c r="BN431" i="82"/>
  <c r="BE431" i="82"/>
  <c r="BB431" i="82"/>
  <c r="BA431" i="82"/>
  <c r="BF364" i="82"/>
  <c r="BE364" i="82"/>
  <c r="BN364" i="82"/>
  <c r="BB364" i="82"/>
  <c r="BA364" i="82"/>
  <c r="BH239" i="82"/>
  <c r="BC239" i="82"/>
  <c r="BE383" i="82"/>
  <c r="BN383" i="82"/>
  <c r="BB383" i="82"/>
  <c r="BF383" i="82"/>
  <c r="BA383" i="82"/>
  <c r="DW661" i="82"/>
  <c r="AO661" i="82"/>
  <c r="BE468" i="82"/>
  <c r="BN468" i="82"/>
  <c r="BB468" i="82"/>
  <c r="BF468" i="82"/>
  <c r="BA468" i="82"/>
  <c r="BH47" i="82"/>
  <c r="BC47" i="82"/>
  <c r="BH23" i="82"/>
  <c r="BC23" i="82"/>
  <c r="BE508" i="82"/>
  <c r="BN508" i="82"/>
  <c r="BB508" i="82"/>
  <c r="BF508" i="82"/>
  <c r="BA508" i="82"/>
  <c r="BC148" i="82"/>
  <c r="BL148" i="82" s="1"/>
  <c r="BH148" i="82"/>
  <c r="BJ148" i="82" s="1"/>
  <c r="BH247" i="82"/>
  <c r="BJ247" i="82" s="1"/>
  <c r="BC247" i="82"/>
  <c r="BL247" i="82" s="1"/>
  <c r="BH207" i="82"/>
  <c r="BJ207" i="82" s="1"/>
  <c r="BC207" i="82"/>
  <c r="BL207" i="82" s="1"/>
  <c r="BE375" i="82"/>
  <c r="BN375" i="82"/>
  <c r="BB375" i="82"/>
  <c r="BF375" i="82"/>
  <c r="BA375" i="82"/>
  <c r="BN348" i="82"/>
  <c r="BE348" i="82"/>
  <c r="BB348" i="82"/>
  <c r="BF348" i="82"/>
  <c r="BA348" i="82"/>
  <c r="BH100" i="82"/>
  <c r="BJ100" i="82" s="1"/>
  <c r="BC100" i="82"/>
  <c r="BL100" i="82" s="1"/>
  <c r="BN455" i="82"/>
  <c r="BE455" i="82"/>
  <c r="BF455" i="82"/>
  <c r="BB455" i="82"/>
  <c r="BA455" i="82"/>
  <c r="BN407" i="82"/>
  <c r="BE407" i="82"/>
  <c r="BB407" i="82"/>
  <c r="BF407" i="82"/>
  <c r="BA407" i="82"/>
  <c r="BH220" i="82"/>
  <c r="BJ220" i="82" s="1"/>
  <c r="BC220" i="82"/>
  <c r="BL220" i="82" s="1"/>
  <c r="BE311" i="82"/>
  <c r="BN311" i="82"/>
  <c r="BB311" i="82"/>
  <c r="BF311" i="82"/>
  <c r="BA311" i="82"/>
  <c r="BH28" i="82"/>
  <c r="BJ28" i="82" s="1"/>
  <c r="BC28" i="82"/>
  <c r="BL28" i="82" s="1"/>
  <c r="BF428" i="82"/>
  <c r="BN428" i="82"/>
  <c r="BE428" i="82"/>
  <c r="BB428" i="82"/>
  <c r="BA428" i="82"/>
  <c r="BH39" i="82"/>
  <c r="BC39" i="82"/>
  <c r="BN367" i="82"/>
  <c r="BE367" i="82"/>
  <c r="BF367" i="82"/>
  <c r="BB367" i="82"/>
  <c r="BA367" i="82"/>
  <c r="BE380" i="82"/>
  <c r="BN380" i="82"/>
  <c r="BB380" i="82"/>
  <c r="BF380" i="82"/>
  <c r="BA380" i="82"/>
  <c r="AP661" i="82"/>
  <c r="DX661" i="82"/>
  <c r="BI292" i="82"/>
  <c r="BN535" i="82"/>
  <c r="BE535" i="82"/>
  <c r="BB535" i="82"/>
  <c r="BF535" i="82"/>
  <c r="BA535" i="82"/>
  <c r="BC180" i="82"/>
  <c r="BL180" i="82" s="1"/>
  <c r="BH180" i="82"/>
  <c r="BJ180" i="82" s="1"/>
  <c r="BH172" i="82"/>
  <c r="BJ172" i="82" s="1"/>
  <c r="BC172" i="82"/>
  <c r="BL172" i="82" s="1"/>
  <c r="BC92" i="82"/>
  <c r="BL92" i="82" s="1"/>
  <c r="BH92" i="82"/>
  <c r="BJ92" i="82" s="1"/>
  <c r="BN335" i="82"/>
  <c r="BF335" i="82"/>
  <c r="BE335" i="82"/>
  <c r="BB335" i="82"/>
  <c r="BA335" i="82"/>
  <c r="FJ661" i="82"/>
  <c r="FI661" i="82"/>
  <c r="CA661" i="82"/>
  <c r="CB661" i="82"/>
  <c r="BH236" i="82"/>
  <c r="BJ236" i="82" s="1"/>
  <c r="BC236" i="82"/>
  <c r="BL236" i="82" s="1"/>
  <c r="BN372" i="82"/>
  <c r="BE372" i="82"/>
  <c r="BB372" i="82"/>
  <c r="BF372" i="82"/>
  <c r="BA372" i="82"/>
  <c r="S557" i="82"/>
  <c r="Y556" i="82"/>
  <c r="BH223" i="82"/>
  <c r="BC223" i="82"/>
  <c r="BN463" i="82"/>
  <c r="BE463" i="82"/>
  <c r="BF463" i="82"/>
  <c r="BB463" i="82"/>
  <c r="BA463" i="82"/>
  <c r="BH76" i="82"/>
  <c r="BJ76" i="82" s="1"/>
  <c r="BC76" i="82"/>
  <c r="BL76" i="82" s="1"/>
  <c r="BE532" i="82"/>
  <c r="BN532" i="82"/>
  <c r="BB532" i="82"/>
  <c r="BF532" i="82"/>
  <c r="BA532" i="82"/>
  <c r="BH215" i="82"/>
  <c r="BC215" i="82"/>
  <c r="BH127" i="82"/>
  <c r="BJ127" i="82" s="1"/>
  <c r="BC127" i="82"/>
  <c r="BL127" i="82" s="1"/>
  <c r="BN415" i="82"/>
  <c r="BE415" i="82"/>
  <c r="BB415" i="82"/>
  <c r="BF415" i="82"/>
  <c r="BA415" i="82"/>
  <c r="BE399" i="82"/>
  <c r="BN399" i="82"/>
  <c r="BF399" i="82"/>
  <c r="BB399" i="82"/>
  <c r="BA399" i="82"/>
  <c r="BC31" i="82"/>
  <c r="BH31" i="82"/>
  <c r="BH268" i="82"/>
  <c r="BJ268" i="82" s="1"/>
  <c r="BC268" i="82"/>
  <c r="BL268" i="82" s="1"/>
  <c r="BH68" i="82"/>
  <c r="BJ68" i="82" s="1"/>
  <c r="BC68" i="82"/>
  <c r="BL68" i="82" s="1"/>
  <c r="BH196" i="82"/>
  <c r="BJ196" i="82" s="1"/>
  <c r="BC196" i="82"/>
  <c r="BL196" i="82" s="1"/>
  <c r="BH63" i="82"/>
  <c r="BJ63" i="82" s="1"/>
  <c r="BC63" i="82"/>
  <c r="BL63" i="82" s="1"/>
  <c r="BH191" i="82"/>
  <c r="BJ191" i="82" s="1"/>
  <c r="BC191" i="82"/>
  <c r="BL191" i="82" s="1"/>
  <c r="H31" i="1"/>
  <c r="BN388" i="82"/>
  <c r="BF388" i="82"/>
  <c r="BE388" i="82"/>
  <c r="BB388" i="82"/>
  <c r="BA388" i="82"/>
  <c r="BH132" i="82"/>
  <c r="BJ132" i="82" s="1"/>
  <c r="BC132" i="82"/>
  <c r="BL132" i="82" s="1"/>
  <c r="BN516" i="82"/>
  <c r="BF516" i="82"/>
  <c r="BE516" i="82"/>
  <c r="BB516" i="82"/>
  <c r="BA516" i="82"/>
  <c r="BE439" i="82"/>
  <c r="BN439" i="82"/>
  <c r="BB439" i="82"/>
  <c r="BF439" i="82"/>
  <c r="BA439" i="82"/>
  <c r="BE487" i="82"/>
  <c r="BF487" i="82"/>
  <c r="BB487" i="82"/>
  <c r="BA487" i="82"/>
  <c r="BE319" i="82"/>
  <c r="BN319" i="82"/>
  <c r="BB319" i="82"/>
  <c r="BF319" i="82"/>
  <c r="BA319" i="82"/>
  <c r="BH159" i="82"/>
  <c r="BC159" i="82"/>
  <c r="BH167" i="82"/>
  <c r="BC167" i="82"/>
  <c r="BH204" i="82"/>
  <c r="BJ204" i="82" s="1"/>
  <c r="BC204" i="82"/>
  <c r="BL204" i="82" s="1"/>
  <c r="BE300" i="82"/>
  <c r="BF300" i="82"/>
  <c r="BN300" i="82"/>
  <c r="BB300" i="82"/>
  <c r="BA300" i="82"/>
  <c r="BC20" i="82"/>
  <c r="BH20" i="82"/>
  <c r="BE500" i="82"/>
  <c r="BB500" i="82"/>
  <c r="BF500" i="82"/>
  <c r="BA500" i="82"/>
  <c r="BH151" i="82"/>
  <c r="BC151" i="82"/>
  <c r="CF661" i="82"/>
  <c r="FN661" i="82"/>
  <c r="BH111" i="82"/>
  <c r="BC111" i="82"/>
  <c r="BH212" i="82"/>
  <c r="BJ212" i="82" s="1"/>
  <c r="BC212" i="82"/>
  <c r="BL212" i="82" s="1"/>
  <c r="BN447" i="82"/>
  <c r="BE447" i="82"/>
  <c r="BB447" i="82"/>
  <c r="BF447" i="82"/>
  <c r="BA447" i="82"/>
  <c r="BH228" i="82"/>
  <c r="BJ228" i="82" s="1"/>
  <c r="BC228" i="82"/>
  <c r="BL228" i="82" s="1"/>
  <c r="BN292" i="82"/>
  <c r="BE292" i="82"/>
  <c r="BF292" i="82"/>
  <c r="BB292" i="82"/>
  <c r="BA292" i="82"/>
  <c r="BF396" i="82"/>
  <c r="BE396" i="82"/>
  <c r="BN396" i="82"/>
  <c r="BB396" i="82"/>
  <c r="BA396" i="82"/>
  <c r="BN479" i="82"/>
  <c r="BE479" i="82"/>
  <c r="BB479" i="82"/>
  <c r="BF479" i="82"/>
  <c r="BA479" i="82"/>
  <c r="BH108" i="82"/>
  <c r="BJ108" i="82" s="1"/>
  <c r="BC108" i="82"/>
  <c r="BL108" i="82" s="1"/>
  <c r="BH116" i="82"/>
  <c r="BJ116" i="82" s="1"/>
  <c r="BC116" i="82"/>
  <c r="BL116" i="82" s="1"/>
  <c r="BH188" i="82"/>
  <c r="BJ188" i="82" s="1"/>
  <c r="BC188" i="82"/>
  <c r="BL188" i="82" s="1"/>
  <c r="B16" i="82"/>
  <c r="G28" i="1" s="1"/>
  <c r="BN476" i="82"/>
  <c r="BE476" i="82"/>
  <c r="BB476" i="82"/>
  <c r="BF476" i="82"/>
  <c r="BA476" i="82"/>
  <c r="BC44" i="82"/>
  <c r="BL44" i="82" s="1"/>
  <c r="BH44" i="82"/>
  <c r="BJ44" i="82" s="1"/>
  <c r="BE412" i="82"/>
  <c r="BN412" i="82"/>
  <c r="BB412" i="82"/>
  <c r="BF412" i="82"/>
  <c r="BA412" i="82"/>
  <c r="BN436" i="82"/>
  <c r="BE436" i="82"/>
  <c r="BB436" i="82"/>
  <c r="BF436" i="82"/>
  <c r="BA436" i="82"/>
  <c r="BE316" i="82"/>
  <c r="BN316" i="82"/>
  <c r="BB316" i="82"/>
  <c r="BF316" i="82"/>
  <c r="BA316" i="82"/>
  <c r="BH124" i="82"/>
  <c r="BJ124" i="82" s="1"/>
  <c r="BC124" i="82"/>
  <c r="BL124" i="82" s="1"/>
  <c r="BN303" i="82"/>
  <c r="BF303" i="82"/>
  <c r="BE303" i="82"/>
  <c r="BB303" i="82"/>
  <c r="BA303" i="82"/>
  <c r="BH175" i="82"/>
  <c r="BC175" i="82"/>
  <c r="BE503" i="82"/>
  <c r="BN503" i="82"/>
  <c r="BB503" i="82"/>
  <c r="BF503" i="82"/>
  <c r="BA503" i="82"/>
  <c r="BH183" i="82"/>
  <c r="BJ183" i="82" s="1"/>
  <c r="BC183" i="82"/>
  <c r="BL183" i="82" s="1"/>
  <c r="BF295" i="82"/>
  <c r="BN295" i="82"/>
  <c r="BE295" i="82"/>
  <c r="BB295" i="82"/>
  <c r="BA295" i="82"/>
  <c r="BE391" i="82"/>
  <c r="BN391" i="82"/>
  <c r="BF391" i="82"/>
  <c r="BB391" i="82"/>
  <c r="BA391" i="82"/>
  <c r="BE519" i="82"/>
  <c r="BN519" i="82"/>
  <c r="BF519" i="82"/>
  <c r="BB519" i="82"/>
  <c r="BA519" i="82"/>
  <c r="BH143" i="82"/>
  <c r="BJ143" i="82" s="1"/>
  <c r="BC143" i="82"/>
  <c r="BL143" i="82" s="1"/>
  <c r="BE484" i="82"/>
  <c r="BF484" i="82"/>
  <c r="BN484" i="82"/>
  <c r="BB484" i="82"/>
  <c r="BA484" i="82"/>
  <c r="BE423" i="82"/>
  <c r="BN423" i="82"/>
  <c r="BF423" i="82"/>
  <c r="BB423" i="82"/>
  <c r="BA423" i="82"/>
  <c r="BH103" i="82"/>
  <c r="BC103" i="82"/>
  <c r="DR661" i="82"/>
  <c r="AJ661" i="82"/>
  <c r="AK661" i="82"/>
  <c r="DS661" i="82"/>
  <c r="B17" i="82"/>
  <c r="G29" i="1" s="1"/>
  <c r="BF359" i="82"/>
  <c r="BN359" i="82"/>
  <c r="BE359" i="82"/>
  <c r="BB359" i="82"/>
  <c r="BA359" i="82"/>
  <c r="B20" i="82"/>
  <c r="BH95" i="82"/>
  <c r="BC95" i="82"/>
  <c r="BE327" i="82"/>
  <c r="BN327" i="82"/>
  <c r="BF327" i="82"/>
  <c r="BB327" i="82"/>
  <c r="BA327" i="82"/>
  <c r="BI300" i="82"/>
  <c r="FO661" i="82"/>
  <c r="CG661" i="82"/>
  <c r="BN543" i="82"/>
  <c r="BE543" i="82"/>
  <c r="P555" i="82"/>
  <c r="BB543" i="82"/>
  <c r="BF543" i="82"/>
  <c r="BA543" i="82"/>
  <c r="BE444" i="82"/>
  <c r="BN444" i="82"/>
  <c r="BB444" i="82"/>
  <c r="BF444" i="82"/>
  <c r="BA444" i="82"/>
  <c r="BF495" i="82"/>
  <c r="BN495" i="82"/>
  <c r="BE495" i="82"/>
  <c r="BB495" i="82"/>
  <c r="BA495" i="82"/>
  <c r="BN359" i="72"/>
  <c r="BN308" i="72"/>
  <c r="BN372" i="72"/>
  <c r="BN412" i="72"/>
  <c r="BN391" i="72"/>
  <c r="BN492" i="72"/>
  <c r="BN388" i="72"/>
  <c r="BN439" i="72"/>
  <c r="BN367" i="72"/>
  <c r="BN444" i="72"/>
  <c r="BN479" i="72"/>
  <c r="BN375" i="72"/>
  <c r="BN447" i="72"/>
  <c r="BN471" i="72"/>
  <c r="BN428" i="72"/>
  <c r="BN484" i="72"/>
  <c r="BN343" i="72"/>
  <c r="BN399" i="72"/>
  <c r="F724" i="82"/>
  <c r="G724" i="82" s="1"/>
  <c r="BB724" i="82"/>
  <c r="BC724" i="82" s="1"/>
  <c r="E613" i="82"/>
  <c r="AI614" i="82"/>
  <c r="AV614" i="82"/>
  <c r="B615" i="82"/>
  <c r="AM614" i="82"/>
  <c r="L614" i="82"/>
  <c r="C614" i="82"/>
  <c r="I614" i="82"/>
  <c r="AE614" i="82"/>
  <c r="F614" i="82"/>
  <c r="AQ614" i="82"/>
  <c r="U724" i="82"/>
  <c r="V724" i="82" s="1"/>
  <c r="BQ724" i="82"/>
  <c r="BR724" i="82" s="1"/>
  <c r="N613" i="82"/>
  <c r="BN495" i="72"/>
  <c r="BN460" i="72"/>
  <c r="K724" i="82"/>
  <c r="L724" i="82" s="1"/>
  <c r="BG724" i="82"/>
  <c r="BH724" i="82" s="1"/>
  <c r="H613" i="82"/>
  <c r="BL724" i="82"/>
  <c r="BM724" i="82" s="1"/>
  <c r="P724" i="82"/>
  <c r="Q724" i="82" s="1"/>
  <c r="J613" i="82"/>
  <c r="BN364" i="72"/>
  <c r="BN503" i="72"/>
  <c r="BN300" i="72"/>
  <c r="BN476" i="72"/>
  <c r="BN508" i="72"/>
  <c r="BN436" i="72"/>
  <c r="BN415" i="72"/>
  <c r="BN431" i="72"/>
  <c r="BN543" i="72"/>
  <c r="BN463" i="72"/>
  <c r="BN468" i="72"/>
  <c r="BN540" i="72"/>
  <c r="BN327" i="72"/>
  <c r="BN332" i="72"/>
  <c r="BN532" i="72"/>
  <c r="BN380" i="72"/>
  <c r="BN519" i="72"/>
  <c r="BN500" i="72"/>
  <c r="BN423" i="72"/>
  <c r="BN303" i="72"/>
  <c r="BN527" i="72"/>
  <c r="BN351" i="72"/>
  <c r="BN396" i="72"/>
  <c r="BN324" i="72"/>
  <c r="BN316" i="72"/>
  <c r="BN383" i="72"/>
  <c r="BN516" i="72"/>
  <c r="BN455" i="72"/>
  <c r="BN420" i="72"/>
  <c r="BN292" i="72"/>
  <c r="BN524" i="72"/>
  <c r="BN348" i="72"/>
  <c r="BN407" i="72"/>
  <c r="BN404" i="72"/>
  <c r="BN335" i="72"/>
  <c r="BN535" i="72"/>
  <c r="BN340" i="72"/>
  <c r="BN311" i="72"/>
  <c r="BN319" i="72"/>
  <c r="BN452" i="72"/>
  <c r="BN511" i="72"/>
  <c r="BH52" i="72"/>
  <c r="BJ52" i="72" s="1"/>
  <c r="AV546" i="72"/>
  <c r="BH76" i="72"/>
  <c r="BJ76" i="72" s="1"/>
  <c r="BH68" i="72"/>
  <c r="BJ68" i="72" s="1"/>
  <c r="BH92" i="72"/>
  <c r="BJ92" i="72" s="1"/>
  <c r="BH60" i="72"/>
  <c r="BJ60" i="72" s="1"/>
  <c r="BH44" i="72"/>
  <c r="BJ44" i="72" s="1"/>
  <c r="BH79" i="72"/>
  <c r="BJ79" i="72" s="1"/>
  <c r="AX546" i="72"/>
  <c r="BH71" i="72"/>
  <c r="BJ71" i="72" s="1"/>
  <c r="BH84" i="72"/>
  <c r="BJ84" i="72" s="1"/>
  <c r="BH55" i="72"/>
  <c r="BJ55" i="72" s="1"/>
  <c r="BH36" i="72"/>
  <c r="BJ36" i="72" s="1"/>
  <c r="BH63" i="72"/>
  <c r="BJ63" i="72" s="1"/>
  <c r="BJ100" i="72"/>
  <c r="BJ28" i="72"/>
  <c r="BJ20" i="72"/>
  <c r="H581" i="72"/>
  <c r="K692" i="72"/>
  <c r="L692" i="72" s="1"/>
  <c r="BG692" i="72"/>
  <c r="BH692" i="72" s="1"/>
  <c r="J581" i="72"/>
  <c r="BL692" i="72"/>
  <c r="BM692" i="72" s="1"/>
  <c r="P692" i="72"/>
  <c r="Q692" i="72" s="1"/>
  <c r="N581" i="72"/>
  <c r="BQ692" i="72"/>
  <c r="BR692" i="72" s="1"/>
  <c r="U692" i="72"/>
  <c r="V692" i="72" s="1"/>
  <c r="E581" i="72"/>
  <c r="F692" i="72"/>
  <c r="G692" i="72" s="1"/>
  <c r="BB692" i="72"/>
  <c r="BC692" i="72" s="1"/>
  <c r="FN661" i="72"/>
  <c r="FO661" i="72"/>
  <c r="AE662" i="72"/>
  <c r="FJ661" i="72"/>
  <c r="FI661" i="72"/>
  <c r="DW661" i="72"/>
  <c r="DX661" i="72"/>
  <c r="DS661" i="72"/>
  <c r="DR661" i="72"/>
  <c r="CB661" i="72"/>
  <c r="CA661" i="72"/>
  <c r="CF661" i="72"/>
  <c r="CG661" i="72"/>
  <c r="AO661" i="72"/>
  <c r="AP661" i="72"/>
  <c r="AK661" i="72"/>
  <c r="AJ661" i="72"/>
  <c r="BF100" i="72"/>
  <c r="BB100" i="72"/>
  <c r="BC100" i="72" s="1"/>
  <c r="BL100" i="72" s="1"/>
  <c r="AQ582" i="72"/>
  <c r="AM582" i="72"/>
  <c r="AI582" i="72"/>
  <c r="AY103" i="72"/>
  <c r="BE100" i="72"/>
  <c r="BA396" i="72"/>
  <c r="BH396" i="72" s="1"/>
  <c r="BA519" i="72"/>
  <c r="BH519" i="72" s="1"/>
  <c r="BA391" i="72"/>
  <c r="BH391" i="72" s="1"/>
  <c r="BA412" i="72"/>
  <c r="BH412" i="72" s="1"/>
  <c r="BA503" i="72"/>
  <c r="BH503" i="72" s="1"/>
  <c r="BA492" i="72"/>
  <c r="BH492" i="72" s="1"/>
  <c r="BA388" i="72"/>
  <c r="BH388" i="72" s="1"/>
  <c r="BA431" i="72"/>
  <c r="BH431" i="72" s="1"/>
  <c r="BA500" i="72"/>
  <c r="BH500" i="72" s="1"/>
  <c r="BA407" i="72"/>
  <c r="BH407" i="72" s="1"/>
  <c r="BA428" i="72"/>
  <c r="BH428" i="72" s="1"/>
  <c r="BA476" i="72"/>
  <c r="BH476" i="72" s="1"/>
  <c r="BA455" i="72"/>
  <c r="BH455" i="72" s="1"/>
  <c r="BA404" i="72"/>
  <c r="BH404" i="72" s="1"/>
  <c r="BA527" i="72"/>
  <c r="BH527" i="72" s="1"/>
  <c r="BA511" i="72"/>
  <c r="BH511" i="72" s="1"/>
  <c r="B583" i="72"/>
  <c r="AV583" i="72" s="1"/>
  <c r="AE582" i="72"/>
  <c r="L582" i="72"/>
  <c r="I582" i="72"/>
  <c r="C582" i="72"/>
  <c r="F582" i="72"/>
  <c r="BA495" i="72"/>
  <c r="BH495" i="72" s="1"/>
  <c r="BA516" i="72"/>
  <c r="BH516" i="72" s="1"/>
  <c r="BA535" i="72"/>
  <c r="BH535" i="72" s="1"/>
  <c r="BA423" i="72"/>
  <c r="BH423" i="72" s="1"/>
  <c r="BA524" i="72"/>
  <c r="BH524" i="72" s="1"/>
  <c r="BA444" i="72"/>
  <c r="BH444" i="72" s="1"/>
  <c r="BA532" i="72"/>
  <c r="BH532" i="72" s="1"/>
  <c r="BA484" i="72"/>
  <c r="BH484" i="72" s="1"/>
  <c r="BA420" i="72"/>
  <c r="BH420" i="72" s="1"/>
  <c r="BA468" i="72"/>
  <c r="BH468" i="72" s="1"/>
  <c r="BA460" i="72"/>
  <c r="BH460" i="72" s="1"/>
  <c r="BA436" i="72"/>
  <c r="BH436" i="72" s="1"/>
  <c r="BA415" i="72"/>
  <c r="BH415" i="72" s="1"/>
  <c r="BA540" i="72"/>
  <c r="BA479" i="72"/>
  <c r="BH479" i="72" s="1"/>
  <c r="BA447" i="72"/>
  <c r="BH447" i="72" s="1"/>
  <c r="BA487" i="72"/>
  <c r="BH487" i="72" s="1"/>
  <c r="BA452" i="72"/>
  <c r="BH452" i="72" s="1"/>
  <c r="BA508" i="72"/>
  <c r="BH508" i="72" s="1"/>
  <c r="BA399" i="72"/>
  <c r="BH399" i="72" s="1"/>
  <c r="BA439" i="72"/>
  <c r="BH439" i="72" s="1"/>
  <c r="BA471" i="72"/>
  <c r="BH471" i="72" s="1"/>
  <c r="BA463" i="72"/>
  <c r="BH463" i="72" s="1"/>
  <c r="S557" i="72"/>
  <c r="T555" i="72"/>
  <c r="AS555" i="72" s="1"/>
  <c r="BA543" i="72"/>
  <c r="BH543" i="72" s="1"/>
  <c r="P555" i="72"/>
  <c r="AR555" i="72" s="1"/>
  <c r="BC76" i="72"/>
  <c r="BL76" i="72" s="1"/>
  <c r="BC95" i="72"/>
  <c r="BC31" i="72"/>
  <c r="BC71" i="72"/>
  <c r="BL71" i="72" s="1"/>
  <c r="BC52" i="72"/>
  <c r="BL52" i="72" s="1"/>
  <c r="BC68" i="72"/>
  <c r="BL68" i="72" s="1"/>
  <c r="BC84" i="72"/>
  <c r="BL84" i="72" s="1"/>
  <c r="BC63" i="72"/>
  <c r="BL63" i="72" s="1"/>
  <c r="BA311" i="72"/>
  <c r="BH311" i="72" s="1"/>
  <c r="BA348" i="72"/>
  <c r="BH348" i="72" s="1"/>
  <c r="BA367" i="72"/>
  <c r="BH367" i="72" s="1"/>
  <c r="BA335" i="72"/>
  <c r="BH335" i="72" s="1"/>
  <c r="BA364" i="72"/>
  <c r="BH364" i="72" s="1"/>
  <c r="BA332" i="72"/>
  <c r="BH332" i="72" s="1"/>
  <c r="BA359" i="72"/>
  <c r="BH359" i="72" s="1"/>
  <c r="B20" i="72"/>
  <c r="BC55" i="72"/>
  <c r="BL55" i="72" s="1"/>
  <c r="BA356" i="72"/>
  <c r="BH356" i="72" s="1"/>
  <c r="BA383" i="72"/>
  <c r="BH383" i="72" s="1"/>
  <c r="BA340" i="72"/>
  <c r="BH340" i="72" s="1"/>
  <c r="B21" i="72"/>
  <c r="F32" i="1" s="1"/>
  <c r="H32" i="1" s="1"/>
  <c r="BC92" i="72"/>
  <c r="BL92" i="72" s="1"/>
  <c r="BA327" i="72"/>
  <c r="BH327" i="72" s="1"/>
  <c r="BC36" i="72"/>
  <c r="BL36" i="72" s="1"/>
  <c r="BA316" i="72"/>
  <c r="BH316" i="72" s="1"/>
  <c r="BC87" i="72"/>
  <c r="BC79" i="72"/>
  <c r="BL79" i="72" s="1"/>
  <c r="BA292" i="72"/>
  <c r="BA300" i="72"/>
  <c r="BH300" i="72" s="1"/>
  <c r="BC23" i="72"/>
  <c r="BA324" i="72"/>
  <c r="BH324" i="72" s="1"/>
  <c r="BC60" i="72"/>
  <c r="BL60" i="72" s="1"/>
  <c r="BA319" i="72"/>
  <c r="BH319" i="72" s="1"/>
  <c r="BA295" i="72"/>
  <c r="BH295" i="72" s="1"/>
  <c r="BA303" i="72"/>
  <c r="BH303" i="72" s="1"/>
  <c r="BC44" i="72"/>
  <c r="BL44" i="72" s="1"/>
  <c r="BA351" i="72"/>
  <c r="BH351" i="72" s="1"/>
  <c r="BA308" i="72"/>
  <c r="BH308" i="72" s="1"/>
  <c r="B17" i="72"/>
  <c r="F29" i="1" s="1"/>
  <c r="H29" i="1" s="1"/>
  <c r="BC20" i="72"/>
  <c r="BA372" i="72"/>
  <c r="BH372" i="72" s="1"/>
  <c r="B16" i="72"/>
  <c r="F28" i="1" s="1"/>
  <c r="H28" i="1" s="1"/>
  <c r="BC28" i="72"/>
  <c r="BL28" i="72" s="1"/>
  <c r="BA380" i="72"/>
  <c r="BH380" i="72" s="1"/>
  <c r="BC47" i="72"/>
  <c r="BA343" i="72"/>
  <c r="BH343" i="72" s="1"/>
  <c r="BA375" i="72"/>
  <c r="BH375" i="72" s="1"/>
  <c r="BC39" i="72"/>
  <c r="BB547" i="82" l="1"/>
  <c r="AW555" i="82" s="1"/>
  <c r="AX555" i="82" s="1"/>
  <c r="AL662" i="82"/>
  <c r="AM663" i="82" s="1"/>
  <c r="BF547" i="82"/>
  <c r="AJ555" i="82" s="1"/>
  <c r="AK555" i="82" s="1"/>
  <c r="DT662" i="82"/>
  <c r="DU663" i="82" s="1"/>
  <c r="BE547" i="82"/>
  <c r="AF555" i="82" s="1"/>
  <c r="AG555" i="82" s="1"/>
  <c r="B31" i="82"/>
  <c r="G40" i="1" s="1"/>
  <c r="BH471" i="82"/>
  <c r="BJ471" i="82" s="1"/>
  <c r="BC471" i="82"/>
  <c r="BL471" i="82" s="1"/>
  <c r="BH420" i="82"/>
  <c r="BJ420" i="82" s="1"/>
  <c r="BC420" i="82"/>
  <c r="BL420" i="82" s="1"/>
  <c r="BH396" i="82"/>
  <c r="BJ396" i="82" s="1"/>
  <c r="BC396" i="82"/>
  <c r="BL396" i="82" s="1"/>
  <c r="BH487" i="82"/>
  <c r="BC487" i="82"/>
  <c r="CC662" i="82"/>
  <c r="CD663" i="82" s="1"/>
  <c r="BC404" i="82"/>
  <c r="BL404" i="82" s="1"/>
  <c r="BH404" i="82"/>
  <c r="BJ404" i="82" s="1"/>
  <c r="BH460" i="82"/>
  <c r="BJ460" i="82" s="1"/>
  <c r="BC460" i="82"/>
  <c r="BL460" i="82" s="1"/>
  <c r="BH295" i="82"/>
  <c r="BC295" i="82"/>
  <c r="BC332" i="82"/>
  <c r="BL332" i="82" s="1"/>
  <c r="BH332" i="82"/>
  <c r="BJ332" i="82" s="1"/>
  <c r="BH447" i="82"/>
  <c r="BC447" i="82"/>
  <c r="BC439" i="82"/>
  <c r="BH439" i="82"/>
  <c r="BH367" i="82"/>
  <c r="BC367" i="82"/>
  <c r="BH492" i="82"/>
  <c r="BJ492" i="82" s="1"/>
  <c r="BC492" i="82"/>
  <c r="BL492" i="82" s="1"/>
  <c r="BH343" i="82"/>
  <c r="BJ343" i="82" s="1"/>
  <c r="BC343" i="82"/>
  <c r="BL343" i="82" s="1"/>
  <c r="BH519" i="82"/>
  <c r="BJ519" i="82" s="1"/>
  <c r="BC519" i="82"/>
  <c r="BL519" i="82" s="1"/>
  <c r="BC476" i="82"/>
  <c r="BL476" i="82" s="1"/>
  <c r="BH476" i="82"/>
  <c r="BJ476" i="82" s="1"/>
  <c r="BL20" i="82"/>
  <c r="BH463" i="82"/>
  <c r="BJ463" i="82" s="1"/>
  <c r="BC463" i="82"/>
  <c r="BL463" i="82" s="1"/>
  <c r="BC380" i="82"/>
  <c r="BL380" i="82" s="1"/>
  <c r="BH380" i="82"/>
  <c r="BJ380" i="82" s="1"/>
  <c r="Q556" i="82"/>
  <c r="R557" i="82" s="1"/>
  <c r="S558" i="82" s="1"/>
  <c r="U555" i="82"/>
  <c r="V555" i="82" s="1"/>
  <c r="AR555" i="82"/>
  <c r="P556" i="82"/>
  <c r="BH484" i="82"/>
  <c r="BJ484" i="82" s="1"/>
  <c r="BC484" i="82"/>
  <c r="BL484" i="82" s="1"/>
  <c r="BH503" i="82"/>
  <c r="BC503" i="82"/>
  <c r="BH412" i="82"/>
  <c r="BJ412" i="82" s="1"/>
  <c r="BC412" i="82"/>
  <c r="BL412" i="82" s="1"/>
  <c r="BH300" i="82"/>
  <c r="BJ300" i="82" s="1"/>
  <c r="BC300" i="82"/>
  <c r="BL300" i="82" s="1"/>
  <c r="BH388" i="82"/>
  <c r="BJ388" i="82" s="1"/>
  <c r="BC388" i="82"/>
  <c r="BL388" i="82" s="1"/>
  <c r="BC532" i="82"/>
  <c r="BL532" i="82" s="1"/>
  <c r="BH532" i="82"/>
  <c r="BJ532" i="82" s="1"/>
  <c r="BH372" i="82"/>
  <c r="BJ372" i="82" s="1"/>
  <c r="BC372" i="82"/>
  <c r="BL372" i="82" s="1"/>
  <c r="BH340" i="82"/>
  <c r="BJ340" i="82" s="1"/>
  <c r="BC340" i="82"/>
  <c r="BL340" i="82" s="1"/>
  <c r="BH452" i="82"/>
  <c r="BJ452" i="82" s="1"/>
  <c r="BC452" i="82"/>
  <c r="BL452" i="82" s="1"/>
  <c r="BH500" i="82"/>
  <c r="BJ500" i="82" s="1"/>
  <c r="BC500" i="82"/>
  <c r="BL500" i="82" s="1"/>
  <c r="FT661" i="82"/>
  <c r="FV661" i="82" s="1"/>
  <c r="FK662" i="82"/>
  <c r="FL663" i="82" s="1"/>
  <c r="BH407" i="82"/>
  <c r="BJ407" i="82" s="1"/>
  <c r="BC407" i="82"/>
  <c r="BL407" i="82" s="1"/>
  <c r="BH308" i="82"/>
  <c r="BJ308" i="82" s="1"/>
  <c r="BC308" i="82"/>
  <c r="BL308" i="82" s="1"/>
  <c r="BC527" i="82"/>
  <c r="BL527" i="82" s="1"/>
  <c r="BH527" i="82"/>
  <c r="BJ527" i="82" s="1"/>
  <c r="BH495" i="82"/>
  <c r="BC495" i="82"/>
  <c r="BH479" i="82"/>
  <c r="BJ479" i="82" s="1"/>
  <c r="BC479" i="82"/>
  <c r="BL479" i="82" s="1"/>
  <c r="BH319" i="82"/>
  <c r="BC319" i="82"/>
  <c r="BC335" i="82"/>
  <c r="BL335" i="82" s="1"/>
  <c r="BH335" i="82"/>
  <c r="BJ335" i="82" s="1"/>
  <c r="BH428" i="82"/>
  <c r="BJ428" i="82" s="1"/>
  <c r="BC428" i="82"/>
  <c r="BL428" i="82" s="1"/>
  <c r="BH351" i="82"/>
  <c r="BJ351" i="82" s="1"/>
  <c r="BC351" i="82"/>
  <c r="BL351" i="82" s="1"/>
  <c r="BH540" i="82"/>
  <c r="BJ540" i="82" s="1"/>
  <c r="BC540" i="82"/>
  <c r="BL540" i="82" s="1"/>
  <c r="FQ661" i="82"/>
  <c r="FR661" i="82" s="1"/>
  <c r="FW661" i="82"/>
  <c r="BH391" i="82"/>
  <c r="BJ391" i="82" s="1"/>
  <c r="BC391" i="82"/>
  <c r="BL391" i="82" s="1"/>
  <c r="BH543" i="82"/>
  <c r="BJ543" i="82" s="1"/>
  <c r="BC543" i="82"/>
  <c r="BL543" i="82" s="1"/>
  <c r="BH292" i="82"/>
  <c r="BJ292" i="82" s="1"/>
  <c r="BC292" i="82"/>
  <c r="BL292" i="82" s="1"/>
  <c r="BA547" i="82"/>
  <c r="B30" i="82" s="1"/>
  <c r="G39" i="1" s="1"/>
  <c r="BH348" i="82"/>
  <c r="BJ348" i="82" s="1"/>
  <c r="BC348" i="82"/>
  <c r="BL348" i="82" s="1"/>
  <c r="BC508" i="82"/>
  <c r="BL508" i="82" s="1"/>
  <c r="BH508" i="82"/>
  <c r="BJ508" i="82" s="1"/>
  <c r="BH364" i="82"/>
  <c r="BJ364" i="82" s="1"/>
  <c r="BC364" i="82"/>
  <c r="BL364" i="82" s="1"/>
  <c r="BH524" i="82"/>
  <c r="BJ524" i="82" s="1"/>
  <c r="BC524" i="82"/>
  <c r="BL524" i="82" s="1"/>
  <c r="T556" i="82"/>
  <c r="BH359" i="82"/>
  <c r="BC359" i="82"/>
  <c r="BH303" i="82"/>
  <c r="BC303" i="82"/>
  <c r="BH415" i="82"/>
  <c r="BJ415" i="82" s="1"/>
  <c r="BC415" i="82"/>
  <c r="BL415" i="82" s="1"/>
  <c r="BH535" i="82"/>
  <c r="BJ535" i="82" s="1"/>
  <c r="BC535" i="82"/>
  <c r="BL535" i="82" s="1"/>
  <c r="BH444" i="82"/>
  <c r="BJ444" i="82" s="1"/>
  <c r="BC444" i="82"/>
  <c r="BL444" i="82" s="1"/>
  <c r="BH516" i="82"/>
  <c r="BJ516" i="82" s="1"/>
  <c r="BC516" i="82"/>
  <c r="BL516" i="82" s="1"/>
  <c r="BH399" i="82"/>
  <c r="BJ399" i="82" s="1"/>
  <c r="BC399" i="82"/>
  <c r="BL399" i="82" s="1"/>
  <c r="BH311" i="82"/>
  <c r="BC311" i="82"/>
  <c r="BH375" i="82"/>
  <c r="BC375" i="82"/>
  <c r="BH431" i="82"/>
  <c r="BC431" i="82"/>
  <c r="BH324" i="82"/>
  <c r="BJ324" i="82" s="1"/>
  <c r="BC324" i="82"/>
  <c r="BL324" i="82" s="1"/>
  <c r="BH356" i="82"/>
  <c r="BJ356" i="82" s="1"/>
  <c r="BC356" i="82"/>
  <c r="BL356" i="82" s="1"/>
  <c r="BH423" i="82"/>
  <c r="BC423" i="82"/>
  <c r="BC436" i="82"/>
  <c r="BL436" i="82" s="1"/>
  <c r="BH436" i="82"/>
  <c r="BJ436" i="82" s="1"/>
  <c r="BH327" i="82"/>
  <c r="BJ327" i="82" s="1"/>
  <c r="BC327" i="82"/>
  <c r="BL327" i="82" s="1"/>
  <c r="BH316" i="82"/>
  <c r="BJ316" i="82" s="1"/>
  <c r="BC316" i="82"/>
  <c r="BL316" i="82" s="1"/>
  <c r="BJ20" i="82"/>
  <c r="BH455" i="82"/>
  <c r="BJ455" i="82" s="1"/>
  <c r="BC455" i="82"/>
  <c r="BL455" i="82" s="1"/>
  <c r="BH468" i="82"/>
  <c r="BJ468" i="82" s="1"/>
  <c r="BC468" i="82"/>
  <c r="BL468" i="82" s="1"/>
  <c r="BC383" i="82"/>
  <c r="BH383" i="82"/>
  <c r="BC511" i="82"/>
  <c r="BH511" i="82"/>
  <c r="K725" i="82"/>
  <c r="L725" i="82" s="1"/>
  <c r="BG725" i="82"/>
  <c r="BH725" i="82" s="1"/>
  <c r="H614" i="82"/>
  <c r="AQ615" i="82"/>
  <c r="AM615" i="82"/>
  <c r="L615" i="82"/>
  <c r="AV615" i="82"/>
  <c r="AI615" i="82"/>
  <c r="F615" i="82"/>
  <c r="C615" i="82"/>
  <c r="I615" i="82"/>
  <c r="B616" i="82"/>
  <c r="AE615" i="82"/>
  <c r="P725" i="82"/>
  <c r="Q725" i="82" s="1"/>
  <c r="BL725" i="82"/>
  <c r="BM725" i="82" s="1"/>
  <c r="J614" i="82"/>
  <c r="BB725" i="82"/>
  <c r="BC725" i="82" s="1"/>
  <c r="F725" i="82"/>
  <c r="G725" i="82" s="1"/>
  <c r="E614" i="82"/>
  <c r="BQ725" i="82"/>
  <c r="BR725" i="82" s="1"/>
  <c r="U725" i="82"/>
  <c r="V725" i="82" s="1"/>
  <c r="N614" i="82"/>
  <c r="BH540" i="72"/>
  <c r="AV547" i="72"/>
  <c r="BA547" i="72"/>
  <c r="B30" i="72" s="1"/>
  <c r="F39" i="1" s="1"/>
  <c r="BH292" i="72"/>
  <c r="BL20" i="72"/>
  <c r="J582" i="72"/>
  <c r="BL693" i="72"/>
  <c r="BM693" i="72" s="1"/>
  <c r="P693" i="72"/>
  <c r="Q693" i="72" s="1"/>
  <c r="N582" i="72"/>
  <c r="BQ693" i="72"/>
  <c r="BR693" i="72" s="1"/>
  <c r="U693" i="72"/>
  <c r="V693" i="72" s="1"/>
  <c r="H582" i="72"/>
  <c r="BG693" i="72"/>
  <c r="BH693" i="72" s="1"/>
  <c r="K693" i="72"/>
  <c r="L693" i="72" s="1"/>
  <c r="E582" i="72"/>
  <c r="BB693" i="72"/>
  <c r="BC693" i="72" s="1"/>
  <c r="F693" i="72"/>
  <c r="G693" i="72" s="1"/>
  <c r="FT661" i="72"/>
  <c r="FV661" i="72" s="1"/>
  <c r="FW661" i="72"/>
  <c r="FQ661" i="72"/>
  <c r="FR661" i="72" s="1"/>
  <c r="FK662" i="72"/>
  <c r="DT662" i="72"/>
  <c r="DU663" i="72" s="1"/>
  <c r="DL662" i="72"/>
  <c r="DM663" i="72" s="1"/>
  <c r="CC662" i="72"/>
  <c r="AL662" i="72"/>
  <c r="AM663" i="72" s="1"/>
  <c r="FD663" i="72"/>
  <c r="BV663" i="72"/>
  <c r="AE663" i="72"/>
  <c r="AM583" i="72"/>
  <c r="AQ583" i="72"/>
  <c r="AI583" i="72"/>
  <c r="BE103" i="72"/>
  <c r="AY108" i="72"/>
  <c r="BF103" i="72"/>
  <c r="BB103" i="72"/>
  <c r="BC103" i="72" s="1"/>
  <c r="B584" i="72"/>
  <c r="AV584" i="72" s="1"/>
  <c r="AE583" i="72"/>
  <c r="L583" i="72"/>
  <c r="I583" i="72"/>
  <c r="C583" i="72"/>
  <c r="F583" i="72"/>
  <c r="T556" i="72"/>
  <c r="AS556" i="72" s="1"/>
  <c r="P556" i="72"/>
  <c r="Q556" i="72"/>
  <c r="R557" i="72" s="1"/>
  <c r="U555" i="72"/>
  <c r="V555" i="72" s="1"/>
  <c r="B6" i="82" l="1"/>
  <c r="G18" i="1" s="1"/>
  <c r="BH547" i="72"/>
  <c r="Y557" i="82"/>
  <c r="B5" i="82"/>
  <c r="G17" i="1" s="1"/>
  <c r="H39" i="1"/>
  <c r="BC547" i="82"/>
  <c r="B4" i="82" s="1"/>
  <c r="G16" i="1" s="1"/>
  <c r="AF556" i="82"/>
  <c r="AG556" i="82" s="1"/>
  <c r="Q557" i="82"/>
  <c r="R558" i="82" s="1"/>
  <c r="AC556" i="82"/>
  <c r="X556" i="82"/>
  <c r="Z556" i="82"/>
  <c r="AA556" i="82"/>
  <c r="U556" i="82"/>
  <c r="V556" i="82" s="1"/>
  <c r="AR556" i="82"/>
  <c r="AB556" i="82"/>
  <c r="P557" i="82"/>
  <c r="BH547" i="82"/>
  <c r="AS556" i="82"/>
  <c r="T557" i="82"/>
  <c r="BL726" i="82"/>
  <c r="BM726" i="82" s="1"/>
  <c r="P726" i="82"/>
  <c r="Q726" i="82" s="1"/>
  <c r="J615" i="82"/>
  <c r="BB726" i="82"/>
  <c r="BC726" i="82" s="1"/>
  <c r="F726" i="82"/>
  <c r="G726" i="82" s="1"/>
  <c r="E615" i="82"/>
  <c r="BG726" i="82"/>
  <c r="BH726" i="82" s="1"/>
  <c r="K726" i="82"/>
  <c r="L726" i="82" s="1"/>
  <c r="H615" i="82"/>
  <c r="C616" i="82"/>
  <c r="AQ616" i="82"/>
  <c r="AE616" i="82"/>
  <c r="AV616" i="82"/>
  <c r="AI616" i="82"/>
  <c r="I616" i="82"/>
  <c r="L616" i="82"/>
  <c r="F616" i="82"/>
  <c r="B617" i="82"/>
  <c r="AM616" i="82"/>
  <c r="BQ726" i="82"/>
  <c r="BR726" i="82" s="1"/>
  <c r="U726" i="82"/>
  <c r="V726" i="82" s="1"/>
  <c r="N615" i="82"/>
  <c r="J583" i="72"/>
  <c r="BL694" i="72"/>
  <c r="BM694" i="72" s="1"/>
  <c r="P694" i="72"/>
  <c r="Q694" i="72" s="1"/>
  <c r="N583" i="72"/>
  <c r="BQ694" i="72"/>
  <c r="BR694" i="72" s="1"/>
  <c r="U694" i="72"/>
  <c r="V694" i="72" s="1"/>
  <c r="E583" i="72"/>
  <c r="F694" i="72"/>
  <c r="G694" i="72" s="1"/>
  <c r="BB694" i="72"/>
  <c r="BC694" i="72" s="1"/>
  <c r="H583" i="72"/>
  <c r="BG694" i="72"/>
  <c r="BH694" i="72" s="1"/>
  <c r="K694" i="72"/>
  <c r="L694" i="72" s="1"/>
  <c r="FL663" i="72"/>
  <c r="CD663" i="72"/>
  <c r="AY111" i="72"/>
  <c r="BE108" i="72"/>
  <c r="BB108" i="72"/>
  <c r="BC108" i="72" s="1"/>
  <c r="BF108" i="72"/>
  <c r="BI108" i="72"/>
  <c r="BJ108" i="72" s="1"/>
  <c r="AM584" i="72"/>
  <c r="AQ584" i="72"/>
  <c r="AI584" i="72"/>
  <c r="AC556" i="72"/>
  <c r="AB556" i="72"/>
  <c r="AA556" i="72"/>
  <c r="Z556" i="72"/>
  <c r="AR556" i="72"/>
  <c r="AF556" i="72"/>
  <c r="X556" i="72"/>
  <c r="B585" i="72"/>
  <c r="AV585" i="72" s="1"/>
  <c r="AE584" i="72"/>
  <c r="I584" i="72"/>
  <c r="L584" i="72"/>
  <c r="F584" i="72"/>
  <c r="C584" i="72"/>
  <c r="S558" i="72"/>
  <c r="Y557" i="72"/>
  <c r="P557" i="72"/>
  <c r="U556" i="72"/>
  <c r="V556" i="72" s="1"/>
  <c r="Q557" i="72"/>
  <c r="R558" i="72" s="1"/>
  <c r="T557" i="72"/>
  <c r="AS557" i="72" s="1"/>
  <c r="AN555" i="82" l="1"/>
  <c r="AO555" i="82" s="1"/>
  <c r="AW556" i="82"/>
  <c r="AX556" i="82" s="1"/>
  <c r="AN556" i="82"/>
  <c r="AT556" i="82"/>
  <c r="AJ556" i="82"/>
  <c r="AK556" i="82" s="1"/>
  <c r="AB557" i="82"/>
  <c r="U557" i="82"/>
  <c r="V557" i="82" s="1"/>
  <c r="AR557" i="82"/>
  <c r="Q558" i="82"/>
  <c r="R559" i="82" s="1"/>
  <c r="AA557" i="82"/>
  <c r="Z557" i="82"/>
  <c r="P558" i="82"/>
  <c r="AF557" i="82"/>
  <c r="AG557" i="82" s="1"/>
  <c r="AC557" i="82"/>
  <c r="X557" i="82"/>
  <c r="S559" i="82"/>
  <c r="Y558" i="82"/>
  <c r="AS557" i="82"/>
  <c r="T558" i="82"/>
  <c r="BG727" i="82"/>
  <c r="BH727" i="82" s="1"/>
  <c r="K727" i="82"/>
  <c r="L727" i="82" s="1"/>
  <c r="H616" i="82"/>
  <c r="BQ727" i="82"/>
  <c r="BR727" i="82" s="1"/>
  <c r="U727" i="82"/>
  <c r="V727" i="82" s="1"/>
  <c r="N616" i="82"/>
  <c r="BB727" i="82"/>
  <c r="BC727" i="82" s="1"/>
  <c r="F727" i="82"/>
  <c r="G727" i="82" s="1"/>
  <c r="E616" i="82"/>
  <c r="AV617" i="82"/>
  <c r="I617" i="82"/>
  <c r="AI617" i="82"/>
  <c r="AE617" i="82"/>
  <c r="AQ617" i="82"/>
  <c r="L617" i="82"/>
  <c r="AM617" i="82"/>
  <c r="F617" i="82"/>
  <c r="B618" i="82"/>
  <c r="C617" i="82"/>
  <c r="P727" i="82"/>
  <c r="Q727" i="82" s="1"/>
  <c r="J616" i="82"/>
  <c r="BL727" i="82"/>
  <c r="BM727" i="82" s="1"/>
  <c r="AN556" i="72"/>
  <c r="AW556" i="72"/>
  <c r="BL108" i="72"/>
  <c r="E584" i="72"/>
  <c r="BB695" i="72"/>
  <c r="BC695" i="72" s="1"/>
  <c r="F695" i="72"/>
  <c r="G695" i="72" s="1"/>
  <c r="H584" i="72"/>
  <c r="BG695" i="72"/>
  <c r="BH695" i="72" s="1"/>
  <c r="K695" i="72"/>
  <c r="L695" i="72" s="1"/>
  <c r="N584" i="72"/>
  <c r="BQ695" i="72"/>
  <c r="BR695" i="72" s="1"/>
  <c r="U695" i="72"/>
  <c r="V695" i="72" s="1"/>
  <c r="J584" i="72"/>
  <c r="BL695" i="72"/>
  <c r="BM695" i="72" s="1"/>
  <c r="P695" i="72"/>
  <c r="Q695" i="72" s="1"/>
  <c r="AM585" i="72"/>
  <c r="AQ585" i="72"/>
  <c r="AI585" i="72"/>
  <c r="BB111" i="72"/>
  <c r="BC111" i="72" s="1"/>
  <c r="BF111" i="72"/>
  <c r="BE111" i="72"/>
  <c r="AY116" i="72"/>
  <c r="AR557" i="72"/>
  <c r="AF557" i="72"/>
  <c r="AT556" i="72"/>
  <c r="AJ556" i="72"/>
  <c r="B586" i="72"/>
  <c r="AV586" i="72" s="1"/>
  <c r="AE585" i="72"/>
  <c r="C585" i="72"/>
  <c r="F585" i="72"/>
  <c r="L585" i="72"/>
  <c r="I585" i="72"/>
  <c r="Z557" i="72"/>
  <c r="AA557" i="72"/>
  <c r="AB557" i="72"/>
  <c r="X557" i="72"/>
  <c r="AC557" i="72"/>
  <c r="S559" i="72"/>
  <c r="Y558" i="72"/>
  <c r="T558" i="72"/>
  <c r="AS558" i="72" s="1"/>
  <c r="P558" i="72"/>
  <c r="Q558" i="72"/>
  <c r="R559" i="72" s="1"/>
  <c r="U557" i="72"/>
  <c r="V557" i="72" s="1"/>
  <c r="AO556" i="82" l="1"/>
  <c r="T559" i="82"/>
  <c r="AS558" i="82"/>
  <c r="AB558" i="82"/>
  <c r="P559" i="82"/>
  <c r="U558" i="82"/>
  <c r="V558" i="82" s="1"/>
  <c r="AF558" i="82"/>
  <c r="AG558" i="82" s="1"/>
  <c r="X558" i="82"/>
  <c r="Z558" i="82"/>
  <c r="AR558" i="82"/>
  <c r="AA558" i="82"/>
  <c r="Q559" i="82"/>
  <c r="R560" i="82" s="1"/>
  <c r="AC558" i="82"/>
  <c r="Y559" i="82"/>
  <c r="S560" i="82"/>
  <c r="AJ557" i="82"/>
  <c r="AK557" i="82" s="1"/>
  <c r="AW557" i="82"/>
  <c r="AN557" i="82"/>
  <c r="AT557" i="82"/>
  <c r="AO557" i="82"/>
  <c r="AX557" i="82"/>
  <c r="F728" i="82"/>
  <c r="G728" i="82" s="1"/>
  <c r="BB728" i="82"/>
  <c r="BC728" i="82" s="1"/>
  <c r="E617" i="82"/>
  <c r="AI618" i="82"/>
  <c r="AM618" i="82"/>
  <c r="F618" i="82"/>
  <c r="B619" i="82"/>
  <c r="AV618" i="82"/>
  <c r="AQ618" i="82"/>
  <c r="C618" i="82"/>
  <c r="L618" i="82"/>
  <c r="AE618" i="82"/>
  <c r="I618" i="82"/>
  <c r="K728" i="82"/>
  <c r="L728" i="82" s="1"/>
  <c r="BG728" i="82"/>
  <c r="BH728" i="82" s="1"/>
  <c r="H617" i="82"/>
  <c r="BQ728" i="82"/>
  <c r="BR728" i="82" s="1"/>
  <c r="U728" i="82"/>
  <c r="V728" i="82" s="1"/>
  <c r="N617" i="82"/>
  <c r="BL728" i="82"/>
  <c r="BM728" i="82" s="1"/>
  <c r="J617" i="82"/>
  <c r="P728" i="82"/>
  <c r="Q728" i="82" s="1"/>
  <c r="AW557" i="72"/>
  <c r="AN557" i="72"/>
  <c r="J585" i="72"/>
  <c r="BL696" i="72"/>
  <c r="BM696" i="72" s="1"/>
  <c r="P696" i="72"/>
  <c r="Q696" i="72" s="1"/>
  <c r="N585" i="72"/>
  <c r="BQ696" i="72"/>
  <c r="BR696" i="72" s="1"/>
  <c r="U696" i="72"/>
  <c r="V696" i="72" s="1"/>
  <c r="H585" i="72"/>
  <c r="BG696" i="72"/>
  <c r="BH696" i="72" s="1"/>
  <c r="K696" i="72"/>
  <c r="L696" i="72" s="1"/>
  <c r="E585" i="72"/>
  <c r="BB696" i="72"/>
  <c r="BC696" i="72" s="1"/>
  <c r="F696" i="72"/>
  <c r="G696" i="72" s="1"/>
  <c r="AM586" i="72"/>
  <c r="AQ586" i="72"/>
  <c r="AI586" i="72"/>
  <c r="BF116" i="72"/>
  <c r="AY119" i="72"/>
  <c r="BI116" i="72"/>
  <c r="BJ116" i="72" s="1"/>
  <c r="BB116" i="72"/>
  <c r="BC116" i="72" s="1"/>
  <c r="BE116" i="72"/>
  <c r="AF558" i="72"/>
  <c r="AR558" i="72"/>
  <c r="AT557" i="72"/>
  <c r="AJ557" i="72"/>
  <c r="B587" i="72"/>
  <c r="AV587" i="72" s="1"/>
  <c r="AE586" i="72"/>
  <c r="I586" i="72"/>
  <c r="C586" i="72"/>
  <c r="L586" i="72"/>
  <c r="F586" i="72"/>
  <c r="S560" i="72"/>
  <c r="Y559" i="72"/>
  <c r="X558" i="72"/>
  <c r="Z558" i="72"/>
  <c r="AA558" i="72"/>
  <c r="AB558" i="72"/>
  <c r="AC558" i="72"/>
  <c r="P559" i="72"/>
  <c r="Q559" i="72"/>
  <c r="R560" i="72" s="1"/>
  <c r="U558" i="72"/>
  <c r="V558" i="72" s="1"/>
  <c r="T559" i="72"/>
  <c r="AS559" i="72" s="1"/>
  <c r="AC559" i="82" l="1"/>
  <c r="U559" i="82"/>
  <c r="V559" i="82" s="1"/>
  <c r="X559" i="82"/>
  <c r="P560" i="82"/>
  <c r="AF559" i="82"/>
  <c r="AG559" i="82" s="1"/>
  <c r="AB559" i="82"/>
  <c r="Z559" i="82"/>
  <c r="AR559" i="82"/>
  <c r="Q560" i="82"/>
  <c r="R561" i="82" s="1"/>
  <c r="AA559" i="82"/>
  <c r="AJ558" i="82"/>
  <c r="AK558" i="82" s="1"/>
  <c r="Y560" i="82"/>
  <c r="S561" i="82"/>
  <c r="T560" i="82"/>
  <c r="AS559" i="82"/>
  <c r="AW558" i="82"/>
  <c r="AX558" i="82" s="1"/>
  <c r="AN558" i="82"/>
  <c r="AO558" i="82" s="1"/>
  <c r="AT558" i="82"/>
  <c r="P729" i="82"/>
  <c r="Q729" i="82" s="1"/>
  <c r="BL729" i="82"/>
  <c r="BM729" i="82" s="1"/>
  <c r="J618" i="82"/>
  <c r="AQ619" i="82"/>
  <c r="B620" i="82"/>
  <c r="AM619" i="82"/>
  <c r="C619" i="82"/>
  <c r="AI619" i="82"/>
  <c r="F619" i="82"/>
  <c r="AV619" i="82"/>
  <c r="L619" i="82"/>
  <c r="AE619" i="82"/>
  <c r="I619" i="82"/>
  <c r="BQ729" i="82"/>
  <c r="BR729" i="82" s="1"/>
  <c r="U729" i="82"/>
  <c r="V729" i="82" s="1"/>
  <c r="N618" i="82"/>
  <c r="K729" i="82"/>
  <c r="L729" i="82" s="1"/>
  <c r="BG729" i="82"/>
  <c r="BH729" i="82" s="1"/>
  <c r="H618" i="82"/>
  <c r="BB729" i="82"/>
  <c r="BC729" i="82" s="1"/>
  <c r="F729" i="82"/>
  <c r="G729" i="82" s="1"/>
  <c r="E618" i="82"/>
  <c r="AW558" i="72"/>
  <c r="AN558" i="72"/>
  <c r="BL116" i="72"/>
  <c r="H586" i="72"/>
  <c r="BG697" i="72"/>
  <c r="BH697" i="72" s="1"/>
  <c r="K697" i="72"/>
  <c r="L697" i="72" s="1"/>
  <c r="N586" i="72"/>
  <c r="BQ697" i="72"/>
  <c r="BR697" i="72" s="1"/>
  <c r="U697" i="72"/>
  <c r="V697" i="72" s="1"/>
  <c r="E586" i="72"/>
  <c r="BB697" i="72"/>
  <c r="BC697" i="72" s="1"/>
  <c r="F697" i="72"/>
  <c r="G697" i="72" s="1"/>
  <c r="J586" i="72"/>
  <c r="P697" i="72"/>
  <c r="Q697" i="72" s="1"/>
  <c r="BL697" i="72"/>
  <c r="BM697" i="72" s="1"/>
  <c r="AM587" i="72"/>
  <c r="AQ587" i="72"/>
  <c r="AI587" i="72"/>
  <c r="BB119" i="72"/>
  <c r="BC119" i="72" s="1"/>
  <c r="BE119" i="72"/>
  <c r="BI119" i="72"/>
  <c r="BJ119" i="72" s="1"/>
  <c r="AY124" i="72"/>
  <c r="BF119" i="72"/>
  <c r="AR559" i="72"/>
  <c r="AF559" i="72"/>
  <c r="AT558" i="72"/>
  <c r="AJ558" i="72"/>
  <c r="B588" i="72"/>
  <c r="AV588" i="72" s="1"/>
  <c r="AE587" i="72"/>
  <c r="F587" i="72"/>
  <c r="C587" i="72"/>
  <c r="I587" i="72"/>
  <c r="L587" i="72"/>
  <c r="Z559" i="72"/>
  <c r="X559" i="72"/>
  <c r="AA559" i="72"/>
  <c r="AB559" i="72"/>
  <c r="AC559" i="72"/>
  <c r="S561" i="72"/>
  <c r="Y560" i="72"/>
  <c r="T560" i="72"/>
  <c r="AS560" i="72" s="1"/>
  <c r="Q560" i="72"/>
  <c r="R561" i="72" s="1"/>
  <c r="U559" i="72"/>
  <c r="V559" i="72" s="1"/>
  <c r="P560" i="72"/>
  <c r="AJ559" i="82" l="1"/>
  <c r="AK559" i="82" s="1"/>
  <c r="AF560" i="82"/>
  <c r="AG560" i="82" s="1"/>
  <c r="AR560" i="82"/>
  <c r="AA560" i="82"/>
  <c r="AB560" i="82"/>
  <c r="X560" i="82"/>
  <c r="P561" i="82"/>
  <c r="AC560" i="82"/>
  <c r="Z560" i="82"/>
  <c r="Q561" i="82"/>
  <c r="R562" i="82" s="1"/>
  <c r="U560" i="82"/>
  <c r="V560" i="82" s="1"/>
  <c r="AS560" i="82"/>
  <c r="T561" i="82"/>
  <c r="AT559" i="82"/>
  <c r="AN559" i="82"/>
  <c r="AO559" i="82" s="1"/>
  <c r="AW559" i="82"/>
  <c r="AX559" i="82" s="1"/>
  <c r="S562" i="82"/>
  <c r="Y561" i="82"/>
  <c r="U730" i="82"/>
  <c r="V730" i="82" s="1"/>
  <c r="BQ730" i="82"/>
  <c r="BR730" i="82" s="1"/>
  <c r="N619" i="82"/>
  <c r="C620" i="82"/>
  <c r="L620" i="82"/>
  <c r="AV620" i="82"/>
  <c r="AI620" i="82"/>
  <c r="I620" i="82"/>
  <c r="B621" i="82"/>
  <c r="AE620" i="82"/>
  <c r="F620" i="82"/>
  <c r="AQ620" i="82"/>
  <c r="AM620" i="82"/>
  <c r="BG730" i="82"/>
  <c r="BH730" i="82" s="1"/>
  <c r="K730" i="82"/>
  <c r="L730" i="82" s="1"/>
  <c r="H619" i="82"/>
  <c r="P730" i="82"/>
  <c r="Q730" i="82" s="1"/>
  <c r="BL730" i="82"/>
  <c r="BM730" i="82" s="1"/>
  <c r="J619" i="82"/>
  <c r="BB730" i="82"/>
  <c r="BC730" i="82" s="1"/>
  <c r="F730" i="82"/>
  <c r="G730" i="82" s="1"/>
  <c r="E619" i="82"/>
  <c r="AW559" i="72"/>
  <c r="AN559" i="72"/>
  <c r="BL119" i="72"/>
  <c r="J587" i="72"/>
  <c r="P698" i="72"/>
  <c r="Q698" i="72" s="1"/>
  <c r="BL698" i="72"/>
  <c r="BM698" i="72" s="1"/>
  <c r="E587" i="72"/>
  <c r="BB698" i="72"/>
  <c r="BC698" i="72" s="1"/>
  <c r="F698" i="72"/>
  <c r="G698" i="72" s="1"/>
  <c r="N587" i="72"/>
  <c r="BQ698" i="72"/>
  <c r="BR698" i="72" s="1"/>
  <c r="U698" i="72"/>
  <c r="V698" i="72" s="1"/>
  <c r="H587" i="72"/>
  <c r="BG698" i="72"/>
  <c r="BH698" i="72" s="1"/>
  <c r="K698" i="72"/>
  <c r="L698" i="72" s="1"/>
  <c r="AY127" i="72"/>
  <c r="BF124" i="72"/>
  <c r="BE124" i="72"/>
  <c r="BI124" i="72"/>
  <c r="BJ124" i="72" s="1"/>
  <c r="BB124" i="72"/>
  <c r="BC124" i="72" s="1"/>
  <c r="AQ588" i="72"/>
  <c r="AM588" i="72"/>
  <c r="AI588" i="72"/>
  <c r="AT559" i="72"/>
  <c r="AF560" i="72"/>
  <c r="AR560" i="72"/>
  <c r="AJ559" i="72"/>
  <c r="B589" i="72"/>
  <c r="AV589" i="72" s="1"/>
  <c r="AE588" i="72"/>
  <c r="F588" i="72"/>
  <c r="I588" i="72"/>
  <c r="C588" i="72"/>
  <c r="L588" i="72"/>
  <c r="Z560" i="72"/>
  <c r="AA560" i="72"/>
  <c r="X560" i="72"/>
  <c r="AB560" i="72"/>
  <c r="AC560" i="72"/>
  <c r="S562" i="72"/>
  <c r="Y561" i="72"/>
  <c r="U560" i="72"/>
  <c r="V560" i="72" s="1"/>
  <c r="Q561" i="72"/>
  <c r="R562" i="72" s="1"/>
  <c r="P561" i="72"/>
  <c r="T561" i="72"/>
  <c r="AS561" i="72" s="1"/>
  <c r="AJ560" i="82" l="1"/>
  <c r="AK560" i="82" s="1"/>
  <c r="AF561" i="82"/>
  <c r="AG561" i="82" s="1"/>
  <c r="AA561" i="82"/>
  <c r="AC561" i="82"/>
  <c r="AR561" i="82"/>
  <c r="X561" i="82"/>
  <c r="Q562" i="82"/>
  <c r="R563" i="82" s="1"/>
  <c r="Z561" i="82"/>
  <c r="U561" i="82"/>
  <c r="V561" i="82" s="1"/>
  <c r="P562" i="82"/>
  <c r="AB561" i="82"/>
  <c r="S563" i="82"/>
  <c r="Y562" i="82"/>
  <c r="AW560" i="82"/>
  <c r="AX560" i="82" s="1"/>
  <c r="AT560" i="82"/>
  <c r="AN560" i="82"/>
  <c r="AO560" i="82" s="1"/>
  <c r="T562" i="82"/>
  <c r="AS561" i="82"/>
  <c r="AV621" i="82"/>
  <c r="I621" i="82"/>
  <c r="AM621" i="82"/>
  <c r="F621" i="82"/>
  <c r="AI621" i="82"/>
  <c r="AE621" i="82"/>
  <c r="B622" i="82"/>
  <c r="C621" i="82"/>
  <c r="AQ621" i="82"/>
  <c r="L621" i="82"/>
  <c r="F731" i="82"/>
  <c r="G731" i="82" s="1"/>
  <c r="BB731" i="82"/>
  <c r="BC731" i="82" s="1"/>
  <c r="E620" i="82"/>
  <c r="P731" i="82"/>
  <c r="Q731" i="82" s="1"/>
  <c r="BL731" i="82"/>
  <c r="BM731" i="82" s="1"/>
  <c r="J620" i="82"/>
  <c r="K731" i="82"/>
  <c r="L731" i="82" s="1"/>
  <c r="BG731" i="82"/>
  <c r="BH731" i="82" s="1"/>
  <c r="H620" i="82"/>
  <c r="U731" i="82"/>
  <c r="V731" i="82" s="1"/>
  <c r="BQ731" i="82"/>
  <c r="BR731" i="82" s="1"/>
  <c r="N620" i="82"/>
  <c r="AW560" i="72"/>
  <c r="AN560" i="72"/>
  <c r="BL124" i="72"/>
  <c r="H588" i="72"/>
  <c r="BG699" i="72"/>
  <c r="BH699" i="72" s="1"/>
  <c r="K699" i="72"/>
  <c r="L699" i="72" s="1"/>
  <c r="N588" i="72"/>
  <c r="U699" i="72"/>
  <c r="V699" i="72" s="1"/>
  <c r="BQ699" i="72"/>
  <c r="BR699" i="72" s="1"/>
  <c r="E588" i="72"/>
  <c r="BB699" i="72"/>
  <c r="BC699" i="72" s="1"/>
  <c r="F699" i="72"/>
  <c r="G699" i="72" s="1"/>
  <c r="J588" i="72"/>
  <c r="P699" i="72"/>
  <c r="Q699" i="72" s="1"/>
  <c r="BL699" i="72"/>
  <c r="BM699" i="72" s="1"/>
  <c r="AQ589" i="72"/>
  <c r="AM589" i="72"/>
  <c r="AI589" i="72"/>
  <c r="BI127" i="72"/>
  <c r="BJ127" i="72" s="1"/>
  <c r="AY132" i="72"/>
  <c r="BF127" i="72"/>
  <c r="BB127" i="72"/>
  <c r="BC127" i="72" s="1"/>
  <c r="BE127" i="72"/>
  <c r="AT560" i="72"/>
  <c r="AJ560" i="72"/>
  <c r="AF561" i="72"/>
  <c r="AR561" i="72"/>
  <c r="B590" i="72"/>
  <c r="AV590" i="72" s="1"/>
  <c r="AE589" i="72"/>
  <c r="I589" i="72"/>
  <c r="F589" i="72"/>
  <c r="L589" i="72"/>
  <c r="C589" i="72"/>
  <c r="Z561" i="72"/>
  <c r="AA561" i="72"/>
  <c r="AB561" i="72"/>
  <c r="AC561" i="72"/>
  <c r="X561" i="72"/>
  <c r="S563" i="72"/>
  <c r="Y562" i="72"/>
  <c r="T562" i="72"/>
  <c r="AS562" i="72" s="1"/>
  <c r="Q562" i="72"/>
  <c r="R563" i="72" s="1"/>
  <c r="U561" i="72"/>
  <c r="V561" i="72" s="1"/>
  <c r="P562" i="72"/>
  <c r="AA562" i="82" l="1"/>
  <c r="Q563" i="82"/>
  <c r="R564" i="82" s="1"/>
  <c r="U562" i="82"/>
  <c r="V562" i="82" s="1"/>
  <c r="P563" i="82"/>
  <c r="AF562" i="82"/>
  <c r="AG562" i="82" s="1"/>
  <c r="AC562" i="82"/>
  <c r="AR562" i="82"/>
  <c r="X562" i="82"/>
  <c r="Z562" i="82"/>
  <c r="AB562" i="82"/>
  <c r="S564" i="82"/>
  <c r="Y563" i="82"/>
  <c r="AJ561" i="82"/>
  <c r="AK561" i="82" s="1"/>
  <c r="T563" i="82"/>
  <c r="AS562" i="82"/>
  <c r="AN561" i="82"/>
  <c r="AO561" i="82" s="1"/>
  <c r="AT561" i="82"/>
  <c r="AW561" i="82"/>
  <c r="AX561" i="82" s="1"/>
  <c r="U732" i="82"/>
  <c r="V732" i="82" s="1"/>
  <c r="BQ732" i="82"/>
  <c r="BR732" i="82" s="1"/>
  <c r="N621" i="82"/>
  <c r="K732" i="82"/>
  <c r="L732" i="82" s="1"/>
  <c r="BG732" i="82"/>
  <c r="BH732" i="82" s="1"/>
  <c r="H621" i="82"/>
  <c r="F732" i="82"/>
  <c r="G732" i="82" s="1"/>
  <c r="BB732" i="82"/>
  <c r="BC732" i="82" s="1"/>
  <c r="E621" i="82"/>
  <c r="BL732" i="82"/>
  <c r="BM732" i="82" s="1"/>
  <c r="P732" i="82"/>
  <c r="Q732" i="82" s="1"/>
  <c r="J621" i="82"/>
  <c r="AI622" i="82"/>
  <c r="I622" i="82"/>
  <c r="AV622" i="82"/>
  <c r="AM622" i="82"/>
  <c r="C622" i="82"/>
  <c r="L622" i="82"/>
  <c r="B623" i="82"/>
  <c r="AQ622" i="82"/>
  <c r="F622" i="82"/>
  <c r="AE622" i="82"/>
  <c r="AN561" i="72"/>
  <c r="AW561" i="72"/>
  <c r="BL127" i="72"/>
  <c r="J589" i="72"/>
  <c r="BL700" i="72"/>
  <c r="BM700" i="72" s="1"/>
  <c r="P700" i="72"/>
  <c r="Q700" i="72" s="1"/>
  <c r="E589" i="72"/>
  <c r="F700" i="72"/>
  <c r="G700" i="72" s="1"/>
  <c r="BB700" i="72"/>
  <c r="BC700" i="72" s="1"/>
  <c r="N589" i="72"/>
  <c r="U700" i="72"/>
  <c r="V700" i="72" s="1"/>
  <c r="BQ700" i="72"/>
  <c r="BR700" i="72" s="1"/>
  <c r="H589" i="72"/>
  <c r="BG700" i="72"/>
  <c r="BH700" i="72" s="1"/>
  <c r="K700" i="72"/>
  <c r="L700" i="72" s="1"/>
  <c r="AQ590" i="72"/>
  <c r="AM590" i="72"/>
  <c r="AI590" i="72"/>
  <c r="BB132" i="72"/>
  <c r="BC132" i="72" s="1"/>
  <c r="BE132" i="72"/>
  <c r="BF132" i="72"/>
  <c r="BI132" i="72"/>
  <c r="BJ132" i="72" s="1"/>
  <c r="AY135" i="72"/>
  <c r="AJ561" i="72"/>
  <c r="AF562" i="72"/>
  <c r="AR562" i="72"/>
  <c r="AT561" i="72"/>
  <c r="B591" i="72"/>
  <c r="AV591" i="72" s="1"/>
  <c r="AE590" i="72"/>
  <c r="L590" i="72"/>
  <c r="I590" i="72"/>
  <c r="C590" i="72"/>
  <c r="F590" i="72"/>
  <c r="X562" i="72"/>
  <c r="Z562" i="72"/>
  <c r="AA562" i="72"/>
  <c r="AB562" i="72"/>
  <c r="AC562" i="72"/>
  <c r="S564" i="72"/>
  <c r="Y563" i="72"/>
  <c r="T563" i="72"/>
  <c r="AS563" i="72" s="1"/>
  <c r="U562" i="72"/>
  <c r="V562" i="72" s="1"/>
  <c r="Q563" i="72"/>
  <c r="R564" i="72" s="1"/>
  <c r="P563" i="72"/>
  <c r="S565" i="82" l="1"/>
  <c r="Y564" i="82"/>
  <c r="AT562" i="82"/>
  <c r="AN562" i="82"/>
  <c r="AO562" i="82" s="1"/>
  <c r="AW562" i="82"/>
  <c r="AX562" i="82" s="1"/>
  <c r="AS563" i="82"/>
  <c r="T564" i="82"/>
  <c r="AA563" i="82"/>
  <c r="AR563" i="82"/>
  <c r="AB563" i="82"/>
  <c r="X563" i="82"/>
  <c r="AC563" i="82"/>
  <c r="U563" i="82"/>
  <c r="V563" i="82" s="1"/>
  <c r="Q564" i="82"/>
  <c r="R565" i="82" s="1"/>
  <c r="P564" i="82"/>
  <c r="Z563" i="82"/>
  <c r="AF563" i="82"/>
  <c r="AG563" i="82" s="1"/>
  <c r="AJ562" i="82"/>
  <c r="AK562" i="82" s="1"/>
  <c r="AQ623" i="82"/>
  <c r="L623" i="82"/>
  <c r="C623" i="82"/>
  <c r="AE623" i="82"/>
  <c r="I623" i="82"/>
  <c r="B624" i="82"/>
  <c r="F623" i="82"/>
  <c r="AM623" i="82"/>
  <c r="AI623" i="82"/>
  <c r="AV623" i="82"/>
  <c r="BL733" i="82"/>
  <c r="BM733" i="82" s="1"/>
  <c r="P733" i="82"/>
  <c r="Q733" i="82" s="1"/>
  <c r="J622" i="82"/>
  <c r="BQ733" i="82"/>
  <c r="BR733" i="82" s="1"/>
  <c r="U733" i="82"/>
  <c r="V733" i="82" s="1"/>
  <c r="N622" i="82"/>
  <c r="F733" i="82"/>
  <c r="G733" i="82" s="1"/>
  <c r="BB733" i="82"/>
  <c r="BC733" i="82" s="1"/>
  <c r="E622" i="82"/>
  <c r="K733" i="82"/>
  <c r="L733" i="82" s="1"/>
  <c r="BG733" i="82"/>
  <c r="BH733" i="82" s="1"/>
  <c r="H622" i="82"/>
  <c r="AN562" i="72"/>
  <c r="AW562" i="72"/>
  <c r="BL132" i="72"/>
  <c r="N590" i="72"/>
  <c r="BQ701" i="72"/>
  <c r="BR701" i="72" s="1"/>
  <c r="U701" i="72"/>
  <c r="V701" i="72" s="1"/>
  <c r="H590" i="72"/>
  <c r="BG701" i="72"/>
  <c r="BH701" i="72" s="1"/>
  <c r="K701" i="72"/>
  <c r="L701" i="72" s="1"/>
  <c r="E590" i="72"/>
  <c r="F701" i="72"/>
  <c r="G701" i="72" s="1"/>
  <c r="BB701" i="72"/>
  <c r="BC701" i="72" s="1"/>
  <c r="J590" i="72"/>
  <c r="BL701" i="72"/>
  <c r="BM701" i="72" s="1"/>
  <c r="P701" i="72"/>
  <c r="Q701" i="72" s="1"/>
  <c r="AY140" i="72"/>
  <c r="BB135" i="72"/>
  <c r="BC135" i="72" s="1"/>
  <c r="BI135" i="72"/>
  <c r="BJ135" i="72" s="1"/>
  <c r="BE135" i="72"/>
  <c r="BF135" i="72"/>
  <c r="AM591" i="72"/>
  <c r="AQ591" i="72"/>
  <c r="AI591" i="72"/>
  <c r="AJ562" i="72"/>
  <c r="AT562" i="72"/>
  <c r="AR563" i="72"/>
  <c r="AF563" i="72"/>
  <c r="B592" i="72"/>
  <c r="AV592" i="72" s="1"/>
  <c r="AE591" i="72"/>
  <c r="F591" i="72"/>
  <c r="L591" i="72"/>
  <c r="C591" i="72"/>
  <c r="I591" i="72"/>
  <c r="Z563" i="72"/>
  <c r="X563" i="72"/>
  <c r="AA563" i="72"/>
  <c r="AB563" i="72"/>
  <c r="AC563" i="72"/>
  <c r="S565" i="72"/>
  <c r="Y564" i="72"/>
  <c r="U563" i="72"/>
  <c r="V563" i="72" s="1"/>
  <c r="Q564" i="72"/>
  <c r="R565" i="72" s="1"/>
  <c r="P564" i="72"/>
  <c r="T564" i="72"/>
  <c r="AS564" i="72" s="1"/>
  <c r="AJ563" i="82" l="1"/>
  <c r="AK563" i="82" s="1"/>
  <c r="S566" i="82"/>
  <c r="Y565" i="82"/>
  <c r="T565" i="82"/>
  <c r="AS564" i="82"/>
  <c r="AW563" i="82"/>
  <c r="AX563" i="82" s="1"/>
  <c r="AN563" i="82"/>
  <c r="AO563" i="82" s="1"/>
  <c r="AT563" i="82"/>
  <c r="AF564" i="82"/>
  <c r="AG564" i="82" s="1"/>
  <c r="Q565" i="82"/>
  <c r="R566" i="82" s="1"/>
  <c r="AR564" i="82"/>
  <c r="X564" i="82"/>
  <c r="P565" i="82"/>
  <c r="AA564" i="82"/>
  <c r="Z564" i="82"/>
  <c r="AC564" i="82"/>
  <c r="AB564" i="82"/>
  <c r="U564" i="82"/>
  <c r="V564" i="82" s="1"/>
  <c r="BQ734" i="82"/>
  <c r="BR734" i="82" s="1"/>
  <c r="U734" i="82"/>
  <c r="V734" i="82" s="1"/>
  <c r="N623" i="82"/>
  <c r="C624" i="82"/>
  <c r="AV624" i="82"/>
  <c r="F624" i="82"/>
  <c r="AE624" i="82"/>
  <c r="AQ624" i="82"/>
  <c r="B625" i="82"/>
  <c r="L624" i="82"/>
  <c r="I624" i="82"/>
  <c r="AI624" i="82"/>
  <c r="AM624" i="82"/>
  <c r="BL734" i="82"/>
  <c r="BM734" i="82" s="1"/>
  <c r="P734" i="82"/>
  <c r="Q734" i="82" s="1"/>
  <c r="J623" i="82"/>
  <c r="BG734" i="82"/>
  <c r="BH734" i="82" s="1"/>
  <c r="K734" i="82"/>
  <c r="L734" i="82" s="1"/>
  <c r="H623" i="82"/>
  <c r="F734" i="82"/>
  <c r="G734" i="82" s="1"/>
  <c r="BB734" i="82"/>
  <c r="BC734" i="82" s="1"/>
  <c r="E623" i="82"/>
  <c r="AN563" i="72"/>
  <c r="AW563" i="72"/>
  <c r="BL135" i="72"/>
  <c r="J591" i="72"/>
  <c r="BL702" i="72"/>
  <c r="BM702" i="72" s="1"/>
  <c r="P702" i="72"/>
  <c r="Q702" i="72" s="1"/>
  <c r="H591" i="72"/>
  <c r="BG702" i="72"/>
  <c r="BH702" i="72" s="1"/>
  <c r="K702" i="72"/>
  <c r="L702" i="72" s="1"/>
  <c r="E591" i="72"/>
  <c r="F702" i="72"/>
  <c r="G702" i="72" s="1"/>
  <c r="BB702" i="72"/>
  <c r="BC702" i="72" s="1"/>
  <c r="N591" i="72"/>
  <c r="U702" i="72"/>
  <c r="V702" i="72" s="1"/>
  <c r="BQ702" i="72"/>
  <c r="BR702" i="72" s="1"/>
  <c r="AM592" i="72"/>
  <c r="AQ592" i="72"/>
  <c r="AI592" i="72"/>
  <c r="BF140" i="72"/>
  <c r="BI140" i="72"/>
  <c r="BJ140" i="72" s="1"/>
  <c r="BE140" i="72"/>
  <c r="AY143" i="72"/>
  <c r="BB140" i="72"/>
  <c r="BC140" i="72" s="1"/>
  <c r="AF564" i="72"/>
  <c r="AR564" i="72"/>
  <c r="AJ563" i="72"/>
  <c r="AT563" i="72"/>
  <c r="B593" i="72"/>
  <c r="AV593" i="72" s="1"/>
  <c r="AE592" i="72"/>
  <c r="I592" i="72"/>
  <c r="L592" i="72"/>
  <c r="F592" i="72"/>
  <c r="C592" i="72"/>
  <c r="Z564" i="72"/>
  <c r="AA564" i="72"/>
  <c r="X564" i="72"/>
  <c r="AB564" i="72"/>
  <c r="AC564" i="72"/>
  <c r="S566" i="72"/>
  <c r="Y565" i="72"/>
  <c r="T565" i="72"/>
  <c r="AS565" i="72" s="1"/>
  <c r="P565" i="72"/>
  <c r="Q565" i="72"/>
  <c r="R566" i="72" s="1"/>
  <c r="U564" i="72"/>
  <c r="V564" i="72" s="1"/>
  <c r="AJ564" i="82" l="1"/>
  <c r="AK564" i="82" s="1"/>
  <c r="AN564" i="82"/>
  <c r="AO564" i="82" s="1"/>
  <c r="AT564" i="82"/>
  <c r="AW564" i="82"/>
  <c r="AX564" i="82" s="1"/>
  <c r="AF565" i="82"/>
  <c r="AG565" i="82" s="1"/>
  <c r="P566" i="82"/>
  <c r="AB565" i="82"/>
  <c r="AR565" i="82"/>
  <c r="AC565" i="82"/>
  <c r="Q566" i="82"/>
  <c r="R567" i="82" s="1"/>
  <c r="U565" i="82"/>
  <c r="V565" i="82" s="1"/>
  <c r="Z565" i="82"/>
  <c r="X565" i="82"/>
  <c r="AA565" i="82"/>
  <c r="AS565" i="82"/>
  <c r="T566" i="82"/>
  <c r="S567" i="82"/>
  <c r="Y566" i="82"/>
  <c r="K735" i="82"/>
  <c r="L735" i="82" s="1"/>
  <c r="BG735" i="82"/>
  <c r="BH735" i="82" s="1"/>
  <c r="H624" i="82"/>
  <c r="P735" i="82"/>
  <c r="Q735" i="82" s="1"/>
  <c r="BL735" i="82"/>
  <c r="BM735" i="82" s="1"/>
  <c r="J624" i="82"/>
  <c r="U735" i="82"/>
  <c r="V735" i="82" s="1"/>
  <c r="BQ735" i="82"/>
  <c r="BR735" i="82" s="1"/>
  <c r="N624" i="82"/>
  <c r="AV625" i="82"/>
  <c r="I625" i="82"/>
  <c r="AE625" i="82"/>
  <c r="F625" i="82"/>
  <c r="AQ625" i="82"/>
  <c r="AI625" i="82"/>
  <c r="C625" i="82"/>
  <c r="L625" i="82"/>
  <c r="AM625" i="82"/>
  <c r="B626" i="82"/>
  <c r="BB735" i="82"/>
  <c r="BC735" i="82" s="1"/>
  <c r="F735" i="82"/>
  <c r="G735" i="82" s="1"/>
  <c r="E624" i="82"/>
  <c r="AW564" i="72"/>
  <c r="AN564" i="72"/>
  <c r="BL140" i="72"/>
  <c r="E592" i="72"/>
  <c r="BB703" i="72"/>
  <c r="BC703" i="72" s="1"/>
  <c r="F703" i="72"/>
  <c r="G703" i="72" s="1"/>
  <c r="H592" i="72"/>
  <c r="BG703" i="72"/>
  <c r="BH703" i="72" s="1"/>
  <c r="K703" i="72"/>
  <c r="L703" i="72" s="1"/>
  <c r="J592" i="72"/>
  <c r="P703" i="72"/>
  <c r="Q703" i="72" s="1"/>
  <c r="BL703" i="72"/>
  <c r="BM703" i="72" s="1"/>
  <c r="N592" i="72"/>
  <c r="U703" i="72"/>
  <c r="V703" i="72" s="1"/>
  <c r="BQ703" i="72"/>
  <c r="BR703" i="72" s="1"/>
  <c r="AM593" i="72"/>
  <c r="AQ593" i="72"/>
  <c r="AI593" i="72"/>
  <c r="AY148" i="72"/>
  <c r="BI143" i="72"/>
  <c r="BJ143" i="72" s="1"/>
  <c r="BB143" i="72"/>
  <c r="BC143" i="72" s="1"/>
  <c r="BF143" i="72"/>
  <c r="BE143" i="72"/>
  <c r="AJ564" i="72"/>
  <c r="AR565" i="72"/>
  <c r="AF565" i="72"/>
  <c r="AT564" i="72"/>
  <c r="B594" i="72"/>
  <c r="AV594" i="72" s="1"/>
  <c r="AE593" i="72"/>
  <c r="L593" i="72"/>
  <c r="I593" i="72"/>
  <c r="C593" i="72"/>
  <c r="F593" i="72"/>
  <c r="S567" i="72"/>
  <c r="Y566" i="72"/>
  <c r="Z565" i="72"/>
  <c r="AA565" i="72"/>
  <c r="AB565" i="72"/>
  <c r="X565" i="72"/>
  <c r="AC565" i="72"/>
  <c r="T566" i="72"/>
  <c r="AS566" i="72" s="1"/>
  <c r="P566" i="72"/>
  <c r="Q566" i="72"/>
  <c r="R567" i="72" s="1"/>
  <c r="U565" i="72"/>
  <c r="V565" i="72" s="1"/>
  <c r="AJ565" i="82" l="1"/>
  <c r="AK565" i="82" s="1"/>
  <c r="T567" i="82"/>
  <c r="AS566" i="82"/>
  <c r="P567" i="82"/>
  <c r="X566" i="82"/>
  <c r="AF566" i="82"/>
  <c r="AG566" i="82" s="1"/>
  <c r="AR566" i="82"/>
  <c r="AC566" i="82"/>
  <c r="AA566" i="82"/>
  <c r="U566" i="82"/>
  <c r="V566" i="82" s="1"/>
  <c r="Z566" i="82"/>
  <c r="Q567" i="82"/>
  <c r="R568" i="82" s="1"/>
  <c r="AB566" i="82"/>
  <c r="AW565" i="82"/>
  <c r="AX565" i="82" s="1"/>
  <c r="AN565" i="82"/>
  <c r="AO565" i="82" s="1"/>
  <c r="AT565" i="82"/>
  <c r="S568" i="82"/>
  <c r="Y567" i="82"/>
  <c r="BQ736" i="82"/>
  <c r="BR736" i="82" s="1"/>
  <c r="U736" i="82"/>
  <c r="V736" i="82" s="1"/>
  <c r="N625" i="82"/>
  <c r="BB736" i="82"/>
  <c r="BC736" i="82" s="1"/>
  <c r="F736" i="82"/>
  <c r="G736" i="82" s="1"/>
  <c r="E625" i="82"/>
  <c r="BL736" i="82"/>
  <c r="BM736" i="82" s="1"/>
  <c r="P736" i="82"/>
  <c r="Q736" i="82" s="1"/>
  <c r="J625" i="82"/>
  <c r="AI626" i="82"/>
  <c r="C626" i="82"/>
  <c r="F626" i="82"/>
  <c r="B627" i="82"/>
  <c r="AM626" i="82"/>
  <c r="AQ626" i="82"/>
  <c r="AV626" i="82"/>
  <c r="L626" i="82"/>
  <c r="AE626" i="82"/>
  <c r="I626" i="82"/>
  <c r="BG736" i="82"/>
  <c r="BH736" i="82" s="1"/>
  <c r="K736" i="82"/>
  <c r="L736" i="82" s="1"/>
  <c r="H625" i="82"/>
  <c r="AW565" i="72"/>
  <c r="AN565" i="72"/>
  <c r="BL143" i="72"/>
  <c r="N593" i="72"/>
  <c r="BQ704" i="72"/>
  <c r="BR704" i="72" s="1"/>
  <c r="U704" i="72"/>
  <c r="V704" i="72" s="1"/>
  <c r="H593" i="72"/>
  <c r="K704" i="72"/>
  <c r="L704" i="72" s="1"/>
  <c r="BG704" i="72"/>
  <c r="BH704" i="72" s="1"/>
  <c r="E593" i="72"/>
  <c r="BB704" i="72"/>
  <c r="BC704" i="72" s="1"/>
  <c r="F704" i="72"/>
  <c r="G704" i="72" s="1"/>
  <c r="J593" i="72"/>
  <c r="P704" i="72"/>
  <c r="Q704" i="72" s="1"/>
  <c r="BL704" i="72"/>
  <c r="BM704" i="72" s="1"/>
  <c r="BE148" i="72"/>
  <c r="AY151" i="72"/>
  <c r="BB148" i="72"/>
  <c r="BC148" i="72" s="1"/>
  <c r="BI148" i="72"/>
  <c r="BJ148" i="72" s="1"/>
  <c r="BF148" i="72"/>
  <c r="AM594" i="72"/>
  <c r="AQ594" i="72"/>
  <c r="AI594" i="72"/>
  <c r="AJ565" i="72"/>
  <c r="AT565" i="72"/>
  <c r="AF566" i="72"/>
  <c r="AR566" i="72"/>
  <c r="B595" i="72"/>
  <c r="AV595" i="72" s="1"/>
  <c r="AE594" i="72"/>
  <c r="I594" i="72"/>
  <c r="L594" i="72"/>
  <c r="F594" i="72"/>
  <c r="C594" i="72"/>
  <c r="S568" i="72"/>
  <c r="Y567" i="72"/>
  <c r="X566" i="72"/>
  <c r="Z566" i="72"/>
  <c r="AA566" i="72"/>
  <c r="AB566" i="72"/>
  <c r="AC566" i="72"/>
  <c r="T567" i="72"/>
  <c r="AS567" i="72" s="1"/>
  <c r="P567" i="72"/>
  <c r="Q567" i="72"/>
  <c r="R568" i="72" s="1"/>
  <c r="U566" i="72"/>
  <c r="V566" i="72" s="1"/>
  <c r="AJ566" i="82" l="1"/>
  <c r="AK566" i="82" s="1"/>
  <c r="S569" i="82"/>
  <c r="Y568" i="82"/>
  <c r="AR567" i="82"/>
  <c r="X567" i="82"/>
  <c r="Q568" i="82"/>
  <c r="R569" i="82" s="1"/>
  <c r="AA567" i="82"/>
  <c r="Z567" i="82"/>
  <c r="AC567" i="82"/>
  <c r="AB567" i="82"/>
  <c r="P568" i="82"/>
  <c r="AF567" i="82"/>
  <c r="AG567" i="82" s="1"/>
  <c r="U567" i="82"/>
  <c r="V567" i="82" s="1"/>
  <c r="AN566" i="82"/>
  <c r="AO566" i="82" s="1"/>
  <c r="AT566" i="82"/>
  <c r="AW566" i="82"/>
  <c r="AX566" i="82" s="1"/>
  <c r="T568" i="82"/>
  <c r="AS567" i="82"/>
  <c r="BG737" i="82"/>
  <c r="BH737" i="82" s="1"/>
  <c r="K737" i="82"/>
  <c r="L737" i="82" s="1"/>
  <c r="H626" i="82"/>
  <c r="F737" i="82"/>
  <c r="G737" i="82" s="1"/>
  <c r="BB737" i="82"/>
  <c r="BC737" i="82" s="1"/>
  <c r="E626" i="82"/>
  <c r="P737" i="82"/>
  <c r="Q737" i="82" s="1"/>
  <c r="BL737" i="82"/>
  <c r="BM737" i="82" s="1"/>
  <c r="J626" i="82"/>
  <c r="U737" i="82"/>
  <c r="V737" i="82" s="1"/>
  <c r="BQ737" i="82"/>
  <c r="BR737" i="82" s="1"/>
  <c r="N626" i="82"/>
  <c r="AQ627" i="82"/>
  <c r="AV627" i="82"/>
  <c r="F627" i="82"/>
  <c r="B628" i="82"/>
  <c r="AM627" i="82"/>
  <c r="C627" i="82"/>
  <c r="L627" i="82"/>
  <c r="I627" i="82"/>
  <c r="AI627" i="82"/>
  <c r="AE627" i="82"/>
  <c r="AW566" i="72"/>
  <c r="AN566" i="72"/>
  <c r="BL148" i="72"/>
  <c r="J594" i="72"/>
  <c r="P705" i="72"/>
  <c r="Q705" i="72" s="1"/>
  <c r="BL705" i="72"/>
  <c r="BM705" i="72" s="1"/>
  <c r="E594" i="72"/>
  <c r="F705" i="72"/>
  <c r="G705" i="72" s="1"/>
  <c r="BB705" i="72"/>
  <c r="BC705" i="72" s="1"/>
  <c r="H594" i="72"/>
  <c r="BG705" i="72"/>
  <c r="BH705" i="72" s="1"/>
  <c r="K705" i="72"/>
  <c r="L705" i="72" s="1"/>
  <c r="N594" i="72"/>
  <c r="BQ705" i="72"/>
  <c r="BR705" i="72" s="1"/>
  <c r="U705" i="72"/>
  <c r="V705" i="72" s="1"/>
  <c r="AM595" i="72"/>
  <c r="AQ595" i="72"/>
  <c r="AI595" i="72"/>
  <c r="BB151" i="72"/>
  <c r="BC151" i="72" s="1"/>
  <c r="BE151" i="72"/>
  <c r="AY156" i="72"/>
  <c r="BF151" i="72"/>
  <c r="AT566" i="72"/>
  <c r="AJ566" i="72"/>
  <c r="AR567" i="72"/>
  <c r="AF567" i="72"/>
  <c r="B596" i="72"/>
  <c r="AV596" i="72" s="1"/>
  <c r="AE595" i="72"/>
  <c r="F595" i="72"/>
  <c r="C595" i="72"/>
  <c r="L595" i="72"/>
  <c r="I595" i="72"/>
  <c r="S569" i="72"/>
  <c r="Y568" i="72"/>
  <c r="Z567" i="72"/>
  <c r="X567" i="72"/>
  <c r="AA567" i="72"/>
  <c r="AB567" i="72"/>
  <c r="AC567" i="72"/>
  <c r="Q568" i="72"/>
  <c r="R569" i="72" s="1"/>
  <c r="U567" i="72"/>
  <c r="V567" i="72" s="1"/>
  <c r="P568" i="72"/>
  <c r="T568" i="72"/>
  <c r="AS568" i="72" s="1"/>
  <c r="AF568" i="82" l="1"/>
  <c r="AG568" i="82" s="1"/>
  <c r="P569" i="82"/>
  <c r="AR568" i="82"/>
  <c r="Q569" i="82"/>
  <c r="R570" i="82" s="1"/>
  <c r="AB568" i="82"/>
  <c r="X568" i="82"/>
  <c r="AC568" i="82"/>
  <c r="AA568" i="82"/>
  <c r="U568" i="82"/>
  <c r="V568" i="82" s="1"/>
  <c r="Z568" i="82"/>
  <c r="S570" i="82"/>
  <c r="Y569" i="82"/>
  <c r="AJ567" i="82"/>
  <c r="AK567" i="82" s="1"/>
  <c r="AS568" i="82"/>
  <c r="T569" i="82"/>
  <c r="AN567" i="82"/>
  <c r="AO567" i="82" s="1"/>
  <c r="AT567" i="82"/>
  <c r="AW567" i="82"/>
  <c r="AX567" i="82" s="1"/>
  <c r="F738" i="82"/>
  <c r="G738" i="82" s="1"/>
  <c r="BB738" i="82"/>
  <c r="BC738" i="82" s="1"/>
  <c r="E627" i="82"/>
  <c r="C628" i="82"/>
  <c r="B629" i="82"/>
  <c r="AM628" i="82"/>
  <c r="L628" i="82"/>
  <c r="AV628" i="82"/>
  <c r="AI628" i="82"/>
  <c r="F628" i="82"/>
  <c r="AQ628" i="82"/>
  <c r="I628" i="82"/>
  <c r="AE628" i="82"/>
  <c r="K738" i="82"/>
  <c r="L738" i="82" s="1"/>
  <c r="BG738" i="82"/>
  <c r="BH738" i="82" s="1"/>
  <c r="H627" i="82"/>
  <c r="BL738" i="82"/>
  <c r="BM738" i="82" s="1"/>
  <c r="P738" i="82"/>
  <c r="Q738" i="82" s="1"/>
  <c r="J627" i="82"/>
  <c r="U738" i="82"/>
  <c r="V738" i="82" s="1"/>
  <c r="BQ738" i="82"/>
  <c r="BR738" i="82" s="1"/>
  <c r="N627" i="82"/>
  <c r="AW567" i="72"/>
  <c r="AN567" i="72"/>
  <c r="H595" i="72"/>
  <c r="BG706" i="72"/>
  <c r="BH706" i="72" s="1"/>
  <c r="K706" i="72"/>
  <c r="L706" i="72" s="1"/>
  <c r="J595" i="72"/>
  <c r="BL706" i="72"/>
  <c r="BM706" i="72" s="1"/>
  <c r="P706" i="72"/>
  <c r="Q706" i="72" s="1"/>
  <c r="N595" i="72"/>
  <c r="BQ706" i="72"/>
  <c r="BR706" i="72" s="1"/>
  <c r="U706" i="72"/>
  <c r="V706" i="72" s="1"/>
  <c r="E595" i="72"/>
  <c r="BB706" i="72"/>
  <c r="BC706" i="72" s="1"/>
  <c r="F706" i="72"/>
  <c r="G706" i="72" s="1"/>
  <c r="BB156" i="72"/>
  <c r="BC156" i="72" s="1"/>
  <c r="BF156" i="72"/>
  <c r="AY159" i="72"/>
  <c r="BE156" i="72"/>
  <c r="BI156" i="72"/>
  <c r="BJ156" i="72" s="1"/>
  <c r="AQ596" i="72"/>
  <c r="AM596" i="72"/>
  <c r="AI596" i="72"/>
  <c r="AJ567" i="72"/>
  <c r="AT567" i="72"/>
  <c r="AF568" i="72"/>
  <c r="AR568" i="72"/>
  <c r="B597" i="72"/>
  <c r="AV597" i="72" s="1"/>
  <c r="AE596" i="72"/>
  <c r="C596" i="72"/>
  <c r="F596" i="72"/>
  <c r="L596" i="72"/>
  <c r="I596" i="72"/>
  <c r="S570" i="72"/>
  <c r="Y569" i="72"/>
  <c r="Z568" i="72"/>
  <c r="AA568" i="72"/>
  <c r="AB568" i="72"/>
  <c r="AC568" i="72"/>
  <c r="X568" i="72"/>
  <c r="T569" i="72"/>
  <c r="AS569" i="72" s="1"/>
  <c r="P569" i="72"/>
  <c r="U568" i="72"/>
  <c r="V568" i="72" s="1"/>
  <c r="Q569" i="72"/>
  <c r="R570" i="72" s="1"/>
  <c r="Y570" i="82" l="1"/>
  <c r="S571" i="82"/>
  <c r="P570" i="82"/>
  <c r="AB569" i="82"/>
  <c r="X569" i="82"/>
  <c r="AA569" i="82"/>
  <c r="AR569" i="82"/>
  <c r="Q570" i="82"/>
  <c r="R571" i="82" s="1"/>
  <c r="AC569" i="82"/>
  <c r="AF569" i="82"/>
  <c r="AG569" i="82" s="1"/>
  <c r="Z569" i="82"/>
  <c r="U569" i="82"/>
  <c r="V569" i="82" s="1"/>
  <c r="AS569" i="82"/>
  <c r="T570" i="82"/>
  <c r="AJ568" i="82"/>
  <c r="AK568" i="82" s="1"/>
  <c r="AN568" i="82"/>
  <c r="AO568" i="82" s="1"/>
  <c r="AT568" i="82"/>
  <c r="AW568" i="82"/>
  <c r="AX568" i="82" s="1"/>
  <c r="P739" i="82"/>
  <c r="Q739" i="82" s="1"/>
  <c r="BL739" i="82"/>
  <c r="BM739" i="82" s="1"/>
  <c r="J628" i="82"/>
  <c r="K739" i="82"/>
  <c r="L739" i="82" s="1"/>
  <c r="BG739" i="82"/>
  <c r="BH739" i="82" s="1"/>
  <c r="H628" i="82"/>
  <c r="AV629" i="82"/>
  <c r="I629" i="82"/>
  <c r="AI629" i="82"/>
  <c r="AQ629" i="82"/>
  <c r="C629" i="82"/>
  <c r="AE629" i="82"/>
  <c r="L629" i="82"/>
  <c r="B630" i="82"/>
  <c r="AM629" i="82"/>
  <c r="F629" i="82"/>
  <c r="F739" i="82"/>
  <c r="G739" i="82" s="1"/>
  <c r="BB739" i="82"/>
  <c r="BC739" i="82" s="1"/>
  <c r="E628" i="82"/>
  <c r="BQ739" i="82"/>
  <c r="BR739" i="82" s="1"/>
  <c r="U739" i="82"/>
  <c r="V739" i="82" s="1"/>
  <c r="N628" i="82"/>
  <c r="AW568" i="72"/>
  <c r="AN568" i="72"/>
  <c r="BL156" i="72"/>
  <c r="E596" i="72"/>
  <c r="F707" i="72"/>
  <c r="G707" i="72" s="1"/>
  <c r="BB707" i="72"/>
  <c r="BC707" i="72" s="1"/>
  <c r="J596" i="72"/>
  <c r="BL707" i="72"/>
  <c r="BM707" i="72" s="1"/>
  <c r="P707" i="72"/>
  <c r="Q707" i="72" s="1"/>
  <c r="N596" i="72"/>
  <c r="U707" i="72"/>
  <c r="V707" i="72" s="1"/>
  <c r="BQ707" i="72"/>
  <c r="BR707" i="72" s="1"/>
  <c r="H596" i="72"/>
  <c r="BG707" i="72"/>
  <c r="BH707" i="72" s="1"/>
  <c r="K707" i="72"/>
  <c r="L707" i="72" s="1"/>
  <c r="AQ597" i="72"/>
  <c r="AM597" i="72"/>
  <c r="AI597" i="72"/>
  <c r="BB159" i="72"/>
  <c r="BC159" i="72" s="1"/>
  <c r="BE159" i="72"/>
  <c r="AY164" i="72"/>
  <c r="BF159" i="72"/>
  <c r="AJ568" i="72"/>
  <c r="AT568" i="72"/>
  <c r="AF569" i="72"/>
  <c r="AR569" i="72"/>
  <c r="B598" i="72"/>
  <c r="AV598" i="72" s="1"/>
  <c r="AE597" i="72"/>
  <c r="I597" i="72"/>
  <c r="L597" i="72"/>
  <c r="F597" i="72"/>
  <c r="C597" i="72"/>
  <c r="S571" i="72"/>
  <c r="Y570" i="72"/>
  <c r="Z569" i="72"/>
  <c r="AA569" i="72"/>
  <c r="AB569" i="72"/>
  <c r="AC569" i="72"/>
  <c r="X569" i="72"/>
  <c r="T570" i="72"/>
  <c r="AS570" i="72" s="1"/>
  <c r="U569" i="72"/>
  <c r="V569" i="72" s="1"/>
  <c r="P570" i="72"/>
  <c r="Q570" i="72"/>
  <c r="R571" i="72" s="1"/>
  <c r="T571" i="82" l="1"/>
  <c r="AS570" i="82"/>
  <c r="AJ569" i="82"/>
  <c r="AK569" i="82" s="1"/>
  <c r="AW569" i="82"/>
  <c r="AX569" i="82" s="1"/>
  <c r="AT569" i="82"/>
  <c r="AN569" i="82"/>
  <c r="AO569" i="82" s="1"/>
  <c r="X570" i="82"/>
  <c r="AR570" i="82"/>
  <c r="P571" i="82"/>
  <c r="AF570" i="82"/>
  <c r="AG570" i="82" s="1"/>
  <c r="AA570" i="82"/>
  <c r="Q571" i="82"/>
  <c r="R572" i="82" s="1"/>
  <c r="AC570" i="82"/>
  <c r="AB570" i="82"/>
  <c r="Z570" i="82"/>
  <c r="U570" i="82"/>
  <c r="V570" i="82" s="1"/>
  <c r="S572" i="82"/>
  <c r="Y571" i="82"/>
  <c r="AI630" i="82"/>
  <c r="AV630" i="82"/>
  <c r="AE630" i="82"/>
  <c r="I630" i="82"/>
  <c r="AQ630" i="82"/>
  <c r="L630" i="82"/>
  <c r="AM630" i="82"/>
  <c r="F630" i="82"/>
  <c r="B631" i="82"/>
  <c r="C630" i="82"/>
  <c r="BQ740" i="82"/>
  <c r="BR740" i="82" s="1"/>
  <c r="U740" i="82"/>
  <c r="V740" i="82" s="1"/>
  <c r="N629" i="82"/>
  <c r="P740" i="82"/>
  <c r="Q740" i="82" s="1"/>
  <c r="BL740" i="82"/>
  <c r="BM740" i="82" s="1"/>
  <c r="J629" i="82"/>
  <c r="BB740" i="82"/>
  <c r="BC740" i="82" s="1"/>
  <c r="F740" i="82"/>
  <c r="G740" i="82" s="1"/>
  <c r="E629" i="82"/>
  <c r="BG740" i="82"/>
  <c r="BH740" i="82" s="1"/>
  <c r="K740" i="82"/>
  <c r="L740" i="82" s="1"/>
  <c r="H629" i="82"/>
  <c r="AN569" i="72"/>
  <c r="AW569" i="72"/>
  <c r="E597" i="72"/>
  <c r="BB708" i="72"/>
  <c r="BC708" i="72" s="1"/>
  <c r="F708" i="72"/>
  <c r="G708" i="72" s="1"/>
  <c r="J597" i="72"/>
  <c r="BL708" i="72"/>
  <c r="BM708" i="72" s="1"/>
  <c r="P708" i="72"/>
  <c r="Q708" i="72" s="1"/>
  <c r="H597" i="72"/>
  <c r="BG708" i="72"/>
  <c r="BH708" i="72" s="1"/>
  <c r="K708" i="72"/>
  <c r="L708" i="72" s="1"/>
  <c r="N597" i="72"/>
  <c r="BQ708" i="72"/>
  <c r="BR708" i="72" s="1"/>
  <c r="U708" i="72"/>
  <c r="V708" i="72" s="1"/>
  <c r="AQ598" i="72"/>
  <c r="AM598" i="72"/>
  <c r="AI598" i="72"/>
  <c r="BE164" i="72"/>
  <c r="AY167" i="72"/>
  <c r="BB164" i="72"/>
  <c r="BC164" i="72" s="1"/>
  <c r="BF164" i="72"/>
  <c r="BI164" i="72"/>
  <c r="BJ164" i="72" s="1"/>
  <c r="AJ569" i="72"/>
  <c r="AT569" i="72"/>
  <c r="AF570" i="72"/>
  <c r="AR570" i="72"/>
  <c r="B599" i="72"/>
  <c r="AV599" i="72" s="1"/>
  <c r="AE598" i="72"/>
  <c r="F598" i="72"/>
  <c r="C598" i="72"/>
  <c r="L598" i="72"/>
  <c r="I598" i="72"/>
  <c r="S572" i="72"/>
  <c r="Y571" i="72"/>
  <c r="X570" i="72"/>
  <c r="Z570" i="72"/>
  <c r="AA570" i="72"/>
  <c r="AB570" i="72"/>
  <c r="AC570" i="72"/>
  <c r="P571" i="72"/>
  <c r="Q571" i="72"/>
  <c r="R572" i="72" s="1"/>
  <c r="U570" i="72"/>
  <c r="V570" i="72" s="1"/>
  <c r="T571" i="72"/>
  <c r="AS571" i="72" s="1"/>
  <c r="AJ570" i="82" l="1"/>
  <c r="AK570" i="82" s="1"/>
  <c r="X571" i="82"/>
  <c r="P572" i="82"/>
  <c r="AC571" i="82"/>
  <c r="U571" i="82"/>
  <c r="V571" i="82" s="1"/>
  <c r="AB571" i="82"/>
  <c r="Z571" i="82"/>
  <c r="Q572" i="82"/>
  <c r="R573" i="82" s="1"/>
  <c r="AA571" i="82"/>
  <c r="AR571" i="82"/>
  <c r="AF571" i="82"/>
  <c r="AG571" i="82" s="1"/>
  <c r="AS571" i="82"/>
  <c r="T572" i="82"/>
  <c r="AN570" i="82"/>
  <c r="AO570" i="82" s="1"/>
  <c r="AT570" i="82"/>
  <c r="AW570" i="82"/>
  <c r="AX570" i="82" s="1"/>
  <c r="S573" i="82"/>
  <c r="Y572" i="82"/>
  <c r="AQ631" i="82"/>
  <c r="AM631" i="82"/>
  <c r="F631" i="82"/>
  <c r="AE631" i="82"/>
  <c r="L631" i="82"/>
  <c r="I631" i="82"/>
  <c r="AV631" i="82"/>
  <c r="C631" i="82"/>
  <c r="B632" i="82"/>
  <c r="AI631" i="82"/>
  <c r="K741" i="82"/>
  <c r="L741" i="82" s="1"/>
  <c r="BG741" i="82"/>
  <c r="BH741" i="82" s="1"/>
  <c r="H630" i="82"/>
  <c r="P741" i="82"/>
  <c r="Q741" i="82" s="1"/>
  <c r="BL741" i="82"/>
  <c r="BM741" i="82" s="1"/>
  <c r="J630" i="82"/>
  <c r="U741" i="82"/>
  <c r="V741" i="82" s="1"/>
  <c r="BQ741" i="82"/>
  <c r="BR741" i="82" s="1"/>
  <c r="N630" i="82"/>
  <c r="F741" i="82"/>
  <c r="G741" i="82" s="1"/>
  <c r="BB741" i="82"/>
  <c r="BC741" i="82" s="1"/>
  <c r="E630" i="82"/>
  <c r="AN570" i="72"/>
  <c r="AW570" i="72"/>
  <c r="BL164" i="72"/>
  <c r="J598" i="72"/>
  <c r="BL709" i="72"/>
  <c r="BM709" i="72" s="1"/>
  <c r="P709" i="72"/>
  <c r="Q709" i="72" s="1"/>
  <c r="H598" i="72"/>
  <c r="BG709" i="72"/>
  <c r="BH709" i="72" s="1"/>
  <c r="K709" i="72"/>
  <c r="L709" i="72" s="1"/>
  <c r="N598" i="72"/>
  <c r="U709" i="72"/>
  <c r="V709" i="72" s="1"/>
  <c r="BQ709" i="72"/>
  <c r="BR709" i="72" s="1"/>
  <c r="E598" i="72"/>
  <c r="BB709" i="72"/>
  <c r="BC709" i="72" s="1"/>
  <c r="F709" i="72"/>
  <c r="G709" i="72" s="1"/>
  <c r="AM599" i="72"/>
  <c r="AQ599" i="72"/>
  <c r="AI599" i="72"/>
  <c r="BE167" i="72"/>
  <c r="AY172" i="72"/>
  <c r="BB167" i="72"/>
  <c r="BC167" i="72" s="1"/>
  <c r="BF167" i="72"/>
  <c r="AT570" i="72"/>
  <c r="AJ570" i="72"/>
  <c r="AR571" i="72"/>
  <c r="AF571" i="72"/>
  <c r="B600" i="72"/>
  <c r="AV600" i="72" s="1"/>
  <c r="AE599" i="72"/>
  <c r="L599" i="72"/>
  <c r="I599" i="72"/>
  <c r="F599" i="72"/>
  <c r="C599" i="72"/>
  <c r="Z571" i="72"/>
  <c r="X571" i="72"/>
  <c r="AA571" i="72"/>
  <c r="AB571" i="72"/>
  <c r="AC571" i="72"/>
  <c r="S573" i="72"/>
  <c r="Y572" i="72"/>
  <c r="T572" i="72"/>
  <c r="AS572" i="72" s="1"/>
  <c r="U571" i="72"/>
  <c r="V571" i="72" s="1"/>
  <c r="P572" i="72"/>
  <c r="Q572" i="72"/>
  <c r="R573" i="72" s="1"/>
  <c r="T573" i="82" l="1"/>
  <c r="AS572" i="82"/>
  <c r="P573" i="82"/>
  <c r="U572" i="82"/>
  <c r="V572" i="82" s="1"/>
  <c r="Q573" i="82"/>
  <c r="R574" i="82" s="1"/>
  <c r="X572" i="82"/>
  <c r="AR572" i="82"/>
  <c r="Z572" i="82"/>
  <c r="AA572" i="82"/>
  <c r="AC572" i="82"/>
  <c r="AB572" i="82"/>
  <c r="AF572" i="82"/>
  <c r="AG572" i="82" s="1"/>
  <c r="S574" i="82"/>
  <c r="Y573" i="82"/>
  <c r="AT571" i="82"/>
  <c r="AW571" i="82"/>
  <c r="AX571" i="82" s="1"/>
  <c r="AN571" i="82"/>
  <c r="AO571" i="82" s="1"/>
  <c r="AJ571" i="82"/>
  <c r="AK571" i="82" s="1"/>
  <c r="C632" i="82"/>
  <c r="AQ632" i="82"/>
  <c r="AE632" i="82"/>
  <c r="F632" i="82"/>
  <c r="AM632" i="82"/>
  <c r="AI632" i="82"/>
  <c r="AV632" i="82"/>
  <c r="B633" i="82"/>
  <c r="I632" i="82"/>
  <c r="L632" i="82"/>
  <c r="BG742" i="82"/>
  <c r="BH742" i="82" s="1"/>
  <c r="K742" i="82"/>
  <c r="L742" i="82" s="1"/>
  <c r="H631" i="82"/>
  <c r="BB742" i="82"/>
  <c r="BC742" i="82" s="1"/>
  <c r="F742" i="82"/>
  <c r="G742" i="82" s="1"/>
  <c r="E631" i="82"/>
  <c r="BL742" i="82"/>
  <c r="BM742" i="82" s="1"/>
  <c r="P742" i="82"/>
  <c r="Q742" i="82" s="1"/>
  <c r="J631" i="82"/>
  <c r="BQ742" i="82"/>
  <c r="BR742" i="82" s="1"/>
  <c r="U742" i="82"/>
  <c r="V742" i="82" s="1"/>
  <c r="N631" i="82"/>
  <c r="AN571" i="72"/>
  <c r="AW571" i="72"/>
  <c r="N599" i="72"/>
  <c r="U710" i="72"/>
  <c r="V710" i="72" s="1"/>
  <c r="BQ710" i="72"/>
  <c r="BR710" i="72" s="1"/>
  <c r="E599" i="72"/>
  <c r="BB710" i="72"/>
  <c r="BC710" i="72" s="1"/>
  <c r="F710" i="72"/>
  <c r="G710" i="72" s="1"/>
  <c r="H599" i="72"/>
  <c r="BG710" i="72"/>
  <c r="BH710" i="72" s="1"/>
  <c r="K710" i="72"/>
  <c r="L710" i="72" s="1"/>
  <c r="J599" i="72"/>
  <c r="BL710" i="72"/>
  <c r="BM710" i="72" s="1"/>
  <c r="P710" i="72"/>
  <c r="Q710" i="72" s="1"/>
  <c r="AM600" i="72"/>
  <c r="AQ600" i="72"/>
  <c r="AI600" i="72"/>
  <c r="BF172" i="72"/>
  <c r="BB172" i="72"/>
  <c r="BC172" i="72" s="1"/>
  <c r="AY175" i="72"/>
  <c r="BE172" i="72"/>
  <c r="BI172" i="72"/>
  <c r="BJ172" i="72" s="1"/>
  <c r="AF572" i="72"/>
  <c r="AR572" i="72"/>
  <c r="AJ571" i="72"/>
  <c r="AT571" i="72"/>
  <c r="B601" i="72"/>
  <c r="AV601" i="72" s="1"/>
  <c r="AE600" i="72"/>
  <c r="L600" i="72"/>
  <c r="I600" i="72"/>
  <c r="F600" i="72"/>
  <c r="C600" i="72"/>
  <c r="S574" i="72"/>
  <c r="Y573" i="72"/>
  <c r="Z572" i="72"/>
  <c r="AA572" i="72"/>
  <c r="X572" i="72"/>
  <c r="AB572" i="72"/>
  <c r="AC572" i="72"/>
  <c r="P573" i="72"/>
  <c r="U572" i="72"/>
  <c r="V572" i="72" s="1"/>
  <c r="Q573" i="72"/>
  <c r="R574" i="72" s="1"/>
  <c r="T573" i="72"/>
  <c r="AS573" i="72" s="1"/>
  <c r="AW572" i="82" l="1"/>
  <c r="AX572" i="82" s="1"/>
  <c r="AT572" i="82"/>
  <c r="AN572" i="82"/>
  <c r="AO572" i="82" s="1"/>
  <c r="AJ572" i="82"/>
  <c r="AK572" i="82" s="1"/>
  <c r="Q574" i="82"/>
  <c r="R575" i="82" s="1"/>
  <c r="Z573" i="82"/>
  <c r="X573" i="82"/>
  <c r="U573" i="82"/>
  <c r="V573" i="82" s="1"/>
  <c r="AA573" i="82"/>
  <c r="AF573" i="82"/>
  <c r="AG573" i="82" s="1"/>
  <c r="AR573" i="82"/>
  <c r="AC573" i="82"/>
  <c r="P574" i="82"/>
  <c r="AB573" i="82"/>
  <c r="S575" i="82"/>
  <c r="Y574" i="82"/>
  <c r="T574" i="82"/>
  <c r="AS573" i="82"/>
  <c r="AV633" i="82"/>
  <c r="I633" i="82"/>
  <c r="AI633" i="82"/>
  <c r="B634" i="82"/>
  <c r="AM633" i="82"/>
  <c r="L633" i="82"/>
  <c r="C633" i="82"/>
  <c r="AE633" i="82"/>
  <c r="AQ633" i="82"/>
  <c r="F633" i="82"/>
  <c r="BB743" i="82"/>
  <c r="BC743" i="82" s="1"/>
  <c r="F743" i="82"/>
  <c r="G743" i="82" s="1"/>
  <c r="E632" i="82"/>
  <c r="U743" i="82"/>
  <c r="V743" i="82" s="1"/>
  <c r="BQ743" i="82"/>
  <c r="BR743" i="82" s="1"/>
  <c r="N632" i="82"/>
  <c r="BL743" i="82"/>
  <c r="BM743" i="82" s="1"/>
  <c r="P743" i="82"/>
  <c r="Q743" i="82" s="1"/>
  <c r="J632" i="82"/>
  <c r="BG743" i="82"/>
  <c r="BH743" i="82" s="1"/>
  <c r="K743" i="82"/>
  <c r="L743" i="82" s="1"/>
  <c r="H632" i="82"/>
  <c r="AN572" i="72"/>
  <c r="AW572" i="72"/>
  <c r="BL172" i="72"/>
  <c r="E600" i="72"/>
  <c r="BB711" i="72"/>
  <c r="BC711" i="72" s="1"/>
  <c r="F711" i="72"/>
  <c r="G711" i="72" s="1"/>
  <c r="N600" i="72"/>
  <c r="BQ711" i="72"/>
  <c r="BR711" i="72" s="1"/>
  <c r="U711" i="72"/>
  <c r="V711" i="72" s="1"/>
  <c r="H600" i="72"/>
  <c r="BG711" i="72"/>
  <c r="BH711" i="72" s="1"/>
  <c r="K711" i="72"/>
  <c r="L711" i="72" s="1"/>
  <c r="J600" i="72"/>
  <c r="BL711" i="72"/>
  <c r="BM711" i="72" s="1"/>
  <c r="P711" i="72"/>
  <c r="Q711" i="72" s="1"/>
  <c r="BF175" i="72"/>
  <c r="BB175" i="72"/>
  <c r="BC175" i="72" s="1"/>
  <c r="AY180" i="72"/>
  <c r="BE175" i="72"/>
  <c r="AM601" i="72"/>
  <c r="AQ601" i="72"/>
  <c r="AI601" i="72"/>
  <c r="AR573" i="72"/>
  <c r="AF573" i="72"/>
  <c r="AJ572" i="72"/>
  <c r="AT572" i="72"/>
  <c r="B602" i="72"/>
  <c r="AV602" i="72" s="1"/>
  <c r="AE601" i="72"/>
  <c r="I601" i="72"/>
  <c r="L601" i="72"/>
  <c r="F601" i="72"/>
  <c r="C601" i="72"/>
  <c r="Z573" i="72"/>
  <c r="AA573" i="72"/>
  <c r="AB573" i="72"/>
  <c r="X573" i="72"/>
  <c r="AC573" i="72"/>
  <c r="S575" i="72"/>
  <c r="Y574" i="72"/>
  <c r="T574" i="72"/>
  <c r="AS574" i="72" s="1"/>
  <c r="Q574" i="72"/>
  <c r="R575" i="72" s="1"/>
  <c r="P574" i="72"/>
  <c r="U573" i="72"/>
  <c r="V573" i="72" s="1"/>
  <c r="AJ573" i="82" l="1"/>
  <c r="AK573" i="82" s="1"/>
  <c r="AW573" i="82"/>
  <c r="AX573" i="82" s="1"/>
  <c r="AN573" i="82"/>
  <c r="AO573" i="82" s="1"/>
  <c r="AT573" i="82"/>
  <c r="AR574" i="82"/>
  <c r="AF574" i="82"/>
  <c r="AG574" i="82" s="1"/>
  <c r="Q575" i="82"/>
  <c r="R576" i="82" s="1"/>
  <c r="P575" i="82"/>
  <c r="AB574" i="82"/>
  <c r="Z574" i="82"/>
  <c r="U574" i="82"/>
  <c r="V574" i="82" s="1"/>
  <c r="AA574" i="82"/>
  <c r="AC574" i="82"/>
  <c r="X574" i="82"/>
  <c r="Y575" i="82"/>
  <c r="S576" i="82"/>
  <c r="AS574" i="82"/>
  <c r="T575" i="82"/>
  <c r="AI634" i="82"/>
  <c r="AM634" i="82"/>
  <c r="AV634" i="82"/>
  <c r="I634" i="82"/>
  <c r="L634" i="82"/>
  <c r="AE634" i="82"/>
  <c r="B635" i="82"/>
  <c r="F634" i="82"/>
  <c r="C634" i="82"/>
  <c r="AQ634" i="82"/>
  <c r="BB744" i="82"/>
  <c r="BC744" i="82" s="1"/>
  <c r="F744" i="82"/>
  <c r="G744" i="82" s="1"/>
  <c r="E633" i="82"/>
  <c r="P744" i="82"/>
  <c r="Q744" i="82" s="1"/>
  <c r="BL744" i="82"/>
  <c r="BM744" i="82" s="1"/>
  <c r="J633" i="82"/>
  <c r="BQ744" i="82"/>
  <c r="BR744" i="82" s="1"/>
  <c r="U744" i="82"/>
  <c r="V744" i="82" s="1"/>
  <c r="N633" i="82"/>
  <c r="BG744" i="82"/>
  <c r="BH744" i="82" s="1"/>
  <c r="K744" i="82"/>
  <c r="L744" i="82" s="1"/>
  <c r="H633" i="82"/>
  <c r="AW573" i="72"/>
  <c r="AN573" i="72"/>
  <c r="E601" i="72"/>
  <c r="BB712" i="72"/>
  <c r="BC712" i="72" s="1"/>
  <c r="F712" i="72"/>
  <c r="G712" i="72" s="1"/>
  <c r="H601" i="72"/>
  <c r="BG712" i="72"/>
  <c r="BH712" i="72" s="1"/>
  <c r="K712" i="72"/>
  <c r="L712" i="72" s="1"/>
  <c r="J601" i="72"/>
  <c r="BL712" i="72"/>
  <c r="BM712" i="72" s="1"/>
  <c r="P712" i="72"/>
  <c r="Q712" i="72" s="1"/>
  <c r="N601" i="72"/>
  <c r="BQ712" i="72"/>
  <c r="BR712" i="72" s="1"/>
  <c r="U712" i="72"/>
  <c r="V712" i="72" s="1"/>
  <c r="BE180" i="72"/>
  <c r="BF180" i="72"/>
  <c r="AY183" i="72"/>
  <c r="BI180" i="72"/>
  <c r="BJ180" i="72" s="1"/>
  <c r="BB180" i="72"/>
  <c r="BC180" i="72" s="1"/>
  <c r="AM602" i="72"/>
  <c r="AQ602" i="72"/>
  <c r="AI602" i="72"/>
  <c r="AJ573" i="72"/>
  <c r="AF574" i="72"/>
  <c r="AR574" i="72"/>
  <c r="AT573" i="72"/>
  <c r="B603" i="72"/>
  <c r="AV603" i="72" s="1"/>
  <c r="AE602" i="72"/>
  <c r="L602" i="72"/>
  <c r="I602" i="72"/>
  <c r="C602" i="72"/>
  <c r="F602" i="72"/>
  <c r="X574" i="72"/>
  <c r="Z574" i="72"/>
  <c r="AA574" i="72"/>
  <c r="AC574" i="72"/>
  <c r="AB574" i="72"/>
  <c r="S576" i="72"/>
  <c r="Y575" i="72"/>
  <c r="Q575" i="72"/>
  <c r="R576" i="72" s="1"/>
  <c r="P575" i="72"/>
  <c r="U574" i="72"/>
  <c r="V574" i="72" s="1"/>
  <c r="T575" i="72"/>
  <c r="AS575" i="72" s="1"/>
  <c r="AJ574" i="82" l="1"/>
  <c r="AK574" i="82" s="1"/>
  <c r="P576" i="82"/>
  <c r="AB575" i="82"/>
  <c r="U575" i="82"/>
  <c r="V575" i="82" s="1"/>
  <c r="AC575" i="82"/>
  <c r="X575" i="82"/>
  <c r="AR575" i="82"/>
  <c r="Z575" i="82"/>
  <c r="AA575" i="82"/>
  <c r="AF575" i="82"/>
  <c r="AG575" i="82" s="1"/>
  <c r="Q576" i="82"/>
  <c r="R577" i="82" s="1"/>
  <c r="Y576" i="82"/>
  <c r="S577" i="82"/>
  <c r="T576" i="82"/>
  <c r="AS575" i="82"/>
  <c r="AT574" i="82"/>
  <c r="AN574" i="82"/>
  <c r="AO574" i="82" s="1"/>
  <c r="AW574" i="82"/>
  <c r="AX574" i="82" s="1"/>
  <c r="K745" i="82"/>
  <c r="L745" i="82" s="1"/>
  <c r="BG745" i="82"/>
  <c r="BH745" i="82" s="1"/>
  <c r="H634" i="82"/>
  <c r="P745" i="82"/>
  <c r="Q745" i="82" s="1"/>
  <c r="BL745" i="82"/>
  <c r="BM745" i="82" s="1"/>
  <c r="J634" i="82"/>
  <c r="AQ635" i="82"/>
  <c r="I635" i="82"/>
  <c r="AE635" i="82"/>
  <c r="L635" i="82"/>
  <c r="AV635" i="82"/>
  <c r="C635" i="82"/>
  <c r="B636" i="82"/>
  <c r="F635" i="82"/>
  <c r="AM635" i="82"/>
  <c r="AI635" i="82"/>
  <c r="BQ745" i="82"/>
  <c r="BR745" i="82" s="1"/>
  <c r="U745" i="82"/>
  <c r="V745" i="82" s="1"/>
  <c r="N634" i="82"/>
  <c r="BB745" i="82"/>
  <c r="BC745" i="82" s="1"/>
  <c r="F745" i="82"/>
  <c r="G745" i="82" s="1"/>
  <c r="E634" i="82"/>
  <c r="AW574" i="72"/>
  <c r="AN574" i="72"/>
  <c r="BL180" i="72"/>
  <c r="H602" i="72"/>
  <c r="BG713" i="72"/>
  <c r="BH713" i="72" s="1"/>
  <c r="K713" i="72"/>
  <c r="L713" i="72" s="1"/>
  <c r="E602" i="72"/>
  <c r="BB713" i="72"/>
  <c r="BC713" i="72" s="1"/>
  <c r="F713" i="72"/>
  <c r="G713" i="72" s="1"/>
  <c r="J602" i="72"/>
  <c r="P713" i="72"/>
  <c r="Q713" i="72" s="1"/>
  <c r="BL713" i="72"/>
  <c r="BM713" i="72" s="1"/>
  <c r="N602" i="72"/>
  <c r="BQ713" i="72"/>
  <c r="BR713" i="72" s="1"/>
  <c r="U713" i="72"/>
  <c r="V713" i="72" s="1"/>
  <c r="AM603" i="72"/>
  <c r="AQ603" i="72"/>
  <c r="AI603" i="72"/>
  <c r="AY188" i="72"/>
  <c r="BE183" i="72"/>
  <c r="BB183" i="72"/>
  <c r="BC183" i="72" s="1"/>
  <c r="BI183" i="72"/>
  <c r="BJ183" i="72" s="1"/>
  <c r="BF183" i="72"/>
  <c r="AR575" i="72"/>
  <c r="AF575" i="72"/>
  <c r="AJ574" i="72"/>
  <c r="AT574" i="72"/>
  <c r="B604" i="72"/>
  <c r="AV604" i="72" s="1"/>
  <c r="AE603" i="72"/>
  <c r="L603" i="72"/>
  <c r="I603" i="72"/>
  <c r="F603" i="72"/>
  <c r="C603" i="72"/>
  <c r="S577" i="72"/>
  <c r="Y576" i="72"/>
  <c r="Z575" i="72"/>
  <c r="X575" i="72"/>
  <c r="AA575" i="72"/>
  <c r="AB575" i="72"/>
  <c r="AC575" i="72"/>
  <c r="T576" i="72"/>
  <c r="AS576" i="72" s="1"/>
  <c r="Q576" i="72"/>
  <c r="R577" i="72" s="1"/>
  <c r="U575" i="72"/>
  <c r="V575" i="72" s="1"/>
  <c r="P576" i="72"/>
  <c r="AJ575" i="82" l="1"/>
  <c r="AK575" i="82" s="1"/>
  <c r="AS576" i="82"/>
  <c r="T577" i="82"/>
  <c r="AN575" i="82"/>
  <c r="AO575" i="82" s="1"/>
  <c r="AT575" i="82"/>
  <c r="AW575" i="82"/>
  <c r="AX575" i="82" s="1"/>
  <c r="Y577" i="82"/>
  <c r="S578" i="82"/>
  <c r="U576" i="82"/>
  <c r="V576" i="82" s="1"/>
  <c r="Q577" i="82"/>
  <c r="R578" i="82" s="1"/>
  <c r="P577" i="82"/>
  <c r="Z576" i="82"/>
  <c r="AR576" i="82"/>
  <c r="AC576" i="82"/>
  <c r="AA576" i="82"/>
  <c r="AB576" i="82"/>
  <c r="AF576" i="82"/>
  <c r="AG576" i="82" s="1"/>
  <c r="X576" i="82"/>
  <c r="BQ746" i="82"/>
  <c r="BR746" i="82" s="1"/>
  <c r="U746" i="82"/>
  <c r="V746" i="82" s="1"/>
  <c r="N635" i="82"/>
  <c r="BG746" i="82"/>
  <c r="BH746" i="82" s="1"/>
  <c r="K746" i="82"/>
  <c r="L746" i="82" s="1"/>
  <c r="H635" i="82"/>
  <c r="C636" i="82"/>
  <c r="L636" i="82"/>
  <c r="AQ636" i="82"/>
  <c r="F636" i="82"/>
  <c r="AV636" i="82"/>
  <c r="AM636" i="82"/>
  <c r="B637" i="82"/>
  <c r="AE636" i="82"/>
  <c r="I636" i="82"/>
  <c r="AI636" i="82"/>
  <c r="P746" i="82"/>
  <c r="Q746" i="82" s="1"/>
  <c r="BL746" i="82"/>
  <c r="BM746" i="82" s="1"/>
  <c r="J635" i="82"/>
  <c r="F746" i="82"/>
  <c r="G746" i="82" s="1"/>
  <c r="BB746" i="82"/>
  <c r="BC746" i="82" s="1"/>
  <c r="E635" i="82"/>
  <c r="AW575" i="72"/>
  <c r="AN575" i="72"/>
  <c r="BL183" i="72"/>
  <c r="N603" i="72"/>
  <c r="BQ714" i="72"/>
  <c r="BR714" i="72" s="1"/>
  <c r="U714" i="72"/>
  <c r="V714" i="72" s="1"/>
  <c r="E603" i="72"/>
  <c r="BB714" i="72"/>
  <c r="BC714" i="72" s="1"/>
  <c r="F714" i="72"/>
  <c r="G714" i="72" s="1"/>
  <c r="H603" i="72"/>
  <c r="BG714" i="72"/>
  <c r="BH714" i="72" s="1"/>
  <c r="K714" i="72"/>
  <c r="L714" i="72" s="1"/>
  <c r="J603" i="72"/>
  <c r="BL714" i="72"/>
  <c r="BM714" i="72" s="1"/>
  <c r="P714" i="72"/>
  <c r="Q714" i="72" s="1"/>
  <c r="AQ604" i="72"/>
  <c r="AM604" i="72"/>
  <c r="AI604" i="72"/>
  <c r="AY191" i="72"/>
  <c r="BF188" i="72"/>
  <c r="BI188" i="72"/>
  <c r="BJ188" i="72" s="1"/>
  <c r="BE188" i="72"/>
  <c r="BB188" i="72"/>
  <c r="BC188" i="72" s="1"/>
  <c r="AJ575" i="72"/>
  <c r="AT575" i="72"/>
  <c r="AF576" i="72"/>
  <c r="AR576" i="72"/>
  <c r="B605" i="72"/>
  <c r="AV605" i="72" s="1"/>
  <c r="AE604" i="72"/>
  <c r="C604" i="72"/>
  <c r="F604" i="72"/>
  <c r="L604" i="72"/>
  <c r="I604" i="72"/>
  <c r="Z576" i="72"/>
  <c r="AA576" i="72"/>
  <c r="X576" i="72"/>
  <c r="AB576" i="72"/>
  <c r="AC576" i="72"/>
  <c r="S578" i="72"/>
  <c r="Y577" i="72"/>
  <c r="P577" i="72"/>
  <c r="U576" i="72"/>
  <c r="V576" i="72" s="1"/>
  <c r="Q577" i="72"/>
  <c r="R578" i="72" s="1"/>
  <c r="T577" i="72"/>
  <c r="AS577" i="72" s="1"/>
  <c r="AN576" i="82" l="1"/>
  <c r="AO576" i="82" s="1"/>
  <c r="AT576" i="82"/>
  <c r="AW576" i="82"/>
  <c r="AX576" i="82" s="1"/>
  <c r="AB577" i="82"/>
  <c r="Q578" i="82"/>
  <c r="R579" i="82" s="1"/>
  <c r="P578" i="82"/>
  <c r="AF577" i="82"/>
  <c r="AG577" i="82" s="1"/>
  <c r="AC577" i="82"/>
  <c r="AR577" i="82"/>
  <c r="Z577" i="82"/>
  <c r="X577" i="82"/>
  <c r="U577" i="82"/>
  <c r="V577" i="82" s="1"/>
  <c r="AA577" i="82"/>
  <c r="T578" i="82"/>
  <c r="AS577" i="82"/>
  <c r="AJ576" i="82"/>
  <c r="AK576" i="82" s="1"/>
  <c r="S579" i="82"/>
  <c r="Y578" i="82"/>
  <c r="F747" i="82"/>
  <c r="G747" i="82" s="1"/>
  <c r="BB747" i="82"/>
  <c r="BC747" i="82" s="1"/>
  <c r="E636" i="82"/>
  <c r="P747" i="82"/>
  <c r="Q747" i="82" s="1"/>
  <c r="BL747" i="82"/>
  <c r="BM747" i="82" s="1"/>
  <c r="J636" i="82"/>
  <c r="BG747" i="82"/>
  <c r="BH747" i="82" s="1"/>
  <c r="K747" i="82"/>
  <c r="L747" i="82" s="1"/>
  <c r="H636" i="82"/>
  <c r="AV637" i="82"/>
  <c r="I637" i="82"/>
  <c r="AM637" i="82"/>
  <c r="F637" i="82"/>
  <c r="AQ637" i="82"/>
  <c r="AI637" i="82"/>
  <c r="AE637" i="82"/>
  <c r="L637" i="82"/>
  <c r="C637" i="82"/>
  <c r="B638" i="82"/>
  <c r="U747" i="82"/>
  <c r="V747" i="82" s="1"/>
  <c r="BQ747" i="82"/>
  <c r="BR747" i="82" s="1"/>
  <c r="N636" i="82"/>
  <c r="AN576" i="72"/>
  <c r="AW576" i="72"/>
  <c r="BL188" i="72"/>
  <c r="N604" i="72"/>
  <c r="U715" i="72"/>
  <c r="V715" i="72" s="1"/>
  <c r="BQ715" i="72"/>
  <c r="BR715" i="72" s="1"/>
  <c r="H604" i="72"/>
  <c r="BG715" i="72"/>
  <c r="BH715" i="72" s="1"/>
  <c r="K715" i="72"/>
  <c r="L715" i="72" s="1"/>
  <c r="E604" i="72"/>
  <c r="BB715" i="72"/>
  <c r="BC715" i="72" s="1"/>
  <c r="F715" i="72"/>
  <c r="G715" i="72" s="1"/>
  <c r="J604" i="72"/>
  <c r="P715" i="72"/>
  <c r="Q715" i="72" s="1"/>
  <c r="BL715" i="72"/>
  <c r="BM715" i="72" s="1"/>
  <c r="AY196" i="72"/>
  <c r="BF191" i="72"/>
  <c r="BE191" i="72"/>
  <c r="BB191" i="72"/>
  <c r="BC191" i="72" s="1"/>
  <c r="BI191" i="72"/>
  <c r="BJ191" i="72" s="1"/>
  <c r="AQ605" i="72"/>
  <c r="AM605" i="72"/>
  <c r="AI605" i="72"/>
  <c r="AJ576" i="72"/>
  <c r="AT576" i="72"/>
  <c r="AF577" i="72"/>
  <c r="AR577" i="72"/>
  <c r="B606" i="72"/>
  <c r="AV606" i="72" s="1"/>
  <c r="AE605" i="72"/>
  <c r="F605" i="72"/>
  <c r="C605" i="72"/>
  <c r="I605" i="72"/>
  <c r="L605" i="72"/>
  <c r="Z577" i="72"/>
  <c r="AA577" i="72"/>
  <c r="AB577" i="72"/>
  <c r="AC577" i="72"/>
  <c r="X577" i="72"/>
  <c r="S579" i="72"/>
  <c r="Y578" i="72"/>
  <c r="T578" i="72"/>
  <c r="AS578" i="72" s="1"/>
  <c r="P578" i="72"/>
  <c r="U577" i="72"/>
  <c r="V577" i="72" s="1"/>
  <c r="Q578" i="72"/>
  <c r="R579" i="72" s="1"/>
  <c r="B1" i="32"/>
  <c r="AJ577" i="82" l="1"/>
  <c r="AK577" i="82" s="1"/>
  <c r="AS578" i="82"/>
  <c r="T579" i="82"/>
  <c r="AA578" i="82"/>
  <c r="P579" i="82"/>
  <c r="AR578" i="82"/>
  <c r="Z578" i="82"/>
  <c r="AC578" i="82"/>
  <c r="U578" i="82"/>
  <c r="V578" i="82" s="1"/>
  <c r="Q579" i="82"/>
  <c r="R580" i="82" s="1"/>
  <c r="AB578" i="82"/>
  <c r="X578" i="82"/>
  <c r="AF578" i="82"/>
  <c r="AG578" i="82" s="1"/>
  <c r="Y579" i="82"/>
  <c r="S580" i="82"/>
  <c r="AN577" i="82"/>
  <c r="AO577" i="82" s="1"/>
  <c r="AT577" i="82"/>
  <c r="AW577" i="82"/>
  <c r="AX577" i="82" s="1"/>
  <c r="BL748" i="82"/>
  <c r="BM748" i="82" s="1"/>
  <c r="P748" i="82"/>
  <c r="Q748" i="82" s="1"/>
  <c r="J637" i="82"/>
  <c r="AI638" i="82"/>
  <c r="I638" i="82"/>
  <c r="B639" i="82"/>
  <c r="AM638" i="82"/>
  <c r="AV638" i="82"/>
  <c r="AE638" i="82"/>
  <c r="C638" i="82"/>
  <c r="L638" i="82"/>
  <c r="AQ638" i="82"/>
  <c r="F638" i="82"/>
  <c r="BB748" i="82"/>
  <c r="BC748" i="82" s="1"/>
  <c r="F748" i="82"/>
  <c r="G748" i="82" s="1"/>
  <c r="E637" i="82"/>
  <c r="K748" i="82"/>
  <c r="L748" i="82" s="1"/>
  <c r="BG748" i="82"/>
  <c r="BH748" i="82" s="1"/>
  <c r="H637" i="82"/>
  <c r="BQ748" i="82"/>
  <c r="BR748" i="82" s="1"/>
  <c r="U748" i="82"/>
  <c r="V748" i="82" s="1"/>
  <c r="N637" i="82"/>
  <c r="AN577" i="72"/>
  <c r="AW577" i="72"/>
  <c r="BL191" i="72"/>
  <c r="N605" i="72"/>
  <c r="BQ716" i="72"/>
  <c r="BR716" i="72" s="1"/>
  <c r="U716" i="72"/>
  <c r="V716" i="72" s="1"/>
  <c r="J605" i="72"/>
  <c r="BL716" i="72"/>
  <c r="BM716" i="72" s="1"/>
  <c r="P716" i="72"/>
  <c r="Q716" i="72" s="1"/>
  <c r="E605" i="72"/>
  <c r="BB716" i="72"/>
  <c r="BC716" i="72" s="1"/>
  <c r="F716" i="72"/>
  <c r="G716" i="72" s="1"/>
  <c r="H605" i="72"/>
  <c r="K716" i="72"/>
  <c r="L716" i="72" s="1"/>
  <c r="BG716" i="72"/>
  <c r="BH716" i="72" s="1"/>
  <c r="B35" i="32"/>
  <c r="B43" i="32"/>
  <c r="B36" i="32"/>
  <c r="B44" i="32"/>
  <c r="B37" i="32"/>
  <c r="B45" i="32"/>
  <c r="B38" i="32"/>
  <c r="B46" i="32"/>
  <c r="B40" i="32"/>
  <c r="B41" i="32"/>
  <c r="B42" i="32"/>
  <c r="B39" i="32"/>
  <c r="B32" i="32"/>
  <c r="B33" i="32"/>
  <c r="B34" i="32"/>
  <c r="AJ577" i="72"/>
  <c r="AQ606" i="72"/>
  <c r="AM606" i="72"/>
  <c r="AI606" i="72"/>
  <c r="AY199" i="72"/>
  <c r="BI196" i="72"/>
  <c r="BJ196" i="72" s="1"/>
  <c r="BB196" i="72"/>
  <c r="BC196" i="72" s="1"/>
  <c r="BF196" i="72"/>
  <c r="BE196" i="72"/>
  <c r="B14" i="32"/>
  <c r="C14" i="32" s="1"/>
  <c r="B22" i="32"/>
  <c r="C22" i="32" s="1"/>
  <c r="B15" i="32"/>
  <c r="C15" i="32" s="1"/>
  <c r="B23" i="32"/>
  <c r="C23" i="32" s="1"/>
  <c r="B19" i="32"/>
  <c r="C19" i="32" s="1"/>
  <c r="B27" i="32"/>
  <c r="C27" i="32" s="1"/>
  <c r="B21" i="32"/>
  <c r="C21" i="32" s="1"/>
  <c r="B16" i="32"/>
  <c r="C16" i="32" s="1"/>
  <c r="B24" i="32"/>
  <c r="C24" i="32" s="1"/>
  <c r="B17" i="32"/>
  <c r="C17" i="32" s="1"/>
  <c r="B25" i="32"/>
  <c r="C25" i="32" s="1"/>
  <c r="B18" i="32"/>
  <c r="C18" i="32" s="1"/>
  <c r="B26" i="32"/>
  <c r="C26" i="32" s="1"/>
  <c r="B20" i="32"/>
  <c r="C20" i="32" s="1"/>
  <c r="B13" i="32"/>
  <c r="AF578" i="72"/>
  <c r="AR578" i="72"/>
  <c r="AT577" i="72"/>
  <c r="B607" i="72"/>
  <c r="AV607" i="72" s="1"/>
  <c r="AE606" i="72"/>
  <c r="F606" i="72"/>
  <c r="L606" i="72"/>
  <c r="C606" i="72"/>
  <c r="I606" i="72"/>
  <c r="S580" i="72"/>
  <c r="Y579" i="72"/>
  <c r="X578" i="72"/>
  <c r="Z578" i="72"/>
  <c r="AA578" i="72"/>
  <c r="AB578" i="72"/>
  <c r="AC578" i="72"/>
  <c r="U578" i="72"/>
  <c r="V578" i="72" s="1"/>
  <c r="P579" i="72"/>
  <c r="Q579" i="72"/>
  <c r="R580" i="72" s="1"/>
  <c r="T579" i="72"/>
  <c r="AS579" i="72" s="1"/>
  <c r="U579" i="82" l="1"/>
  <c r="V579" i="82" s="1"/>
  <c r="AC579" i="82"/>
  <c r="AB579" i="82"/>
  <c r="Z579" i="82"/>
  <c r="AF579" i="82"/>
  <c r="AG579" i="82" s="1"/>
  <c r="AA579" i="82"/>
  <c r="P580" i="82"/>
  <c r="X579" i="82"/>
  <c r="Q580" i="82"/>
  <c r="R581" i="82" s="1"/>
  <c r="AR579" i="82"/>
  <c r="T580" i="82"/>
  <c r="AS579" i="82"/>
  <c r="AN578" i="82"/>
  <c r="AO578" i="82" s="1"/>
  <c r="AW578" i="82"/>
  <c r="AX578" i="82" s="1"/>
  <c r="AT578" i="82"/>
  <c r="AJ578" i="82"/>
  <c r="AK578" i="82" s="1"/>
  <c r="Y580" i="82"/>
  <c r="S581" i="82"/>
  <c r="BA673" i="82"/>
  <c r="BK673" i="82"/>
  <c r="BL673" i="82" s="1"/>
  <c r="BF673" i="82"/>
  <c r="AS673" i="82"/>
  <c r="AV673" i="82" s="1"/>
  <c r="BP673" i="82"/>
  <c r="BQ673" i="82" s="1"/>
  <c r="AW673" i="82"/>
  <c r="AZ673" i="82" s="1"/>
  <c r="BA663" i="82"/>
  <c r="AS663" i="82"/>
  <c r="AV663" i="82" s="1"/>
  <c r="BK663" i="82"/>
  <c r="BL663" i="82" s="1"/>
  <c r="BF663" i="82"/>
  <c r="BP663" i="82"/>
  <c r="BQ663" i="82" s="1"/>
  <c r="AW663" i="82"/>
  <c r="AZ663" i="82" s="1"/>
  <c r="AQ639" i="82"/>
  <c r="L639" i="82"/>
  <c r="C639" i="82"/>
  <c r="B640" i="82"/>
  <c r="AM639" i="82"/>
  <c r="AV639" i="82"/>
  <c r="F639" i="82"/>
  <c r="AE639" i="82"/>
  <c r="I639" i="82"/>
  <c r="AI639" i="82"/>
  <c r="BP665" i="82"/>
  <c r="BQ665" i="82" s="1"/>
  <c r="BA665" i="82"/>
  <c r="AS665" i="82"/>
  <c r="AV665" i="82" s="1"/>
  <c r="BF665" i="82"/>
  <c r="AW665" i="82"/>
  <c r="AZ665" i="82" s="1"/>
  <c r="BK665" i="82"/>
  <c r="BL665" i="82" s="1"/>
  <c r="BQ749" i="82"/>
  <c r="BR749" i="82" s="1"/>
  <c r="U749" i="82"/>
  <c r="V749" i="82" s="1"/>
  <c r="N638" i="82"/>
  <c r="BK670" i="82"/>
  <c r="BL670" i="82" s="1"/>
  <c r="BA670" i="82"/>
  <c r="BF670" i="82"/>
  <c r="AW670" i="82"/>
  <c r="AZ670" i="82" s="1"/>
  <c r="BP670" i="82"/>
  <c r="BQ670" i="82" s="1"/>
  <c r="AS670" i="82"/>
  <c r="AV670" i="82" s="1"/>
  <c r="P749" i="82"/>
  <c r="Q749" i="82" s="1"/>
  <c r="BL749" i="82"/>
  <c r="BM749" i="82" s="1"/>
  <c r="J638" i="82"/>
  <c r="BK669" i="82"/>
  <c r="BL669" i="82" s="1"/>
  <c r="AW669" i="82"/>
  <c r="AZ669" i="82" s="1"/>
  <c r="BP669" i="82"/>
  <c r="BQ669" i="82" s="1"/>
  <c r="BF669" i="82"/>
  <c r="AS669" i="82"/>
  <c r="AV669" i="82" s="1"/>
  <c r="BA669" i="82"/>
  <c r="BA676" i="82"/>
  <c r="BK676" i="82"/>
  <c r="BL676" i="82" s="1"/>
  <c r="BP676" i="82"/>
  <c r="BQ676" i="82" s="1"/>
  <c r="BF676" i="82"/>
  <c r="AW676" i="82"/>
  <c r="AZ676" i="82" s="1"/>
  <c r="AS676" i="82"/>
  <c r="AV676" i="82" s="1"/>
  <c r="BB749" i="82"/>
  <c r="BC749" i="82" s="1"/>
  <c r="F749" i="82"/>
  <c r="G749" i="82" s="1"/>
  <c r="E638" i="82"/>
  <c r="AW675" i="82"/>
  <c r="AZ675" i="82" s="1"/>
  <c r="BK675" i="82"/>
  <c r="BL675" i="82" s="1"/>
  <c r="BA675" i="82"/>
  <c r="BF675" i="82"/>
  <c r="AS675" i="82"/>
  <c r="AV675" i="82" s="1"/>
  <c r="BP675" i="82"/>
  <c r="BQ675" i="82" s="1"/>
  <c r="AW668" i="82"/>
  <c r="AZ668" i="82" s="1"/>
  <c r="BF668" i="82"/>
  <c r="BA668" i="82"/>
  <c r="BP668" i="82"/>
  <c r="BQ668" i="82" s="1"/>
  <c r="AS668" i="82"/>
  <c r="AV668" i="82" s="1"/>
  <c r="BK668" i="82"/>
  <c r="BL668" i="82" s="1"/>
  <c r="AW667" i="82"/>
  <c r="AZ667" i="82" s="1"/>
  <c r="BK667" i="82"/>
  <c r="BL667" i="82" s="1"/>
  <c r="AS667" i="82"/>
  <c r="AV667" i="82" s="1"/>
  <c r="BF667" i="82"/>
  <c r="BP667" i="82"/>
  <c r="BQ667" i="82" s="1"/>
  <c r="BA667" i="82"/>
  <c r="BP672" i="82"/>
  <c r="BQ672" i="82" s="1"/>
  <c r="AS672" i="82"/>
  <c r="AV672" i="82" s="1"/>
  <c r="BK672" i="82"/>
  <c r="BL672" i="82" s="1"/>
  <c r="BF672" i="82"/>
  <c r="BA672" i="82"/>
  <c r="AW672" i="82"/>
  <c r="AZ672" i="82" s="1"/>
  <c r="BF674" i="82"/>
  <c r="BP674" i="82"/>
  <c r="BQ674" i="82" s="1"/>
  <c r="AW674" i="82"/>
  <c r="AZ674" i="82" s="1"/>
  <c r="BK674" i="82"/>
  <c r="BL674" i="82" s="1"/>
  <c r="BA674" i="82"/>
  <c r="AS674" i="82"/>
  <c r="AV674" i="82" s="1"/>
  <c r="BP664" i="82"/>
  <c r="BQ664" i="82" s="1"/>
  <c r="BF664" i="82"/>
  <c r="AW664" i="82"/>
  <c r="AZ664" i="82" s="1"/>
  <c r="BK664" i="82"/>
  <c r="BL664" i="82" s="1"/>
  <c r="BA664" i="82"/>
  <c r="AS664" i="82"/>
  <c r="AV664" i="82" s="1"/>
  <c r="BF666" i="82"/>
  <c r="BP666" i="82"/>
  <c r="BQ666" i="82" s="1"/>
  <c r="BK666" i="82"/>
  <c r="BL666" i="82" s="1"/>
  <c r="BA666" i="82"/>
  <c r="AW666" i="82"/>
  <c r="AZ666" i="82" s="1"/>
  <c r="AS666" i="82"/>
  <c r="AV666" i="82" s="1"/>
  <c r="BA671" i="82"/>
  <c r="AS671" i="82"/>
  <c r="AV671" i="82" s="1"/>
  <c r="BP671" i="82"/>
  <c r="BQ671" i="82" s="1"/>
  <c r="BK671" i="82"/>
  <c r="BL671" i="82" s="1"/>
  <c r="AW671" i="82"/>
  <c r="AZ671" i="82" s="1"/>
  <c r="BF671" i="82"/>
  <c r="K749" i="82"/>
  <c r="L749" i="82" s="1"/>
  <c r="BG749" i="82"/>
  <c r="BH749" i="82" s="1"/>
  <c r="H638" i="82"/>
  <c r="AN578" i="72"/>
  <c r="AW578" i="72"/>
  <c r="BL196" i="72"/>
  <c r="N606" i="72"/>
  <c r="BQ717" i="72"/>
  <c r="BR717" i="72" s="1"/>
  <c r="U717" i="72"/>
  <c r="V717" i="72" s="1"/>
  <c r="H606" i="72"/>
  <c r="BG717" i="72"/>
  <c r="BH717" i="72" s="1"/>
  <c r="K717" i="72"/>
  <c r="L717" i="72" s="1"/>
  <c r="J606" i="72"/>
  <c r="BL717" i="72"/>
  <c r="BM717" i="72" s="1"/>
  <c r="P717" i="72"/>
  <c r="Q717" i="72" s="1"/>
  <c r="E606" i="72"/>
  <c r="BB717" i="72"/>
  <c r="BC717" i="72" s="1"/>
  <c r="F717" i="72"/>
  <c r="G717" i="72" s="1"/>
  <c r="D26" i="32"/>
  <c r="BF675" i="72"/>
  <c r="AW675" i="72"/>
  <c r="AZ675" i="72" s="1"/>
  <c r="BP675" i="72"/>
  <c r="BQ675" i="72" s="1"/>
  <c r="BA675" i="72"/>
  <c r="AS675" i="72"/>
  <c r="AV675" i="72" s="1"/>
  <c r="BK675" i="72"/>
  <c r="BL675" i="72" s="1"/>
  <c r="BP668" i="72"/>
  <c r="BQ668" i="72" s="1"/>
  <c r="BK668" i="72"/>
  <c r="BL668" i="72" s="1"/>
  <c r="D19" i="32"/>
  <c r="BA668" i="72"/>
  <c r="AW668" i="72"/>
  <c r="AZ668" i="72" s="1"/>
  <c r="BF668" i="72"/>
  <c r="AS668" i="72"/>
  <c r="AV668" i="72" s="1"/>
  <c r="I46" i="32"/>
  <c r="J46" i="32" s="1"/>
  <c r="K46" i="32" s="1"/>
  <c r="L46" i="32" s="1"/>
  <c r="E46" i="32" s="1"/>
  <c r="F46" i="32" s="1"/>
  <c r="C46" i="32"/>
  <c r="D18" i="32"/>
  <c r="BK667" i="72"/>
  <c r="BL667" i="72" s="1"/>
  <c r="AS667" i="72"/>
  <c r="AV667" i="72" s="1"/>
  <c r="BP667" i="72"/>
  <c r="BQ667" i="72" s="1"/>
  <c r="BA667" i="72"/>
  <c r="BF667" i="72"/>
  <c r="AW667" i="72"/>
  <c r="AZ667" i="72" s="1"/>
  <c r="AS672" i="72"/>
  <c r="AV672" i="72" s="1"/>
  <c r="AW672" i="72"/>
  <c r="AZ672" i="72" s="1"/>
  <c r="BF672" i="72"/>
  <c r="BP672" i="72"/>
  <c r="BQ672" i="72" s="1"/>
  <c r="BA672" i="72"/>
  <c r="BK672" i="72"/>
  <c r="BL672" i="72" s="1"/>
  <c r="D23" i="32"/>
  <c r="I34" i="32"/>
  <c r="J34" i="32" s="1"/>
  <c r="K34" i="32" s="1"/>
  <c r="L34" i="32" s="1"/>
  <c r="E34" i="32" s="1"/>
  <c r="F34" i="32" s="1"/>
  <c r="C34" i="32"/>
  <c r="I38" i="32"/>
  <c r="J38" i="32" s="1"/>
  <c r="K38" i="32" s="1"/>
  <c r="L38" i="32" s="1"/>
  <c r="E38" i="32" s="1"/>
  <c r="F38" i="32" s="1"/>
  <c r="C38" i="32"/>
  <c r="D25" i="32"/>
  <c r="BA674" i="72"/>
  <c r="BF674" i="72"/>
  <c r="BK674" i="72"/>
  <c r="BL674" i="72" s="1"/>
  <c r="BP674" i="72"/>
  <c r="BQ674" i="72" s="1"/>
  <c r="AS674" i="72"/>
  <c r="AV674" i="72" s="1"/>
  <c r="AW674" i="72"/>
  <c r="AZ674" i="72" s="1"/>
  <c r="AW664" i="72"/>
  <c r="AZ664" i="72" s="1"/>
  <c r="AS664" i="72"/>
  <c r="AV664" i="72" s="1"/>
  <c r="BP664" i="72"/>
  <c r="BQ664" i="72" s="1"/>
  <c r="BF664" i="72"/>
  <c r="BK664" i="72"/>
  <c r="BL664" i="72" s="1"/>
  <c r="D15" i="32"/>
  <c r="BA664" i="72"/>
  <c r="I33" i="32"/>
  <c r="J33" i="32" s="1"/>
  <c r="K33" i="32" s="1"/>
  <c r="L33" i="32" s="1"/>
  <c r="E33" i="32" s="1"/>
  <c r="F33" i="32" s="1"/>
  <c r="C33" i="32"/>
  <c r="I45" i="32"/>
  <c r="J45" i="32" s="1"/>
  <c r="K45" i="32" s="1"/>
  <c r="L45" i="32" s="1"/>
  <c r="E45" i="32" s="1"/>
  <c r="F45" i="32" s="1"/>
  <c r="C45" i="32"/>
  <c r="BA666" i="72"/>
  <c r="AS666" i="72"/>
  <c r="AV666" i="72" s="1"/>
  <c r="AW666" i="72"/>
  <c r="AZ666" i="72" s="1"/>
  <c r="BK666" i="72"/>
  <c r="BL666" i="72" s="1"/>
  <c r="BF666" i="72"/>
  <c r="BP666" i="72"/>
  <c r="BQ666" i="72" s="1"/>
  <c r="D17" i="32"/>
  <c r="BK671" i="72"/>
  <c r="BL671" i="72" s="1"/>
  <c r="AS671" i="72"/>
  <c r="AV671" i="72" s="1"/>
  <c r="BF671" i="72"/>
  <c r="BA671" i="72"/>
  <c r="AW671" i="72"/>
  <c r="AZ671" i="72" s="1"/>
  <c r="BP671" i="72"/>
  <c r="BQ671" i="72" s="1"/>
  <c r="D22" i="32"/>
  <c r="I32" i="32"/>
  <c r="J32" i="32" s="1"/>
  <c r="K32" i="32" s="1"/>
  <c r="L32" i="32" s="1"/>
  <c r="E32" i="32" s="1"/>
  <c r="F32" i="32" s="1"/>
  <c r="C32" i="32"/>
  <c r="I37" i="32"/>
  <c r="J37" i="32" s="1"/>
  <c r="K37" i="32" s="1"/>
  <c r="L37" i="32" s="1"/>
  <c r="E37" i="32" s="1"/>
  <c r="F37" i="32" s="1"/>
  <c r="C37" i="32"/>
  <c r="BA673" i="72"/>
  <c r="AW673" i="72"/>
  <c r="AZ673" i="72" s="1"/>
  <c r="BK673" i="72"/>
  <c r="BL673" i="72" s="1"/>
  <c r="AS673" i="72"/>
  <c r="AV673" i="72" s="1"/>
  <c r="BF673" i="72"/>
  <c r="BP673" i="72"/>
  <c r="BQ673" i="72" s="1"/>
  <c r="D24" i="32"/>
  <c r="BA663" i="72"/>
  <c r="AW663" i="72"/>
  <c r="AZ663" i="72" s="1"/>
  <c r="BF663" i="72"/>
  <c r="BK663" i="72"/>
  <c r="BL663" i="72" s="1"/>
  <c r="BP663" i="72"/>
  <c r="BQ663" i="72" s="1"/>
  <c r="AS663" i="72"/>
  <c r="AV663" i="72" s="1"/>
  <c r="D14" i="32"/>
  <c r="I39" i="32"/>
  <c r="J39" i="32" s="1"/>
  <c r="K39" i="32" s="1"/>
  <c r="C39" i="32"/>
  <c r="I44" i="32"/>
  <c r="J44" i="32" s="1"/>
  <c r="K44" i="32" s="1"/>
  <c r="C44" i="32"/>
  <c r="AS665" i="72"/>
  <c r="AV665" i="72" s="1"/>
  <c r="D16" i="32"/>
  <c r="AW665" i="72"/>
  <c r="AZ665" i="72" s="1"/>
  <c r="BA665" i="72"/>
  <c r="BK665" i="72"/>
  <c r="BL665" i="72" s="1"/>
  <c r="BP665" i="72"/>
  <c r="BQ665" i="72" s="1"/>
  <c r="BF665" i="72"/>
  <c r="I42" i="32"/>
  <c r="J42" i="32" s="1"/>
  <c r="K42" i="32" s="1"/>
  <c r="L42" i="32" s="1"/>
  <c r="E42" i="32" s="1"/>
  <c r="F42" i="32" s="1"/>
  <c r="C42" i="32"/>
  <c r="I36" i="32"/>
  <c r="J36" i="32" s="1"/>
  <c r="K36" i="32" s="1"/>
  <c r="L36" i="32" s="1"/>
  <c r="E36" i="32" s="1"/>
  <c r="F36" i="32" s="1"/>
  <c r="C36" i="32"/>
  <c r="I13" i="32"/>
  <c r="J13" i="32" s="1"/>
  <c r="K13" i="32" s="1"/>
  <c r="C13" i="32"/>
  <c r="AS670" i="72"/>
  <c r="AV670" i="72" s="1"/>
  <c r="BA670" i="72"/>
  <c r="BP670" i="72"/>
  <c r="BQ670" i="72" s="1"/>
  <c r="AW670" i="72"/>
  <c r="AZ670" i="72" s="1"/>
  <c r="BK670" i="72"/>
  <c r="BL670" i="72" s="1"/>
  <c r="BF670" i="72"/>
  <c r="D21" i="32"/>
  <c r="I41" i="32"/>
  <c r="J41" i="32" s="1"/>
  <c r="K41" i="32" s="1"/>
  <c r="L41" i="32" s="1"/>
  <c r="E41" i="32" s="1"/>
  <c r="F41" i="32" s="1"/>
  <c r="C41" i="32"/>
  <c r="I43" i="32"/>
  <c r="J43" i="32" s="1"/>
  <c r="K43" i="32" s="1"/>
  <c r="L43" i="32" s="1"/>
  <c r="E43" i="32" s="1"/>
  <c r="F43" i="32" s="1"/>
  <c r="C43" i="32"/>
  <c r="BK669" i="72"/>
  <c r="BL669" i="72" s="1"/>
  <c r="BF669" i="72"/>
  <c r="D20" i="32"/>
  <c r="BP669" i="72"/>
  <c r="BQ669" i="72" s="1"/>
  <c r="AW669" i="72"/>
  <c r="AZ669" i="72" s="1"/>
  <c r="AS669" i="72"/>
  <c r="AV669" i="72" s="1"/>
  <c r="BA669" i="72"/>
  <c r="BF676" i="72"/>
  <c r="BK676" i="72"/>
  <c r="BL676" i="72" s="1"/>
  <c r="D27" i="32"/>
  <c r="BA676" i="72"/>
  <c r="BP676" i="72"/>
  <c r="BQ676" i="72" s="1"/>
  <c r="AS676" i="72"/>
  <c r="AV676" i="72" s="1"/>
  <c r="AW676" i="72"/>
  <c r="AZ676" i="72" s="1"/>
  <c r="I40" i="32"/>
  <c r="J40" i="32" s="1"/>
  <c r="K40" i="32" s="1"/>
  <c r="L40" i="32" s="1"/>
  <c r="E40" i="32" s="1"/>
  <c r="F40" i="32" s="1"/>
  <c r="C40" i="32"/>
  <c r="I35" i="32"/>
  <c r="J35" i="32" s="1"/>
  <c r="K35" i="32" s="1"/>
  <c r="L35" i="32" s="1"/>
  <c r="E35" i="32" s="1"/>
  <c r="F35" i="32" s="1"/>
  <c r="C35" i="32"/>
  <c r="AY204" i="72"/>
  <c r="BI199" i="72"/>
  <c r="BJ199" i="72" s="1"/>
  <c r="BB199" i="72"/>
  <c r="BC199" i="72" s="1"/>
  <c r="BE199" i="72"/>
  <c r="BF199" i="72"/>
  <c r="AM607" i="72"/>
  <c r="AQ607" i="72"/>
  <c r="AI607" i="72"/>
  <c r="I16" i="32"/>
  <c r="J16" i="32" s="1"/>
  <c r="K16" i="32" s="1"/>
  <c r="I21" i="32"/>
  <c r="J21" i="32" s="1"/>
  <c r="K21" i="32" s="1"/>
  <c r="I27" i="32"/>
  <c r="J27" i="32" s="1"/>
  <c r="K27" i="32" s="1"/>
  <c r="I26" i="32"/>
  <c r="J26" i="32" s="1"/>
  <c r="K26" i="32" s="1"/>
  <c r="I19" i="32"/>
  <c r="J19" i="32" s="1"/>
  <c r="K19" i="32" s="1"/>
  <c r="I20" i="32"/>
  <c r="J20" i="32" s="1"/>
  <c r="K20" i="32" s="1"/>
  <c r="I18" i="32"/>
  <c r="J18" i="32" s="1"/>
  <c r="K18" i="32" s="1"/>
  <c r="I23" i="32"/>
  <c r="J23" i="32" s="1"/>
  <c r="K23" i="32" s="1"/>
  <c r="I25" i="32"/>
  <c r="J25" i="32" s="1"/>
  <c r="K25" i="32" s="1"/>
  <c r="I15" i="32"/>
  <c r="J15" i="32" s="1"/>
  <c r="K15" i="32" s="1"/>
  <c r="I17" i="32"/>
  <c r="J17" i="32" s="1"/>
  <c r="K17" i="32" s="1"/>
  <c r="I22" i="32"/>
  <c r="J22" i="32" s="1"/>
  <c r="K22" i="32" s="1"/>
  <c r="I24" i="32"/>
  <c r="J24" i="32" s="1"/>
  <c r="K24" i="32" s="1"/>
  <c r="I14" i="32"/>
  <c r="J14" i="32" s="1"/>
  <c r="K14" i="32" s="1"/>
  <c r="AJ578" i="72"/>
  <c r="AT578" i="72"/>
  <c r="AR579" i="72"/>
  <c r="AF579" i="72"/>
  <c r="B608" i="72"/>
  <c r="AV608" i="72" s="1"/>
  <c r="AE607" i="72"/>
  <c r="L607" i="72"/>
  <c r="I607" i="72"/>
  <c r="F607" i="72"/>
  <c r="C607" i="72"/>
  <c r="Z579" i="72"/>
  <c r="X579" i="72"/>
  <c r="AA579" i="72"/>
  <c r="AB579" i="72"/>
  <c r="AC579" i="72"/>
  <c r="S581" i="72"/>
  <c r="Y580" i="72"/>
  <c r="T580" i="72"/>
  <c r="AS580" i="72" s="1"/>
  <c r="U579" i="72"/>
  <c r="V579" i="72" s="1"/>
  <c r="P580" i="72"/>
  <c r="Q580" i="72"/>
  <c r="R581" i="72" s="1"/>
  <c r="AA580" i="82" l="1"/>
  <c r="Z580" i="82"/>
  <c r="AF580" i="82"/>
  <c r="AG580" i="82" s="1"/>
  <c r="P581" i="82"/>
  <c r="U580" i="82"/>
  <c r="V580" i="82" s="1"/>
  <c r="Q581" i="82"/>
  <c r="R582" i="82" s="1"/>
  <c r="AC580" i="82"/>
  <c r="AR580" i="82"/>
  <c r="AB580" i="82"/>
  <c r="X580" i="82"/>
  <c r="AJ579" i="82"/>
  <c r="AK579" i="82" s="1"/>
  <c r="AT579" i="82"/>
  <c r="AW579" i="82"/>
  <c r="AX579" i="82" s="1"/>
  <c r="AN579" i="82"/>
  <c r="AO579" i="82" s="1"/>
  <c r="T581" i="82"/>
  <c r="AS580" i="82"/>
  <c r="S582" i="82"/>
  <c r="Y581" i="82"/>
  <c r="B667" i="82"/>
  <c r="E667" i="82" s="1"/>
  <c r="F667" i="82"/>
  <c r="I667" i="82" s="1"/>
  <c r="J667" i="82"/>
  <c r="Y667" i="82"/>
  <c r="Z667" i="82" s="1"/>
  <c r="T667" i="82"/>
  <c r="U667" i="82" s="1"/>
  <c r="O667" i="82"/>
  <c r="O675" i="82"/>
  <c r="F675" i="82"/>
  <c r="I675" i="82" s="1"/>
  <c r="J675" i="82"/>
  <c r="T675" i="82"/>
  <c r="U675" i="82" s="1"/>
  <c r="Y675" i="82"/>
  <c r="Z675" i="82" s="1"/>
  <c r="B675" i="82"/>
  <c r="E675" i="82" s="1"/>
  <c r="BD674" i="82"/>
  <c r="BE674" i="82"/>
  <c r="BE672" i="82"/>
  <c r="BD672" i="82"/>
  <c r="BE670" i="82"/>
  <c r="BD670" i="82"/>
  <c r="BG750" i="82"/>
  <c r="BH750" i="82" s="1"/>
  <c r="K750" i="82"/>
  <c r="L750" i="82" s="1"/>
  <c r="H639" i="82"/>
  <c r="C640" i="82"/>
  <c r="AV640" i="82"/>
  <c r="F640" i="82"/>
  <c r="B641" i="82"/>
  <c r="L640" i="82"/>
  <c r="AI640" i="82"/>
  <c r="AM640" i="82"/>
  <c r="AQ640" i="82"/>
  <c r="AE640" i="82"/>
  <c r="I640" i="82"/>
  <c r="ES672" i="82"/>
  <c r="ET672" i="82" s="1"/>
  <c r="EE672" i="82"/>
  <c r="EH672" i="82" s="1"/>
  <c r="EX672" i="82"/>
  <c r="EY672" i="82" s="1"/>
  <c r="EN672" i="82"/>
  <c r="EI672" i="82"/>
  <c r="EA672" i="82"/>
  <c r="ED672" i="82" s="1"/>
  <c r="EN670" i="82"/>
  <c r="EE670" i="82"/>
  <c r="EH670" i="82" s="1"/>
  <c r="EA670" i="82"/>
  <c r="ED670" i="82" s="1"/>
  <c r="ES670" i="82"/>
  <c r="ET670" i="82" s="1"/>
  <c r="EI670" i="82"/>
  <c r="EX670" i="82"/>
  <c r="EY670" i="82" s="1"/>
  <c r="EI673" i="82"/>
  <c r="EA673" i="82"/>
  <c r="ED673" i="82" s="1"/>
  <c r="EX673" i="82"/>
  <c r="EY673" i="82" s="1"/>
  <c r="EN673" i="82"/>
  <c r="ES673" i="82"/>
  <c r="ET673" i="82" s="1"/>
  <c r="EE673" i="82"/>
  <c r="EH673" i="82" s="1"/>
  <c r="EX674" i="82"/>
  <c r="EY674" i="82" s="1"/>
  <c r="ES674" i="82"/>
  <c r="ET674" i="82" s="1"/>
  <c r="EA674" i="82"/>
  <c r="ED674" i="82" s="1"/>
  <c r="EN674" i="82"/>
  <c r="EI674" i="82"/>
  <c r="EE674" i="82"/>
  <c r="EH674" i="82" s="1"/>
  <c r="EX664" i="82"/>
  <c r="EY664" i="82" s="1"/>
  <c r="ES664" i="82"/>
  <c r="ET664" i="82" s="1"/>
  <c r="EA664" i="82"/>
  <c r="ED664" i="82" s="1"/>
  <c r="EE664" i="82"/>
  <c r="EH664" i="82" s="1"/>
  <c r="EI664" i="82"/>
  <c r="EN664" i="82"/>
  <c r="EN676" i="82"/>
  <c r="EE676" i="82"/>
  <c r="EH676" i="82" s="1"/>
  <c r="EA676" i="82"/>
  <c r="ED676" i="82" s="1"/>
  <c r="EI676" i="82"/>
  <c r="ES676" i="82"/>
  <c r="ET676" i="82" s="1"/>
  <c r="EX676" i="82"/>
  <c r="EY676" i="82" s="1"/>
  <c r="BJ672" i="82"/>
  <c r="BI672" i="82"/>
  <c r="BD668" i="82"/>
  <c r="BE668" i="82"/>
  <c r="BE665" i="82"/>
  <c r="BD665" i="82"/>
  <c r="BB750" i="82"/>
  <c r="BC750" i="82" s="1"/>
  <c r="F750" i="82"/>
  <c r="G750" i="82" s="1"/>
  <c r="E639" i="82"/>
  <c r="BE663" i="82"/>
  <c r="BD663" i="82"/>
  <c r="BI671" i="82"/>
  <c r="BJ671" i="82"/>
  <c r="BE666" i="82"/>
  <c r="BD666" i="82"/>
  <c r="BD664" i="82"/>
  <c r="BE664" i="82"/>
  <c r="BI668" i="82"/>
  <c r="BJ668" i="82"/>
  <c r="BD676" i="82"/>
  <c r="BE676" i="82"/>
  <c r="BQ750" i="82"/>
  <c r="BR750" i="82" s="1"/>
  <c r="U750" i="82"/>
  <c r="V750" i="82" s="1"/>
  <c r="N639" i="82"/>
  <c r="F664" i="82"/>
  <c r="I664" i="82" s="1"/>
  <c r="O664" i="82"/>
  <c r="Y664" i="82"/>
  <c r="Z664" i="82" s="1"/>
  <c r="T664" i="82"/>
  <c r="U664" i="82" s="1"/>
  <c r="B664" i="82"/>
  <c r="E664" i="82" s="1"/>
  <c r="J664" i="82"/>
  <c r="ES671" i="82"/>
  <c r="ET671" i="82" s="1"/>
  <c r="EA671" i="82"/>
  <c r="ED671" i="82" s="1"/>
  <c r="EE671" i="82"/>
  <c r="EH671" i="82" s="1"/>
  <c r="EI671" i="82"/>
  <c r="EN671" i="82"/>
  <c r="EX671" i="82"/>
  <c r="EY671" i="82" s="1"/>
  <c r="EE669" i="82"/>
  <c r="EH669" i="82" s="1"/>
  <c r="EA669" i="82"/>
  <c r="ED669" i="82" s="1"/>
  <c r="EX669" i="82"/>
  <c r="EY669" i="82" s="1"/>
  <c r="ES669" i="82"/>
  <c r="ET669" i="82" s="1"/>
  <c r="EN669" i="82"/>
  <c r="EI669" i="82"/>
  <c r="EX667" i="82"/>
  <c r="EY667" i="82" s="1"/>
  <c r="EN667" i="82"/>
  <c r="EE667" i="82"/>
  <c r="EH667" i="82" s="1"/>
  <c r="ES667" i="82"/>
  <c r="ET667" i="82" s="1"/>
  <c r="EA667" i="82"/>
  <c r="ED667" i="82" s="1"/>
  <c r="EI667" i="82"/>
  <c r="Y672" i="82"/>
  <c r="Z672" i="82" s="1"/>
  <c r="O672" i="82"/>
  <c r="F672" i="82"/>
  <c r="I672" i="82" s="1"/>
  <c r="T672" i="82"/>
  <c r="U672" i="82" s="1"/>
  <c r="B672" i="82"/>
  <c r="E672" i="82" s="1"/>
  <c r="J672" i="82"/>
  <c r="BD669" i="82"/>
  <c r="BE669" i="82"/>
  <c r="BI674" i="82"/>
  <c r="BJ674" i="82"/>
  <c r="P750" i="82"/>
  <c r="Q750" i="82" s="1"/>
  <c r="BL750" i="82"/>
  <c r="BM750" i="82" s="1"/>
  <c r="J639" i="82"/>
  <c r="BK662" i="82"/>
  <c r="BL662" i="82" s="1"/>
  <c r="BP662" i="82"/>
  <c r="BQ662" i="82" s="1"/>
  <c r="AW662" i="82"/>
  <c r="AZ662" i="82" s="1"/>
  <c r="AS662" i="82"/>
  <c r="BF662" i="82"/>
  <c r="BA662" i="82"/>
  <c r="O673" i="82"/>
  <c r="F673" i="82"/>
  <c r="I673" i="82" s="1"/>
  <c r="Y673" i="82"/>
  <c r="Z673" i="82" s="1"/>
  <c r="J673" i="82"/>
  <c r="T673" i="82"/>
  <c r="U673" i="82" s="1"/>
  <c r="B673" i="82"/>
  <c r="E673" i="82" s="1"/>
  <c r="J670" i="82"/>
  <c r="B670" i="82"/>
  <c r="E670" i="82" s="1"/>
  <c r="Y670" i="82"/>
  <c r="Z670" i="82" s="1"/>
  <c r="O670" i="82"/>
  <c r="F670" i="82"/>
  <c r="I670" i="82" s="1"/>
  <c r="T670" i="82"/>
  <c r="U670" i="82" s="1"/>
  <c r="Y663" i="82"/>
  <c r="Z663" i="82" s="1"/>
  <c r="F663" i="82"/>
  <c r="I663" i="82" s="1"/>
  <c r="J663" i="82"/>
  <c r="B663" i="82"/>
  <c r="E663" i="82" s="1"/>
  <c r="T663" i="82"/>
  <c r="U663" i="82" s="1"/>
  <c r="O663" i="82"/>
  <c r="EX662" i="82"/>
  <c r="EY662" i="82" s="1"/>
  <c r="EN662" i="82"/>
  <c r="EA662" i="82"/>
  <c r="EI662" i="82"/>
  <c r="ES662" i="82"/>
  <c r="ET662" i="82" s="1"/>
  <c r="EE662" i="82"/>
  <c r="EH662" i="82" s="1"/>
  <c r="EN675" i="82"/>
  <c r="EX675" i="82"/>
  <c r="EY675" i="82" s="1"/>
  <c r="EA675" i="82"/>
  <c r="ED675" i="82" s="1"/>
  <c r="ES675" i="82"/>
  <c r="ET675" i="82" s="1"/>
  <c r="EI675" i="82"/>
  <c r="EE675" i="82"/>
  <c r="EH675" i="82" s="1"/>
  <c r="BI666" i="82"/>
  <c r="BJ666" i="82"/>
  <c r="BI664" i="82"/>
  <c r="BJ664" i="82"/>
  <c r="BE667" i="82"/>
  <c r="BD667" i="82"/>
  <c r="BJ669" i="82"/>
  <c r="BI669" i="82"/>
  <c r="BJ673" i="82"/>
  <c r="BI673" i="82"/>
  <c r="F666" i="82"/>
  <c r="I666" i="82" s="1"/>
  <c r="B666" i="82"/>
  <c r="E666" i="82" s="1"/>
  <c r="O666" i="82"/>
  <c r="T666" i="82"/>
  <c r="U666" i="82" s="1"/>
  <c r="Y666" i="82"/>
  <c r="Z666" i="82" s="1"/>
  <c r="J666" i="82"/>
  <c r="F674" i="82"/>
  <c r="I674" i="82" s="1"/>
  <c r="J674" i="82"/>
  <c r="T674" i="82"/>
  <c r="U674" i="82" s="1"/>
  <c r="O674" i="82"/>
  <c r="B674" i="82"/>
  <c r="E674" i="82" s="1"/>
  <c r="Y674" i="82"/>
  <c r="Z674" i="82" s="1"/>
  <c r="BJ675" i="82"/>
  <c r="BI675" i="82"/>
  <c r="BJ663" i="82"/>
  <c r="BI663" i="82"/>
  <c r="Y669" i="82"/>
  <c r="Z669" i="82" s="1"/>
  <c r="J669" i="82"/>
  <c r="O669" i="82"/>
  <c r="B669" i="82"/>
  <c r="E669" i="82" s="1"/>
  <c r="T669" i="82"/>
  <c r="U669" i="82" s="1"/>
  <c r="F669" i="82"/>
  <c r="I669" i="82" s="1"/>
  <c r="EX666" i="82"/>
  <c r="EY666" i="82" s="1"/>
  <c r="EI666" i="82"/>
  <c r="EE666" i="82"/>
  <c r="EH666" i="82" s="1"/>
  <c r="EA666" i="82"/>
  <c r="ED666" i="82" s="1"/>
  <c r="ES666" i="82"/>
  <c r="ET666" i="82" s="1"/>
  <c r="EN666" i="82"/>
  <c r="EI665" i="82"/>
  <c r="EA665" i="82"/>
  <c r="ED665" i="82" s="1"/>
  <c r="ES665" i="82"/>
  <c r="ET665" i="82" s="1"/>
  <c r="EN665" i="82"/>
  <c r="EE665" i="82"/>
  <c r="EH665" i="82" s="1"/>
  <c r="EX665" i="82"/>
  <c r="EY665" i="82" s="1"/>
  <c r="T676" i="82"/>
  <c r="U676" i="82" s="1"/>
  <c r="B676" i="82"/>
  <c r="E676" i="82" s="1"/>
  <c r="Y676" i="82"/>
  <c r="Z676" i="82" s="1"/>
  <c r="F676" i="82"/>
  <c r="I676" i="82" s="1"/>
  <c r="O676" i="82"/>
  <c r="J676" i="82"/>
  <c r="O665" i="82"/>
  <c r="T665" i="82"/>
  <c r="U665" i="82" s="1"/>
  <c r="B665" i="82"/>
  <c r="E665" i="82" s="1"/>
  <c r="Y665" i="82"/>
  <c r="Z665" i="82" s="1"/>
  <c r="F665" i="82"/>
  <c r="I665" i="82" s="1"/>
  <c r="J665" i="82"/>
  <c r="Y671" i="82"/>
  <c r="Z671" i="82" s="1"/>
  <c r="J671" i="82"/>
  <c r="O671" i="82"/>
  <c r="B671" i="82"/>
  <c r="E671" i="82" s="1"/>
  <c r="T671" i="82"/>
  <c r="U671" i="82" s="1"/>
  <c r="F671" i="82"/>
  <c r="I671" i="82" s="1"/>
  <c r="ES663" i="82"/>
  <c r="ET663" i="82" s="1"/>
  <c r="EE663" i="82"/>
  <c r="EH663" i="82" s="1"/>
  <c r="EX663" i="82"/>
  <c r="EY663" i="82" s="1"/>
  <c r="EN663" i="82"/>
  <c r="EI663" i="82"/>
  <c r="EA663" i="82"/>
  <c r="ED663" i="82" s="1"/>
  <c r="EN668" i="82"/>
  <c r="EI668" i="82"/>
  <c r="ES668" i="82"/>
  <c r="ET668" i="82" s="1"/>
  <c r="EE668" i="82"/>
  <c r="EH668" i="82" s="1"/>
  <c r="EA668" i="82"/>
  <c r="ED668" i="82" s="1"/>
  <c r="EX668" i="82"/>
  <c r="EY668" i="82" s="1"/>
  <c r="T668" i="82"/>
  <c r="U668" i="82" s="1"/>
  <c r="J668" i="82"/>
  <c r="B668" i="82"/>
  <c r="E668" i="82" s="1"/>
  <c r="O668" i="82"/>
  <c r="F668" i="82"/>
  <c r="I668" i="82" s="1"/>
  <c r="Y668" i="82"/>
  <c r="Z668" i="82" s="1"/>
  <c r="BE671" i="82"/>
  <c r="BD671" i="82"/>
  <c r="BJ667" i="82"/>
  <c r="BI667" i="82"/>
  <c r="BE675" i="82"/>
  <c r="BD675" i="82"/>
  <c r="BI676" i="82"/>
  <c r="BJ676" i="82"/>
  <c r="BJ670" i="82"/>
  <c r="BI670" i="82"/>
  <c r="BI665" i="82"/>
  <c r="BJ665" i="82"/>
  <c r="BE673" i="82"/>
  <c r="BD673" i="82"/>
  <c r="AN579" i="72"/>
  <c r="AW579" i="72"/>
  <c r="BL199" i="72"/>
  <c r="H607" i="72"/>
  <c r="BG718" i="72"/>
  <c r="BH718" i="72" s="1"/>
  <c r="K718" i="72"/>
  <c r="L718" i="72" s="1"/>
  <c r="J607" i="72"/>
  <c r="BL718" i="72"/>
  <c r="BM718" i="72" s="1"/>
  <c r="P718" i="72"/>
  <c r="Q718" i="72" s="1"/>
  <c r="N607" i="72"/>
  <c r="U718" i="72"/>
  <c r="V718" i="72" s="1"/>
  <c r="BQ718" i="72"/>
  <c r="BR718" i="72" s="1"/>
  <c r="E607" i="72"/>
  <c r="BB718" i="72"/>
  <c r="BC718" i="72" s="1"/>
  <c r="F718" i="72"/>
  <c r="G718" i="72" s="1"/>
  <c r="G40" i="32"/>
  <c r="G43" i="32"/>
  <c r="G42" i="32"/>
  <c r="G34" i="32"/>
  <c r="G41" i="32"/>
  <c r="G37" i="32"/>
  <c r="G32" i="32"/>
  <c r="G45" i="32"/>
  <c r="G36" i="32"/>
  <c r="G46" i="32"/>
  <c r="G35" i="32"/>
  <c r="G33" i="32"/>
  <c r="G38" i="32"/>
  <c r="BD670" i="72"/>
  <c r="BE670" i="72"/>
  <c r="BI665" i="72"/>
  <c r="BJ665" i="72"/>
  <c r="L44" i="32"/>
  <c r="E44" i="32" s="1"/>
  <c r="F44" i="32" s="1"/>
  <c r="BE673" i="72"/>
  <c r="BD673" i="72"/>
  <c r="BD671" i="72"/>
  <c r="BE671" i="72"/>
  <c r="B664" i="72"/>
  <c r="E664" i="72" s="1"/>
  <c r="Y664" i="72"/>
  <c r="Z664" i="72" s="1"/>
  <c r="T664" i="72"/>
  <c r="U664" i="72" s="1"/>
  <c r="O664" i="72"/>
  <c r="J664" i="72"/>
  <c r="F664" i="72"/>
  <c r="I664" i="72" s="1"/>
  <c r="ES664" i="72"/>
  <c r="ET664" i="72" s="1"/>
  <c r="EA664" i="72"/>
  <c r="ED664" i="72" s="1"/>
  <c r="EX664" i="72"/>
  <c r="EY664" i="72" s="1"/>
  <c r="EI664" i="72"/>
  <c r="D34" i="32"/>
  <c r="EE664" i="72"/>
  <c r="EH664" i="72" s="1"/>
  <c r="EN664" i="72"/>
  <c r="EI676" i="72"/>
  <c r="EX676" i="72"/>
  <c r="EY676" i="72" s="1"/>
  <c r="D46" i="32"/>
  <c r="EE676" i="72"/>
  <c r="EH676" i="72" s="1"/>
  <c r="ES676" i="72"/>
  <c r="ET676" i="72" s="1"/>
  <c r="EN676" i="72"/>
  <c r="EA676" i="72"/>
  <c r="ED676" i="72" s="1"/>
  <c r="EA671" i="72"/>
  <c r="ED671" i="72" s="1"/>
  <c r="ES671" i="72"/>
  <c r="ET671" i="72" s="1"/>
  <c r="EI671" i="72"/>
  <c r="D41" i="32"/>
  <c r="EX671" i="72"/>
  <c r="EY671" i="72" s="1"/>
  <c r="EN671" i="72"/>
  <c r="EE671" i="72"/>
  <c r="EH671" i="72" s="1"/>
  <c r="ES669" i="72"/>
  <c r="ET669" i="72" s="1"/>
  <c r="EA669" i="72"/>
  <c r="ED669" i="72" s="1"/>
  <c r="EE669" i="72"/>
  <c r="EH669" i="72" s="1"/>
  <c r="D39" i="32"/>
  <c r="EN669" i="72"/>
  <c r="EX669" i="72"/>
  <c r="EY669" i="72" s="1"/>
  <c r="EI669" i="72"/>
  <c r="BD663" i="72"/>
  <c r="BE663" i="72"/>
  <c r="EA667" i="72"/>
  <c r="ED667" i="72" s="1"/>
  <c r="EI667" i="72"/>
  <c r="EE667" i="72"/>
  <c r="EH667" i="72" s="1"/>
  <c r="D37" i="32"/>
  <c r="EX667" i="72"/>
  <c r="EY667" i="72" s="1"/>
  <c r="EN667" i="72"/>
  <c r="ES667" i="72"/>
  <c r="ET667" i="72" s="1"/>
  <c r="BI671" i="72"/>
  <c r="BJ671" i="72"/>
  <c r="AS662" i="72"/>
  <c r="BP662" i="72"/>
  <c r="BQ662" i="72" s="1"/>
  <c r="BF662" i="72"/>
  <c r="D13" i="32"/>
  <c r="BA662" i="72"/>
  <c r="AW662" i="72"/>
  <c r="AZ662" i="72" s="1"/>
  <c r="BK662" i="72"/>
  <c r="BL662" i="72" s="1"/>
  <c r="L39" i="32"/>
  <c r="E39" i="32" s="1"/>
  <c r="F39" i="32" s="1"/>
  <c r="F673" i="72"/>
  <c r="I673" i="72" s="1"/>
  <c r="B673" i="72"/>
  <c r="E673" i="72" s="1"/>
  <c r="T673" i="72"/>
  <c r="U673" i="72" s="1"/>
  <c r="O673" i="72"/>
  <c r="Y673" i="72"/>
  <c r="Z673" i="72" s="1"/>
  <c r="J673" i="72"/>
  <c r="BD666" i="72"/>
  <c r="BE666" i="72"/>
  <c r="BI664" i="72"/>
  <c r="BJ664" i="72"/>
  <c r="BJ674" i="72"/>
  <c r="BI674" i="72"/>
  <c r="B672" i="72"/>
  <c r="E672" i="72" s="1"/>
  <c r="O672" i="72"/>
  <c r="T672" i="72"/>
  <c r="U672" i="72" s="1"/>
  <c r="F672" i="72"/>
  <c r="I672" i="72" s="1"/>
  <c r="Y672" i="72"/>
  <c r="Z672" i="72" s="1"/>
  <c r="J672" i="72"/>
  <c r="BI667" i="72"/>
  <c r="BJ667" i="72"/>
  <c r="EA665" i="72"/>
  <c r="ED665" i="72" s="1"/>
  <c r="EN665" i="72"/>
  <c r="EE665" i="72"/>
  <c r="EH665" i="72" s="1"/>
  <c r="D35" i="32"/>
  <c r="ES665" i="72"/>
  <c r="ET665" i="72" s="1"/>
  <c r="EX665" i="72"/>
  <c r="EY665" i="72" s="1"/>
  <c r="EI665" i="72"/>
  <c r="BD676" i="72"/>
  <c r="BE676" i="72"/>
  <c r="F669" i="72"/>
  <c r="I669" i="72" s="1"/>
  <c r="O669" i="72"/>
  <c r="T669" i="72"/>
  <c r="U669" i="72" s="1"/>
  <c r="J669" i="72"/>
  <c r="B669" i="72"/>
  <c r="E669" i="72" s="1"/>
  <c r="Y669" i="72"/>
  <c r="Z669" i="72" s="1"/>
  <c r="Y670" i="72"/>
  <c r="Z670" i="72" s="1"/>
  <c r="T670" i="72"/>
  <c r="U670" i="72" s="1"/>
  <c r="J670" i="72"/>
  <c r="F670" i="72"/>
  <c r="I670" i="72" s="1"/>
  <c r="B670" i="72"/>
  <c r="E670" i="72" s="1"/>
  <c r="O670" i="72"/>
  <c r="BE665" i="72"/>
  <c r="BD665" i="72"/>
  <c r="Y663" i="72"/>
  <c r="Z663" i="72" s="1"/>
  <c r="T663" i="72"/>
  <c r="U663" i="72" s="1"/>
  <c r="O663" i="72"/>
  <c r="J663" i="72"/>
  <c r="F663" i="72"/>
  <c r="I663" i="72" s="1"/>
  <c r="B663" i="72"/>
  <c r="E663" i="72" s="1"/>
  <c r="EX662" i="72"/>
  <c r="EY662" i="72" s="1"/>
  <c r="EA662" i="72"/>
  <c r="EI662" i="72"/>
  <c r="EE662" i="72"/>
  <c r="EH662" i="72" s="1"/>
  <c r="EN662" i="72"/>
  <c r="D32" i="32"/>
  <c r="ES662" i="72"/>
  <c r="ET662" i="72" s="1"/>
  <c r="D45" i="32"/>
  <c r="EE675" i="72"/>
  <c r="EH675" i="72" s="1"/>
  <c r="EN675" i="72"/>
  <c r="EX675" i="72"/>
  <c r="EY675" i="72" s="1"/>
  <c r="EA675" i="72"/>
  <c r="ED675" i="72" s="1"/>
  <c r="ES675" i="72"/>
  <c r="ET675" i="72" s="1"/>
  <c r="EI675" i="72"/>
  <c r="BE674" i="72"/>
  <c r="BD674" i="72"/>
  <c r="BE667" i="72"/>
  <c r="BD667" i="72"/>
  <c r="BJ668" i="72"/>
  <c r="BI668" i="72"/>
  <c r="BD675" i="72"/>
  <c r="BE675" i="72"/>
  <c r="O676" i="72"/>
  <c r="Y676" i="72"/>
  <c r="Z676" i="72" s="1"/>
  <c r="F676" i="72"/>
  <c r="I676" i="72" s="1"/>
  <c r="J676" i="72"/>
  <c r="T676" i="72"/>
  <c r="U676" i="72" s="1"/>
  <c r="B676" i="72"/>
  <c r="E676" i="72" s="1"/>
  <c r="BJ669" i="72"/>
  <c r="BI669" i="72"/>
  <c r="BJ670" i="72"/>
  <c r="BI670" i="72"/>
  <c r="EE666" i="72"/>
  <c r="EH666" i="72" s="1"/>
  <c r="EA666" i="72"/>
  <c r="ED666" i="72" s="1"/>
  <c r="EN666" i="72"/>
  <c r="D36" i="32"/>
  <c r="EX666" i="72"/>
  <c r="EY666" i="72" s="1"/>
  <c r="EI666" i="72"/>
  <c r="ES666" i="72"/>
  <c r="ET666" i="72" s="1"/>
  <c r="BJ673" i="72"/>
  <c r="BI673" i="72"/>
  <c r="Y666" i="72"/>
  <c r="Z666" i="72" s="1"/>
  <c r="T666" i="72"/>
  <c r="U666" i="72" s="1"/>
  <c r="B666" i="72"/>
  <c r="E666" i="72" s="1"/>
  <c r="O666" i="72"/>
  <c r="F666" i="72"/>
  <c r="I666" i="72" s="1"/>
  <c r="J666" i="72"/>
  <c r="B674" i="72"/>
  <c r="E674" i="72" s="1"/>
  <c r="Y674" i="72"/>
  <c r="Z674" i="72" s="1"/>
  <c r="T674" i="72"/>
  <c r="U674" i="72" s="1"/>
  <c r="O674" i="72"/>
  <c r="F674" i="72"/>
  <c r="I674" i="72" s="1"/>
  <c r="J674" i="72"/>
  <c r="BD672" i="72"/>
  <c r="BE672" i="72"/>
  <c r="B665" i="72"/>
  <c r="E665" i="72" s="1"/>
  <c r="Y665" i="72"/>
  <c r="Z665" i="72" s="1"/>
  <c r="O665" i="72"/>
  <c r="J665" i="72"/>
  <c r="F665" i="72"/>
  <c r="I665" i="72" s="1"/>
  <c r="T665" i="72"/>
  <c r="U665" i="72" s="1"/>
  <c r="B671" i="72"/>
  <c r="E671" i="72" s="1"/>
  <c r="Y671" i="72"/>
  <c r="Z671" i="72" s="1"/>
  <c r="O671" i="72"/>
  <c r="T671" i="72"/>
  <c r="U671" i="72" s="1"/>
  <c r="J671" i="72"/>
  <c r="F671" i="72"/>
  <c r="I671" i="72" s="1"/>
  <c r="ES663" i="72"/>
  <c r="ET663" i="72" s="1"/>
  <c r="EI663" i="72"/>
  <c r="EA663" i="72"/>
  <c r="ED663" i="72" s="1"/>
  <c r="EE663" i="72"/>
  <c r="EH663" i="72" s="1"/>
  <c r="EX663" i="72"/>
  <c r="EY663" i="72" s="1"/>
  <c r="D33" i="32"/>
  <c r="EN663" i="72"/>
  <c r="EX668" i="72"/>
  <c r="EY668" i="72" s="1"/>
  <c r="EI668" i="72"/>
  <c r="EA668" i="72"/>
  <c r="ED668" i="72" s="1"/>
  <c r="EN668" i="72"/>
  <c r="EE668" i="72"/>
  <c r="EH668" i="72" s="1"/>
  <c r="D38" i="32"/>
  <c r="ES668" i="72"/>
  <c r="ET668" i="72" s="1"/>
  <c r="BD668" i="72"/>
  <c r="BE668" i="72"/>
  <c r="EA670" i="72"/>
  <c r="ED670" i="72" s="1"/>
  <c r="EE670" i="72"/>
  <c r="EH670" i="72" s="1"/>
  <c r="EI670" i="72"/>
  <c r="D40" i="32"/>
  <c r="EN670" i="72"/>
  <c r="EX670" i="72"/>
  <c r="EY670" i="72" s="1"/>
  <c r="ES670" i="72"/>
  <c r="ET670" i="72" s="1"/>
  <c r="BJ676" i="72"/>
  <c r="BI676" i="72"/>
  <c r="ES673" i="72"/>
  <c r="ET673" i="72" s="1"/>
  <c r="EX673" i="72"/>
  <c r="EY673" i="72" s="1"/>
  <c r="EE673" i="72"/>
  <c r="EH673" i="72" s="1"/>
  <c r="EI673" i="72"/>
  <c r="D43" i="32"/>
  <c r="EA673" i="72"/>
  <c r="ED673" i="72" s="1"/>
  <c r="EN673" i="72"/>
  <c r="ES672" i="72"/>
  <c r="ET672" i="72" s="1"/>
  <c r="EX672" i="72"/>
  <c r="EY672" i="72" s="1"/>
  <c r="D42" i="32"/>
  <c r="EN672" i="72"/>
  <c r="EE672" i="72"/>
  <c r="EH672" i="72" s="1"/>
  <c r="EI672" i="72"/>
  <c r="EA672" i="72"/>
  <c r="ED672" i="72" s="1"/>
  <c r="BI666" i="72"/>
  <c r="BJ666" i="72"/>
  <c r="BI672" i="72"/>
  <c r="BJ672" i="72"/>
  <c r="J668" i="72"/>
  <c r="F668" i="72"/>
  <c r="I668" i="72" s="1"/>
  <c r="O668" i="72"/>
  <c r="B668" i="72"/>
  <c r="E668" i="72" s="1"/>
  <c r="Y668" i="72"/>
  <c r="Z668" i="72" s="1"/>
  <c r="T668" i="72"/>
  <c r="U668" i="72" s="1"/>
  <c r="BI675" i="72"/>
  <c r="BJ675" i="72"/>
  <c r="BE669" i="72"/>
  <c r="BD669" i="72"/>
  <c r="EI674" i="72"/>
  <c r="EE674" i="72"/>
  <c r="EH674" i="72" s="1"/>
  <c r="ES674" i="72"/>
  <c r="ET674" i="72" s="1"/>
  <c r="D44" i="32"/>
  <c r="EA674" i="72"/>
  <c r="ED674" i="72" s="1"/>
  <c r="EX674" i="72"/>
  <c r="EY674" i="72" s="1"/>
  <c r="EN674" i="72"/>
  <c r="BI663" i="72"/>
  <c r="BJ663" i="72"/>
  <c r="BD664" i="72"/>
  <c r="BE664" i="72"/>
  <c r="B667" i="72"/>
  <c r="E667" i="72" s="1"/>
  <c r="O667" i="72"/>
  <c r="Y667" i="72"/>
  <c r="Z667" i="72" s="1"/>
  <c r="T667" i="72"/>
  <c r="U667" i="72" s="1"/>
  <c r="F667" i="72"/>
  <c r="I667" i="72" s="1"/>
  <c r="J667" i="72"/>
  <c r="F675" i="72"/>
  <c r="I675" i="72" s="1"/>
  <c r="Y675" i="72"/>
  <c r="Z675" i="72" s="1"/>
  <c r="T675" i="72"/>
  <c r="U675" i="72" s="1"/>
  <c r="O675" i="72"/>
  <c r="J675" i="72"/>
  <c r="B675" i="72"/>
  <c r="E675" i="72" s="1"/>
  <c r="BF204" i="72"/>
  <c r="BE204" i="72"/>
  <c r="AY207" i="72"/>
  <c r="BI204" i="72"/>
  <c r="BJ204" i="72" s="1"/>
  <c r="BB204" i="72"/>
  <c r="BC204" i="72" s="1"/>
  <c r="AM608" i="72"/>
  <c r="AQ608" i="72"/>
  <c r="AI608" i="72"/>
  <c r="L14" i="32"/>
  <c r="E14" i="32" s="1"/>
  <c r="F14" i="32" s="1"/>
  <c r="L24" i="32"/>
  <c r="E24" i="32" s="1"/>
  <c r="F24" i="32" s="1"/>
  <c r="L22" i="32"/>
  <c r="E22" i="32" s="1"/>
  <c r="F22" i="32" s="1"/>
  <c r="L15" i="32"/>
  <c r="E15" i="32" s="1"/>
  <c r="F15" i="32" s="1"/>
  <c r="L25" i="32"/>
  <c r="E25" i="32" s="1"/>
  <c r="F25" i="32" s="1"/>
  <c r="L23" i="32"/>
  <c r="E23" i="32" s="1"/>
  <c r="F23" i="32" s="1"/>
  <c r="L18" i="32"/>
  <c r="E18" i="32" s="1"/>
  <c r="F18" i="32" s="1"/>
  <c r="L20" i="32"/>
  <c r="E20" i="32" s="1"/>
  <c r="F20" i="32" s="1"/>
  <c r="L19" i="32"/>
  <c r="E19" i="32" s="1"/>
  <c r="F19" i="32" s="1"/>
  <c r="L26" i="32"/>
  <c r="E26" i="32" s="1"/>
  <c r="F26" i="32" s="1"/>
  <c r="L27" i="32"/>
  <c r="E27" i="32" s="1"/>
  <c r="F27" i="32" s="1"/>
  <c r="L21" i="32"/>
  <c r="E21" i="32" s="1"/>
  <c r="F21" i="32" s="1"/>
  <c r="L16" i="32"/>
  <c r="E16" i="32" s="1"/>
  <c r="F16" i="32" s="1"/>
  <c r="L17" i="32"/>
  <c r="E17" i="32" s="1"/>
  <c r="F17" i="32" s="1"/>
  <c r="L13" i="32"/>
  <c r="E13" i="32" s="1"/>
  <c r="AF580" i="72"/>
  <c r="AR580" i="72"/>
  <c r="AJ579" i="72"/>
  <c r="AT579" i="72"/>
  <c r="B609" i="72"/>
  <c r="AV609" i="72" s="1"/>
  <c r="AE608" i="72"/>
  <c r="I608" i="72"/>
  <c r="L608" i="72"/>
  <c r="F608" i="72"/>
  <c r="C608" i="72"/>
  <c r="S582" i="72"/>
  <c r="Y581" i="72"/>
  <c r="Z580" i="72"/>
  <c r="AA580" i="72"/>
  <c r="X580" i="72"/>
  <c r="AB580" i="72"/>
  <c r="AC580" i="72"/>
  <c r="T581" i="72"/>
  <c r="AS581" i="72" s="1"/>
  <c r="P581" i="72"/>
  <c r="U580" i="72"/>
  <c r="V580" i="72" s="1"/>
  <c r="Q581" i="72"/>
  <c r="R582" i="72" s="1"/>
  <c r="AS581" i="82" l="1"/>
  <c r="T582" i="82"/>
  <c r="Y582" i="82"/>
  <c r="S583" i="82"/>
  <c r="AR581" i="82"/>
  <c r="Z581" i="82"/>
  <c r="X581" i="82"/>
  <c r="AB581" i="82"/>
  <c r="U581" i="82"/>
  <c r="V581" i="82" s="1"/>
  <c r="Q582" i="82"/>
  <c r="R583" i="82" s="1"/>
  <c r="AF581" i="82"/>
  <c r="AG581" i="82" s="1"/>
  <c r="AA581" i="82"/>
  <c r="P582" i="82"/>
  <c r="AC581" i="82"/>
  <c r="AJ580" i="82"/>
  <c r="AK580" i="82" s="1"/>
  <c r="AT580" i="82"/>
  <c r="AW580" i="82"/>
  <c r="AX580" i="82" s="1"/>
  <c r="AN580" i="82"/>
  <c r="AO580" i="82" s="1"/>
  <c r="CJ674" i="82"/>
  <c r="CM674" i="82" s="1"/>
  <c r="CW674" i="82"/>
  <c r="DB674" i="82"/>
  <c r="DC674" i="82" s="1"/>
  <c r="CN674" i="82"/>
  <c r="CQ674" i="82" s="1"/>
  <c r="CR674" i="82"/>
  <c r="DG674" i="82"/>
  <c r="DH674" i="82" s="1"/>
  <c r="CR666" i="82"/>
  <c r="DB666" i="82"/>
  <c r="DC666" i="82" s="1"/>
  <c r="CJ666" i="82"/>
  <c r="CM666" i="82" s="1"/>
  <c r="DG666" i="82"/>
  <c r="DH666" i="82" s="1"/>
  <c r="CW666" i="82"/>
  <c r="CN666" i="82"/>
  <c r="CQ666" i="82" s="1"/>
  <c r="EQ668" i="82"/>
  <c r="ER668" i="82"/>
  <c r="S669" i="82"/>
  <c r="R669" i="82"/>
  <c r="N666" i="82"/>
  <c r="M666" i="82"/>
  <c r="EL662" i="82"/>
  <c r="EM662" i="82"/>
  <c r="AV662" i="82"/>
  <c r="CG662" i="82"/>
  <c r="BY662" i="82"/>
  <c r="N672" i="82"/>
  <c r="M672" i="82"/>
  <c r="M664" i="82"/>
  <c r="N664" i="82"/>
  <c r="EM676" i="82"/>
  <c r="EL676" i="82"/>
  <c r="J662" i="82"/>
  <c r="B662" i="82"/>
  <c r="O662" i="82"/>
  <c r="F662" i="82"/>
  <c r="I662" i="82" s="1"/>
  <c r="T662" i="82"/>
  <c r="U662" i="82" s="1"/>
  <c r="Y662" i="82"/>
  <c r="Z662" i="82" s="1"/>
  <c r="N668" i="82"/>
  <c r="M668" i="82"/>
  <c r="N669" i="82"/>
  <c r="M669" i="82"/>
  <c r="EL675" i="82"/>
  <c r="EM675" i="82"/>
  <c r="ED662" i="82"/>
  <c r="FO662" i="82"/>
  <c r="FG662" i="82"/>
  <c r="BB751" i="82"/>
  <c r="BC751" i="82" s="1"/>
  <c r="F751" i="82"/>
  <c r="G751" i="82" s="1"/>
  <c r="E640" i="82"/>
  <c r="S675" i="82"/>
  <c r="R675" i="82"/>
  <c r="CW667" i="82"/>
  <c r="DB667" i="82"/>
  <c r="DC667" i="82" s="1"/>
  <c r="CR667" i="82"/>
  <c r="CN667" i="82"/>
  <c r="CQ667" i="82" s="1"/>
  <c r="CJ667" i="82"/>
  <c r="CM667" i="82" s="1"/>
  <c r="DG667" i="82"/>
  <c r="DH667" i="82" s="1"/>
  <c r="CR671" i="82"/>
  <c r="DB671" i="82"/>
  <c r="DC671" i="82" s="1"/>
  <c r="CW671" i="82"/>
  <c r="CJ671" i="82"/>
  <c r="CM671" i="82" s="1"/>
  <c r="DG671" i="82"/>
  <c r="DH671" i="82" s="1"/>
  <c r="CN671" i="82"/>
  <c r="CQ671" i="82" s="1"/>
  <c r="CN676" i="82"/>
  <c r="CQ676" i="82" s="1"/>
  <c r="DG676" i="82"/>
  <c r="DH676" i="82" s="1"/>
  <c r="CJ676" i="82"/>
  <c r="CM676" i="82" s="1"/>
  <c r="DB676" i="82"/>
  <c r="DC676" i="82" s="1"/>
  <c r="CW676" i="82"/>
  <c r="CR676" i="82"/>
  <c r="EM663" i="82"/>
  <c r="EL663" i="82"/>
  <c r="S671" i="82"/>
  <c r="R671" i="82"/>
  <c r="R665" i="82"/>
  <c r="S665" i="82"/>
  <c r="ER662" i="82"/>
  <c r="EQ662" i="82"/>
  <c r="M673" i="82"/>
  <c r="N673" i="82"/>
  <c r="CF662" i="82"/>
  <c r="BX662" i="82"/>
  <c r="EQ667" i="82"/>
  <c r="ER667" i="82"/>
  <c r="EQ673" i="82"/>
  <c r="ER673" i="82"/>
  <c r="P751" i="82"/>
  <c r="Q751" i="82" s="1"/>
  <c r="BL751" i="82"/>
  <c r="BM751" i="82" s="1"/>
  <c r="J640" i="82"/>
  <c r="BQ751" i="82"/>
  <c r="BR751" i="82" s="1"/>
  <c r="U751" i="82"/>
  <c r="V751" i="82" s="1"/>
  <c r="N640" i="82"/>
  <c r="R667" i="82"/>
  <c r="S667" i="82"/>
  <c r="DG673" i="82"/>
  <c r="DH673" i="82" s="1"/>
  <c r="CJ673" i="82"/>
  <c r="CM673" i="82" s="1"/>
  <c r="CN673" i="82"/>
  <c r="CQ673" i="82" s="1"/>
  <c r="CW673" i="82"/>
  <c r="CR673" i="82"/>
  <c r="DB673" i="82"/>
  <c r="DC673" i="82" s="1"/>
  <c r="DG663" i="82"/>
  <c r="DH663" i="82" s="1"/>
  <c r="CJ663" i="82"/>
  <c r="CM663" i="82" s="1"/>
  <c r="DB663" i="82"/>
  <c r="DC663" i="82" s="1"/>
  <c r="CR663" i="82"/>
  <c r="CW663" i="82"/>
  <c r="CN663" i="82"/>
  <c r="CQ663" i="82" s="1"/>
  <c r="DB669" i="82"/>
  <c r="DC669" i="82" s="1"/>
  <c r="CJ669" i="82"/>
  <c r="CM669" i="82" s="1"/>
  <c r="CW669" i="82"/>
  <c r="CR669" i="82"/>
  <c r="CN669" i="82"/>
  <c r="CQ669" i="82" s="1"/>
  <c r="DG669" i="82"/>
  <c r="DH669" i="82" s="1"/>
  <c r="EQ663" i="82"/>
  <c r="ER663" i="82"/>
  <c r="M671" i="82"/>
  <c r="N671" i="82"/>
  <c r="N676" i="82"/>
  <c r="M676" i="82"/>
  <c r="EQ665" i="82"/>
  <c r="ER665" i="82"/>
  <c r="EM666" i="82"/>
  <c r="EL666" i="82"/>
  <c r="R666" i="82"/>
  <c r="S666" i="82"/>
  <c r="FN662" i="82"/>
  <c r="FF662" i="82"/>
  <c r="BW662" i="82"/>
  <c r="BW663" i="82" s="1"/>
  <c r="BW664" i="82" s="1"/>
  <c r="CE662" i="82"/>
  <c r="CE663" i="82" s="1"/>
  <c r="CE664" i="82" s="1"/>
  <c r="EQ671" i="82"/>
  <c r="ER671" i="82"/>
  <c r="ER676" i="82"/>
  <c r="EQ676" i="82"/>
  <c r="EL674" i="82"/>
  <c r="EM674" i="82"/>
  <c r="EQ670" i="82"/>
  <c r="ER670" i="82"/>
  <c r="CN668" i="82"/>
  <c r="CQ668" i="82" s="1"/>
  <c r="CW668" i="82"/>
  <c r="CJ668" i="82"/>
  <c r="CM668" i="82" s="1"/>
  <c r="DG668" i="82"/>
  <c r="DH668" i="82" s="1"/>
  <c r="DB668" i="82"/>
  <c r="DC668" i="82" s="1"/>
  <c r="CR668" i="82"/>
  <c r="CW675" i="82"/>
  <c r="CR675" i="82"/>
  <c r="CN675" i="82"/>
  <c r="CQ675" i="82" s="1"/>
  <c r="DG675" i="82"/>
  <c r="DH675" i="82" s="1"/>
  <c r="DB675" i="82"/>
  <c r="DC675" i="82" s="1"/>
  <c r="CJ675" i="82"/>
  <c r="CM675" i="82" s="1"/>
  <c r="R676" i="82"/>
  <c r="S676" i="82"/>
  <c r="R674" i="82"/>
  <c r="S674" i="82"/>
  <c r="S663" i="82"/>
  <c r="R663" i="82"/>
  <c r="R670" i="82"/>
  <c r="S670" i="82"/>
  <c r="R672" i="82"/>
  <c r="S672" i="82"/>
  <c r="EM669" i="82"/>
  <c r="EL669" i="82"/>
  <c r="EM671" i="82"/>
  <c r="EL671" i="82"/>
  <c r="R664" i="82"/>
  <c r="S664" i="82"/>
  <c r="ER664" i="82"/>
  <c r="EQ664" i="82"/>
  <c r="EQ674" i="82"/>
  <c r="ER674" i="82"/>
  <c r="AV641" i="82"/>
  <c r="I641" i="82"/>
  <c r="L641" i="82"/>
  <c r="AI641" i="82"/>
  <c r="B642" i="82"/>
  <c r="AE641" i="82"/>
  <c r="AQ641" i="82"/>
  <c r="AM641" i="82"/>
  <c r="F641" i="82"/>
  <c r="C641" i="82"/>
  <c r="DB670" i="82"/>
  <c r="DC670" i="82" s="1"/>
  <c r="CR670" i="82"/>
  <c r="CN670" i="82"/>
  <c r="CQ670" i="82" s="1"/>
  <c r="DG670" i="82"/>
  <c r="DH670" i="82" s="1"/>
  <c r="CW670" i="82"/>
  <c r="CJ670" i="82"/>
  <c r="CM670" i="82" s="1"/>
  <c r="DG665" i="82"/>
  <c r="DH665" i="82" s="1"/>
  <c r="CW665" i="82"/>
  <c r="CN665" i="82"/>
  <c r="CQ665" i="82" s="1"/>
  <c r="DB665" i="82"/>
  <c r="DC665" i="82" s="1"/>
  <c r="CJ665" i="82"/>
  <c r="CM665" i="82" s="1"/>
  <c r="CR665" i="82"/>
  <c r="N665" i="82"/>
  <c r="M665" i="82"/>
  <c r="ER675" i="82"/>
  <c r="EQ675" i="82"/>
  <c r="S673" i="82"/>
  <c r="R673" i="82"/>
  <c r="EQ669" i="82"/>
  <c r="ER669" i="82"/>
  <c r="EM664" i="82"/>
  <c r="EL664" i="82"/>
  <c r="EM673" i="82"/>
  <c r="EL673" i="82"/>
  <c r="EM672" i="82"/>
  <c r="EL672" i="82"/>
  <c r="BG751" i="82"/>
  <c r="BH751" i="82" s="1"/>
  <c r="K751" i="82"/>
  <c r="L751" i="82" s="1"/>
  <c r="H640" i="82"/>
  <c r="M667" i="82"/>
  <c r="N667" i="82"/>
  <c r="CR672" i="82"/>
  <c r="CJ672" i="82"/>
  <c r="CM672" i="82" s="1"/>
  <c r="DB672" i="82"/>
  <c r="DC672" i="82" s="1"/>
  <c r="CN672" i="82"/>
  <c r="CQ672" i="82" s="1"/>
  <c r="CW672" i="82"/>
  <c r="DG672" i="82"/>
  <c r="DH672" i="82" s="1"/>
  <c r="DB662" i="82"/>
  <c r="DC662" i="82" s="1"/>
  <c r="CR662" i="82"/>
  <c r="CJ662" i="82"/>
  <c r="CW662" i="82"/>
  <c r="DG662" i="82"/>
  <c r="DH662" i="82" s="1"/>
  <c r="CN662" i="82"/>
  <c r="CQ662" i="82" s="1"/>
  <c r="EL665" i="82"/>
  <c r="EM665" i="82"/>
  <c r="N674" i="82"/>
  <c r="M674" i="82"/>
  <c r="BD662" i="82"/>
  <c r="BE662" i="82"/>
  <c r="EL667" i="82"/>
  <c r="EM667" i="82"/>
  <c r="ER672" i="82"/>
  <c r="EQ672" i="82"/>
  <c r="CR664" i="82"/>
  <c r="CJ664" i="82"/>
  <c r="CM664" i="82" s="1"/>
  <c r="CN664" i="82"/>
  <c r="CQ664" i="82" s="1"/>
  <c r="CW664" i="82"/>
  <c r="DG664" i="82"/>
  <c r="DH664" i="82" s="1"/>
  <c r="DB664" i="82"/>
  <c r="DC664" i="82" s="1"/>
  <c r="S668" i="82"/>
  <c r="R668" i="82"/>
  <c r="EM668" i="82"/>
  <c r="EL668" i="82"/>
  <c r="ER666" i="82"/>
  <c r="EQ666" i="82"/>
  <c r="FE662" i="82"/>
  <c r="FE663" i="82" s="1"/>
  <c r="FE664" i="82" s="1"/>
  <c r="FM662" i="82"/>
  <c r="FM663" i="82" s="1"/>
  <c r="FM664" i="82" s="1"/>
  <c r="M663" i="82"/>
  <c r="N663" i="82"/>
  <c r="M670" i="82"/>
  <c r="N670" i="82"/>
  <c r="BJ662" i="82"/>
  <c r="BI662" i="82"/>
  <c r="EL670" i="82"/>
  <c r="EM670" i="82"/>
  <c r="M675" i="82"/>
  <c r="N675" i="82"/>
  <c r="AN580" i="72"/>
  <c r="AW580" i="72"/>
  <c r="BL204" i="72"/>
  <c r="E608" i="72"/>
  <c r="F719" i="72"/>
  <c r="G719" i="72" s="1"/>
  <c r="BB719" i="72"/>
  <c r="BC719" i="72" s="1"/>
  <c r="H608" i="72"/>
  <c r="BG719" i="72"/>
  <c r="BH719" i="72" s="1"/>
  <c r="K719" i="72"/>
  <c r="L719" i="72" s="1"/>
  <c r="N608" i="72"/>
  <c r="BQ719" i="72"/>
  <c r="BR719" i="72" s="1"/>
  <c r="U719" i="72"/>
  <c r="V719" i="72" s="1"/>
  <c r="J608" i="72"/>
  <c r="BL719" i="72"/>
  <c r="BM719" i="72" s="1"/>
  <c r="P719" i="72"/>
  <c r="Q719" i="72" s="1"/>
  <c r="G26" i="32"/>
  <c r="G24" i="32"/>
  <c r="G19" i="32"/>
  <c r="G17" i="32"/>
  <c r="G16" i="32"/>
  <c r="G23" i="32"/>
  <c r="G14" i="32"/>
  <c r="G25" i="32"/>
  <c r="G20" i="32"/>
  <c r="G21" i="32"/>
  <c r="G15" i="32"/>
  <c r="G27" i="32"/>
  <c r="G22" i="32"/>
  <c r="FE662" i="72"/>
  <c r="FE663" i="72" s="1"/>
  <c r="FE664" i="72" s="1"/>
  <c r="FM662" i="72"/>
  <c r="FM663" i="72" s="1"/>
  <c r="FM664" i="72" s="1"/>
  <c r="FG662" i="72"/>
  <c r="FO662" i="72"/>
  <c r="FF662" i="72"/>
  <c r="FN662" i="72"/>
  <c r="BY662" i="72"/>
  <c r="CG662" i="72"/>
  <c r="CE662" i="72"/>
  <c r="CE663" i="72" s="1"/>
  <c r="CE664" i="72" s="1"/>
  <c r="BW662" i="72"/>
  <c r="BW663" i="72" s="1"/>
  <c r="BW664" i="72" s="1"/>
  <c r="BX662" i="72"/>
  <c r="CF662" i="72"/>
  <c r="G39" i="32"/>
  <c r="S675" i="72"/>
  <c r="R675" i="72"/>
  <c r="EM663" i="72"/>
  <c r="EL663" i="72"/>
  <c r="M674" i="72"/>
  <c r="N674" i="72"/>
  <c r="S666" i="72"/>
  <c r="R666" i="72"/>
  <c r="ER662" i="72"/>
  <c r="EQ662" i="72"/>
  <c r="S663" i="72"/>
  <c r="R663" i="72"/>
  <c r="M670" i="72"/>
  <c r="N670" i="72"/>
  <c r="EQ665" i="72"/>
  <c r="ER665" i="72"/>
  <c r="S672" i="72"/>
  <c r="R672" i="72"/>
  <c r="M673" i="72"/>
  <c r="N673" i="72"/>
  <c r="S664" i="72"/>
  <c r="R664" i="72"/>
  <c r="G44" i="32"/>
  <c r="DB674" i="72"/>
  <c r="DC674" i="72" s="1"/>
  <c r="CR674" i="72"/>
  <c r="CN674" i="72"/>
  <c r="CQ674" i="72" s="1"/>
  <c r="CW674" i="72"/>
  <c r="CJ674" i="72"/>
  <c r="CM674" i="72" s="1"/>
  <c r="DG674" i="72"/>
  <c r="DH674" i="72" s="1"/>
  <c r="EM668" i="72"/>
  <c r="EL668" i="72"/>
  <c r="CJ666" i="72"/>
  <c r="CM666" i="72" s="1"/>
  <c r="DB666" i="72"/>
  <c r="DC666" i="72" s="1"/>
  <c r="CR666" i="72"/>
  <c r="CN666" i="72"/>
  <c r="CQ666" i="72" s="1"/>
  <c r="CW666" i="72"/>
  <c r="DG666" i="72"/>
  <c r="DH666" i="72" s="1"/>
  <c r="ER676" i="72"/>
  <c r="EQ676" i="72"/>
  <c r="DG664" i="72"/>
  <c r="DH664" i="72" s="1"/>
  <c r="CJ664" i="72"/>
  <c r="CM664" i="72" s="1"/>
  <c r="CN664" i="72"/>
  <c r="CQ664" i="72" s="1"/>
  <c r="CR664" i="72"/>
  <c r="CW664" i="72"/>
  <c r="DB664" i="72"/>
  <c r="DC664" i="72" s="1"/>
  <c r="ER673" i="72"/>
  <c r="EQ673" i="72"/>
  <c r="N665" i="72"/>
  <c r="M665" i="72"/>
  <c r="R674" i="72"/>
  <c r="S674" i="72"/>
  <c r="EQ666" i="72"/>
  <c r="ER666" i="72"/>
  <c r="EL662" i="72"/>
  <c r="EM662" i="72"/>
  <c r="S673" i="72"/>
  <c r="R673" i="72"/>
  <c r="BD662" i="72"/>
  <c r="BE662" i="72"/>
  <c r="EQ667" i="72"/>
  <c r="ER667" i="72"/>
  <c r="EL669" i="72"/>
  <c r="EM669" i="72"/>
  <c r="ER671" i="72"/>
  <c r="EQ671" i="72"/>
  <c r="EL664" i="72"/>
  <c r="EM664" i="72"/>
  <c r="EQ663" i="72"/>
  <c r="ER663" i="72"/>
  <c r="M671" i="72"/>
  <c r="N671" i="72"/>
  <c r="R665" i="72"/>
  <c r="S665" i="72"/>
  <c r="N676" i="72"/>
  <c r="M676" i="72"/>
  <c r="EQ675" i="72"/>
  <c r="ER675" i="72"/>
  <c r="ED662" i="72"/>
  <c r="EL665" i="72"/>
  <c r="EM665" i="72"/>
  <c r="T662" i="72"/>
  <c r="U662" i="72" s="1"/>
  <c r="B662" i="72"/>
  <c r="O662" i="72"/>
  <c r="J662" i="72"/>
  <c r="Y662" i="72"/>
  <c r="Z662" i="72" s="1"/>
  <c r="F662" i="72"/>
  <c r="I662" i="72" s="1"/>
  <c r="M667" i="72"/>
  <c r="N667" i="72"/>
  <c r="EM674" i="72"/>
  <c r="EL674" i="72"/>
  <c r="R668" i="72"/>
  <c r="S668" i="72"/>
  <c r="EM672" i="72"/>
  <c r="EL672" i="72"/>
  <c r="DB673" i="72"/>
  <c r="DC673" i="72" s="1"/>
  <c r="CN673" i="72"/>
  <c r="CQ673" i="72" s="1"/>
  <c r="CW673" i="72"/>
  <c r="DG673" i="72"/>
  <c r="DH673" i="72" s="1"/>
  <c r="CJ673" i="72"/>
  <c r="CM673" i="72" s="1"/>
  <c r="CR673" i="72"/>
  <c r="CR663" i="72"/>
  <c r="DB663" i="72"/>
  <c r="DC663" i="72" s="1"/>
  <c r="CN663" i="72"/>
  <c r="CQ663" i="72" s="1"/>
  <c r="DG663" i="72"/>
  <c r="DH663" i="72" s="1"/>
  <c r="CW663" i="72"/>
  <c r="CJ663" i="72"/>
  <c r="CM663" i="72" s="1"/>
  <c r="M672" i="72"/>
  <c r="N672" i="72"/>
  <c r="BJ662" i="72"/>
  <c r="BI662" i="72"/>
  <c r="CW667" i="72"/>
  <c r="CJ667" i="72"/>
  <c r="CM667" i="72" s="1"/>
  <c r="DB667" i="72"/>
  <c r="DC667" i="72" s="1"/>
  <c r="CN667" i="72"/>
  <c r="CQ667" i="72" s="1"/>
  <c r="DG667" i="72"/>
  <c r="DH667" i="72" s="1"/>
  <c r="CR667" i="72"/>
  <c r="ER669" i="72"/>
  <c r="EQ669" i="72"/>
  <c r="CJ671" i="72"/>
  <c r="CM671" i="72" s="1"/>
  <c r="CR671" i="72"/>
  <c r="CW671" i="72"/>
  <c r="CN671" i="72"/>
  <c r="CQ671" i="72" s="1"/>
  <c r="DB671" i="72"/>
  <c r="DC671" i="72" s="1"/>
  <c r="DG671" i="72"/>
  <c r="DH671" i="72" s="1"/>
  <c r="DB676" i="72"/>
  <c r="DC676" i="72" s="1"/>
  <c r="CJ676" i="72"/>
  <c r="CM676" i="72" s="1"/>
  <c r="CW676" i="72"/>
  <c r="CN676" i="72"/>
  <c r="CQ676" i="72" s="1"/>
  <c r="DG676" i="72"/>
  <c r="DH676" i="72" s="1"/>
  <c r="CR676" i="72"/>
  <c r="EL673" i="72"/>
  <c r="EM673" i="72"/>
  <c r="ER670" i="72"/>
  <c r="EQ670" i="72"/>
  <c r="CR668" i="72"/>
  <c r="CW668" i="72"/>
  <c r="DB668" i="72"/>
  <c r="DC668" i="72" s="1"/>
  <c r="CJ668" i="72"/>
  <c r="CM668" i="72" s="1"/>
  <c r="CN668" i="72"/>
  <c r="CQ668" i="72" s="1"/>
  <c r="DG668" i="72"/>
  <c r="DH668" i="72" s="1"/>
  <c r="R671" i="72"/>
  <c r="S671" i="72"/>
  <c r="CR675" i="72"/>
  <c r="DG675" i="72"/>
  <c r="DH675" i="72" s="1"/>
  <c r="CW675" i="72"/>
  <c r="CJ675" i="72"/>
  <c r="CM675" i="72" s="1"/>
  <c r="DB675" i="72"/>
  <c r="DC675" i="72" s="1"/>
  <c r="CN675" i="72"/>
  <c r="CQ675" i="72" s="1"/>
  <c r="R670" i="72"/>
  <c r="S670" i="72"/>
  <c r="M669" i="72"/>
  <c r="N669" i="72"/>
  <c r="DG669" i="72"/>
  <c r="DH669" i="72" s="1"/>
  <c r="CN669" i="72"/>
  <c r="CQ669" i="72" s="1"/>
  <c r="CJ669" i="72"/>
  <c r="CM669" i="72" s="1"/>
  <c r="CR669" i="72"/>
  <c r="DB669" i="72"/>
  <c r="DC669" i="72" s="1"/>
  <c r="CW669" i="72"/>
  <c r="EL671" i="72"/>
  <c r="EM671" i="72"/>
  <c r="EQ674" i="72"/>
  <c r="ER674" i="72"/>
  <c r="M668" i="72"/>
  <c r="N668" i="72"/>
  <c r="EQ672" i="72"/>
  <c r="ER672" i="72"/>
  <c r="CJ670" i="72"/>
  <c r="CM670" i="72" s="1"/>
  <c r="CN670" i="72"/>
  <c r="CQ670" i="72" s="1"/>
  <c r="DB670" i="72"/>
  <c r="DC670" i="72" s="1"/>
  <c r="DG670" i="72"/>
  <c r="DH670" i="72" s="1"/>
  <c r="CR670" i="72"/>
  <c r="CW670" i="72"/>
  <c r="N666" i="72"/>
  <c r="M666" i="72"/>
  <c r="S676" i="72"/>
  <c r="R676" i="72"/>
  <c r="DB665" i="72"/>
  <c r="DC665" i="72" s="1"/>
  <c r="CW665" i="72"/>
  <c r="CN665" i="72"/>
  <c r="CQ665" i="72" s="1"/>
  <c r="DG665" i="72"/>
  <c r="DH665" i="72" s="1"/>
  <c r="CR665" i="72"/>
  <c r="CJ665" i="72"/>
  <c r="CM665" i="72" s="1"/>
  <c r="AV662" i="72"/>
  <c r="EL667" i="72"/>
  <c r="EM667" i="72"/>
  <c r="EM676" i="72"/>
  <c r="EL676" i="72"/>
  <c r="M675" i="72"/>
  <c r="N675" i="72"/>
  <c r="DG672" i="72"/>
  <c r="DH672" i="72" s="1"/>
  <c r="CJ672" i="72"/>
  <c r="CM672" i="72" s="1"/>
  <c r="DB672" i="72"/>
  <c r="DC672" i="72" s="1"/>
  <c r="CW672" i="72"/>
  <c r="CN672" i="72"/>
  <c r="CQ672" i="72" s="1"/>
  <c r="CR672" i="72"/>
  <c r="EL670" i="72"/>
  <c r="EM670" i="72"/>
  <c r="EQ668" i="72"/>
  <c r="ER668" i="72"/>
  <c r="EM666" i="72"/>
  <c r="EL666" i="72"/>
  <c r="EM675" i="72"/>
  <c r="EL675" i="72"/>
  <c r="CJ662" i="72"/>
  <c r="DG662" i="72"/>
  <c r="DH662" i="72" s="1"/>
  <c r="CR662" i="72"/>
  <c r="CW662" i="72"/>
  <c r="DB662" i="72"/>
  <c r="DC662" i="72" s="1"/>
  <c r="CN662" i="72"/>
  <c r="CQ662" i="72" s="1"/>
  <c r="M663" i="72"/>
  <c r="N663" i="72"/>
  <c r="R669" i="72"/>
  <c r="S669" i="72"/>
  <c r="EQ664" i="72"/>
  <c r="ER664" i="72"/>
  <c r="N664" i="72"/>
  <c r="M664" i="72"/>
  <c r="AM609" i="72"/>
  <c r="AQ609" i="72"/>
  <c r="AI609" i="72"/>
  <c r="AY212" i="72"/>
  <c r="BE207" i="72"/>
  <c r="BF207" i="72"/>
  <c r="BI207" i="72"/>
  <c r="BJ207" i="72" s="1"/>
  <c r="BB207" i="72"/>
  <c r="BC207" i="72" s="1"/>
  <c r="G18" i="32"/>
  <c r="F13" i="32"/>
  <c r="AJ580" i="72"/>
  <c r="AT580" i="72"/>
  <c r="AR581" i="72"/>
  <c r="AF581" i="72"/>
  <c r="B610" i="72"/>
  <c r="AV610" i="72" s="1"/>
  <c r="AE609" i="72"/>
  <c r="C609" i="72"/>
  <c r="F609" i="72"/>
  <c r="I609" i="72"/>
  <c r="L609" i="72"/>
  <c r="S583" i="72"/>
  <c r="Y582" i="72"/>
  <c r="Z581" i="72"/>
  <c r="AA581" i="72"/>
  <c r="AB581" i="72"/>
  <c r="X581" i="72"/>
  <c r="AC581" i="72"/>
  <c r="T582" i="72"/>
  <c r="AS582" i="72" s="1"/>
  <c r="U581" i="72"/>
  <c r="V581" i="72" s="1"/>
  <c r="Q582" i="72"/>
  <c r="R583" i="72" s="1"/>
  <c r="P582" i="72"/>
  <c r="AJ581" i="82" l="1"/>
  <c r="AK581" i="82" s="1"/>
  <c r="AW581" i="82"/>
  <c r="AX581" i="82" s="1"/>
  <c r="AT581" i="82"/>
  <c r="AN581" i="82"/>
  <c r="AO581" i="82" s="1"/>
  <c r="AF582" i="82"/>
  <c r="AG582" i="82" s="1"/>
  <c r="U582" i="82"/>
  <c r="V582" i="82" s="1"/>
  <c r="AC582" i="82"/>
  <c r="Z582" i="82"/>
  <c r="AR582" i="82"/>
  <c r="X582" i="82"/>
  <c r="AA582" i="82"/>
  <c r="Q583" i="82"/>
  <c r="R584" i="82" s="1"/>
  <c r="P583" i="82"/>
  <c r="AB582" i="82"/>
  <c r="S584" i="82"/>
  <c r="Y583" i="82"/>
  <c r="T583" i="82"/>
  <c r="AS582" i="82"/>
  <c r="FB662" i="82"/>
  <c r="FB663" i="82" s="1"/>
  <c r="BT662" i="82"/>
  <c r="BT663" i="82" s="1"/>
  <c r="FJ662" i="82"/>
  <c r="FJ663" i="82" s="1"/>
  <c r="DO662" i="82"/>
  <c r="DW662" i="82"/>
  <c r="CU670" i="82"/>
  <c r="CV670" i="82"/>
  <c r="BL752" i="82"/>
  <c r="BM752" i="82" s="1"/>
  <c r="P752" i="82"/>
  <c r="Q752" i="82" s="1"/>
  <c r="J641" i="82"/>
  <c r="CU673" i="82"/>
  <c r="CV673" i="82"/>
  <c r="CB662" i="82"/>
  <c r="CB663" i="82" s="1"/>
  <c r="R662" i="82"/>
  <c r="S662" i="82"/>
  <c r="DA662" i="82"/>
  <c r="CZ662" i="82"/>
  <c r="DA668" i="82"/>
  <c r="CZ668" i="82"/>
  <c r="DA673" i="82"/>
  <c r="CZ673" i="82"/>
  <c r="CV671" i="82"/>
  <c r="CU671" i="82"/>
  <c r="E662" i="82"/>
  <c r="AP662" i="82"/>
  <c r="AH662" i="82"/>
  <c r="CU666" i="82"/>
  <c r="CV666" i="82"/>
  <c r="CM662" i="82"/>
  <c r="DX662" i="82"/>
  <c r="DP662" i="82"/>
  <c r="CU672" i="82"/>
  <c r="CV672" i="82"/>
  <c r="CZ665" i="82"/>
  <c r="DA665" i="82"/>
  <c r="F752" i="82"/>
  <c r="G752" i="82" s="1"/>
  <c r="BB752" i="82"/>
  <c r="BC752" i="82" s="1"/>
  <c r="E641" i="82"/>
  <c r="AI642" i="82"/>
  <c r="C642" i="82"/>
  <c r="AV642" i="82"/>
  <c r="AE642" i="82"/>
  <c r="I642" i="82"/>
  <c r="F642" i="82"/>
  <c r="AQ642" i="82"/>
  <c r="B643" i="82"/>
  <c r="AM642" i="82"/>
  <c r="L642" i="82"/>
  <c r="DA663" i="82"/>
  <c r="CZ663" i="82"/>
  <c r="M662" i="82"/>
  <c r="AC662" i="82" s="1"/>
  <c r="N662" i="82"/>
  <c r="CZ664" i="82"/>
  <c r="DA664" i="82"/>
  <c r="CU662" i="82"/>
  <c r="CV662" i="82"/>
  <c r="CU675" i="82"/>
  <c r="CV675" i="82"/>
  <c r="CU663" i="82"/>
  <c r="CV663" i="82"/>
  <c r="BS662" i="82"/>
  <c r="CA662" i="82"/>
  <c r="CU674" i="82"/>
  <c r="CV674" i="82"/>
  <c r="DV662" i="82"/>
  <c r="DV663" i="82" s="1"/>
  <c r="DV664" i="82" s="1"/>
  <c r="DN662" i="82"/>
  <c r="DN663" i="82" s="1"/>
  <c r="DN664" i="82" s="1"/>
  <c r="K752" i="82"/>
  <c r="L752" i="82" s="1"/>
  <c r="BG752" i="82"/>
  <c r="BH752" i="82" s="1"/>
  <c r="H641" i="82"/>
  <c r="BQ752" i="82"/>
  <c r="BR752" i="82" s="1"/>
  <c r="U752" i="82"/>
  <c r="V752" i="82" s="1"/>
  <c r="N641" i="82"/>
  <c r="DA675" i="82"/>
  <c r="CZ675" i="82"/>
  <c r="FA662" i="82"/>
  <c r="FG663" i="82" s="1"/>
  <c r="FI662" i="82"/>
  <c r="CZ670" i="82"/>
  <c r="DA670" i="82"/>
  <c r="CV668" i="82"/>
  <c r="CU668" i="82"/>
  <c r="CU669" i="82"/>
  <c r="CV669" i="82"/>
  <c r="CV667" i="82"/>
  <c r="CU667" i="82"/>
  <c r="AG662" i="82"/>
  <c r="AO662" i="82"/>
  <c r="CZ666" i="82"/>
  <c r="DA666" i="82"/>
  <c r="CV664" i="82"/>
  <c r="CU664" i="82"/>
  <c r="CZ672" i="82"/>
  <c r="DA672" i="82"/>
  <c r="CU665" i="82"/>
  <c r="CV665" i="82"/>
  <c r="DA669" i="82"/>
  <c r="CZ669" i="82"/>
  <c r="CV676" i="82"/>
  <c r="CU676" i="82"/>
  <c r="AN662" i="82"/>
  <c r="AN663" i="82" s="1"/>
  <c r="AN664" i="82" s="1"/>
  <c r="AF662" i="82"/>
  <c r="AF663" i="82" s="1"/>
  <c r="AF664" i="82" s="1"/>
  <c r="CZ674" i="82"/>
  <c r="DA674" i="82"/>
  <c r="CZ676" i="82"/>
  <c r="DA676" i="82"/>
  <c r="DA671" i="82"/>
  <c r="CZ671" i="82"/>
  <c r="CZ667" i="82"/>
  <c r="DA667" i="82"/>
  <c r="AW581" i="72"/>
  <c r="AN581" i="72"/>
  <c r="BL207" i="72"/>
  <c r="N609" i="72"/>
  <c r="BQ720" i="72"/>
  <c r="BR720" i="72" s="1"/>
  <c r="U720" i="72"/>
  <c r="V720" i="72" s="1"/>
  <c r="J609" i="72"/>
  <c r="BL720" i="72"/>
  <c r="BM720" i="72" s="1"/>
  <c r="P720" i="72"/>
  <c r="Q720" i="72" s="1"/>
  <c r="H609" i="72"/>
  <c r="BG720" i="72"/>
  <c r="BH720" i="72" s="1"/>
  <c r="K720" i="72"/>
  <c r="L720" i="72" s="1"/>
  <c r="E609" i="72"/>
  <c r="BB720" i="72"/>
  <c r="BC720" i="72" s="1"/>
  <c r="F720" i="72"/>
  <c r="G720" i="72" s="1"/>
  <c r="FB662" i="72"/>
  <c r="FB663" i="72" s="1"/>
  <c r="G13" i="32"/>
  <c r="BT662" i="72"/>
  <c r="BT663" i="72" s="1"/>
  <c r="FJ662" i="72"/>
  <c r="FJ663" i="72" s="1"/>
  <c r="FA662" i="72"/>
  <c r="FA663" i="72" s="1"/>
  <c r="FI662" i="72"/>
  <c r="DW662" i="72"/>
  <c r="DO662" i="72"/>
  <c r="DX662" i="72"/>
  <c r="DP662" i="72"/>
  <c r="DN662" i="72"/>
  <c r="DN663" i="72" s="1"/>
  <c r="DN664" i="72" s="1"/>
  <c r="DV662" i="72"/>
  <c r="DV663" i="72" s="1"/>
  <c r="DV664" i="72" s="1"/>
  <c r="BS662" i="72"/>
  <c r="BS663" i="72" s="1"/>
  <c r="CA662" i="72"/>
  <c r="CB662" i="72"/>
  <c r="CB663" i="72" s="1"/>
  <c r="AP662" i="72"/>
  <c r="AF662" i="72"/>
  <c r="AF663" i="72" s="1"/>
  <c r="AF664" i="72" s="1"/>
  <c r="AN662" i="72"/>
  <c r="AN663" i="72" s="1"/>
  <c r="AN664" i="72" s="1"/>
  <c r="AO662" i="72"/>
  <c r="AG662" i="72"/>
  <c r="AH662" i="72"/>
  <c r="CM662" i="72"/>
  <c r="CU665" i="72"/>
  <c r="CV665" i="72"/>
  <c r="DA669" i="72"/>
  <c r="CZ669" i="72"/>
  <c r="CU675" i="72"/>
  <c r="CV675" i="72"/>
  <c r="CV668" i="72"/>
  <c r="CU668" i="72"/>
  <c r="DA676" i="72"/>
  <c r="CZ676" i="72"/>
  <c r="DA667" i="72"/>
  <c r="CZ667" i="72"/>
  <c r="DA674" i="72"/>
  <c r="CZ674" i="72"/>
  <c r="CV672" i="72"/>
  <c r="CU672" i="72"/>
  <c r="CV666" i="72"/>
  <c r="CU666" i="72"/>
  <c r="CZ670" i="72"/>
  <c r="DA670" i="72"/>
  <c r="CV669" i="72"/>
  <c r="CU669" i="72"/>
  <c r="CU674" i="72"/>
  <c r="CV674" i="72"/>
  <c r="DA672" i="72"/>
  <c r="CZ672" i="72"/>
  <c r="DA665" i="72"/>
  <c r="CZ665" i="72"/>
  <c r="CV670" i="72"/>
  <c r="CU670" i="72"/>
  <c r="CV667" i="72"/>
  <c r="CU667" i="72"/>
  <c r="CU663" i="72"/>
  <c r="CV663" i="72"/>
  <c r="CV673" i="72"/>
  <c r="CU673" i="72"/>
  <c r="N662" i="72"/>
  <c r="M662" i="72"/>
  <c r="DA662" i="72"/>
  <c r="CZ662" i="72"/>
  <c r="CU676" i="72"/>
  <c r="CV676" i="72"/>
  <c r="R662" i="72"/>
  <c r="S662" i="72"/>
  <c r="DA664" i="72"/>
  <c r="CZ664" i="72"/>
  <c r="CV662" i="72"/>
  <c r="CU662" i="72"/>
  <c r="DA675" i="72"/>
  <c r="CZ675" i="72"/>
  <c r="CZ671" i="72"/>
  <c r="DA671" i="72"/>
  <c r="E662" i="72"/>
  <c r="CV664" i="72"/>
  <c r="CU664" i="72"/>
  <c r="CZ668" i="72"/>
  <c r="DA668" i="72"/>
  <c r="CU671" i="72"/>
  <c r="CV671" i="72"/>
  <c r="CZ663" i="72"/>
  <c r="DA663" i="72"/>
  <c r="CZ673" i="72"/>
  <c r="DA673" i="72"/>
  <c r="CZ666" i="72"/>
  <c r="DA666" i="72"/>
  <c r="BB212" i="72"/>
  <c r="BC212" i="72" s="1"/>
  <c r="AY215" i="72"/>
  <c r="BI212" i="72"/>
  <c r="BJ212" i="72" s="1"/>
  <c r="BE212" i="72"/>
  <c r="BF212" i="72"/>
  <c r="AM610" i="72"/>
  <c r="AQ610" i="72"/>
  <c r="AI610" i="72"/>
  <c r="AJ581" i="72"/>
  <c r="AR582" i="72"/>
  <c r="AF582" i="72"/>
  <c r="AT581" i="72"/>
  <c r="B611" i="72"/>
  <c r="AV611" i="72" s="1"/>
  <c r="AE610" i="72"/>
  <c r="C610" i="72"/>
  <c r="L610" i="72"/>
  <c r="F610" i="72"/>
  <c r="I610" i="72"/>
  <c r="S584" i="72"/>
  <c r="Y583" i="72"/>
  <c r="T583" i="72"/>
  <c r="AS583" i="72" s="1"/>
  <c r="X582" i="72"/>
  <c r="Z582" i="72"/>
  <c r="AA582" i="72"/>
  <c r="AB582" i="72"/>
  <c r="AC582" i="72"/>
  <c r="P583" i="72"/>
  <c r="Q583" i="72"/>
  <c r="R584" i="72" s="1"/>
  <c r="U582" i="72"/>
  <c r="V582" i="72" s="1"/>
  <c r="DS662" i="82" l="1"/>
  <c r="BY663" i="82"/>
  <c r="AT582" i="82"/>
  <c r="AN582" i="82"/>
  <c r="AO582" i="82" s="1"/>
  <c r="AW582" i="82"/>
  <c r="AX582" i="82" s="1"/>
  <c r="AJ582" i="82"/>
  <c r="AK582" i="82" s="1"/>
  <c r="U583" i="82"/>
  <c r="V583" i="82" s="1"/>
  <c r="AR583" i="82"/>
  <c r="AC583" i="82"/>
  <c r="AF583" i="82"/>
  <c r="AG583" i="82" s="1"/>
  <c r="AA583" i="82"/>
  <c r="Q584" i="82"/>
  <c r="R585" i="82" s="1"/>
  <c r="P584" i="82"/>
  <c r="AB583" i="82"/>
  <c r="Z583" i="82"/>
  <c r="X583" i="82"/>
  <c r="Y584" i="82"/>
  <c r="S585" i="82"/>
  <c r="AS583" i="82"/>
  <c r="T584" i="82"/>
  <c r="DK662" i="82"/>
  <c r="DK663" i="82" s="1"/>
  <c r="FN663" i="82"/>
  <c r="CG663" i="82"/>
  <c r="AK662" i="82"/>
  <c r="AK663" i="82" s="1"/>
  <c r="DS663" i="82"/>
  <c r="AC663" i="82"/>
  <c r="FF663" i="82"/>
  <c r="BQ753" i="82"/>
  <c r="BR753" i="82" s="1"/>
  <c r="U753" i="82"/>
  <c r="V753" i="82" s="1"/>
  <c r="N642" i="82"/>
  <c r="K753" i="82"/>
  <c r="L753" i="82" s="1"/>
  <c r="BG753" i="82"/>
  <c r="BH753" i="82" s="1"/>
  <c r="H642" i="82"/>
  <c r="DJ662" i="82"/>
  <c r="DR662" i="82"/>
  <c r="DW663" i="82" s="1"/>
  <c r="AQ643" i="82"/>
  <c r="AV643" i="82"/>
  <c r="F643" i="82"/>
  <c r="AE643" i="82"/>
  <c r="I643" i="82"/>
  <c r="C643" i="82"/>
  <c r="B644" i="82"/>
  <c r="AI643" i="82"/>
  <c r="L643" i="82"/>
  <c r="AM643" i="82"/>
  <c r="P753" i="82"/>
  <c r="Q753" i="82" s="1"/>
  <c r="BL753" i="82"/>
  <c r="BM753" i="82" s="1"/>
  <c r="J642" i="82"/>
  <c r="CA663" i="82"/>
  <c r="CC663" i="82"/>
  <c r="CD664" i="82" s="1"/>
  <c r="CE665" i="82" s="1"/>
  <c r="AB662" i="82"/>
  <c r="AH663" i="82" s="1"/>
  <c r="AJ662" i="82"/>
  <c r="FK663" i="82"/>
  <c r="FL664" i="82" s="1"/>
  <c r="FM665" i="82" s="1"/>
  <c r="FI663" i="82"/>
  <c r="BU663" i="82"/>
  <c r="BS663" i="82"/>
  <c r="CF663" i="82"/>
  <c r="FC663" i="82"/>
  <c r="FA663" i="82"/>
  <c r="FO663" i="82"/>
  <c r="BB753" i="82"/>
  <c r="BC753" i="82" s="1"/>
  <c r="F753" i="82"/>
  <c r="G753" i="82" s="1"/>
  <c r="E642" i="82"/>
  <c r="FW662" i="82"/>
  <c r="GM662" i="82" s="1"/>
  <c r="BX663" i="82"/>
  <c r="AW582" i="72"/>
  <c r="AN582" i="72"/>
  <c r="BL212" i="72"/>
  <c r="H610" i="72"/>
  <c r="BG721" i="72"/>
  <c r="BH721" i="72" s="1"/>
  <c r="K721" i="72"/>
  <c r="L721" i="72" s="1"/>
  <c r="N610" i="72"/>
  <c r="BQ721" i="72"/>
  <c r="BR721" i="72" s="1"/>
  <c r="U721" i="72"/>
  <c r="V721" i="72" s="1"/>
  <c r="E610" i="72"/>
  <c r="BB721" i="72"/>
  <c r="BC721" i="72" s="1"/>
  <c r="F721" i="72"/>
  <c r="G721" i="72" s="1"/>
  <c r="J610" i="72"/>
  <c r="P721" i="72"/>
  <c r="Q721" i="72" s="1"/>
  <c r="BL721" i="72"/>
  <c r="BM721" i="72" s="1"/>
  <c r="FW662" i="72"/>
  <c r="GM662" i="72" s="1"/>
  <c r="CG663" i="72"/>
  <c r="FI663" i="72"/>
  <c r="FK663" i="72"/>
  <c r="FL664" i="72" s="1"/>
  <c r="FM665" i="72" s="1"/>
  <c r="FO663" i="72"/>
  <c r="FN663" i="72"/>
  <c r="DS662" i="72"/>
  <c r="DS663" i="72" s="1"/>
  <c r="CF663" i="72"/>
  <c r="DR662" i="72"/>
  <c r="DR663" i="72" s="1"/>
  <c r="DJ662" i="72"/>
  <c r="DK662" i="72"/>
  <c r="DK663" i="72" s="1"/>
  <c r="AC662" i="72"/>
  <c r="AC663" i="72" s="1"/>
  <c r="CC663" i="72"/>
  <c r="CD664" i="72" s="1"/>
  <c r="CE665" i="72" s="1"/>
  <c r="CA663" i="72"/>
  <c r="AK662" i="72"/>
  <c r="AK663" i="72" s="1"/>
  <c r="AB662" i="72"/>
  <c r="AJ662" i="72"/>
  <c r="FG663" i="72"/>
  <c r="BX663" i="72"/>
  <c r="FC663" i="72"/>
  <c r="FD664" i="72" s="1"/>
  <c r="FE665" i="72" s="1"/>
  <c r="BU663" i="72"/>
  <c r="BV664" i="72" s="1"/>
  <c r="BW665" i="72" s="1"/>
  <c r="BY663" i="72"/>
  <c r="FF663" i="72"/>
  <c r="BU664" i="72"/>
  <c r="BV665" i="72" s="1"/>
  <c r="FC664" i="72"/>
  <c r="FD665" i="72" s="1"/>
  <c r="AM611" i="72"/>
  <c r="AQ611" i="72"/>
  <c r="AI611" i="72"/>
  <c r="AY220" i="72"/>
  <c r="BB215" i="72"/>
  <c r="BC215" i="72" s="1"/>
  <c r="BF215" i="72"/>
  <c r="BE215" i="72"/>
  <c r="AR583" i="72"/>
  <c r="AF583" i="72"/>
  <c r="AT582" i="72"/>
  <c r="AJ582" i="72"/>
  <c r="B612" i="72"/>
  <c r="AV612" i="72" s="1"/>
  <c r="AE611" i="72"/>
  <c r="I611" i="72"/>
  <c r="L611" i="72"/>
  <c r="F611" i="72"/>
  <c r="C611" i="72"/>
  <c r="S585" i="72"/>
  <c r="Y584" i="72"/>
  <c r="Z583" i="72"/>
  <c r="X583" i="72"/>
  <c r="AA583" i="72"/>
  <c r="AB583" i="72"/>
  <c r="AC583" i="72"/>
  <c r="T584" i="72"/>
  <c r="AS584" i="72" s="1"/>
  <c r="P584" i="72"/>
  <c r="Q584" i="72"/>
  <c r="R585" i="72" s="1"/>
  <c r="U583" i="72"/>
  <c r="V583" i="72" s="1"/>
  <c r="DO663" i="82" l="1"/>
  <c r="AJ583" i="82"/>
  <c r="AK583" i="82" s="1"/>
  <c r="AR584" i="82"/>
  <c r="AC584" i="82"/>
  <c r="AA584" i="82"/>
  <c r="AF584" i="82"/>
  <c r="AG584" i="82" s="1"/>
  <c r="Q585" i="82"/>
  <c r="R586" i="82" s="1"/>
  <c r="Z584" i="82"/>
  <c r="U584" i="82"/>
  <c r="V584" i="82" s="1"/>
  <c r="AB584" i="82"/>
  <c r="P585" i="82"/>
  <c r="X584" i="82"/>
  <c r="T585" i="82"/>
  <c r="AS584" i="82"/>
  <c r="Y585" i="82"/>
  <c r="S586" i="82"/>
  <c r="AN583" i="82"/>
  <c r="AO583" i="82" s="1"/>
  <c r="AT583" i="82"/>
  <c r="AW583" i="82"/>
  <c r="AX583" i="82" s="1"/>
  <c r="BY664" i="82"/>
  <c r="AO663" i="82"/>
  <c r="DX663" i="82"/>
  <c r="AG663" i="82"/>
  <c r="AP663" i="82"/>
  <c r="FO664" i="82"/>
  <c r="BV664" i="82"/>
  <c r="BW665" i="82" s="1"/>
  <c r="BT664" i="82"/>
  <c r="CC664" i="82"/>
  <c r="CD665" i="82" s="1"/>
  <c r="CE666" i="82" s="1"/>
  <c r="CA664" i="82"/>
  <c r="P754" i="82"/>
  <c r="Q754" i="82" s="1"/>
  <c r="BL754" i="82"/>
  <c r="BM754" i="82" s="1"/>
  <c r="J643" i="82"/>
  <c r="FA664" i="82"/>
  <c r="FC664" i="82"/>
  <c r="FD665" i="82" s="1"/>
  <c r="FI664" i="82"/>
  <c r="FK664" i="82"/>
  <c r="FL665" i="82" s="1"/>
  <c r="FM666" i="82" s="1"/>
  <c r="FF664" i="82"/>
  <c r="FD664" i="82"/>
  <c r="FE665" i="82" s="1"/>
  <c r="FB664" i="82"/>
  <c r="C644" i="82"/>
  <c r="B645" i="82"/>
  <c r="AM644" i="82"/>
  <c r="AE644" i="82"/>
  <c r="AQ644" i="82"/>
  <c r="F644" i="82"/>
  <c r="AV644" i="82"/>
  <c r="AI644" i="82"/>
  <c r="L644" i="82"/>
  <c r="I644" i="82"/>
  <c r="BG754" i="82"/>
  <c r="BH754" i="82" s="1"/>
  <c r="K754" i="82"/>
  <c r="L754" i="82" s="1"/>
  <c r="H643" i="82"/>
  <c r="F754" i="82"/>
  <c r="G754" i="82" s="1"/>
  <c r="BB754" i="82"/>
  <c r="BC754" i="82" s="1"/>
  <c r="E643" i="82"/>
  <c r="CG664" i="82"/>
  <c r="BX664" i="82"/>
  <c r="FJ664" i="82"/>
  <c r="AL663" i="82"/>
  <c r="AJ663" i="82"/>
  <c r="CF664" i="82"/>
  <c r="FU662" i="82"/>
  <c r="AB663" i="82"/>
  <c r="FT662" i="82"/>
  <c r="AD663" i="82"/>
  <c r="FQ662" i="82"/>
  <c r="FR662" i="82" s="1"/>
  <c r="DR663" i="82"/>
  <c r="DT663" i="82"/>
  <c r="FN664" i="82"/>
  <c r="BS664" i="82"/>
  <c r="BU664" i="82"/>
  <c r="BV665" i="82" s="1"/>
  <c r="CB664" i="82"/>
  <c r="BQ754" i="82"/>
  <c r="BR754" i="82" s="1"/>
  <c r="U754" i="82"/>
  <c r="V754" i="82" s="1"/>
  <c r="N643" i="82"/>
  <c r="DJ663" i="82"/>
  <c r="DL663" i="82"/>
  <c r="DP663" i="82"/>
  <c r="FG664" i="82"/>
  <c r="AW583" i="72"/>
  <c r="AN583" i="72"/>
  <c r="H611" i="72"/>
  <c r="BG722" i="72"/>
  <c r="BH722" i="72" s="1"/>
  <c r="K722" i="72"/>
  <c r="L722" i="72" s="1"/>
  <c r="N611" i="72"/>
  <c r="BQ722" i="72"/>
  <c r="BR722" i="72" s="1"/>
  <c r="U722" i="72"/>
  <c r="V722" i="72" s="1"/>
  <c r="J611" i="72"/>
  <c r="P722" i="72"/>
  <c r="Q722" i="72" s="1"/>
  <c r="BL722" i="72"/>
  <c r="BM722" i="72" s="1"/>
  <c r="E611" i="72"/>
  <c r="BB722" i="72"/>
  <c r="BC722" i="72" s="1"/>
  <c r="F722" i="72"/>
  <c r="G722" i="72" s="1"/>
  <c r="FN664" i="72"/>
  <c r="FJ664" i="72"/>
  <c r="AB663" i="72"/>
  <c r="AD664" i="72" s="1"/>
  <c r="AE665" i="72" s="1"/>
  <c r="FU662" i="72"/>
  <c r="FT662" i="72"/>
  <c r="FQ662" i="72"/>
  <c r="FR662" i="72" s="1"/>
  <c r="FO664" i="72"/>
  <c r="FI664" i="72"/>
  <c r="FK664" i="72"/>
  <c r="FL665" i="72" s="1"/>
  <c r="FM666" i="72" s="1"/>
  <c r="DW663" i="72"/>
  <c r="DT664" i="72"/>
  <c r="DU665" i="72" s="1"/>
  <c r="DT663" i="72"/>
  <c r="DR664" i="72" s="1"/>
  <c r="DX663" i="72"/>
  <c r="CA664" i="72"/>
  <c r="CC664" i="72"/>
  <c r="CD665" i="72" s="1"/>
  <c r="CE666" i="72" s="1"/>
  <c r="CG664" i="72"/>
  <c r="CB664" i="72"/>
  <c r="CF664" i="72"/>
  <c r="FA664" i="72"/>
  <c r="FA665" i="72" s="1"/>
  <c r="FB664" i="72"/>
  <c r="FB665" i="72" s="1"/>
  <c r="AP663" i="72"/>
  <c r="AJ663" i="72"/>
  <c r="AL663" i="72"/>
  <c r="AM664" i="72" s="1"/>
  <c r="AN665" i="72" s="1"/>
  <c r="AO663" i="72"/>
  <c r="FE666" i="72"/>
  <c r="FF664" i="72"/>
  <c r="BT664" i="72"/>
  <c r="BT665" i="72" s="1"/>
  <c r="FG664" i="72"/>
  <c r="BW666" i="72"/>
  <c r="BX664" i="72"/>
  <c r="BS664" i="72"/>
  <c r="BY664" i="72"/>
  <c r="AD663" i="72"/>
  <c r="AE664" i="72" s="1"/>
  <c r="AF665" i="72" s="1"/>
  <c r="AG663" i="72"/>
  <c r="AH663" i="72"/>
  <c r="DL663" i="72"/>
  <c r="DJ663" i="72"/>
  <c r="DO663" i="72"/>
  <c r="DP663" i="72"/>
  <c r="BF220" i="72"/>
  <c r="AY223" i="72"/>
  <c r="BE220" i="72"/>
  <c r="BB220" i="72"/>
  <c r="BC220" i="72" s="1"/>
  <c r="BI220" i="72"/>
  <c r="BJ220" i="72" s="1"/>
  <c r="AQ612" i="72"/>
  <c r="AM612" i="72"/>
  <c r="AI612" i="72"/>
  <c r="AF584" i="72"/>
  <c r="AR584" i="72"/>
  <c r="AJ583" i="72"/>
  <c r="AT583" i="72"/>
  <c r="B613" i="72"/>
  <c r="AV613" i="72" s="1"/>
  <c r="AE612" i="72"/>
  <c r="F612" i="72"/>
  <c r="C612" i="72"/>
  <c r="I612" i="72"/>
  <c r="L612" i="72"/>
  <c r="Z584" i="72"/>
  <c r="AA584" i="72"/>
  <c r="AB584" i="72"/>
  <c r="AC584" i="72"/>
  <c r="X584" i="72"/>
  <c r="S586" i="72"/>
  <c r="Y585" i="72"/>
  <c r="Q585" i="72"/>
  <c r="R586" i="72" s="1"/>
  <c r="P585" i="72"/>
  <c r="U584" i="72"/>
  <c r="V584" i="72" s="1"/>
  <c r="T585" i="72"/>
  <c r="AS585" i="72" s="1"/>
  <c r="AW584" i="82" l="1"/>
  <c r="AX584" i="82" s="1"/>
  <c r="AT584" i="82"/>
  <c r="AN584" i="82"/>
  <c r="AO584" i="82" s="1"/>
  <c r="S587" i="82"/>
  <c r="Y586" i="82"/>
  <c r="AS585" i="82"/>
  <c r="T586" i="82"/>
  <c r="AJ584" i="82"/>
  <c r="AK584" i="82" s="1"/>
  <c r="X585" i="82"/>
  <c r="AF585" i="82"/>
  <c r="AG585" i="82" s="1"/>
  <c r="AB585" i="82"/>
  <c r="AR585" i="82"/>
  <c r="Z585" i="82"/>
  <c r="Q586" i="82"/>
  <c r="R587" i="82" s="1"/>
  <c r="AA585" i="82"/>
  <c r="AC585" i="82"/>
  <c r="P586" i="82"/>
  <c r="U585" i="82"/>
  <c r="V585" i="82" s="1"/>
  <c r="FJ665" i="82"/>
  <c r="FW663" i="82"/>
  <c r="GM663" i="82" s="1"/>
  <c r="FE666" i="82"/>
  <c r="CB665" i="82"/>
  <c r="FG665" i="82"/>
  <c r="AG664" i="82"/>
  <c r="FF665" i="82"/>
  <c r="DO664" i="82"/>
  <c r="FN665" i="82"/>
  <c r="CF665" i="82"/>
  <c r="DU664" i="82"/>
  <c r="DV665" i="82" s="1"/>
  <c r="DS664" i="82"/>
  <c r="F755" i="82"/>
  <c r="G755" i="82" s="1"/>
  <c r="BB755" i="82"/>
  <c r="BC755" i="82" s="1"/>
  <c r="E644" i="82"/>
  <c r="DR664" i="82"/>
  <c r="DT664" i="82"/>
  <c r="DU665" i="82" s="1"/>
  <c r="AL664" i="82"/>
  <c r="AM665" i="82" s="1"/>
  <c r="AJ664" i="82"/>
  <c r="BG755" i="82"/>
  <c r="BH755" i="82" s="1"/>
  <c r="K755" i="82"/>
  <c r="L755" i="82" s="1"/>
  <c r="H644" i="82"/>
  <c r="BT665" i="82"/>
  <c r="DW664" i="82"/>
  <c r="AM664" i="82"/>
  <c r="AN665" i="82" s="1"/>
  <c r="AK664" i="82"/>
  <c r="P755" i="82"/>
  <c r="Q755" i="82" s="1"/>
  <c r="BL755" i="82"/>
  <c r="BM755" i="82" s="1"/>
  <c r="J644" i="82"/>
  <c r="FI665" i="82"/>
  <c r="FK665" i="82"/>
  <c r="FL666" i="82" s="1"/>
  <c r="FM667" i="82" s="1"/>
  <c r="BW666" i="82"/>
  <c r="U755" i="82"/>
  <c r="V755" i="82" s="1"/>
  <c r="BQ755" i="82"/>
  <c r="BR755" i="82" s="1"/>
  <c r="N644" i="82"/>
  <c r="FB665" i="82"/>
  <c r="DP664" i="82"/>
  <c r="AE664" i="82"/>
  <c r="AF665" i="82" s="1"/>
  <c r="AC664" i="82"/>
  <c r="BX665" i="82"/>
  <c r="FA665" i="82"/>
  <c r="FC665" i="82"/>
  <c r="FD666" i="82" s="1"/>
  <c r="FO665" i="82"/>
  <c r="DM664" i="82"/>
  <c r="DN665" i="82" s="1"/>
  <c r="DK664" i="82"/>
  <c r="BS665" i="82"/>
  <c r="BU665" i="82"/>
  <c r="BV666" i="82" s="1"/>
  <c r="FV662" i="82"/>
  <c r="GD662" i="82"/>
  <c r="GE662" i="82" s="1"/>
  <c r="CG665" i="82"/>
  <c r="DX664" i="82"/>
  <c r="BY665" i="82"/>
  <c r="DJ664" i="82"/>
  <c r="DL664" i="82"/>
  <c r="DM665" i="82" s="1"/>
  <c r="FU663" i="82"/>
  <c r="AB664" i="82"/>
  <c r="FQ663" i="82"/>
  <c r="FR663" i="82" s="1"/>
  <c r="AD664" i="82"/>
  <c r="AE665" i="82" s="1"/>
  <c r="FT663" i="82"/>
  <c r="AP664" i="82"/>
  <c r="AH664" i="82"/>
  <c r="GQ662" i="82"/>
  <c r="GN662" i="82"/>
  <c r="GH662" i="82"/>
  <c r="GY662" i="82"/>
  <c r="GU662" i="82"/>
  <c r="AV645" i="82"/>
  <c r="I645" i="82"/>
  <c r="F645" i="82"/>
  <c r="AQ645" i="82"/>
  <c r="AE645" i="82"/>
  <c r="L645" i="82"/>
  <c r="AM645" i="82"/>
  <c r="AI645" i="82"/>
  <c r="B646" i="82"/>
  <c r="C645" i="82"/>
  <c r="CC665" i="82"/>
  <c r="CD666" i="82" s="1"/>
  <c r="CE667" i="82" s="1"/>
  <c r="CA665" i="82"/>
  <c r="AO664" i="82"/>
  <c r="GU662" i="72"/>
  <c r="GQ662" i="72"/>
  <c r="GH662" i="72"/>
  <c r="GY662" i="72"/>
  <c r="AW584" i="72"/>
  <c r="AN584" i="72"/>
  <c r="BL220" i="72"/>
  <c r="FV662" i="72"/>
  <c r="FZ662" i="72" s="1"/>
  <c r="GA662" i="72" s="1"/>
  <c r="J612" i="72"/>
  <c r="BL723" i="72"/>
  <c r="BM723" i="72" s="1"/>
  <c r="P723" i="72"/>
  <c r="Q723" i="72" s="1"/>
  <c r="E612" i="72"/>
  <c r="BB723" i="72"/>
  <c r="BC723" i="72" s="1"/>
  <c r="F723" i="72"/>
  <c r="G723" i="72" s="1"/>
  <c r="H612" i="72"/>
  <c r="BG723" i="72"/>
  <c r="BH723" i="72" s="1"/>
  <c r="K723" i="72"/>
  <c r="L723" i="72" s="1"/>
  <c r="N612" i="72"/>
  <c r="BQ723" i="72"/>
  <c r="BR723" i="72" s="1"/>
  <c r="U723" i="72"/>
  <c r="V723" i="72" s="1"/>
  <c r="FW663" i="72"/>
  <c r="GM663" i="72" s="1"/>
  <c r="GN662" i="72"/>
  <c r="GD662" i="72"/>
  <c r="GE662" i="72" s="1"/>
  <c r="DU664" i="72"/>
  <c r="DV665" i="72" s="1"/>
  <c r="DV666" i="72" s="1"/>
  <c r="CB665" i="72"/>
  <c r="DS664" i="72"/>
  <c r="DT665" i="72" s="1"/>
  <c r="DU666" i="72" s="1"/>
  <c r="DX664" i="72"/>
  <c r="CF665" i="72"/>
  <c r="FJ665" i="72"/>
  <c r="FN665" i="72"/>
  <c r="FO665" i="72"/>
  <c r="FK665" i="72"/>
  <c r="FL666" i="72" s="1"/>
  <c r="FM667" i="72" s="1"/>
  <c r="FI665" i="72"/>
  <c r="FT663" i="72"/>
  <c r="FU663" i="72"/>
  <c r="FQ663" i="72"/>
  <c r="FR663" i="72" s="1"/>
  <c r="DW664" i="72"/>
  <c r="AK664" i="72"/>
  <c r="FC665" i="72"/>
  <c r="FD666" i="72" s="1"/>
  <c r="FE667" i="72" s="1"/>
  <c r="CG665" i="72"/>
  <c r="CC665" i="72"/>
  <c r="CD666" i="72" s="1"/>
  <c r="CE667" i="72" s="1"/>
  <c r="CA665" i="72"/>
  <c r="FF665" i="72"/>
  <c r="AO664" i="72"/>
  <c r="FG665" i="72"/>
  <c r="AF666" i="72"/>
  <c r="AB664" i="72"/>
  <c r="AJ664" i="72"/>
  <c r="AL664" i="72"/>
  <c r="AM665" i="72" s="1"/>
  <c r="AN666" i="72" s="1"/>
  <c r="AP664" i="72"/>
  <c r="AG664" i="72"/>
  <c r="BU665" i="72"/>
  <c r="BV666" i="72" s="1"/>
  <c r="BW667" i="72" s="1"/>
  <c r="BY665" i="72"/>
  <c r="BX665" i="72"/>
  <c r="BS665" i="72"/>
  <c r="BU666" i="72" s="1"/>
  <c r="BV667" i="72" s="1"/>
  <c r="AC664" i="72"/>
  <c r="AC665" i="72" s="1"/>
  <c r="DO664" i="72"/>
  <c r="AH664" i="72"/>
  <c r="FC666" i="72"/>
  <c r="FD667" i="72" s="1"/>
  <c r="DL664" i="72"/>
  <c r="DM665" i="72" s="1"/>
  <c r="DJ664" i="72"/>
  <c r="DM664" i="72"/>
  <c r="DN665" i="72" s="1"/>
  <c r="DK664" i="72"/>
  <c r="DP664" i="72"/>
  <c r="AQ613" i="72"/>
  <c r="AM613" i="72"/>
  <c r="AI613" i="72"/>
  <c r="BE223" i="72"/>
  <c r="BB223" i="72"/>
  <c r="BC223" i="72" s="1"/>
  <c r="BF223" i="72"/>
  <c r="AY228" i="72"/>
  <c r="AT584" i="72"/>
  <c r="AJ584" i="72"/>
  <c r="AF585" i="72"/>
  <c r="AR585" i="72"/>
  <c r="B614" i="72"/>
  <c r="AV614" i="72" s="1"/>
  <c r="AE613" i="72"/>
  <c r="I613" i="72"/>
  <c r="F613" i="72"/>
  <c r="L613" i="72"/>
  <c r="C613" i="72"/>
  <c r="Z585" i="72"/>
  <c r="AA585" i="72"/>
  <c r="AB585" i="72"/>
  <c r="AC585" i="72"/>
  <c r="X585" i="72"/>
  <c r="S587" i="72"/>
  <c r="Y586" i="72"/>
  <c r="T586" i="72"/>
  <c r="AS586" i="72" s="1"/>
  <c r="Q586" i="72"/>
  <c r="R587" i="72" s="1"/>
  <c r="U585" i="72"/>
  <c r="V585" i="72" s="1"/>
  <c r="P586" i="72"/>
  <c r="AS586" i="82" l="1"/>
  <c r="T587" i="82"/>
  <c r="S588" i="82"/>
  <c r="Y587" i="82"/>
  <c r="AW585" i="82"/>
  <c r="AX585" i="82" s="1"/>
  <c r="AN585" i="82"/>
  <c r="AO585" i="82" s="1"/>
  <c r="AT585" i="82"/>
  <c r="P587" i="82"/>
  <c r="AR586" i="82"/>
  <c r="AC586" i="82"/>
  <c r="Z586" i="82"/>
  <c r="Q587" i="82"/>
  <c r="R588" i="82" s="1"/>
  <c r="AF586" i="82"/>
  <c r="AG586" i="82" s="1"/>
  <c r="X586" i="82"/>
  <c r="AB586" i="82"/>
  <c r="U586" i="82"/>
  <c r="V586" i="82" s="1"/>
  <c r="AA586" i="82"/>
  <c r="AJ585" i="82"/>
  <c r="AK585" i="82" s="1"/>
  <c r="FJ666" i="82"/>
  <c r="FG666" i="82"/>
  <c r="DX665" i="82"/>
  <c r="AN666" i="82"/>
  <c r="FN666" i="82"/>
  <c r="FE667" i="82"/>
  <c r="AO665" i="82"/>
  <c r="AK665" i="82"/>
  <c r="CC666" i="82"/>
  <c r="CD667" i="82" s="1"/>
  <c r="CE668" i="82" s="1"/>
  <c r="CA666" i="82"/>
  <c r="BL756" i="82"/>
  <c r="BM756" i="82" s="1"/>
  <c r="P756" i="82"/>
  <c r="Q756" i="82" s="1"/>
  <c r="J645" i="82"/>
  <c r="CG666" i="82"/>
  <c r="FO666" i="82"/>
  <c r="AF666" i="82"/>
  <c r="BT666" i="82"/>
  <c r="BQ756" i="82"/>
  <c r="BR756" i="82" s="1"/>
  <c r="U756" i="82"/>
  <c r="V756" i="82" s="1"/>
  <c r="N645" i="82"/>
  <c r="AH665" i="82"/>
  <c r="DJ665" i="82"/>
  <c r="DL665" i="82"/>
  <c r="DM666" i="82" s="1"/>
  <c r="DP665" i="82"/>
  <c r="DR665" i="82"/>
  <c r="DT665" i="82"/>
  <c r="DU666" i="82" s="1"/>
  <c r="CF666" i="82"/>
  <c r="AP665" i="82"/>
  <c r="GL662" i="82"/>
  <c r="FZ662" i="82"/>
  <c r="GA662" i="82" s="1"/>
  <c r="FC666" i="82"/>
  <c r="FD667" i="82" s="1"/>
  <c r="FA666" i="82"/>
  <c r="DS665" i="82"/>
  <c r="F756" i="82"/>
  <c r="G756" i="82" s="1"/>
  <c r="BB756" i="82"/>
  <c r="BC756" i="82" s="1"/>
  <c r="E645" i="82"/>
  <c r="GD663" i="82"/>
  <c r="GE663" i="82" s="1"/>
  <c r="FV663" i="82"/>
  <c r="BY666" i="82"/>
  <c r="FB666" i="82"/>
  <c r="FF666" i="82"/>
  <c r="DV666" i="82"/>
  <c r="BU666" i="82"/>
  <c r="BV667" i="82" s="1"/>
  <c r="BS666" i="82"/>
  <c r="BW667" i="82"/>
  <c r="DW665" i="82"/>
  <c r="AI646" i="82"/>
  <c r="AV646" i="82"/>
  <c r="B647" i="82"/>
  <c r="AM646" i="82"/>
  <c r="L646" i="82"/>
  <c r="C646" i="82"/>
  <c r="AE646" i="82"/>
  <c r="F646" i="82"/>
  <c r="AQ646" i="82"/>
  <c r="I646" i="82"/>
  <c r="DK665" i="82"/>
  <c r="CB666" i="82"/>
  <c r="BG756" i="82"/>
  <c r="BH756" i="82" s="1"/>
  <c r="K756" i="82"/>
  <c r="L756" i="82" s="1"/>
  <c r="H645" i="82"/>
  <c r="FT664" i="82"/>
  <c r="AD665" i="82"/>
  <c r="AE666" i="82" s="1"/>
  <c r="FU664" i="82"/>
  <c r="AB665" i="82"/>
  <c r="FQ664" i="82"/>
  <c r="FR664" i="82" s="1"/>
  <c r="DN666" i="82"/>
  <c r="BX666" i="82"/>
  <c r="FI666" i="82"/>
  <c r="FK666" i="82"/>
  <c r="FL667" i="82" s="1"/>
  <c r="FM668" i="82" s="1"/>
  <c r="AL665" i="82"/>
  <c r="AM666" i="82" s="1"/>
  <c r="AJ665" i="82"/>
  <c r="DO665" i="82"/>
  <c r="GY663" i="82"/>
  <c r="GQ663" i="82"/>
  <c r="GU663" i="82"/>
  <c r="GH663" i="82"/>
  <c r="GN663" i="82"/>
  <c r="FW664" i="82"/>
  <c r="GM664" i="82" s="1"/>
  <c r="AC665" i="82"/>
  <c r="AG665" i="82"/>
  <c r="AN585" i="72"/>
  <c r="AW585" i="72"/>
  <c r="GY663" i="72"/>
  <c r="GU663" i="72"/>
  <c r="GQ663" i="72"/>
  <c r="H613" i="72"/>
  <c r="BG724" i="72"/>
  <c r="BH724" i="72" s="1"/>
  <c r="K724" i="72"/>
  <c r="L724" i="72" s="1"/>
  <c r="J613" i="72"/>
  <c r="BL724" i="72"/>
  <c r="BM724" i="72" s="1"/>
  <c r="P724" i="72"/>
  <c r="Q724" i="72" s="1"/>
  <c r="E613" i="72"/>
  <c r="BB724" i="72"/>
  <c r="BC724" i="72" s="1"/>
  <c r="F724" i="72"/>
  <c r="G724" i="72" s="1"/>
  <c r="N613" i="72"/>
  <c r="BQ724" i="72"/>
  <c r="BR724" i="72" s="1"/>
  <c r="U724" i="72"/>
  <c r="V724" i="72" s="1"/>
  <c r="DR665" i="72"/>
  <c r="DR666" i="72" s="1"/>
  <c r="DW665" i="72"/>
  <c r="DS665" i="72"/>
  <c r="DS666" i="72" s="1"/>
  <c r="GL662" i="72"/>
  <c r="GH663" i="72"/>
  <c r="GN663" i="72"/>
  <c r="GD663" i="72"/>
  <c r="GE663" i="72" s="1"/>
  <c r="FV663" i="72"/>
  <c r="FA666" i="72"/>
  <c r="FA667" i="72" s="1"/>
  <c r="FB666" i="72"/>
  <c r="FB667" i="72" s="1"/>
  <c r="FW664" i="72"/>
  <c r="GM664" i="72" s="1"/>
  <c r="DX665" i="72"/>
  <c r="DV667" i="72"/>
  <c r="FO666" i="72"/>
  <c r="AB665" i="72"/>
  <c r="AD666" i="72" s="1"/>
  <c r="AE667" i="72" s="1"/>
  <c r="FT664" i="72"/>
  <c r="FU664" i="72"/>
  <c r="FQ664" i="72"/>
  <c r="FR664" i="72" s="1"/>
  <c r="FI666" i="72"/>
  <c r="FK666" i="72"/>
  <c r="FL667" i="72" s="1"/>
  <c r="FM668" i="72" s="1"/>
  <c r="FN666" i="72"/>
  <c r="FJ666" i="72"/>
  <c r="CF666" i="72"/>
  <c r="FG666" i="72"/>
  <c r="BW668" i="72"/>
  <c r="FF666" i="72"/>
  <c r="CG666" i="72"/>
  <c r="CB666" i="72"/>
  <c r="CC666" i="72"/>
  <c r="CD667" i="72" s="1"/>
  <c r="CE668" i="72" s="1"/>
  <c r="CA666" i="72"/>
  <c r="BT666" i="72"/>
  <c r="BT667" i="72" s="1"/>
  <c r="FE668" i="72"/>
  <c r="AL665" i="72"/>
  <c r="AM666" i="72" s="1"/>
  <c r="AN667" i="72" s="1"/>
  <c r="AJ665" i="72"/>
  <c r="AK665" i="72"/>
  <c r="AP665" i="72"/>
  <c r="AO665" i="72"/>
  <c r="BS666" i="72"/>
  <c r="BX666" i="72"/>
  <c r="BY666" i="72"/>
  <c r="AD665" i="72"/>
  <c r="AE666" i="72" s="1"/>
  <c r="AF667" i="72" s="1"/>
  <c r="AG665" i="72"/>
  <c r="AH665" i="72"/>
  <c r="DP665" i="72"/>
  <c r="DN666" i="72"/>
  <c r="DK665" i="72"/>
  <c r="DO665" i="72"/>
  <c r="DL665" i="72"/>
  <c r="DM666" i="72" s="1"/>
  <c r="DJ665" i="72"/>
  <c r="BB228" i="72"/>
  <c r="BC228" i="72" s="1"/>
  <c r="AY231" i="72"/>
  <c r="BF228" i="72"/>
  <c r="BE228" i="72"/>
  <c r="BI228" i="72"/>
  <c r="BJ228" i="72" s="1"/>
  <c r="AQ614" i="72"/>
  <c r="AM614" i="72"/>
  <c r="AI614" i="72"/>
  <c r="AJ585" i="72"/>
  <c r="AF586" i="72"/>
  <c r="AR586" i="72"/>
  <c r="AT585" i="72"/>
  <c r="B615" i="72"/>
  <c r="AV615" i="72" s="1"/>
  <c r="AE614" i="72"/>
  <c r="L614" i="72"/>
  <c r="I614" i="72"/>
  <c r="C614" i="72"/>
  <c r="F614" i="72"/>
  <c r="X586" i="72"/>
  <c r="Z586" i="72"/>
  <c r="AA586" i="72"/>
  <c r="AC586" i="72"/>
  <c r="AB586" i="72"/>
  <c r="S588" i="72"/>
  <c r="Y587" i="72"/>
  <c r="T587" i="72"/>
  <c r="AS587" i="72" s="1"/>
  <c r="Q587" i="72"/>
  <c r="R588" i="72" s="1"/>
  <c r="P587" i="72"/>
  <c r="U586" i="72"/>
  <c r="V586" i="72" s="1"/>
  <c r="CB667" i="82" l="1"/>
  <c r="AA587" i="82"/>
  <c r="Z587" i="82"/>
  <c r="AF587" i="82"/>
  <c r="AG587" i="82" s="1"/>
  <c r="X587" i="82"/>
  <c r="AC587" i="82"/>
  <c r="P588" i="82"/>
  <c r="AR587" i="82"/>
  <c r="AB587" i="82"/>
  <c r="U587" i="82"/>
  <c r="V587" i="82" s="1"/>
  <c r="Q588" i="82"/>
  <c r="R589" i="82" s="1"/>
  <c r="AJ586" i="82"/>
  <c r="AK586" i="82" s="1"/>
  <c r="AN586" i="82"/>
  <c r="AO586" i="82" s="1"/>
  <c r="AT586" i="82"/>
  <c r="AW586" i="82"/>
  <c r="AX586" i="82" s="1"/>
  <c r="AS587" i="82"/>
  <c r="T588" i="82"/>
  <c r="S589" i="82"/>
  <c r="Y588" i="82"/>
  <c r="FE668" i="82"/>
  <c r="AN667" i="82"/>
  <c r="FB667" i="82"/>
  <c r="DO666" i="82"/>
  <c r="DN667" i="82"/>
  <c r="FJ667" i="82"/>
  <c r="BX667" i="82"/>
  <c r="DK666" i="82"/>
  <c r="AG666" i="82"/>
  <c r="DV667" i="82"/>
  <c r="AC666" i="82"/>
  <c r="DS666" i="82"/>
  <c r="FG667" i="82"/>
  <c r="AO666" i="82"/>
  <c r="FI667" i="82"/>
  <c r="FK667" i="82"/>
  <c r="FL668" i="82" s="1"/>
  <c r="FM669" i="82" s="1"/>
  <c r="GH664" i="82"/>
  <c r="GY664" i="82"/>
  <c r="GU664" i="82"/>
  <c r="GQ664" i="82"/>
  <c r="GN664" i="82"/>
  <c r="BG757" i="82"/>
  <c r="BH757" i="82" s="1"/>
  <c r="K757" i="82"/>
  <c r="L757" i="82" s="1"/>
  <c r="H646" i="82"/>
  <c r="AQ647" i="82"/>
  <c r="AM647" i="82"/>
  <c r="L647" i="82"/>
  <c r="AV647" i="82"/>
  <c r="AI647" i="82"/>
  <c r="C647" i="82"/>
  <c r="AE647" i="82"/>
  <c r="I647" i="82"/>
  <c r="B648" i="82"/>
  <c r="F647" i="82"/>
  <c r="DP666" i="82"/>
  <c r="BT667" i="82"/>
  <c r="BU667" i="82"/>
  <c r="BV668" i="82" s="1"/>
  <c r="BS667" i="82"/>
  <c r="AF667" i="82"/>
  <c r="CC667" i="82"/>
  <c r="CD668" i="82" s="1"/>
  <c r="CE669" i="82" s="1"/>
  <c r="CA667" i="82"/>
  <c r="GD664" i="82"/>
  <c r="GE664" i="82" s="1"/>
  <c r="FV664" i="82"/>
  <c r="BY667" i="82"/>
  <c r="DL666" i="82"/>
  <c r="DM667" i="82" s="1"/>
  <c r="DJ666" i="82"/>
  <c r="FW665" i="82"/>
  <c r="GM665" i="82" s="1"/>
  <c r="DX666" i="82"/>
  <c r="FZ663" i="82"/>
  <c r="GA663" i="82" s="1"/>
  <c r="GL663" i="82"/>
  <c r="AP666" i="82"/>
  <c r="AH666" i="82"/>
  <c r="FO667" i="82"/>
  <c r="F757" i="82"/>
  <c r="G757" i="82" s="1"/>
  <c r="BB757" i="82"/>
  <c r="BC757" i="82" s="1"/>
  <c r="E646" i="82"/>
  <c r="AK666" i="82"/>
  <c r="CG667" i="82"/>
  <c r="AL666" i="82"/>
  <c r="AM667" i="82" s="1"/>
  <c r="AJ666" i="82"/>
  <c r="U757" i="82"/>
  <c r="V757" i="82" s="1"/>
  <c r="BQ757" i="82"/>
  <c r="BR757" i="82" s="1"/>
  <c r="N646" i="82"/>
  <c r="CF667" i="82"/>
  <c r="FN667" i="82"/>
  <c r="BL757" i="82"/>
  <c r="BM757" i="82" s="1"/>
  <c r="P757" i="82"/>
  <c r="Q757" i="82" s="1"/>
  <c r="J646" i="82"/>
  <c r="DW666" i="82"/>
  <c r="FQ665" i="82"/>
  <c r="FR665" i="82" s="1"/>
  <c r="AB666" i="82"/>
  <c r="FT665" i="82"/>
  <c r="FU665" i="82"/>
  <c r="AD666" i="82"/>
  <c r="AE667" i="82" s="1"/>
  <c r="BW668" i="82"/>
  <c r="FF667" i="82"/>
  <c r="FA667" i="82"/>
  <c r="FC667" i="82"/>
  <c r="FD668" i="82" s="1"/>
  <c r="DR666" i="82"/>
  <c r="DT666" i="82"/>
  <c r="DU667" i="82" s="1"/>
  <c r="AN586" i="72"/>
  <c r="AW586" i="72"/>
  <c r="GU664" i="72"/>
  <c r="GY664" i="72"/>
  <c r="GQ664" i="72"/>
  <c r="BL228" i="72"/>
  <c r="DT666" i="72"/>
  <c r="DU667" i="72" s="1"/>
  <c r="DV668" i="72" s="1"/>
  <c r="DW666" i="72"/>
  <c r="DX666" i="72"/>
  <c r="H614" i="72"/>
  <c r="BG725" i="72"/>
  <c r="BH725" i="72" s="1"/>
  <c r="K725" i="72"/>
  <c r="L725" i="72" s="1"/>
  <c r="E614" i="72"/>
  <c r="BB725" i="72"/>
  <c r="BC725" i="72" s="1"/>
  <c r="F725" i="72"/>
  <c r="G725" i="72" s="1"/>
  <c r="J614" i="72"/>
  <c r="P725" i="72"/>
  <c r="Q725" i="72" s="1"/>
  <c r="BL725" i="72"/>
  <c r="BM725" i="72" s="1"/>
  <c r="N614" i="72"/>
  <c r="BQ725" i="72"/>
  <c r="BR725" i="72" s="1"/>
  <c r="U725" i="72"/>
  <c r="V725" i="72" s="1"/>
  <c r="FC667" i="72"/>
  <c r="FD668" i="72" s="1"/>
  <c r="FE669" i="72" s="1"/>
  <c r="FF667" i="72"/>
  <c r="FJ667" i="72"/>
  <c r="GN664" i="72"/>
  <c r="GH664" i="72"/>
  <c r="GD664" i="72"/>
  <c r="GE664" i="72" s="1"/>
  <c r="FZ663" i="72"/>
  <c r="GA663" i="72" s="1"/>
  <c r="GL663" i="72"/>
  <c r="FW665" i="72"/>
  <c r="GM665" i="72" s="1"/>
  <c r="FK667" i="72"/>
  <c r="FL668" i="72" s="1"/>
  <c r="FM669" i="72" s="1"/>
  <c r="FI667" i="72"/>
  <c r="FV664" i="72"/>
  <c r="FT665" i="72"/>
  <c r="FU665" i="72"/>
  <c r="FQ665" i="72"/>
  <c r="FR665" i="72" s="1"/>
  <c r="FO667" i="72"/>
  <c r="FN667" i="72"/>
  <c r="DT667" i="72"/>
  <c r="DU668" i="72" s="1"/>
  <c r="FG667" i="72"/>
  <c r="BU667" i="72"/>
  <c r="BV668" i="72" s="1"/>
  <c r="BW669" i="72" s="1"/>
  <c r="CC667" i="72"/>
  <c r="CD668" i="72" s="1"/>
  <c r="CE669" i="72" s="1"/>
  <c r="CA667" i="72"/>
  <c r="CB667" i="72"/>
  <c r="CG667" i="72"/>
  <c r="CF667" i="72"/>
  <c r="AO666" i="72"/>
  <c r="AK666" i="72"/>
  <c r="BX667" i="72"/>
  <c r="BY667" i="72"/>
  <c r="AP666" i="72"/>
  <c r="BS667" i="72"/>
  <c r="AL666" i="72"/>
  <c r="AM667" i="72" s="1"/>
  <c r="AN668" i="72" s="1"/>
  <c r="AJ666" i="72"/>
  <c r="AG666" i="72"/>
  <c r="AF668" i="72"/>
  <c r="AB666" i="72"/>
  <c r="AH666" i="72"/>
  <c r="AC666" i="72"/>
  <c r="DN667" i="72"/>
  <c r="DK666" i="72"/>
  <c r="DL666" i="72"/>
  <c r="DM667" i="72" s="1"/>
  <c r="DJ666" i="72"/>
  <c r="FC668" i="72"/>
  <c r="FD669" i="72" s="1"/>
  <c r="DO666" i="72"/>
  <c r="DP666" i="72"/>
  <c r="AM615" i="72"/>
  <c r="AQ615" i="72"/>
  <c r="AI615" i="72"/>
  <c r="BF231" i="72"/>
  <c r="BE231" i="72"/>
  <c r="AY236" i="72"/>
  <c r="BB231" i="72"/>
  <c r="BC231" i="72" s="1"/>
  <c r="AR587" i="72"/>
  <c r="AF587" i="72"/>
  <c r="AT586" i="72"/>
  <c r="AJ586" i="72"/>
  <c r="B616" i="72"/>
  <c r="AV616" i="72" s="1"/>
  <c r="AE615" i="72"/>
  <c r="C615" i="72"/>
  <c r="F615" i="72"/>
  <c r="L615" i="72"/>
  <c r="I615" i="72"/>
  <c r="Z587" i="72"/>
  <c r="X587" i="72"/>
  <c r="AA587" i="72"/>
  <c r="AB587" i="72"/>
  <c r="AC587" i="72"/>
  <c r="S589" i="72"/>
  <c r="Y588" i="72"/>
  <c r="Q588" i="72"/>
  <c r="R589" i="72" s="1"/>
  <c r="U587" i="72"/>
  <c r="V587" i="72" s="1"/>
  <c r="P588" i="72"/>
  <c r="T588" i="72"/>
  <c r="AS588" i="72" s="1"/>
  <c r="BW669" i="82" l="1"/>
  <c r="AN668" i="82"/>
  <c r="AJ587" i="82"/>
  <c r="AK587" i="82" s="1"/>
  <c r="T589" i="82"/>
  <c r="AS588" i="82"/>
  <c r="Q589" i="82"/>
  <c r="R590" i="82" s="1"/>
  <c r="X588" i="82"/>
  <c r="P589" i="82"/>
  <c r="Z588" i="82"/>
  <c r="AF588" i="82"/>
  <c r="AG588" i="82" s="1"/>
  <c r="AC588" i="82"/>
  <c r="AA588" i="82"/>
  <c r="AR588" i="82"/>
  <c r="AB588" i="82"/>
  <c r="U588" i="82"/>
  <c r="V588" i="82" s="1"/>
  <c r="S590" i="82"/>
  <c r="Y589" i="82"/>
  <c r="AT587" i="82"/>
  <c r="AW587" i="82"/>
  <c r="AX587" i="82" s="1"/>
  <c r="AN587" i="82"/>
  <c r="AO587" i="82" s="1"/>
  <c r="FE669" i="82"/>
  <c r="DN668" i="82"/>
  <c r="DV668" i="82"/>
  <c r="FW666" i="82"/>
  <c r="GM666" i="82" s="1"/>
  <c r="BX668" i="82"/>
  <c r="BY668" i="82"/>
  <c r="CF668" i="82"/>
  <c r="FJ668" i="82"/>
  <c r="BT668" i="82"/>
  <c r="FN668" i="82"/>
  <c r="DT667" i="82"/>
  <c r="DU668" i="82" s="1"/>
  <c r="DR667" i="82"/>
  <c r="GU665" i="82"/>
  <c r="GH665" i="82"/>
  <c r="GY665" i="82"/>
  <c r="GQ665" i="82"/>
  <c r="GN665" i="82"/>
  <c r="DW667" i="82"/>
  <c r="BQ758" i="82"/>
  <c r="BR758" i="82" s="1"/>
  <c r="U758" i="82"/>
  <c r="V758" i="82" s="1"/>
  <c r="N647" i="82"/>
  <c r="FI668" i="82"/>
  <c r="FK668" i="82"/>
  <c r="FL669" i="82" s="1"/>
  <c r="FM670" i="82" s="1"/>
  <c r="GD665" i="82"/>
  <c r="GE665" i="82" s="1"/>
  <c r="FV665" i="82"/>
  <c r="CA668" i="82"/>
  <c r="CC668" i="82"/>
  <c r="CD669" i="82" s="1"/>
  <c r="CE670" i="82" s="1"/>
  <c r="BL758" i="82"/>
  <c r="BM758" i="82" s="1"/>
  <c r="P758" i="82"/>
  <c r="Q758" i="82" s="1"/>
  <c r="J647" i="82"/>
  <c r="CB668" i="82"/>
  <c r="FA668" i="82"/>
  <c r="FC668" i="82"/>
  <c r="FD669" i="82" s="1"/>
  <c r="FE670" i="82" s="1"/>
  <c r="AD667" i="82"/>
  <c r="AE668" i="82" s="1"/>
  <c r="FQ666" i="82"/>
  <c r="FR666" i="82" s="1"/>
  <c r="FT666" i="82"/>
  <c r="FU666" i="82"/>
  <c r="AB667" i="82"/>
  <c r="CG668" i="82"/>
  <c r="DO667" i="82"/>
  <c r="DX667" i="82"/>
  <c r="AG667" i="82"/>
  <c r="FF668" i="82"/>
  <c r="AK667" i="82"/>
  <c r="DK667" i="82"/>
  <c r="AF668" i="82"/>
  <c r="AC667" i="82"/>
  <c r="GL664" i="82"/>
  <c r="FZ664" i="82"/>
  <c r="GA664" i="82" s="1"/>
  <c r="DS667" i="82"/>
  <c r="DP667" i="82"/>
  <c r="BB758" i="82"/>
  <c r="BC758" i="82" s="1"/>
  <c r="F758" i="82"/>
  <c r="G758" i="82" s="1"/>
  <c r="E647" i="82"/>
  <c r="FG668" i="82"/>
  <c r="FO668" i="82"/>
  <c r="FB668" i="82"/>
  <c r="AH667" i="82"/>
  <c r="BU668" i="82"/>
  <c r="BV669" i="82" s="1"/>
  <c r="BW670" i="82" s="1"/>
  <c r="BS668" i="82"/>
  <c r="BG758" i="82"/>
  <c r="BH758" i="82" s="1"/>
  <c r="K758" i="82"/>
  <c r="L758" i="82" s="1"/>
  <c r="H647" i="82"/>
  <c r="AJ667" i="82"/>
  <c r="AL667" i="82"/>
  <c r="AM668" i="82" s="1"/>
  <c r="AN669" i="82" s="1"/>
  <c r="AP667" i="82"/>
  <c r="DJ667" i="82"/>
  <c r="DL667" i="82"/>
  <c r="DM668" i="82" s="1"/>
  <c r="C648" i="82"/>
  <c r="AQ648" i="82"/>
  <c r="AE648" i="82"/>
  <c r="AV648" i="82"/>
  <c r="AI648" i="82"/>
  <c r="I648" i="82"/>
  <c r="L648" i="82"/>
  <c r="AM648" i="82"/>
  <c r="B649" i="82"/>
  <c r="F648" i="82"/>
  <c r="AO667" i="82"/>
  <c r="GY665" i="72"/>
  <c r="GU665" i="72"/>
  <c r="AN587" i="72"/>
  <c r="AW587" i="72"/>
  <c r="GQ665" i="72"/>
  <c r="DS667" i="72"/>
  <c r="DS668" i="72" s="1"/>
  <c r="DW667" i="72"/>
  <c r="DX667" i="72"/>
  <c r="DR667" i="72"/>
  <c r="FA668" i="72"/>
  <c r="FA669" i="72" s="1"/>
  <c r="FG668" i="72"/>
  <c r="FF668" i="72"/>
  <c r="FB668" i="72"/>
  <c r="FB669" i="72" s="1"/>
  <c r="E615" i="72"/>
  <c r="BB726" i="72"/>
  <c r="BC726" i="72" s="1"/>
  <c r="F726" i="72"/>
  <c r="G726" i="72" s="1"/>
  <c r="J615" i="72"/>
  <c r="BL726" i="72"/>
  <c r="BM726" i="72" s="1"/>
  <c r="P726" i="72"/>
  <c r="Q726" i="72" s="1"/>
  <c r="N615" i="72"/>
  <c r="U726" i="72"/>
  <c r="V726" i="72" s="1"/>
  <c r="BQ726" i="72"/>
  <c r="BR726" i="72" s="1"/>
  <c r="H615" i="72"/>
  <c r="BG726" i="72"/>
  <c r="BH726" i="72" s="1"/>
  <c r="K726" i="72"/>
  <c r="L726" i="72" s="1"/>
  <c r="GD665" i="72"/>
  <c r="GE665" i="72" s="1"/>
  <c r="FW666" i="72"/>
  <c r="GM666" i="72" s="1"/>
  <c r="FE670" i="72"/>
  <c r="FN668" i="72"/>
  <c r="GH665" i="72"/>
  <c r="GN665" i="72"/>
  <c r="DV669" i="72"/>
  <c r="FZ664" i="72"/>
  <c r="GA664" i="72" s="1"/>
  <c r="GL664" i="72"/>
  <c r="FJ668" i="72"/>
  <c r="FV665" i="72"/>
  <c r="FO668" i="72"/>
  <c r="FT666" i="72"/>
  <c r="FU666" i="72"/>
  <c r="FQ666" i="72"/>
  <c r="FR666" i="72" s="1"/>
  <c r="FI668" i="72"/>
  <c r="FK668" i="72"/>
  <c r="FL669" i="72" s="1"/>
  <c r="FM670" i="72" s="1"/>
  <c r="BT668" i="72"/>
  <c r="BS668" i="72"/>
  <c r="CB668" i="72"/>
  <c r="CF668" i="72"/>
  <c r="CG668" i="72"/>
  <c r="CA668" i="72"/>
  <c r="CC668" i="72"/>
  <c r="CD669" i="72" s="1"/>
  <c r="CE670" i="72" s="1"/>
  <c r="BX668" i="72"/>
  <c r="AO667" i="72"/>
  <c r="BU668" i="72"/>
  <c r="BV669" i="72" s="1"/>
  <c r="BW670" i="72" s="1"/>
  <c r="BY668" i="72"/>
  <c r="AP667" i="72"/>
  <c r="AL667" i="72"/>
  <c r="AM668" i="72" s="1"/>
  <c r="AN669" i="72" s="1"/>
  <c r="AH667" i="72"/>
  <c r="AG667" i="72"/>
  <c r="AD667" i="72"/>
  <c r="AE668" i="72" s="1"/>
  <c r="AF669" i="72" s="1"/>
  <c r="DN668" i="72"/>
  <c r="DP667" i="72"/>
  <c r="DL667" i="72"/>
  <c r="DM668" i="72" s="1"/>
  <c r="DJ667" i="72"/>
  <c r="DO667" i="72"/>
  <c r="DK667" i="72"/>
  <c r="BE236" i="72"/>
  <c r="BI236" i="72"/>
  <c r="BJ236" i="72" s="1"/>
  <c r="BB236" i="72"/>
  <c r="BC236" i="72" s="1"/>
  <c r="AY239" i="72"/>
  <c r="BF236" i="72"/>
  <c r="AM616" i="72"/>
  <c r="AQ616" i="72"/>
  <c r="AI616" i="72"/>
  <c r="AJ587" i="72"/>
  <c r="AF588" i="72"/>
  <c r="AR588" i="72"/>
  <c r="AT587" i="72"/>
  <c r="B617" i="72"/>
  <c r="AV617" i="72" s="1"/>
  <c r="AE616" i="72"/>
  <c r="I616" i="72"/>
  <c r="L616" i="72"/>
  <c r="C616" i="72"/>
  <c r="F616" i="72"/>
  <c r="S590" i="72"/>
  <c r="Y589" i="72"/>
  <c r="Z588" i="72"/>
  <c r="AA588" i="72"/>
  <c r="X588" i="72"/>
  <c r="AB588" i="72"/>
  <c r="AC588" i="72"/>
  <c r="T589" i="72"/>
  <c r="AS589" i="72" s="1"/>
  <c r="P589" i="72"/>
  <c r="Q589" i="72"/>
  <c r="R590" i="72" s="1"/>
  <c r="U588" i="72"/>
  <c r="V588" i="72" s="1"/>
  <c r="DV669" i="82" l="1"/>
  <c r="DN669" i="82"/>
  <c r="AN588" i="82"/>
  <c r="AO588" i="82" s="1"/>
  <c r="AW588" i="82"/>
  <c r="AX588" i="82" s="1"/>
  <c r="AT588" i="82"/>
  <c r="AJ588" i="82"/>
  <c r="AK588" i="82" s="1"/>
  <c r="S591" i="82"/>
  <c r="Y590" i="82"/>
  <c r="AS589" i="82"/>
  <c r="T590" i="82"/>
  <c r="AB589" i="82"/>
  <c r="AF589" i="82"/>
  <c r="AG589" i="82" s="1"/>
  <c r="Z589" i="82"/>
  <c r="P590" i="82"/>
  <c r="X589" i="82"/>
  <c r="AA589" i="82"/>
  <c r="AC589" i="82"/>
  <c r="U589" i="82"/>
  <c r="V589" i="82" s="1"/>
  <c r="Q590" i="82"/>
  <c r="R591" i="82" s="1"/>
  <c r="AR589" i="82"/>
  <c r="AF669" i="82"/>
  <c r="DS668" i="82"/>
  <c r="AC668" i="82"/>
  <c r="FB669" i="82"/>
  <c r="CB669" i="82"/>
  <c r="BX669" i="82"/>
  <c r="CG669" i="82"/>
  <c r="FN669" i="82"/>
  <c r="BT669" i="82"/>
  <c r="AG668" i="82"/>
  <c r="FJ669" i="82"/>
  <c r="FG669" i="82"/>
  <c r="AH668" i="82"/>
  <c r="AO668" i="82"/>
  <c r="AL668" i="82"/>
  <c r="AM669" i="82" s="1"/>
  <c r="AN670" i="82" s="1"/>
  <c r="AJ668" i="82"/>
  <c r="FO669" i="82"/>
  <c r="AK668" i="82"/>
  <c r="DX668" i="82"/>
  <c r="CF669" i="82"/>
  <c r="DT668" i="82"/>
  <c r="DU669" i="82" s="1"/>
  <c r="DV670" i="82" s="1"/>
  <c r="DR668" i="82"/>
  <c r="DO668" i="82"/>
  <c r="FA669" i="82"/>
  <c r="FC669" i="82"/>
  <c r="FD670" i="82" s="1"/>
  <c r="FE671" i="82" s="1"/>
  <c r="GL665" i="82"/>
  <c r="FZ665" i="82"/>
  <c r="GA665" i="82" s="1"/>
  <c r="F759" i="82"/>
  <c r="G759" i="82" s="1"/>
  <c r="BB759" i="82"/>
  <c r="BC759" i="82" s="1"/>
  <c r="E648" i="82"/>
  <c r="DW668" i="82"/>
  <c r="U759" i="82"/>
  <c r="V759" i="82" s="1"/>
  <c r="BQ759" i="82"/>
  <c r="BR759" i="82" s="1"/>
  <c r="N648" i="82"/>
  <c r="FF669" i="82"/>
  <c r="AD668" i="82"/>
  <c r="AE669" i="82" s="1"/>
  <c r="FT667" i="82"/>
  <c r="FU667" i="82"/>
  <c r="FQ667" i="82"/>
  <c r="FR667" i="82" s="1"/>
  <c r="AB668" i="82"/>
  <c r="GN666" i="82"/>
  <c r="GY666" i="82"/>
  <c r="GU666" i="82"/>
  <c r="GQ666" i="82"/>
  <c r="GH666" i="82"/>
  <c r="FK669" i="82"/>
  <c r="FL670" i="82" s="1"/>
  <c r="FM671" i="82" s="1"/>
  <c r="FI669" i="82"/>
  <c r="K759" i="82"/>
  <c r="L759" i="82" s="1"/>
  <c r="BG759" i="82"/>
  <c r="BH759" i="82" s="1"/>
  <c r="H648" i="82"/>
  <c r="P759" i="82"/>
  <c r="Q759" i="82" s="1"/>
  <c r="BL759" i="82"/>
  <c r="BM759" i="82" s="1"/>
  <c r="J648" i="82"/>
  <c r="DL668" i="82"/>
  <c r="DM669" i="82" s="1"/>
  <c r="DN670" i="82" s="1"/>
  <c r="DJ668" i="82"/>
  <c r="GD666" i="82"/>
  <c r="GE666" i="82" s="1"/>
  <c r="FV666" i="82"/>
  <c r="AV649" i="82"/>
  <c r="I649" i="82"/>
  <c r="AI649" i="82"/>
  <c r="AE649" i="82"/>
  <c r="AQ649" i="82"/>
  <c r="AM649" i="82"/>
  <c r="B650" i="82"/>
  <c r="F649" i="82"/>
  <c r="L649" i="82"/>
  <c r="C649" i="82"/>
  <c r="AP668" i="82"/>
  <c r="BS669" i="82"/>
  <c r="BU669" i="82"/>
  <c r="BV670" i="82" s="1"/>
  <c r="BW671" i="82" s="1"/>
  <c r="BY669" i="82"/>
  <c r="FW667" i="82"/>
  <c r="GM667" i="82" s="1"/>
  <c r="DP668" i="82"/>
  <c r="DK668" i="82"/>
  <c r="CC669" i="82"/>
  <c r="CD670" i="82" s="1"/>
  <c r="CE671" i="82" s="1"/>
  <c r="CA669" i="82"/>
  <c r="GU666" i="72"/>
  <c r="GY666" i="72"/>
  <c r="AW588" i="72"/>
  <c r="AN588" i="72"/>
  <c r="GQ666" i="72"/>
  <c r="BL236" i="72"/>
  <c r="DW668" i="72"/>
  <c r="DT668" i="72"/>
  <c r="DU669" i="72" s="1"/>
  <c r="DV670" i="72" s="1"/>
  <c r="DR668" i="72"/>
  <c r="DT669" i="72" s="1"/>
  <c r="DU670" i="72" s="1"/>
  <c r="DX668" i="72"/>
  <c r="FG669" i="72"/>
  <c r="FC669" i="72"/>
  <c r="FD670" i="72" s="1"/>
  <c r="FE671" i="72" s="1"/>
  <c r="FF669" i="72"/>
  <c r="E616" i="72"/>
  <c r="BB727" i="72"/>
  <c r="BC727" i="72" s="1"/>
  <c r="F727" i="72"/>
  <c r="G727" i="72" s="1"/>
  <c r="N616" i="72"/>
  <c r="BQ727" i="72"/>
  <c r="BR727" i="72" s="1"/>
  <c r="U727" i="72"/>
  <c r="V727" i="72" s="1"/>
  <c r="J616" i="72"/>
  <c r="BL727" i="72"/>
  <c r="BM727" i="72" s="1"/>
  <c r="P727" i="72"/>
  <c r="Q727" i="72" s="1"/>
  <c r="H616" i="72"/>
  <c r="BG727" i="72"/>
  <c r="BH727" i="72" s="1"/>
  <c r="K727" i="72"/>
  <c r="L727" i="72" s="1"/>
  <c r="BU669" i="72"/>
  <c r="BV670" i="72" s="1"/>
  <c r="BW671" i="72" s="1"/>
  <c r="GD666" i="72"/>
  <c r="GE666" i="72" s="1"/>
  <c r="GH666" i="72"/>
  <c r="GN666" i="72"/>
  <c r="FZ665" i="72"/>
  <c r="GA665" i="72" s="1"/>
  <c r="GL665" i="72"/>
  <c r="FW667" i="72"/>
  <c r="GM667" i="72" s="1"/>
  <c r="FO669" i="72"/>
  <c r="FV666" i="72"/>
  <c r="FI669" i="72"/>
  <c r="FK669" i="72"/>
  <c r="FL670" i="72" s="1"/>
  <c r="FM671" i="72" s="1"/>
  <c r="FN669" i="72"/>
  <c r="FJ669" i="72"/>
  <c r="BY669" i="72"/>
  <c r="BX669" i="72"/>
  <c r="CA669" i="72"/>
  <c r="CC669" i="72"/>
  <c r="CD670" i="72" s="1"/>
  <c r="CE671" i="72" s="1"/>
  <c r="CB669" i="72"/>
  <c r="CG669" i="72"/>
  <c r="BT669" i="72"/>
  <c r="CF669" i="72"/>
  <c r="BS669" i="72"/>
  <c r="DN669" i="72"/>
  <c r="DK668" i="72"/>
  <c r="DL668" i="72"/>
  <c r="DM669" i="72" s="1"/>
  <c r="DJ668" i="72"/>
  <c r="FC670" i="72"/>
  <c r="FD671" i="72" s="1"/>
  <c r="DO668" i="72"/>
  <c r="DP668" i="72"/>
  <c r="AM617" i="72"/>
  <c r="AQ617" i="72"/>
  <c r="AI617" i="72"/>
  <c r="BF239" i="72"/>
  <c r="AY244" i="72"/>
  <c r="BB239" i="72"/>
  <c r="BC239" i="72" s="1"/>
  <c r="BE239" i="72"/>
  <c r="AJ588" i="72"/>
  <c r="AT588" i="72"/>
  <c r="AR589" i="72"/>
  <c r="AF589" i="72"/>
  <c r="B618" i="72"/>
  <c r="AV618" i="72" s="1"/>
  <c r="AE617" i="72"/>
  <c r="C617" i="72"/>
  <c r="I617" i="72"/>
  <c r="F617" i="72"/>
  <c r="L617" i="72"/>
  <c r="S591" i="72"/>
  <c r="Y590" i="72"/>
  <c r="Z589" i="72"/>
  <c r="AA589" i="72"/>
  <c r="AB589" i="72"/>
  <c r="X589" i="72"/>
  <c r="AC589" i="72"/>
  <c r="U589" i="72"/>
  <c r="V589" i="72" s="1"/>
  <c r="Q590" i="72"/>
  <c r="R591" i="72" s="1"/>
  <c r="P590" i="72"/>
  <c r="T590" i="72"/>
  <c r="AS590" i="72" s="1"/>
  <c r="AT589" i="82" l="1"/>
  <c r="AN589" i="82"/>
  <c r="AO589" i="82" s="1"/>
  <c r="AW589" i="82"/>
  <c r="AX589" i="82" s="1"/>
  <c r="AJ589" i="82"/>
  <c r="AK589" i="82" s="1"/>
  <c r="S592" i="82"/>
  <c r="Y591" i="82"/>
  <c r="P591" i="82"/>
  <c r="Q591" i="82"/>
  <c r="R592" i="82" s="1"/>
  <c r="AR590" i="82"/>
  <c r="AA590" i="82"/>
  <c r="X590" i="82"/>
  <c r="AB590" i="82"/>
  <c r="Z590" i="82"/>
  <c r="AF590" i="82"/>
  <c r="AG590" i="82" s="1"/>
  <c r="U590" i="82"/>
  <c r="V590" i="82" s="1"/>
  <c r="AC590" i="82"/>
  <c r="AF670" i="82"/>
  <c r="T591" i="82"/>
  <c r="AS590" i="82"/>
  <c r="FB670" i="82"/>
  <c r="AC669" i="82"/>
  <c r="FF670" i="82"/>
  <c r="DK669" i="82"/>
  <c r="AK669" i="82"/>
  <c r="FW668" i="82"/>
  <c r="GM668" i="82" s="1"/>
  <c r="DS669" i="82"/>
  <c r="AP669" i="82"/>
  <c r="FG670" i="82"/>
  <c r="DW669" i="82"/>
  <c r="BS670" i="82"/>
  <c r="BU670" i="82"/>
  <c r="BV671" i="82" s="1"/>
  <c r="BW672" i="82" s="1"/>
  <c r="BL760" i="82"/>
  <c r="BM760" i="82" s="1"/>
  <c r="P760" i="82"/>
  <c r="Q760" i="82" s="1"/>
  <c r="J649" i="82"/>
  <c r="DL669" i="82"/>
  <c r="DM670" i="82" s="1"/>
  <c r="DN671" i="82" s="1"/>
  <c r="DJ669" i="82"/>
  <c r="AB669" i="82"/>
  <c r="FT668" i="82"/>
  <c r="AD669" i="82"/>
  <c r="AE670" i="82" s="1"/>
  <c r="AF671" i="82" s="1"/>
  <c r="FQ668" i="82"/>
  <c r="FR668" i="82" s="1"/>
  <c r="FU668" i="82"/>
  <c r="FC670" i="82"/>
  <c r="FD671" i="82" s="1"/>
  <c r="FE672" i="82" s="1"/>
  <c r="FA670" i="82"/>
  <c r="F760" i="82"/>
  <c r="G760" i="82" s="1"/>
  <c r="BB760" i="82"/>
  <c r="BC760" i="82" s="1"/>
  <c r="E649" i="82"/>
  <c r="GQ667" i="82"/>
  <c r="GN667" i="82"/>
  <c r="GY667" i="82"/>
  <c r="GH667" i="82"/>
  <c r="GU667" i="82"/>
  <c r="DO669" i="82"/>
  <c r="FO670" i="82"/>
  <c r="CC670" i="82"/>
  <c r="CD671" i="82" s="1"/>
  <c r="CE672" i="82" s="1"/>
  <c r="CA670" i="82"/>
  <c r="BQ760" i="82"/>
  <c r="BR760" i="82" s="1"/>
  <c r="U760" i="82"/>
  <c r="V760" i="82" s="1"/>
  <c r="N649" i="82"/>
  <c r="FV667" i="82"/>
  <c r="GD667" i="82"/>
  <c r="GE667" i="82" s="1"/>
  <c r="CB670" i="82"/>
  <c r="AH669" i="82"/>
  <c r="GL666" i="82"/>
  <c r="FZ666" i="82"/>
  <c r="GA666" i="82" s="1"/>
  <c r="FI670" i="82"/>
  <c r="FK670" i="82"/>
  <c r="FL671" i="82" s="1"/>
  <c r="FM672" i="82" s="1"/>
  <c r="CG670" i="82"/>
  <c r="AO669" i="82"/>
  <c r="DR669" i="82"/>
  <c r="DT669" i="82"/>
  <c r="DU670" i="82" s="1"/>
  <c r="DV671" i="82" s="1"/>
  <c r="FJ670" i="82"/>
  <c r="BY670" i="82"/>
  <c r="K760" i="82"/>
  <c r="L760" i="82" s="1"/>
  <c r="BG760" i="82"/>
  <c r="BH760" i="82" s="1"/>
  <c r="H649" i="82"/>
  <c r="FN670" i="82"/>
  <c r="AJ669" i="82"/>
  <c r="AL669" i="82"/>
  <c r="AM670" i="82" s="1"/>
  <c r="AN671" i="82" s="1"/>
  <c r="DP669" i="82"/>
  <c r="AG669" i="82"/>
  <c r="BT670" i="82"/>
  <c r="CF670" i="82"/>
  <c r="BX670" i="82"/>
  <c r="AI650" i="82"/>
  <c r="AM650" i="82"/>
  <c r="F650" i="82"/>
  <c r="C650" i="82"/>
  <c r="AQ650" i="82"/>
  <c r="L650" i="82"/>
  <c r="AE650" i="82"/>
  <c r="B651" i="82"/>
  <c r="I650" i="82"/>
  <c r="AV650" i="82"/>
  <c r="DX669" i="82"/>
  <c r="AW589" i="72"/>
  <c r="AN589" i="72"/>
  <c r="DS669" i="72"/>
  <c r="DS670" i="72" s="1"/>
  <c r="DX669" i="72"/>
  <c r="DW669" i="72"/>
  <c r="DR669" i="72"/>
  <c r="FA670" i="72"/>
  <c r="FA671" i="72" s="1"/>
  <c r="FG670" i="72"/>
  <c r="DV671" i="72"/>
  <c r="FF670" i="72"/>
  <c r="FB670" i="72"/>
  <c r="FE672" i="72"/>
  <c r="BS670" i="72"/>
  <c r="BT670" i="72"/>
  <c r="N617" i="72"/>
  <c r="BQ728" i="72"/>
  <c r="BR728" i="72" s="1"/>
  <c r="U728" i="72"/>
  <c r="V728" i="72" s="1"/>
  <c r="H617" i="72"/>
  <c r="BG728" i="72"/>
  <c r="BH728" i="72" s="1"/>
  <c r="K728" i="72"/>
  <c r="L728" i="72" s="1"/>
  <c r="J617" i="72"/>
  <c r="BL728" i="72"/>
  <c r="BM728" i="72" s="1"/>
  <c r="P728" i="72"/>
  <c r="Q728" i="72" s="1"/>
  <c r="E617" i="72"/>
  <c r="F728" i="72"/>
  <c r="G728" i="72" s="1"/>
  <c r="BB728" i="72"/>
  <c r="BC728" i="72" s="1"/>
  <c r="FZ666" i="72"/>
  <c r="GA666" i="72" s="1"/>
  <c r="GL666" i="72"/>
  <c r="CB670" i="72"/>
  <c r="FN670" i="72"/>
  <c r="FJ670" i="72"/>
  <c r="FK670" i="72"/>
  <c r="FL671" i="72" s="1"/>
  <c r="FM672" i="72" s="1"/>
  <c r="FI670" i="72"/>
  <c r="FO670" i="72"/>
  <c r="DN670" i="72"/>
  <c r="BX670" i="72"/>
  <c r="CF670" i="72"/>
  <c r="BU670" i="72"/>
  <c r="BV671" i="72" s="1"/>
  <c r="BW672" i="72" s="1"/>
  <c r="CG670" i="72"/>
  <c r="BY670" i="72"/>
  <c r="CA670" i="72"/>
  <c r="CC670" i="72"/>
  <c r="CD671" i="72" s="1"/>
  <c r="CE672" i="72" s="1"/>
  <c r="DP669" i="72"/>
  <c r="DL669" i="72"/>
  <c r="DM670" i="72" s="1"/>
  <c r="DJ669" i="72"/>
  <c r="DK669" i="72"/>
  <c r="DO669" i="72"/>
  <c r="AM618" i="72"/>
  <c r="AQ618" i="72"/>
  <c r="AI618" i="72"/>
  <c r="BI244" i="72"/>
  <c r="BJ244" i="72" s="1"/>
  <c r="BB244" i="72"/>
  <c r="BC244" i="72" s="1"/>
  <c r="BF244" i="72"/>
  <c r="BE244" i="72"/>
  <c r="AY247" i="72"/>
  <c r="AT589" i="72"/>
  <c r="AF590" i="72"/>
  <c r="AR590" i="72"/>
  <c r="AJ589" i="72"/>
  <c r="B619" i="72"/>
  <c r="AV619" i="72" s="1"/>
  <c r="AE618" i="72"/>
  <c r="I618" i="72"/>
  <c r="L618" i="72"/>
  <c r="F618" i="72"/>
  <c r="C618" i="72"/>
  <c r="X590" i="72"/>
  <c r="Z590" i="72"/>
  <c r="AA590" i="72"/>
  <c r="AB590" i="72"/>
  <c r="AC590" i="72"/>
  <c r="S592" i="72"/>
  <c r="Y591" i="72"/>
  <c r="T591" i="72"/>
  <c r="AS591" i="72" s="1"/>
  <c r="Q591" i="72"/>
  <c r="R592" i="72" s="1"/>
  <c r="P591" i="72"/>
  <c r="U590" i="72"/>
  <c r="V590" i="72" s="1"/>
  <c r="FB671" i="82" l="1"/>
  <c r="AJ590" i="82"/>
  <c r="AK590" i="82" s="1"/>
  <c r="S593" i="82"/>
  <c r="Y592" i="82"/>
  <c r="AF591" i="82"/>
  <c r="AG591" i="82" s="1"/>
  <c r="AC591" i="82"/>
  <c r="X591" i="82"/>
  <c r="U591" i="82"/>
  <c r="V591" i="82" s="1"/>
  <c r="Z591" i="82"/>
  <c r="AB591" i="82"/>
  <c r="AR591" i="82"/>
  <c r="Q592" i="82"/>
  <c r="R593" i="82" s="1"/>
  <c r="AA591" i="82"/>
  <c r="P592" i="82"/>
  <c r="T592" i="82"/>
  <c r="AS591" i="82"/>
  <c r="AT590" i="82"/>
  <c r="AW590" i="82"/>
  <c r="AX590" i="82" s="1"/>
  <c r="AN590" i="82"/>
  <c r="AO590" i="82" s="1"/>
  <c r="AG670" i="82"/>
  <c r="BT671" i="82"/>
  <c r="BY671" i="82"/>
  <c r="DK670" i="82"/>
  <c r="FJ671" i="82"/>
  <c r="AC670" i="82"/>
  <c r="FG671" i="82"/>
  <c r="CB671" i="82"/>
  <c r="DO670" i="82"/>
  <c r="BX671" i="82"/>
  <c r="DX670" i="82"/>
  <c r="DW670" i="82"/>
  <c r="P761" i="82"/>
  <c r="Q761" i="82" s="1"/>
  <c r="BL761" i="82"/>
  <c r="BM761" i="82" s="1"/>
  <c r="J650" i="82"/>
  <c r="CA671" i="82"/>
  <c r="CC671" i="82"/>
  <c r="CD672" i="82" s="1"/>
  <c r="CE673" i="82" s="1"/>
  <c r="AK670" i="82"/>
  <c r="GD668" i="82"/>
  <c r="GE668" i="82" s="1"/>
  <c r="FV668" i="82"/>
  <c r="AQ651" i="82"/>
  <c r="B652" i="82"/>
  <c r="AM651" i="82"/>
  <c r="C651" i="82"/>
  <c r="L651" i="82"/>
  <c r="AI651" i="82"/>
  <c r="AV651" i="82"/>
  <c r="AE651" i="82"/>
  <c r="I651" i="82"/>
  <c r="F651" i="82"/>
  <c r="K761" i="82"/>
  <c r="L761" i="82" s="1"/>
  <c r="BG761" i="82"/>
  <c r="BH761" i="82" s="1"/>
  <c r="H650" i="82"/>
  <c r="FF671" i="82"/>
  <c r="AH670" i="82"/>
  <c r="FT669" i="82"/>
  <c r="AB670" i="82"/>
  <c r="FQ669" i="82"/>
  <c r="FR669" i="82" s="1"/>
  <c r="AD670" i="82"/>
  <c r="AE671" i="82" s="1"/>
  <c r="AF672" i="82" s="1"/>
  <c r="FU669" i="82"/>
  <c r="BU671" i="82"/>
  <c r="BV672" i="82" s="1"/>
  <c r="BW673" i="82" s="1"/>
  <c r="BS671" i="82"/>
  <c r="DT670" i="82"/>
  <c r="DU671" i="82" s="1"/>
  <c r="DV672" i="82" s="1"/>
  <c r="DR670" i="82"/>
  <c r="U761" i="82"/>
  <c r="V761" i="82" s="1"/>
  <c r="BQ761" i="82"/>
  <c r="BR761" i="82" s="1"/>
  <c r="N650" i="82"/>
  <c r="CF671" i="82"/>
  <c r="DP670" i="82"/>
  <c r="AO670" i="82"/>
  <c r="FO671" i="82"/>
  <c r="DS670" i="82"/>
  <c r="DL670" i="82"/>
  <c r="DM671" i="82" s="1"/>
  <c r="DN672" i="82" s="1"/>
  <c r="DJ670" i="82"/>
  <c r="CG671" i="82"/>
  <c r="GL667" i="82"/>
  <c r="FZ667" i="82"/>
  <c r="GA667" i="82" s="1"/>
  <c r="FW669" i="82"/>
  <c r="GM669" i="82" s="1"/>
  <c r="FC671" i="82"/>
  <c r="FD672" i="82" s="1"/>
  <c r="FE673" i="82" s="1"/>
  <c r="FA671" i="82"/>
  <c r="GN668" i="82"/>
  <c r="GU668" i="82"/>
  <c r="GQ668" i="82"/>
  <c r="GY668" i="82"/>
  <c r="GH668" i="82"/>
  <c r="AJ670" i="82"/>
  <c r="AL670" i="82"/>
  <c r="AM671" i="82" s="1"/>
  <c r="AN672" i="82" s="1"/>
  <c r="FK671" i="82"/>
  <c r="FL672" i="82" s="1"/>
  <c r="FM673" i="82" s="1"/>
  <c r="FI671" i="82"/>
  <c r="BB761" i="82"/>
  <c r="BC761" i="82" s="1"/>
  <c r="F761" i="82"/>
  <c r="G761" i="82" s="1"/>
  <c r="E650" i="82"/>
  <c r="FN671" i="82"/>
  <c r="AP670" i="82"/>
  <c r="AW590" i="72"/>
  <c r="AN590" i="72"/>
  <c r="DX670" i="72"/>
  <c r="DT670" i="72"/>
  <c r="DU671" i="72" s="1"/>
  <c r="DV672" i="72" s="1"/>
  <c r="BL244" i="72"/>
  <c r="DR670" i="72"/>
  <c r="DW670" i="72"/>
  <c r="FF671" i="72"/>
  <c r="FC671" i="72"/>
  <c r="FD672" i="72" s="1"/>
  <c r="FE673" i="72" s="1"/>
  <c r="BU671" i="72"/>
  <c r="BV672" i="72" s="1"/>
  <c r="BW673" i="72" s="1"/>
  <c r="FG671" i="72"/>
  <c r="FB671" i="72"/>
  <c r="H618" i="72"/>
  <c r="BG729" i="72"/>
  <c r="BH729" i="72" s="1"/>
  <c r="K729" i="72"/>
  <c r="L729" i="72" s="1"/>
  <c r="N618" i="72"/>
  <c r="BQ729" i="72"/>
  <c r="BR729" i="72" s="1"/>
  <c r="U729" i="72"/>
  <c r="V729" i="72" s="1"/>
  <c r="J618" i="72"/>
  <c r="P729" i="72"/>
  <c r="Q729" i="72" s="1"/>
  <c r="BL729" i="72"/>
  <c r="BM729" i="72" s="1"/>
  <c r="E618" i="72"/>
  <c r="F729" i="72"/>
  <c r="G729" i="72" s="1"/>
  <c r="BB729" i="72"/>
  <c r="BC729" i="72" s="1"/>
  <c r="DN671" i="72"/>
  <c r="FN671" i="72"/>
  <c r="FO671" i="72"/>
  <c r="FI671" i="72"/>
  <c r="FK671" i="72"/>
  <c r="FL672" i="72" s="1"/>
  <c r="FM673" i="72" s="1"/>
  <c r="FJ671" i="72"/>
  <c r="BT671" i="72"/>
  <c r="BX671" i="72"/>
  <c r="BY671" i="72"/>
  <c r="BS671" i="72"/>
  <c r="CC671" i="72"/>
  <c r="CD672" i="72" s="1"/>
  <c r="CE673" i="72" s="1"/>
  <c r="CA671" i="72"/>
  <c r="CB671" i="72"/>
  <c r="CF671" i="72"/>
  <c r="CG671" i="72"/>
  <c r="DO670" i="72"/>
  <c r="DK670" i="72"/>
  <c r="DL670" i="72"/>
  <c r="DM671" i="72" s="1"/>
  <c r="DJ670" i="72"/>
  <c r="DP670" i="72"/>
  <c r="AQ619" i="72"/>
  <c r="AM619" i="72"/>
  <c r="AI619" i="72"/>
  <c r="BB247" i="72"/>
  <c r="BC247" i="72" s="1"/>
  <c r="AY252" i="72"/>
  <c r="BI247" i="72"/>
  <c r="BJ247" i="72" s="1"/>
  <c r="BF247" i="72"/>
  <c r="BE247" i="72"/>
  <c r="AR591" i="72"/>
  <c r="AF591" i="72"/>
  <c r="AT590" i="72"/>
  <c r="AJ590" i="72"/>
  <c r="B620" i="72"/>
  <c r="AV620" i="72" s="1"/>
  <c r="AE619" i="72"/>
  <c r="I619" i="72"/>
  <c r="L619" i="72"/>
  <c r="C619" i="72"/>
  <c r="F619" i="72"/>
  <c r="S593" i="72"/>
  <c r="Y592" i="72"/>
  <c r="Z591" i="72"/>
  <c r="X591" i="72"/>
  <c r="AA591" i="72"/>
  <c r="AB591" i="72"/>
  <c r="AC591" i="72"/>
  <c r="Q592" i="72"/>
  <c r="R593" i="72" s="1"/>
  <c r="U591" i="72"/>
  <c r="V591" i="72" s="1"/>
  <c r="P592" i="72"/>
  <c r="T592" i="72"/>
  <c r="AS592" i="72" s="1"/>
  <c r="AJ591" i="82" l="1"/>
  <c r="AK591" i="82" s="1"/>
  <c r="T593" i="82"/>
  <c r="AS592" i="82"/>
  <c r="AW591" i="82"/>
  <c r="AX591" i="82" s="1"/>
  <c r="AT591" i="82"/>
  <c r="AN591" i="82"/>
  <c r="AO591" i="82" s="1"/>
  <c r="Y593" i="82"/>
  <c r="S594" i="82"/>
  <c r="P593" i="82"/>
  <c r="AB592" i="82"/>
  <c r="AC592" i="82"/>
  <c r="AA592" i="82"/>
  <c r="Q593" i="82"/>
  <c r="R594" i="82" s="1"/>
  <c r="AF592" i="82"/>
  <c r="AG592" i="82" s="1"/>
  <c r="U592" i="82"/>
  <c r="V592" i="82" s="1"/>
  <c r="X592" i="82"/>
  <c r="Z592" i="82"/>
  <c r="AR592" i="82"/>
  <c r="CB672" i="82"/>
  <c r="BX672" i="82"/>
  <c r="BT672" i="82"/>
  <c r="DK671" i="82"/>
  <c r="AG671" i="82"/>
  <c r="AC671" i="82"/>
  <c r="BY672" i="82"/>
  <c r="FG672" i="82"/>
  <c r="CF672" i="82"/>
  <c r="DO671" i="82"/>
  <c r="AH671" i="82"/>
  <c r="CG672" i="82"/>
  <c r="DS671" i="82"/>
  <c r="FW670" i="82"/>
  <c r="GM670" i="82" s="1"/>
  <c r="FN672" i="82"/>
  <c r="FJ672" i="82"/>
  <c r="DX671" i="82"/>
  <c r="BU672" i="82"/>
  <c r="BV673" i="82" s="1"/>
  <c r="BW674" i="82" s="1"/>
  <c r="BS672" i="82"/>
  <c r="U762" i="82"/>
  <c r="V762" i="82" s="1"/>
  <c r="BQ762" i="82"/>
  <c r="BR762" i="82" s="1"/>
  <c r="N651" i="82"/>
  <c r="FA672" i="82"/>
  <c r="FC672" i="82"/>
  <c r="FD673" i="82" s="1"/>
  <c r="FE674" i="82" s="1"/>
  <c r="FO672" i="82"/>
  <c r="FZ668" i="82"/>
  <c r="GA668" i="82" s="1"/>
  <c r="GL668" i="82"/>
  <c r="AL671" i="82"/>
  <c r="AM672" i="82" s="1"/>
  <c r="AN673" i="82" s="1"/>
  <c r="AJ671" i="82"/>
  <c r="AO671" i="82"/>
  <c r="GN669" i="82"/>
  <c r="GY669" i="82"/>
  <c r="GQ669" i="82"/>
  <c r="GH669" i="82"/>
  <c r="GU669" i="82"/>
  <c r="BG762" i="82"/>
  <c r="BH762" i="82" s="1"/>
  <c r="K762" i="82"/>
  <c r="L762" i="82" s="1"/>
  <c r="H651" i="82"/>
  <c r="DP671" i="82"/>
  <c r="DR671" i="82"/>
  <c r="DT671" i="82"/>
  <c r="DU672" i="82" s="1"/>
  <c r="DV673" i="82" s="1"/>
  <c r="FF672" i="82"/>
  <c r="BL762" i="82"/>
  <c r="BM762" i="82" s="1"/>
  <c r="P762" i="82"/>
  <c r="Q762" i="82" s="1"/>
  <c r="J651" i="82"/>
  <c r="F762" i="82"/>
  <c r="G762" i="82" s="1"/>
  <c r="BB762" i="82"/>
  <c r="BC762" i="82" s="1"/>
  <c r="E651" i="82"/>
  <c r="AK671" i="82"/>
  <c r="DJ671" i="82"/>
  <c r="DL671" i="82"/>
  <c r="DM672" i="82" s="1"/>
  <c r="DN673" i="82" s="1"/>
  <c r="DW671" i="82"/>
  <c r="FB672" i="82"/>
  <c r="FU670" i="82"/>
  <c r="AB671" i="82"/>
  <c r="FQ670" i="82"/>
  <c r="FR670" i="82" s="1"/>
  <c r="AD671" i="82"/>
  <c r="AE672" i="82" s="1"/>
  <c r="AF673" i="82" s="1"/>
  <c r="FT670" i="82"/>
  <c r="AP671" i="82"/>
  <c r="FK672" i="82"/>
  <c r="FL673" i="82" s="1"/>
  <c r="FM674" i="82" s="1"/>
  <c r="FI672" i="82"/>
  <c r="FV669" i="82"/>
  <c r="GD669" i="82"/>
  <c r="GE669" i="82" s="1"/>
  <c r="C652" i="82"/>
  <c r="L652" i="82"/>
  <c r="AV652" i="82"/>
  <c r="AI652" i="82"/>
  <c r="AM652" i="82"/>
  <c r="B653" i="82"/>
  <c r="F652" i="82"/>
  <c r="AQ652" i="82"/>
  <c r="AE652" i="82"/>
  <c r="I652" i="82"/>
  <c r="CC672" i="82"/>
  <c r="CD673" i="82" s="1"/>
  <c r="CE674" i="82" s="1"/>
  <c r="CA672" i="82"/>
  <c r="AW591" i="72"/>
  <c r="AN591" i="72"/>
  <c r="DR671" i="72"/>
  <c r="DS671" i="72"/>
  <c r="FA672" i="72"/>
  <c r="DT671" i="72"/>
  <c r="DU672" i="72" s="1"/>
  <c r="DV673" i="72" s="1"/>
  <c r="DX671" i="72"/>
  <c r="DW671" i="72"/>
  <c r="FF672" i="72"/>
  <c r="BL247" i="72"/>
  <c r="FC672" i="72"/>
  <c r="FD673" i="72" s="1"/>
  <c r="FE674" i="72" s="1"/>
  <c r="FG672" i="72"/>
  <c r="BS672" i="72"/>
  <c r="FB672" i="72"/>
  <c r="BT672" i="72"/>
  <c r="DN672" i="72"/>
  <c r="H619" i="72"/>
  <c r="BG730" i="72"/>
  <c r="BH730" i="72" s="1"/>
  <c r="K730" i="72"/>
  <c r="L730" i="72" s="1"/>
  <c r="E619" i="72"/>
  <c r="BB730" i="72"/>
  <c r="BC730" i="72" s="1"/>
  <c r="F730" i="72"/>
  <c r="G730" i="72" s="1"/>
  <c r="N619" i="72"/>
  <c r="U730" i="72"/>
  <c r="V730" i="72" s="1"/>
  <c r="BQ730" i="72"/>
  <c r="BR730" i="72" s="1"/>
  <c r="J619" i="72"/>
  <c r="BL730" i="72"/>
  <c r="BM730" i="72" s="1"/>
  <c r="P730" i="72"/>
  <c r="Q730" i="72" s="1"/>
  <c r="FJ672" i="72"/>
  <c r="BU672" i="72"/>
  <c r="BV673" i="72" s="1"/>
  <c r="BW674" i="72" s="1"/>
  <c r="CB672" i="72"/>
  <c r="FN672" i="72"/>
  <c r="FK672" i="72"/>
  <c r="FL673" i="72" s="1"/>
  <c r="FM674" i="72" s="1"/>
  <c r="FI672" i="72"/>
  <c r="BX672" i="72"/>
  <c r="FO672" i="72"/>
  <c r="CF672" i="72"/>
  <c r="BY672" i="72"/>
  <c r="CG672" i="72"/>
  <c r="CC672" i="72"/>
  <c r="CD673" i="72" s="1"/>
  <c r="CE674" i="72" s="1"/>
  <c r="CA672" i="72"/>
  <c r="DK671" i="72"/>
  <c r="DJ671" i="72"/>
  <c r="DL671" i="72"/>
  <c r="DM672" i="72" s="1"/>
  <c r="DO671" i="72"/>
  <c r="DP671" i="72"/>
  <c r="AQ620" i="72"/>
  <c r="AM620" i="72"/>
  <c r="AI620" i="72"/>
  <c r="BB252" i="72"/>
  <c r="BC252" i="72" s="1"/>
  <c r="BI252" i="72"/>
  <c r="BJ252" i="72" s="1"/>
  <c r="AY255" i="72"/>
  <c r="BF252" i="72"/>
  <c r="BE252" i="72"/>
  <c r="AJ591" i="72"/>
  <c r="AT591" i="72"/>
  <c r="AF592" i="72"/>
  <c r="AR592" i="72"/>
  <c r="B621" i="72"/>
  <c r="AV621" i="72" s="1"/>
  <c r="AE620" i="72"/>
  <c r="I620" i="72"/>
  <c r="L620" i="72"/>
  <c r="C620" i="72"/>
  <c r="F620" i="72"/>
  <c r="S594" i="72"/>
  <c r="Y593" i="72"/>
  <c r="AB592" i="72"/>
  <c r="AC592" i="72"/>
  <c r="X592" i="72"/>
  <c r="Z592" i="72"/>
  <c r="AA592" i="72"/>
  <c r="T593" i="72"/>
  <c r="AS593" i="72" s="1"/>
  <c r="P593" i="72"/>
  <c r="U592" i="72"/>
  <c r="V592" i="72" s="1"/>
  <c r="Q593" i="72"/>
  <c r="R594" i="72" s="1"/>
  <c r="AW592" i="82" l="1"/>
  <c r="AX592" i="82" s="1"/>
  <c r="AT592" i="82"/>
  <c r="AN592" i="82"/>
  <c r="AO592" i="82" s="1"/>
  <c r="X593" i="82"/>
  <c r="P594" i="82"/>
  <c r="AC593" i="82"/>
  <c r="AB593" i="82"/>
  <c r="AA593" i="82"/>
  <c r="AR593" i="82"/>
  <c r="Z593" i="82"/>
  <c r="U593" i="82"/>
  <c r="V593" i="82" s="1"/>
  <c r="AF593" i="82"/>
  <c r="AG593" i="82" s="1"/>
  <c r="Q594" i="82"/>
  <c r="R595" i="82" s="1"/>
  <c r="AJ592" i="82"/>
  <c r="AK592" i="82" s="1"/>
  <c r="Y594" i="82"/>
  <c r="S595" i="82"/>
  <c r="AS593" i="82"/>
  <c r="T594" i="82"/>
  <c r="FB673" i="82"/>
  <c r="BY673" i="82"/>
  <c r="DS672" i="82"/>
  <c r="BX673" i="82"/>
  <c r="BT673" i="82"/>
  <c r="AH672" i="82"/>
  <c r="DO672" i="82"/>
  <c r="FF673" i="82"/>
  <c r="AP672" i="82"/>
  <c r="DW672" i="82"/>
  <c r="CB673" i="82"/>
  <c r="FO673" i="82"/>
  <c r="DK672" i="82"/>
  <c r="K763" i="82"/>
  <c r="L763" i="82" s="1"/>
  <c r="BG763" i="82"/>
  <c r="BH763" i="82" s="1"/>
  <c r="H652" i="82"/>
  <c r="FV670" i="82"/>
  <c r="GD670" i="82"/>
  <c r="GE670" i="82" s="1"/>
  <c r="AO672" i="82"/>
  <c r="BS673" i="82"/>
  <c r="BU673" i="82"/>
  <c r="BV674" i="82" s="1"/>
  <c r="BW675" i="82" s="1"/>
  <c r="AK672" i="82"/>
  <c r="AJ672" i="82"/>
  <c r="AL672" i="82"/>
  <c r="AM673" i="82" s="1"/>
  <c r="AN674" i="82" s="1"/>
  <c r="FC673" i="82"/>
  <c r="FD674" i="82" s="1"/>
  <c r="FE675" i="82" s="1"/>
  <c r="FA673" i="82"/>
  <c r="FJ673" i="82"/>
  <c r="CA673" i="82"/>
  <c r="CC673" i="82"/>
  <c r="CD674" i="82" s="1"/>
  <c r="CE675" i="82" s="1"/>
  <c r="BQ763" i="82"/>
  <c r="BR763" i="82" s="1"/>
  <c r="U763" i="82"/>
  <c r="V763" i="82" s="1"/>
  <c r="N652" i="82"/>
  <c r="DR672" i="82"/>
  <c r="DT672" i="82"/>
  <c r="DU673" i="82" s="1"/>
  <c r="DV674" i="82" s="1"/>
  <c r="DX672" i="82"/>
  <c r="BB763" i="82"/>
  <c r="BC763" i="82" s="1"/>
  <c r="F763" i="82"/>
  <c r="G763" i="82" s="1"/>
  <c r="E652" i="82"/>
  <c r="CG673" i="82"/>
  <c r="FU671" i="82"/>
  <c r="AB672" i="82"/>
  <c r="AD672" i="82"/>
  <c r="AE673" i="82" s="1"/>
  <c r="AF674" i="82" s="1"/>
  <c r="FQ671" i="82"/>
  <c r="FR671" i="82" s="1"/>
  <c r="FT671" i="82"/>
  <c r="CF673" i="82"/>
  <c r="DP672" i="82"/>
  <c r="FG673" i="82"/>
  <c r="P763" i="82"/>
  <c r="Q763" i="82" s="1"/>
  <c r="J652" i="82"/>
  <c r="BL763" i="82"/>
  <c r="BM763" i="82" s="1"/>
  <c r="AV653" i="82"/>
  <c r="I653" i="82"/>
  <c r="AM653" i="82"/>
  <c r="F653" i="82"/>
  <c r="AI653" i="82"/>
  <c r="AQ653" i="82"/>
  <c r="C653" i="82"/>
  <c r="L653" i="82"/>
  <c r="AE653" i="82"/>
  <c r="B654" i="82"/>
  <c r="GY670" i="82"/>
  <c r="GH670" i="82"/>
  <c r="GN670" i="82"/>
  <c r="GU670" i="82"/>
  <c r="GQ670" i="82"/>
  <c r="AG672" i="82"/>
  <c r="FI673" i="82"/>
  <c r="FK673" i="82"/>
  <c r="FL674" i="82" s="1"/>
  <c r="FM675" i="82" s="1"/>
  <c r="DL672" i="82"/>
  <c r="DM673" i="82" s="1"/>
  <c r="DN674" i="82" s="1"/>
  <c r="DJ672" i="82"/>
  <c r="AC672" i="82"/>
  <c r="FN673" i="82"/>
  <c r="GL669" i="82"/>
  <c r="FZ669" i="82"/>
  <c r="GA669" i="82" s="1"/>
  <c r="FW671" i="82"/>
  <c r="GM671" i="82" s="1"/>
  <c r="AN592" i="72"/>
  <c r="AW592" i="72"/>
  <c r="DS672" i="72"/>
  <c r="DT672" i="72"/>
  <c r="DU673" i="72" s="1"/>
  <c r="DV674" i="72" s="1"/>
  <c r="DR672" i="72"/>
  <c r="FC673" i="72"/>
  <c r="FD674" i="72" s="1"/>
  <c r="FE675" i="72" s="1"/>
  <c r="DX672" i="72"/>
  <c r="DW672" i="72"/>
  <c r="FG673" i="72"/>
  <c r="BU673" i="72"/>
  <c r="BV674" i="72" s="1"/>
  <c r="BW675" i="72" s="1"/>
  <c r="BL252" i="72"/>
  <c r="FF673" i="72"/>
  <c r="FA673" i="72"/>
  <c r="FB673" i="72"/>
  <c r="DN673" i="72"/>
  <c r="J620" i="72"/>
  <c r="P731" i="72"/>
  <c r="Q731" i="72" s="1"/>
  <c r="BL731" i="72"/>
  <c r="BM731" i="72" s="1"/>
  <c r="H620" i="72"/>
  <c r="K731" i="72"/>
  <c r="L731" i="72" s="1"/>
  <c r="BG731" i="72"/>
  <c r="BH731" i="72" s="1"/>
  <c r="E620" i="72"/>
  <c r="BB731" i="72"/>
  <c r="BC731" i="72" s="1"/>
  <c r="F731" i="72"/>
  <c r="G731" i="72" s="1"/>
  <c r="N620" i="72"/>
  <c r="U731" i="72"/>
  <c r="V731" i="72" s="1"/>
  <c r="BQ731" i="72"/>
  <c r="BR731" i="72" s="1"/>
  <c r="BT673" i="72"/>
  <c r="BX673" i="72"/>
  <c r="BS673" i="72"/>
  <c r="FJ673" i="72"/>
  <c r="FK673" i="72"/>
  <c r="FL674" i="72" s="1"/>
  <c r="FM675" i="72" s="1"/>
  <c r="FI673" i="72"/>
  <c r="BY673" i="72"/>
  <c r="FN673" i="72"/>
  <c r="FO673" i="72"/>
  <c r="CC673" i="72"/>
  <c r="CD674" i="72" s="1"/>
  <c r="CE675" i="72" s="1"/>
  <c r="CA673" i="72"/>
  <c r="CB673" i="72"/>
  <c r="CF673" i="72"/>
  <c r="CG673" i="72"/>
  <c r="DK672" i="72"/>
  <c r="DO672" i="72"/>
  <c r="DP672" i="72"/>
  <c r="DJ672" i="72"/>
  <c r="DL672" i="72"/>
  <c r="DM673" i="72" s="1"/>
  <c r="AY260" i="72"/>
  <c r="BE255" i="72"/>
  <c r="BF255" i="72"/>
  <c r="BB255" i="72"/>
  <c r="BC255" i="72" s="1"/>
  <c r="BI255" i="72"/>
  <c r="BJ255" i="72" s="1"/>
  <c r="AQ621" i="72"/>
  <c r="AM621" i="72"/>
  <c r="AI621" i="72"/>
  <c r="AT592" i="72"/>
  <c r="AJ592" i="72"/>
  <c r="AF593" i="72"/>
  <c r="AR593" i="72"/>
  <c r="B622" i="72"/>
  <c r="AV622" i="72" s="1"/>
  <c r="AE621" i="72"/>
  <c r="C621" i="72"/>
  <c r="F621" i="72"/>
  <c r="L621" i="72"/>
  <c r="I621" i="72"/>
  <c r="AB593" i="72"/>
  <c r="AC593" i="72"/>
  <c r="X593" i="72"/>
  <c r="AA593" i="72"/>
  <c r="Z593" i="72"/>
  <c r="S595" i="72"/>
  <c r="Y594" i="72"/>
  <c r="P594" i="72"/>
  <c r="U593" i="72"/>
  <c r="V593" i="72" s="1"/>
  <c r="Q594" i="72"/>
  <c r="R595" i="72" s="1"/>
  <c r="T594" i="72"/>
  <c r="AS594" i="72" s="1"/>
  <c r="AF594" i="82" l="1"/>
  <c r="AG594" i="82" s="1"/>
  <c r="Z594" i="82"/>
  <c r="AC594" i="82"/>
  <c r="U594" i="82"/>
  <c r="V594" i="82" s="1"/>
  <c r="AA594" i="82"/>
  <c r="X594" i="82"/>
  <c r="P595" i="82"/>
  <c r="Q595" i="82"/>
  <c r="R596" i="82" s="1"/>
  <c r="AR594" i="82"/>
  <c r="AB594" i="82"/>
  <c r="T595" i="82"/>
  <c r="AS594" i="82"/>
  <c r="AT593" i="82"/>
  <c r="AN593" i="82"/>
  <c r="AO593" i="82" s="1"/>
  <c r="AW593" i="82"/>
  <c r="AX593" i="82" s="1"/>
  <c r="Y595" i="82"/>
  <c r="S596" i="82"/>
  <c r="AJ593" i="82"/>
  <c r="AK593" i="82" s="1"/>
  <c r="FG674" i="82"/>
  <c r="CG674" i="82"/>
  <c r="DX673" i="82"/>
  <c r="AC673" i="82"/>
  <c r="DS673" i="82"/>
  <c r="AK673" i="82"/>
  <c r="FN674" i="82"/>
  <c r="DW673" i="82"/>
  <c r="AO673" i="82"/>
  <c r="AG673" i="82"/>
  <c r="BT674" i="82"/>
  <c r="FB674" i="82"/>
  <c r="CB674" i="82"/>
  <c r="CF674" i="82"/>
  <c r="AI654" i="82"/>
  <c r="I654" i="82"/>
  <c r="AV654" i="82"/>
  <c r="B655" i="82"/>
  <c r="AM654" i="82"/>
  <c r="L654" i="82"/>
  <c r="AE654" i="82"/>
  <c r="F654" i="82"/>
  <c r="C654" i="82"/>
  <c r="AQ654" i="82"/>
  <c r="GL670" i="82"/>
  <c r="FZ670" i="82"/>
  <c r="GA670" i="82" s="1"/>
  <c r="BG764" i="82"/>
  <c r="BH764" i="82" s="1"/>
  <c r="K764" i="82"/>
  <c r="L764" i="82" s="1"/>
  <c r="H653" i="82"/>
  <c r="FT672" i="82"/>
  <c r="AB673" i="82"/>
  <c r="AD673" i="82"/>
  <c r="AE674" i="82" s="1"/>
  <c r="AF675" i="82" s="1"/>
  <c r="FQ672" i="82"/>
  <c r="FR672" i="82" s="1"/>
  <c r="FU672" i="82"/>
  <c r="FK674" i="82"/>
  <c r="FL675" i="82" s="1"/>
  <c r="FM676" i="82" s="1"/>
  <c r="FI674" i="82"/>
  <c r="GY671" i="82"/>
  <c r="GN671" i="82"/>
  <c r="GH671" i="82"/>
  <c r="GQ671" i="82"/>
  <c r="GU671" i="82"/>
  <c r="FJ674" i="82"/>
  <c r="U764" i="82"/>
  <c r="V764" i="82" s="1"/>
  <c r="BQ764" i="82"/>
  <c r="BR764" i="82" s="1"/>
  <c r="N653" i="82"/>
  <c r="FC674" i="82"/>
  <c r="FD675" i="82" s="1"/>
  <c r="FE676" i="82" s="1"/>
  <c r="FA674" i="82"/>
  <c r="BU674" i="82"/>
  <c r="BV675" i="82" s="1"/>
  <c r="BW676" i="82" s="1"/>
  <c r="BS674" i="82"/>
  <c r="AP673" i="82"/>
  <c r="BB764" i="82"/>
  <c r="BC764" i="82" s="1"/>
  <c r="F764" i="82"/>
  <c r="G764" i="82" s="1"/>
  <c r="E653" i="82"/>
  <c r="BL764" i="82"/>
  <c r="BM764" i="82" s="1"/>
  <c r="P764" i="82"/>
  <c r="Q764" i="82" s="1"/>
  <c r="J653" i="82"/>
  <c r="DP673" i="82"/>
  <c r="BX674" i="82"/>
  <c r="FF674" i="82"/>
  <c r="DK673" i="82"/>
  <c r="DJ673" i="82"/>
  <c r="DL673" i="82"/>
  <c r="DM674" i="82" s="1"/>
  <c r="DN675" i="82" s="1"/>
  <c r="FV671" i="82"/>
  <c r="GD671" i="82"/>
  <c r="GE671" i="82" s="1"/>
  <c r="DT673" i="82"/>
  <c r="DU674" i="82" s="1"/>
  <c r="DV675" i="82" s="1"/>
  <c r="DR673" i="82"/>
  <c r="AL673" i="82"/>
  <c r="AM674" i="82" s="1"/>
  <c r="AN675" i="82" s="1"/>
  <c r="AJ673" i="82"/>
  <c r="BY674" i="82"/>
  <c r="FO674" i="82"/>
  <c r="DO673" i="82"/>
  <c r="CA674" i="82"/>
  <c r="CC674" i="82"/>
  <c r="CD675" i="82" s="1"/>
  <c r="CE676" i="82" s="1"/>
  <c r="FW672" i="82"/>
  <c r="GM672" i="82" s="1"/>
  <c r="AH673" i="82"/>
  <c r="AN593" i="72"/>
  <c r="AW593" i="72"/>
  <c r="DW673" i="72"/>
  <c r="DT673" i="72"/>
  <c r="DU674" i="72" s="1"/>
  <c r="DV675" i="72" s="1"/>
  <c r="DS673" i="72"/>
  <c r="DR673" i="72"/>
  <c r="FA674" i="72"/>
  <c r="FB674" i="72"/>
  <c r="DX673" i="72"/>
  <c r="BT674" i="72"/>
  <c r="FG674" i="72"/>
  <c r="FF674" i="72"/>
  <c r="DN674" i="72"/>
  <c r="FC674" i="72"/>
  <c r="FD675" i="72" s="1"/>
  <c r="FE676" i="72" s="1"/>
  <c r="BL255" i="72"/>
  <c r="J621" i="72"/>
  <c r="P732" i="72"/>
  <c r="Q732" i="72" s="1"/>
  <c r="BL732" i="72"/>
  <c r="BM732" i="72" s="1"/>
  <c r="N621" i="72"/>
  <c r="BQ732" i="72"/>
  <c r="BR732" i="72" s="1"/>
  <c r="U732" i="72"/>
  <c r="V732" i="72" s="1"/>
  <c r="H621" i="72"/>
  <c r="BG732" i="72"/>
  <c r="BH732" i="72" s="1"/>
  <c r="K732" i="72"/>
  <c r="L732" i="72" s="1"/>
  <c r="E621" i="72"/>
  <c r="BB732" i="72"/>
  <c r="BC732" i="72" s="1"/>
  <c r="F732" i="72"/>
  <c r="G732" i="72" s="1"/>
  <c r="BU674" i="72"/>
  <c r="BV675" i="72" s="1"/>
  <c r="BW676" i="72" s="1"/>
  <c r="BS674" i="72"/>
  <c r="FN674" i="72"/>
  <c r="BX674" i="72"/>
  <c r="BY674" i="72"/>
  <c r="FO674" i="72"/>
  <c r="FK674" i="72"/>
  <c r="FL675" i="72" s="1"/>
  <c r="FM676" i="72" s="1"/>
  <c r="FI674" i="72"/>
  <c r="FJ674" i="72"/>
  <c r="CB674" i="72"/>
  <c r="CF674" i="72"/>
  <c r="CG674" i="72"/>
  <c r="CC674" i="72"/>
  <c r="CD675" i="72" s="1"/>
  <c r="CE676" i="72" s="1"/>
  <c r="CA674" i="72"/>
  <c r="DO673" i="72"/>
  <c r="DK673" i="72"/>
  <c r="DP673" i="72"/>
  <c r="DL673" i="72"/>
  <c r="DM674" i="72" s="1"/>
  <c r="DJ673" i="72"/>
  <c r="AQ622" i="72"/>
  <c r="AM622" i="72"/>
  <c r="AI622" i="72"/>
  <c r="BF260" i="72"/>
  <c r="BB260" i="72"/>
  <c r="BC260" i="72" s="1"/>
  <c r="BI260" i="72"/>
  <c r="BJ260" i="72" s="1"/>
  <c r="BE260" i="72"/>
  <c r="AY263" i="72"/>
  <c r="AT593" i="72"/>
  <c r="AJ593" i="72"/>
  <c r="AF594" i="72"/>
  <c r="AR594" i="72"/>
  <c r="B623" i="72"/>
  <c r="AV623" i="72" s="1"/>
  <c r="AE622" i="72"/>
  <c r="C622" i="72"/>
  <c r="F622" i="72"/>
  <c r="L622" i="72"/>
  <c r="I622" i="72"/>
  <c r="S596" i="72"/>
  <c r="Y595" i="72"/>
  <c r="X594" i="72"/>
  <c r="AB594" i="72"/>
  <c r="AC594" i="72"/>
  <c r="Z594" i="72"/>
  <c r="AA594" i="72"/>
  <c r="T595" i="72"/>
  <c r="AS595" i="72" s="1"/>
  <c r="U594" i="72"/>
  <c r="V594" i="72" s="1"/>
  <c r="Q595" i="72"/>
  <c r="R596" i="72" s="1"/>
  <c r="P595" i="72"/>
  <c r="AC674" i="82" l="1"/>
  <c r="S597" i="82"/>
  <c r="Y596" i="82"/>
  <c r="AB595" i="82"/>
  <c r="Z595" i="82"/>
  <c r="AC595" i="82"/>
  <c r="AA595" i="82"/>
  <c r="U595" i="82"/>
  <c r="V595" i="82" s="1"/>
  <c r="P596" i="82"/>
  <c r="AR595" i="82"/>
  <c r="Q596" i="82"/>
  <c r="R597" i="82" s="1"/>
  <c r="AF595" i="82"/>
  <c r="AG595" i="82" s="1"/>
  <c r="X595" i="82"/>
  <c r="AJ594" i="82"/>
  <c r="AK594" i="82" s="1"/>
  <c r="T596" i="82"/>
  <c r="AS595" i="82"/>
  <c r="AN594" i="82"/>
  <c r="AO594" i="82" s="1"/>
  <c r="AT594" i="82"/>
  <c r="AW594" i="82"/>
  <c r="AX594" i="82" s="1"/>
  <c r="AK674" i="82"/>
  <c r="BY675" i="82"/>
  <c r="CF675" i="82"/>
  <c r="AG674" i="82"/>
  <c r="FW673" i="82"/>
  <c r="GM673" i="82" s="1"/>
  <c r="AH674" i="82"/>
  <c r="AP674" i="82"/>
  <c r="DR674" i="82"/>
  <c r="DT674" i="82"/>
  <c r="DU675" i="82" s="1"/>
  <c r="DV676" i="82" s="1"/>
  <c r="DW674" i="82"/>
  <c r="FK675" i="82"/>
  <c r="FL676" i="82" s="1"/>
  <c r="FI675" i="82"/>
  <c r="GH672" i="82"/>
  <c r="GQ672" i="82"/>
  <c r="GN672" i="82"/>
  <c r="GU672" i="82"/>
  <c r="GY672" i="82"/>
  <c r="AQ655" i="82"/>
  <c r="L655" i="82"/>
  <c r="C655" i="82"/>
  <c r="AE655" i="82"/>
  <c r="I655" i="82"/>
  <c r="AI655" i="82"/>
  <c r="AV655" i="82"/>
  <c r="AM655" i="82"/>
  <c r="F655" i="82"/>
  <c r="FN675" i="82"/>
  <c r="K765" i="82"/>
  <c r="L765" i="82" s="1"/>
  <c r="BG765" i="82"/>
  <c r="BH765" i="82" s="1"/>
  <c r="H654" i="82"/>
  <c r="DO674" i="82"/>
  <c r="BU675" i="82"/>
  <c r="BV676" i="82" s="1"/>
  <c r="BS675" i="82"/>
  <c r="CB675" i="82"/>
  <c r="BL765" i="82"/>
  <c r="BM765" i="82" s="1"/>
  <c r="P765" i="82"/>
  <c r="Q765" i="82" s="1"/>
  <c r="J654" i="82"/>
  <c r="CA675" i="82"/>
  <c r="CC675" i="82"/>
  <c r="CD676" i="82" s="1"/>
  <c r="FO675" i="82"/>
  <c r="GL671" i="82"/>
  <c r="FZ671" i="82"/>
  <c r="GA671" i="82" s="1"/>
  <c r="AB674" i="82"/>
  <c r="FQ673" i="82"/>
  <c r="FR673" i="82" s="1"/>
  <c r="FU673" i="82"/>
  <c r="FT673" i="82"/>
  <c r="AD674" i="82"/>
  <c r="AE675" i="82" s="1"/>
  <c r="AF676" i="82" s="1"/>
  <c r="FA675" i="82"/>
  <c r="FC675" i="82"/>
  <c r="FD676" i="82" s="1"/>
  <c r="FV672" i="82"/>
  <c r="GD672" i="82"/>
  <c r="GE672" i="82" s="1"/>
  <c r="U765" i="82"/>
  <c r="V765" i="82" s="1"/>
  <c r="BQ765" i="82"/>
  <c r="BR765" i="82" s="1"/>
  <c r="N654" i="82"/>
  <c r="DJ674" i="82"/>
  <c r="DL674" i="82"/>
  <c r="DM675" i="82" s="1"/>
  <c r="DN676" i="82" s="1"/>
  <c r="BX675" i="82"/>
  <c r="AL674" i="82"/>
  <c r="AM675" i="82" s="1"/>
  <c r="AN676" i="82" s="1"/>
  <c r="AJ674" i="82"/>
  <c r="DK674" i="82"/>
  <c r="AO674" i="82"/>
  <c r="DX674" i="82"/>
  <c r="FG675" i="82"/>
  <c r="DS674" i="82"/>
  <c r="FB675" i="82"/>
  <c r="FF675" i="82"/>
  <c r="DP674" i="82"/>
  <c r="CG675" i="82"/>
  <c r="FJ675" i="82"/>
  <c r="BT675" i="82"/>
  <c r="BB765" i="82"/>
  <c r="BC765" i="82" s="1"/>
  <c r="F765" i="82"/>
  <c r="G765" i="82" s="1"/>
  <c r="E654" i="82"/>
  <c r="AN594" i="72"/>
  <c r="AW594" i="72"/>
  <c r="DR674" i="72"/>
  <c r="DS674" i="72"/>
  <c r="DX674" i="72"/>
  <c r="DW674" i="72"/>
  <c r="DT674" i="72"/>
  <c r="DU675" i="72" s="1"/>
  <c r="DV676" i="72" s="1"/>
  <c r="FC675" i="72"/>
  <c r="FD676" i="72" s="1"/>
  <c r="FA675" i="72"/>
  <c r="FF675" i="72"/>
  <c r="FB675" i="72"/>
  <c r="FG675" i="72"/>
  <c r="DN675" i="72"/>
  <c r="BL260" i="72"/>
  <c r="BX675" i="72"/>
  <c r="BT675" i="72"/>
  <c r="BS675" i="72"/>
  <c r="BU675" i="72"/>
  <c r="BV676" i="72" s="1"/>
  <c r="H622" i="72"/>
  <c r="BG733" i="72"/>
  <c r="BH733" i="72" s="1"/>
  <c r="K733" i="72"/>
  <c r="L733" i="72" s="1"/>
  <c r="E622" i="72"/>
  <c r="BB733" i="72"/>
  <c r="BC733" i="72" s="1"/>
  <c r="F733" i="72"/>
  <c r="G733" i="72" s="1"/>
  <c r="J622" i="72"/>
  <c r="BL733" i="72"/>
  <c r="BM733" i="72" s="1"/>
  <c r="P733" i="72"/>
  <c r="Q733" i="72" s="1"/>
  <c r="N622" i="72"/>
  <c r="BQ733" i="72"/>
  <c r="BR733" i="72" s="1"/>
  <c r="U733" i="72"/>
  <c r="V733" i="72" s="1"/>
  <c r="BY675" i="72"/>
  <c r="FN675" i="72"/>
  <c r="FJ675" i="72"/>
  <c r="FK675" i="72"/>
  <c r="FL676" i="72" s="1"/>
  <c r="FI675" i="72"/>
  <c r="FO675" i="72"/>
  <c r="CC675" i="72"/>
  <c r="CD676" i="72" s="1"/>
  <c r="CA675" i="72"/>
  <c r="CG675" i="72"/>
  <c r="CB675" i="72"/>
  <c r="CF675" i="72"/>
  <c r="DO674" i="72"/>
  <c r="DK674" i="72"/>
  <c r="DL674" i="72"/>
  <c r="DM675" i="72" s="1"/>
  <c r="DJ674" i="72"/>
  <c r="DP674" i="72"/>
  <c r="AM623" i="72"/>
  <c r="AQ623" i="72"/>
  <c r="AI623" i="72"/>
  <c r="AY268" i="72"/>
  <c r="BI263" i="72"/>
  <c r="BJ263" i="72" s="1"/>
  <c r="BB263" i="72"/>
  <c r="BC263" i="72" s="1"/>
  <c r="BE263" i="72"/>
  <c r="BF263" i="72"/>
  <c r="AJ594" i="72"/>
  <c r="AR595" i="72"/>
  <c r="AF595" i="72"/>
  <c r="AT594" i="72"/>
  <c r="B624" i="72"/>
  <c r="AV624" i="72" s="1"/>
  <c r="AE623" i="72"/>
  <c r="I623" i="72"/>
  <c r="L623" i="72"/>
  <c r="C623" i="72"/>
  <c r="F623" i="72"/>
  <c r="S597" i="72"/>
  <c r="Y596" i="72"/>
  <c r="X595" i="72"/>
  <c r="AB595" i="72"/>
  <c r="AC595" i="72"/>
  <c r="Z595" i="72"/>
  <c r="AA595" i="72"/>
  <c r="Q596" i="72"/>
  <c r="R597" i="72" s="1"/>
  <c r="P596" i="72"/>
  <c r="U595" i="72"/>
  <c r="V595" i="72" s="1"/>
  <c r="T596" i="72"/>
  <c r="AS596" i="72" s="1"/>
  <c r="AR596" i="82" l="1"/>
  <c r="AA596" i="82"/>
  <c r="AF596" i="82"/>
  <c r="AG596" i="82" s="1"/>
  <c r="Q597" i="82"/>
  <c r="R598" i="82" s="1"/>
  <c r="Z596" i="82"/>
  <c r="X596" i="82"/>
  <c r="P597" i="82"/>
  <c r="U596" i="82"/>
  <c r="V596" i="82" s="1"/>
  <c r="AC596" i="82"/>
  <c r="AB596" i="82"/>
  <c r="AS596" i="82"/>
  <c r="T597" i="82"/>
  <c r="AT595" i="82"/>
  <c r="AN595" i="82"/>
  <c r="AO595" i="82" s="1"/>
  <c r="AW595" i="82"/>
  <c r="AX595" i="82" s="1"/>
  <c r="AJ595" i="82"/>
  <c r="AK595" i="82" s="1"/>
  <c r="Y597" i="82"/>
  <c r="S598" i="82"/>
  <c r="BT676" i="82"/>
  <c r="AP681" i="82"/>
  <c r="FJ676" i="82"/>
  <c r="BY676" i="82"/>
  <c r="DK675" i="82"/>
  <c r="AG675" i="82"/>
  <c r="DS675" i="82"/>
  <c r="FW674" i="82"/>
  <c r="GM674" i="82" s="1"/>
  <c r="CL681" i="82"/>
  <c r="AH675" i="82"/>
  <c r="FB676" i="82"/>
  <c r="CF676" i="82"/>
  <c r="CG676" i="82"/>
  <c r="FF676" i="82"/>
  <c r="BU676" i="82"/>
  <c r="BS676" i="82"/>
  <c r="DW675" i="82"/>
  <c r="AJ675" i="82"/>
  <c r="AL675" i="82"/>
  <c r="AM676" i="82" s="1"/>
  <c r="FV673" i="82"/>
  <c r="GD673" i="82"/>
  <c r="GE673" i="82" s="1"/>
  <c r="BG766" i="82"/>
  <c r="BH766" i="82" s="1"/>
  <c r="K766" i="82"/>
  <c r="L766" i="82" s="1"/>
  <c r="H655" i="82"/>
  <c r="GU673" i="82"/>
  <c r="GY673" i="82"/>
  <c r="GH673" i="82"/>
  <c r="GQ673" i="82"/>
  <c r="GN673" i="82"/>
  <c r="FN676" i="82"/>
  <c r="DR675" i="82"/>
  <c r="DT675" i="82"/>
  <c r="DU676" i="82" s="1"/>
  <c r="FG676" i="82"/>
  <c r="CB676" i="82"/>
  <c r="P766" i="82"/>
  <c r="Q766" i="82" s="1"/>
  <c r="BL766" i="82"/>
  <c r="BM766" i="82" s="1"/>
  <c r="J655" i="82"/>
  <c r="DX675" i="82"/>
  <c r="BX676" i="82"/>
  <c r="GL672" i="82"/>
  <c r="FZ672" i="82"/>
  <c r="GA672" i="82" s="1"/>
  <c r="AD675" i="82"/>
  <c r="AE676" i="82" s="1"/>
  <c r="FQ674" i="82"/>
  <c r="FR674" i="82" s="1"/>
  <c r="FT674" i="82"/>
  <c r="AB675" i="82"/>
  <c r="FU674" i="82"/>
  <c r="FO676" i="82"/>
  <c r="AP675" i="82"/>
  <c r="AO675" i="82"/>
  <c r="AK675" i="82"/>
  <c r="BB766" i="82"/>
  <c r="BC766" i="82" s="1"/>
  <c r="F766" i="82"/>
  <c r="G766" i="82" s="1"/>
  <c r="E655" i="82"/>
  <c r="FI676" i="82"/>
  <c r="FK676" i="82"/>
  <c r="DP675" i="82"/>
  <c r="DL675" i="82"/>
  <c r="DM676" i="82" s="1"/>
  <c r="DJ675" i="82"/>
  <c r="FA676" i="82"/>
  <c r="FC676" i="82"/>
  <c r="AC675" i="82"/>
  <c r="CC676" i="82"/>
  <c r="CA676" i="82"/>
  <c r="DO675" i="82"/>
  <c r="U766" i="82"/>
  <c r="V766" i="82" s="1"/>
  <c r="BQ766" i="82"/>
  <c r="BR766" i="82" s="1"/>
  <c r="N655" i="82"/>
  <c r="AN595" i="72"/>
  <c r="AW595" i="72"/>
  <c r="DT675" i="72"/>
  <c r="DU676" i="72" s="1"/>
  <c r="DS675" i="72"/>
  <c r="DW675" i="72"/>
  <c r="DR675" i="72"/>
  <c r="DX675" i="72"/>
  <c r="FB676" i="72"/>
  <c r="FA676" i="72"/>
  <c r="FC676" i="72"/>
  <c r="FG676" i="72"/>
  <c r="FF676" i="72"/>
  <c r="DN676" i="72"/>
  <c r="CL681" i="72" s="1"/>
  <c r="BL263" i="72"/>
  <c r="BT676" i="72"/>
  <c r="BU676" i="72"/>
  <c r="BS676" i="72"/>
  <c r="BX676" i="72"/>
  <c r="BY676" i="72"/>
  <c r="H623" i="72"/>
  <c r="BG734" i="72"/>
  <c r="BH734" i="72" s="1"/>
  <c r="K734" i="72"/>
  <c r="L734" i="72" s="1"/>
  <c r="N623" i="72"/>
  <c r="BQ734" i="72"/>
  <c r="BR734" i="72" s="1"/>
  <c r="U734" i="72"/>
  <c r="V734" i="72" s="1"/>
  <c r="E623" i="72"/>
  <c r="BB734" i="72"/>
  <c r="BC734" i="72" s="1"/>
  <c r="F734" i="72"/>
  <c r="G734" i="72" s="1"/>
  <c r="J623" i="72"/>
  <c r="BL734" i="72"/>
  <c r="BM734" i="72" s="1"/>
  <c r="P734" i="72"/>
  <c r="Q734" i="72" s="1"/>
  <c r="FI676" i="72"/>
  <c r="FK676" i="72"/>
  <c r="FO676" i="72"/>
  <c r="FJ676" i="72"/>
  <c r="FN676" i="72"/>
  <c r="CB676" i="72"/>
  <c r="CF676" i="72"/>
  <c r="CG676" i="72"/>
  <c r="CA676" i="72"/>
  <c r="CC676" i="72"/>
  <c r="DL675" i="72"/>
  <c r="DM676" i="72" s="1"/>
  <c r="DJ675" i="72"/>
  <c r="DK675" i="72"/>
  <c r="DO675" i="72"/>
  <c r="DP675" i="72"/>
  <c r="AM624" i="72"/>
  <c r="AQ624" i="72"/>
  <c r="AI624" i="72"/>
  <c r="AY271" i="72"/>
  <c r="BI268" i="72"/>
  <c r="BJ268" i="72" s="1"/>
  <c r="BF268" i="72"/>
  <c r="BE268" i="72"/>
  <c r="BB268" i="72"/>
  <c r="BC268" i="72" s="1"/>
  <c r="AF596" i="72"/>
  <c r="AR596" i="72"/>
  <c r="AT595" i="72"/>
  <c r="AJ595" i="72"/>
  <c r="B625" i="72"/>
  <c r="AV625" i="72" s="1"/>
  <c r="AE624" i="72"/>
  <c r="L624" i="72"/>
  <c r="I624" i="72"/>
  <c r="C624" i="72"/>
  <c r="F624" i="72"/>
  <c r="X596" i="72"/>
  <c r="AB596" i="72"/>
  <c r="AC596" i="72"/>
  <c r="Z596" i="72"/>
  <c r="AA596" i="72"/>
  <c r="S598" i="72"/>
  <c r="Y597" i="72"/>
  <c r="T597" i="72"/>
  <c r="AS597" i="72" s="1"/>
  <c r="P597" i="72"/>
  <c r="Q597" i="72"/>
  <c r="R598" i="72" s="1"/>
  <c r="U596" i="72"/>
  <c r="V596" i="72" s="1"/>
  <c r="AC597" i="82" l="1"/>
  <c r="Z597" i="82"/>
  <c r="Q598" i="82"/>
  <c r="R599" i="82" s="1"/>
  <c r="AB597" i="82"/>
  <c r="P598" i="82"/>
  <c r="U597" i="82"/>
  <c r="V597" i="82" s="1"/>
  <c r="AA597" i="82"/>
  <c r="AR597" i="82"/>
  <c r="X597" i="82"/>
  <c r="AF597" i="82"/>
  <c r="AG597" i="82" s="1"/>
  <c r="AJ596" i="82"/>
  <c r="AK596" i="82" s="1"/>
  <c r="S599" i="82"/>
  <c r="Y598" i="82"/>
  <c r="AN596" i="82"/>
  <c r="AO596" i="82" s="1"/>
  <c r="AW596" i="82"/>
  <c r="AX596" i="82" s="1"/>
  <c r="AT596" i="82"/>
  <c r="T598" i="82"/>
  <c r="AS597" i="82"/>
  <c r="AO681" i="82"/>
  <c r="AP682" i="82" s="1"/>
  <c r="CK681" i="72"/>
  <c r="CL682" i="72" s="1"/>
  <c r="AK676" i="82"/>
  <c r="CK681" i="82"/>
  <c r="CL682" i="82" s="1"/>
  <c r="DP676" i="82"/>
  <c r="AO676" i="82"/>
  <c r="AC676" i="82"/>
  <c r="FU675" i="82"/>
  <c r="AD676" i="82"/>
  <c r="FT675" i="82"/>
  <c r="FQ675" i="82"/>
  <c r="FR675" i="82" s="1"/>
  <c r="AB676" i="82"/>
  <c r="DR676" i="82"/>
  <c r="DT676" i="82"/>
  <c r="GD674" i="82"/>
  <c r="GE674" i="82" s="1"/>
  <c r="FV674" i="82"/>
  <c r="FZ673" i="82"/>
  <c r="GA673" i="82" s="1"/>
  <c r="GL673" i="82"/>
  <c r="DW676" i="82"/>
  <c r="AP676" i="82"/>
  <c r="DR676" i="72"/>
  <c r="DO676" i="82"/>
  <c r="DL676" i="82"/>
  <c r="DJ676" i="82"/>
  <c r="FW675" i="82"/>
  <c r="GM675" i="82" s="1"/>
  <c r="AG676" i="82"/>
  <c r="AL676" i="82"/>
  <c r="AJ676" i="82"/>
  <c r="DK676" i="82"/>
  <c r="GQ674" i="82"/>
  <c r="GU674" i="82"/>
  <c r="GY674" i="82"/>
  <c r="GN674" i="82"/>
  <c r="GH674" i="82"/>
  <c r="DX676" i="82"/>
  <c r="DS676" i="82"/>
  <c r="AH676" i="82"/>
  <c r="AN596" i="72"/>
  <c r="AW596" i="72"/>
  <c r="DS676" i="72"/>
  <c r="DX676" i="72"/>
  <c r="DW676" i="72"/>
  <c r="DT676" i="72"/>
  <c r="BL268" i="72"/>
  <c r="H624" i="72"/>
  <c r="BG735" i="72"/>
  <c r="BH735" i="72" s="1"/>
  <c r="K735" i="72"/>
  <c r="L735" i="72" s="1"/>
  <c r="E624" i="72"/>
  <c r="BB735" i="72"/>
  <c r="BC735" i="72" s="1"/>
  <c r="F735" i="72"/>
  <c r="G735" i="72" s="1"/>
  <c r="J624" i="72"/>
  <c r="BL735" i="72"/>
  <c r="BM735" i="72" s="1"/>
  <c r="P735" i="72"/>
  <c r="Q735" i="72" s="1"/>
  <c r="N624" i="72"/>
  <c r="BQ735" i="72"/>
  <c r="BR735" i="72" s="1"/>
  <c r="U735" i="72"/>
  <c r="V735" i="72" s="1"/>
  <c r="DK676" i="72"/>
  <c r="DO676" i="72"/>
  <c r="CM681" i="72" s="1"/>
  <c r="DP676" i="72"/>
  <c r="DJ676" i="72"/>
  <c r="DL676" i="72"/>
  <c r="BI271" i="72"/>
  <c r="BJ271" i="72" s="1"/>
  <c r="BE271" i="72"/>
  <c r="AY276" i="72"/>
  <c r="BB271" i="72"/>
  <c r="BC271" i="72" s="1"/>
  <c r="BF271" i="72"/>
  <c r="AM625" i="72"/>
  <c r="AQ625" i="72"/>
  <c r="AI625" i="72"/>
  <c r="AJ596" i="72"/>
  <c r="AR597" i="72"/>
  <c r="AF597" i="72"/>
  <c r="AT596" i="72"/>
  <c r="B626" i="72"/>
  <c r="AV626" i="72" s="1"/>
  <c r="AE625" i="72"/>
  <c r="F625" i="72"/>
  <c r="C625" i="72"/>
  <c r="L625" i="72"/>
  <c r="I625" i="72"/>
  <c r="S599" i="72"/>
  <c r="Y598" i="72"/>
  <c r="AB597" i="72"/>
  <c r="X597" i="72"/>
  <c r="AC597" i="72"/>
  <c r="AA597" i="72"/>
  <c r="Z597" i="72"/>
  <c r="Q598" i="72"/>
  <c r="R599" i="72" s="1"/>
  <c r="U597" i="72"/>
  <c r="V597" i="72" s="1"/>
  <c r="P598" i="72"/>
  <c r="T598" i="72"/>
  <c r="AS598" i="72" s="1"/>
  <c r="Y599" i="82" l="1"/>
  <c r="S600" i="82"/>
  <c r="Z598" i="82"/>
  <c r="AF598" i="82"/>
  <c r="AG598" i="82" s="1"/>
  <c r="AA598" i="82"/>
  <c r="Q599" i="82"/>
  <c r="R600" i="82" s="1"/>
  <c r="AB598" i="82"/>
  <c r="AR598" i="82"/>
  <c r="AC598" i="82"/>
  <c r="X598" i="82"/>
  <c r="P599" i="82"/>
  <c r="U598" i="82"/>
  <c r="V598" i="82" s="1"/>
  <c r="AW597" i="82"/>
  <c r="AX597" i="82" s="1"/>
  <c r="AT597" i="82"/>
  <c r="AN597" i="82"/>
  <c r="AO597" i="82" s="1"/>
  <c r="T599" i="82"/>
  <c r="AS598" i="82"/>
  <c r="AJ597" i="82"/>
  <c r="AK597" i="82" s="1"/>
  <c r="AV681" i="82"/>
  <c r="CM681" i="82"/>
  <c r="AQ681" i="82"/>
  <c r="CJ681" i="82"/>
  <c r="CK682" i="82" s="1"/>
  <c r="CL683" i="82" s="1"/>
  <c r="CR681" i="82"/>
  <c r="FW676" i="82"/>
  <c r="GM676" i="82" s="1"/>
  <c r="B48" i="82" s="1"/>
  <c r="L25" i="1" s="1"/>
  <c r="GD675" i="82"/>
  <c r="GE675" i="82" s="1"/>
  <c r="FV675" i="82"/>
  <c r="FZ674" i="82"/>
  <c r="GA674" i="82" s="1"/>
  <c r="GL674" i="82"/>
  <c r="AN681" i="82"/>
  <c r="AO682" i="82" s="1"/>
  <c r="AP683" i="82" s="1"/>
  <c r="GQ675" i="82"/>
  <c r="GU675" i="82"/>
  <c r="GY675" i="82"/>
  <c r="GN675" i="82"/>
  <c r="GH675" i="82"/>
  <c r="CN681" i="82"/>
  <c r="CI681" i="82"/>
  <c r="FQ676" i="82"/>
  <c r="FR676" i="82" s="1"/>
  <c r="FU676" i="82"/>
  <c r="FT676" i="82"/>
  <c r="AR681" i="82"/>
  <c r="AM681" i="82"/>
  <c r="AW597" i="72"/>
  <c r="AN597" i="72"/>
  <c r="CR681" i="72"/>
  <c r="CJ681" i="72"/>
  <c r="CK682" i="72" s="1"/>
  <c r="CL683" i="72" s="1"/>
  <c r="BL271" i="72"/>
  <c r="J625" i="72"/>
  <c r="BL736" i="72"/>
  <c r="BM736" i="72" s="1"/>
  <c r="P736" i="72"/>
  <c r="Q736" i="72" s="1"/>
  <c r="E625" i="72"/>
  <c r="BB736" i="72"/>
  <c r="BC736" i="72" s="1"/>
  <c r="F736" i="72"/>
  <c r="G736" i="72" s="1"/>
  <c r="CI681" i="72"/>
  <c r="CN681" i="72"/>
  <c r="H625" i="72"/>
  <c r="BG736" i="72"/>
  <c r="BH736" i="72" s="1"/>
  <c r="K736" i="72"/>
  <c r="L736" i="72" s="1"/>
  <c r="N625" i="72"/>
  <c r="BQ736" i="72"/>
  <c r="BR736" i="72" s="1"/>
  <c r="U736" i="72"/>
  <c r="V736" i="72" s="1"/>
  <c r="AM626" i="72"/>
  <c r="AQ626" i="72"/>
  <c r="AI626" i="72"/>
  <c r="AY279" i="72"/>
  <c r="BB276" i="72"/>
  <c r="BC276" i="72" s="1"/>
  <c r="BI276" i="72"/>
  <c r="BJ276" i="72" s="1"/>
  <c r="BF276" i="72"/>
  <c r="BE276" i="72"/>
  <c r="AF598" i="72"/>
  <c r="AR598" i="72"/>
  <c r="AT597" i="72"/>
  <c r="AJ597" i="72"/>
  <c r="B627" i="72"/>
  <c r="AV627" i="72" s="1"/>
  <c r="AE626" i="72"/>
  <c r="F626" i="72"/>
  <c r="C626" i="72"/>
  <c r="L626" i="72"/>
  <c r="I626" i="72"/>
  <c r="X598" i="72"/>
  <c r="AB598" i="72"/>
  <c r="AC598" i="72"/>
  <c r="Z598" i="72"/>
  <c r="AA598" i="72"/>
  <c r="S600" i="72"/>
  <c r="Y599" i="72"/>
  <c r="T599" i="72"/>
  <c r="AS599" i="72" s="1"/>
  <c r="P599" i="72"/>
  <c r="U598" i="72"/>
  <c r="V598" i="72" s="1"/>
  <c r="Q599" i="72"/>
  <c r="R600" i="72" s="1"/>
  <c r="EB681" i="82" l="1"/>
  <c r="T600" i="82"/>
  <c r="AS599" i="82"/>
  <c r="Y600" i="82"/>
  <c r="S601" i="82"/>
  <c r="U599" i="82"/>
  <c r="V599" i="82" s="1"/>
  <c r="Z599" i="82"/>
  <c r="AR599" i="82"/>
  <c r="AF599" i="82"/>
  <c r="AG599" i="82" s="1"/>
  <c r="AA599" i="82"/>
  <c r="P600" i="82"/>
  <c r="Q600" i="82"/>
  <c r="R601" i="82" s="1"/>
  <c r="AB599" i="82"/>
  <c r="X599" i="82"/>
  <c r="AC599" i="82"/>
  <c r="AW598" i="82"/>
  <c r="AX598" i="82" s="1"/>
  <c r="AT598" i="82"/>
  <c r="AN598" i="82"/>
  <c r="AO598" i="82" s="1"/>
  <c r="AJ598" i="82"/>
  <c r="AK598" i="82" s="1"/>
  <c r="AV682" i="82"/>
  <c r="GN676" i="82"/>
  <c r="B49" i="82" s="1"/>
  <c r="L26" i="1" s="1"/>
  <c r="GU676" i="82"/>
  <c r="GH676" i="82"/>
  <c r="GY676" i="82"/>
  <c r="GQ676" i="82"/>
  <c r="CO682" i="82"/>
  <c r="CP683" i="82" s="1"/>
  <c r="CN682" i="82"/>
  <c r="GL675" i="82"/>
  <c r="FZ675" i="82"/>
  <c r="GA675" i="82" s="1"/>
  <c r="AW681" i="82"/>
  <c r="AN682" i="82"/>
  <c r="AO683" i="82" s="1"/>
  <c r="AP684" i="82" s="1"/>
  <c r="EA681" i="82"/>
  <c r="AQ682" i="82"/>
  <c r="AM682" i="82"/>
  <c r="AS682" i="82"/>
  <c r="AT683" i="82" s="1"/>
  <c r="ED681" i="82"/>
  <c r="AR682" i="82"/>
  <c r="FV676" i="82"/>
  <c r="GD676" i="82"/>
  <c r="GE676" i="82" s="1"/>
  <c r="CJ682" i="82"/>
  <c r="CK683" i="82" s="1"/>
  <c r="CL684" i="82" s="1"/>
  <c r="CM682" i="82"/>
  <c r="CS681" i="82"/>
  <c r="CI682" i="82"/>
  <c r="CR682" i="82"/>
  <c r="AW598" i="72"/>
  <c r="AN598" i="72"/>
  <c r="BL276" i="72"/>
  <c r="J626" i="72"/>
  <c r="P737" i="72"/>
  <c r="Q737" i="72" s="1"/>
  <c r="BL737" i="72"/>
  <c r="BM737" i="72" s="1"/>
  <c r="CJ682" i="72"/>
  <c r="CK683" i="72" s="1"/>
  <c r="CL684" i="72" s="1"/>
  <c r="CS681" i="72"/>
  <c r="CI682" i="72"/>
  <c r="CM682" i="72"/>
  <c r="N626" i="72"/>
  <c r="BQ737" i="72"/>
  <c r="BR737" i="72" s="1"/>
  <c r="U737" i="72"/>
  <c r="V737" i="72" s="1"/>
  <c r="H626" i="72"/>
  <c r="BG737" i="72"/>
  <c r="BH737" i="72" s="1"/>
  <c r="K737" i="72"/>
  <c r="L737" i="72" s="1"/>
  <c r="CR682" i="72"/>
  <c r="E626" i="72"/>
  <c r="BB737" i="72"/>
  <c r="BC737" i="72" s="1"/>
  <c r="F737" i="72"/>
  <c r="G737" i="72" s="1"/>
  <c r="CO682" i="72"/>
  <c r="CP683" i="72" s="1"/>
  <c r="CN682" i="72"/>
  <c r="AJ598" i="72"/>
  <c r="AM627" i="72"/>
  <c r="AQ627" i="72"/>
  <c r="AI627" i="72"/>
  <c r="BB279" i="72"/>
  <c r="BC279" i="72" s="1"/>
  <c r="AY284" i="72"/>
  <c r="BE279" i="72"/>
  <c r="BI279" i="72"/>
  <c r="BJ279" i="72" s="1"/>
  <c r="BF279" i="72"/>
  <c r="AT598" i="72"/>
  <c r="AR599" i="72"/>
  <c r="AF599" i="72"/>
  <c r="B628" i="72"/>
  <c r="AV628" i="72" s="1"/>
  <c r="AE627" i="72"/>
  <c r="I627" i="72"/>
  <c r="L627" i="72"/>
  <c r="C627" i="72"/>
  <c r="F627" i="72"/>
  <c r="X599" i="72"/>
  <c r="AB599" i="72"/>
  <c r="AC599" i="72"/>
  <c r="Z599" i="72"/>
  <c r="AA599" i="72"/>
  <c r="S601" i="72"/>
  <c r="Y600" i="72"/>
  <c r="P600" i="72"/>
  <c r="U599" i="72"/>
  <c r="V599" i="72" s="1"/>
  <c r="Q600" i="72"/>
  <c r="R601" i="72" s="1"/>
  <c r="T600" i="72"/>
  <c r="AS600" i="72" s="1"/>
  <c r="AJ599" i="82" l="1"/>
  <c r="AK599" i="82" s="1"/>
  <c r="AN599" i="82"/>
  <c r="AO599" i="82" s="1"/>
  <c r="AT599" i="82"/>
  <c r="AW599" i="82"/>
  <c r="AX599" i="82" s="1"/>
  <c r="Y601" i="82"/>
  <c r="S602" i="82"/>
  <c r="AF600" i="82"/>
  <c r="AG600" i="82" s="1"/>
  <c r="Q601" i="82"/>
  <c r="R602" i="82" s="1"/>
  <c r="AB600" i="82"/>
  <c r="AC600" i="82"/>
  <c r="AA600" i="82"/>
  <c r="U600" i="82"/>
  <c r="V600" i="82" s="1"/>
  <c r="Z600" i="82"/>
  <c r="AR600" i="82"/>
  <c r="X600" i="82"/>
  <c r="P601" i="82"/>
  <c r="T601" i="82"/>
  <c r="AS600" i="82"/>
  <c r="CU681" i="82"/>
  <c r="CV681" i="82" s="1"/>
  <c r="CR683" i="82"/>
  <c r="AQ683" i="82"/>
  <c r="DB682" i="82"/>
  <c r="AN683" i="82"/>
  <c r="AO684" i="82" s="1"/>
  <c r="AP685" i="82" s="1"/>
  <c r="CZ682" i="82"/>
  <c r="EA682" i="82"/>
  <c r="DA682" i="82"/>
  <c r="DD682" i="82"/>
  <c r="AW682" i="82"/>
  <c r="DC682" i="82"/>
  <c r="AM683" i="82"/>
  <c r="DG683" i="82"/>
  <c r="CQ684" i="82"/>
  <c r="DK682" i="82"/>
  <c r="CI683" i="82"/>
  <c r="DJ682" i="82"/>
  <c r="CJ683" i="82"/>
  <c r="CK684" i="82" s="1"/>
  <c r="CL685" i="82" s="1"/>
  <c r="DL682" i="82"/>
  <c r="CM683" i="82"/>
  <c r="CS682" i="82"/>
  <c r="DI682" i="82"/>
  <c r="DH682" i="82"/>
  <c r="AS683" i="82"/>
  <c r="AT684" i="82" s="1"/>
  <c r="CX682" i="82"/>
  <c r="ED682" i="82"/>
  <c r="AR683" i="82"/>
  <c r="CY683" i="82"/>
  <c r="AU684" i="82"/>
  <c r="DT681" i="82"/>
  <c r="B51" i="82"/>
  <c r="L28" i="1" s="1"/>
  <c r="FZ676" i="82"/>
  <c r="GA676" i="82" s="1"/>
  <c r="GL676" i="82"/>
  <c r="B47" i="82" s="1"/>
  <c r="L24" i="1" s="1"/>
  <c r="EB682" i="82"/>
  <c r="CO683" i="82"/>
  <c r="CP684" i="82" s="1"/>
  <c r="CN683" i="82"/>
  <c r="DF682" i="82"/>
  <c r="AV683" i="82"/>
  <c r="AW599" i="72"/>
  <c r="AN599" i="72"/>
  <c r="BL279" i="72"/>
  <c r="DF682" i="72"/>
  <c r="CQ684" i="72"/>
  <c r="DG683" i="72"/>
  <c r="DL682" i="72"/>
  <c r="DK682" i="72"/>
  <c r="DH682" i="72"/>
  <c r="DJ682" i="72"/>
  <c r="DI682" i="72"/>
  <c r="CR683" i="72"/>
  <c r="H627" i="72"/>
  <c r="K738" i="72"/>
  <c r="L738" i="72" s="1"/>
  <c r="BG738" i="72"/>
  <c r="BH738" i="72" s="1"/>
  <c r="CS682" i="72"/>
  <c r="CM683" i="72"/>
  <c r="CI683" i="72"/>
  <c r="CJ683" i="72"/>
  <c r="CK684" i="72" s="1"/>
  <c r="CL685" i="72" s="1"/>
  <c r="E627" i="72"/>
  <c r="BB738" i="72"/>
  <c r="BC738" i="72" s="1"/>
  <c r="F738" i="72"/>
  <c r="G738" i="72" s="1"/>
  <c r="CO683" i="72"/>
  <c r="CP684" i="72" s="1"/>
  <c r="CN683" i="72"/>
  <c r="N627" i="72"/>
  <c r="BQ738" i="72"/>
  <c r="BR738" i="72" s="1"/>
  <c r="U738" i="72"/>
  <c r="V738" i="72" s="1"/>
  <c r="J627" i="72"/>
  <c r="P738" i="72"/>
  <c r="Q738" i="72" s="1"/>
  <c r="BL738" i="72"/>
  <c r="BM738" i="72" s="1"/>
  <c r="AQ628" i="72"/>
  <c r="AM628" i="72"/>
  <c r="AI628" i="72"/>
  <c r="AY287" i="72"/>
  <c r="BE284" i="72"/>
  <c r="BI284" i="72"/>
  <c r="BJ284" i="72" s="1"/>
  <c r="BB284" i="72"/>
  <c r="BC284" i="72" s="1"/>
  <c r="BF284" i="72"/>
  <c r="AJ599" i="72"/>
  <c r="AT599" i="72"/>
  <c r="AF600" i="72"/>
  <c r="AR600" i="72"/>
  <c r="B629" i="72"/>
  <c r="AV629" i="72" s="1"/>
  <c r="AE628" i="72"/>
  <c r="C628" i="72"/>
  <c r="F628" i="72"/>
  <c r="I628" i="72"/>
  <c r="L628" i="72"/>
  <c r="S602" i="72"/>
  <c r="Y601" i="72"/>
  <c r="AB600" i="72"/>
  <c r="AC600" i="72"/>
  <c r="Z600" i="72"/>
  <c r="AA600" i="72"/>
  <c r="X600" i="72"/>
  <c r="T601" i="72"/>
  <c r="AS601" i="72" s="1"/>
  <c r="P601" i="72"/>
  <c r="Q601" i="72"/>
  <c r="R602" i="72" s="1"/>
  <c r="U600" i="72"/>
  <c r="V600" i="72" s="1"/>
  <c r="T602" i="82" l="1"/>
  <c r="AS601" i="82"/>
  <c r="P602" i="82"/>
  <c r="AB601" i="82"/>
  <c r="AF601" i="82"/>
  <c r="AG601" i="82" s="1"/>
  <c r="Q602" i="82"/>
  <c r="R603" i="82" s="1"/>
  <c r="U601" i="82"/>
  <c r="V601" i="82" s="1"/>
  <c r="X601" i="82"/>
  <c r="AC601" i="82"/>
  <c r="AR601" i="82"/>
  <c r="AA601" i="82"/>
  <c r="Z601" i="82"/>
  <c r="S603" i="82"/>
  <c r="Y602" i="82"/>
  <c r="AJ600" i="82"/>
  <c r="AK600" i="82" s="1"/>
  <c r="AW600" i="82"/>
  <c r="AX600" i="82" s="1"/>
  <c r="AN600" i="82"/>
  <c r="AO600" i="82" s="1"/>
  <c r="AT600" i="82"/>
  <c r="CU682" i="82"/>
  <c r="CV682" i="82" s="1"/>
  <c r="CQ685" i="82"/>
  <c r="DG684" i="82"/>
  <c r="EG682" i="82"/>
  <c r="DW682" i="82"/>
  <c r="EK682" i="82"/>
  <c r="EC682" i="82"/>
  <c r="EO682" i="82"/>
  <c r="AR684" i="82"/>
  <c r="AS684" i="82"/>
  <c r="AT685" i="82" s="1"/>
  <c r="ED683" i="82"/>
  <c r="CX683" i="82"/>
  <c r="DO682" i="82"/>
  <c r="DS682" i="82"/>
  <c r="DT682" i="82" s="1"/>
  <c r="AV684" i="82"/>
  <c r="EB683" i="82"/>
  <c r="AU685" i="82"/>
  <c r="CY684" i="82"/>
  <c r="AN684" i="82"/>
  <c r="AO685" i="82" s="1"/>
  <c r="AP686" i="82" s="1"/>
  <c r="DC683" i="82"/>
  <c r="AW683" i="82"/>
  <c r="AM684" i="82"/>
  <c r="EA683" i="82"/>
  <c r="DB683" i="82"/>
  <c r="DA683" i="82"/>
  <c r="DD683" i="82"/>
  <c r="CZ683" i="82"/>
  <c r="AQ684" i="82"/>
  <c r="B50" i="82"/>
  <c r="L27" i="1" s="1"/>
  <c r="DP681" i="82"/>
  <c r="DH683" i="82"/>
  <c r="CM684" i="82"/>
  <c r="CI684" i="82"/>
  <c r="DJ683" i="82"/>
  <c r="DK683" i="82"/>
  <c r="DI683" i="82"/>
  <c r="CJ684" i="82"/>
  <c r="CK685" i="82" s="1"/>
  <c r="CL686" i="82" s="1"/>
  <c r="DL683" i="82"/>
  <c r="CS683" i="82"/>
  <c r="CN684" i="82"/>
  <c r="CO684" i="82"/>
  <c r="CP685" i="82" s="1"/>
  <c r="DF683" i="82"/>
  <c r="CR684" i="82"/>
  <c r="AW600" i="72"/>
  <c r="AN600" i="72"/>
  <c r="BL284" i="72"/>
  <c r="DF683" i="72"/>
  <c r="CQ685" i="72"/>
  <c r="DG684" i="72"/>
  <c r="DJ683" i="72"/>
  <c r="DK683" i="72"/>
  <c r="DH683" i="72"/>
  <c r="DL683" i="72"/>
  <c r="DI683" i="72"/>
  <c r="CI684" i="72"/>
  <c r="CJ684" i="72"/>
  <c r="CK685" i="72" s="1"/>
  <c r="CL686" i="72" s="1"/>
  <c r="CS683" i="72"/>
  <c r="CM684" i="72"/>
  <c r="CO684" i="72"/>
  <c r="CP685" i="72" s="1"/>
  <c r="CN684" i="72"/>
  <c r="N628" i="72"/>
  <c r="U739" i="72"/>
  <c r="V739" i="72" s="1"/>
  <c r="BQ739" i="72"/>
  <c r="BR739" i="72" s="1"/>
  <c r="J628" i="72"/>
  <c r="BL739" i="72"/>
  <c r="BM739" i="72" s="1"/>
  <c r="P739" i="72"/>
  <c r="Q739" i="72" s="1"/>
  <c r="H628" i="72"/>
  <c r="K739" i="72"/>
  <c r="L739" i="72" s="1"/>
  <c r="BG739" i="72"/>
  <c r="BH739" i="72" s="1"/>
  <c r="E628" i="72"/>
  <c r="BB739" i="72"/>
  <c r="BC739" i="72" s="1"/>
  <c r="F739" i="72"/>
  <c r="G739" i="72" s="1"/>
  <c r="CR684" i="72"/>
  <c r="AQ629" i="72"/>
  <c r="AM629" i="72"/>
  <c r="AI629" i="72"/>
  <c r="BF287" i="72"/>
  <c r="AY292" i="72"/>
  <c r="BI287" i="72"/>
  <c r="BJ287" i="72" s="1"/>
  <c r="BB287" i="72"/>
  <c r="BC287" i="72" s="1"/>
  <c r="BE287" i="72"/>
  <c r="AT600" i="72"/>
  <c r="AF601" i="72"/>
  <c r="AR601" i="72"/>
  <c r="AJ600" i="72"/>
  <c r="B630" i="72"/>
  <c r="AV630" i="72" s="1"/>
  <c r="AE629" i="72"/>
  <c r="F629" i="72"/>
  <c r="C629" i="72"/>
  <c r="L629" i="72"/>
  <c r="I629" i="72"/>
  <c r="AB601" i="72"/>
  <c r="AC601" i="72"/>
  <c r="X601" i="72"/>
  <c r="AA601" i="72"/>
  <c r="Z601" i="72"/>
  <c r="S603" i="72"/>
  <c r="Y602" i="72"/>
  <c r="P602" i="72"/>
  <c r="Q602" i="72"/>
  <c r="R603" i="72" s="1"/>
  <c r="U601" i="72"/>
  <c r="V601" i="72" s="1"/>
  <c r="T602" i="72"/>
  <c r="AS602" i="72" s="1"/>
  <c r="AJ601" i="82" l="1"/>
  <c r="AK601" i="82" s="1"/>
  <c r="S604" i="82"/>
  <c r="Y603" i="82"/>
  <c r="P603" i="82"/>
  <c r="Q603" i="82"/>
  <c r="R604" i="82" s="1"/>
  <c r="Z602" i="82"/>
  <c r="U602" i="82"/>
  <c r="V602" i="82" s="1"/>
  <c r="AA602" i="82"/>
  <c r="X602" i="82"/>
  <c r="AB602" i="82"/>
  <c r="AF602" i="82"/>
  <c r="AG602" i="82" s="1"/>
  <c r="AC602" i="82"/>
  <c r="AR602" i="82"/>
  <c r="AN601" i="82"/>
  <c r="AO601" i="82" s="1"/>
  <c r="AW601" i="82"/>
  <c r="AX601" i="82" s="1"/>
  <c r="AT601" i="82"/>
  <c r="T603" i="82"/>
  <c r="AS602" i="82"/>
  <c r="CU683" i="82"/>
  <c r="CV683" i="82" s="1"/>
  <c r="CO685" i="82"/>
  <c r="CP686" i="82" s="1"/>
  <c r="DF684" i="82"/>
  <c r="CN685" i="82"/>
  <c r="DO683" i="82"/>
  <c r="DS683" i="82"/>
  <c r="DT683" i="82" s="1"/>
  <c r="EO683" i="82"/>
  <c r="EK683" i="82"/>
  <c r="EC683" i="82"/>
  <c r="DW683" i="82"/>
  <c r="EG683" i="82"/>
  <c r="AU686" i="82"/>
  <c r="CY685" i="82"/>
  <c r="EB684" i="82"/>
  <c r="AV685" i="82"/>
  <c r="AS685" i="82"/>
  <c r="AT686" i="82" s="1"/>
  <c r="CX684" i="82"/>
  <c r="AR685" i="82"/>
  <c r="ED684" i="82"/>
  <c r="DD684" i="82"/>
  <c r="AQ685" i="82"/>
  <c r="AM685" i="82"/>
  <c r="CZ684" i="82"/>
  <c r="DC684" i="82"/>
  <c r="EA684" i="82"/>
  <c r="DB684" i="82"/>
  <c r="DA684" i="82"/>
  <c r="AW684" i="82"/>
  <c r="AN685" i="82"/>
  <c r="AO686" i="82" s="1"/>
  <c r="AP687" i="82" s="1"/>
  <c r="CR685" i="82"/>
  <c r="DP682" i="82"/>
  <c r="DG685" i="82"/>
  <c r="CQ686" i="82"/>
  <c r="CI685" i="82"/>
  <c r="DH684" i="82"/>
  <c r="DK684" i="82"/>
  <c r="CJ685" i="82"/>
  <c r="CK686" i="82" s="1"/>
  <c r="CL687" i="82" s="1"/>
  <c r="DL684" i="82"/>
  <c r="CM685" i="82"/>
  <c r="CS684" i="82"/>
  <c r="DI684" i="82"/>
  <c r="DJ684" i="82"/>
  <c r="AN601" i="72"/>
  <c r="AW601" i="72"/>
  <c r="BL287" i="72"/>
  <c r="DF684" i="72"/>
  <c r="CQ686" i="72"/>
  <c r="DG685" i="72"/>
  <c r="DJ684" i="72"/>
  <c r="DH684" i="72"/>
  <c r="DL684" i="72"/>
  <c r="DK684" i="72"/>
  <c r="DI684" i="72"/>
  <c r="CR685" i="72"/>
  <c r="CO685" i="72"/>
  <c r="CP686" i="72" s="1"/>
  <c r="CN685" i="72"/>
  <c r="E629" i="72"/>
  <c r="BB740" i="72"/>
  <c r="BC740" i="72" s="1"/>
  <c r="F740" i="72"/>
  <c r="G740" i="72" s="1"/>
  <c r="H629" i="72"/>
  <c r="BG740" i="72"/>
  <c r="BH740" i="72" s="1"/>
  <c r="K740" i="72"/>
  <c r="L740" i="72" s="1"/>
  <c r="J629" i="72"/>
  <c r="BL740" i="72"/>
  <c r="BM740" i="72" s="1"/>
  <c r="P740" i="72"/>
  <c r="Q740" i="72" s="1"/>
  <c r="N629" i="72"/>
  <c r="BQ740" i="72"/>
  <c r="BR740" i="72" s="1"/>
  <c r="U740" i="72"/>
  <c r="V740" i="72" s="1"/>
  <c r="CI685" i="72"/>
  <c r="CJ685" i="72"/>
  <c r="CK686" i="72" s="1"/>
  <c r="CL687" i="72" s="1"/>
  <c r="CS684" i="72"/>
  <c r="CM685" i="72"/>
  <c r="AY295" i="72"/>
  <c r="BI292" i="72"/>
  <c r="BJ292" i="72" s="1"/>
  <c r="BF292" i="72"/>
  <c r="BB292" i="72"/>
  <c r="BC292" i="72" s="1"/>
  <c r="BE292" i="72"/>
  <c r="AQ630" i="72"/>
  <c r="AM630" i="72"/>
  <c r="AI630" i="72"/>
  <c r="AT601" i="72"/>
  <c r="AJ601" i="72"/>
  <c r="AF602" i="72"/>
  <c r="AR602" i="72"/>
  <c r="B631" i="72"/>
  <c r="AV631" i="72" s="1"/>
  <c r="AE630" i="72"/>
  <c r="F630" i="72"/>
  <c r="C630" i="72"/>
  <c r="I630" i="72"/>
  <c r="L630" i="72"/>
  <c r="S604" i="72"/>
  <c r="Y603" i="72"/>
  <c r="X602" i="72"/>
  <c r="AB602" i="72"/>
  <c r="AC602" i="72"/>
  <c r="Z602" i="72"/>
  <c r="AA602" i="72"/>
  <c r="T603" i="72"/>
  <c r="AS603" i="72" s="1"/>
  <c r="P603" i="72"/>
  <c r="Q603" i="72"/>
  <c r="R604" i="72" s="1"/>
  <c r="U602" i="72"/>
  <c r="V602" i="72" s="1"/>
  <c r="T604" i="82" l="1"/>
  <c r="AS603" i="82"/>
  <c r="AJ602" i="82"/>
  <c r="AK602" i="82" s="1"/>
  <c r="S605" i="82"/>
  <c r="Y604" i="82"/>
  <c r="AB603" i="82"/>
  <c r="X603" i="82"/>
  <c r="AC603" i="82"/>
  <c r="Z603" i="82"/>
  <c r="Q604" i="82"/>
  <c r="R605" i="82" s="1"/>
  <c r="AR603" i="82"/>
  <c r="P604" i="82"/>
  <c r="AA603" i="82"/>
  <c r="U603" i="82"/>
  <c r="V603" i="82" s="1"/>
  <c r="AF603" i="82"/>
  <c r="AG603" i="82" s="1"/>
  <c r="AN602" i="82"/>
  <c r="AO602" i="82" s="1"/>
  <c r="AT602" i="82"/>
  <c r="AW602" i="82"/>
  <c r="AX602" i="82" s="1"/>
  <c r="CU684" i="82"/>
  <c r="CV684" i="82" s="1"/>
  <c r="DJ685" i="82"/>
  <c r="CJ686" i="82"/>
  <c r="CK687" i="82" s="1"/>
  <c r="CL688" i="82" s="1"/>
  <c r="DK685" i="82"/>
  <c r="CM686" i="82"/>
  <c r="DI685" i="82"/>
  <c r="DL685" i="82"/>
  <c r="CI686" i="82"/>
  <c r="DH685" i="82"/>
  <c r="CS685" i="82"/>
  <c r="DP683" i="82"/>
  <c r="EO684" i="82"/>
  <c r="EC684" i="82"/>
  <c r="EG684" i="82"/>
  <c r="DW684" i="82"/>
  <c r="EK684" i="82"/>
  <c r="CN686" i="82"/>
  <c r="DF685" i="82"/>
  <c r="CO686" i="82"/>
  <c r="CP687" i="82" s="1"/>
  <c r="ED685" i="82"/>
  <c r="AS686" i="82"/>
  <c r="AT687" i="82" s="1"/>
  <c r="CX685" i="82"/>
  <c r="AR686" i="82"/>
  <c r="DS684" i="82"/>
  <c r="DT684" i="82" s="1"/>
  <c r="DO684" i="82"/>
  <c r="DG686" i="82"/>
  <c r="CQ687" i="82"/>
  <c r="AU687" i="82"/>
  <c r="CY686" i="82"/>
  <c r="CR686" i="82"/>
  <c r="DA685" i="82"/>
  <c r="CZ685" i="82"/>
  <c r="DD685" i="82"/>
  <c r="AM686" i="82"/>
  <c r="AW685" i="82"/>
  <c r="AQ686" i="82"/>
  <c r="EA685" i="82"/>
  <c r="DC685" i="82"/>
  <c r="AN686" i="82"/>
  <c r="AO687" i="82" s="1"/>
  <c r="AP688" i="82" s="1"/>
  <c r="DB685" i="82"/>
  <c r="AV686" i="82"/>
  <c r="EB685" i="82"/>
  <c r="AN602" i="72"/>
  <c r="AW602" i="72"/>
  <c r="BL292" i="72"/>
  <c r="DF685" i="72"/>
  <c r="CQ687" i="72"/>
  <c r="DG686" i="72"/>
  <c r="DH685" i="72"/>
  <c r="DJ685" i="72"/>
  <c r="DK685" i="72"/>
  <c r="DI685" i="72"/>
  <c r="DL685" i="72"/>
  <c r="CR686" i="72"/>
  <c r="N630" i="72"/>
  <c r="BQ741" i="72"/>
  <c r="BR741" i="72" s="1"/>
  <c r="U741" i="72"/>
  <c r="V741" i="72" s="1"/>
  <c r="E630" i="72"/>
  <c r="BB741" i="72"/>
  <c r="BC741" i="72" s="1"/>
  <c r="F741" i="72"/>
  <c r="G741" i="72" s="1"/>
  <c r="H630" i="72"/>
  <c r="BG741" i="72"/>
  <c r="BH741" i="72" s="1"/>
  <c r="K741" i="72"/>
  <c r="L741" i="72" s="1"/>
  <c r="CO686" i="72"/>
  <c r="CP687" i="72" s="1"/>
  <c r="CN686" i="72"/>
  <c r="J630" i="72"/>
  <c r="P741" i="72"/>
  <c r="Q741" i="72" s="1"/>
  <c r="BL741" i="72"/>
  <c r="BM741" i="72" s="1"/>
  <c r="CM686" i="72"/>
  <c r="CJ686" i="72"/>
  <c r="CK687" i="72" s="1"/>
  <c r="CL688" i="72" s="1"/>
  <c r="CS685" i="72"/>
  <c r="CI686" i="72"/>
  <c r="AM631" i="72"/>
  <c r="AQ631" i="72"/>
  <c r="AI631" i="72"/>
  <c r="BF295" i="72"/>
  <c r="BE295" i="72"/>
  <c r="BB295" i="72"/>
  <c r="BC295" i="72" s="1"/>
  <c r="AY300" i="72"/>
  <c r="AR603" i="72"/>
  <c r="AF603" i="72"/>
  <c r="AJ602" i="72"/>
  <c r="AT602" i="72"/>
  <c r="B632" i="72"/>
  <c r="AV632" i="72" s="1"/>
  <c r="AE631" i="72"/>
  <c r="F631" i="72"/>
  <c r="C631" i="72"/>
  <c r="L631" i="72"/>
  <c r="I631" i="72"/>
  <c r="S605" i="72"/>
  <c r="Y604" i="72"/>
  <c r="X603" i="72"/>
  <c r="AB603" i="72"/>
  <c r="AC603" i="72"/>
  <c r="Z603" i="72"/>
  <c r="AA603" i="72"/>
  <c r="U603" i="72"/>
  <c r="V603" i="72" s="1"/>
  <c r="Q604" i="72"/>
  <c r="R605" i="72" s="1"/>
  <c r="P604" i="72"/>
  <c r="T604" i="72"/>
  <c r="AS604" i="72" s="1"/>
  <c r="AJ603" i="82" l="1"/>
  <c r="AK603" i="82" s="1"/>
  <c r="Z604" i="82"/>
  <c r="AF604" i="82"/>
  <c r="AG604" i="82" s="1"/>
  <c r="U604" i="82"/>
  <c r="V604" i="82" s="1"/>
  <c r="AA604" i="82"/>
  <c r="P605" i="82"/>
  <c r="AR604" i="82"/>
  <c r="AC604" i="82"/>
  <c r="Q605" i="82"/>
  <c r="R606" i="82" s="1"/>
  <c r="AB604" i="82"/>
  <c r="X604" i="82"/>
  <c r="S606" i="82"/>
  <c r="Y605" i="82"/>
  <c r="AT603" i="82"/>
  <c r="AW603" i="82"/>
  <c r="AX603" i="82" s="1"/>
  <c r="AN603" i="82"/>
  <c r="AO603" i="82" s="1"/>
  <c r="AS604" i="82"/>
  <c r="T605" i="82"/>
  <c r="DP684" i="82"/>
  <c r="CR687" i="82"/>
  <c r="DG687" i="82"/>
  <c r="CQ688" i="82"/>
  <c r="CS686" i="82"/>
  <c r="CI687" i="82"/>
  <c r="DK686" i="82"/>
  <c r="CM687" i="82"/>
  <c r="DJ686" i="82"/>
  <c r="DL686" i="82"/>
  <c r="DI686" i="82"/>
  <c r="DH686" i="82"/>
  <c r="CJ687" i="82"/>
  <c r="CK688" i="82" s="1"/>
  <c r="CL689" i="82" s="1"/>
  <c r="AM687" i="82"/>
  <c r="EA686" i="82"/>
  <c r="DD686" i="82"/>
  <c r="AQ687" i="82"/>
  <c r="CZ686" i="82"/>
  <c r="AW686" i="82"/>
  <c r="DB686" i="82"/>
  <c r="DA686" i="82"/>
  <c r="AN687" i="82"/>
  <c r="AO688" i="82" s="1"/>
  <c r="AP689" i="82" s="1"/>
  <c r="DC686" i="82"/>
  <c r="EB686" i="82"/>
  <c r="AV687" i="82"/>
  <c r="CO687" i="82"/>
  <c r="CP688" i="82" s="1"/>
  <c r="DF686" i="82"/>
  <c r="CN687" i="82"/>
  <c r="EO685" i="82"/>
  <c r="DW685" i="82"/>
  <c r="EC685" i="82"/>
  <c r="EK685" i="82"/>
  <c r="EG685" i="82"/>
  <c r="CX686" i="82"/>
  <c r="AS687" i="82"/>
  <c r="AT688" i="82" s="1"/>
  <c r="AR687" i="82"/>
  <c r="ED686" i="82"/>
  <c r="DS685" i="82"/>
  <c r="DT685" i="82" s="1"/>
  <c r="DO685" i="82"/>
  <c r="AU688" i="82"/>
  <c r="CY687" i="82"/>
  <c r="CU685" i="82"/>
  <c r="CV685" i="82" s="1"/>
  <c r="AN603" i="72"/>
  <c r="AW603" i="72"/>
  <c r="DF686" i="72"/>
  <c r="CQ688" i="72"/>
  <c r="DG687" i="72"/>
  <c r="DK686" i="72"/>
  <c r="DJ686" i="72"/>
  <c r="DL686" i="72"/>
  <c r="DH686" i="72"/>
  <c r="DI686" i="72"/>
  <c r="CR687" i="72"/>
  <c r="J631" i="72"/>
  <c r="BL742" i="72"/>
  <c r="BM742" i="72" s="1"/>
  <c r="P742" i="72"/>
  <c r="Q742" i="72" s="1"/>
  <c r="N631" i="72"/>
  <c r="BQ742" i="72"/>
  <c r="BR742" i="72" s="1"/>
  <c r="U742" i="72"/>
  <c r="V742" i="72" s="1"/>
  <c r="CS686" i="72"/>
  <c r="CI687" i="72"/>
  <c r="CJ687" i="72"/>
  <c r="CK688" i="72" s="1"/>
  <c r="CL689" i="72" s="1"/>
  <c r="CM687" i="72"/>
  <c r="CO687" i="72"/>
  <c r="CP688" i="72" s="1"/>
  <c r="CN687" i="72"/>
  <c r="E631" i="72"/>
  <c r="BB742" i="72"/>
  <c r="BC742" i="72" s="1"/>
  <c r="F742" i="72"/>
  <c r="G742" i="72" s="1"/>
  <c r="H631" i="72"/>
  <c r="BG742" i="72"/>
  <c r="BH742" i="72" s="1"/>
  <c r="K742" i="72"/>
  <c r="L742" i="72" s="1"/>
  <c r="AM632" i="72"/>
  <c r="AQ632" i="72"/>
  <c r="AI632" i="72"/>
  <c r="BF300" i="72"/>
  <c r="BE300" i="72"/>
  <c r="AY303" i="72"/>
  <c r="BI300" i="72"/>
  <c r="BJ300" i="72" s="1"/>
  <c r="BB300" i="72"/>
  <c r="BC300" i="72" s="1"/>
  <c r="AF604" i="72"/>
  <c r="AR604" i="72"/>
  <c r="AT603" i="72"/>
  <c r="AJ603" i="72"/>
  <c r="B633" i="72"/>
  <c r="AV633" i="72" s="1"/>
  <c r="AE632" i="72"/>
  <c r="F632" i="72"/>
  <c r="C632" i="72"/>
  <c r="L632" i="72"/>
  <c r="I632" i="72"/>
  <c r="X604" i="72"/>
  <c r="AB604" i="72"/>
  <c r="AC604" i="72"/>
  <c r="Z604" i="72"/>
  <c r="AA604" i="72"/>
  <c r="S606" i="72"/>
  <c r="Y605" i="72"/>
  <c r="T605" i="72"/>
  <c r="AS605" i="72" s="1"/>
  <c r="P605" i="72"/>
  <c r="U604" i="72"/>
  <c r="V604" i="72" s="1"/>
  <c r="Q605" i="72"/>
  <c r="R606" i="72" s="1"/>
  <c r="AJ604" i="82" l="1"/>
  <c r="AK604" i="82" s="1"/>
  <c r="P606" i="82"/>
  <c r="X605" i="82"/>
  <c r="AC605" i="82"/>
  <c r="AA605" i="82"/>
  <c r="Q606" i="82"/>
  <c r="R607" i="82" s="1"/>
  <c r="Z605" i="82"/>
  <c r="AB605" i="82"/>
  <c r="AF605" i="82"/>
  <c r="AG605" i="82" s="1"/>
  <c r="AR605" i="82"/>
  <c r="U605" i="82"/>
  <c r="V605" i="82" s="1"/>
  <c r="AS605" i="82"/>
  <c r="T606" i="82"/>
  <c r="AN604" i="82"/>
  <c r="AO604" i="82" s="1"/>
  <c r="AT604" i="82"/>
  <c r="AW604" i="82"/>
  <c r="AX604" i="82" s="1"/>
  <c r="Y606" i="82"/>
  <c r="S607" i="82"/>
  <c r="DP685" i="82"/>
  <c r="CR688" i="82"/>
  <c r="EK686" i="82"/>
  <c r="EG686" i="82"/>
  <c r="EC686" i="82"/>
  <c r="EO686" i="82"/>
  <c r="DW686" i="82"/>
  <c r="CU686" i="82"/>
  <c r="CV686" i="82" s="1"/>
  <c r="AV688" i="82"/>
  <c r="EB687" i="82"/>
  <c r="AR688" i="82"/>
  <c r="ED687" i="82"/>
  <c r="AS688" i="82"/>
  <c r="AT689" i="82" s="1"/>
  <c r="CX687" i="82"/>
  <c r="AU689" i="82"/>
  <c r="CY688" i="82"/>
  <c r="CN688" i="82"/>
  <c r="CO688" i="82"/>
  <c r="CP689" i="82" s="1"/>
  <c r="DF687" i="82"/>
  <c r="DO686" i="82"/>
  <c r="DS686" i="82"/>
  <c r="DT686" i="82" s="1"/>
  <c r="CQ689" i="82"/>
  <c r="DG688" i="82"/>
  <c r="DC687" i="82"/>
  <c r="CZ687" i="82"/>
  <c r="AN688" i="82"/>
  <c r="AO689" i="82" s="1"/>
  <c r="AP690" i="82" s="1"/>
  <c r="DA687" i="82"/>
  <c r="AW687" i="82"/>
  <c r="DD687" i="82"/>
  <c r="DB687" i="82"/>
  <c r="AQ688" i="82"/>
  <c r="EA687" i="82"/>
  <c r="AM688" i="82"/>
  <c r="DL687" i="82"/>
  <c r="CS687" i="82"/>
  <c r="DJ687" i="82"/>
  <c r="CM688" i="82"/>
  <c r="DK687" i="82"/>
  <c r="CJ688" i="82"/>
  <c r="CK689" i="82" s="1"/>
  <c r="CL690" i="82" s="1"/>
  <c r="CI688" i="82"/>
  <c r="DI687" i="82"/>
  <c r="DH687" i="82"/>
  <c r="AW604" i="72"/>
  <c r="AN604" i="72"/>
  <c r="BL300" i="72"/>
  <c r="DJ687" i="72"/>
  <c r="DI687" i="72"/>
  <c r="DK687" i="72"/>
  <c r="DL687" i="72"/>
  <c r="DH687" i="72"/>
  <c r="DF687" i="72"/>
  <c r="CQ689" i="72"/>
  <c r="DG688" i="72"/>
  <c r="N632" i="72"/>
  <c r="BQ743" i="72"/>
  <c r="BR743" i="72" s="1"/>
  <c r="U743" i="72"/>
  <c r="V743" i="72" s="1"/>
  <c r="E632" i="72"/>
  <c r="BB743" i="72"/>
  <c r="BC743" i="72" s="1"/>
  <c r="F743" i="72"/>
  <c r="G743" i="72" s="1"/>
  <c r="CO688" i="72"/>
  <c r="CP689" i="72" s="1"/>
  <c r="CN688" i="72"/>
  <c r="H632" i="72"/>
  <c r="BG743" i="72"/>
  <c r="BH743" i="72" s="1"/>
  <c r="K743" i="72"/>
  <c r="L743" i="72" s="1"/>
  <c r="J632" i="72"/>
  <c r="BL743" i="72"/>
  <c r="BM743" i="72" s="1"/>
  <c r="P743" i="72"/>
  <c r="Q743" i="72" s="1"/>
  <c r="CI688" i="72"/>
  <c r="CS687" i="72"/>
  <c r="CJ688" i="72"/>
  <c r="CK689" i="72" s="1"/>
  <c r="CL690" i="72" s="1"/>
  <c r="CM688" i="72"/>
  <c r="CR688" i="72"/>
  <c r="AM633" i="72"/>
  <c r="AQ633" i="72"/>
  <c r="AI633" i="72"/>
  <c r="BE303" i="72"/>
  <c r="BF303" i="72"/>
  <c r="BB303" i="72"/>
  <c r="BC303" i="72" s="1"/>
  <c r="AY308" i="72"/>
  <c r="AT604" i="72"/>
  <c r="AR605" i="72"/>
  <c r="AF605" i="72"/>
  <c r="AJ604" i="72"/>
  <c r="B634" i="72"/>
  <c r="AV634" i="72" s="1"/>
  <c r="AE633" i="72"/>
  <c r="F633" i="72"/>
  <c r="C633" i="72"/>
  <c r="I633" i="72"/>
  <c r="L633" i="72"/>
  <c r="AB605" i="72"/>
  <c r="X605" i="72"/>
  <c r="AC605" i="72"/>
  <c r="AA605" i="72"/>
  <c r="Z605" i="72"/>
  <c r="S607" i="72"/>
  <c r="Y606" i="72"/>
  <c r="P606" i="72"/>
  <c r="U605" i="72"/>
  <c r="V605" i="72" s="1"/>
  <c r="Q606" i="72"/>
  <c r="R607" i="72" s="1"/>
  <c r="T606" i="72"/>
  <c r="AS606" i="72" s="1"/>
  <c r="AW605" i="82" l="1"/>
  <c r="AX605" i="82" s="1"/>
  <c r="AN605" i="82"/>
  <c r="AO605" i="82" s="1"/>
  <c r="AT605" i="82"/>
  <c r="S608" i="82"/>
  <c r="Y607" i="82"/>
  <c r="AJ605" i="82"/>
  <c r="AK605" i="82" s="1"/>
  <c r="AF606" i="82"/>
  <c r="AG606" i="82" s="1"/>
  <c r="P607" i="82"/>
  <c r="AC606" i="82"/>
  <c r="Q607" i="82"/>
  <c r="R608" i="82" s="1"/>
  <c r="AA606" i="82"/>
  <c r="U606" i="82"/>
  <c r="V606" i="82" s="1"/>
  <c r="AR606" i="82"/>
  <c r="X606" i="82"/>
  <c r="AB606" i="82"/>
  <c r="Z606" i="82"/>
  <c r="AS606" i="82"/>
  <c r="T607" i="82"/>
  <c r="CU687" i="82"/>
  <c r="CV687" i="82" s="1"/>
  <c r="DP686" i="82"/>
  <c r="CZ688" i="82"/>
  <c r="AN689" i="82"/>
  <c r="AO690" i="82" s="1"/>
  <c r="AP691" i="82" s="1"/>
  <c r="DC688" i="82"/>
  <c r="DD688" i="82"/>
  <c r="AW688" i="82"/>
  <c r="DB688" i="82"/>
  <c r="AQ689" i="82"/>
  <c r="AM689" i="82"/>
  <c r="DA688" i="82"/>
  <c r="EA688" i="82"/>
  <c r="DS687" i="82"/>
  <c r="DT687" i="82" s="1"/>
  <c r="DO687" i="82"/>
  <c r="CM689" i="82"/>
  <c r="DI688" i="82"/>
  <c r="CI689" i="82"/>
  <c r="DJ688" i="82"/>
  <c r="CJ689" i="82"/>
  <c r="CK690" i="82" s="1"/>
  <c r="CL691" i="82" s="1"/>
  <c r="DL688" i="82"/>
  <c r="DH688" i="82"/>
  <c r="CS688" i="82"/>
  <c r="DK688" i="82"/>
  <c r="CY689" i="82"/>
  <c r="AU690" i="82"/>
  <c r="EB688" i="82"/>
  <c r="AV689" i="82"/>
  <c r="DG689" i="82"/>
  <c r="CQ690" i="82"/>
  <c r="AS689" i="82"/>
  <c r="AT690" i="82" s="1"/>
  <c r="CX688" i="82"/>
  <c r="ED688" i="82"/>
  <c r="AR689" i="82"/>
  <c r="DF688" i="82"/>
  <c r="CN689" i="82"/>
  <c r="CO689" i="82"/>
  <c r="CP690" i="82" s="1"/>
  <c r="CR689" i="82"/>
  <c r="EG687" i="82"/>
  <c r="DW687" i="82"/>
  <c r="EC687" i="82"/>
  <c r="EO687" i="82"/>
  <c r="EK687" i="82"/>
  <c r="AW605" i="72"/>
  <c r="AN605" i="72"/>
  <c r="DF688" i="72"/>
  <c r="DL688" i="72"/>
  <c r="DH688" i="72"/>
  <c r="DJ688" i="72"/>
  <c r="DI688" i="72"/>
  <c r="DK688" i="72"/>
  <c r="CQ690" i="72"/>
  <c r="DG689" i="72"/>
  <c r="CS688" i="72"/>
  <c r="CM689" i="72"/>
  <c r="CI689" i="72"/>
  <c r="CJ689" i="72"/>
  <c r="CK690" i="72" s="1"/>
  <c r="CL691" i="72" s="1"/>
  <c r="N633" i="72"/>
  <c r="BQ744" i="72"/>
  <c r="BR744" i="72" s="1"/>
  <c r="U744" i="72"/>
  <c r="V744" i="72" s="1"/>
  <c r="J633" i="72"/>
  <c r="BL744" i="72"/>
  <c r="BM744" i="72" s="1"/>
  <c r="P744" i="72"/>
  <c r="Q744" i="72" s="1"/>
  <c r="E633" i="72"/>
  <c r="BB744" i="72"/>
  <c r="BC744" i="72" s="1"/>
  <c r="F744" i="72"/>
  <c r="G744" i="72" s="1"/>
  <c r="CR689" i="72"/>
  <c r="H633" i="72"/>
  <c r="BG744" i="72"/>
  <c r="BH744" i="72" s="1"/>
  <c r="K744" i="72"/>
  <c r="L744" i="72" s="1"/>
  <c r="CO689" i="72"/>
  <c r="CP690" i="72" s="1"/>
  <c r="CN689" i="72"/>
  <c r="AM634" i="72"/>
  <c r="AQ634" i="72"/>
  <c r="AI634" i="72"/>
  <c r="AY311" i="72"/>
  <c r="BI308" i="72"/>
  <c r="BJ308" i="72" s="1"/>
  <c r="BB308" i="72"/>
  <c r="BC308" i="72" s="1"/>
  <c r="BF308" i="72"/>
  <c r="BE308" i="72"/>
  <c r="AJ605" i="72"/>
  <c r="AF606" i="72"/>
  <c r="AR606" i="72"/>
  <c r="AT605" i="72"/>
  <c r="B635" i="72"/>
  <c r="AV635" i="72" s="1"/>
  <c r="AE634" i="72"/>
  <c r="F634" i="72"/>
  <c r="C634" i="72"/>
  <c r="L634" i="72"/>
  <c r="I634" i="72"/>
  <c r="S608" i="72"/>
  <c r="Y607" i="72"/>
  <c r="X606" i="72"/>
  <c r="AB606" i="72"/>
  <c r="AC606" i="72"/>
  <c r="Z606" i="72"/>
  <c r="AA606" i="72"/>
  <c r="T607" i="72"/>
  <c r="AS607" i="72" s="1"/>
  <c r="U606" i="72"/>
  <c r="V606" i="72" s="1"/>
  <c r="Q607" i="72"/>
  <c r="R608" i="72" s="1"/>
  <c r="P607" i="72"/>
  <c r="AN606" i="82" l="1"/>
  <c r="AO606" i="82" s="1"/>
  <c r="AT606" i="82"/>
  <c r="AW606" i="82"/>
  <c r="AX606" i="82" s="1"/>
  <c r="AF607" i="82"/>
  <c r="AG607" i="82" s="1"/>
  <c r="AB607" i="82"/>
  <c r="X607" i="82"/>
  <c r="P608" i="82"/>
  <c r="AR607" i="82"/>
  <c r="AA607" i="82"/>
  <c r="AC607" i="82"/>
  <c r="Q608" i="82"/>
  <c r="R609" i="82" s="1"/>
  <c r="U607" i="82"/>
  <c r="V607" i="82" s="1"/>
  <c r="Z607" i="82"/>
  <c r="AJ606" i="82"/>
  <c r="AK606" i="82" s="1"/>
  <c r="T608" i="82"/>
  <c r="AS607" i="82"/>
  <c r="Y608" i="82"/>
  <c r="S609" i="82"/>
  <c r="CU688" i="82"/>
  <c r="CV688" i="82" s="1"/>
  <c r="DP687" i="82"/>
  <c r="CR690" i="82"/>
  <c r="AV690" i="82"/>
  <c r="EB689" i="82"/>
  <c r="AW689" i="82"/>
  <c r="DA689" i="82"/>
  <c r="AN690" i="82"/>
  <c r="AO691" i="82" s="1"/>
  <c r="AP692" i="82" s="1"/>
  <c r="CZ689" i="82"/>
  <c r="DD689" i="82"/>
  <c r="DC689" i="82"/>
  <c r="EA689" i="82"/>
  <c r="AQ690" i="82"/>
  <c r="DB689" i="82"/>
  <c r="AM690" i="82"/>
  <c r="AS690" i="82"/>
  <c r="AT691" i="82" s="1"/>
  <c r="ED689" i="82"/>
  <c r="CX689" i="82"/>
  <c r="AR690" i="82"/>
  <c r="DS688" i="82"/>
  <c r="DT688" i="82" s="1"/>
  <c r="DO688" i="82"/>
  <c r="AU691" i="82"/>
  <c r="CY690" i="82"/>
  <c r="CJ690" i="82"/>
  <c r="CK691" i="82" s="1"/>
  <c r="CL692" i="82" s="1"/>
  <c r="DK689" i="82"/>
  <c r="CI690" i="82"/>
  <c r="CS689" i="82"/>
  <c r="DL689" i="82"/>
  <c r="DH689" i="82"/>
  <c r="DJ689" i="82"/>
  <c r="DI689" i="82"/>
  <c r="CM690" i="82"/>
  <c r="CQ691" i="82"/>
  <c r="DG690" i="82"/>
  <c r="DF689" i="82"/>
  <c r="CO690" i="82"/>
  <c r="CP691" i="82" s="1"/>
  <c r="CN690" i="82"/>
  <c r="EC688" i="82"/>
  <c r="DW688" i="82"/>
  <c r="EO688" i="82"/>
  <c r="EK688" i="82"/>
  <c r="EG688" i="82"/>
  <c r="AW606" i="72"/>
  <c r="AN606" i="72"/>
  <c r="BL308" i="72"/>
  <c r="DF689" i="72"/>
  <c r="CR690" i="72"/>
  <c r="DJ689" i="72"/>
  <c r="DK689" i="72"/>
  <c r="DL689" i="72"/>
  <c r="DH689" i="72"/>
  <c r="DI689" i="72"/>
  <c r="CQ691" i="72"/>
  <c r="DG690" i="72"/>
  <c r="E634" i="72"/>
  <c r="BB745" i="72"/>
  <c r="BC745" i="72" s="1"/>
  <c r="F745" i="72"/>
  <c r="G745" i="72" s="1"/>
  <c r="H634" i="72"/>
  <c r="BG745" i="72"/>
  <c r="BH745" i="72" s="1"/>
  <c r="K745" i="72"/>
  <c r="L745" i="72" s="1"/>
  <c r="CO690" i="72"/>
  <c r="CP691" i="72" s="1"/>
  <c r="CN690" i="72"/>
  <c r="CI690" i="72"/>
  <c r="CJ690" i="72"/>
  <c r="CK691" i="72" s="1"/>
  <c r="CL692" i="72" s="1"/>
  <c r="CS689" i="72"/>
  <c r="CM690" i="72"/>
  <c r="J634" i="72"/>
  <c r="BL745" i="72"/>
  <c r="BM745" i="72" s="1"/>
  <c r="P745" i="72"/>
  <c r="Q745" i="72" s="1"/>
  <c r="N634" i="72"/>
  <c r="U745" i="72"/>
  <c r="V745" i="72" s="1"/>
  <c r="BQ745" i="72"/>
  <c r="BR745" i="72" s="1"/>
  <c r="AY316" i="72"/>
  <c r="BB311" i="72"/>
  <c r="BC311" i="72" s="1"/>
  <c r="BF311" i="72"/>
  <c r="BE311" i="72"/>
  <c r="AM635" i="72"/>
  <c r="AQ635" i="72"/>
  <c r="AI635" i="72"/>
  <c r="AT606" i="72"/>
  <c r="AR607" i="72"/>
  <c r="AF607" i="72"/>
  <c r="AJ606" i="72"/>
  <c r="B636" i="72"/>
  <c r="AV636" i="72" s="1"/>
  <c r="AE635" i="72"/>
  <c r="F635" i="72"/>
  <c r="C635" i="72"/>
  <c r="I635" i="72"/>
  <c r="L635" i="72"/>
  <c r="S609" i="72"/>
  <c r="Y608" i="72"/>
  <c r="X607" i="72"/>
  <c r="AB607" i="72"/>
  <c r="AC607" i="72"/>
  <c r="Z607" i="72"/>
  <c r="AA607" i="72"/>
  <c r="Q608" i="72"/>
  <c r="R609" i="72" s="1"/>
  <c r="P608" i="72"/>
  <c r="U607" i="72"/>
  <c r="V607" i="72" s="1"/>
  <c r="T608" i="72"/>
  <c r="AS608" i="72" s="1"/>
  <c r="T609" i="82" l="1"/>
  <c r="AS608" i="82"/>
  <c r="AF608" i="82"/>
  <c r="AG608" i="82" s="1"/>
  <c r="AR608" i="82"/>
  <c r="Q609" i="82"/>
  <c r="R610" i="82" s="1"/>
  <c r="X608" i="82"/>
  <c r="P609" i="82"/>
  <c r="U608" i="82"/>
  <c r="V608" i="82" s="1"/>
  <c r="Z608" i="82"/>
  <c r="AC608" i="82"/>
  <c r="AA608" i="82"/>
  <c r="AB608" i="82"/>
  <c r="AJ607" i="82"/>
  <c r="AK607" i="82" s="1"/>
  <c r="Y609" i="82"/>
  <c r="S610" i="82"/>
  <c r="AT607" i="82"/>
  <c r="AN607" i="82"/>
  <c r="AO607" i="82" s="1"/>
  <c r="AW607" i="82"/>
  <c r="AX607" i="82" s="1"/>
  <c r="DP688" i="82"/>
  <c r="CU689" i="82"/>
  <c r="CV689" i="82" s="1"/>
  <c r="DK690" i="82"/>
  <c r="CM691" i="82"/>
  <c r="DH690" i="82"/>
  <c r="CJ691" i="82"/>
  <c r="CK692" i="82" s="1"/>
  <c r="CL693" i="82" s="1"/>
  <c r="DI690" i="82"/>
  <c r="CI691" i="82"/>
  <c r="DL690" i="82"/>
  <c r="CS690" i="82"/>
  <c r="DJ690" i="82"/>
  <c r="EB690" i="82"/>
  <c r="AV691" i="82"/>
  <c r="AS691" i="82"/>
  <c r="AT692" i="82" s="1"/>
  <c r="ED690" i="82"/>
  <c r="AR691" i="82"/>
  <c r="CX690" i="82"/>
  <c r="CO691" i="82"/>
  <c r="CP692" i="82" s="1"/>
  <c r="DF690" i="82"/>
  <c r="CN691" i="82"/>
  <c r="DO689" i="82"/>
  <c r="DS689" i="82"/>
  <c r="DT689" i="82" s="1"/>
  <c r="CQ692" i="82"/>
  <c r="DG691" i="82"/>
  <c r="CR691" i="82"/>
  <c r="CY691" i="82"/>
  <c r="AU692" i="82"/>
  <c r="AQ691" i="82"/>
  <c r="DB690" i="82"/>
  <c r="EA690" i="82"/>
  <c r="DA690" i="82"/>
  <c r="AN691" i="82"/>
  <c r="AO692" i="82" s="1"/>
  <c r="AP693" i="82" s="1"/>
  <c r="CZ690" i="82"/>
  <c r="AM691" i="82"/>
  <c r="DD690" i="82"/>
  <c r="DC690" i="82"/>
  <c r="AW690" i="82"/>
  <c r="EG689" i="82"/>
  <c r="DW689" i="82"/>
  <c r="EK689" i="82"/>
  <c r="EC689" i="82"/>
  <c r="EO689" i="82"/>
  <c r="AW607" i="72"/>
  <c r="AN607" i="72"/>
  <c r="DK690" i="72"/>
  <c r="DL690" i="72"/>
  <c r="DH690" i="72"/>
  <c r="DJ690" i="72"/>
  <c r="DI690" i="72"/>
  <c r="DF690" i="72"/>
  <c r="CQ692" i="72"/>
  <c r="DG691" i="72"/>
  <c r="E635" i="72"/>
  <c r="BB746" i="72"/>
  <c r="BC746" i="72" s="1"/>
  <c r="F746" i="72"/>
  <c r="G746" i="72" s="1"/>
  <c r="CO691" i="72"/>
  <c r="CP692" i="72" s="1"/>
  <c r="CN691" i="72"/>
  <c r="H635" i="72"/>
  <c r="BG746" i="72"/>
  <c r="BH746" i="72" s="1"/>
  <c r="K746" i="72"/>
  <c r="L746" i="72" s="1"/>
  <c r="CR691" i="72"/>
  <c r="N635" i="72"/>
  <c r="BQ746" i="72"/>
  <c r="BR746" i="72" s="1"/>
  <c r="U746" i="72"/>
  <c r="V746" i="72" s="1"/>
  <c r="J635" i="72"/>
  <c r="BL746" i="72"/>
  <c r="BM746" i="72" s="1"/>
  <c r="P746" i="72"/>
  <c r="Q746" i="72" s="1"/>
  <c r="CS690" i="72"/>
  <c r="CM691" i="72"/>
  <c r="CI691" i="72"/>
  <c r="CJ691" i="72"/>
  <c r="CK692" i="72" s="1"/>
  <c r="CL693" i="72" s="1"/>
  <c r="BB316" i="72"/>
  <c r="BC316" i="72" s="1"/>
  <c r="BE316" i="72"/>
  <c r="BF316" i="72"/>
  <c r="BI316" i="72"/>
  <c r="BJ316" i="72" s="1"/>
  <c r="AY319" i="72"/>
  <c r="AQ636" i="72"/>
  <c r="AM636" i="72"/>
  <c r="AI636" i="72"/>
  <c r="AT607" i="72"/>
  <c r="AJ607" i="72"/>
  <c r="AF608" i="72"/>
  <c r="AR608" i="72"/>
  <c r="B637" i="72"/>
  <c r="AV637" i="72" s="1"/>
  <c r="AE636" i="72"/>
  <c r="F636" i="72"/>
  <c r="C636" i="72"/>
  <c r="L636" i="72"/>
  <c r="I636" i="72"/>
  <c r="AB608" i="72"/>
  <c r="AC608" i="72"/>
  <c r="X608" i="72"/>
  <c r="Z608" i="72"/>
  <c r="AA608" i="72"/>
  <c r="S610" i="72"/>
  <c r="Y609" i="72"/>
  <c r="T609" i="72"/>
  <c r="AS609" i="72" s="1"/>
  <c r="Q609" i="72"/>
  <c r="R610" i="72" s="1"/>
  <c r="U608" i="72"/>
  <c r="V608" i="72" s="1"/>
  <c r="P609" i="72"/>
  <c r="AJ608" i="82" l="1"/>
  <c r="AK608" i="82" s="1"/>
  <c r="X609" i="82"/>
  <c r="AC609" i="82"/>
  <c r="AF609" i="82"/>
  <c r="AG609" i="82" s="1"/>
  <c r="AB609" i="82"/>
  <c r="AA609" i="82"/>
  <c r="Q610" i="82"/>
  <c r="R611" i="82" s="1"/>
  <c r="AR609" i="82"/>
  <c r="Z609" i="82"/>
  <c r="U609" i="82"/>
  <c r="V609" i="82" s="1"/>
  <c r="P610" i="82"/>
  <c r="Y610" i="82"/>
  <c r="S611" i="82"/>
  <c r="AN608" i="82"/>
  <c r="AO608" i="82" s="1"/>
  <c r="AT608" i="82"/>
  <c r="AW608" i="82"/>
  <c r="AX608" i="82" s="1"/>
  <c r="T610" i="82"/>
  <c r="AS609" i="82"/>
  <c r="DP689" i="82"/>
  <c r="DG692" i="82"/>
  <c r="CQ693" i="82"/>
  <c r="AV692" i="82"/>
  <c r="EB691" i="82"/>
  <c r="CR692" i="82"/>
  <c r="CU690" i="82"/>
  <c r="CV690" i="82" s="1"/>
  <c r="AN692" i="82"/>
  <c r="AO693" i="82" s="1"/>
  <c r="AP694" i="82" s="1"/>
  <c r="AM692" i="82"/>
  <c r="EA691" i="82"/>
  <c r="DC691" i="82"/>
  <c r="DA691" i="82"/>
  <c r="AQ692" i="82"/>
  <c r="AW691" i="82"/>
  <c r="DD691" i="82"/>
  <c r="CZ691" i="82"/>
  <c r="DB691" i="82"/>
  <c r="DO690" i="82"/>
  <c r="DS690" i="82"/>
  <c r="DT690" i="82" s="1"/>
  <c r="ED691" i="82"/>
  <c r="CX691" i="82"/>
  <c r="AR692" i="82"/>
  <c r="AS692" i="82"/>
  <c r="AT693" i="82" s="1"/>
  <c r="DH691" i="82"/>
  <c r="DI691" i="82"/>
  <c r="DJ691" i="82"/>
  <c r="CI692" i="82"/>
  <c r="CJ692" i="82"/>
  <c r="CK693" i="82" s="1"/>
  <c r="CL694" i="82" s="1"/>
  <c r="DL691" i="82"/>
  <c r="DK691" i="82"/>
  <c r="CS691" i="82"/>
  <c r="CM692" i="82"/>
  <c r="CN692" i="82"/>
  <c r="CO692" i="82"/>
  <c r="CP693" i="82" s="1"/>
  <c r="DF691" i="82"/>
  <c r="EK690" i="82"/>
  <c r="EC690" i="82"/>
  <c r="EO690" i="82"/>
  <c r="DW690" i="82"/>
  <c r="EG690" i="82"/>
  <c r="AU693" i="82"/>
  <c r="CY692" i="82"/>
  <c r="AW608" i="72"/>
  <c r="AN608" i="72"/>
  <c r="BL316" i="72"/>
  <c r="DF691" i="72"/>
  <c r="CQ693" i="72"/>
  <c r="DG692" i="72"/>
  <c r="DJ691" i="72"/>
  <c r="DK691" i="72"/>
  <c r="DI691" i="72"/>
  <c r="DH691" i="72"/>
  <c r="DL691" i="72"/>
  <c r="N636" i="72"/>
  <c r="U747" i="72"/>
  <c r="V747" i="72" s="1"/>
  <c r="BQ747" i="72"/>
  <c r="BR747" i="72" s="1"/>
  <c r="E636" i="72"/>
  <c r="BB747" i="72"/>
  <c r="BC747" i="72" s="1"/>
  <c r="F747" i="72"/>
  <c r="G747" i="72" s="1"/>
  <c r="CO692" i="72"/>
  <c r="CP693" i="72" s="1"/>
  <c r="CN692" i="72"/>
  <c r="H636" i="72"/>
  <c r="BG747" i="72"/>
  <c r="BH747" i="72" s="1"/>
  <c r="K747" i="72"/>
  <c r="L747" i="72" s="1"/>
  <c r="CI692" i="72"/>
  <c r="CS691" i="72"/>
  <c r="CM692" i="72"/>
  <c r="CJ692" i="72"/>
  <c r="CK693" i="72" s="1"/>
  <c r="CL694" i="72" s="1"/>
  <c r="J636" i="72"/>
  <c r="BL747" i="72"/>
  <c r="BM747" i="72" s="1"/>
  <c r="P747" i="72"/>
  <c r="Q747" i="72" s="1"/>
  <c r="CR692" i="72"/>
  <c r="AQ637" i="72"/>
  <c r="AM637" i="72"/>
  <c r="AI637" i="72"/>
  <c r="BF319" i="72"/>
  <c r="BB319" i="72"/>
  <c r="BC319" i="72" s="1"/>
  <c r="AY324" i="72"/>
  <c r="BE319" i="72"/>
  <c r="AT608" i="72"/>
  <c r="AF609" i="72"/>
  <c r="AR609" i="72"/>
  <c r="AJ608" i="72"/>
  <c r="B638" i="72"/>
  <c r="AV638" i="72" s="1"/>
  <c r="AE637" i="72"/>
  <c r="F637" i="72"/>
  <c r="C637" i="72"/>
  <c r="I637" i="72"/>
  <c r="L637" i="72"/>
  <c r="AB609" i="72"/>
  <c r="AC609" i="72"/>
  <c r="X609" i="72"/>
  <c r="AA609" i="72"/>
  <c r="Z609" i="72"/>
  <c r="S611" i="72"/>
  <c r="Y610" i="72"/>
  <c r="P610" i="72"/>
  <c r="Q610" i="72"/>
  <c r="R611" i="72" s="1"/>
  <c r="U609" i="72"/>
  <c r="V609" i="72" s="1"/>
  <c r="T610" i="72"/>
  <c r="AS610" i="72" s="1"/>
  <c r="T611" i="82" l="1"/>
  <c r="AS610" i="82"/>
  <c r="AT609" i="82"/>
  <c r="AN609" i="82"/>
  <c r="AO609" i="82" s="1"/>
  <c r="AW609" i="82"/>
  <c r="AX609" i="82" s="1"/>
  <c r="Y611" i="82"/>
  <c r="S612" i="82"/>
  <c r="P611" i="82"/>
  <c r="X610" i="82"/>
  <c r="AR610" i="82"/>
  <c r="AB610" i="82"/>
  <c r="AC610" i="82"/>
  <c r="AF610" i="82"/>
  <c r="AG610" i="82" s="1"/>
  <c r="Q611" i="82"/>
  <c r="R612" i="82" s="1"/>
  <c r="Z610" i="82"/>
  <c r="U610" i="82"/>
  <c r="V610" i="82" s="1"/>
  <c r="AA610" i="82"/>
  <c r="AJ609" i="82"/>
  <c r="AK609" i="82" s="1"/>
  <c r="DP690" i="82"/>
  <c r="AR693" i="82"/>
  <c r="AS693" i="82"/>
  <c r="AT694" i="82" s="1"/>
  <c r="CX692" i="82"/>
  <c r="ED692" i="82"/>
  <c r="DS691" i="82"/>
  <c r="DT691" i="82" s="1"/>
  <c r="DO691" i="82"/>
  <c r="EO691" i="82"/>
  <c r="DW691" i="82"/>
  <c r="EK691" i="82"/>
  <c r="EC691" i="82"/>
  <c r="EG691" i="82"/>
  <c r="CR693" i="82"/>
  <c r="CQ694" i="82"/>
  <c r="DG693" i="82"/>
  <c r="DL692" i="82"/>
  <c r="DK692" i="82"/>
  <c r="CJ693" i="82"/>
  <c r="CK694" i="82" s="1"/>
  <c r="CL695" i="82" s="1"/>
  <c r="CS692" i="82"/>
  <c r="DH692" i="82"/>
  <c r="CI693" i="82"/>
  <c r="DI692" i="82"/>
  <c r="CM693" i="82"/>
  <c r="DJ692" i="82"/>
  <c r="CO693" i="82"/>
  <c r="CP694" i="82" s="1"/>
  <c r="CN693" i="82"/>
  <c r="DF692" i="82"/>
  <c r="EB692" i="82"/>
  <c r="AV693" i="82"/>
  <c r="EA692" i="82"/>
  <c r="DD692" i="82"/>
  <c r="DB692" i="82"/>
  <c r="AW692" i="82"/>
  <c r="CZ692" i="82"/>
  <c r="AQ693" i="82"/>
  <c r="AN693" i="82"/>
  <c r="AO694" i="82" s="1"/>
  <c r="AP695" i="82" s="1"/>
  <c r="AM693" i="82"/>
  <c r="DC692" i="82"/>
  <c r="DA692" i="82"/>
  <c r="CU691" i="82"/>
  <c r="CV691" i="82" s="1"/>
  <c r="CY693" i="82"/>
  <c r="AU694" i="82"/>
  <c r="AN609" i="72"/>
  <c r="AW609" i="72"/>
  <c r="DF692" i="72"/>
  <c r="CQ694" i="72"/>
  <c r="DG693" i="72"/>
  <c r="DJ692" i="72"/>
  <c r="DK692" i="72"/>
  <c r="DL692" i="72"/>
  <c r="DI692" i="72"/>
  <c r="DH692" i="72"/>
  <c r="CO693" i="72"/>
  <c r="CP694" i="72" s="1"/>
  <c r="CN693" i="72"/>
  <c r="J637" i="72"/>
  <c r="BL748" i="72"/>
  <c r="BM748" i="72" s="1"/>
  <c r="P748" i="72"/>
  <c r="Q748" i="72" s="1"/>
  <c r="E637" i="72"/>
  <c r="BB748" i="72"/>
  <c r="BC748" i="72" s="1"/>
  <c r="F748" i="72"/>
  <c r="G748" i="72" s="1"/>
  <c r="CR693" i="72"/>
  <c r="CM693" i="72"/>
  <c r="CJ693" i="72"/>
  <c r="CK694" i="72" s="1"/>
  <c r="CL695" i="72" s="1"/>
  <c r="CS692" i="72"/>
  <c r="CI693" i="72"/>
  <c r="H637" i="72"/>
  <c r="BG748" i="72"/>
  <c r="BH748" i="72" s="1"/>
  <c r="K748" i="72"/>
  <c r="L748" i="72" s="1"/>
  <c r="N637" i="72"/>
  <c r="BQ748" i="72"/>
  <c r="BR748" i="72" s="1"/>
  <c r="U748" i="72"/>
  <c r="V748" i="72" s="1"/>
  <c r="AQ638" i="72"/>
  <c r="AM638" i="72"/>
  <c r="AI638" i="72"/>
  <c r="AY327" i="72"/>
  <c r="BI324" i="72"/>
  <c r="BJ324" i="72" s="1"/>
  <c r="BE324" i="72"/>
  <c r="BF324" i="72"/>
  <c r="BB324" i="72"/>
  <c r="BC324" i="72" s="1"/>
  <c r="AT609" i="72"/>
  <c r="AJ609" i="72"/>
  <c r="AF610" i="72"/>
  <c r="AR610" i="72"/>
  <c r="B639" i="72"/>
  <c r="AV639" i="72" s="1"/>
  <c r="AE638" i="72"/>
  <c r="C638" i="72"/>
  <c r="F638" i="72"/>
  <c r="L638" i="72"/>
  <c r="I638" i="72"/>
  <c r="S612" i="72"/>
  <c r="Y611" i="72"/>
  <c r="X610" i="72"/>
  <c r="AB610" i="72"/>
  <c r="AC610" i="72"/>
  <c r="Z610" i="72"/>
  <c r="AA610" i="72"/>
  <c r="T611" i="72"/>
  <c r="AS611" i="72" s="1"/>
  <c r="P611" i="72"/>
  <c r="U610" i="72"/>
  <c r="V610" i="72" s="1"/>
  <c r="Q611" i="72"/>
  <c r="R612" i="72" s="1"/>
  <c r="AR611" i="82" l="1"/>
  <c r="AF611" i="82"/>
  <c r="AG611" i="82" s="1"/>
  <c r="AA611" i="82"/>
  <c r="U611" i="82"/>
  <c r="V611" i="82" s="1"/>
  <c r="AC611" i="82"/>
  <c r="AB611" i="82"/>
  <c r="Q612" i="82"/>
  <c r="R613" i="82" s="1"/>
  <c r="Z611" i="82"/>
  <c r="P612" i="82"/>
  <c r="X611" i="82"/>
  <c r="AN610" i="82"/>
  <c r="AO610" i="82" s="1"/>
  <c r="AW610" i="82"/>
  <c r="AX610" i="82" s="1"/>
  <c r="AT610" i="82"/>
  <c r="S613" i="82"/>
  <c r="Y612" i="82"/>
  <c r="AJ610" i="82"/>
  <c r="AK610" i="82" s="1"/>
  <c r="T612" i="82"/>
  <c r="AS611" i="82"/>
  <c r="DP691" i="82"/>
  <c r="EG692" i="82"/>
  <c r="DW692" i="82"/>
  <c r="EO692" i="82"/>
  <c r="EK692" i="82"/>
  <c r="EC692" i="82"/>
  <c r="CM694" i="82"/>
  <c r="DI693" i="82"/>
  <c r="DK693" i="82"/>
  <c r="CJ694" i="82"/>
  <c r="CK695" i="82" s="1"/>
  <c r="CL696" i="82" s="1"/>
  <c r="DJ693" i="82"/>
  <c r="CI694" i="82"/>
  <c r="DH693" i="82"/>
  <c r="CS693" i="82"/>
  <c r="DL693" i="82"/>
  <c r="CR694" i="82"/>
  <c r="CZ693" i="82"/>
  <c r="DA693" i="82"/>
  <c r="AN694" i="82"/>
  <c r="AO695" i="82" s="1"/>
  <c r="AP696" i="82" s="1"/>
  <c r="DB693" i="82"/>
  <c r="DC693" i="82"/>
  <c r="AW693" i="82"/>
  <c r="AQ694" i="82"/>
  <c r="AM694" i="82"/>
  <c r="DD693" i="82"/>
  <c r="EA693" i="82"/>
  <c r="DO692" i="82"/>
  <c r="DS692" i="82"/>
  <c r="DT692" i="82" s="1"/>
  <c r="EB693" i="82"/>
  <c r="AV694" i="82"/>
  <c r="CN694" i="82"/>
  <c r="DF693" i="82"/>
  <c r="CO694" i="82"/>
  <c r="CP695" i="82" s="1"/>
  <c r="CU692" i="82"/>
  <c r="CV692" i="82" s="1"/>
  <c r="AU695" i="82"/>
  <c r="CY694" i="82"/>
  <c r="DG694" i="82"/>
  <c r="CQ695" i="82"/>
  <c r="CX693" i="82"/>
  <c r="AS694" i="82"/>
  <c r="AT695" i="82" s="1"/>
  <c r="AR694" i="82"/>
  <c r="ED693" i="82"/>
  <c r="AN610" i="72"/>
  <c r="AW610" i="72"/>
  <c r="BL324" i="72"/>
  <c r="CQ695" i="72"/>
  <c r="DG694" i="72"/>
  <c r="DH693" i="72"/>
  <c r="DJ693" i="72"/>
  <c r="DK693" i="72"/>
  <c r="DL693" i="72"/>
  <c r="DI693" i="72"/>
  <c r="DF693" i="72"/>
  <c r="N638" i="72"/>
  <c r="BQ749" i="72"/>
  <c r="BR749" i="72" s="1"/>
  <c r="U749" i="72"/>
  <c r="V749" i="72" s="1"/>
  <c r="H638" i="72"/>
  <c r="BG749" i="72"/>
  <c r="BH749" i="72" s="1"/>
  <c r="K749" i="72"/>
  <c r="L749" i="72" s="1"/>
  <c r="E638" i="72"/>
  <c r="BB749" i="72"/>
  <c r="BC749" i="72" s="1"/>
  <c r="F749" i="72"/>
  <c r="G749" i="72" s="1"/>
  <c r="J638" i="72"/>
  <c r="BL749" i="72"/>
  <c r="BM749" i="72" s="1"/>
  <c r="P749" i="72"/>
  <c r="Q749" i="72" s="1"/>
  <c r="CR694" i="72"/>
  <c r="CN694" i="72"/>
  <c r="CO694" i="72"/>
  <c r="CP695" i="72" s="1"/>
  <c r="CJ694" i="72"/>
  <c r="CK695" i="72" s="1"/>
  <c r="CL696" i="72" s="1"/>
  <c r="CM694" i="72"/>
  <c r="CI694" i="72"/>
  <c r="CS693" i="72"/>
  <c r="AM639" i="72"/>
  <c r="AQ639" i="72"/>
  <c r="AI639" i="72"/>
  <c r="BI327" i="72"/>
  <c r="BJ327" i="72" s="1"/>
  <c r="AY332" i="72"/>
  <c r="BE327" i="72"/>
  <c r="BB327" i="72"/>
  <c r="BC327" i="72" s="1"/>
  <c r="BF327" i="72"/>
  <c r="AT610" i="72"/>
  <c r="AJ610" i="72"/>
  <c r="AR611" i="72"/>
  <c r="AF611" i="72"/>
  <c r="B640" i="72"/>
  <c r="AV640" i="72" s="1"/>
  <c r="AE639" i="72"/>
  <c r="F639" i="72"/>
  <c r="C639" i="72"/>
  <c r="L639" i="72"/>
  <c r="I639" i="72"/>
  <c r="S613" i="72"/>
  <c r="Y612" i="72"/>
  <c r="X611" i="72"/>
  <c r="AB611" i="72"/>
  <c r="AC611" i="72"/>
  <c r="Z611" i="72"/>
  <c r="AA611" i="72"/>
  <c r="U611" i="72"/>
  <c r="V611" i="72" s="1"/>
  <c r="Q612" i="72"/>
  <c r="R613" i="72" s="1"/>
  <c r="P612" i="72"/>
  <c r="T612" i="72"/>
  <c r="AS612" i="72" s="1"/>
  <c r="AN611" i="82" l="1"/>
  <c r="AO611" i="82" s="1"/>
  <c r="AT611" i="82"/>
  <c r="AW611" i="82"/>
  <c r="AX611" i="82" s="1"/>
  <c r="DP692" i="82"/>
  <c r="Y613" i="82"/>
  <c r="S614" i="82"/>
  <c r="AJ611" i="82"/>
  <c r="AK611" i="82" s="1"/>
  <c r="T613" i="82"/>
  <c r="AS612" i="82"/>
  <c r="Q613" i="82"/>
  <c r="R614" i="82" s="1"/>
  <c r="X612" i="82"/>
  <c r="AA612" i="82"/>
  <c r="AF612" i="82"/>
  <c r="AG612" i="82" s="1"/>
  <c r="AR612" i="82"/>
  <c r="AC612" i="82"/>
  <c r="Z612" i="82"/>
  <c r="U612" i="82"/>
  <c r="V612" i="82" s="1"/>
  <c r="AB612" i="82"/>
  <c r="P613" i="82"/>
  <c r="DF694" i="82"/>
  <c r="CO695" i="82"/>
  <c r="CP696" i="82" s="1"/>
  <c r="CN695" i="82"/>
  <c r="EC693" i="82"/>
  <c r="DW693" i="82"/>
  <c r="EG693" i="82"/>
  <c r="EO693" i="82"/>
  <c r="EK693" i="82"/>
  <c r="EB694" i="82"/>
  <c r="AV695" i="82"/>
  <c r="AW694" i="82"/>
  <c r="EA694" i="82"/>
  <c r="DD694" i="82"/>
  <c r="DB694" i="82"/>
  <c r="AN695" i="82"/>
  <c r="AO696" i="82" s="1"/>
  <c r="AP697" i="82" s="1"/>
  <c r="DA694" i="82"/>
  <c r="DC694" i="82"/>
  <c r="CZ694" i="82"/>
  <c r="AM695" i="82"/>
  <c r="AQ695" i="82"/>
  <c r="CR695" i="82"/>
  <c r="AS695" i="82"/>
  <c r="AT696" i="82" s="1"/>
  <c r="AR695" i="82"/>
  <c r="ED694" i="82"/>
  <c r="CX694" i="82"/>
  <c r="CY695" i="82"/>
  <c r="AU696" i="82"/>
  <c r="CU693" i="82"/>
  <c r="CV693" i="82" s="1"/>
  <c r="DS693" i="82"/>
  <c r="DT693" i="82" s="1"/>
  <c r="DO693" i="82"/>
  <c r="CQ696" i="82"/>
  <c r="DG695" i="82"/>
  <c r="CJ695" i="82"/>
  <c r="CK696" i="82" s="1"/>
  <c r="CL697" i="82" s="1"/>
  <c r="CS694" i="82"/>
  <c r="DK694" i="82"/>
  <c r="DJ694" i="82"/>
  <c r="DI694" i="82"/>
  <c r="DH694" i="82"/>
  <c r="CI695" i="82"/>
  <c r="DL694" i="82"/>
  <c r="CM695" i="82"/>
  <c r="AN611" i="72"/>
  <c r="AW611" i="72"/>
  <c r="BL327" i="72"/>
  <c r="DF694" i="72"/>
  <c r="DK694" i="72"/>
  <c r="DL694" i="72"/>
  <c r="DJ694" i="72"/>
  <c r="DH694" i="72"/>
  <c r="DI694" i="72"/>
  <c r="CQ696" i="72"/>
  <c r="DG695" i="72"/>
  <c r="CO695" i="72"/>
  <c r="CP696" i="72" s="1"/>
  <c r="CN695" i="72"/>
  <c r="J639" i="72"/>
  <c r="BL750" i="72"/>
  <c r="BM750" i="72" s="1"/>
  <c r="P750" i="72"/>
  <c r="Q750" i="72" s="1"/>
  <c r="N639" i="72"/>
  <c r="BQ750" i="72"/>
  <c r="BR750" i="72" s="1"/>
  <c r="U750" i="72"/>
  <c r="V750" i="72" s="1"/>
  <c r="E639" i="72"/>
  <c r="F750" i="72"/>
  <c r="G750" i="72" s="1"/>
  <c r="BB750" i="72"/>
  <c r="BC750" i="72" s="1"/>
  <c r="CI695" i="72"/>
  <c r="CM695" i="72"/>
  <c r="CJ695" i="72"/>
  <c r="CK696" i="72" s="1"/>
  <c r="CL697" i="72" s="1"/>
  <c r="CS694" i="72"/>
  <c r="CR695" i="72"/>
  <c r="H639" i="72"/>
  <c r="BG750" i="72"/>
  <c r="BH750" i="72" s="1"/>
  <c r="K750" i="72"/>
  <c r="L750" i="72" s="1"/>
  <c r="AM640" i="72"/>
  <c r="AQ640" i="72"/>
  <c r="AI640" i="72"/>
  <c r="BB332" i="72"/>
  <c r="BC332" i="72" s="1"/>
  <c r="BF332" i="72"/>
  <c r="BE332" i="72"/>
  <c r="BI332" i="72"/>
  <c r="BJ332" i="72" s="1"/>
  <c r="AY335" i="72"/>
  <c r="AT611" i="72"/>
  <c r="AR612" i="72"/>
  <c r="AF612" i="72"/>
  <c r="AJ611" i="72"/>
  <c r="B641" i="72"/>
  <c r="AV641" i="72" s="1"/>
  <c r="AE640" i="72"/>
  <c r="F640" i="72"/>
  <c r="C640" i="72"/>
  <c r="I640" i="72"/>
  <c r="L640" i="72"/>
  <c r="X612" i="72"/>
  <c r="AB612" i="72"/>
  <c r="AC612" i="72"/>
  <c r="Z612" i="72"/>
  <c r="AA612" i="72"/>
  <c r="S614" i="72"/>
  <c r="Y613" i="72"/>
  <c r="T613" i="72"/>
  <c r="AS613" i="72" s="1"/>
  <c r="P613" i="72"/>
  <c r="Q613" i="72"/>
  <c r="R614" i="72" s="1"/>
  <c r="U612" i="72"/>
  <c r="V612" i="72" s="1"/>
  <c r="AW612" i="82" l="1"/>
  <c r="AX612" i="82" s="1"/>
  <c r="AT612" i="82"/>
  <c r="AN612" i="82"/>
  <c r="AO612" i="82" s="1"/>
  <c r="AS613" i="82"/>
  <c r="T614" i="82"/>
  <c r="DP693" i="82"/>
  <c r="Q614" i="82"/>
  <c r="R615" i="82" s="1"/>
  <c r="P614" i="82"/>
  <c r="AA613" i="82"/>
  <c r="AB613" i="82"/>
  <c r="X613" i="82"/>
  <c r="AF613" i="82"/>
  <c r="AG613" i="82" s="1"/>
  <c r="AR613" i="82"/>
  <c r="Z613" i="82"/>
  <c r="AC613" i="82"/>
  <c r="U613" i="82"/>
  <c r="V613" i="82" s="1"/>
  <c r="AJ612" i="82"/>
  <c r="AK612" i="82" s="1"/>
  <c r="S615" i="82"/>
  <c r="Y614" i="82"/>
  <c r="CU694" i="82"/>
  <c r="CV694" i="82" s="1"/>
  <c r="AQ696" i="82"/>
  <c r="DB695" i="82"/>
  <c r="AN696" i="82"/>
  <c r="AO697" i="82" s="1"/>
  <c r="AP698" i="82" s="1"/>
  <c r="CZ695" i="82"/>
  <c r="AM696" i="82"/>
  <c r="DD695" i="82"/>
  <c r="DC695" i="82"/>
  <c r="AW695" i="82"/>
  <c r="EA695" i="82"/>
  <c r="DA695" i="82"/>
  <c r="DO694" i="82"/>
  <c r="DS694" i="82"/>
  <c r="DT694" i="82" s="1"/>
  <c r="DK695" i="82"/>
  <c r="CI696" i="82"/>
  <c r="DJ695" i="82"/>
  <c r="DI695" i="82"/>
  <c r="CS695" i="82"/>
  <c r="CM696" i="82"/>
  <c r="DH695" i="82"/>
  <c r="DL695" i="82"/>
  <c r="CJ696" i="82"/>
  <c r="CK697" i="82" s="1"/>
  <c r="CL698" i="82" s="1"/>
  <c r="ED695" i="82"/>
  <c r="AS696" i="82"/>
  <c r="AT697" i="82" s="1"/>
  <c r="CX695" i="82"/>
  <c r="AR696" i="82"/>
  <c r="EK694" i="82"/>
  <c r="EO694" i="82"/>
  <c r="EG694" i="82"/>
  <c r="DW694" i="82"/>
  <c r="EC694" i="82"/>
  <c r="CY696" i="82"/>
  <c r="AU697" i="82"/>
  <c r="AV696" i="82"/>
  <c r="EB695" i="82"/>
  <c r="CO696" i="82"/>
  <c r="CP697" i="82" s="1"/>
  <c r="CN696" i="82"/>
  <c r="DF695" i="82"/>
  <c r="DG696" i="82"/>
  <c r="CQ697" i="82"/>
  <c r="CR696" i="82"/>
  <c r="AN612" i="72"/>
  <c r="AW612" i="72"/>
  <c r="BL332" i="72"/>
  <c r="DF695" i="72"/>
  <c r="CQ697" i="72"/>
  <c r="DG696" i="72"/>
  <c r="DJ695" i="72"/>
  <c r="DK695" i="72"/>
  <c r="DI695" i="72"/>
  <c r="DL695" i="72"/>
  <c r="DH695" i="72"/>
  <c r="N640" i="72"/>
  <c r="BQ751" i="72"/>
  <c r="BR751" i="72" s="1"/>
  <c r="U751" i="72"/>
  <c r="V751" i="72" s="1"/>
  <c r="J640" i="72"/>
  <c r="BL751" i="72"/>
  <c r="BM751" i="72" s="1"/>
  <c r="P751" i="72"/>
  <c r="Q751" i="72" s="1"/>
  <c r="E640" i="72"/>
  <c r="BB751" i="72"/>
  <c r="BC751" i="72" s="1"/>
  <c r="F751" i="72"/>
  <c r="G751" i="72" s="1"/>
  <c r="CM696" i="72"/>
  <c r="CJ696" i="72"/>
  <c r="CK697" i="72" s="1"/>
  <c r="CL698" i="72" s="1"/>
  <c r="CS695" i="72"/>
  <c r="CI696" i="72"/>
  <c r="H640" i="72"/>
  <c r="BG751" i="72"/>
  <c r="BH751" i="72" s="1"/>
  <c r="K751" i="72"/>
  <c r="L751" i="72" s="1"/>
  <c r="CN696" i="72"/>
  <c r="CO696" i="72"/>
  <c r="CP697" i="72" s="1"/>
  <c r="CR696" i="72"/>
  <c r="AY340" i="72"/>
  <c r="BI335" i="72"/>
  <c r="BJ335" i="72" s="1"/>
  <c r="BF335" i="72"/>
  <c r="BB335" i="72"/>
  <c r="BC335" i="72" s="1"/>
  <c r="BE335" i="72"/>
  <c r="AM641" i="72"/>
  <c r="AQ641" i="72"/>
  <c r="AI641" i="72"/>
  <c r="AJ612" i="72"/>
  <c r="AT612" i="72"/>
  <c r="AR613" i="72"/>
  <c r="AF613" i="72"/>
  <c r="B642" i="72"/>
  <c r="AV642" i="72" s="1"/>
  <c r="AE641" i="72"/>
  <c r="C641" i="72"/>
  <c r="F641" i="72"/>
  <c r="I641" i="72"/>
  <c r="L641" i="72"/>
  <c r="S615" i="72"/>
  <c r="Y614" i="72"/>
  <c r="AB613" i="72"/>
  <c r="X613" i="72"/>
  <c r="AC613" i="72"/>
  <c r="AA613" i="72"/>
  <c r="Z613" i="72"/>
  <c r="Q614" i="72"/>
  <c r="R615" i="72" s="1"/>
  <c r="P614" i="72"/>
  <c r="U613" i="72"/>
  <c r="V613" i="72" s="1"/>
  <c r="T614" i="72"/>
  <c r="AS614" i="72" s="1"/>
  <c r="DP694" i="82" l="1"/>
  <c r="AC614" i="82"/>
  <c r="U614" i="82"/>
  <c r="V614" i="82" s="1"/>
  <c r="AF614" i="82"/>
  <c r="AG614" i="82" s="1"/>
  <c r="AR614" i="82"/>
  <c r="X614" i="82"/>
  <c r="Q615" i="82"/>
  <c r="R616" i="82" s="1"/>
  <c r="AB614" i="82"/>
  <c r="AA614" i="82"/>
  <c r="Z614" i="82"/>
  <c r="P615" i="82"/>
  <c r="S616" i="82"/>
  <c r="Y615" i="82"/>
  <c r="AT613" i="82"/>
  <c r="AW613" i="82"/>
  <c r="AX613" i="82" s="1"/>
  <c r="AN613" i="82"/>
  <c r="AO613" i="82" s="1"/>
  <c r="AS614" i="82"/>
  <c r="T615" i="82"/>
  <c r="AJ613" i="82"/>
  <c r="AK613" i="82" s="1"/>
  <c r="CU695" i="82"/>
  <c r="CV695" i="82" s="1"/>
  <c r="CR697" i="82"/>
  <c r="AV697" i="82"/>
  <c r="EB696" i="82"/>
  <c r="AR697" i="82"/>
  <c r="AS697" i="82"/>
  <c r="AT698" i="82" s="1"/>
  <c r="ED696" i="82"/>
  <c r="CX696" i="82"/>
  <c r="DS695" i="82"/>
  <c r="DT695" i="82" s="1"/>
  <c r="DO695" i="82"/>
  <c r="DP695" i="82" s="1"/>
  <c r="EO695" i="82"/>
  <c r="EG695" i="82"/>
  <c r="EC695" i="82"/>
  <c r="EK695" i="82"/>
  <c r="DW695" i="82"/>
  <c r="AU698" i="82"/>
  <c r="CY697" i="82"/>
  <c r="DH696" i="82"/>
  <c r="CM697" i="82"/>
  <c r="DL696" i="82"/>
  <c r="CI697" i="82"/>
  <c r="DK696" i="82"/>
  <c r="CJ697" i="82"/>
  <c r="CK698" i="82" s="1"/>
  <c r="CL699" i="82" s="1"/>
  <c r="DJ696" i="82"/>
  <c r="CS696" i="82"/>
  <c r="DI696" i="82"/>
  <c r="CN697" i="82"/>
  <c r="DF696" i="82"/>
  <c r="CO697" i="82"/>
  <c r="CP698" i="82" s="1"/>
  <c r="CQ698" i="82"/>
  <c r="DG697" i="82"/>
  <c r="AN697" i="82"/>
  <c r="AO698" i="82" s="1"/>
  <c r="AP699" i="82" s="1"/>
  <c r="DC696" i="82"/>
  <c r="AW696" i="82"/>
  <c r="AQ697" i="82"/>
  <c r="DB696" i="82"/>
  <c r="EA696" i="82"/>
  <c r="CZ696" i="82"/>
  <c r="AM697" i="82"/>
  <c r="DD696" i="82"/>
  <c r="DA696" i="82"/>
  <c r="AW613" i="72"/>
  <c r="AN613" i="72"/>
  <c r="BL335" i="72"/>
  <c r="DF696" i="72"/>
  <c r="CQ698" i="72"/>
  <c r="DG697" i="72"/>
  <c r="DH696" i="72"/>
  <c r="DK696" i="72"/>
  <c r="DL696" i="72"/>
  <c r="DI696" i="72"/>
  <c r="DJ696" i="72"/>
  <c r="N641" i="72"/>
  <c r="U752" i="72"/>
  <c r="V752" i="72" s="1"/>
  <c r="BQ752" i="72"/>
  <c r="BR752" i="72" s="1"/>
  <c r="J641" i="72"/>
  <c r="P752" i="72"/>
  <c r="Q752" i="72" s="1"/>
  <c r="BL752" i="72"/>
  <c r="BM752" i="72" s="1"/>
  <c r="CR697" i="72"/>
  <c r="CJ697" i="72"/>
  <c r="CK698" i="72" s="1"/>
  <c r="CL699" i="72" s="1"/>
  <c r="CM697" i="72"/>
  <c r="CI697" i="72"/>
  <c r="CS696" i="72"/>
  <c r="H641" i="72"/>
  <c r="BG752" i="72"/>
  <c r="BH752" i="72" s="1"/>
  <c r="K752" i="72"/>
  <c r="L752" i="72" s="1"/>
  <c r="E641" i="72"/>
  <c r="BB752" i="72"/>
  <c r="BC752" i="72" s="1"/>
  <c r="F752" i="72"/>
  <c r="G752" i="72" s="1"/>
  <c r="CN697" i="72"/>
  <c r="CO697" i="72"/>
  <c r="CP698" i="72" s="1"/>
  <c r="AM642" i="72"/>
  <c r="AQ642" i="72"/>
  <c r="AI642" i="72"/>
  <c r="BB340" i="72"/>
  <c r="BC340" i="72" s="1"/>
  <c r="BI340" i="72"/>
  <c r="BJ340" i="72" s="1"/>
  <c r="BE340" i="72"/>
  <c r="BF340" i="72"/>
  <c r="AY343" i="72"/>
  <c r="AT613" i="72"/>
  <c r="AJ613" i="72"/>
  <c r="AR614" i="72"/>
  <c r="AF614" i="72"/>
  <c r="B643" i="72"/>
  <c r="AV643" i="72" s="1"/>
  <c r="AE642" i="72"/>
  <c r="F642" i="72"/>
  <c r="C642" i="72"/>
  <c r="I642" i="72"/>
  <c r="L642" i="72"/>
  <c r="X614" i="72"/>
  <c r="AB614" i="72"/>
  <c r="AC614" i="72"/>
  <c r="Z614" i="72"/>
  <c r="AA614" i="72"/>
  <c r="S616" i="72"/>
  <c r="Y615" i="72"/>
  <c r="T615" i="72"/>
  <c r="AS615" i="72" s="1"/>
  <c r="Q615" i="72"/>
  <c r="R616" i="72" s="1"/>
  <c r="P615" i="72"/>
  <c r="U614" i="72"/>
  <c r="V614" i="72" s="1"/>
  <c r="AJ614" i="82" l="1"/>
  <c r="AK614" i="82" s="1"/>
  <c r="Y616" i="82"/>
  <c r="S617" i="82"/>
  <c r="U615" i="82"/>
  <c r="V615" i="82" s="1"/>
  <c r="AF615" i="82"/>
  <c r="AG615" i="82" s="1"/>
  <c r="AR615" i="82"/>
  <c r="Z615" i="82"/>
  <c r="Q616" i="82"/>
  <c r="R617" i="82" s="1"/>
  <c r="X615" i="82"/>
  <c r="P616" i="82"/>
  <c r="AC615" i="82"/>
  <c r="AA615" i="82"/>
  <c r="AB615" i="82"/>
  <c r="T616" i="82"/>
  <c r="AS615" i="82"/>
  <c r="AN614" i="82"/>
  <c r="AO614" i="82" s="1"/>
  <c r="AW614" i="82"/>
  <c r="AX614" i="82" s="1"/>
  <c r="AT614" i="82"/>
  <c r="CR698" i="82"/>
  <c r="CU696" i="82"/>
  <c r="CV696" i="82" s="1"/>
  <c r="CY698" i="82"/>
  <c r="AU699" i="82"/>
  <c r="DW696" i="82"/>
  <c r="EO696" i="82"/>
  <c r="EC696" i="82"/>
  <c r="EG696" i="82"/>
  <c r="EK696" i="82"/>
  <c r="AS698" i="82"/>
  <c r="AT699" i="82" s="1"/>
  <c r="CX697" i="82"/>
  <c r="ED697" i="82"/>
  <c r="AR698" i="82"/>
  <c r="DD697" i="82"/>
  <c r="AW697" i="82"/>
  <c r="CZ697" i="82"/>
  <c r="AM698" i="82"/>
  <c r="DC697" i="82"/>
  <c r="DB697" i="82"/>
  <c r="EA697" i="82"/>
  <c r="DA697" i="82"/>
  <c r="AN698" i="82"/>
  <c r="AO699" i="82" s="1"/>
  <c r="AP700" i="82" s="1"/>
  <c r="AQ698" i="82"/>
  <c r="DG698" i="82"/>
  <c r="CQ699" i="82"/>
  <c r="CI698" i="82"/>
  <c r="DH697" i="82"/>
  <c r="DI697" i="82"/>
  <c r="CM698" i="82"/>
  <c r="DL697" i="82"/>
  <c r="CS697" i="82"/>
  <c r="CJ698" i="82"/>
  <c r="CK699" i="82" s="1"/>
  <c r="CL700" i="82" s="1"/>
  <c r="DK697" i="82"/>
  <c r="DJ697" i="82"/>
  <c r="CO698" i="82"/>
  <c r="CP699" i="82" s="1"/>
  <c r="CN698" i="82"/>
  <c r="DF697" i="82"/>
  <c r="DS696" i="82"/>
  <c r="DT696" i="82" s="1"/>
  <c r="DO696" i="82"/>
  <c r="DP696" i="82" s="1"/>
  <c r="EB697" i="82"/>
  <c r="AV698" i="82"/>
  <c r="AW614" i="72"/>
  <c r="AN614" i="72"/>
  <c r="BL340" i="72"/>
  <c r="DF697" i="72"/>
  <c r="DJ697" i="72"/>
  <c r="DK697" i="72"/>
  <c r="DH697" i="72"/>
  <c r="DL697" i="72"/>
  <c r="DI697" i="72"/>
  <c r="CQ699" i="72"/>
  <c r="DG698" i="72"/>
  <c r="CR698" i="72"/>
  <c r="J642" i="72"/>
  <c r="BL753" i="72"/>
  <c r="BM753" i="72" s="1"/>
  <c r="P753" i="72"/>
  <c r="Q753" i="72" s="1"/>
  <c r="N642" i="72"/>
  <c r="BQ753" i="72"/>
  <c r="BR753" i="72" s="1"/>
  <c r="U753" i="72"/>
  <c r="V753" i="72" s="1"/>
  <c r="E642" i="72"/>
  <c r="BB753" i="72"/>
  <c r="BC753" i="72" s="1"/>
  <c r="F753" i="72"/>
  <c r="G753" i="72" s="1"/>
  <c r="H642" i="72"/>
  <c r="BG753" i="72"/>
  <c r="BH753" i="72" s="1"/>
  <c r="K753" i="72"/>
  <c r="L753" i="72" s="1"/>
  <c r="CN698" i="72"/>
  <c r="CO698" i="72"/>
  <c r="CP699" i="72" s="1"/>
  <c r="CS697" i="72"/>
  <c r="CJ698" i="72"/>
  <c r="CK699" i="72" s="1"/>
  <c r="CL700" i="72" s="1"/>
  <c r="CM698" i="72"/>
  <c r="CI698" i="72"/>
  <c r="AJ614" i="72"/>
  <c r="AQ643" i="72"/>
  <c r="AM643" i="72"/>
  <c r="AI643" i="72"/>
  <c r="BI343" i="72"/>
  <c r="BJ343" i="72" s="1"/>
  <c r="BF343" i="72"/>
  <c r="BB343" i="72"/>
  <c r="BC343" i="72" s="1"/>
  <c r="AY348" i="72"/>
  <c r="BE343" i="72"/>
  <c r="AT614" i="72"/>
  <c r="AR615" i="72"/>
  <c r="AF615" i="72"/>
  <c r="B644" i="72"/>
  <c r="AV644" i="72" s="1"/>
  <c r="AE643" i="72"/>
  <c r="C643" i="72"/>
  <c r="F643" i="72"/>
  <c r="I643" i="72"/>
  <c r="L643" i="72"/>
  <c r="X615" i="72"/>
  <c r="AB615" i="72"/>
  <c r="AC615" i="72"/>
  <c r="Z615" i="72"/>
  <c r="AA615" i="72"/>
  <c r="S617" i="72"/>
  <c r="Y616" i="72"/>
  <c r="U615" i="72"/>
  <c r="V615" i="72" s="1"/>
  <c r="Q616" i="72"/>
  <c r="R617" i="72" s="1"/>
  <c r="P616" i="72"/>
  <c r="T616" i="72"/>
  <c r="AS616" i="72" s="1"/>
  <c r="AJ615" i="82" l="1"/>
  <c r="AK615" i="82" s="1"/>
  <c r="AS616" i="82"/>
  <c r="T617" i="82"/>
  <c r="S618" i="82"/>
  <c r="Y617" i="82"/>
  <c r="AN615" i="82"/>
  <c r="AO615" i="82" s="1"/>
  <c r="AT615" i="82"/>
  <c r="AW615" i="82"/>
  <c r="AX615" i="82" s="1"/>
  <c r="U616" i="82"/>
  <c r="V616" i="82" s="1"/>
  <c r="AA616" i="82"/>
  <c r="X616" i="82"/>
  <c r="AF616" i="82"/>
  <c r="AG616" i="82" s="1"/>
  <c r="AR616" i="82"/>
  <c r="P617" i="82"/>
  <c r="AC616" i="82"/>
  <c r="AB616" i="82"/>
  <c r="Z616" i="82"/>
  <c r="Q617" i="82"/>
  <c r="R618" i="82" s="1"/>
  <c r="CU697" i="82"/>
  <c r="CV697" i="82" s="1"/>
  <c r="AV699" i="82"/>
  <c r="EB698" i="82"/>
  <c r="DA698" i="82"/>
  <c r="CZ698" i="82"/>
  <c r="AN699" i="82"/>
  <c r="AO700" i="82" s="1"/>
  <c r="AP701" i="82" s="1"/>
  <c r="EA698" i="82"/>
  <c r="AM699" i="82"/>
  <c r="AQ699" i="82"/>
  <c r="AW698" i="82"/>
  <c r="DC698" i="82"/>
  <c r="DB698" i="82"/>
  <c r="DD698" i="82"/>
  <c r="ED698" i="82"/>
  <c r="CX698" i="82"/>
  <c r="AS699" i="82"/>
  <c r="AT700" i="82" s="1"/>
  <c r="AR699" i="82"/>
  <c r="CN699" i="82"/>
  <c r="CO699" i="82"/>
  <c r="CP700" i="82" s="1"/>
  <c r="DF698" i="82"/>
  <c r="DS697" i="82"/>
  <c r="DT697" i="82" s="1"/>
  <c r="DO697" i="82"/>
  <c r="DP697" i="82" s="1"/>
  <c r="CQ700" i="82"/>
  <c r="DG699" i="82"/>
  <c r="AU700" i="82"/>
  <c r="CY699" i="82"/>
  <c r="EO697" i="82"/>
  <c r="EC697" i="82"/>
  <c r="EK697" i="82"/>
  <c r="DW697" i="82"/>
  <c r="EG697" i="82"/>
  <c r="DJ698" i="82"/>
  <c r="CJ699" i="82"/>
  <c r="CK700" i="82" s="1"/>
  <c r="CL701" i="82" s="1"/>
  <c r="DK698" i="82"/>
  <c r="CI699" i="82"/>
  <c r="DI698" i="82"/>
  <c r="DL698" i="82"/>
  <c r="CM699" i="82"/>
  <c r="CS698" i="82"/>
  <c r="DH698" i="82"/>
  <c r="CR699" i="82"/>
  <c r="AW615" i="72"/>
  <c r="AN615" i="72"/>
  <c r="BL343" i="72"/>
  <c r="DJ698" i="72"/>
  <c r="DK698" i="72"/>
  <c r="DL698" i="72"/>
  <c r="DH698" i="72"/>
  <c r="DI698" i="72"/>
  <c r="CQ700" i="72"/>
  <c r="DG699" i="72"/>
  <c r="DF698" i="72"/>
  <c r="CO699" i="72"/>
  <c r="CP700" i="72" s="1"/>
  <c r="CN699" i="72"/>
  <c r="N643" i="72"/>
  <c r="U754" i="72"/>
  <c r="V754" i="72" s="1"/>
  <c r="BQ754" i="72"/>
  <c r="BR754" i="72" s="1"/>
  <c r="J643" i="72"/>
  <c r="BL754" i="72"/>
  <c r="BM754" i="72" s="1"/>
  <c r="P754" i="72"/>
  <c r="Q754" i="72" s="1"/>
  <c r="CM699" i="72"/>
  <c r="CJ699" i="72"/>
  <c r="CK700" i="72" s="1"/>
  <c r="CL701" i="72" s="1"/>
  <c r="CI699" i="72"/>
  <c r="CS698" i="72"/>
  <c r="H643" i="72"/>
  <c r="BG754" i="72"/>
  <c r="BH754" i="72" s="1"/>
  <c r="K754" i="72"/>
  <c r="L754" i="72" s="1"/>
  <c r="E643" i="72"/>
  <c r="BB754" i="72"/>
  <c r="BC754" i="72" s="1"/>
  <c r="F754" i="72"/>
  <c r="G754" i="72" s="1"/>
  <c r="CR699" i="72"/>
  <c r="AY351" i="72"/>
  <c r="BF348" i="72"/>
  <c r="BI348" i="72"/>
  <c r="BJ348" i="72" s="1"/>
  <c r="BB348" i="72"/>
  <c r="BC348" i="72" s="1"/>
  <c r="BE348" i="72"/>
  <c r="AQ644" i="72"/>
  <c r="AM644" i="72"/>
  <c r="AI644" i="72"/>
  <c r="AJ615" i="72"/>
  <c r="AT615" i="72"/>
  <c r="AF616" i="72"/>
  <c r="AR616" i="72"/>
  <c r="B645" i="72"/>
  <c r="AV645" i="72" s="1"/>
  <c r="AE644" i="72"/>
  <c r="C644" i="72"/>
  <c r="F644" i="72"/>
  <c r="I644" i="72"/>
  <c r="L644" i="72"/>
  <c r="AB616" i="72"/>
  <c r="AC616" i="72"/>
  <c r="Z616" i="72"/>
  <c r="AA616" i="72"/>
  <c r="X616" i="72"/>
  <c r="S618" i="72"/>
  <c r="Y617" i="72"/>
  <c r="T617" i="72"/>
  <c r="AS617" i="72" s="1"/>
  <c r="Q617" i="72"/>
  <c r="R618" i="72" s="1"/>
  <c r="P617" i="72"/>
  <c r="U616" i="72"/>
  <c r="V616" i="72" s="1"/>
  <c r="AC617" i="82" l="1"/>
  <c r="AR617" i="82"/>
  <c r="U617" i="82"/>
  <c r="V617" i="82" s="1"/>
  <c r="P618" i="82"/>
  <c r="X617" i="82"/>
  <c r="Z617" i="82"/>
  <c r="AA617" i="82"/>
  <c r="Q618" i="82"/>
  <c r="R619" i="82" s="1"/>
  <c r="AF617" i="82"/>
  <c r="AG617" i="82" s="1"/>
  <c r="AB617" i="82"/>
  <c r="AJ616" i="82"/>
  <c r="AK616" i="82" s="1"/>
  <c r="T618" i="82"/>
  <c r="AS617" i="82"/>
  <c r="S619" i="82"/>
  <c r="Y618" i="82"/>
  <c r="AT616" i="82"/>
  <c r="AW616" i="82"/>
  <c r="AX616" i="82" s="1"/>
  <c r="AN616" i="82"/>
  <c r="AO616" i="82" s="1"/>
  <c r="CU698" i="82"/>
  <c r="CV698" i="82" s="1"/>
  <c r="CX699" i="82"/>
  <c r="AS700" i="82"/>
  <c r="AT701" i="82" s="1"/>
  <c r="AR700" i="82"/>
  <c r="ED699" i="82"/>
  <c r="AU701" i="82"/>
  <c r="CY700" i="82"/>
  <c r="AM700" i="82"/>
  <c r="EA699" i="82"/>
  <c r="DD699" i="82"/>
  <c r="DC699" i="82"/>
  <c r="AW699" i="82"/>
  <c r="AQ700" i="82"/>
  <c r="DB699" i="82"/>
  <c r="DA699" i="82"/>
  <c r="CZ699" i="82"/>
  <c r="AN700" i="82"/>
  <c r="AO701" i="82" s="1"/>
  <c r="AP702" i="82" s="1"/>
  <c r="DG700" i="82"/>
  <c r="CQ701" i="82"/>
  <c r="DO698" i="82"/>
  <c r="DP698" i="82" s="1"/>
  <c r="DS698" i="82"/>
  <c r="DT698" i="82" s="1"/>
  <c r="CR700" i="82"/>
  <c r="DF699" i="82"/>
  <c r="CN700" i="82"/>
  <c r="CO700" i="82"/>
  <c r="CP701" i="82" s="1"/>
  <c r="CJ700" i="82"/>
  <c r="CK701" i="82" s="1"/>
  <c r="CL702" i="82" s="1"/>
  <c r="CS699" i="82"/>
  <c r="DJ699" i="82"/>
  <c r="DL699" i="82"/>
  <c r="DK699" i="82"/>
  <c r="CM700" i="82"/>
  <c r="CI700" i="82"/>
  <c r="DI699" i="82"/>
  <c r="DH699" i="82"/>
  <c r="EO698" i="82"/>
  <c r="DW698" i="82"/>
  <c r="EG698" i="82"/>
  <c r="EC698" i="82"/>
  <c r="EK698" i="82"/>
  <c r="AV700" i="82"/>
  <c r="EB699" i="82"/>
  <c r="AN616" i="72"/>
  <c r="AW616" i="72"/>
  <c r="BL348" i="72"/>
  <c r="DF699" i="72"/>
  <c r="CR700" i="72"/>
  <c r="DJ699" i="72"/>
  <c r="DK699" i="72"/>
  <c r="DI699" i="72"/>
  <c r="DH699" i="72"/>
  <c r="DL699" i="72"/>
  <c r="CQ701" i="72"/>
  <c r="DG700" i="72"/>
  <c r="N644" i="72"/>
  <c r="BQ755" i="72"/>
  <c r="BR755" i="72" s="1"/>
  <c r="U755" i="72"/>
  <c r="V755" i="72" s="1"/>
  <c r="J644" i="72"/>
  <c r="BL755" i="72"/>
  <c r="BM755" i="72" s="1"/>
  <c r="P755" i="72"/>
  <c r="Q755" i="72" s="1"/>
  <c r="H644" i="72"/>
  <c r="BG755" i="72"/>
  <c r="BH755" i="72" s="1"/>
  <c r="K755" i="72"/>
  <c r="L755" i="72" s="1"/>
  <c r="E644" i="72"/>
  <c r="F755" i="72"/>
  <c r="G755" i="72" s="1"/>
  <c r="BB755" i="72"/>
  <c r="BC755" i="72" s="1"/>
  <c r="CS699" i="72"/>
  <c r="CJ700" i="72"/>
  <c r="CK701" i="72" s="1"/>
  <c r="CL702" i="72" s="1"/>
  <c r="CM700" i="72"/>
  <c r="CI700" i="72"/>
  <c r="CN700" i="72"/>
  <c r="CO700" i="72"/>
  <c r="CP701" i="72" s="1"/>
  <c r="AQ645" i="72"/>
  <c r="AM645" i="72"/>
  <c r="AI645" i="72"/>
  <c r="BE351" i="72"/>
  <c r="BB351" i="72"/>
  <c r="BC351" i="72" s="1"/>
  <c r="AY356" i="72"/>
  <c r="BF351" i="72"/>
  <c r="BI351" i="72"/>
  <c r="BJ351" i="72" s="1"/>
  <c r="AJ616" i="72"/>
  <c r="AT616" i="72"/>
  <c r="AR617" i="72"/>
  <c r="AF617" i="72"/>
  <c r="B646" i="72"/>
  <c r="AV646" i="72" s="1"/>
  <c r="AE645" i="72"/>
  <c r="F645" i="72"/>
  <c r="C645" i="72"/>
  <c r="I645" i="72"/>
  <c r="L645" i="72"/>
  <c r="AB617" i="72"/>
  <c r="AC617" i="72"/>
  <c r="X617" i="72"/>
  <c r="AA617" i="72"/>
  <c r="Z617" i="72"/>
  <c r="S619" i="72"/>
  <c r="Y618" i="72"/>
  <c r="Q618" i="72"/>
  <c r="R619" i="72" s="1"/>
  <c r="P618" i="72"/>
  <c r="U617" i="72"/>
  <c r="V617" i="72" s="1"/>
  <c r="T618" i="72"/>
  <c r="Q619" i="82" l="1"/>
  <c r="R620" i="82" s="1"/>
  <c r="X618" i="82"/>
  <c r="Z618" i="82"/>
  <c r="AB618" i="82"/>
  <c r="AC618" i="82"/>
  <c r="P619" i="82"/>
  <c r="AF618" i="82"/>
  <c r="AG618" i="82" s="1"/>
  <c r="U618" i="82"/>
  <c r="V618" i="82" s="1"/>
  <c r="AA618" i="82"/>
  <c r="AR618" i="82"/>
  <c r="Y619" i="82"/>
  <c r="S620" i="82"/>
  <c r="AT617" i="82"/>
  <c r="AN617" i="82"/>
  <c r="AO617" i="82" s="1"/>
  <c r="AW617" i="82"/>
  <c r="AX617" i="82" s="1"/>
  <c r="AJ617" i="82"/>
  <c r="AK617" i="82" s="1"/>
  <c r="T619" i="82"/>
  <c r="AS618" i="82"/>
  <c r="CU699" i="82"/>
  <c r="CV699" i="82" s="1"/>
  <c r="AQ701" i="82"/>
  <c r="DB700" i="82"/>
  <c r="DC700" i="82"/>
  <c r="CZ700" i="82"/>
  <c r="AN701" i="82"/>
  <c r="AO702" i="82" s="1"/>
  <c r="AP703" i="82" s="1"/>
  <c r="AW700" i="82"/>
  <c r="EA700" i="82"/>
  <c r="DD700" i="82"/>
  <c r="DA700" i="82"/>
  <c r="AM701" i="82"/>
  <c r="CR701" i="82"/>
  <c r="EK699" i="82"/>
  <c r="DW699" i="82"/>
  <c r="EC699" i="82"/>
  <c r="EO699" i="82"/>
  <c r="EG699" i="82"/>
  <c r="DG701" i="82"/>
  <c r="CQ702" i="82"/>
  <c r="EB700" i="82"/>
  <c r="AV701" i="82"/>
  <c r="DK700" i="82"/>
  <c r="DI700" i="82"/>
  <c r="CJ701" i="82"/>
  <c r="CK702" i="82" s="1"/>
  <c r="CL703" i="82" s="1"/>
  <c r="DH700" i="82"/>
  <c r="DJ700" i="82"/>
  <c r="CM701" i="82"/>
  <c r="CI701" i="82"/>
  <c r="DL700" i="82"/>
  <c r="CS700" i="82"/>
  <c r="CO701" i="82"/>
  <c r="CP702" i="82" s="1"/>
  <c r="CN701" i="82"/>
  <c r="DF700" i="82"/>
  <c r="CX700" i="82"/>
  <c r="ED700" i="82"/>
  <c r="AR701" i="82"/>
  <c r="AS701" i="82"/>
  <c r="AT702" i="82" s="1"/>
  <c r="CY701" i="82"/>
  <c r="AU702" i="82"/>
  <c r="DO699" i="82"/>
  <c r="DP699" i="82" s="1"/>
  <c r="DS699" i="82"/>
  <c r="DT699" i="82" s="1"/>
  <c r="AN617" i="72"/>
  <c r="AW617" i="72"/>
  <c r="BL351" i="72"/>
  <c r="DF700" i="72"/>
  <c r="DH700" i="72"/>
  <c r="DL700" i="72"/>
  <c r="DJ700" i="72"/>
  <c r="DK700" i="72"/>
  <c r="DI700" i="72"/>
  <c r="CQ702" i="72"/>
  <c r="DG701" i="72"/>
  <c r="N645" i="72"/>
  <c r="BQ756" i="72"/>
  <c r="BR756" i="72" s="1"/>
  <c r="U756" i="72"/>
  <c r="V756" i="72" s="1"/>
  <c r="J645" i="72"/>
  <c r="BL756" i="72"/>
  <c r="BM756" i="72" s="1"/>
  <c r="P756" i="72"/>
  <c r="Q756" i="72" s="1"/>
  <c r="E645" i="72"/>
  <c r="BB756" i="72"/>
  <c r="BC756" i="72" s="1"/>
  <c r="F756" i="72"/>
  <c r="G756" i="72" s="1"/>
  <c r="CN701" i="72"/>
  <c r="CO701" i="72"/>
  <c r="CP702" i="72" s="1"/>
  <c r="H645" i="72"/>
  <c r="BG756" i="72"/>
  <c r="BH756" i="72" s="1"/>
  <c r="K756" i="72"/>
  <c r="L756" i="72" s="1"/>
  <c r="CM701" i="72"/>
  <c r="CI701" i="72"/>
  <c r="CJ701" i="72"/>
  <c r="CK702" i="72" s="1"/>
  <c r="CL703" i="72" s="1"/>
  <c r="CS700" i="72"/>
  <c r="CR701" i="72"/>
  <c r="AQ646" i="72"/>
  <c r="AM646" i="72"/>
  <c r="AI646" i="72"/>
  <c r="AY359" i="72"/>
  <c r="BI356" i="72"/>
  <c r="BJ356" i="72" s="1"/>
  <c r="BE356" i="72"/>
  <c r="BB356" i="72"/>
  <c r="BC356" i="72" s="1"/>
  <c r="BF356" i="72"/>
  <c r="AT617" i="72"/>
  <c r="AR618" i="72"/>
  <c r="AF618" i="72"/>
  <c r="T619" i="72"/>
  <c r="AS619" i="72" s="1"/>
  <c r="AS618" i="72"/>
  <c r="AJ617" i="72"/>
  <c r="B647" i="72"/>
  <c r="AV647" i="72" s="1"/>
  <c r="AE646" i="72"/>
  <c r="C646" i="72"/>
  <c r="F646" i="72"/>
  <c r="I646" i="72"/>
  <c r="L646" i="72"/>
  <c r="S620" i="72"/>
  <c r="Y619" i="72"/>
  <c r="X618" i="72"/>
  <c r="AB618" i="72"/>
  <c r="AC618" i="72"/>
  <c r="Z618" i="72"/>
  <c r="AA618" i="72"/>
  <c r="U618" i="72"/>
  <c r="V618" i="72" s="1"/>
  <c r="P619" i="72"/>
  <c r="Q619" i="72"/>
  <c r="R620" i="72" s="1"/>
  <c r="AA619" i="82" l="1"/>
  <c r="AF619" i="82"/>
  <c r="AG619" i="82" s="1"/>
  <c r="Q620" i="82"/>
  <c r="R621" i="82" s="1"/>
  <c r="P620" i="82"/>
  <c r="U619" i="82"/>
  <c r="V619" i="82" s="1"/>
  <c r="X619" i="82"/>
  <c r="AB619" i="82"/>
  <c r="AR619" i="82"/>
  <c r="AC619" i="82"/>
  <c r="Z619" i="82"/>
  <c r="AN618" i="82"/>
  <c r="AO618" i="82" s="1"/>
  <c r="AW618" i="82"/>
  <c r="AX618" i="82" s="1"/>
  <c r="AT618" i="82"/>
  <c r="AJ618" i="82"/>
  <c r="AK618" i="82" s="1"/>
  <c r="AS619" i="82"/>
  <c r="T620" i="82"/>
  <c r="Y620" i="82"/>
  <c r="S621" i="82"/>
  <c r="CU700" i="82"/>
  <c r="CV700" i="82" s="1"/>
  <c r="EO700" i="82"/>
  <c r="EG700" i="82"/>
  <c r="EK700" i="82"/>
  <c r="DW700" i="82"/>
  <c r="EC700" i="82"/>
  <c r="CY702" i="82"/>
  <c r="AU703" i="82"/>
  <c r="AS702" i="82"/>
  <c r="AT703" i="82" s="1"/>
  <c r="CX701" i="82"/>
  <c r="AR702" i="82"/>
  <c r="ED701" i="82"/>
  <c r="DH701" i="82"/>
  <c r="CI702" i="82"/>
  <c r="DJ701" i="82"/>
  <c r="DI701" i="82"/>
  <c r="DL701" i="82"/>
  <c r="CS701" i="82"/>
  <c r="DK701" i="82"/>
  <c r="CJ702" i="82"/>
  <c r="CK703" i="82" s="1"/>
  <c r="CL704" i="82" s="1"/>
  <c r="CM702" i="82"/>
  <c r="AV702" i="82"/>
  <c r="EB701" i="82"/>
  <c r="DS700" i="82"/>
  <c r="DT700" i="82" s="1"/>
  <c r="DO700" i="82"/>
  <c r="DP700" i="82" s="1"/>
  <c r="CR702" i="82"/>
  <c r="CO702" i="82"/>
  <c r="CP703" i="82" s="1"/>
  <c r="DF701" i="82"/>
  <c r="CN702" i="82"/>
  <c r="CQ703" i="82"/>
  <c r="DG702" i="82"/>
  <c r="AN702" i="82"/>
  <c r="AO703" i="82" s="1"/>
  <c r="AP704" i="82" s="1"/>
  <c r="EA701" i="82"/>
  <c r="DD701" i="82"/>
  <c r="DA701" i="82"/>
  <c r="AW701" i="82"/>
  <c r="CZ701" i="82"/>
  <c r="AM702" i="82"/>
  <c r="DB701" i="82"/>
  <c r="AQ702" i="82"/>
  <c r="DC701" i="82"/>
  <c r="AN618" i="72"/>
  <c r="AW618" i="72"/>
  <c r="BL356" i="72"/>
  <c r="CQ703" i="72"/>
  <c r="DG702" i="72"/>
  <c r="DF701" i="72"/>
  <c r="DH701" i="72"/>
  <c r="DJ701" i="72"/>
  <c r="DK701" i="72"/>
  <c r="DL701" i="72"/>
  <c r="DI701" i="72"/>
  <c r="N646" i="72"/>
  <c r="U757" i="72"/>
  <c r="V757" i="72" s="1"/>
  <c r="BQ757" i="72"/>
  <c r="BR757" i="72" s="1"/>
  <c r="J646" i="72"/>
  <c r="BL757" i="72"/>
  <c r="BM757" i="72" s="1"/>
  <c r="P757" i="72"/>
  <c r="Q757" i="72" s="1"/>
  <c r="H646" i="72"/>
  <c r="BG757" i="72"/>
  <c r="BH757" i="72" s="1"/>
  <c r="K757" i="72"/>
  <c r="L757" i="72" s="1"/>
  <c r="E646" i="72"/>
  <c r="BB757" i="72"/>
  <c r="BC757" i="72" s="1"/>
  <c r="F757" i="72"/>
  <c r="G757" i="72" s="1"/>
  <c r="CR702" i="72"/>
  <c r="CN702" i="72"/>
  <c r="CO702" i="72"/>
  <c r="CP703" i="72" s="1"/>
  <c r="CJ702" i="72"/>
  <c r="CK703" i="72" s="1"/>
  <c r="CL704" i="72" s="1"/>
  <c r="CM702" i="72"/>
  <c r="CI702" i="72"/>
  <c r="CS701" i="72"/>
  <c r="AM647" i="72"/>
  <c r="AQ647" i="72"/>
  <c r="AI647" i="72"/>
  <c r="AY364" i="72"/>
  <c r="BB359" i="72"/>
  <c r="BC359" i="72" s="1"/>
  <c r="BE359" i="72"/>
  <c r="BF359" i="72"/>
  <c r="AJ618" i="72"/>
  <c r="AR619" i="72"/>
  <c r="AF619" i="72"/>
  <c r="AT618" i="72"/>
  <c r="B648" i="72"/>
  <c r="AV648" i="72" s="1"/>
  <c r="AE647" i="72"/>
  <c r="F647" i="72"/>
  <c r="C647" i="72"/>
  <c r="L647" i="72"/>
  <c r="I647" i="72"/>
  <c r="S621" i="72"/>
  <c r="Y620" i="72"/>
  <c r="X619" i="72"/>
  <c r="AB619" i="72"/>
  <c r="AC619" i="72"/>
  <c r="Z619" i="72"/>
  <c r="AA619" i="72"/>
  <c r="P620" i="72"/>
  <c r="Q620" i="72"/>
  <c r="R621" i="72" s="1"/>
  <c r="U619" i="72"/>
  <c r="V619" i="72" s="1"/>
  <c r="T620" i="72"/>
  <c r="AS620" i="72" s="1"/>
  <c r="AS620" i="82" l="1"/>
  <c r="T621" i="82"/>
  <c r="AJ619" i="82"/>
  <c r="AK619" i="82" s="1"/>
  <c r="S622" i="82"/>
  <c r="Y621" i="82"/>
  <c r="AW619" i="82"/>
  <c r="AX619" i="82" s="1"/>
  <c r="AN619" i="82"/>
  <c r="AO619" i="82" s="1"/>
  <c r="AT619" i="82"/>
  <c r="AF620" i="82"/>
  <c r="AG620" i="82" s="1"/>
  <c r="AR620" i="82"/>
  <c r="Q621" i="82"/>
  <c r="R622" i="82" s="1"/>
  <c r="P621" i="82"/>
  <c r="AB620" i="82"/>
  <c r="AA620" i="82"/>
  <c r="X620" i="82"/>
  <c r="Z620" i="82"/>
  <c r="U620" i="82"/>
  <c r="V620" i="82" s="1"/>
  <c r="AC620" i="82"/>
  <c r="EG701" i="82"/>
  <c r="DW701" i="82"/>
  <c r="EC701" i="82"/>
  <c r="EK701" i="82"/>
  <c r="EO701" i="82"/>
  <c r="AS703" i="82"/>
  <c r="AT704" i="82" s="1"/>
  <c r="AR703" i="82"/>
  <c r="ED702" i="82"/>
  <c r="CX702" i="82"/>
  <c r="CU701" i="82"/>
  <c r="CV701" i="82" s="1"/>
  <c r="DS701" i="82"/>
  <c r="DT701" i="82" s="1"/>
  <c r="DO701" i="82"/>
  <c r="DP701" i="82" s="1"/>
  <c r="DF702" i="82"/>
  <c r="CO703" i="82"/>
  <c r="CP704" i="82" s="1"/>
  <c r="CN703" i="82"/>
  <c r="AU704" i="82"/>
  <c r="CY703" i="82"/>
  <c r="DG703" i="82"/>
  <c r="CQ704" i="82"/>
  <c r="DD702" i="82"/>
  <c r="AN703" i="82"/>
  <c r="AO704" i="82" s="1"/>
  <c r="AP705" i="82" s="1"/>
  <c r="CZ702" i="82"/>
  <c r="AQ703" i="82"/>
  <c r="DC702" i="82"/>
  <c r="DB702" i="82"/>
  <c r="AW702" i="82"/>
  <c r="AM703" i="82"/>
  <c r="EA702" i="82"/>
  <c r="DA702" i="82"/>
  <c r="CR703" i="82"/>
  <c r="EB702" i="82"/>
  <c r="AV703" i="82"/>
  <c r="CI703" i="82"/>
  <c r="DJ702" i="82"/>
  <c r="CJ703" i="82"/>
  <c r="CK704" i="82" s="1"/>
  <c r="CL705" i="82" s="1"/>
  <c r="CS702" i="82"/>
  <c r="DK702" i="82"/>
  <c r="DH702" i="82"/>
  <c r="CM703" i="82"/>
  <c r="DL702" i="82"/>
  <c r="DI702" i="82"/>
  <c r="AN619" i="72"/>
  <c r="AW619" i="72"/>
  <c r="CQ704" i="72"/>
  <c r="DG703" i="72"/>
  <c r="DF702" i="72"/>
  <c r="DJ702" i="72"/>
  <c r="DH702" i="72"/>
  <c r="DI702" i="72"/>
  <c r="DK702" i="72"/>
  <c r="DL702" i="72"/>
  <c r="CN703" i="72"/>
  <c r="CO703" i="72"/>
  <c r="CP704" i="72" s="1"/>
  <c r="J647" i="72"/>
  <c r="BL758" i="72"/>
  <c r="BM758" i="72" s="1"/>
  <c r="P758" i="72"/>
  <c r="Q758" i="72" s="1"/>
  <c r="CR703" i="72"/>
  <c r="N647" i="72"/>
  <c r="U758" i="72"/>
  <c r="V758" i="72" s="1"/>
  <c r="BQ758" i="72"/>
  <c r="BR758" i="72" s="1"/>
  <c r="E647" i="72"/>
  <c r="BB758" i="72"/>
  <c r="BC758" i="72" s="1"/>
  <c r="F758" i="72"/>
  <c r="G758" i="72" s="1"/>
  <c r="CM703" i="72"/>
  <c r="CS702" i="72"/>
  <c r="CI703" i="72"/>
  <c r="CJ703" i="72"/>
  <c r="CK704" i="72" s="1"/>
  <c r="CL705" i="72" s="1"/>
  <c r="H647" i="72"/>
  <c r="BG758" i="72"/>
  <c r="BH758" i="72" s="1"/>
  <c r="K758" i="72"/>
  <c r="L758" i="72" s="1"/>
  <c r="AY367" i="72"/>
  <c r="BI364" i="72"/>
  <c r="BJ364" i="72" s="1"/>
  <c r="BE364" i="72"/>
  <c r="BF364" i="72"/>
  <c r="BB364" i="72"/>
  <c r="BC364" i="72" s="1"/>
  <c r="AM648" i="72"/>
  <c r="AQ648" i="72"/>
  <c r="AI648" i="72"/>
  <c r="AJ619" i="72"/>
  <c r="AF620" i="72"/>
  <c r="AR620" i="72"/>
  <c r="AT619" i="72"/>
  <c r="B649" i="72"/>
  <c r="AV649" i="72" s="1"/>
  <c r="AE648" i="72"/>
  <c r="C648" i="72"/>
  <c r="F648" i="72"/>
  <c r="L648" i="72"/>
  <c r="I648" i="72"/>
  <c r="X620" i="72"/>
  <c r="AB620" i="72"/>
  <c r="AC620" i="72"/>
  <c r="Z620" i="72"/>
  <c r="AA620" i="72"/>
  <c r="S622" i="72"/>
  <c r="Y621" i="72"/>
  <c r="T621" i="72"/>
  <c r="AS621" i="72" s="1"/>
  <c r="Q621" i="72"/>
  <c r="R622" i="72" s="1"/>
  <c r="U620" i="72"/>
  <c r="V620" i="72" s="1"/>
  <c r="P621" i="72"/>
  <c r="AJ620" i="82" l="1"/>
  <c r="AK620" i="82" s="1"/>
  <c r="P622" i="82"/>
  <c r="Z621" i="82"/>
  <c r="Q622" i="82"/>
  <c r="R623" i="82" s="1"/>
  <c r="AF621" i="82"/>
  <c r="AG621" i="82" s="1"/>
  <c r="AR621" i="82"/>
  <c r="AC621" i="82"/>
  <c r="U621" i="82"/>
  <c r="V621" i="82" s="1"/>
  <c r="AB621" i="82"/>
  <c r="X621" i="82"/>
  <c r="AA621" i="82"/>
  <c r="Y622" i="82"/>
  <c r="S623" i="82"/>
  <c r="AW620" i="82"/>
  <c r="AX620" i="82" s="1"/>
  <c r="AT620" i="82"/>
  <c r="AN620" i="82"/>
  <c r="AO620" i="82" s="1"/>
  <c r="AS621" i="82"/>
  <c r="T622" i="82"/>
  <c r="CU702" i="82"/>
  <c r="CV702" i="82" s="1"/>
  <c r="EB703" i="82"/>
  <c r="AV704" i="82"/>
  <c r="DG704" i="82"/>
  <c r="CQ705" i="82"/>
  <c r="ED703" i="82"/>
  <c r="AR704" i="82"/>
  <c r="AS704" i="82"/>
  <c r="AT705" i="82" s="1"/>
  <c r="CX703" i="82"/>
  <c r="CR704" i="82"/>
  <c r="AU705" i="82"/>
  <c r="CY704" i="82"/>
  <c r="EO702" i="82"/>
  <c r="EC702" i="82"/>
  <c r="DW702" i="82"/>
  <c r="EG702" i="82"/>
  <c r="EK702" i="82"/>
  <c r="DJ703" i="82"/>
  <c r="CI704" i="82"/>
  <c r="CS703" i="82"/>
  <c r="DH703" i="82"/>
  <c r="CJ704" i="82"/>
  <c r="CK705" i="82" s="1"/>
  <c r="CL706" i="82" s="1"/>
  <c r="DI703" i="82"/>
  <c r="DK703" i="82"/>
  <c r="CM704" i="82"/>
  <c r="DL703" i="82"/>
  <c r="DA703" i="82"/>
  <c r="DC703" i="82"/>
  <c r="AW703" i="82"/>
  <c r="AQ704" i="82"/>
  <c r="AN704" i="82"/>
  <c r="AO705" i="82" s="1"/>
  <c r="AP706" i="82" s="1"/>
  <c r="CZ703" i="82"/>
  <c r="EA703" i="82"/>
  <c r="DD703" i="82"/>
  <c r="DB703" i="82"/>
  <c r="AM704" i="82"/>
  <c r="CN704" i="82"/>
  <c r="DF703" i="82"/>
  <c r="CO704" i="82"/>
  <c r="CP705" i="82" s="1"/>
  <c r="DO702" i="82"/>
  <c r="DP702" i="82" s="1"/>
  <c r="DS702" i="82"/>
  <c r="DT702" i="82" s="1"/>
  <c r="AN620" i="72"/>
  <c r="AW620" i="72"/>
  <c r="BL364" i="72"/>
  <c r="CQ705" i="72"/>
  <c r="DG704" i="72"/>
  <c r="DF703" i="72"/>
  <c r="DJ703" i="72"/>
  <c r="DH703" i="72"/>
  <c r="DK703" i="72"/>
  <c r="DL703" i="72"/>
  <c r="DI703" i="72"/>
  <c r="CI704" i="72"/>
  <c r="CS703" i="72"/>
  <c r="CJ704" i="72"/>
  <c r="CK705" i="72" s="1"/>
  <c r="CL706" i="72" s="1"/>
  <c r="CM704" i="72"/>
  <c r="CR704" i="72"/>
  <c r="N648" i="72"/>
  <c r="BQ759" i="72"/>
  <c r="BR759" i="72" s="1"/>
  <c r="U759" i="72"/>
  <c r="V759" i="72" s="1"/>
  <c r="J648" i="72"/>
  <c r="BL759" i="72"/>
  <c r="BM759" i="72" s="1"/>
  <c r="P759" i="72"/>
  <c r="Q759" i="72" s="1"/>
  <c r="H648" i="72"/>
  <c r="BG759" i="72"/>
  <c r="BH759" i="72" s="1"/>
  <c r="K759" i="72"/>
  <c r="L759" i="72" s="1"/>
  <c r="E648" i="72"/>
  <c r="BB759" i="72"/>
  <c r="BC759" i="72" s="1"/>
  <c r="F759" i="72"/>
  <c r="G759" i="72" s="1"/>
  <c r="CN704" i="72"/>
  <c r="CO704" i="72"/>
  <c r="CP705" i="72" s="1"/>
  <c r="AM649" i="72"/>
  <c r="AQ649" i="72"/>
  <c r="AI649" i="72"/>
  <c r="AY372" i="72"/>
  <c r="BE367" i="72"/>
  <c r="BF367" i="72"/>
  <c r="BB367" i="72"/>
  <c r="BC367" i="72" s="1"/>
  <c r="AJ620" i="72"/>
  <c r="AR621" i="72"/>
  <c r="AF621" i="72"/>
  <c r="AT620" i="72"/>
  <c r="B650" i="72"/>
  <c r="AV650" i="72" s="1"/>
  <c r="AE649" i="72"/>
  <c r="C649" i="72"/>
  <c r="F649" i="72"/>
  <c r="I649" i="72"/>
  <c r="L649" i="72"/>
  <c r="S623" i="72"/>
  <c r="Y622" i="72"/>
  <c r="AB621" i="72"/>
  <c r="X621" i="72"/>
  <c r="AC621" i="72"/>
  <c r="Z621" i="72"/>
  <c r="AA621" i="72"/>
  <c r="P622" i="72"/>
  <c r="U621" i="72"/>
  <c r="V621" i="72" s="1"/>
  <c r="Q622" i="72"/>
  <c r="R623" i="72" s="1"/>
  <c r="T622" i="72"/>
  <c r="AW621" i="82" l="1"/>
  <c r="AX621" i="82" s="1"/>
  <c r="AT621" i="82"/>
  <c r="AN621" i="82"/>
  <c r="AO621" i="82" s="1"/>
  <c r="T623" i="82"/>
  <c r="AS622" i="82"/>
  <c r="AJ621" i="82"/>
  <c r="AK621" i="82" s="1"/>
  <c r="AF622" i="82"/>
  <c r="AG622" i="82" s="1"/>
  <c r="AB622" i="82"/>
  <c r="P623" i="82"/>
  <c r="AC622" i="82"/>
  <c r="AR622" i="82"/>
  <c r="Z622" i="82"/>
  <c r="Q623" i="82"/>
  <c r="R624" i="82" s="1"/>
  <c r="X622" i="82"/>
  <c r="U622" i="82"/>
  <c r="V622" i="82" s="1"/>
  <c r="AA622" i="82"/>
  <c r="S624" i="82"/>
  <c r="Y623" i="82"/>
  <c r="CU703" i="82"/>
  <c r="CV703" i="82" s="1"/>
  <c r="AM705" i="82"/>
  <c r="EA704" i="82"/>
  <c r="DD704" i="82"/>
  <c r="AN705" i="82"/>
  <c r="AO706" i="82" s="1"/>
  <c r="AP707" i="82" s="1"/>
  <c r="DC704" i="82"/>
  <c r="DB704" i="82"/>
  <c r="DA704" i="82"/>
  <c r="AQ705" i="82"/>
  <c r="AW704" i="82"/>
  <c r="CZ704" i="82"/>
  <c r="DO703" i="82"/>
  <c r="DP703" i="82" s="1"/>
  <c r="DS703" i="82"/>
  <c r="DT703" i="82" s="1"/>
  <c r="EO703" i="82"/>
  <c r="EK703" i="82"/>
  <c r="EC703" i="82"/>
  <c r="EG703" i="82"/>
  <c r="DW703" i="82"/>
  <c r="AU706" i="82"/>
  <c r="CY705" i="82"/>
  <c r="DH704" i="82"/>
  <c r="CM705" i="82"/>
  <c r="CS704" i="82"/>
  <c r="DJ704" i="82"/>
  <c r="CJ705" i="82"/>
  <c r="CK706" i="82" s="1"/>
  <c r="CL707" i="82" s="1"/>
  <c r="CI705" i="82"/>
  <c r="DL704" i="82"/>
  <c r="DK704" i="82"/>
  <c r="DI704" i="82"/>
  <c r="CX704" i="82"/>
  <c r="ED704" i="82"/>
  <c r="AS705" i="82"/>
  <c r="AT706" i="82" s="1"/>
  <c r="AR705" i="82"/>
  <c r="DG705" i="82"/>
  <c r="CQ706" i="82"/>
  <c r="AV705" i="82"/>
  <c r="EB704" i="82"/>
  <c r="DF704" i="82"/>
  <c r="CO705" i="82"/>
  <c r="CP706" i="82" s="1"/>
  <c r="CN705" i="82"/>
  <c r="CR705" i="82"/>
  <c r="AW621" i="72"/>
  <c r="AN621" i="72"/>
  <c r="DF704" i="72"/>
  <c r="CQ706" i="72"/>
  <c r="DG705" i="72"/>
  <c r="DH704" i="72"/>
  <c r="DK704" i="72"/>
  <c r="DJ704" i="72"/>
  <c r="DL704" i="72"/>
  <c r="DI704" i="72"/>
  <c r="CR705" i="72"/>
  <c r="N649" i="72"/>
  <c r="BQ760" i="72"/>
  <c r="BR760" i="72" s="1"/>
  <c r="U760" i="72"/>
  <c r="V760" i="72" s="1"/>
  <c r="J649" i="72"/>
  <c r="BL760" i="72"/>
  <c r="BM760" i="72" s="1"/>
  <c r="P760" i="72"/>
  <c r="Q760" i="72" s="1"/>
  <c r="H649" i="72"/>
  <c r="BG760" i="72"/>
  <c r="BH760" i="72" s="1"/>
  <c r="K760" i="72"/>
  <c r="L760" i="72" s="1"/>
  <c r="CO705" i="72"/>
  <c r="CP706" i="72" s="1"/>
  <c r="CN705" i="72"/>
  <c r="E649" i="72"/>
  <c r="BB760" i="72"/>
  <c r="BC760" i="72" s="1"/>
  <c r="F760" i="72"/>
  <c r="G760" i="72" s="1"/>
  <c r="CJ705" i="72"/>
  <c r="CK706" i="72" s="1"/>
  <c r="CL707" i="72" s="1"/>
  <c r="CM705" i="72"/>
  <c r="CS704" i="72"/>
  <c r="CI705" i="72"/>
  <c r="AM650" i="72"/>
  <c r="AQ650" i="72"/>
  <c r="AI650" i="72"/>
  <c r="BB372" i="72"/>
  <c r="BC372" i="72" s="1"/>
  <c r="BF372" i="72"/>
  <c r="BI372" i="72"/>
  <c r="BJ372" i="72" s="1"/>
  <c r="BE372" i="72"/>
  <c r="AY375" i="72"/>
  <c r="AT621" i="72"/>
  <c r="AR622" i="72"/>
  <c r="AF622" i="72"/>
  <c r="T623" i="72"/>
  <c r="AS623" i="72" s="1"/>
  <c r="AS622" i="72"/>
  <c r="AJ621" i="72"/>
  <c r="B651" i="72"/>
  <c r="AV651" i="72" s="1"/>
  <c r="AE650" i="72"/>
  <c r="F650" i="72"/>
  <c r="C650" i="72"/>
  <c r="I650" i="72"/>
  <c r="L650" i="72"/>
  <c r="S624" i="72"/>
  <c r="Y623" i="72"/>
  <c r="X622" i="72"/>
  <c r="AB622" i="72"/>
  <c r="AC622" i="72"/>
  <c r="Z622" i="72"/>
  <c r="AA622" i="72"/>
  <c r="Q623" i="72"/>
  <c r="R624" i="72" s="1"/>
  <c r="P623" i="72"/>
  <c r="U622" i="72"/>
  <c r="V622" i="72" s="1"/>
  <c r="AJ622" i="82" l="1"/>
  <c r="AK622" i="82" s="1"/>
  <c r="S625" i="82"/>
  <c r="Y624" i="82"/>
  <c r="T624" i="82"/>
  <c r="AS623" i="82"/>
  <c r="AT622" i="82"/>
  <c r="AW622" i="82"/>
  <c r="AX622" i="82" s="1"/>
  <c r="AN622" i="82"/>
  <c r="AO622" i="82" s="1"/>
  <c r="AR623" i="82"/>
  <c r="AF623" i="82"/>
  <c r="AG623" i="82" s="1"/>
  <c r="AB623" i="82"/>
  <c r="AA623" i="82"/>
  <c r="P624" i="82"/>
  <c r="Q624" i="82"/>
  <c r="R625" i="82" s="1"/>
  <c r="Z623" i="82"/>
  <c r="AC623" i="82"/>
  <c r="U623" i="82"/>
  <c r="V623" i="82" s="1"/>
  <c r="X623" i="82"/>
  <c r="CU704" i="82"/>
  <c r="CV704" i="82" s="1"/>
  <c r="CR706" i="82"/>
  <c r="AV706" i="82"/>
  <c r="EB705" i="82"/>
  <c r="AR706" i="82"/>
  <c r="CX705" i="82"/>
  <c r="ED705" i="82"/>
  <c r="AS706" i="82"/>
  <c r="AT707" i="82" s="1"/>
  <c r="EK704" i="82"/>
  <c r="EG704" i="82"/>
  <c r="DW704" i="82"/>
  <c r="EC704" i="82"/>
  <c r="EO704" i="82"/>
  <c r="AU707" i="82"/>
  <c r="CY706" i="82"/>
  <c r="DL705" i="82"/>
  <c r="CS705" i="82"/>
  <c r="CM706" i="82"/>
  <c r="DJ705" i="82"/>
  <c r="CJ706" i="82"/>
  <c r="CK707" i="82" s="1"/>
  <c r="CL708" i="82" s="1"/>
  <c r="DI705" i="82"/>
  <c r="DK705" i="82"/>
  <c r="CI706" i="82"/>
  <c r="DH705" i="82"/>
  <c r="DS704" i="82"/>
  <c r="DT704" i="82" s="1"/>
  <c r="DO704" i="82"/>
  <c r="DP704" i="82" s="1"/>
  <c r="CN706" i="82"/>
  <c r="CO706" i="82"/>
  <c r="CP707" i="82" s="1"/>
  <c r="DF705" i="82"/>
  <c r="DG706" i="82"/>
  <c r="CQ707" i="82"/>
  <c r="DC705" i="82"/>
  <c r="AQ706" i="82"/>
  <c r="DB705" i="82"/>
  <c r="AN706" i="82"/>
  <c r="AO707" i="82" s="1"/>
  <c r="AP708" i="82" s="1"/>
  <c r="DD705" i="82"/>
  <c r="AM706" i="82"/>
  <c r="DA705" i="82"/>
  <c r="CZ705" i="82"/>
  <c r="EA705" i="82"/>
  <c r="AW705" i="82"/>
  <c r="AW622" i="72"/>
  <c r="AN622" i="72"/>
  <c r="BL372" i="72"/>
  <c r="DF705" i="72"/>
  <c r="DJ705" i="72"/>
  <c r="DK705" i="72"/>
  <c r="DI705" i="72"/>
  <c r="DL705" i="72"/>
  <c r="DH705" i="72"/>
  <c r="CQ707" i="72"/>
  <c r="DG706" i="72"/>
  <c r="CR706" i="72"/>
  <c r="N650" i="72"/>
  <c r="BQ761" i="72"/>
  <c r="BR761" i="72" s="1"/>
  <c r="U761" i="72"/>
  <c r="V761" i="72" s="1"/>
  <c r="J650" i="72"/>
  <c r="P761" i="72"/>
  <c r="Q761" i="72" s="1"/>
  <c r="BL761" i="72"/>
  <c r="BM761" i="72" s="1"/>
  <c r="H650" i="72"/>
  <c r="BG761" i="72"/>
  <c r="BH761" i="72" s="1"/>
  <c r="K761" i="72"/>
  <c r="L761" i="72" s="1"/>
  <c r="CS705" i="72"/>
  <c r="CJ706" i="72"/>
  <c r="CK707" i="72" s="1"/>
  <c r="CL708" i="72" s="1"/>
  <c r="CI706" i="72"/>
  <c r="CM706" i="72"/>
  <c r="CN706" i="72"/>
  <c r="CO706" i="72"/>
  <c r="CP707" i="72" s="1"/>
  <c r="E650" i="72"/>
  <c r="BB761" i="72"/>
  <c r="BC761" i="72" s="1"/>
  <c r="F761" i="72"/>
  <c r="G761" i="72" s="1"/>
  <c r="BB375" i="72"/>
  <c r="BC375" i="72" s="1"/>
  <c r="BE375" i="72"/>
  <c r="AY380" i="72"/>
  <c r="BF375" i="72"/>
  <c r="AM651" i="72"/>
  <c r="AQ651" i="72"/>
  <c r="AI651" i="72"/>
  <c r="AJ622" i="72"/>
  <c r="AR623" i="72"/>
  <c r="AF623" i="72"/>
  <c r="AT622" i="72"/>
  <c r="B652" i="72"/>
  <c r="AV652" i="72" s="1"/>
  <c r="AE651" i="72"/>
  <c r="F651" i="72"/>
  <c r="C651" i="72"/>
  <c r="L651" i="72"/>
  <c r="I651" i="72"/>
  <c r="S625" i="72"/>
  <c r="Y624" i="72"/>
  <c r="X623" i="72"/>
  <c r="AB623" i="72"/>
  <c r="AC623" i="72"/>
  <c r="AA623" i="72"/>
  <c r="Z623" i="72"/>
  <c r="P624" i="72"/>
  <c r="U623" i="72"/>
  <c r="V623" i="72" s="1"/>
  <c r="Q624" i="72"/>
  <c r="R625" i="72" s="1"/>
  <c r="T624" i="72"/>
  <c r="AS624" i="72" s="1"/>
  <c r="Y625" i="82" l="1"/>
  <c r="S626" i="82"/>
  <c r="AN623" i="82"/>
  <c r="AO623" i="82" s="1"/>
  <c r="AW623" i="82"/>
  <c r="AX623" i="82" s="1"/>
  <c r="AT623" i="82"/>
  <c r="U624" i="82"/>
  <c r="V624" i="82" s="1"/>
  <c r="X624" i="82"/>
  <c r="AA624" i="82"/>
  <c r="Q625" i="82"/>
  <c r="R626" i="82" s="1"/>
  <c r="AF624" i="82"/>
  <c r="AG624" i="82" s="1"/>
  <c r="Z624" i="82"/>
  <c r="AC624" i="82"/>
  <c r="AR624" i="82"/>
  <c r="AB624" i="82"/>
  <c r="P625" i="82"/>
  <c r="AS624" i="82"/>
  <c r="T625" i="82"/>
  <c r="AJ623" i="82"/>
  <c r="AK623" i="82" s="1"/>
  <c r="CM707" i="82"/>
  <c r="DI706" i="82"/>
  <c r="CI707" i="82"/>
  <c r="DH706" i="82"/>
  <c r="DJ706" i="82"/>
  <c r="DK706" i="82"/>
  <c r="CJ707" i="82"/>
  <c r="CK708" i="82" s="1"/>
  <c r="CL709" i="82" s="1"/>
  <c r="DL706" i="82"/>
  <c r="CS706" i="82"/>
  <c r="CY707" i="82"/>
  <c r="AU708" i="82"/>
  <c r="CR707" i="82"/>
  <c r="DS705" i="82"/>
  <c r="DT705" i="82" s="1"/>
  <c r="DO705" i="82"/>
  <c r="DP705" i="82" s="1"/>
  <c r="CX706" i="82"/>
  <c r="AS707" i="82"/>
  <c r="AT708" i="82" s="1"/>
  <c r="ED706" i="82"/>
  <c r="AR707" i="82"/>
  <c r="EG705" i="82"/>
  <c r="DW705" i="82"/>
  <c r="EK705" i="82"/>
  <c r="EO705" i="82"/>
  <c r="EC705" i="82"/>
  <c r="DG707" i="82"/>
  <c r="CQ708" i="82"/>
  <c r="CZ706" i="82"/>
  <c r="AM707" i="82"/>
  <c r="DC706" i="82"/>
  <c r="DA706" i="82"/>
  <c r="EA706" i="82"/>
  <c r="DB706" i="82"/>
  <c r="AN707" i="82"/>
  <c r="AO708" i="82" s="1"/>
  <c r="AP709" i="82" s="1"/>
  <c r="DD706" i="82"/>
  <c r="AQ707" i="82"/>
  <c r="AW706" i="82"/>
  <c r="CN707" i="82"/>
  <c r="DF706" i="82"/>
  <c r="CO707" i="82"/>
  <c r="CP708" i="82" s="1"/>
  <c r="AV707" i="82"/>
  <c r="EB706" i="82"/>
  <c r="CU705" i="82"/>
  <c r="CV705" i="82" s="1"/>
  <c r="AW623" i="72"/>
  <c r="AN623" i="72"/>
  <c r="DF706" i="72"/>
  <c r="DL706" i="72"/>
  <c r="DH706" i="72"/>
  <c r="DJ706" i="72"/>
  <c r="DK706" i="72"/>
  <c r="DI706" i="72"/>
  <c r="CQ708" i="72"/>
  <c r="DG707" i="72"/>
  <c r="CN707" i="72"/>
  <c r="CO707" i="72"/>
  <c r="CP708" i="72" s="1"/>
  <c r="CJ707" i="72"/>
  <c r="CK708" i="72" s="1"/>
  <c r="CL709" i="72" s="1"/>
  <c r="CS706" i="72"/>
  <c r="CM707" i="72"/>
  <c r="CI707" i="72"/>
  <c r="J651" i="72"/>
  <c r="P762" i="72"/>
  <c r="Q762" i="72" s="1"/>
  <c r="BL762" i="72"/>
  <c r="BM762" i="72" s="1"/>
  <c r="CR707" i="72"/>
  <c r="N651" i="72"/>
  <c r="U762" i="72"/>
  <c r="V762" i="72" s="1"/>
  <c r="BQ762" i="72"/>
  <c r="BR762" i="72" s="1"/>
  <c r="E651" i="72"/>
  <c r="F762" i="72"/>
  <c r="G762" i="72" s="1"/>
  <c r="BB762" i="72"/>
  <c r="BC762" i="72" s="1"/>
  <c r="H651" i="72"/>
  <c r="BG762" i="72"/>
  <c r="BH762" i="72" s="1"/>
  <c r="K762" i="72"/>
  <c r="L762" i="72" s="1"/>
  <c r="AQ652" i="72"/>
  <c r="AM652" i="72"/>
  <c r="AI652" i="72"/>
  <c r="AY383" i="72"/>
  <c r="BF380" i="72"/>
  <c r="BB380" i="72"/>
  <c r="BC380" i="72" s="1"/>
  <c r="BE380" i="72"/>
  <c r="BI380" i="72"/>
  <c r="BJ380" i="72" s="1"/>
  <c r="AF624" i="72"/>
  <c r="AR624" i="72"/>
  <c r="AT623" i="72"/>
  <c r="AJ623" i="72"/>
  <c r="B653" i="72"/>
  <c r="AV653" i="72" s="1"/>
  <c r="AE652" i="72"/>
  <c r="C652" i="72"/>
  <c r="F652" i="72"/>
  <c r="L652" i="72"/>
  <c r="I652" i="72"/>
  <c r="AC624" i="72"/>
  <c r="X624" i="72"/>
  <c r="Z624" i="72"/>
  <c r="AA624" i="72"/>
  <c r="AB624" i="72"/>
  <c r="S626" i="72"/>
  <c r="Y625" i="72"/>
  <c r="T625" i="72"/>
  <c r="AS625" i="72" s="1"/>
  <c r="U624" i="72"/>
  <c r="V624" i="72" s="1"/>
  <c r="Q625" i="72"/>
  <c r="R626" i="72" s="1"/>
  <c r="P625" i="72"/>
  <c r="AJ624" i="82" l="1"/>
  <c r="AK624" i="82" s="1"/>
  <c r="AN624" i="82"/>
  <c r="AO624" i="82" s="1"/>
  <c r="AT624" i="82"/>
  <c r="AW624" i="82"/>
  <c r="AX624" i="82" s="1"/>
  <c r="AC625" i="82"/>
  <c r="AF625" i="82"/>
  <c r="AG625" i="82" s="1"/>
  <c r="AB625" i="82"/>
  <c r="AA625" i="82"/>
  <c r="U625" i="82"/>
  <c r="V625" i="82" s="1"/>
  <c r="Q626" i="82"/>
  <c r="R627" i="82" s="1"/>
  <c r="P626" i="82"/>
  <c r="Z625" i="82"/>
  <c r="X625" i="82"/>
  <c r="AR625" i="82"/>
  <c r="AS625" i="82"/>
  <c r="T626" i="82"/>
  <c r="Y626" i="82"/>
  <c r="S627" i="82"/>
  <c r="AV708" i="82"/>
  <c r="EB707" i="82"/>
  <c r="CR708" i="82"/>
  <c r="AS708" i="82"/>
  <c r="AT709" i="82" s="1"/>
  <c r="AR708" i="82"/>
  <c r="ED707" i="82"/>
  <c r="CX707" i="82"/>
  <c r="DG708" i="82"/>
  <c r="CQ709" i="82"/>
  <c r="EC706" i="82"/>
  <c r="DW706" i="82"/>
  <c r="EG706" i="82"/>
  <c r="EO706" i="82"/>
  <c r="EK706" i="82"/>
  <c r="AU709" i="82"/>
  <c r="CY708" i="82"/>
  <c r="CJ708" i="82"/>
  <c r="CK709" i="82" s="1"/>
  <c r="CL710" i="82" s="1"/>
  <c r="CM708" i="82"/>
  <c r="CI708" i="82"/>
  <c r="DK707" i="82"/>
  <c r="DJ707" i="82"/>
  <c r="DL707" i="82"/>
  <c r="DH707" i="82"/>
  <c r="DI707" i="82"/>
  <c r="CS707" i="82"/>
  <c r="DF707" i="82"/>
  <c r="CO708" i="82"/>
  <c r="CP709" i="82" s="1"/>
  <c r="CN708" i="82"/>
  <c r="DS706" i="82"/>
  <c r="DT706" i="82" s="1"/>
  <c r="DO706" i="82"/>
  <c r="DP706" i="82" s="1"/>
  <c r="AW707" i="82"/>
  <c r="AQ708" i="82"/>
  <c r="DC707" i="82"/>
  <c r="CZ707" i="82"/>
  <c r="DB707" i="82"/>
  <c r="DD707" i="82"/>
  <c r="DA707" i="82"/>
  <c r="AM708" i="82"/>
  <c r="EA707" i="82"/>
  <c r="AN708" i="82"/>
  <c r="AO709" i="82" s="1"/>
  <c r="AP710" i="82" s="1"/>
  <c r="CU706" i="82"/>
  <c r="CV706" i="82" s="1"/>
  <c r="AW624" i="72"/>
  <c r="AN624" i="72"/>
  <c r="BL380" i="72"/>
  <c r="DF707" i="72"/>
  <c r="DJ707" i="72"/>
  <c r="DK707" i="72"/>
  <c r="DH707" i="72"/>
  <c r="DL707" i="72"/>
  <c r="DI707" i="72"/>
  <c r="CQ709" i="72"/>
  <c r="DG708" i="72"/>
  <c r="J652" i="72"/>
  <c r="BL763" i="72"/>
  <c r="BM763" i="72" s="1"/>
  <c r="P763" i="72"/>
  <c r="Q763" i="72" s="1"/>
  <c r="N652" i="72"/>
  <c r="BQ763" i="72"/>
  <c r="BR763" i="72" s="1"/>
  <c r="U763" i="72"/>
  <c r="V763" i="72" s="1"/>
  <c r="H652" i="72"/>
  <c r="BG763" i="72"/>
  <c r="BH763" i="72" s="1"/>
  <c r="K763" i="72"/>
  <c r="L763" i="72" s="1"/>
  <c r="E652" i="72"/>
  <c r="BB763" i="72"/>
  <c r="BC763" i="72" s="1"/>
  <c r="F763" i="72"/>
  <c r="G763" i="72" s="1"/>
  <c r="CR708" i="72"/>
  <c r="CS707" i="72"/>
  <c r="CJ708" i="72"/>
  <c r="CK709" i="72" s="1"/>
  <c r="CL710" i="72" s="1"/>
  <c r="CI708" i="72"/>
  <c r="CM708" i="72"/>
  <c r="CN708" i="72"/>
  <c r="CO708" i="72"/>
  <c r="CP709" i="72" s="1"/>
  <c r="AQ653" i="72"/>
  <c r="AM653" i="72"/>
  <c r="AI653" i="72"/>
  <c r="BB383" i="72"/>
  <c r="BC383" i="72" s="1"/>
  <c r="BE383" i="72"/>
  <c r="BF383" i="72"/>
  <c r="AY388" i="72"/>
  <c r="AJ624" i="72"/>
  <c r="AR625" i="72"/>
  <c r="AF625" i="72"/>
  <c r="AT624" i="72"/>
  <c r="B654" i="72"/>
  <c r="AV654" i="72" s="1"/>
  <c r="AE653" i="72"/>
  <c r="F653" i="72"/>
  <c r="C653" i="72"/>
  <c r="I653" i="72"/>
  <c r="L653" i="72"/>
  <c r="AC625" i="72"/>
  <c r="AA625" i="72"/>
  <c r="X625" i="72"/>
  <c r="AB625" i="72"/>
  <c r="Z625" i="72"/>
  <c r="S627" i="72"/>
  <c r="Y626" i="72"/>
  <c r="Q626" i="72"/>
  <c r="R627" i="72" s="1"/>
  <c r="P626" i="72"/>
  <c r="U625" i="72"/>
  <c r="V625" i="72" s="1"/>
  <c r="T626" i="72"/>
  <c r="AS626" i="72" s="1"/>
  <c r="AJ625" i="82" l="1"/>
  <c r="AK625" i="82" s="1"/>
  <c r="AS626" i="82"/>
  <c r="T627" i="82"/>
  <c r="AT625" i="82"/>
  <c r="AW625" i="82"/>
  <c r="AX625" i="82" s="1"/>
  <c r="AN625" i="82"/>
  <c r="AO625" i="82" s="1"/>
  <c r="Z626" i="82"/>
  <c r="AC626" i="82"/>
  <c r="AR626" i="82"/>
  <c r="AA626" i="82"/>
  <c r="X626" i="82"/>
  <c r="U626" i="82"/>
  <c r="V626" i="82" s="1"/>
  <c r="AF626" i="82"/>
  <c r="AG626" i="82" s="1"/>
  <c r="AB626" i="82"/>
  <c r="P627" i="82"/>
  <c r="Q627" i="82"/>
  <c r="R628" i="82" s="1"/>
  <c r="S628" i="82"/>
  <c r="Y627" i="82"/>
  <c r="CQ710" i="82"/>
  <c r="DG709" i="82"/>
  <c r="DK708" i="82"/>
  <c r="DH708" i="82"/>
  <c r="CS708" i="82"/>
  <c r="DL708" i="82"/>
  <c r="DJ708" i="82"/>
  <c r="CM709" i="82"/>
  <c r="CJ709" i="82"/>
  <c r="CK710" i="82" s="1"/>
  <c r="CL711" i="82" s="1"/>
  <c r="CI709" i="82"/>
  <c r="DI708" i="82"/>
  <c r="EB708" i="82"/>
  <c r="AV709" i="82"/>
  <c r="CU707" i="82"/>
  <c r="CV707" i="82" s="1"/>
  <c r="DO707" i="82"/>
  <c r="DP707" i="82" s="1"/>
  <c r="DS707" i="82"/>
  <c r="DT707" i="82" s="1"/>
  <c r="AQ709" i="82"/>
  <c r="DB708" i="82"/>
  <c r="CZ708" i="82"/>
  <c r="AN709" i="82"/>
  <c r="AO710" i="82" s="1"/>
  <c r="AP711" i="82" s="1"/>
  <c r="DA708" i="82"/>
  <c r="EA708" i="82"/>
  <c r="DC708" i="82"/>
  <c r="AM709" i="82"/>
  <c r="DD708" i="82"/>
  <c r="AW708" i="82"/>
  <c r="CX708" i="82"/>
  <c r="AS709" i="82"/>
  <c r="AT710" i="82" s="1"/>
  <c r="AR709" i="82"/>
  <c r="ED708" i="82"/>
  <c r="EG707" i="82"/>
  <c r="DW707" i="82"/>
  <c r="EO707" i="82"/>
  <c r="EC707" i="82"/>
  <c r="EK707" i="82"/>
  <c r="CY709" i="82"/>
  <c r="AU710" i="82"/>
  <c r="CR709" i="82"/>
  <c r="CO709" i="82"/>
  <c r="CP710" i="82" s="1"/>
  <c r="DF708" i="82"/>
  <c r="CN709" i="82"/>
  <c r="AN625" i="72"/>
  <c r="AW625" i="72"/>
  <c r="DF708" i="72"/>
  <c r="CQ710" i="72"/>
  <c r="DG709" i="72"/>
  <c r="DJ708" i="72"/>
  <c r="DK708" i="72"/>
  <c r="DH708" i="72"/>
  <c r="DL708" i="72"/>
  <c r="DI708" i="72"/>
  <c r="CR709" i="72"/>
  <c r="N653" i="72"/>
  <c r="U764" i="72"/>
  <c r="V764" i="72" s="1"/>
  <c r="BQ764" i="72"/>
  <c r="BR764" i="72" s="1"/>
  <c r="J653" i="72"/>
  <c r="BL764" i="72"/>
  <c r="BM764" i="72" s="1"/>
  <c r="P764" i="72"/>
  <c r="Q764" i="72" s="1"/>
  <c r="CO709" i="72"/>
  <c r="CP710" i="72" s="1"/>
  <c r="CN709" i="72"/>
  <c r="E653" i="72"/>
  <c r="BB764" i="72"/>
  <c r="BC764" i="72" s="1"/>
  <c r="F764" i="72"/>
  <c r="G764" i="72" s="1"/>
  <c r="H653" i="72"/>
  <c r="BG764" i="72"/>
  <c r="BH764" i="72" s="1"/>
  <c r="K764" i="72"/>
  <c r="L764" i="72" s="1"/>
  <c r="CJ709" i="72"/>
  <c r="CK710" i="72" s="1"/>
  <c r="CL711" i="72" s="1"/>
  <c r="CM709" i="72"/>
  <c r="CI709" i="72"/>
  <c r="CS708" i="72"/>
  <c r="AQ654" i="72"/>
  <c r="AM654" i="72"/>
  <c r="AI654" i="72"/>
  <c r="BB388" i="72"/>
  <c r="BC388" i="72" s="1"/>
  <c r="BF388" i="72"/>
  <c r="BE388" i="72"/>
  <c r="AY391" i="72"/>
  <c r="BI388" i="72"/>
  <c r="BJ388" i="72" s="1"/>
  <c r="AT625" i="72"/>
  <c r="AF626" i="72"/>
  <c r="AR626" i="72"/>
  <c r="AJ625" i="72"/>
  <c r="B655" i="72"/>
  <c r="AV655" i="72" s="1"/>
  <c r="AE654" i="72"/>
  <c r="C654" i="72"/>
  <c r="F654" i="72"/>
  <c r="L654" i="72"/>
  <c r="I654" i="72"/>
  <c r="X626" i="72"/>
  <c r="AC626" i="72"/>
  <c r="AB626" i="72"/>
  <c r="AA626" i="72"/>
  <c r="Z626" i="72"/>
  <c r="S628" i="72"/>
  <c r="Y627" i="72"/>
  <c r="T627" i="72"/>
  <c r="AS627" i="72" s="1"/>
  <c r="Q627" i="72"/>
  <c r="R628" i="72" s="1"/>
  <c r="U626" i="72"/>
  <c r="V626" i="72" s="1"/>
  <c r="P627" i="72"/>
  <c r="AW626" i="82" l="1"/>
  <c r="AX626" i="82" s="1"/>
  <c r="AT626" i="82"/>
  <c r="AN626" i="82"/>
  <c r="AO626" i="82" s="1"/>
  <c r="AC627" i="82"/>
  <c r="AB627" i="82"/>
  <c r="Z627" i="82"/>
  <c r="AA627" i="82"/>
  <c r="AF627" i="82"/>
  <c r="AG627" i="82" s="1"/>
  <c r="U627" i="82"/>
  <c r="V627" i="82" s="1"/>
  <c r="Q628" i="82"/>
  <c r="R629" i="82" s="1"/>
  <c r="AR627" i="82"/>
  <c r="X627" i="82"/>
  <c r="P628" i="82"/>
  <c r="AJ626" i="82"/>
  <c r="AK626" i="82" s="1"/>
  <c r="AS627" i="82"/>
  <c r="T628" i="82"/>
  <c r="Y628" i="82"/>
  <c r="S629" i="82"/>
  <c r="AU711" i="82"/>
  <c r="CY710" i="82"/>
  <c r="DS708" i="82"/>
  <c r="DT708" i="82" s="1"/>
  <c r="DO708" i="82"/>
  <c r="DP708" i="82" s="1"/>
  <c r="EC708" i="82"/>
  <c r="EO708" i="82"/>
  <c r="EK708" i="82"/>
  <c r="DW708" i="82"/>
  <c r="EG708" i="82"/>
  <c r="CO710" i="82"/>
  <c r="CP711" i="82" s="1"/>
  <c r="CN710" i="82"/>
  <c r="DF709" i="82"/>
  <c r="CU708" i="82"/>
  <c r="CV708" i="82" s="1"/>
  <c r="CQ711" i="82"/>
  <c r="DG710" i="82"/>
  <c r="CR710" i="82"/>
  <c r="DH709" i="82"/>
  <c r="CJ710" i="82"/>
  <c r="CK711" i="82" s="1"/>
  <c r="CL712" i="82" s="1"/>
  <c r="DK709" i="82"/>
  <c r="CI710" i="82"/>
  <c r="DL709" i="82"/>
  <c r="CS709" i="82"/>
  <c r="CM710" i="82"/>
  <c r="DJ709" i="82"/>
  <c r="DI709" i="82"/>
  <c r="AN710" i="82"/>
  <c r="AO711" i="82" s="1"/>
  <c r="AP712" i="82" s="1"/>
  <c r="DA709" i="82"/>
  <c r="EA709" i="82"/>
  <c r="DD709" i="82"/>
  <c r="AQ710" i="82"/>
  <c r="DC709" i="82"/>
  <c r="DB709" i="82"/>
  <c r="AM710" i="82"/>
  <c r="CZ709" i="82"/>
  <c r="AW709" i="82"/>
  <c r="AR710" i="82"/>
  <c r="ED709" i="82"/>
  <c r="CX709" i="82"/>
  <c r="AS710" i="82"/>
  <c r="AT711" i="82" s="1"/>
  <c r="AV710" i="82"/>
  <c r="EB709" i="82"/>
  <c r="AN626" i="72"/>
  <c r="AW626" i="72"/>
  <c r="BL388" i="72"/>
  <c r="DF709" i="72"/>
  <c r="DH709" i="72"/>
  <c r="DJ709" i="72"/>
  <c r="DI709" i="72"/>
  <c r="DK709" i="72"/>
  <c r="DL709" i="72"/>
  <c r="CQ711" i="72"/>
  <c r="DG710" i="72"/>
  <c r="J654" i="72"/>
  <c r="BL765" i="72"/>
  <c r="BM765" i="72" s="1"/>
  <c r="P765" i="72"/>
  <c r="Q765" i="72" s="1"/>
  <c r="N654" i="72"/>
  <c r="BQ765" i="72"/>
  <c r="BR765" i="72" s="1"/>
  <c r="U765" i="72"/>
  <c r="V765" i="72" s="1"/>
  <c r="H654" i="72"/>
  <c r="BG765" i="72"/>
  <c r="BH765" i="72" s="1"/>
  <c r="K765" i="72"/>
  <c r="L765" i="72" s="1"/>
  <c r="CM710" i="72"/>
  <c r="CJ710" i="72"/>
  <c r="CK711" i="72" s="1"/>
  <c r="CL712" i="72" s="1"/>
  <c r="CI710" i="72"/>
  <c r="CS709" i="72"/>
  <c r="E654" i="72"/>
  <c r="BB765" i="72"/>
  <c r="BC765" i="72" s="1"/>
  <c r="F765" i="72"/>
  <c r="G765" i="72" s="1"/>
  <c r="CN710" i="72"/>
  <c r="CO710" i="72"/>
  <c r="CP711" i="72" s="1"/>
  <c r="CR710" i="72"/>
  <c r="AM655" i="72"/>
  <c r="AQ655" i="72"/>
  <c r="AI655" i="72"/>
  <c r="AY396" i="72"/>
  <c r="BI391" i="72"/>
  <c r="BJ391" i="72" s="1"/>
  <c r="BE391" i="72"/>
  <c r="BB391" i="72"/>
  <c r="BC391" i="72" s="1"/>
  <c r="BF391" i="72"/>
  <c r="AT626" i="72"/>
  <c r="AR627" i="72"/>
  <c r="AF627" i="72"/>
  <c r="AJ626" i="72"/>
  <c r="AE655" i="72"/>
  <c r="F655" i="72"/>
  <c r="C655" i="72"/>
  <c r="L655" i="72"/>
  <c r="I655" i="72"/>
  <c r="X627" i="72"/>
  <c r="AC627" i="72"/>
  <c r="Z627" i="72"/>
  <c r="AA627" i="72"/>
  <c r="AB627" i="72"/>
  <c r="S629" i="72"/>
  <c r="Y628" i="72"/>
  <c r="P628" i="72"/>
  <c r="U627" i="72"/>
  <c r="V627" i="72" s="1"/>
  <c r="Q628" i="72"/>
  <c r="R629" i="72" s="1"/>
  <c r="T628" i="72"/>
  <c r="AS628" i="72" s="1"/>
  <c r="B39" i="72" s="1"/>
  <c r="K17" i="1" s="1"/>
  <c r="AT627" i="82" l="1"/>
  <c r="AW627" i="82"/>
  <c r="AX627" i="82" s="1"/>
  <c r="AN627" i="82"/>
  <c r="AO627" i="82" s="1"/>
  <c r="AB628" i="82"/>
  <c r="P629" i="82"/>
  <c r="Q629" i="82"/>
  <c r="R630" i="82" s="1"/>
  <c r="X628" i="82"/>
  <c r="U628" i="82"/>
  <c r="V628" i="82" s="1"/>
  <c r="AC628" i="82"/>
  <c r="AA628" i="82"/>
  <c r="Z628" i="82"/>
  <c r="AF628" i="82"/>
  <c r="AG628" i="82" s="1"/>
  <c r="B41" i="82" s="1"/>
  <c r="L19" i="1" s="1"/>
  <c r="AR628" i="82"/>
  <c r="B38" i="82" s="1"/>
  <c r="L16" i="1" s="1"/>
  <c r="T629" i="82"/>
  <c r="AS628" i="82"/>
  <c r="B39" i="82" s="1"/>
  <c r="L17" i="1" s="1"/>
  <c r="M17" i="1" s="1"/>
  <c r="S630" i="82"/>
  <c r="Y629" i="82"/>
  <c r="AJ627" i="82"/>
  <c r="AK627" i="82" s="1"/>
  <c r="EG709" i="82"/>
  <c r="EO709" i="82"/>
  <c r="EC709" i="82"/>
  <c r="DW709" i="82"/>
  <c r="EK709" i="82"/>
  <c r="CQ712" i="82"/>
  <c r="DG711" i="82"/>
  <c r="AV711" i="82"/>
  <c r="EB710" i="82"/>
  <c r="CY711" i="82"/>
  <c r="AU712" i="82"/>
  <c r="DD710" i="82"/>
  <c r="EA710" i="82"/>
  <c r="AQ711" i="82"/>
  <c r="DC710" i="82"/>
  <c r="CZ710" i="82"/>
  <c r="AW710" i="82"/>
  <c r="DB710" i="82"/>
  <c r="DA710" i="82"/>
  <c r="AM711" i="82"/>
  <c r="AN711" i="82"/>
  <c r="AO712" i="82" s="1"/>
  <c r="AP713" i="82" s="1"/>
  <c r="DO709" i="82"/>
  <c r="DP709" i="82" s="1"/>
  <c r="DS709" i="82"/>
  <c r="DT709" i="82" s="1"/>
  <c r="AS711" i="82"/>
  <c r="AT712" i="82" s="1"/>
  <c r="AR711" i="82"/>
  <c r="ED710" i="82"/>
  <c r="CX710" i="82"/>
  <c r="CU709" i="82"/>
  <c r="CV709" i="82" s="1"/>
  <c r="CR711" i="82"/>
  <c r="CI711" i="82"/>
  <c r="CM711" i="82"/>
  <c r="CS710" i="82"/>
  <c r="CJ711" i="82"/>
  <c r="CK712" i="82" s="1"/>
  <c r="CL713" i="82" s="1"/>
  <c r="DK710" i="82"/>
  <c r="DH710" i="82"/>
  <c r="DJ710" i="82"/>
  <c r="DI710" i="82"/>
  <c r="DL710" i="82"/>
  <c r="DF710" i="82"/>
  <c r="CN711" i="82"/>
  <c r="CO711" i="82"/>
  <c r="CP712" i="82" s="1"/>
  <c r="AN627" i="72"/>
  <c r="AW627" i="72"/>
  <c r="BL391" i="72"/>
  <c r="DF710" i="72"/>
  <c r="CQ712" i="72"/>
  <c r="DG711" i="72"/>
  <c r="DL710" i="72"/>
  <c r="DJ710" i="72"/>
  <c r="DK710" i="72"/>
  <c r="DH710" i="72"/>
  <c r="DI710" i="72"/>
  <c r="CR711" i="72"/>
  <c r="H655" i="72"/>
  <c r="BG766" i="72"/>
  <c r="BH766" i="72" s="1"/>
  <c r="K766" i="72"/>
  <c r="L766" i="72" s="1"/>
  <c r="CJ711" i="72"/>
  <c r="CK712" i="72" s="1"/>
  <c r="CL713" i="72" s="1"/>
  <c r="CM711" i="72"/>
  <c r="CI711" i="72"/>
  <c r="CS710" i="72"/>
  <c r="J655" i="72"/>
  <c r="BL766" i="72"/>
  <c r="BM766" i="72" s="1"/>
  <c r="P766" i="72"/>
  <c r="Q766" i="72" s="1"/>
  <c r="N655" i="72"/>
  <c r="BQ766" i="72"/>
  <c r="BR766" i="72" s="1"/>
  <c r="U766" i="72"/>
  <c r="V766" i="72" s="1"/>
  <c r="CO711" i="72"/>
  <c r="CP712" i="72" s="1"/>
  <c r="CN711" i="72"/>
  <c r="E655" i="72"/>
  <c r="BB766" i="72"/>
  <c r="BC766" i="72" s="1"/>
  <c r="F766" i="72"/>
  <c r="G766" i="72" s="1"/>
  <c r="BF396" i="72"/>
  <c r="BI396" i="72"/>
  <c r="BJ396" i="72" s="1"/>
  <c r="BE396" i="72"/>
  <c r="BB396" i="72"/>
  <c r="BC396" i="72" s="1"/>
  <c r="AY399" i="72"/>
  <c r="AJ627" i="72"/>
  <c r="AR628" i="72"/>
  <c r="B38" i="72" s="1"/>
  <c r="K16" i="1" s="1"/>
  <c r="AF628" i="72"/>
  <c r="AT627" i="72"/>
  <c r="X628" i="72"/>
  <c r="AC628" i="72"/>
  <c r="Z628" i="72"/>
  <c r="AA628" i="72"/>
  <c r="AB628" i="72"/>
  <c r="S630" i="72"/>
  <c r="Y629" i="72"/>
  <c r="T629" i="72"/>
  <c r="AS629" i="72" s="1"/>
  <c r="P629" i="72"/>
  <c r="Q629" i="72"/>
  <c r="R630" i="72" s="1"/>
  <c r="U628" i="72"/>
  <c r="V628" i="72" s="1"/>
  <c r="M16" i="1" l="1"/>
  <c r="AJ628" i="82"/>
  <c r="AK628" i="82" s="1"/>
  <c r="B42" i="82" s="1"/>
  <c r="AS629" i="82"/>
  <c r="T630" i="82"/>
  <c r="Y630" i="82"/>
  <c r="S631" i="82"/>
  <c r="Q630" i="82"/>
  <c r="R631" i="82" s="1"/>
  <c r="AR629" i="82"/>
  <c r="AB629" i="82"/>
  <c r="Z629" i="82"/>
  <c r="P630" i="82"/>
  <c r="AA629" i="82"/>
  <c r="AC629" i="82"/>
  <c r="X629" i="82"/>
  <c r="AF629" i="82"/>
  <c r="AG629" i="82" s="1"/>
  <c r="U629" i="82"/>
  <c r="V629" i="82" s="1"/>
  <c r="B56" i="82"/>
  <c r="L32" i="1" s="1"/>
  <c r="AT628" i="82"/>
  <c r="B40" i="82" s="1"/>
  <c r="L18" i="1" s="1"/>
  <c r="AW628" i="82"/>
  <c r="AX628" i="82" s="1"/>
  <c r="B77" i="82" s="1"/>
  <c r="L50" i="1" s="1"/>
  <c r="AN628" i="82"/>
  <c r="AO628" i="82" s="1"/>
  <c r="B37" i="82" s="1"/>
  <c r="L15" i="1" s="1"/>
  <c r="CU710" i="82"/>
  <c r="CV710" i="82" s="1"/>
  <c r="DO710" i="82"/>
  <c r="DP710" i="82" s="1"/>
  <c r="DS710" i="82"/>
  <c r="DT710" i="82" s="1"/>
  <c r="EC710" i="82"/>
  <c r="EK710" i="82"/>
  <c r="DW710" i="82"/>
  <c r="EO710" i="82"/>
  <c r="EG710" i="82"/>
  <c r="DG712" i="82"/>
  <c r="CQ713" i="82"/>
  <c r="ED711" i="82"/>
  <c r="CX711" i="82"/>
  <c r="AR712" i="82"/>
  <c r="AS712" i="82"/>
  <c r="AT713" i="82" s="1"/>
  <c r="CN712" i="82"/>
  <c r="DF711" i="82"/>
  <c r="CO712" i="82"/>
  <c r="CP713" i="82" s="1"/>
  <c r="AU713" i="82"/>
  <c r="CY712" i="82"/>
  <c r="CR712" i="82"/>
  <c r="DJ711" i="82"/>
  <c r="DH711" i="82"/>
  <c r="CI712" i="82"/>
  <c r="CS711" i="82"/>
  <c r="CM712" i="82"/>
  <c r="DK711" i="82"/>
  <c r="DL711" i="82"/>
  <c r="CJ712" i="82"/>
  <c r="CK713" i="82" s="1"/>
  <c r="CL714" i="82" s="1"/>
  <c r="DI711" i="82"/>
  <c r="DA711" i="82"/>
  <c r="AM712" i="82"/>
  <c r="AQ712" i="82"/>
  <c r="DD711" i="82"/>
  <c r="CZ711" i="82"/>
  <c r="AW711" i="82"/>
  <c r="DC711" i="82"/>
  <c r="AN712" i="82"/>
  <c r="AO713" i="82" s="1"/>
  <c r="AP714" i="82" s="1"/>
  <c r="DB711" i="82"/>
  <c r="EA711" i="82"/>
  <c r="AV712" i="82"/>
  <c r="EB711" i="82"/>
  <c r="AN628" i="72"/>
  <c r="AW628" i="72"/>
  <c r="BL396" i="72"/>
  <c r="DF711" i="72"/>
  <c r="CQ713" i="72"/>
  <c r="DG712" i="72"/>
  <c r="CR712" i="72"/>
  <c r="DJ711" i="72"/>
  <c r="DK711" i="72"/>
  <c r="DH711" i="72"/>
  <c r="DI711" i="72"/>
  <c r="DL711" i="72"/>
  <c r="CJ712" i="72"/>
  <c r="CK713" i="72" s="1"/>
  <c r="CL714" i="72" s="1"/>
  <c r="CI712" i="72"/>
  <c r="CM712" i="72"/>
  <c r="CS711" i="72"/>
  <c r="CN712" i="72"/>
  <c r="CO712" i="72"/>
  <c r="CP713" i="72" s="1"/>
  <c r="AY404" i="72"/>
  <c r="BE399" i="72"/>
  <c r="BI399" i="72"/>
  <c r="BJ399" i="72" s="1"/>
  <c r="BB399" i="72"/>
  <c r="BC399" i="72" s="1"/>
  <c r="BF399" i="72"/>
  <c r="AT628" i="72"/>
  <c r="B40" i="72" s="1"/>
  <c r="K18" i="1" s="1"/>
  <c r="M18" i="1" s="1"/>
  <c r="AR629" i="72"/>
  <c r="AF629" i="72"/>
  <c r="AJ628" i="72"/>
  <c r="S631" i="72"/>
  <c r="Y630" i="72"/>
  <c r="X629" i="72"/>
  <c r="AC629" i="72"/>
  <c r="AA629" i="72"/>
  <c r="AB629" i="72"/>
  <c r="Z629" i="72"/>
  <c r="Q630" i="72"/>
  <c r="R631" i="72" s="1"/>
  <c r="U629" i="72"/>
  <c r="V629" i="72" s="1"/>
  <c r="P630" i="72"/>
  <c r="T630" i="72"/>
  <c r="AS630" i="72" s="1"/>
  <c r="AJ629" i="82" l="1"/>
  <c r="AK629" i="82" s="1"/>
  <c r="S632" i="82"/>
  <c r="Y631" i="82"/>
  <c r="AS630" i="82"/>
  <c r="T631" i="82"/>
  <c r="AB630" i="82"/>
  <c r="AR630" i="82"/>
  <c r="AF630" i="82"/>
  <c r="AG630" i="82" s="1"/>
  <c r="AA630" i="82"/>
  <c r="U630" i="82"/>
  <c r="V630" i="82" s="1"/>
  <c r="Z630" i="82"/>
  <c r="P631" i="82"/>
  <c r="X630" i="82"/>
  <c r="AC630" i="82"/>
  <c r="Q631" i="82"/>
  <c r="R632" i="82" s="1"/>
  <c r="AW629" i="82"/>
  <c r="AX629" i="82" s="1"/>
  <c r="AT629" i="82"/>
  <c r="AN629" i="82"/>
  <c r="AO629" i="82" s="1"/>
  <c r="B57" i="82"/>
  <c r="L33" i="1" s="1"/>
  <c r="L20" i="1"/>
  <c r="DF712" i="82"/>
  <c r="CN713" i="82"/>
  <c r="CO713" i="82"/>
  <c r="CP714" i="82" s="1"/>
  <c r="CY713" i="82"/>
  <c r="AU714" i="82"/>
  <c r="CR713" i="82"/>
  <c r="CX712" i="82"/>
  <c r="AR713" i="82"/>
  <c r="ED712" i="82"/>
  <c r="AS713" i="82"/>
  <c r="AT714" i="82" s="1"/>
  <c r="DS711" i="82"/>
  <c r="DT711" i="82" s="1"/>
  <c r="DO711" i="82"/>
  <c r="DP711" i="82" s="1"/>
  <c r="AV713" i="82"/>
  <c r="EB712" i="82"/>
  <c r="AM713" i="82"/>
  <c r="EA712" i="82"/>
  <c r="AQ713" i="82"/>
  <c r="DB712" i="82"/>
  <c r="DD712" i="82"/>
  <c r="DC712" i="82"/>
  <c r="AN713" i="82"/>
  <c r="AO714" i="82" s="1"/>
  <c r="AP715" i="82" s="1"/>
  <c r="CZ712" i="82"/>
  <c r="AW712" i="82"/>
  <c r="DA712" i="82"/>
  <c r="CU711" i="82"/>
  <c r="CV711" i="82" s="1"/>
  <c r="EO711" i="82"/>
  <c r="EC711" i="82"/>
  <c r="EG711" i="82"/>
  <c r="DW711" i="82"/>
  <c r="EK711" i="82"/>
  <c r="CM713" i="82"/>
  <c r="DL712" i="82"/>
  <c r="CS712" i="82"/>
  <c r="DI712" i="82"/>
  <c r="CI713" i="82"/>
  <c r="CJ713" i="82"/>
  <c r="CK714" i="82" s="1"/>
  <c r="CL715" i="82" s="1"/>
  <c r="DK712" i="82"/>
  <c r="DJ712" i="82"/>
  <c r="DH712" i="82"/>
  <c r="DG713" i="82"/>
  <c r="CQ714" i="82"/>
  <c r="AW629" i="72"/>
  <c r="AN629" i="72"/>
  <c r="BL399" i="72"/>
  <c r="CQ714" i="72"/>
  <c r="DG713" i="72"/>
  <c r="DF712" i="72"/>
  <c r="DL712" i="72"/>
  <c r="DH712" i="72"/>
  <c r="DK712" i="72"/>
  <c r="DI712" i="72"/>
  <c r="DJ712" i="72"/>
  <c r="CO713" i="72"/>
  <c r="CP714" i="72" s="1"/>
  <c r="CN713" i="72"/>
  <c r="CM713" i="72"/>
  <c r="CJ713" i="72"/>
  <c r="CK714" i="72" s="1"/>
  <c r="CL715" i="72" s="1"/>
  <c r="CI713" i="72"/>
  <c r="CS712" i="72"/>
  <c r="CR713" i="72"/>
  <c r="BE404" i="72"/>
  <c r="BI404" i="72"/>
  <c r="BJ404" i="72" s="1"/>
  <c r="BB404" i="72"/>
  <c r="BC404" i="72" s="1"/>
  <c r="AY407" i="72"/>
  <c r="BF404" i="72"/>
  <c r="AJ629" i="72"/>
  <c r="AF630" i="72"/>
  <c r="AR630" i="72"/>
  <c r="AT629" i="72"/>
  <c r="S632" i="72"/>
  <c r="Y631" i="72"/>
  <c r="X630" i="72"/>
  <c r="AC630" i="72"/>
  <c r="AB630" i="72"/>
  <c r="Z630" i="72"/>
  <c r="AA630" i="72"/>
  <c r="T631" i="72"/>
  <c r="AS631" i="72" s="1"/>
  <c r="U630" i="72"/>
  <c r="V630" i="72" s="1"/>
  <c r="Q631" i="72"/>
  <c r="R632" i="72" s="1"/>
  <c r="P631" i="72"/>
  <c r="Y632" i="82" l="1"/>
  <c r="S633" i="82"/>
  <c r="AJ630" i="82"/>
  <c r="AK630" i="82" s="1"/>
  <c r="Q632" i="82"/>
  <c r="R633" i="82" s="1"/>
  <c r="AB631" i="82"/>
  <c r="AC631" i="82"/>
  <c r="AF631" i="82"/>
  <c r="AG631" i="82" s="1"/>
  <c r="U631" i="82"/>
  <c r="V631" i="82" s="1"/>
  <c r="AR631" i="82"/>
  <c r="AA631" i="82"/>
  <c r="P632" i="82"/>
  <c r="Z631" i="82"/>
  <c r="X631" i="82"/>
  <c r="T632" i="82"/>
  <c r="AS631" i="82"/>
  <c r="AT630" i="82"/>
  <c r="AW630" i="82"/>
  <c r="AX630" i="82" s="1"/>
  <c r="AN630" i="82"/>
  <c r="AO630" i="82" s="1"/>
  <c r="CU712" i="82"/>
  <c r="CV712" i="82" s="1"/>
  <c r="EK712" i="82"/>
  <c r="DW712" i="82"/>
  <c r="EG712" i="82"/>
  <c r="EO712" i="82"/>
  <c r="EC712" i="82"/>
  <c r="DC713" i="82"/>
  <c r="AM714" i="82"/>
  <c r="DD713" i="82"/>
  <c r="DA713" i="82"/>
  <c r="AQ714" i="82"/>
  <c r="DB713" i="82"/>
  <c r="AN714" i="82"/>
  <c r="AO715" i="82" s="1"/>
  <c r="AP716" i="82" s="1"/>
  <c r="EA713" i="82"/>
  <c r="CZ713" i="82"/>
  <c r="AW713" i="82"/>
  <c r="AU715" i="82"/>
  <c r="CY714" i="82"/>
  <c r="DG714" i="82"/>
  <c r="CQ715" i="82"/>
  <c r="DF713" i="82"/>
  <c r="CO714" i="82"/>
  <c r="CP715" i="82" s="1"/>
  <c r="CN714" i="82"/>
  <c r="AR714" i="82"/>
  <c r="ED713" i="82"/>
  <c r="CX713" i="82"/>
  <c r="AS714" i="82"/>
  <c r="AT715" i="82" s="1"/>
  <c r="AV714" i="82"/>
  <c r="EB713" i="82"/>
  <c r="DS712" i="82"/>
  <c r="DT712" i="82" s="1"/>
  <c r="DO712" i="82"/>
  <c r="DP712" i="82" s="1"/>
  <c r="DL713" i="82"/>
  <c r="CS713" i="82"/>
  <c r="CI714" i="82"/>
  <c r="DH713" i="82"/>
  <c r="CM714" i="82"/>
  <c r="DK713" i="82"/>
  <c r="CJ714" i="82"/>
  <c r="CK715" i="82" s="1"/>
  <c r="CL716" i="82" s="1"/>
  <c r="DJ713" i="82"/>
  <c r="DI713" i="82"/>
  <c r="CR714" i="82"/>
  <c r="AW630" i="72"/>
  <c r="AN630" i="72"/>
  <c r="BL404" i="72"/>
  <c r="DF713" i="72"/>
  <c r="CQ715" i="72"/>
  <c r="DG714" i="72"/>
  <c r="CR714" i="72"/>
  <c r="DJ713" i="72"/>
  <c r="DK713" i="72"/>
  <c r="DL713" i="72"/>
  <c r="DI713" i="72"/>
  <c r="DH713" i="72"/>
  <c r="CS713" i="72"/>
  <c r="CJ714" i="72"/>
  <c r="CK715" i="72" s="1"/>
  <c r="CL716" i="72" s="1"/>
  <c r="CI714" i="72"/>
  <c r="CM714" i="72"/>
  <c r="CN714" i="72"/>
  <c r="CO714" i="72"/>
  <c r="CP715" i="72" s="1"/>
  <c r="AY412" i="72"/>
  <c r="BI407" i="72"/>
  <c r="BJ407" i="72" s="1"/>
  <c r="BB407" i="72"/>
  <c r="BC407" i="72" s="1"/>
  <c r="BF407" i="72"/>
  <c r="BE407" i="72"/>
  <c r="AR631" i="72"/>
  <c r="AF631" i="72"/>
  <c r="AJ630" i="72"/>
  <c r="AT630" i="72"/>
  <c r="X631" i="72"/>
  <c r="AC631" i="72"/>
  <c r="Z631" i="72"/>
  <c r="AB631" i="72"/>
  <c r="AA631" i="72"/>
  <c r="S633" i="72"/>
  <c r="Y632" i="72"/>
  <c r="U631" i="72"/>
  <c r="V631" i="72" s="1"/>
  <c r="P632" i="72"/>
  <c r="Q632" i="72"/>
  <c r="R633" i="72" s="1"/>
  <c r="T632" i="72"/>
  <c r="AS632" i="72" s="1"/>
  <c r="CU713" i="82" l="1"/>
  <c r="CV713" i="82" s="1"/>
  <c r="AB632" i="82"/>
  <c r="AR632" i="82"/>
  <c r="U632" i="82"/>
  <c r="V632" i="82" s="1"/>
  <c r="X632" i="82"/>
  <c r="AA632" i="82"/>
  <c r="Z632" i="82"/>
  <c r="AF632" i="82"/>
  <c r="AG632" i="82" s="1"/>
  <c r="P633" i="82"/>
  <c r="AC632" i="82"/>
  <c r="Q633" i="82"/>
  <c r="R634" i="82" s="1"/>
  <c r="AJ631" i="82"/>
  <c r="AK631" i="82" s="1"/>
  <c r="AS632" i="82"/>
  <c r="T633" i="82"/>
  <c r="AT631" i="82"/>
  <c r="AN631" i="82"/>
  <c r="AO631" i="82" s="1"/>
  <c r="AW631" i="82"/>
  <c r="AX631" i="82" s="1"/>
  <c r="S634" i="82"/>
  <c r="Y633" i="82"/>
  <c r="CY715" i="82"/>
  <c r="AU716" i="82"/>
  <c r="DS713" i="82"/>
  <c r="DT713" i="82" s="1"/>
  <c r="DO713" i="82"/>
  <c r="DP713" i="82" s="1"/>
  <c r="AR715" i="82"/>
  <c r="CX714" i="82"/>
  <c r="AS715" i="82"/>
  <c r="AT716" i="82" s="1"/>
  <c r="ED714" i="82"/>
  <c r="EG713" i="82"/>
  <c r="DW713" i="82"/>
  <c r="EC713" i="82"/>
  <c r="EO713" i="82"/>
  <c r="EK713" i="82"/>
  <c r="CN715" i="82"/>
  <c r="CO715" i="82"/>
  <c r="CP716" i="82" s="1"/>
  <c r="DF714" i="82"/>
  <c r="CZ714" i="82"/>
  <c r="DC714" i="82"/>
  <c r="DB714" i="82"/>
  <c r="AW714" i="82"/>
  <c r="EA714" i="82"/>
  <c r="DD714" i="82"/>
  <c r="DA714" i="82"/>
  <c r="AQ715" i="82"/>
  <c r="AM715" i="82"/>
  <c r="AN715" i="82"/>
  <c r="AO716" i="82" s="1"/>
  <c r="AP717" i="82" s="1"/>
  <c r="CM715" i="82"/>
  <c r="DI714" i="82"/>
  <c r="DJ714" i="82"/>
  <c r="CJ715" i="82"/>
  <c r="CK716" i="82" s="1"/>
  <c r="CL717" i="82" s="1"/>
  <c r="DH714" i="82"/>
  <c r="CI715" i="82"/>
  <c r="CS714" i="82"/>
  <c r="DL714" i="82"/>
  <c r="DK714" i="82"/>
  <c r="AV715" i="82"/>
  <c r="EB714" i="82"/>
  <c r="CQ716" i="82"/>
  <c r="DG715" i="82"/>
  <c r="CR715" i="82"/>
  <c r="AW631" i="72"/>
  <c r="AN631" i="72"/>
  <c r="BL407" i="72"/>
  <c r="CQ716" i="72"/>
  <c r="DG715" i="72"/>
  <c r="DF714" i="72"/>
  <c r="DJ714" i="72"/>
  <c r="DK714" i="72"/>
  <c r="DL714" i="72"/>
  <c r="DH714" i="72"/>
  <c r="DI714" i="72"/>
  <c r="CO715" i="72"/>
  <c r="CP716" i="72" s="1"/>
  <c r="CN715" i="72"/>
  <c r="CM715" i="72"/>
  <c r="CS714" i="72"/>
  <c r="CI715" i="72"/>
  <c r="CJ715" i="72"/>
  <c r="CK716" i="72" s="1"/>
  <c r="CL717" i="72" s="1"/>
  <c r="CR715" i="72"/>
  <c r="BF412" i="72"/>
  <c r="BB412" i="72"/>
  <c r="BC412" i="72" s="1"/>
  <c r="BE412" i="72"/>
  <c r="BI412" i="72"/>
  <c r="BJ412" i="72" s="1"/>
  <c r="AY415" i="72"/>
  <c r="AT631" i="72"/>
  <c r="AF632" i="72"/>
  <c r="AR632" i="72"/>
  <c r="AJ631" i="72"/>
  <c r="S634" i="72"/>
  <c r="Y633" i="72"/>
  <c r="AC632" i="72"/>
  <c r="Z632" i="72"/>
  <c r="AA632" i="72"/>
  <c r="X632" i="72"/>
  <c r="AB632" i="72"/>
  <c r="T633" i="72"/>
  <c r="AS633" i="72" s="1"/>
  <c r="Q633" i="72"/>
  <c r="R634" i="72" s="1"/>
  <c r="P633" i="72"/>
  <c r="U632" i="72"/>
  <c r="V632" i="72" s="1"/>
  <c r="U633" i="82" l="1"/>
  <c r="V633" i="82" s="1"/>
  <c r="AF633" i="82"/>
  <c r="AG633" i="82" s="1"/>
  <c r="AC633" i="82"/>
  <c r="AR633" i="82"/>
  <c r="AA633" i="82"/>
  <c r="X633" i="82"/>
  <c r="AB633" i="82"/>
  <c r="Q634" i="82"/>
  <c r="R635" i="82" s="1"/>
  <c r="P634" i="82"/>
  <c r="Z633" i="82"/>
  <c r="AN632" i="82"/>
  <c r="AO632" i="82" s="1"/>
  <c r="AW632" i="82"/>
  <c r="AX632" i="82" s="1"/>
  <c r="AT632" i="82"/>
  <c r="AS633" i="82"/>
  <c r="T634" i="82"/>
  <c r="AJ632" i="82"/>
  <c r="AK632" i="82" s="1"/>
  <c r="Y634" i="82"/>
  <c r="S635" i="82"/>
  <c r="CU714" i="82"/>
  <c r="CV714" i="82" s="1"/>
  <c r="CR716" i="82"/>
  <c r="CJ716" i="82"/>
  <c r="CK717" i="82" s="1"/>
  <c r="CL718" i="82" s="1"/>
  <c r="DI715" i="82"/>
  <c r="DJ715" i="82"/>
  <c r="CM716" i="82"/>
  <c r="DH715" i="82"/>
  <c r="CI716" i="82"/>
  <c r="DK715" i="82"/>
  <c r="DL715" i="82"/>
  <c r="CS715" i="82"/>
  <c r="AW715" i="82"/>
  <c r="AM716" i="82"/>
  <c r="CZ715" i="82"/>
  <c r="DC715" i="82"/>
  <c r="DB715" i="82"/>
  <c r="DA715" i="82"/>
  <c r="AQ716" i="82"/>
  <c r="EA715" i="82"/>
  <c r="AN716" i="82"/>
  <c r="AO717" i="82" s="1"/>
  <c r="AP718" i="82" s="1"/>
  <c r="DD715" i="82"/>
  <c r="EC714" i="82"/>
  <c r="EK714" i="82"/>
  <c r="EG714" i="82"/>
  <c r="EO714" i="82"/>
  <c r="DW714" i="82"/>
  <c r="CQ717" i="82"/>
  <c r="DG716" i="82"/>
  <c r="DF715" i="82"/>
  <c r="CN716" i="82"/>
  <c r="CO716" i="82"/>
  <c r="CP717" i="82" s="1"/>
  <c r="AV716" i="82"/>
  <c r="EB715" i="82"/>
  <c r="AU717" i="82"/>
  <c r="CY716" i="82"/>
  <c r="DS714" i="82"/>
  <c r="DT714" i="82" s="1"/>
  <c r="DO714" i="82"/>
  <c r="DP714" i="82" s="1"/>
  <c r="ED715" i="82"/>
  <c r="CX715" i="82"/>
  <c r="AR716" i="82"/>
  <c r="AS716" i="82"/>
  <c r="AT717" i="82" s="1"/>
  <c r="AW632" i="72"/>
  <c r="AN632" i="72"/>
  <c r="BL412" i="72"/>
  <c r="CQ717" i="72"/>
  <c r="DG716" i="72"/>
  <c r="DJ715" i="72"/>
  <c r="DK715" i="72"/>
  <c r="DI715" i="72"/>
  <c r="DH715" i="72"/>
  <c r="DL715" i="72"/>
  <c r="DF715" i="72"/>
  <c r="CR716" i="72"/>
  <c r="CJ716" i="72"/>
  <c r="CK717" i="72" s="1"/>
  <c r="CL718" i="72" s="1"/>
  <c r="CI716" i="72"/>
  <c r="CM716" i="72"/>
  <c r="CS715" i="72"/>
  <c r="CN716" i="72"/>
  <c r="CO716" i="72"/>
  <c r="CP717" i="72" s="1"/>
  <c r="BF415" i="72"/>
  <c r="BE415" i="72"/>
  <c r="BI415" i="72"/>
  <c r="BJ415" i="72" s="1"/>
  <c r="BB415" i="72"/>
  <c r="BC415" i="72" s="1"/>
  <c r="AY420" i="72"/>
  <c r="AT632" i="72"/>
  <c r="AR633" i="72"/>
  <c r="AF633" i="72"/>
  <c r="AJ632" i="72"/>
  <c r="AC633" i="72"/>
  <c r="AA633" i="72"/>
  <c r="AB633" i="72"/>
  <c r="X633" i="72"/>
  <c r="Z633" i="72"/>
  <c r="S635" i="72"/>
  <c r="Y634" i="72"/>
  <c r="T634" i="72"/>
  <c r="AS634" i="72" s="1"/>
  <c r="Q634" i="72"/>
  <c r="R635" i="72" s="1"/>
  <c r="U633" i="72"/>
  <c r="V633" i="72" s="1"/>
  <c r="P634" i="72"/>
  <c r="AS634" i="82" l="1"/>
  <c r="T635" i="82"/>
  <c r="Y635" i="82"/>
  <c r="S636" i="82"/>
  <c r="AJ633" i="82"/>
  <c r="AK633" i="82" s="1"/>
  <c r="AT633" i="82"/>
  <c r="AW633" i="82"/>
  <c r="AX633" i="82" s="1"/>
  <c r="AN633" i="82"/>
  <c r="AO633" i="82" s="1"/>
  <c r="Q635" i="82"/>
  <c r="R636" i="82" s="1"/>
  <c r="AB634" i="82"/>
  <c r="P635" i="82"/>
  <c r="AC634" i="82"/>
  <c r="Z634" i="82"/>
  <c r="U634" i="82"/>
  <c r="V634" i="82" s="1"/>
  <c r="AR634" i="82"/>
  <c r="AA634" i="82"/>
  <c r="X634" i="82"/>
  <c r="AF634" i="82"/>
  <c r="AG634" i="82" s="1"/>
  <c r="CO717" i="82"/>
  <c r="CP718" i="82" s="1"/>
  <c r="CN717" i="82"/>
  <c r="DF716" i="82"/>
  <c r="DK716" i="82"/>
  <c r="CM717" i="82"/>
  <c r="DL716" i="82"/>
  <c r="CJ717" i="82"/>
  <c r="CK718" i="82" s="1"/>
  <c r="CL719" i="82" s="1"/>
  <c r="DJ716" i="82"/>
  <c r="DH716" i="82"/>
  <c r="CI717" i="82"/>
  <c r="DI716" i="82"/>
  <c r="CS716" i="82"/>
  <c r="CY717" i="82"/>
  <c r="AU718" i="82"/>
  <c r="AQ717" i="82"/>
  <c r="DB716" i="82"/>
  <c r="DD716" i="82"/>
  <c r="AM717" i="82"/>
  <c r="EA716" i="82"/>
  <c r="DC716" i="82"/>
  <c r="CZ716" i="82"/>
  <c r="AW716" i="82"/>
  <c r="DA716" i="82"/>
  <c r="AN717" i="82"/>
  <c r="AO718" i="82" s="1"/>
  <c r="AP719" i="82" s="1"/>
  <c r="AR717" i="82"/>
  <c r="ED716" i="82"/>
  <c r="CX716" i="82"/>
  <c r="AS717" i="82"/>
  <c r="AT718" i="82" s="1"/>
  <c r="DO715" i="82"/>
  <c r="DP715" i="82" s="1"/>
  <c r="DS715" i="82"/>
  <c r="DT715" i="82" s="1"/>
  <c r="CU715" i="82"/>
  <c r="CV715" i="82" s="1"/>
  <c r="EB716" i="82"/>
  <c r="AV717" i="82"/>
  <c r="DG717" i="82"/>
  <c r="CQ718" i="82"/>
  <c r="EO715" i="82"/>
  <c r="DW715" i="82"/>
  <c r="EG715" i="82"/>
  <c r="EK715" i="82"/>
  <c r="EC715" i="82"/>
  <c r="CR717" i="82"/>
  <c r="AN633" i="72"/>
  <c r="AW633" i="72"/>
  <c r="BL415" i="72"/>
  <c r="DF716" i="72"/>
  <c r="CQ718" i="72"/>
  <c r="DG717" i="72"/>
  <c r="DH716" i="72"/>
  <c r="DK716" i="72"/>
  <c r="DL716" i="72"/>
  <c r="DJ716" i="72"/>
  <c r="DI716" i="72"/>
  <c r="CN717" i="72"/>
  <c r="CO717" i="72"/>
  <c r="CP718" i="72" s="1"/>
  <c r="CI717" i="72"/>
  <c r="CM717" i="72"/>
  <c r="CS716" i="72"/>
  <c r="CJ717" i="72"/>
  <c r="CK718" i="72" s="1"/>
  <c r="CL719" i="72" s="1"/>
  <c r="CR717" i="72"/>
  <c r="BE420" i="72"/>
  <c r="BF420" i="72"/>
  <c r="BI420" i="72"/>
  <c r="BJ420" i="72" s="1"/>
  <c r="AY423" i="72"/>
  <c r="BB420" i="72"/>
  <c r="BC420" i="72" s="1"/>
  <c r="AJ633" i="72"/>
  <c r="AT633" i="72"/>
  <c r="AR634" i="72"/>
  <c r="AF634" i="72"/>
  <c r="S636" i="72"/>
  <c r="Y635" i="72"/>
  <c r="X634" i="72"/>
  <c r="AB634" i="72"/>
  <c r="AC634" i="72"/>
  <c r="Z634" i="72"/>
  <c r="AA634" i="72"/>
  <c r="P635" i="72"/>
  <c r="U634" i="72"/>
  <c r="V634" i="72" s="1"/>
  <c r="Q635" i="72"/>
  <c r="R636" i="72" s="1"/>
  <c r="T635" i="72"/>
  <c r="AS635" i="72" s="1"/>
  <c r="AW634" i="82" l="1"/>
  <c r="AX634" i="82" s="1"/>
  <c r="AN634" i="82"/>
  <c r="AO634" i="82" s="1"/>
  <c r="AT634" i="82"/>
  <c r="AA635" i="82"/>
  <c r="Q636" i="82"/>
  <c r="R637" i="82" s="1"/>
  <c r="AF635" i="82"/>
  <c r="AG635" i="82" s="1"/>
  <c r="X635" i="82"/>
  <c r="Z635" i="82"/>
  <c r="U635" i="82"/>
  <c r="V635" i="82" s="1"/>
  <c r="P636" i="82"/>
  <c r="AC635" i="82"/>
  <c r="AR635" i="82"/>
  <c r="AB635" i="82"/>
  <c r="AS635" i="82"/>
  <c r="T636" i="82"/>
  <c r="AJ634" i="82"/>
  <c r="AK634" i="82" s="1"/>
  <c r="Y636" i="82"/>
  <c r="S637" i="82"/>
  <c r="CR718" i="82"/>
  <c r="EK716" i="82"/>
  <c r="EO716" i="82"/>
  <c r="DW716" i="82"/>
  <c r="EG716" i="82"/>
  <c r="EC716" i="82"/>
  <c r="CY718" i="82"/>
  <c r="AU719" i="82"/>
  <c r="CU716" i="82"/>
  <c r="CV716" i="82" s="1"/>
  <c r="DO716" i="82"/>
  <c r="DP716" i="82" s="1"/>
  <c r="DS716" i="82"/>
  <c r="DT716" i="82" s="1"/>
  <c r="AV718" i="82"/>
  <c r="EB717" i="82"/>
  <c r="AN718" i="82"/>
  <c r="AO719" i="82" s="1"/>
  <c r="AP720" i="82" s="1"/>
  <c r="AM718" i="82"/>
  <c r="CZ717" i="82"/>
  <c r="AW717" i="82"/>
  <c r="EA717" i="82"/>
  <c r="DC717" i="82"/>
  <c r="DB717" i="82"/>
  <c r="AQ718" i="82"/>
  <c r="DD717" i="82"/>
  <c r="DA717" i="82"/>
  <c r="DH717" i="82"/>
  <c r="CM718" i="82"/>
  <c r="DK717" i="82"/>
  <c r="CJ718" i="82"/>
  <c r="CK719" i="82" s="1"/>
  <c r="CL720" i="82" s="1"/>
  <c r="DI717" i="82"/>
  <c r="DL717" i="82"/>
  <c r="CS717" i="82"/>
  <c r="CI718" i="82"/>
  <c r="DJ717" i="82"/>
  <c r="AS718" i="82"/>
  <c r="AT719" i="82" s="1"/>
  <c r="AR718" i="82"/>
  <c r="ED717" i="82"/>
  <c r="CX717" i="82"/>
  <c r="DF717" i="82"/>
  <c r="CO718" i="82"/>
  <c r="CP719" i="82" s="1"/>
  <c r="CN718" i="82"/>
  <c r="CQ719" i="82"/>
  <c r="DG718" i="82"/>
  <c r="AN634" i="72"/>
  <c r="AW634" i="72"/>
  <c r="BL420" i="72"/>
  <c r="DF717" i="72"/>
  <c r="DH717" i="72"/>
  <c r="DJ717" i="72"/>
  <c r="DK717" i="72"/>
  <c r="DL717" i="72"/>
  <c r="DI717" i="72"/>
  <c r="CQ719" i="72"/>
  <c r="DG718" i="72"/>
  <c r="CR718" i="72"/>
  <c r="CM718" i="72"/>
  <c r="CS717" i="72"/>
  <c r="CJ718" i="72"/>
  <c r="CK719" i="72" s="1"/>
  <c r="CL720" i="72" s="1"/>
  <c r="CI718" i="72"/>
  <c r="CN718" i="72"/>
  <c r="CO718" i="72"/>
  <c r="CP719" i="72" s="1"/>
  <c r="BE423" i="72"/>
  <c r="BB423" i="72"/>
  <c r="BC423" i="72" s="1"/>
  <c r="BF423" i="72"/>
  <c r="AY428" i="72"/>
  <c r="AJ634" i="72"/>
  <c r="AR635" i="72"/>
  <c r="AF635" i="72"/>
  <c r="AT634" i="72"/>
  <c r="X635" i="72"/>
  <c r="AB635" i="72"/>
  <c r="AC635" i="72"/>
  <c r="AA635" i="72"/>
  <c r="Z635" i="72"/>
  <c r="S637" i="72"/>
  <c r="Y636" i="72"/>
  <c r="T636" i="72"/>
  <c r="AS636" i="72" s="1"/>
  <c r="U635" i="72"/>
  <c r="V635" i="72" s="1"/>
  <c r="P636" i="72"/>
  <c r="Q636" i="72"/>
  <c r="R637" i="72" s="1"/>
  <c r="AT635" i="82" l="1"/>
  <c r="AN635" i="82"/>
  <c r="AO635" i="82" s="1"/>
  <c r="AW635" i="82"/>
  <c r="AX635" i="82" s="1"/>
  <c r="T637" i="82"/>
  <c r="AS636" i="82"/>
  <c r="AJ635" i="82"/>
  <c r="AK635" i="82" s="1"/>
  <c r="Y637" i="82"/>
  <c r="S638" i="82"/>
  <c r="AR636" i="82"/>
  <c r="P637" i="82"/>
  <c r="AC636" i="82"/>
  <c r="X636" i="82"/>
  <c r="AA636" i="82"/>
  <c r="Q637" i="82"/>
  <c r="R638" i="82" s="1"/>
  <c r="AF636" i="82"/>
  <c r="AG636" i="82" s="1"/>
  <c r="Z636" i="82"/>
  <c r="AB636" i="82"/>
  <c r="U636" i="82"/>
  <c r="V636" i="82" s="1"/>
  <c r="CU717" i="82"/>
  <c r="CV717" i="82" s="1"/>
  <c r="DO717" i="82"/>
  <c r="DP717" i="82" s="1"/>
  <c r="DS717" i="82"/>
  <c r="DT717" i="82" s="1"/>
  <c r="CR719" i="82"/>
  <c r="AV719" i="82"/>
  <c r="EB718" i="82"/>
  <c r="AS719" i="82"/>
  <c r="AT720" i="82" s="1"/>
  <c r="ED718" i="82"/>
  <c r="CX718" i="82"/>
  <c r="AR719" i="82"/>
  <c r="AU720" i="82"/>
  <c r="CY719" i="82"/>
  <c r="DF718" i="82"/>
  <c r="CN719" i="82"/>
  <c r="CO719" i="82"/>
  <c r="CP720" i="82" s="1"/>
  <c r="DG719" i="82"/>
  <c r="CQ720" i="82"/>
  <c r="CI719" i="82"/>
  <c r="CJ719" i="82"/>
  <c r="CK720" i="82" s="1"/>
  <c r="CL721" i="82" s="1"/>
  <c r="DK718" i="82"/>
  <c r="DJ718" i="82"/>
  <c r="DL718" i="82"/>
  <c r="CM719" i="82"/>
  <c r="DH718" i="82"/>
  <c r="DI718" i="82"/>
  <c r="CS718" i="82"/>
  <c r="EO717" i="82"/>
  <c r="EC717" i="82"/>
  <c r="DW717" i="82"/>
  <c r="EG717" i="82"/>
  <c r="EK717" i="82"/>
  <c r="DD718" i="82"/>
  <c r="DA718" i="82"/>
  <c r="AM719" i="82"/>
  <c r="AW718" i="82"/>
  <c r="DB718" i="82"/>
  <c r="DC718" i="82"/>
  <c r="CZ718" i="82"/>
  <c r="AN719" i="82"/>
  <c r="AO720" i="82" s="1"/>
  <c r="AP721" i="82" s="1"/>
  <c r="EA718" i="82"/>
  <c r="AQ719" i="82"/>
  <c r="AN635" i="72"/>
  <c r="AW635" i="72"/>
  <c r="DF718" i="72"/>
  <c r="DJ718" i="72"/>
  <c r="DK718" i="72"/>
  <c r="DL718" i="72"/>
  <c r="DH718" i="72"/>
  <c r="DI718" i="72"/>
  <c r="CQ720" i="72"/>
  <c r="DG719" i="72"/>
  <c r="CR719" i="72"/>
  <c r="CO719" i="72"/>
  <c r="CP720" i="72" s="1"/>
  <c r="CN719" i="72"/>
  <c r="CM719" i="72"/>
  <c r="CI719" i="72"/>
  <c r="CS718" i="72"/>
  <c r="CJ719" i="72"/>
  <c r="CK720" i="72" s="1"/>
  <c r="CL721" i="72" s="1"/>
  <c r="BB428" i="72"/>
  <c r="BC428" i="72" s="1"/>
  <c r="BF428" i="72"/>
  <c r="BE428" i="72"/>
  <c r="AY431" i="72"/>
  <c r="BI428" i="72"/>
  <c r="BJ428" i="72" s="1"/>
  <c r="AJ635" i="72"/>
  <c r="AT635" i="72"/>
  <c r="AF636" i="72"/>
  <c r="AR636" i="72"/>
  <c r="S638" i="72"/>
  <c r="Y637" i="72"/>
  <c r="X636" i="72"/>
  <c r="AB636" i="72"/>
  <c r="AC636" i="72"/>
  <c r="Z636" i="72"/>
  <c r="AA636" i="72"/>
  <c r="Q637" i="72"/>
  <c r="R638" i="72" s="1"/>
  <c r="U636" i="72"/>
  <c r="V636" i="72" s="1"/>
  <c r="P637" i="72"/>
  <c r="T637" i="72"/>
  <c r="AS637" i="72" s="1"/>
  <c r="AJ636" i="82" l="1"/>
  <c r="AN636" i="82"/>
  <c r="AO636" i="82" s="1"/>
  <c r="AW636" i="82"/>
  <c r="AX636" i="82" s="1"/>
  <c r="AT636" i="82"/>
  <c r="AS637" i="82"/>
  <c r="T638" i="82"/>
  <c r="Y638" i="82"/>
  <c r="S639" i="82"/>
  <c r="AK636" i="82"/>
  <c r="P638" i="82"/>
  <c r="AC637" i="82"/>
  <c r="AR637" i="82"/>
  <c r="AF637" i="82"/>
  <c r="AG637" i="82" s="1"/>
  <c r="AB637" i="82"/>
  <c r="Q638" i="82"/>
  <c r="R639" i="82" s="1"/>
  <c r="AA637" i="82"/>
  <c r="X637" i="82"/>
  <c r="U637" i="82"/>
  <c r="V637" i="82" s="1"/>
  <c r="Z637" i="82"/>
  <c r="CN720" i="82"/>
  <c r="CO720" i="82"/>
  <c r="CP721" i="82" s="1"/>
  <c r="DF719" i="82"/>
  <c r="DS718" i="82"/>
  <c r="DT718" i="82" s="1"/>
  <c r="DO718" i="82"/>
  <c r="DP718" i="82" s="1"/>
  <c r="CY720" i="82"/>
  <c r="AU721" i="82"/>
  <c r="DA719" i="82"/>
  <c r="EA719" i="82"/>
  <c r="DD719" i="82"/>
  <c r="AQ720" i="82"/>
  <c r="AW719" i="82"/>
  <c r="DC719" i="82"/>
  <c r="AM720" i="82"/>
  <c r="DB719" i="82"/>
  <c r="CZ719" i="82"/>
  <c r="AN720" i="82"/>
  <c r="AO721" i="82" s="1"/>
  <c r="AP722" i="82" s="1"/>
  <c r="CU718" i="82"/>
  <c r="CV718" i="82" s="1"/>
  <c r="DJ719" i="82"/>
  <c r="CM720" i="82"/>
  <c r="CS719" i="82"/>
  <c r="DI719" i="82"/>
  <c r="DH719" i="82"/>
  <c r="DL719" i="82"/>
  <c r="DK719" i="82"/>
  <c r="CI720" i="82"/>
  <c r="CJ720" i="82"/>
  <c r="CK721" i="82" s="1"/>
  <c r="CL722" i="82" s="1"/>
  <c r="EG718" i="82"/>
  <c r="EC718" i="82"/>
  <c r="DW718" i="82"/>
  <c r="EO718" i="82"/>
  <c r="EK718" i="82"/>
  <c r="AV720" i="82"/>
  <c r="EB719" i="82"/>
  <c r="CR720" i="82"/>
  <c r="CQ721" i="82"/>
  <c r="DG720" i="82"/>
  <c r="ED719" i="82"/>
  <c r="AS720" i="82"/>
  <c r="AT721" i="82" s="1"/>
  <c r="CX719" i="82"/>
  <c r="AR720" i="82"/>
  <c r="AN636" i="72"/>
  <c r="AW636" i="72"/>
  <c r="BL428" i="72"/>
  <c r="DF719" i="72"/>
  <c r="DJ719" i="72"/>
  <c r="DK719" i="72"/>
  <c r="DH719" i="72"/>
  <c r="DI719" i="72"/>
  <c r="DL719" i="72"/>
  <c r="CQ721" i="72"/>
  <c r="DG720" i="72"/>
  <c r="CR720" i="72"/>
  <c r="CJ720" i="72"/>
  <c r="CK721" i="72" s="1"/>
  <c r="CL722" i="72" s="1"/>
  <c r="CI720" i="72"/>
  <c r="CM720" i="72"/>
  <c r="CS719" i="72"/>
  <c r="CO720" i="72"/>
  <c r="CP721" i="72" s="1"/>
  <c r="CN720" i="72"/>
  <c r="BE431" i="72"/>
  <c r="BF431" i="72"/>
  <c r="AY436" i="72"/>
  <c r="BB431" i="72"/>
  <c r="BC431" i="72" s="1"/>
  <c r="AR637" i="72"/>
  <c r="AF637" i="72"/>
  <c r="AJ636" i="72"/>
  <c r="AT636" i="72"/>
  <c r="X637" i="72"/>
  <c r="AB637" i="72"/>
  <c r="AC637" i="72"/>
  <c r="AA637" i="72"/>
  <c r="Z637" i="72"/>
  <c r="S639" i="72"/>
  <c r="Y638" i="72"/>
  <c r="T638" i="72"/>
  <c r="AS638" i="72" s="1"/>
  <c r="Q638" i="72"/>
  <c r="R639" i="72" s="1"/>
  <c r="P638" i="72"/>
  <c r="U637" i="72"/>
  <c r="V637" i="72" s="1"/>
  <c r="AJ637" i="82" l="1"/>
  <c r="AK637" i="82" s="1"/>
  <c r="Y639" i="82"/>
  <c r="S640" i="82"/>
  <c r="AS638" i="82"/>
  <c r="T639" i="82"/>
  <c r="AT637" i="82"/>
  <c r="AW637" i="82"/>
  <c r="AX637" i="82" s="1"/>
  <c r="AN637" i="82"/>
  <c r="AO637" i="82" s="1"/>
  <c r="AB638" i="82"/>
  <c r="AR638" i="82"/>
  <c r="Q639" i="82"/>
  <c r="R640" i="82" s="1"/>
  <c r="AF638" i="82"/>
  <c r="AG638" i="82" s="1"/>
  <c r="Z638" i="82"/>
  <c r="P639" i="82"/>
  <c r="AA638" i="82"/>
  <c r="U638" i="82"/>
  <c r="V638" i="82" s="1"/>
  <c r="AC638" i="82"/>
  <c r="X638" i="82"/>
  <c r="CU719" i="82"/>
  <c r="CV719" i="82" s="1"/>
  <c r="CR721" i="82"/>
  <c r="DC720" i="82"/>
  <c r="AM721" i="82"/>
  <c r="AN721" i="82"/>
  <c r="AO722" i="82" s="1"/>
  <c r="AP723" i="82" s="1"/>
  <c r="EA720" i="82"/>
  <c r="DB720" i="82"/>
  <c r="DA720" i="82"/>
  <c r="AQ721" i="82"/>
  <c r="AW720" i="82"/>
  <c r="DD720" i="82"/>
  <c r="CZ720" i="82"/>
  <c r="AR721" i="82"/>
  <c r="ED720" i="82"/>
  <c r="CX720" i="82"/>
  <c r="AS721" i="82"/>
  <c r="AT722" i="82" s="1"/>
  <c r="DO719" i="82"/>
  <c r="DP719" i="82" s="1"/>
  <c r="DS719" i="82"/>
  <c r="DT719" i="82" s="1"/>
  <c r="DL720" i="82"/>
  <c r="CI721" i="82"/>
  <c r="DH720" i="82"/>
  <c r="DJ720" i="82"/>
  <c r="CJ721" i="82"/>
  <c r="CK722" i="82" s="1"/>
  <c r="CL723" i="82" s="1"/>
  <c r="DK720" i="82"/>
  <c r="CM721" i="82"/>
  <c r="DI720" i="82"/>
  <c r="CS720" i="82"/>
  <c r="AU722" i="82"/>
  <c r="CY721" i="82"/>
  <c r="AV721" i="82"/>
  <c r="EB720" i="82"/>
  <c r="CQ722" i="82"/>
  <c r="DG721" i="82"/>
  <c r="EO719" i="82"/>
  <c r="DW719" i="82"/>
  <c r="EK719" i="82"/>
  <c r="EC719" i="82"/>
  <c r="EG719" i="82"/>
  <c r="CO721" i="82"/>
  <c r="CP722" i="82" s="1"/>
  <c r="CN721" i="82"/>
  <c r="DF720" i="82"/>
  <c r="AW637" i="72"/>
  <c r="AN637" i="72"/>
  <c r="DH720" i="72"/>
  <c r="DJ720" i="72"/>
  <c r="DL720" i="72"/>
  <c r="DI720" i="72"/>
  <c r="DK720" i="72"/>
  <c r="DF720" i="72"/>
  <c r="CQ722" i="72"/>
  <c r="DG721" i="72"/>
  <c r="CO721" i="72"/>
  <c r="CP722" i="72" s="1"/>
  <c r="CN721" i="72"/>
  <c r="CS720" i="72"/>
  <c r="CI721" i="72"/>
  <c r="CJ721" i="72"/>
  <c r="CK722" i="72" s="1"/>
  <c r="CL723" i="72" s="1"/>
  <c r="CM721" i="72"/>
  <c r="CR721" i="72"/>
  <c r="BB436" i="72"/>
  <c r="BC436" i="72" s="1"/>
  <c r="AY439" i="72"/>
  <c r="BE436" i="72"/>
  <c r="BI436" i="72"/>
  <c r="BJ436" i="72" s="1"/>
  <c r="BF436" i="72"/>
  <c r="AJ637" i="72"/>
  <c r="AF638" i="72"/>
  <c r="AR638" i="72"/>
  <c r="AT637" i="72"/>
  <c r="S640" i="72"/>
  <c r="Y639" i="72"/>
  <c r="X638" i="72"/>
  <c r="AB638" i="72"/>
  <c r="AC638" i="72"/>
  <c r="Z638" i="72"/>
  <c r="AA638" i="72"/>
  <c r="Q639" i="72"/>
  <c r="R640" i="72" s="1"/>
  <c r="U638" i="72"/>
  <c r="V638" i="72" s="1"/>
  <c r="P639" i="72"/>
  <c r="T639" i="72"/>
  <c r="AS639" i="72" s="1"/>
  <c r="T640" i="82" l="1"/>
  <c r="AS639" i="82"/>
  <c r="S641" i="82"/>
  <c r="Y640" i="82"/>
  <c r="AB639" i="82"/>
  <c r="AA639" i="82"/>
  <c r="P640" i="82"/>
  <c r="AF639" i="82"/>
  <c r="AG639" i="82" s="1"/>
  <c r="U639" i="82"/>
  <c r="V639" i="82" s="1"/>
  <c r="AC639" i="82"/>
  <c r="X639" i="82"/>
  <c r="AR639" i="82"/>
  <c r="Q640" i="82"/>
  <c r="R641" i="82" s="1"/>
  <c r="Z639" i="82"/>
  <c r="AT638" i="82"/>
  <c r="AW638" i="82"/>
  <c r="AX638" i="82" s="1"/>
  <c r="AN638" i="82"/>
  <c r="AO638" i="82" s="1"/>
  <c r="AJ638" i="82"/>
  <c r="AK638" i="82" s="1"/>
  <c r="CU720" i="82"/>
  <c r="CV720" i="82" s="1"/>
  <c r="CY722" i="82"/>
  <c r="AU723" i="82"/>
  <c r="EB721" i="82"/>
  <c r="AV722" i="82"/>
  <c r="DS720" i="82"/>
  <c r="DT720" i="82" s="1"/>
  <c r="DO720" i="82"/>
  <c r="DP720" i="82" s="1"/>
  <c r="EG720" i="82"/>
  <c r="DW720" i="82"/>
  <c r="EK720" i="82"/>
  <c r="EO720" i="82"/>
  <c r="EC720" i="82"/>
  <c r="CM722" i="82"/>
  <c r="DI721" i="82"/>
  <c r="DJ721" i="82"/>
  <c r="CI722" i="82"/>
  <c r="DK721" i="82"/>
  <c r="CS721" i="82"/>
  <c r="DL721" i="82"/>
  <c r="DH721" i="82"/>
  <c r="CJ722" i="82"/>
  <c r="CK723" i="82" s="1"/>
  <c r="CL724" i="82" s="1"/>
  <c r="AR722" i="82"/>
  <c r="ED721" i="82"/>
  <c r="AS722" i="82"/>
  <c r="AT723" i="82" s="1"/>
  <c r="CX721" i="82"/>
  <c r="CZ721" i="82"/>
  <c r="DC721" i="82"/>
  <c r="AN722" i="82"/>
  <c r="AO723" i="82" s="1"/>
  <c r="AP724" i="82" s="1"/>
  <c r="DB721" i="82"/>
  <c r="AQ722" i="82"/>
  <c r="AW721" i="82"/>
  <c r="DD721" i="82"/>
  <c r="AM722" i="82"/>
  <c r="EA721" i="82"/>
  <c r="DA721" i="82"/>
  <c r="CN722" i="82"/>
  <c r="DF721" i="82"/>
  <c r="CO722" i="82"/>
  <c r="CP723" i="82" s="1"/>
  <c r="CQ723" i="82"/>
  <c r="DG722" i="82"/>
  <c r="CR722" i="82"/>
  <c r="AW638" i="72"/>
  <c r="AN638" i="72"/>
  <c r="BL436" i="72"/>
  <c r="DF721" i="72"/>
  <c r="DJ721" i="72"/>
  <c r="DK721" i="72"/>
  <c r="DL721" i="72"/>
  <c r="DH721" i="72"/>
  <c r="DI721" i="72"/>
  <c r="CQ723" i="72"/>
  <c r="DG722" i="72"/>
  <c r="CR722" i="72"/>
  <c r="CJ722" i="72"/>
  <c r="CK723" i="72" s="1"/>
  <c r="CL724" i="72" s="1"/>
  <c r="CM722" i="72"/>
  <c r="CI722" i="72"/>
  <c r="CS721" i="72"/>
  <c r="CO722" i="72"/>
  <c r="CP723" i="72" s="1"/>
  <c r="CN722" i="72"/>
  <c r="AY444" i="72"/>
  <c r="BE439" i="72"/>
  <c r="BF439" i="72"/>
  <c r="BB439" i="72"/>
  <c r="BC439" i="72" s="1"/>
  <c r="AT638" i="72"/>
  <c r="AJ638" i="72"/>
  <c r="AR639" i="72"/>
  <c r="AF639" i="72"/>
  <c r="S641" i="72"/>
  <c r="Y640" i="72"/>
  <c r="X639" i="72"/>
  <c r="AB639" i="72"/>
  <c r="AC639" i="72"/>
  <c r="AA639" i="72"/>
  <c r="Z639" i="72"/>
  <c r="T640" i="72"/>
  <c r="AS640" i="72" s="1"/>
  <c r="U639" i="72"/>
  <c r="V639" i="72" s="1"/>
  <c r="Q640" i="72"/>
  <c r="R641" i="72" s="1"/>
  <c r="P640" i="72"/>
  <c r="P641" i="82" l="1"/>
  <c r="X640" i="82"/>
  <c r="AA640" i="82"/>
  <c r="Q641" i="82"/>
  <c r="R642" i="82" s="1"/>
  <c r="AB640" i="82"/>
  <c r="Z640" i="82"/>
  <c r="AR640" i="82"/>
  <c r="AF640" i="82"/>
  <c r="AG640" i="82" s="1"/>
  <c r="AC640" i="82"/>
  <c r="U640" i="82"/>
  <c r="V640" i="82" s="1"/>
  <c r="AT639" i="82"/>
  <c r="AW639" i="82"/>
  <c r="AX639" i="82" s="1"/>
  <c r="AN639" i="82"/>
  <c r="AO639" i="82" s="1"/>
  <c r="AJ639" i="82"/>
  <c r="AK639" i="82" s="1"/>
  <c r="Y641" i="82"/>
  <c r="S642" i="82"/>
  <c r="AS640" i="82"/>
  <c r="T641" i="82"/>
  <c r="ED722" i="82"/>
  <c r="CX722" i="82"/>
  <c r="AS723" i="82"/>
  <c r="AT724" i="82" s="1"/>
  <c r="AR723" i="82"/>
  <c r="DF722" i="82"/>
  <c r="CO723" i="82"/>
  <c r="CP724" i="82" s="1"/>
  <c r="CN723" i="82"/>
  <c r="EC721" i="82"/>
  <c r="EK721" i="82"/>
  <c r="EG721" i="82"/>
  <c r="EO721" i="82"/>
  <c r="DW721" i="82"/>
  <c r="AV723" i="82"/>
  <c r="EB722" i="82"/>
  <c r="CR723" i="82"/>
  <c r="AW722" i="82"/>
  <c r="AM723" i="82"/>
  <c r="EA722" i="82"/>
  <c r="DB722" i="82"/>
  <c r="DA722" i="82"/>
  <c r="AQ723" i="82"/>
  <c r="DD722" i="82"/>
  <c r="DC722" i="82"/>
  <c r="CZ722" i="82"/>
  <c r="AN723" i="82"/>
  <c r="AO724" i="82" s="1"/>
  <c r="AP725" i="82" s="1"/>
  <c r="CU721" i="82"/>
  <c r="CV721" i="82" s="1"/>
  <c r="DS721" i="82"/>
  <c r="DT721" i="82" s="1"/>
  <c r="DO721" i="82"/>
  <c r="DP721" i="82" s="1"/>
  <c r="AU724" i="82"/>
  <c r="CY723" i="82"/>
  <c r="CJ723" i="82"/>
  <c r="CK724" i="82" s="1"/>
  <c r="CL725" i="82" s="1"/>
  <c r="DI722" i="82"/>
  <c r="CI723" i="82"/>
  <c r="DL722" i="82"/>
  <c r="DK722" i="82"/>
  <c r="DJ722" i="82"/>
  <c r="CM723" i="82"/>
  <c r="CS722" i="82"/>
  <c r="DH722" i="82"/>
  <c r="DG723" i="82"/>
  <c r="CQ724" i="82"/>
  <c r="AW639" i="72"/>
  <c r="AN639" i="72"/>
  <c r="DF722" i="72"/>
  <c r="CQ724" i="72"/>
  <c r="DG723" i="72"/>
  <c r="DK722" i="72"/>
  <c r="DH722" i="72"/>
  <c r="DJ722" i="72"/>
  <c r="DI722" i="72"/>
  <c r="DL722" i="72"/>
  <c r="CO723" i="72"/>
  <c r="CP724" i="72" s="1"/>
  <c r="CN723" i="72"/>
  <c r="CS722" i="72"/>
  <c r="CM723" i="72"/>
  <c r="CI723" i="72"/>
  <c r="CJ723" i="72"/>
  <c r="CK724" i="72" s="1"/>
  <c r="CL725" i="72" s="1"/>
  <c r="CR723" i="72"/>
  <c r="BI444" i="72"/>
  <c r="BJ444" i="72" s="1"/>
  <c r="BB444" i="72"/>
  <c r="BC444" i="72" s="1"/>
  <c r="BE444" i="72"/>
  <c r="AY447" i="72"/>
  <c r="BF444" i="72"/>
  <c r="AF640" i="72"/>
  <c r="AR640" i="72"/>
  <c r="AJ639" i="72"/>
  <c r="AT639" i="72"/>
  <c r="S642" i="72"/>
  <c r="Y641" i="72"/>
  <c r="X640" i="72"/>
  <c r="AB640" i="72"/>
  <c r="AC640" i="72"/>
  <c r="Z640" i="72"/>
  <c r="AA640" i="72"/>
  <c r="P641" i="72"/>
  <c r="U640" i="72"/>
  <c r="V640" i="72" s="1"/>
  <c r="Q641" i="72"/>
  <c r="R642" i="72" s="1"/>
  <c r="T641" i="72"/>
  <c r="AS641" i="72" s="1"/>
  <c r="Y642" i="82" l="1"/>
  <c r="S643" i="82"/>
  <c r="AT640" i="82"/>
  <c r="AN640" i="82"/>
  <c r="AO640" i="82" s="1"/>
  <c r="AW640" i="82"/>
  <c r="AX640" i="82" s="1"/>
  <c r="T642" i="82"/>
  <c r="AS641" i="82"/>
  <c r="AJ640" i="82"/>
  <c r="AK640" i="82" s="1"/>
  <c r="AR641" i="82"/>
  <c r="AC641" i="82"/>
  <c r="AF641" i="82"/>
  <c r="AG641" i="82" s="1"/>
  <c r="P642" i="82"/>
  <c r="X641" i="82"/>
  <c r="AB641" i="82"/>
  <c r="Z641" i="82"/>
  <c r="Q642" i="82"/>
  <c r="R643" i="82" s="1"/>
  <c r="AA641" i="82"/>
  <c r="U641" i="82"/>
  <c r="V641" i="82" s="1"/>
  <c r="CU722" i="82"/>
  <c r="CV722" i="82" s="1"/>
  <c r="CO724" i="82"/>
  <c r="CP725" i="82" s="1"/>
  <c r="DF723" i="82"/>
  <c r="CN724" i="82"/>
  <c r="EB723" i="82"/>
  <c r="AV724" i="82"/>
  <c r="CQ725" i="82"/>
  <c r="DG724" i="82"/>
  <c r="EO722" i="82"/>
  <c r="EC722" i="82"/>
  <c r="DW722" i="82"/>
  <c r="EK722" i="82"/>
  <c r="EG722" i="82"/>
  <c r="DK723" i="82"/>
  <c r="CS723" i="82"/>
  <c r="CM724" i="82"/>
  <c r="DI723" i="82"/>
  <c r="CJ724" i="82"/>
  <c r="CK725" i="82" s="1"/>
  <c r="CL726" i="82" s="1"/>
  <c r="DH723" i="82"/>
  <c r="CI724" i="82"/>
  <c r="DL723" i="82"/>
  <c r="DJ723" i="82"/>
  <c r="AR724" i="82"/>
  <c r="AS724" i="82"/>
  <c r="AT725" i="82" s="1"/>
  <c r="ED723" i="82"/>
  <c r="CX723" i="82"/>
  <c r="AQ724" i="82"/>
  <c r="DB723" i="82"/>
  <c r="DC723" i="82"/>
  <c r="DA723" i="82"/>
  <c r="AN724" i="82"/>
  <c r="AO725" i="82" s="1"/>
  <c r="AP726" i="82" s="1"/>
  <c r="AW723" i="82"/>
  <c r="AM724" i="82"/>
  <c r="CZ723" i="82"/>
  <c r="DD723" i="82"/>
  <c r="EA723" i="82"/>
  <c r="CY724" i="82"/>
  <c r="AU725" i="82"/>
  <c r="DO722" i="82"/>
  <c r="DP722" i="82" s="1"/>
  <c r="DS722" i="82"/>
  <c r="DT722" i="82" s="1"/>
  <c r="CR724" i="82"/>
  <c r="AN640" i="72"/>
  <c r="AW640" i="72"/>
  <c r="BL444" i="72"/>
  <c r="DJ723" i="72"/>
  <c r="DK723" i="72"/>
  <c r="DH723" i="72"/>
  <c r="DL723" i="72"/>
  <c r="DI723" i="72"/>
  <c r="DF723" i="72"/>
  <c r="CQ725" i="72"/>
  <c r="DG724" i="72"/>
  <c r="CR724" i="72"/>
  <c r="CI724" i="72"/>
  <c r="CM724" i="72"/>
  <c r="CS723" i="72"/>
  <c r="CJ724" i="72"/>
  <c r="CK725" i="72" s="1"/>
  <c r="CL726" i="72" s="1"/>
  <c r="CN724" i="72"/>
  <c r="CO724" i="72"/>
  <c r="CP725" i="72" s="1"/>
  <c r="AY452" i="72"/>
  <c r="BB447" i="72"/>
  <c r="BC447" i="72" s="1"/>
  <c r="BF447" i="72"/>
  <c r="BE447" i="72"/>
  <c r="AJ640" i="72"/>
  <c r="AR641" i="72"/>
  <c r="AF641" i="72"/>
  <c r="AT640" i="72"/>
  <c r="S643" i="72"/>
  <c r="Y642" i="72"/>
  <c r="AB641" i="72"/>
  <c r="X641" i="72"/>
  <c r="AC641" i="72"/>
  <c r="AA641" i="72"/>
  <c r="Z641" i="72"/>
  <c r="T642" i="72"/>
  <c r="AS642" i="72" s="1"/>
  <c r="U641" i="72"/>
  <c r="V641" i="72" s="1"/>
  <c r="Q642" i="72"/>
  <c r="R643" i="72" s="1"/>
  <c r="P642" i="72"/>
  <c r="AJ641" i="82" l="1"/>
  <c r="AK641" i="82" s="1"/>
  <c r="S644" i="82"/>
  <c r="Y643" i="82"/>
  <c r="AT641" i="82"/>
  <c r="AW641" i="82"/>
  <c r="AX641" i="82" s="1"/>
  <c r="AN641" i="82"/>
  <c r="AO641" i="82" s="1"/>
  <c r="T643" i="82"/>
  <c r="AS642" i="82"/>
  <c r="AF642" i="82"/>
  <c r="AG642" i="82" s="1"/>
  <c r="P643" i="82"/>
  <c r="X642" i="82"/>
  <c r="U642" i="82"/>
  <c r="V642" i="82" s="1"/>
  <c r="Z642" i="82"/>
  <c r="Q643" i="82"/>
  <c r="R644" i="82" s="1"/>
  <c r="AA642" i="82"/>
  <c r="AR642" i="82"/>
  <c r="AC642" i="82"/>
  <c r="AB642" i="82"/>
  <c r="CR725" i="82"/>
  <c r="EG723" i="82"/>
  <c r="EK723" i="82"/>
  <c r="EC723" i="82"/>
  <c r="DW723" i="82"/>
  <c r="EO723" i="82"/>
  <c r="ED724" i="82"/>
  <c r="CX724" i="82"/>
  <c r="AS725" i="82"/>
  <c r="AT726" i="82" s="1"/>
  <c r="AR725" i="82"/>
  <c r="CU723" i="82"/>
  <c r="CV723" i="82" s="1"/>
  <c r="AV725" i="82"/>
  <c r="EB724" i="82"/>
  <c r="DH724" i="82"/>
  <c r="CM725" i="82"/>
  <c r="DL724" i="82"/>
  <c r="CJ725" i="82"/>
  <c r="CK726" i="82" s="1"/>
  <c r="CL727" i="82" s="1"/>
  <c r="CS724" i="82"/>
  <c r="DJ724" i="82"/>
  <c r="DK724" i="82"/>
  <c r="DI724" i="82"/>
  <c r="CI725" i="82"/>
  <c r="AN725" i="82"/>
  <c r="AO726" i="82" s="1"/>
  <c r="AP727" i="82" s="1"/>
  <c r="EA724" i="82"/>
  <c r="DD724" i="82"/>
  <c r="DA724" i="82"/>
  <c r="CZ724" i="82"/>
  <c r="AM725" i="82"/>
  <c r="DB724" i="82"/>
  <c r="DC724" i="82"/>
  <c r="AW724" i="82"/>
  <c r="AQ725" i="82"/>
  <c r="DO723" i="82"/>
  <c r="DP723" i="82" s="1"/>
  <c r="DS723" i="82"/>
  <c r="DT723" i="82" s="1"/>
  <c r="CO725" i="82"/>
  <c r="CP726" i="82" s="1"/>
  <c r="DF724" i="82"/>
  <c r="CN725" i="82"/>
  <c r="AU726" i="82"/>
  <c r="CY725" i="82"/>
  <c r="CQ726" i="82"/>
  <c r="DG725" i="82"/>
  <c r="AN641" i="72"/>
  <c r="AW641" i="72"/>
  <c r="DF724" i="72"/>
  <c r="CQ726" i="72"/>
  <c r="DG725" i="72"/>
  <c r="DJ724" i="72"/>
  <c r="DK724" i="72"/>
  <c r="DL724" i="72"/>
  <c r="DI724" i="72"/>
  <c r="DH724" i="72"/>
  <c r="CO725" i="72"/>
  <c r="CP726" i="72" s="1"/>
  <c r="CN725" i="72"/>
  <c r="CJ725" i="72"/>
  <c r="CK726" i="72" s="1"/>
  <c r="CL727" i="72" s="1"/>
  <c r="CS724" i="72"/>
  <c r="CI725" i="72"/>
  <c r="CM725" i="72"/>
  <c r="CR725" i="72"/>
  <c r="BI452" i="72"/>
  <c r="BJ452" i="72" s="1"/>
  <c r="BE452" i="72"/>
  <c r="BB452" i="72"/>
  <c r="BC452" i="72" s="1"/>
  <c r="BF452" i="72"/>
  <c r="AY455" i="72"/>
  <c r="AJ641" i="72"/>
  <c r="AF642" i="72"/>
  <c r="AR642" i="72"/>
  <c r="AT641" i="72"/>
  <c r="X642" i="72"/>
  <c r="AB642" i="72"/>
  <c r="AC642" i="72"/>
  <c r="AA642" i="72"/>
  <c r="Z642" i="72"/>
  <c r="S644" i="72"/>
  <c r="Y643" i="72"/>
  <c r="P643" i="72"/>
  <c r="Q643" i="72"/>
  <c r="R644" i="72" s="1"/>
  <c r="U642" i="72"/>
  <c r="V642" i="72" s="1"/>
  <c r="T643" i="72"/>
  <c r="AS643" i="72" s="1"/>
  <c r="T644" i="82" l="1"/>
  <c r="AS643" i="82"/>
  <c r="S645" i="82"/>
  <c r="Y644" i="82"/>
  <c r="AJ642" i="82"/>
  <c r="AK642" i="82" s="1"/>
  <c r="AT642" i="82"/>
  <c r="AN642" i="82"/>
  <c r="AO642" i="82" s="1"/>
  <c r="AW642" i="82"/>
  <c r="AX642" i="82" s="1"/>
  <c r="AC643" i="82"/>
  <c r="AF643" i="82"/>
  <c r="AG643" i="82" s="1"/>
  <c r="AA643" i="82"/>
  <c r="AB643" i="82"/>
  <c r="X643" i="82"/>
  <c r="AJ643" i="82" s="1"/>
  <c r="AK643" i="82" s="1"/>
  <c r="U643" i="82"/>
  <c r="V643" i="82" s="1"/>
  <c r="P644" i="82"/>
  <c r="Q644" i="82"/>
  <c r="R645" i="82" s="1"/>
  <c r="AR643" i="82"/>
  <c r="Z643" i="82"/>
  <c r="AU727" i="82"/>
  <c r="CY726" i="82"/>
  <c r="DG726" i="82"/>
  <c r="CQ727" i="82"/>
  <c r="DD725" i="82"/>
  <c r="AN726" i="82"/>
  <c r="AO727" i="82" s="1"/>
  <c r="AP728" i="82" s="1"/>
  <c r="CZ725" i="82"/>
  <c r="EA725" i="82"/>
  <c r="DB725" i="82"/>
  <c r="DC725" i="82"/>
  <c r="AW725" i="82"/>
  <c r="DA725" i="82"/>
  <c r="AQ726" i="82"/>
  <c r="AM726" i="82"/>
  <c r="CI726" i="82"/>
  <c r="DJ725" i="82"/>
  <c r="CJ726" i="82"/>
  <c r="CK727" i="82" s="1"/>
  <c r="CL728" i="82" s="1"/>
  <c r="DH725" i="82"/>
  <c r="CS725" i="82"/>
  <c r="CU725" i="82" s="1"/>
  <c r="CV725" i="82" s="1"/>
  <c r="DI725" i="82"/>
  <c r="DK725" i="82"/>
  <c r="CM726" i="82"/>
  <c r="DL725" i="82"/>
  <c r="DO724" i="82"/>
  <c r="DP724" i="82" s="1"/>
  <c r="DS724" i="82"/>
  <c r="DT724" i="82" s="1"/>
  <c r="EO724" i="82"/>
  <c r="EC724" i="82"/>
  <c r="DW724" i="82"/>
  <c r="EG724" i="82"/>
  <c r="EK724" i="82"/>
  <c r="EB725" i="82"/>
  <c r="AV726" i="82"/>
  <c r="CR726" i="82"/>
  <c r="CU724" i="82"/>
  <c r="CV724" i="82" s="1"/>
  <c r="CO726" i="82"/>
  <c r="CP727" i="82" s="1"/>
  <c r="DF725" i="82"/>
  <c r="CN726" i="82"/>
  <c r="AS726" i="82"/>
  <c r="AT727" i="82" s="1"/>
  <c r="ED725" i="82"/>
  <c r="AR726" i="82"/>
  <c r="CX725" i="82"/>
  <c r="AN642" i="72"/>
  <c r="AW642" i="72"/>
  <c r="BL452" i="72"/>
  <c r="DF725" i="72"/>
  <c r="CQ727" i="72"/>
  <c r="DG726" i="72"/>
  <c r="DH725" i="72"/>
  <c r="DJ725" i="72"/>
  <c r="DK725" i="72"/>
  <c r="DL725" i="72"/>
  <c r="DI725" i="72"/>
  <c r="CR726" i="72"/>
  <c r="CS725" i="72"/>
  <c r="CM726" i="72"/>
  <c r="CJ726" i="72"/>
  <c r="CK727" i="72" s="1"/>
  <c r="CL728" i="72" s="1"/>
  <c r="CI726" i="72"/>
  <c r="CO726" i="72"/>
  <c r="CP727" i="72" s="1"/>
  <c r="CN726" i="72"/>
  <c r="BE455" i="72"/>
  <c r="AY460" i="72"/>
  <c r="BI455" i="72"/>
  <c r="BJ455" i="72" s="1"/>
  <c r="BF455" i="72"/>
  <c r="BB455" i="72"/>
  <c r="BC455" i="72" s="1"/>
  <c r="AT642" i="72"/>
  <c r="AJ642" i="72"/>
  <c r="AR643" i="72"/>
  <c r="AF643" i="72"/>
  <c r="S645" i="72"/>
  <c r="Y644" i="72"/>
  <c r="X643" i="72"/>
  <c r="AB643" i="72"/>
  <c r="AC643" i="72"/>
  <c r="AA643" i="72"/>
  <c r="Z643" i="72"/>
  <c r="T644" i="72"/>
  <c r="AS644" i="72" s="1"/>
  <c r="Q644" i="72"/>
  <c r="R645" i="72" s="1"/>
  <c r="P644" i="72"/>
  <c r="U643" i="72"/>
  <c r="V643" i="72" s="1"/>
  <c r="Y645" i="82" l="1"/>
  <c r="S646" i="82"/>
  <c r="AR644" i="82"/>
  <c r="U644" i="82"/>
  <c r="V644" i="82" s="1"/>
  <c r="Z644" i="82"/>
  <c r="AA644" i="82"/>
  <c r="AF644" i="82"/>
  <c r="AG644" i="82" s="1"/>
  <c r="Q645" i="82"/>
  <c r="R646" i="82" s="1"/>
  <c r="X644" i="82"/>
  <c r="AB644" i="82"/>
  <c r="P645" i="82"/>
  <c r="AC644" i="82"/>
  <c r="AW643" i="82"/>
  <c r="AX643" i="82" s="1"/>
  <c r="AT643" i="82"/>
  <c r="AN643" i="82"/>
  <c r="AO643" i="82" s="1"/>
  <c r="AS644" i="82"/>
  <c r="T645" i="82"/>
  <c r="CN727" i="82"/>
  <c r="CO727" i="82"/>
  <c r="CP728" i="82" s="1"/>
  <c r="DF726" i="82"/>
  <c r="AV727" i="82"/>
  <c r="EB726" i="82"/>
  <c r="DJ726" i="82"/>
  <c r="DI726" i="82"/>
  <c r="CM727" i="82"/>
  <c r="CI727" i="82"/>
  <c r="CS726" i="82"/>
  <c r="CJ727" i="82"/>
  <c r="CK728" i="82" s="1"/>
  <c r="CL729" i="82" s="1"/>
  <c r="DL726" i="82"/>
  <c r="DK726" i="82"/>
  <c r="DH726" i="82"/>
  <c r="DG727" i="82"/>
  <c r="CQ728" i="82"/>
  <c r="DA726" i="82"/>
  <c r="DC726" i="82"/>
  <c r="AW726" i="82"/>
  <c r="AN727" i="82"/>
  <c r="AO728" i="82" s="1"/>
  <c r="AP729" i="82" s="1"/>
  <c r="DB726" i="82"/>
  <c r="EA726" i="82"/>
  <c r="DD726" i="82"/>
  <c r="CZ726" i="82"/>
  <c r="AQ727" i="82"/>
  <c r="AM727" i="82"/>
  <c r="DS725" i="82"/>
  <c r="DT725" i="82" s="1"/>
  <c r="DO725" i="82"/>
  <c r="DP725" i="82" s="1"/>
  <c r="EG725" i="82"/>
  <c r="EO725" i="82"/>
  <c r="DW725" i="82"/>
  <c r="EK725" i="82"/>
  <c r="EC725" i="82"/>
  <c r="ED726" i="82"/>
  <c r="AR727" i="82"/>
  <c r="CX726" i="82"/>
  <c r="AS727" i="82"/>
  <c r="AT728" i="82" s="1"/>
  <c r="CR727" i="82"/>
  <c r="AU728" i="82"/>
  <c r="CY727" i="82"/>
  <c r="AN643" i="72"/>
  <c r="AW643" i="72"/>
  <c r="BL455" i="72"/>
  <c r="DF726" i="72"/>
  <c r="CQ728" i="72"/>
  <c r="DG727" i="72"/>
  <c r="DL726" i="72"/>
  <c r="DJ726" i="72"/>
  <c r="DK726" i="72"/>
  <c r="DH726" i="72"/>
  <c r="DI726" i="72"/>
  <c r="CO727" i="72"/>
  <c r="CP728" i="72" s="1"/>
  <c r="CN727" i="72"/>
  <c r="CM727" i="72"/>
  <c r="CI727" i="72"/>
  <c r="CJ727" i="72"/>
  <c r="CK728" i="72" s="1"/>
  <c r="CL729" i="72" s="1"/>
  <c r="CS726" i="72"/>
  <c r="CR727" i="72"/>
  <c r="BE460" i="72"/>
  <c r="BB460" i="72"/>
  <c r="BC460" i="72" s="1"/>
  <c r="AY463" i="72"/>
  <c r="BI460" i="72"/>
  <c r="BJ460" i="72" s="1"/>
  <c r="BF460" i="72"/>
  <c r="AJ643" i="72"/>
  <c r="AR644" i="72"/>
  <c r="AF644" i="72"/>
  <c r="AT643" i="72"/>
  <c r="X644" i="72"/>
  <c r="AB644" i="72"/>
  <c r="AC644" i="72"/>
  <c r="AA644" i="72"/>
  <c r="Z644" i="72"/>
  <c r="S646" i="72"/>
  <c r="Y645" i="72"/>
  <c r="Q645" i="72"/>
  <c r="R646" i="72" s="1"/>
  <c r="U644" i="72"/>
  <c r="V644" i="72" s="1"/>
  <c r="P645" i="72"/>
  <c r="T645" i="72"/>
  <c r="AS645" i="72" s="1"/>
  <c r="Y646" i="82" l="1"/>
  <c r="S647" i="82"/>
  <c r="X645" i="82"/>
  <c r="Q646" i="82"/>
  <c r="R647" i="82" s="1"/>
  <c r="P646" i="82"/>
  <c r="AC645" i="82"/>
  <c r="AR645" i="82"/>
  <c r="AA645" i="82"/>
  <c r="AB645" i="82"/>
  <c r="AF645" i="82"/>
  <c r="AG645" i="82" s="1"/>
  <c r="Z645" i="82"/>
  <c r="U645" i="82"/>
  <c r="V645" i="82" s="1"/>
  <c r="AT644" i="82"/>
  <c r="AW644" i="82"/>
  <c r="AX644" i="82" s="1"/>
  <c r="AN644" i="82"/>
  <c r="AO644" i="82" s="1"/>
  <c r="T646" i="82"/>
  <c r="AS645" i="82"/>
  <c r="AJ644" i="82"/>
  <c r="AK644" i="82" s="1"/>
  <c r="CR728" i="82"/>
  <c r="DO726" i="82"/>
  <c r="DP726" i="82" s="1"/>
  <c r="DS726" i="82"/>
  <c r="DT726" i="82" s="1"/>
  <c r="CX727" i="82"/>
  <c r="ED727" i="82"/>
  <c r="AR728" i="82"/>
  <c r="AS728" i="82"/>
  <c r="AT729" i="82" s="1"/>
  <c r="AM728" i="82"/>
  <c r="EA727" i="82"/>
  <c r="AQ728" i="82"/>
  <c r="DB727" i="82"/>
  <c r="CZ727" i="82"/>
  <c r="AN728" i="82"/>
  <c r="AO729" i="82" s="1"/>
  <c r="AP730" i="82" s="1"/>
  <c r="AW727" i="82"/>
  <c r="DD727" i="82"/>
  <c r="DC727" i="82"/>
  <c r="DA727" i="82"/>
  <c r="AV728" i="82"/>
  <c r="EB727" i="82"/>
  <c r="EO726" i="82"/>
  <c r="EK726" i="82"/>
  <c r="EG726" i="82"/>
  <c r="EC726" i="82"/>
  <c r="DW726" i="82"/>
  <c r="CU726" i="82"/>
  <c r="CV726" i="82" s="1"/>
  <c r="DH727" i="82"/>
  <c r="CI728" i="82"/>
  <c r="DL727" i="82"/>
  <c r="CJ728" i="82"/>
  <c r="CK729" i="82" s="1"/>
  <c r="CL730" i="82" s="1"/>
  <c r="DJ727" i="82"/>
  <c r="DK727" i="82"/>
  <c r="DI727" i="82"/>
  <c r="CS727" i="82"/>
  <c r="CM728" i="82"/>
  <c r="DG728" i="82"/>
  <c r="CQ729" i="82"/>
  <c r="CY728" i="82"/>
  <c r="AU729" i="82"/>
  <c r="CN728" i="82"/>
  <c r="DF727" i="82"/>
  <c r="CO728" i="82"/>
  <c r="CP729" i="82" s="1"/>
  <c r="AN644" i="72"/>
  <c r="AW644" i="72"/>
  <c r="BL460" i="72"/>
  <c r="DJ727" i="72"/>
  <c r="DK727" i="72"/>
  <c r="DI727" i="72"/>
  <c r="DL727" i="72"/>
  <c r="DH727" i="72"/>
  <c r="DF727" i="72"/>
  <c r="CQ729" i="72"/>
  <c r="DG728" i="72"/>
  <c r="CR728" i="72"/>
  <c r="CM728" i="72"/>
  <c r="CS727" i="72"/>
  <c r="CJ728" i="72"/>
  <c r="CK729" i="72" s="1"/>
  <c r="CL730" i="72" s="1"/>
  <c r="CI728" i="72"/>
  <c r="CN728" i="72"/>
  <c r="CO728" i="72"/>
  <c r="CP729" i="72" s="1"/>
  <c r="BI463" i="72"/>
  <c r="BJ463" i="72" s="1"/>
  <c r="BE463" i="72"/>
  <c r="BB463" i="72"/>
  <c r="BC463" i="72" s="1"/>
  <c r="BF463" i="72"/>
  <c r="AY468" i="72"/>
  <c r="AT644" i="72"/>
  <c r="AJ644" i="72"/>
  <c r="AR645" i="72"/>
  <c r="AF645" i="72"/>
  <c r="S647" i="72"/>
  <c r="Y646" i="72"/>
  <c r="X645" i="72"/>
  <c r="AB645" i="72"/>
  <c r="AC645" i="72"/>
  <c r="AA645" i="72"/>
  <c r="Z645" i="72"/>
  <c r="T646" i="72"/>
  <c r="AS646" i="72" s="1"/>
  <c r="Q646" i="72"/>
  <c r="R647" i="72" s="1"/>
  <c r="U645" i="72"/>
  <c r="V645" i="72" s="1"/>
  <c r="P646" i="72"/>
  <c r="U646" i="82" l="1"/>
  <c r="V646" i="82" s="1"/>
  <c r="P647" i="82"/>
  <c r="AB646" i="82"/>
  <c r="Q647" i="82"/>
  <c r="R648" i="82" s="1"/>
  <c r="AA646" i="82"/>
  <c r="AR646" i="82"/>
  <c r="AC646" i="82"/>
  <c r="AF646" i="82"/>
  <c r="AG646" i="82" s="1"/>
  <c r="X646" i="82"/>
  <c r="Z646" i="82"/>
  <c r="AS646" i="82"/>
  <c r="T647" i="82"/>
  <c r="S648" i="82"/>
  <c r="Y647" i="82"/>
  <c r="AT645" i="82"/>
  <c r="AN645" i="82"/>
  <c r="AO645" i="82" s="1"/>
  <c r="AW645" i="82"/>
  <c r="AX645" i="82" s="1"/>
  <c r="AJ645" i="82"/>
  <c r="AK645" i="82" s="1"/>
  <c r="CU727" i="82"/>
  <c r="CV727" i="82" s="1"/>
  <c r="DC728" i="82"/>
  <c r="AQ729" i="82"/>
  <c r="DB728" i="82"/>
  <c r="AM729" i="82"/>
  <c r="DA728" i="82"/>
  <c r="CZ728" i="82"/>
  <c r="AW728" i="82"/>
  <c r="DD728" i="82"/>
  <c r="AN729" i="82"/>
  <c r="AO730" i="82" s="1"/>
  <c r="AP731" i="82" s="1"/>
  <c r="EA728" i="82"/>
  <c r="DL728" i="82"/>
  <c r="CS728" i="82"/>
  <c r="CM729" i="82"/>
  <c r="DJ728" i="82"/>
  <c r="CI729" i="82"/>
  <c r="DI728" i="82"/>
  <c r="DH728" i="82"/>
  <c r="DK728" i="82"/>
  <c r="CJ729" i="82"/>
  <c r="CK730" i="82" s="1"/>
  <c r="CL731" i="82" s="1"/>
  <c r="AU730" i="82"/>
  <c r="CY729" i="82"/>
  <c r="CQ730" i="82"/>
  <c r="DG729" i="82"/>
  <c r="AR729" i="82"/>
  <c r="ED728" i="82"/>
  <c r="AS729" i="82"/>
  <c r="AT730" i="82" s="1"/>
  <c r="CX728" i="82"/>
  <c r="CN729" i="82"/>
  <c r="DF728" i="82"/>
  <c r="CO729" i="82"/>
  <c r="CP730" i="82" s="1"/>
  <c r="CR729" i="82"/>
  <c r="DS727" i="82"/>
  <c r="DT727" i="82" s="1"/>
  <c r="DO727" i="82"/>
  <c r="DP727" i="82" s="1"/>
  <c r="EB728" i="82"/>
  <c r="AV729" i="82"/>
  <c r="EK727" i="82"/>
  <c r="EO727" i="82"/>
  <c r="EG727" i="82"/>
  <c r="EC727" i="82"/>
  <c r="DW727" i="82"/>
  <c r="AW645" i="72"/>
  <c r="AN645" i="72"/>
  <c r="BL463" i="72"/>
  <c r="DF728" i="72"/>
  <c r="CQ730" i="72"/>
  <c r="DG729" i="72"/>
  <c r="DH728" i="72"/>
  <c r="DJ728" i="72"/>
  <c r="DK728" i="72"/>
  <c r="DL728" i="72"/>
  <c r="DI728" i="72"/>
  <c r="CO729" i="72"/>
  <c r="CP730" i="72" s="1"/>
  <c r="CN729" i="72"/>
  <c r="CI729" i="72"/>
  <c r="CS728" i="72"/>
  <c r="CM729" i="72"/>
  <c r="CJ729" i="72"/>
  <c r="CK730" i="72" s="1"/>
  <c r="CL731" i="72" s="1"/>
  <c r="CR729" i="72"/>
  <c r="BI468" i="72"/>
  <c r="BJ468" i="72" s="1"/>
  <c r="BF468" i="72"/>
  <c r="BB468" i="72"/>
  <c r="BC468" i="72" s="1"/>
  <c r="AY471" i="72"/>
  <c r="BE468" i="72"/>
  <c r="AR646" i="72"/>
  <c r="AF646" i="72"/>
  <c r="AJ645" i="72"/>
  <c r="AT645" i="72"/>
  <c r="S648" i="72"/>
  <c r="Y647" i="72"/>
  <c r="X646" i="72"/>
  <c r="AB646" i="72"/>
  <c r="AC646" i="72"/>
  <c r="AA646" i="72"/>
  <c r="Z646" i="72"/>
  <c r="Q647" i="72"/>
  <c r="R648" i="72" s="1"/>
  <c r="U646" i="72"/>
  <c r="V646" i="72" s="1"/>
  <c r="P647" i="72"/>
  <c r="T647" i="72"/>
  <c r="AS647" i="72" s="1"/>
  <c r="S649" i="82" l="1"/>
  <c r="Y648" i="82"/>
  <c r="AW646" i="82"/>
  <c r="AX646" i="82" s="1"/>
  <c r="AN646" i="82"/>
  <c r="AO646" i="82" s="1"/>
  <c r="AT646" i="82"/>
  <c r="U647" i="82"/>
  <c r="V647" i="82" s="1"/>
  <c r="X647" i="82"/>
  <c r="AA647" i="82"/>
  <c r="AF647" i="82"/>
  <c r="AG647" i="82" s="1"/>
  <c r="Z647" i="82"/>
  <c r="P648" i="82"/>
  <c r="AC647" i="82"/>
  <c r="Q648" i="82"/>
  <c r="R649" i="82" s="1"/>
  <c r="AB647" i="82"/>
  <c r="AR647" i="82"/>
  <c r="AS647" i="82"/>
  <c r="T648" i="82"/>
  <c r="AJ646" i="82"/>
  <c r="AK646" i="82" s="1"/>
  <c r="CU728" i="82"/>
  <c r="CV728" i="82" s="1"/>
  <c r="CM730" i="82"/>
  <c r="DI729" i="82"/>
  <c r="CI730" i="82"/>
  <c r="DH729" i="82"/>
  <c r="CJ730" i="82"/>
  <c r="CK731" i="82" s="1"/>
  <c r="CL732" i="82" s="1"/>
  <c r="DK729" i="82"/>
  <c r="CS729" i="82"/>
  <c r="DL729" i="82"/>
  <c r="DJ729" i="82"/>
  <c r="CO730" i="82"/>
  <c r="CP731" i="82" s="1"/>
  <c r="CN730" i="82"/>
  <c r="DF729" i="82"/>
  <c r="AV730" i="82"/>
  <c r="EB729" i="82"/>
  <c r="DS728" i="82"/>
  <c r="DT728" i="82" s="1"/>
  <c r="DO728" i="82"/>
  <c r="DP728" i="82" s="1"/>
  <c r="CY730" i="82"/>
  <c r="AU731" i="82"/>
  <c r="EG728" i="82"/>
  <c r="DW728" i="82"/>
  <c r="EK728" i="82"/>
  <c r="EC728" i="82"/>
  <c r="EO728" i="82"/>
  <c r="CZ729" i="82"/>
  <c r="AM730" i="82"/>
  <c r="EA729" i="82"/>
  <c r="DA729" i="82"/>
  <c r="DC729" i="82"/>
  <c r="AN730" i="82"/>
  <c r="AO731" i="82" s="1"/>
  <c r="AP732" i="82" s="1"/>
  <c r="DB729" i="82"/>
  <c r="DD729" i="82"/>
  <c r="AW729" i="82"/>
  <c r="AQ730" i="82"/>
  <c r="CX729" i="82"/>
  <c r="ED729" i="82"/>
  <c r="AS730" i="82"/>
  <c r="AT731" i="82" s="1"/>
  <c r="AR730" i="82"/>
  <c r="CR730" i="82"/>
  <c r="DG730" i="82"/>
  <c r="CQ731" i="82"/>
  <c r="AW646" i="72"/>
  <c r="AN646" i="72"/>
  <c r="BL468" i="72"/>
  <c r="DF729" i="72"/>
  <c r="CQ731" i="72"/>
  <c r="DG730" i="72"/>
  <c r="DJ729" i="72"/>
  <c r="DK729" i="72"/>
  <c r="DH729" i="72"/>
  <c r="DL729" i="72"/>
  <c r="DI729" i="72"/>
  <c r="CR730" i="72"/>
  <c r="CJ730" i="72"/>
  <c r="CK731" i="72" s="1"/>
  <c r="CL732" i="72" s="1"/>
  <c r="CI730" i="72"/>
  <c r="CS729" i="72"/>
  <c r="CM730" i="72"/>
  <c r="CO730" i="72"/>
  <c r="CP731" i="72" s="1"/>
  <c r="CN730" i="72"/>
  <c r="BE471" i="72"/>
  <c r="AY476" i="72"/>
  <c r="BI471" i="72"/>
  <c r="BJ471" i="72" s="1"/>
  <c r="BF471" i="72"/>
  <c r="BB471" i="72"/>
  <c r="BC471" i="72" s="1"/>
  <c r="AJ646" i="72"/>
  <c r="AR647" i="72"/>
  <c r="AF647" i="72"/>
  <c r="AT646" i="72"/>
  <c r="S649" i="72"/>
  <c r="Y648" i="72"/>
  <c r="X647" i="72"/>
  <c r="AB647" i="72"/>
  <c r="AC647" i="72"/>
  <c r="AA647" i="72"/>
  <c r="Z647" i="72"/>
  <c r="T648" i="72"/>
  <c r="AS648" i="72" s="1"/>
  <c r="U647" i="72"/>
  <c r="V647" i="72" s="1"/>
  <c r="P648" i="72"/>
  <c r="Q648" i="72"/>
  <c r="R649" i="72" s="1"/>
  <c r="AJ647" i="82" l="1"/>
  <c r="AK647" i="82" s="1"/>
  <c r="S650" i="82"/>
  <c r="Y649" i="82"/>
  <c r="X648" i="82"/>
  <c r="AB648" i="82"/>
  <c r="AF648" i="82"/>
  <c r="AG648" i="82" s="1"/>
  <c r="U648" i="82"/>
  <c r="V648" i="82" s="1"/>
  <c r="P649" i="82"/>
  <c r="AR648" i="82"/>
  <c r="Q649" i="82"/>
  <c r="R650" i="82" s="1"/>
  <c r="Z648" i="82"/>
  <c r="AC648" i="82"/>
  <c r="AA648" i="82"/>
  <c r="AN647" i="82"/>
  <c r="AO647" i="82" s="1"/>
  <c r="AW647" i="82"/>
  <c r="AX647" i="82" s="1"/>
  <c r="AT647" i="82"/>
  <c r="T649" i="82"/>
  <c r="AS648" i="82"/>
  <c r="CR731" i="82"/>
  <c r="CU729" i="82"/>
  <c r="CV729" i="82" s="1"/>
  <c r="AS731" i="82"/>
  <c r="AT732" i="82" s="1"/>
  <c r="AR731" i="82"/>
  <c r="ED730" i="82"/>
  <c r="CX730" i="82"/>
  <c r="AU732" i="82"/>
  <c r="CY731" i="82"/>
  <c r="EB730" i="82"/>
  <c r="AV731" i="82"/>
  <c r="EC729" i="82"/>
  <c r="EO729" i="82"/>
  <c r="EG729" i="82"/>
  <c r="DW729" i="82"/>
  <c r="EK729" i="82"/>
  <c r="DS729" i="82"/>
  <c r="DT729" i="82" s="1"/>
  <c r="DO729" i="82"/>
  <c r="DP729" i="82" s="1"/>
  <c r="DF730" i="82"/>
  <c r="CO731" i="82"/>
  <c r="CP732" i="82" s="1"/>
  <c r="CN731" i="82"/>
  <c r="CJ731" i="82"/>
  <c r="CK732" i="82" s="1"/>
  <c r="CL733" i="82" s="1"/>
  <c r="CM731" i="82"/>
  <c r="DL730" i="82"/>
  <c r="DK730" i="82"/>
  <c r="DI730" i="82"/>
  <c r="CS730" i="82"/>
  <c r="CI731" i="82"/>
  <c r="DJ730" i="82"/>
  <c r="DH730" i="82"/>
  <c r="AW730" i="82"/>
  <c r="AQ731" i="82"/>
  <c r="DC730" i="82"/>
  <c r="DB730" i="82"/>
  <c r="AN731" i="82"/>
  <c r="AO732" i="82" s="1"/>
  <c r="AP733" i="82" s="1"/>
  <c r="CZ730" i="82"/>
  <c r="DA730" i="82"/>
  <c r="AM731" i="82"/>
  <c r="EA730" i="82"/>
  <c r="DD730" i="82"/>
  <c r="CQ732" i="82"/>
  <c r="DG731" i="82"/>
  <c r="AW647" i="72"/>
  <c r="AN647" i="72"/>
  <c r="BL471" i="72"/>
  <c r="DF730" i="72"/>
  <c r="CQ732" i="72"/>
  <c r="DG731" i="72"/>
  <c r="DL730" i="72"/>
  <c r="DK730" i="72"/>
  <c r="DI730" i="72"/>
  <c r="DJ730" i="72"/>
  <c r="DH730" i="72"/>
  <c r="CO731" i="72"/>
  <c r="CP732" i="72" s="1"/>
  <c r="CN731" i="72"/>
  <c r="CM731" i="72"/>
  <c r="CJ731" i="72"/>
  <c r="CK732" i="72" s="1"/>
  <c r="CL733" i="72" s="1"/>
  <c r="CI731" i="72"/>
  <c r="CS730" i="72"/>
  <c r="CR731" i="72"/>
  <c r="BF476" i="72"/>
  <c r="BB476" i="72"/>
  <c r="BC476" i="72" s="1"/>
  <c r="BE476" i="72"/>
  <c r="AY479" i="72"/>
  <c r="BI476" i="72"/>
  <c r="BJ476" i="72" s="1"/>
  <c r="AT647" i="72"/>
  <c r="AJ647" i="72"/>
  <c r="AF648" i="72"/>
  <c r="AR648" i="72"/>
  <c r="S650" i="72"/>
  <c r="Y649" i="72"/>
  <c r="AB648" i="72"/>
  <c r="AC648" i="72"/>
  <c r="X648" i="72"/>
  <c r="AA648" i="72"/>
  <c r="Z648" i="72"/>
  <c r="U648" i="72"/>
  <c r="V648" i="72" s="1"/>
  <c r="P649" i="72"/>
  <c r="Q649" i="72"/>
  <c r="R650" i="72" s="1"/>
  <c r="T649" i="72"/>
  <c r="AS649" i="72" s="1"/>
  <c r="AS649" i="82" l="1"/>
  <c r="T650" i="82"/>
  <c r="Q650" i="82"/>
  <c r="R651" i="82" s="1"/>
  <c r="P650" i="82"/>
  <c r="AC649" i="82"/>
  <c r="AB649" i="82"/>
  <c r="Z649" i="82"/>
  <c r="U649" i="82"/>
  <c r="V649" i="82" s="1"/>
  <c r="AR649" i="82"/>
  <c r="X649" i="82"/>
  <c r="AF649" i="82"/>
  <c r="AG649" i="82" s="1"/>
  <c r="AA649" i="82"/>
  <c r="AJ648" i="82"/>
  <c r="AK648" i="82" s="1"/>
  <c r="AN648" i="82"/>
  <c r="AO648" i="82" s="1"/>
  <c r="AT648" i="82"/>
  <c r="AW648" i="82"/>
  <c r="AX648" i="82" s="1"/>
  <c r="Y650" i="82"/>
  <c r="S651" i="82"/>
  <c r="CU730" i="82"/>
  <c r="CV730" i="82" s="1"/>
  <c r="CR732" i="82"/>
  <c r="AQ732" i="82"/>
  <c r="DB731" i="82"/>
  <c r="AM732" i="82"/>
  <c r="DD731" i="82"/>
  <c r="AN732" i="82"/>
  <c r="AO733" i="82" s="1"/>
  <c r="AP734" i="82" s="1"/>
  <c r="CZ731" i="82"/>
  <c r="EA731" i="82"/>
  <c r="DC731" i="82"/>
  <c r="DA731" i="82"/>
  <c r="AW731" i="82"/>
  <c r="EK730" i="82"/>
  <c r="EO730" i="82"/>
  <c r="EG730" i="82"/>
  <c r="EC730" i="82"/>
  <c r="DW730" i="82"/>
  <c r="CO732" i="82"/>
  <c r="CP733" i="82" s="1"/>
  <c r="CN732" i="82"/>
  <c r="DF731" i="82"/>
  <c r="DK731" i="82"/>
  <c r="DH731" i="82"/>
  <c r="CJ732" i="82"/>
  <c r="CK733" i="82" s="1"/>
  <c r="CL734" i="82" s="1"/>
  <c r="DJ731" i="82"/>
  <c r="CS731" i="82"/>
  <c r="DI731" i="82"/>
  <c r="CM732" i="82"/>
  <c r="DL731" i="82"/>
  <c r="CI732" i="82"/>
  <c r="DG732" i="82"/>
  <c r="CQ733" i="82"/>
  <c r="DO730" i="82"/>
  <c r="DP730" i="82" s="1"/>
  <c r="DS730" i="82"/>
  <c r="DT730" i="82" s="1"/>
  <c r="CX731" i="82"/>
  <c r="AS732" i="82"/>
  <c r="AT733" i="82" s="1"/>
  <c r="ED731" i="82"/>
  <c r="AR732" i="82"/>
  <c r="AV732" i="82"/>
  <c r="EB731" i="82"/>
  <c r="CY732" i="82"/>
  <c r="AU733" i="82"/>
  <c r="AW648" i="72"/>
  <c r="AN648" i="72"/>
  <c r="BL476" i="72"/>
  <c r="DF731" i="72"/>
  <c r="CR732" i="72"/>
  <c r="DJ731" i="72"/>
  <c r="DK731" i="72"/>
  <c r="DI731" i="72"/>
  <c r="DH731" i="72"/>
  <c r="DL731" i="72"/>
  <c r="CQ733" i="72"/>
  <c r="DG732" i="72"/>
  <c r="CM732" i="72"/>
  <c r="CS731" i="72"/>
  <c r="CI732" i="72"/>
  <c r="CJ732" i="72"/>
  <c r="CK733" i="72" s="1"/>
  <c r="CL734" i="72" s="1"/>
  <c r="CN732" i="72"/>
  <c r="CO732" i="72"/>
  <c r="CP733" i="72" s="1"/>
  <c r="BF479" i="72"/>
  <c r="BE479" i="72"/>
  <c r="AY484" i="72"/>
  <c r="BI479" i="72"/>
  <c r="BJ479" i="72" s="1"/>
  <c r="BB479" i="72"/>
  <c r="BC479" i="72" s="1"/>
  <c r="AJ648" i="72"/>
  <c r="AR649" i="72"/>
  <c r="AF649" i="72"/>
  <c r="AT648" i="72"/>
  <c r="S651" i="72"/>
  <c r="Y650" i="72"/>
  <c r="AB649" i="72"/>
  <c r="AC649" i="72"/>
  <c r="X649" i="72"/>
  <c r="AA649" i="72"/>
  <c r="Z649" i="72"/>
  <c r="T650" i="72"/>
  <c r="AS650" i="72" s="1"/>
  <c r="Q650" i="72"/>
  <c r="R651" i="72" s="1"/>
  <c r="U649" i="72"/>
  <c r="V649" i="72" s="1"/>
  <c r="P650" i="72"/>
  <c r="AT649" i="82" l="1"/>
  <c r="AW649" i="82"/>
  <c r="AX649" i="82" s="1"/>
  <c r="AN649" i="82"/>
  <c r="AO649" i="82" s="1"/>
  <c r="S652" i="82"/>
  <c r="Y651" i="82"/>
  <c r="AJ649" i="82"/>
  <c r="AK649" i="82" s="1"/>
  <c r="T651" i="82"/>
  <c r="AS650" i="82"/>
  <c r="AR650" i="82"/>
  <c r="P651" i="82"/>
  <c r="U650" i="82"/>
  <c r="V650" i="82" s="1"/>
  <c r="AA650" i="82"/>
  <c r="AB650" i="82"/>
  <c r="AF650" i="82"/>
  <c r="AG650" i="82" s="1"/>
  <c r="Q651" i="82"/>
  <c r="R652" i="82" s="1"/>
  <c r="Z650" i="82"/>
  <c r="X650" i="82"/>
  <c r="AC650" i="82"/>
  <c r="CU731" i="82"/>
  <c r="CV731" i="82" s="1"/>
  <c r="ED732" i="82"/>
  <c r="CX732" i="82"/>
  <c r="AS733" i="82"/>
  <c r="AT734" i="82" s="1"/>
  <c r="AR733" i="82"/>
  <c r="AU734" i="82"/>
  <c r="CY733" i="82"/>
  <c r="DS731" i="82"/>
  <c r="DT731" i="82" s="1"/>
  <c r="DO731" i="82"/>
  <c r="DP731" i="82" s="1"/>
  <c r="CJ733" i="82"/>
  <c r="CK734" i="82" s="1"/>
  <c r="CL735" i="82" s="1"/>
  <c r="CM733" i="82"/>
  <c r="DH732" i="82"/>
  <c r="DL732" i="82"/>
  <c r="DK732" i="82"/>
  <c r="CI733" i="82"/>
  <c r="DJ732" i="82"/>
  <c r="DI732" i="82"/>
  <c r="CS732" i="82"/>
  <c r="CR733" i="82"/>
  <c r="AN733" i="82"/>
  <c r="AO734" i="82" s="1"/>
  <c r="AP735" i="82" s="1"/>
  <c r="AQ733" i="82"/>
  <c r="DB732" i="82"/>
  <c r="DA732" i="82"/>
  <c r="CZ732" i="82"/>
  <c r="DD732" i="82"/>
  <c r="AM733" i="82"/>
  <c r="DC732" i="82"/>
  <c r="EA732" i="82"/>
  <c r="AW732" i="82"/>
  <c r="CO733" i="82"/>
  <c r="CP734" i="82" s="1"/>
  <c r="CN733" i="82"/>
  <c r="DF732" i="82"/>
  <c r="AV733" i="82"/>
  <c r="EB732" i="82"/>
  <c r="DG733" i="82"/>
  <c r="CQ734" i="82"/>
  <c r="EO731" i="82"/>
  <c r="EC731" i="82"/>
  <c r="DW731" i="82"/>
  <c r="EK731" i="82"/>
  <c r="EG731" i="82"/>
  <c r="AN649" i="72"/>
  <c r="AW649" i="72"/>
  <c r="BL479" i="72"/>
  <c r="DF732" i="72"/>
  <c r="CQ734" i="72"/>
  <c r="DG733" i="72"/>
  <c r="DH732" i="72"/>
  <c r="DK732" i="72"/>
  <c r="DL732" i="72"/>
  <c r="DJ732" i="72"/>
  <c r="DI732" i="72"/>
  <c r="CO733" i="72"/>
  <c r="CP734" i="72" s="1"/>
  <c r="CN733" i="72"/>
  <c r="CJ733" i="72"/>
  <c r="CK734" i="72" s="1"/>
  <c r="CL735" i="72" s="1"/>
  <c r="CM733" i="72"/>
  <c r="CS732" i="72"/>
  <c r="CI733" i="72"/>
  <c r="CR733" i="72"/>
  <c r="BE484" i="72"/>
  <c r="BF484" i="72"/>
  <c r="BB484" i="72"/>
  <c r="BC484" i="72" s="1"/>
  <c r="AY487" i="72"/>
  <c r="BI484" i="72"/>
  <c r="BJ484" i="72" s="1"/>
  <c r="AT649" i="72"/>
  <c r="AJ649" i="72"/>
  <c r="AR650" i="72"/>
  <c r="AF650" i="72"/>
  <c r="X650" i="72"/>
  <c r="AB650" i="72"/>
  <c r="AC650" i="72"/>
  <c r="AA650" i="72"/>
  <c r="Z650" i="72"/>
  <c r="S652" i="72"/>
  <c r="Y651" i="72"/>
  <c r="U650" i="72"/>
  <c r="V650" i="72" s="1"/>
  <c r="P651" i="72"/>
  <c r="Q651" i="72"/>
  <c r="R652" i="72" s="1"/>
  <c r="T651" i="72"/>
  <c r="AS651" i="72" s="1"/>
  <c r="AN650" i="82" l="1"/>
  <c r="AO650" i="82" s="1"/>
  <c r="AT650" i="82"/>
  <c r="AW650" i="82"/>
  <c r="AX650" i="82" s="1"/>
  <c r="T652" i="82"/>
  <c r="AS651" i="82"/>
  <c r="U651" i="82"/>
  <c r="V651" i="82" s="1"/>
  <c r="AA651" i="82"/>
  <c r="AB651" i="82"/>
  <c r="X651" i="82"/>
  <c r="AR651" i="82"/>
  <c r="Q652" i="82"/>
  <c r="R653" i="82" s="1"/>
  <c r="AF651" i="82"/>
  <c r="AG651" i="82" s="1"/>
  <c r="P652" i="82"/>
  <c r="Z651" i="82"/>
  <c r="AC651" i="82"/>
  <c r="S653" i="82"/>
  <c r="Y652" i="82"/>
  <c r="AJ650" i="82"/>
  <c r="AK650" i="82" s="1"/>
  <c r="CU732" i="82"/>
  <c r="CV732" i="82" s="1"/>
  <c r="CR734" i="82"/>
  <c r="AQ734" i="82"/>
  <c r="DB733" i="82"/>
  <c r="AM734" i="82"/>
  <c r="DA733" i="82"/>
  <c r="EA733" i="82"/>
  <c r="DC733" i="82"/>
  <c r="CZ733" i="82"/>
  <c r="AN734" i="82"/>
  <c r="AO735" i="82" s="1"/>
  <c r="AP736" i="82" s="1"/>
  <c r="DD733" i="82"/>
  <c r="AW733" i="82"/>
  <c r="AV734" i="82"/>
  <c r="EB733" i="82"/>
  <c r="CX733" i="82"/>
  <c r="AS734" i="82"/>
  <c r="AT735" i="82" s="1"/>
  <c r="ED733" i="82"/>
  <c r="AR734" i="82"/>
  <c r="CO734" i="82"/>
  <c r="CP735" i="82" s="1"/>
  <c r="CN734" i="82"/>
  <c r="DF733" i="82"/>
  <c r="DW732" i="82"/>
  <c r="EG732" i="82"/>
  <c r="EC732" i="82"/>
  <c r="EO732" i="82"/>
  <c r="EK732" i="82"/>
  <c r="CY734" i="82"/>
  <c r="AU735" i="82"/>
  <c r="DG734" i="82"/>
  <c r="CQ735" i="82"/>
  <c r="DO732" i="82"/>
  <c r="DP732" i="82" s="1"/>
  <c r="DS732" i="82"/>
  <c r="DT732" i="82" s="1"/>
  <c r="DK733" i="82"/>
  <c r="DH733" i="82"/>
  <c r="CJ734" i="82"/>
  <c r="CK735" i="82" s="1"/>
  <c r="CL736" i="82" s="1"/>
  <c r="DJ733" i="82"/>
  <c r="CI734" i="82"/>
  <c r="DI733" i="82"/>
  <c r="CS733" i="82"/>
  <c r="CM734" i="82"/>
  <c r="DL733" i="82"/>
  <c r="AN650" i="72"/>
  <c r="AW650" i="72"/>
  <c r="BL484" i="72"/>
  <c r="DF733" i="72"/>
  <c r="CQ735" i="72"/>
  <c r="DG734" i="72"/>
  <c r="DH733" i="72"/>
  <c r="DJ733" i="72"/>
  <c r="DI733" i="72"/>
  <c r="DK733" i="72"/>
  <c r="DL733" i="72"/>
  <c r="CR734" i="72"/>
  <c r="CJ734" i="72"/>
  <c r="CK735" i="72" s="1"/>
  <c r="CL736" i="72" s="1"/>
  <c r="CM734" i="72"/>
  <c r="CS733" i="72"/>
  <c r="CI734" i="72"/>
  <c r="CN734" i="72"/>
  <c r="CO734" i="72"/>
  <c r="CP735" i="72" s="1"/>
  <c r="BE487" i="72"/>
  <c r="AY492" i="72"/>
  <c r="BF487" i="72"/>
  <c r="BB487" i="72"/>
  <c r="BC487" i="72" s="1"/>
  <c r="AT650" i="72"/>
  <c r="AR651" i="72"/>
  <c r="AF651" i="72"/>
  <c r="AJ650" i="72"/>
  <c r="S653" i="72"/>
  <c r="Y652" i="72"/>
  <c r="X651" i="72"/>
  <c r="AB651" i="72"/>
  <c r="AC651" i="72"/>
  <c r="AA651" i="72"/>
  <c r="Z651" i="72"/>
  <c r="T652" i="72"/>
  <c r="AS652" i="72" s="1"/>
  <c r="U651" i="72"/>
  <c r="V651" i="72" s="1"/>
  <c r="P652" i="72"/>
  <c r="Q652" i="72"/>
  <c r="R653" i="72" s="1"/>
  <c r="Z652" i="82" l="1"/>
  <c r="AB652" i="82"/>
  <c r="U652" i="82"/>
  <c r="V652" i="82" s="1"/>
  <c r="X652" i="82"/>
  <c r="AF652" i="82"/>
  <c r="AG652" i="82" s="1"/>
  <c r="AA652" i="82"/>
  <c r="Q653" i="82"/>
  <c r="R654" i="82" s="1"/>
  <c r="AR652" i="82"/>
  <c r="P653" i="82"/>
  <c r="AC652" i="82"/>
  <c r="Y653" i="82"/>
  <c r="S654" i="82"/>
  <c r="AS652" i="82"/>
  <c r="T653" i="82"/>
  <c r="AW651" i="82"/>
  <c r="AX651" i="82" s="1"/>
  <c r="AN651" i="82"/>
  <c r="AO651" i="82" s="1"/>
  <c r="AT651" i="82"/>
  <c r="AJ651" i="82"/>
  <c r="AK651" i="82" s="1"/>
  <c r="CU733" i="82"/>
  <c r="CV733" i="82" s="1"/>
  <c r="DH734" i="82"/>
  <c r="CJ735" i="82"/>
  <c r="CK736" i="82" s="1"/>
  <c r="CL737" i="82" s="1"/>
  <c r="DK734" i="82"/>
  <c r="CI735" i="82"/>
  <c r="CS734" i="82"/>
  <c r="DJ734" i="82"/>
  <c r="CM735" i="82"/>
  <c r="DI734" i="82"/>
  <c r="DL734" i="82"/>
  <c r="DS733" i="82"/>
  <c r="DT733" i="82" s="1"/>
  <c r="DO733" i="82"/>
  <c r="DP733" i="82" s="1"/>
  <c r="DF734" i="82"/>
  <c r="CN735" i="82"/>
  <c r="CO735" i="82"/>
  <c r="CP736" i="82" s="1"/>
  <c r="CQ736" i="82"/>
  <c r="DG735" i="82"/>
  <c r="AV735" i="82"/>
  <c r="EB734" i="82"/>
  <c r="EC733" i="82"/>
  <c r="DW733" i="82"/>
  <c r="EG733" i="82"/>
  <c r="EK733" i="82"/>
  <c r="EO733" i="82"/>
  <c r="AN735" i="82"/>
  <c r="AO736" i="82" s="1"/>
  <c r="AP737" i="82" s="1"/>
  <c r="DA734" i="82"/>
  <c r="EA734" i="82"/>
  <c r="DD734" i="82"/>
  <c r="AW734" i="82"/>
  <c r="AM735" i="82"/>
  <c r="DC734" i="82"/>
  <c r="DB734" i="82"/>
  <c r="CZ734" i="82"/>
  <c r="AQ735" i="82"/>
  <c r="ED734" i="82"/>
  <c r="AS735" i="82"/>
  <c r="AT736" i="82" s="1"/>
  <c r="AR735" i="82"/>
  <c r="CX734" i="82"/>
  <c r="AU736" i="82"/>
  <c r="CY735" i="82"/>
  <c r="CR735" i="82"/>
  <c r="AN651" i="72"/>
  <c r="AW651" i="72"/>
  <c r="DJ734" i="72"/>
  <c r="DK734" i="72"/>
  <c r="DL734" i="72"/>
  <c r="DH734" i="72"/>
  <c r="DI734" i="72"/>
  <c r="CQ736" i="72"/>
  <c r="DG735" i="72"/>
  <c r="DF734" i="72"/>
  <c r="CO735" i="72"/>
  <c r="CP736" i="72" s="1"/>
  <c r="CN735" i="72"/>
  <c r="CR735" i="72"/>
  <c r="CI735" i="72"/>
  <c r="CM735" i="72"/>
  <c r="CJ735" i="72"/>
  <c r="CK736" i="72" s="1"/>
  <c r="CL737" i="72" s="1"/>
  <c r="CS734" i="72"/>
  <c r="BF492" i="72"/>
  <c r="BI492" i="72"/>
  <c r="BJ492" i="72" s="1"/>
  <c r="BE492" i="72"/>
  <c r="AY495" i="72"/>
  <c r="BB492" i="72"/>
  <c r="BC492" i="72" s="1"/>
  <c r="AT651" i="72"/>
  <c r="AJ651" i="72"/>
  <c r="AF652" i="72"/>
  <c r="AR652" i="72"/>
  <c r="S654" i="72"/>
  <c r="Y653" i="72"/>
  <c r="X652" i="72"/>
  <c r="AB652" i="72"/>
  <c r="AC652" i="72"/>
  <c r="AA652" i="72"/>
  <c r="Z652" i="72"/>
  <c r="P653" i="72"/>
  <c r="Q653" i="72"/>
  <c r="R654" i="72" s="1"/>
  <c r="U652" i="72"/>
  <c r="V652" i="72" s="1"/>
  <c r="T653" i="72"/>
  <c r="T654" i="82" l="1"/>
  <c r="AS653" i="82"/>
  <c r="Y654" i="82"/>
  <c r="S655" i="82"/>
  <c r="AJ652" i="82"/>
  <c r="AK652" i="82" s="1"/>
  <c r="Z653" i="82"/>
  <c r="AA653" i="82"/>
  <c r="Q654" i="82"/>
  <c r="R655" i="82" s="1"/>
  <c r="AC653" i="82"/>
  <c r="AF653" i="82"/>
  <c r="AG653" i="82" s="1"/>
  <c r="P654" i="82"/>
  <c r="U653" i="82"/>
  <c r="V653" i="82" s="1"/>
  <c r="X653" i="82"/>
  <c r="AR653" i="82"/>
  <c r="AB653" i="82"/>
  <c r="AT652" i="82"/>
  <c r="AN652" i="82"/>
  <c r="AO652" i="82" s="1"/>
  <c r="AW652" i="82"/>
  <c r="AX652" i="82" s="1"/>
  <c r="CR736" i="82"/>
  <c r="DS734" i="82"/>
  <c r="DT734" i="82" s="1"/>
  <c r="DO734" i="82"/>
  <c r="DP734" i="82" s="1"/>
  <c r="AS736" i="82"/>
  <c r="AT737" i="82" s="1"/>
  <c r="AR736" i="82"/>
  <c r="CX735" i="82"/>
  <c r="ED735" i="82"/>
  <c r="DD735" i="82"/>
  <c r="EA735" i="82"/>
  <c r="DA735" i="82"/>
  <c r="DC735" i="82"/>
  <c r="AM736" i="82"/>
  <c r="AW735" i="82"/>
  <c r="DB735" i="82"/>
  <c r="CZ735" i="82"/>
  <c r="AN736" i="82"/>
  <c r="AO737" i="82" s="1"/>
  <c r="AP738" i="82" s="1"/>
  <c r="AQ736" i="82"/>
  <c r="CQ737" i="82"/>
  <c r="DG736" i="82"/>
  <c r="CY736" i="82"/>
  <c r="AU737" i="82"/>
  <c r="DF735" i="82"/>
  <c r="CN736" i="82"/>
  <c r="CO736" i="82"/>
  <c r="CP737" i="82" s="1"/>
  <c r="CU734" i="82"/>
  <c r="CV734" i="82" s="1"/>
  <c r="CI736" i="82"/>
  <c r="CM736" i="82"/>
  <c r="CS735" i="82"/>
  <c r="DI735" i="82"/>
  <c r="CJ736" i="82"/>
  <c r="CK737" i="82" s="1"/>
  <c r="CL738" i="82" s="1"/>
  <c r="DH735" i="82"/>
  <c r="DK735" i="82"/>
  <c r="DL735" i="82"/>
  <c r="DJ735" i="82"/>
  <c r="EG734" i="82"/>
  <c r="EC734" i="82"/>
  <c r="EO734" i="82"/>
  <c r="EK734" i="82"/>
  <c r="DW734" i="82"/>
  <c r="AV736" i="82"/>
  <c r="EB735" i="82"/>
  <c r="AW652" i="72"/>
  <c r="AN652" i="72"/>
  <c r="BL492" i="72"/>
  <c r="DJ735" i="72"/>
  <c r="DK735" i="72"/>
  <c r="DL735" i="72"/>
  <c r="DH735" i="72"/>
  <c r="DI735" i="72"/>
  <c r="DF735" i="72"/>
  <c r="CQ737" i="72"/>
  <c r="DG736" i="72"/>
  <c r="CI736" i="72"/>
  <c r="CS735" i="72"/>
  <c r="CM736" i="72"/>
  <c r="CJ736" i="72"/>
  <c r="CK737" i="72" s="1"/>
  <c r="CL738" i="72" s="1"/>
  <c r="CR736" i="72"/>
  <c r="CO736" i="72"/>
  <c r="CP737" i="72" s="1"/>
  <c r="CN736" i="72"/>
  <c r="BF495" i="72"/>
  <c r="BE495" i="72"/>
  <c r="AY500" i="72"/>
  <c r="BB495" i="72"/>
  <c r="BC495" i="72" s="1"/>
  <c r="T654" i="72"/>
  <c r="AS654" i="72" s="1"/>
  <c r="AS653" i="72"/>
  <c r="AJ652" i="72"/>
  <c r="AR653" i="72"/>
  <c r="AF653" i="72"/>
  <c r="AT652" i="72"/>
  <c r="X653" i="72"/>
  <c r="AB653" i="72"/>
  <c r="AC653" i="72"/>
  <c r="AA653" i="72"/>
  <c r="Z653" i="72"/>
  <c r="S655" i="72"/>
  <c r="Y654" i="72"/>
  <c r="P654" i="72"/>
  <c r="U653" i="72"/>
  <c r="V653" i="72" s="1"/>
  <c r="Q654" i="72"/>
  <c r="R655" i="72" s="1"/>
  <c r="AW653" i="82" l="1"/>
  <c r="AX653" i="82" s="1"/>
  <c r="AT653" i="82"/>
  <c r="AN653" i="82"/>
  <c r="AO653" i="82" s="1"/>
  <c r="Y655" i="82"/>
  <c r="AB654" i="82"/>
  <c r="AA654" i="82"/>
  <c r="AC654" i="82"/>
  <c r="P655" i="82"/>
  <c r="U654" i="82"/>
  <c r="V654" i="82" s="1"/>
  <c r="AF654" i="82"/>
  <c r="AG654" i="82" s="1"/>
  <c r="Z654" i="82"/>
  <c r="Q655" i="82"/>
  <c r="AR654" i="82"/>
  <c r="X654" i="82"/>
  <c r="AJ653" i="82"/>
  <c r="AK653" i="82" s="1"/>
  <c r="AS654" i="82"/>
  <c r="T655" i="82"/>
  <c r="AS655" i="82" s="1"/>
  <c r="CU735" i="82"/>
  <c r="CV735" i="82" s="1"/>
  <c r="DJ736" i="82"/>
  <c r="DH736" i="82"/>
  <c r="DI736" i="82"/>
  <c r="CJ737" i="82"/>
  <c r="CK738" i="82" s="1"/>
  <c r="CL739" i="82" s="1"/>
  <c r="CI737" i="82"/>
  <c r="CS736" i="82"/>
  <c r="CM737" i="82"/>
  <c r="DK736" i="82"/>
  <c r="DL736" i="82"/>
  <c r="DO735" i="82"/>
  <c r="DP735" i="82" s="1"/>
  <c r="DS735" i="82"/>
  <c r="DT735" i="82" s="1"/>
  <c r="CR737" i="82"/>
  <c r="ED736" i="82"/>
  <c r="CX736" i="82"/>
  <c r="AS737" i="82"/>
  <c r="AT738" i="82" s="1"/>
  <c r="AR737" i="82"/>
  <c r="AV737" i="82"/>
  <c r="EB736" i="82"/>
  <c r="DA736" i="82"/>
  <c r="AM737" i="82"/>
  <c r="AQ737" i="82"/>
  <c r="DD736" i="82"/>
  <c r="EA736" i="82"/>
  <c r="AW736" i="82"/>
  <c r="DB736" i="82"/>
  <c r="CZ736" i="82"/>
  <c r="AN737" i="82"/>
  <c r="AO738" i="82" s="1"/>
  <c r="AP739" i="82" s="1"/>
  <c r="DC736" i="82"/>
  <c r="AU738" i="82"/>
  <c r="CY737" i="82"/>
  <c r="DG737" i="82"/>
  <c r="CQ738" i="82"/>
  <c r="EG735" i="82"/>
  <c r="EK735" i="82"/>
  <c r="DW735" i="82"/>
  <c r="EO735" i="82"/>
  <c r="EC735" i="82"/>
  <c r="CN737" i="82"/>
  <c r="DF736" i="82"/>
  <c r="CO737" i="82"/>
  <c r="CP738" i="82" s="1"/>
  <c r="AW653" i="72"/>
  <c r="AN653" i="72"/>
  <c r="DF736" i="72"/>
  <c r="DL736" i="72"/>
  <c r="DH736" i="72"/>
  <c r="DK736" i="72"/>
  <c r="DJ736" i="72"/>
  <c r="DI736" i="72"/>
  <c r="CQ738" i="72"/>
  <c r="DG737" i="72"/>
  <c r="CR737" i="72"/>
  <c r="CO737" i="72"/>
  <c r="CP738" i="72" s="1"/>
  <c r="CN737" i="72"/>
  <c r="CJ737" i="72"/>
  <c r="CK738" i="72" s="1"/>
  <c r="CL739" i="72" s="1"/>
  <c r="CI737" i="72"/>
  <c r="CS736" i="72"/>
  <c r="CM737" i="72"/>
  <c r="BE500" i="72"/>
  <c r="BI500" i="72"/>
  <c r="BJ500" i="72" s="1"/>
  <c r="AY503" i="72"/>
  <c r="BB500" i="72"/>
  <c r="BC500" i="72" s="1"/>
  <c r="BF500" i="72"/>
  <c r="AT653" i="72"/>
  <c r="AJ653" i="72"/>
  <c r="AR654" i="72"/>
  <c r="AF654" i="72"/>
  <c r="Y655" i="72"/>
  <c r="X654" i="72"/>
  <c r="AB654" i="72"/>
  <c r="AC654" i="72"/>
  <c r="AA654" i="72"/>
  <c r="Z654" i="72"/>
  <c r="U654" i="72"/>
  <c r="V654" i="72" s="1"/>
  <c r="P655" i="72"/>
  <c r="Q655" i="72"/>
  <c r="T655" i="72"/>
  <c r="AS655" i="72" s="1"/>
  <c r="U655" i="82" l="1"/>
  <c r="V655" i="82" s="1"/>
  <c r="AA655" i="82"/>
  <c r="AB655" i="82"/>
  <c r="AF655" i="82"/>
  <c r="AG655" i="82" s="1"/>
  <c r="AR655" i="82"/>
  <c r="Z655" i="82"/>
  <c r="X655" i="82"/>
  <c r="AC655" i="82"/>
  <c r="AJ654" i="82"/>
  <c r="AK654" i="82" s="1"/>
  <c r="AT654" i="82"/>
  <c r="AN654" i="82"/>
  <c r="AO654" i="82" s="1"/>
  <c r="AW654" i="82"/>
  <c r="AX654" i="82" s="1"/>
  <c r="CU736" i="82"/>
  <c r="CV736" i="82" s="1"/>
  <c r="AU739" i="82"/>
  <c r="CY738" i="82"/>
  <c r="DS736" i="82"/>
  <c r="DT736" i="82" s="1"/>
  <c r="DO736" i="82"/>
  <c r="DP736" i="82" s="1"/>
  <c r="CM738" i="82"/>
  <c r="DL737" i="82"/>
  <c r="CJ738" i="82"/>
  <c r="CK739" i="82" s="1"/>
  <c r="CL740" i="82" s="1"/>
  <c r="DI737" i="82"/>
  <c r="CI738" i="82"/>
  <c r="DH737" i="82"/>
  <c r="CS737" i="82"/>
  <c r="DK737" i="82"/>
  <c r="DJ737" i="82"/>
  <c r="DG738" i="82"/>
  <c r="CQ739" i="82"/>
  <c r="AM738" i="82"/>
  <c r="EA737" i="82"/>
  <c r="AQ738" i="82"/>
  <c r="DB737" i="82"/>
  <c r="DD737" i="82"/>
  <c r="DC737" i="82"/>
  <c r="CZ737" i="82"/>
  <c r="AN738" i="82"/>
  <c r="AO739" i="82" s="1"/>
  <c r="AP740" i="82" s="1"/>
  <c r="DA737" i="82"/>
  <c r="AW737" i="82"/>
  <c r="CR738" i="82"/>
  <c r="EO736" i="82"/>
  <c r="DW736" i="82"/>
  <c r="EG736" i="82"/>
  <c r="EC736" i="82"/>
  <c r="EK736" i="82"/>
  <c r="DF737" i="82"/>
  <c r="CN738" i="82"/>
  <c r="CO738" i="82"/>
  <c r="CP739" i="82" s="1"/>
  <c r="AV738" i="82"/>
  <c r="EB737" i="82"/>
  <c r="CX737" i="82"/>
  <c r="AS738" i="82"/>
  <c r="AT739" i="82" s="1"/>
  <c r="AR738" i="82"/>
  <c r="ED737" i="82"/>
  <c r="AW654" i="72"/>
  <c r="AN654" i="72"/>
  <c r="BL500" i="72"/>
  <c r="DF737" i="72"/>
  <c r="CQ739" i="72"/>
  <c r="DG738" i="72"/>
  <c r="DJ737" i="72"/>
  <c r="DK737" i="72"/>
  <c r="DH737" i="72"/>
  <c r="DI737" i="72"/>
  <c r="DL737" i="72"/>
  <c r="CS737" i="72"/>
  <c r="CJ738" i="72"/>
  <c r="CK739" i="72" s="1"/>
  <c r="CL740" i="72" s="1"/>
  <c r="CM738" i="72"/>
  <c r="CI738" i="72"/>
  <c r="CR738" i="72"/>
  <c r="CO738" i="72"/>
  <c r="CP739" i="72" s="1"/>
  <c r="CN738" i="72"/>
  <c r="BB503" i="72"/>
  <c r="BC503" i="72" s="1"/>
  <c r="BF503" i="72"/>
  <c r="BE503" i="72"/>
  <c r="AY508" i="72"/>
  <c r="AJ654" i="72"/>
  <c r="AR655" i="72"/>
  <c r="AF655" i="72"/>
  <c r="AT654" i="72"/>
  <c r="X655" i="72"/>
  <c r="AB655" i="72"/>
  <c r="AC655" i="72"/>
  <c r="AA655" i="72"/>
  <c r="Z655" i="72"/>
  <c r="U655" i="72"/>
  <c r="V655" i="72" s="1"/>
  <c r="AJ655" i="82" l="1"/>
  <c r="AK655" i="82" s="1"/>
  <c r="AT655" i="82"/>
  <c r="AW655" i="82"/>
  <c r="AX655" i="82" s="1"/>
  <c r="AN655" i="82"/>
  <c r="AO655" i="82" s="1"/>
  <c r="AV739" i="82"/>
  <c r="EB738" i="82"/>
  <c r="DG739" i="82"/>
  <c r="CQ740" i="82"/>
  <c r="CN739" i="82"/>
  <c r="DF738" i="82"/>
  <c r="CO739" i="82"/>
  <c r="CP740" i="82" s="1"/>
  <c r="CR739" i="82"/>
  <c r="CU737" i="82"/>
  <c r="CV737" i="82" s="1"/>
  <c r="AR739" i="82"/>
  <c r="ED738" i="82"/>
  <c r="CX738" i="82"/>
  <c r="AS739" i="82"/>
  <c r="AT740" i="82" s="1"/>
  <c r="EK737" i="82"/>
  <c r="EG737" i="82"/>
  <c r="EO737" i="82"/>
  <c r="DW737" i="82"/>
  <c r="EC737" i="82"/>
  <c r="DC738" i="82"/>
  <c r="AM739" i="82"/>
  <c r="EA738" i="82"/>
  <c r="AW738" i="82"/>
  <c r="CZ738" i="82"/>
  <c r="DA738" i="82"/>
  <c r="DD738" i="82"/>
  <c r="AQ739" i="82"/>
  <c r="DB738" i="82"/>
  <c r="AN739" i="82"/>
  <c r="AO740" i="82" s="1"/>
  <c r="AP741" i="82" s="1"/>
  <c r="DL738" i="82"/>
  <c r="CS738" i="82"/>
  <c r="CU738" i="82" s="1"/>
  <c r="CV738" i="82" s="1"/>
  <c r="CI739" i="82"/>
  <c r="DH738" i="82"/>
  <c r="DI738" i="82"/>
  <c r="CM739" i="82"/>
  <c r="DK738" i="82"/>
  <c r="DJ738" i="82"/>
  <c r="CJ739" i="82"/>
  <c r="CK740" i="82" s="1"/>
  <c r="CL741" i="82" s="1"/>
  <c r="CY739" i="82"/>
  <c r="AU740" i="82"/>
  <c r="DS737" i="82"/>
  <c r="DT737" i="82" s="1"/>
  <c r="DO737" i="82"/>
  <c r="DP737" i="82" s="1"/>
  <c r="AW655" i="72"/>
  <c r="AN655" i="72"/>
  <c r="DF738" i="72"/>
  <c r="CQ740" i="72"/>
  <c r="DG739" i="72"/>
  <c r="DJ738" i="72"/>
  <c r="DL738" i="72"/>
  <c r="DK738" i="72"/>
  <c r="DH738" i="72"/>
  <c r="DI738" i="72"/>
  <c r="CR739" i="72"/>
  <c r="CN739" i="72"/>
  <c r="CO739" i="72"/>
  <c r="CP740" i="72" s="1"/>
  <c r="CS738" i="72"/>
  <c r="CM739" i="72"/>
  <c r="CJ739" i="72"/>
  <c r="CK740" i="72" s="1"/>
  <c r="CL741" i="72" s="1"/>
  <c r="CI739" i="72"/>
  <c r="AY511" i="72"/>
  <c r="BF508" i="72"/>
  <c r="BI508" i="72"/>
  <c r="BJ508" i="72" s="1"/>
  <c r="BE508" i="72"/>
  <c r="BB508" i="72"/>
  <c r="BC508" i="72" s="1"/>
  <c r="AJ655" i="72"/>
  <c r="AT655" i="72"/>
  <c r="CZ739" i="82" l="1"/>
  <c r="DC739" i="82"/>
  <c r="AM740" i="82"/>
  <c r="DA739" i="82"/>
  <c r="AW739" i="82"/>
  <c r="AN740" i="82"/>
  <c r="AO741" i="82" s="1"/>
  <c r="AP742" i="82" s="1"/>
  <c r="DD739" i="82"/>
  <c r="AQ740" i="82"/>
  <c r="EA739" i="82"/>
  <c r="DB739" i="82"/>
  <c r="CY740" i="82"/>
  <c r="AU741" i="82"/>
  <c r="CN740" i="82"/>
  <c r="CO740" i="82"/>
  <c r="CP741" i="82" s="1"/>
  <c r="DF739" i="82"/>
  <c r="DS738" i="82"/>
  <c r="DT738" i="82" s="1"/>
  <c r="DO738" i="82"/>
  <c r="DP738" i="82" s="1"/>
  <c r="AR740" i="82"/>
  <c r="CX739" i="82"/>
  <c r="ED739" i="82"/>
  <c r="AS740" i="82"/>
  <c r="AT741" i="82" s="1"/>
  <c r="EG738" i="82"/>
  <c r="DW738" i="82"/>
  <c r="EO738" i="82"/>
  <c r="EK738" i="82"/>
  <c r="EC738" i="82"/>
  <c r="CM740" i="82"/>
  <c r="DI739" i="82"/>
  <c r="DL739" i="82"/>
  <c r="DK739" i="82"/>
  <c r="DJ739" i="82"/>
  <c r="CS739" i="82"/>
  <c r="CI740" i="82"/>
  <c r="DH739" i="82"/>
  <c r="CJ740" i="82"/>
  <c r="CK741" i="82" s="1"/>
  <c r="CL742" i="82" s="1"/>
  <c r="CR740" i="82"/>
  <c r="AV740" i="82"/>
  <c r="EB739" i="82"/>
  <c r="CQ741" i="82"/>
  <c r="DG740" i="82"/>
  <c r="BL508" i="72"/>
  <c r="DF739" i="72"/>
  <c r="CQ741" i="72"/>
  <c r="DG740" i="72"/>
  <c r="DJ739" i="72"/>
  <c r="DK739" i="72"/>
  <c r="DH739" i="72"/>
  <c r="DL739" i="72"/>
  <c r="DI739" i="72"/>
  <c r="CJ740" i="72"/>
  <c r="CK741" i="72" s="1"/>
  <c r="CL742" i="72" s="1"/>
  <c r="CS739" i="72"/>
  <c r="CM740" i="72"/>
  <c r="CI740" i="72"/>
  <c r="CR740" i="72"/>
  <c r="CN740" i="72"/>
  <c r="CO740" i="72"/>
  <c r="CP741" i="72" s="1"/>
  <c r="BF511" i="72"/>
  <c r="AY516" i="72"/>
  <c r="BB511" i="72"/>
  <c r="BC511" i="72" s="1"/>
  <c r="BE511" i="72"/>
  <c r="CU739" i="82" l="1"/>
  <c r="CV739" i="82" s="1"/>
  <c r="CR741" i="82"/>
  <c r="AV741" i="82"/>
  <c r="EB740" i="82"/>
  <c r="AU742" i="82"/>
  <c r="CY741" i="82"/>
  <c r="CQ742" i="82"/>
  <c r="DG741" i="82"/>
  <c r="DF740" i="82"/>
  <c r="CO741" i="82"/>
  <c r="CP742" i="82" s="1"/>
  <c r="CN741" i="82"/>
  <c r="DS739" i="82"/>
  <c r="DT739" i="82" s="1"/>
  <c r="DO739" i="82"/>
  <c r="DP739" i="82" s="1"/>
  <c r="EC739" i="82"/>
  <c r="EK739" i="82"/>
  <c r="DW739" i="82"/>
  <c r="EG739" i="82"/>
  <c r="EO739" i="82"/>
  <c r="CJ741" i="82"/>
  <c r="CK742" i="82" s="1"/>
  <c r="CL743" i="82" s="1"/>
  <c r="DI740" i="82"/>
  <c r="DL740" i="82"/>
  <c r="DK740" i="82"/>
  <c r="DJ740" i="82"/>
  <c r="CI741" i="82"/>
  <c r="DH740" i="82"/>
  <c r="CM741" i="82"/>
  <c r="CS740" i="82"/>
  <c r="ED740" i="82"/>
  <c r="CX740" i="82"/>
  <c r="AS741" i="82"/>
  <c r="AT742" i="82" s="1"/>
  <c r="AR741" i="82"/>
  <c r="AW740" i="82"/>
  <c r="AM741" i="82"/>
  <c r="DA740" i="82"/>
  <c r="AN741" i="82"/>
  <c r="AO742" i="82" s="1"/>
  <c r="AP743" i="82" s="1"/>
  <c r="CZ740" i="82"/>
  <c r="DB740" i="82"/>
  <c r="DC740" i="82"/>
  <c r="AQ741" i="82"/>
  <c r="DD740" i="82"/>
  <c r="EA740" i="82"/>
  <c r="DF740" i="72"/>
  <c r="CQ742" i="72"/>
  <c r="DG741" i="72"/>
  <c r="DH740" i="72"/>
  <c r="DK740" i="72"/>
  <c r="DJ740" i="72"/>
  <c r="DL740" i="72"/>
  <c r="DI740" i="72"/>
  <c r="CR741" i="72"/>
  <c r="CN741" i="72"/>
  <c r="CO741" i="72"/>
  <c r="CP742" i="72" s="1"/>
  <c r="CS740" i="72"/>
  <c r="CI741" i="72"/>
  <c r="CJ741" i="72"/>
  <c r="CK742" i="72" s="1"/>
  <c r="CL743" i="72" s="1"/>
  <c r="CM741" i="72"/>
  <c r="AY519" i="72"/>
  <c r="BI516" i="72"/>
  <c r="BJ516" i="72" s="1"/>
  <c r="BF516" i="72"/>
  <c r="BE516" i="72"/>
  <c r="BB516" i="72"/>
  <c r="BC516" i="72" s="1"/>
  <c r="CR742" i="82" l="1"/>
  <c r="CX741" i="82"/>
  <c r="ED741" i="82"/>
  <c r="AR742" i="82"/>
  <c r="AS742" i="82"/>
  <c r="AT743" i="82" s="1"/>
  <c r="CY742" i="82"/>
  <c r="AU743" i="82"/>
  <c r="DO740" i="82"/>
  <c r="DP740" i="82" s="1"/>
  <c r="DS740" i="82"/>
  <c r="DT740" i="82" s="1"/>
  <c r="CU740" i="82"/>
  <c r="CV740" i="82" s="1"/>
  <c r="CO742" i="82"/>
  <c r="CP743" i="82" s="1"/>
  <c r="CN742" i="82"/>
  <c r="DF741" i="82"/>
  <c r="EO740" i="82"/>
  <c r="EK740" i="82"/>
  <c r="DW740" i="82"/>
  <c r="EC740" i="82"/>
  <c r="EG740" i="82"/>
  <c r="CQ743" i="82"/>
  <c r="DG742" i="82"/>
  <c r="AQ742" i="82"/>
  <c r="DB741" i="82"/>
  <c r="DC741" i="82"/>
  <c r="EA741" i="82"/>
  <c r="DD741" i="82"/>
  <c r="AN742" i="82"/>
  <c r="AO743" i="82" s="1"/>
  <c r="AP744" i="82" s="1"/>
  <c r="DA741" i="82"/>
  <c r="AM742" i="82"/>
  <c r="CZ741" i="82"/>
  <c r="AW741" i="82"/>
  <c r="DK741" i="82"/>
  <c r="DL741" i="82"/>
  <c r="DH741" i="82"/>
  <c r="CM742" i="82"/>
  <c r="CJ742" i="82"/>
  <c r="CK743" i="82" s="1"/>
  <c r="CL744" i="82" s="1"/>
  <c r="DJ741" i="82"/>
  <c r="CI742" i="82"/>
  <c r="DI741" i="82"/>
  <c r="CS741" i="82"/>
  <c r="AV742" i="82"/>
  <c r="EB741" i="82"/>
  <c r="BL516" i="72"/>
  <c r="DH741" i="72"/>
  <c r="DJ741" i="72"/>
  <c r="DK741" i="72"/>
  <c r="DI741" i="72"/>
  <c r="DL741" i="72"/>
  <c r="CQ743" i="72"/>
  <c r="DG742" i="72"/>
  <c r="DF741" i="72"/>
  <c r="CR742" i="72"/>
  <c r="CM742" i="72"/>
  <c r="CS741" i="72"/>
  <c r="CI742" i="72"/>
  <c r="CJ742" i="72"/>
  <c r="CK743" i="72" s="1"/>
  <c r="CL744" i="72" s="1"/>
  <c r="CN742" i="72"/>
  <c r="CO742" i="72"/>
  <c r="CP743" i="72" s="1"/>
  <c r="BE519" i="72"/>
  <c r="BB519" i="72"/>
  <c r="BC519" i="72" s="1"/>
  <c r="AY524" i="72"/>
  <c r="BI519" i="72"/>
  <c r="BJ519" i="72" s="1"/>
  <c r="BF519" i="72"/>
  <c r="CU741" i="82" l="1"/>
  <c r="CV741" i="82" s="1"/>
  <c r="DH742" i="82"/>
  <c r="CM743" i="82"/>
  <c r="DL742" i="82"/>
  <c r="DJ742" i="82"/>
  <c r="CJ743" i="82"/>
  <c r="CK744" i="82" s="1"/>
  <c r="CL745" i="82" s="1"/>
  <c r="DK742" i="82"/>
  <c r="CI743" i="82"/>
  <c r="CS742" i="82"/>
  <c r="DI742" i="82"/>
  <c r="AN743" i="82"/>
  <c r="AO744" i="82" s="1"/>
  <c r="AP745" i="82" s="1"/>
  <c r="EA742" i="82"/>
  <c r="DC742" i="82"/>
  <c r="DB742" i="82"/>
  <c r="DA742" i="82"/>
  <c r="AW742" i="82"/>
  <c r="AM743" i="82"/>
  <c r="CZ742" i="82"/>
  <c r="AQ743" i="82"/>
  <c r="DD742" i="82"/>
  <c r="EK741" i="82"/>
  <c r="DW741" i="82"/>
  <c r="EG741" i="82"/>
  <c r="EC741" i="82"/>
  <c r="EO741" i="82"/>
  <c r="CO743" i="82"/>
  <c r="CP744" i="82" s="1"/>
  <c r="DF742" i="82"/>
  <c r="CN743" i="82"/>
  <c r="CY743" i="82"/>
  <c r="AU744" i="82"/>
  <c r="AV743" i="82"/>
  <c r="EB742" i="82"/>
  <c r="CQ744" i="82"/>
  <c r="DG743" i="82"/>
  <c r="AS743" i="82"/>
  <c r="AT744" i="82" s="1"/>
  <c r="AR743" i="82"/>
  <c r="ED742" i="82"/>
  <c r="CX742" i="82"/>
  <c r="DO741" i="82"/>
  <c r="DP741" i="82" s="1"/>
  <c r="DS741" i="82"/>
  <c r="DT741" i="82" s="1"/>
  <c r="CR743" i="82"/>
  <c r="BL519" i="72"/>
  <c r="CQ744" i="72"/>
  <c r="DG743" i="72"/>
  <c r="DF742" i="72"/>
  <c r="DJ742" i="72"/>
  <c r="DL742" i="72"/>
  <c r="DH742" i="72"/>
  <c r="DI742" i="72"/>
  <c r="DK742" i="72"/>
  <c r="CO743" i="72"/>
  <c r="CP744" i="72" s="1"/>
  <c r="CN743" i="72"/>
  <c r="CM743" i="72"/>
  <c r="CS742" i="72"/>
  <c r="CJ743" i="72"/>
  <c r="CK744" i="72" s="1"/>
  <c r="CL745" i="72" s="1"/>
  <c r="CI743" i="72"/>
  <c r="CR743" i="72"/>
  <c r="BI524" i="72"/>
  <c r="BJ524" i="72" s="1"/>
  <c r="BB524" i="72"/>
  <c r="BC524" i="72" s="1"/>
  <c r="BE524" i="72"/>
  <c r="BF524" i="72"/>
  <c r="AY527" i="72"/>
  <c r="CU742" i="82" l="1"/>
  <c r="CV742" i="82" s="1"/>
  <c r="CR744" i="82"/>
  <c r="EB743" i="82"/>
  <c r="AV744" i="82"/>
  <c r="EO742" i="82"/>
  <c r="EC742" i="82"/>
  <c r="EK742" i="82"/>
  <c r="DW742" i="82"/>
  <c r="EG742" i="82"/>
  <c r="DO742" i="82"/>
  <c r="DP742" i="82" s="1"/>
  <c r="DS742" i="82"/>
  <c r="DT742" i="82" s="1"/>
  <c r="CI744" i="82"/>
  <c r="CJ744" i="82"/>
  <c r="CK745" i="82" s="1"/>
  <c r="CL746" i="82" s="1"/>
  <c r="DK743" i="82"/>
  <c r="DJ743" i="82"/>
  <c r="DI743" i="82"/>
  <c r="CM744" i="82"/>
  <c r="DL743" i="82"/>
  <c r="CS743" i="82"/>
  <c r="DH743" i="82"/>
  <c r="AS744" i="82"/>
  <c r="AT745" i="82" s="1"/>
  <c r="ED743" i="82"/>
  <c r="AR744" i="82"/>
  <c r="CX743" i="82"/>
  <c r="DF743" i="82"/>
  <c r="CO744" i="82"/>
  <c r="CP745" i="82" s="1"/>
  <c r="CN744" i="82"/>
  <c r="AU745" i="82"/>
  <c r="CY744" i="82"/>
  <c r="DG744" i="82"/>
  <c r="CQ745" i="82"/>
  <c r="DD743" i="82"/>
  <c r="DA743" i="82"/>
  <c r="AN744" i="82"/>
  <c r="AO745" i="82" s="1"/>
  <c r="AP746" i="82" s="1"/>
  <c r="CZ743" i="82"/>
  <c r="AW743" i="82"/>
  <c r="AM744" i="82"/>
  <c r="DC743" i="82"/>
  <c r="DB743" i="82"/>
  <c r="EA743" i="82"/>
  <c r="AQ744" i="82"/>
  <c r="BL524" i="72"/>
  <c r="DF743" i="72"/>
  <c r="CQ745" i="72"/>
  <c r="DG744" i="72"/>
  <c r="DJ743" i="72"/>
  <c r="DK743" i="72"/>
  <c r="DH743" i="72"/>
  <c r="DL743" i="72"/>
  <c r="DI743" i="72"/>
  <c r="CR744" i="72"/>
  <c r="CI744" i="72"/>
  <c r="CM744" i="72"/>
  <c r="CS743" i="72"/>
  <c r="CJ744" i="72"/>
  <c r="CK745" i="72" s="1"/>
  <c r="CL746" i="72" s="1"/>
  <c r="CO744" i="72"/>
  <c r="CP745" i="72" s="1"/>
  <c r="CN744" i="72"/>
  <c r="BE527" i="72"/>
  <c r="AY532" i="72"/>
  <c r="BI527" i="72"/>
  <c r="BJ527" i="72" s="1"/>
  <c r="BF527" i="72"/>
  <c r="BB527" i="72"/>
  <c r="BC527" i="72" s="1"/>
  <c r="CR745" i="82" l="1"/>
  <c r="AQ745" i="82"/>
  <c r="DA744" i="82"/>
  <c r="EA744" i="82"/>
  <c r="DD744" i="82"/>
  <c r="DC744" i="82"/>
  <c r="AW744" i="82"/>
  <c r="AM745" i="82"/>
  <c r="CZ744" i="82"/>
  <c r="AN745" i="82"/>
  <c r="AO746" i="82" s="1"/>
  <c r="AP747" i="82" s="1"/>
  <c r="DB744" i="82"/>
  <c r="AR745" i="82"/>
  <c r="ED744" i="82"/>
  <c r="CX744" i="82"/>
  <c r="AS745" i="82"/>
  <c r="AT746" i="82" s="1"/>
  <c r="AU746" i="82"/>
  <c r="CY745" i="82"/>
  <c r="EG743" i="82"/>
  <c r="EC743" i="82"/>
  <c r="EO743" i="82"/>
  <c r="DW743" i="82"/>
  <c r="EK743" i="82"/>
  <c r="CO745" i="82"/>
  <c r="CP746" i="82" s="1"/>
  <c r="DF744" i="82"/>
  <c r="CN745" i="82"/>
  <c r="CM745" i="82"/>
  <c r="DJ744" i="82"/>
  <c r="CS744" i="82"/>
  <c r="CJ745" i="82"/>
  <c r="CK746" i="82" s="1"/>
  <c r="CL747" i="82" s="1"/>
  <c r="DL744" i="82"/>
  <c r="CI745" i="82"/>
  <c r="DK744" i="82"/>
  <c r="DI744" i="82"/>
  <c r="DH744" i="82"/>
  <c r="DG745" i="82"/>
  <c r="CQ746" i="82"/>
  <c r="CU743" i="82"/>
  <c r="CV743" i="82" s="1"/>
  <c r="AV745" i="82"/>
  <c r="EB744" i="82"/>
  <c r="DO743" i="82"/>
  <c r="DP743" i="82" s="1"/>
  <c r="DS743" i="82"/>
  <c r="DT743" i="82" s="1"/>
  <c r="BL527" i="72"/>
  <c r="DF744" i="72"/>
  <c r="CQ746" i="72"/>
  <c r="DG745" i="72"/>
  <c r="DH744" i="72"/>
  <c r="DJ744" i="72"/>
  <c r="DK744" i="72"/>
  <c r="DL744" i="72"/>
  <c r="DI744" i="72"/>
  <c r="CN745" i="72"/>
  <c r="CO745" i="72"/>
  <c r="CP746" i="72" s="1"/>
  <c r="CM745" i="72"/>
  <c r="CI745" i="72"/>
  <c r="CJ745" i="72"/>
  <c r="CK746" i="72" s="1"/>
  <c r="CL747" i="72" s="1"/>
  <c r="CS744" i="72"/>
  <c r="CR745" i="72"/>
  <c r="BI532" i="72"/>
  <c r="BJ532" i="72" s="1"/>
  <c r="BB532" i="72"/>
  <c r="BC532" i="72" s="1"/>
  <c r="BF532" i="72"/>
  <c r="BE532" i="72"/>
  <c r="AY535" i="72"/>
  <c r="CU744" i="82" l="1"/>
  <c r="CV744" i="82" s="1"/>
  <c r="CZ745" i="82"/>
  <c r="AM746" i="82"/>
  <c r="DB745" i="82"/>
  <c r="AW745" i="82"/>
  <c r="DA745" i="82"/>
  <c r="AQ746" i="82"/>
  <c r="DC745" i="82"/>
  <c r="AN746" i="82"/>
  <c r="AO747" i="82" s="1"/>
  <c r="AP748" i="82" s="1"/>
  <c r="EA745" i="82"/>
  <c r="DD745" i="82"/>
  <c r="CY746" i="82"/>
  <c r="AU747" i="82"/>
  <c r="DO744" i="82"/>
  <c r="DP744" i="82" s="1"/>
  <c r="DS744" i="82"/>
  <c r="DT744" i="82" s="1"/>
  <c r="CN746" i="82"/>
  <c r="CO746" i="82"/>
  <c r="CP747" i="82" s="1"/>
  <c r="DF745" i="82"/>
  <c r="CX745" i="82"/>
  <c r="AS746" i="82"/>
  <c r="AT747" i="82" s="1"/>
  <c r="ED745" i="82"/>
  <c r="AR746" i="82"/>
  <c r="AV746" i="82"/>
  <c r="EB745" i="82"/>
  <c r="CM746" i="82"/>
  <c r="DI745" i="82"/>
  <c r="CI746" i="82"/>
  <c r="DH745" i="82"/>
  <c r="DJ745" i="82"/>
  <c r="CJ746" i="82"/>
  <c r="CK747" i="82" s="1"/>
  <c r="CL748" i="82" s="1"/>
  <c r="DK745" i="82"/>
  <c r="DL745" i="82"/>
  <c r="CS745" i="82"/>
  <c r="CQ747" i="82"/>
  <c r="DG746" i="82"/>
  <c r="EO744" i="82"/>
  <c r="EK744" i="82"/>
  <c r="DW744" i="82"/>
  <c r="EG744" i="82"/>
  <c r="EC744" i="82"/>
  <c r="CR746" i="82"/>
  <c r="BL532" i="72"/>
  <c r="DF745" i="72"/>
  <c r="CR746" i="72"/>
  <c r="DJ745" i="72"/>
  <c r="DK745" i="72"/>
  <c r="DI745" i="72"/>
  <c r="DL745" i="72"/>
  <c r="DH745" i="72"/>
  <c r="CQ747" i="72"/>
  <c r="DG746" i="72"/>
  <c r="CS745" i="72"/>
  <c r="CM746" i="72"/>
  <c r="CI746" i="72"/>
  <c r="CJ746" i="72"/>
  <c r="CK747" i="72" s="1"/>
  <c r="CL748" i="72" s="1"/>
  <c r="CO746" i="72"/>
  <c r="CP747" i="72" s="1"/>
  <c r="CN746" i="72"/>
  <c r="BE535" i="72"/>
  <c r="BF535" i="72"/>
  <c r="AY540" i="72"/>
  <c r="BI535" i="72"/>
  <c r="BJ535" i="72" s="1"/>
  <c r="BB535" i="72"/>
  <c r="BC535" i="72" s="1"/>
  <c r="CU745" i="82" l="1"/>
  <c r="CV745" i="82" s="1"/>
  <c r="EB746" i="82"/>
  <c r="AV747" i="82"/>
  <c r="EC745" i="82"/>
  <c r="DW745" i="82"/>
  <c r="EG745" i="82"/>
  <c r="EO745" i="82"/>
  <c r="EK745" i="82"/>
  <c r="AU748" i="82"/>
  <c r="CY747" i="82"/>
  <c r="CR747" i="82"/>
  <c r="CJ747" i="82"/>
  <c r="CK748" i="82" s="1"/>
  <c r="CL749" i="82" s="1"/>
  <c r="CM747" i="82"/>
  <c r="CI747" i="82"/>
  <c r="DK746" i="82"/>
  <c r="DJ746" i="82"/>
  <c r="DI746" i="82"/>
  <c r="DH746" i="82"/>
  <c r="CS746" i="82"/>
  <c r="DL746" i="82"/>
  <c r="DS745" i="82"/>
  <c r="DT745" i="82" s="1"/>
  <c r="DO745" i="82"/>
  <c r="DP745" i="82" s="1"/>
  <c r="AS747" i="82"/>
  <c r="AT748" i="82" s="1"/>
  <c r="AR747" i="82"/>
  <c r="ED746" i="82"/>
  <c r="CX746" i="82"/>
  <c r="AW746" i="82"/>
  <c r="AQ747" i="82"/>
  <c r="DC746" i="82"/>
  <c r="CZ746" i="82"/>
  <c r="DD746" i="82"/>
  <c r="DB746" i="82"/>
  <c r="AN747" i="82"/>
  <c r="AO748" i="82" s="1"/>
  <c r="AP749" i="82" s="1"/>
  <c r="DA746" i="82"/>
  <c r="EA746" i="82"/>
  <c r="AM747" i="82"/>
  <c r="DG747" i="82"/>
  <c r="CQ748" i="82"/>
  <c r="DF746" i="82"/>
  <c r="CO747" i="82"/>
  <c r="CP748" i="82" s="1"/>
  <c r="CN747" i="82"/>
  <c r="BL535" i="72"/>
  <c r="DF746" i="72"/>
  <c r="CQ748" i="72"/>
  <c r="DG747" i="72"/>
  <c r="DH746" i="72"/>
  <c r="DJ746" i="72"/>
  <c r="DK746" i="72"/>
  <c r="DI746" i="72"/>
  <c r="DL746" i="72"/>
  <c r="CO747" i="72"/>
  <c r="CP748" i="72" s="1"/>
  <c r="CN747" i="72"/>
  <c r="CI747" i="72"/>
  <c r="CM747" i="72"/>
  <c r="CS746" i="72"/>
  <c r="CJ747" i="72"/>
  <c r="CK748" i="72" s="1"/>
  <c r="CL749" i="72" s="1"/>
  <c r="CR747" i="72"/>
  <c r="BB540" i="72"/>
  <c r="BC540" i="72" s="1"/>
  <c r="BF540" i="72"/>
  <c r="AY543" i="72"/>
  <c r="BE540" i="72"/>
  <c r="BI540" i="72"/>
  <c r="BJ540" i="72" s="1"/>
  <c r="AQ748" i="82" l="1"/>
  <c r="DB747" i="82"/>
  <c r="EA747" i="82"/>
  <c r="AN748" i="82"/>
  <c r="AO749" i="82" s="1"/>
  <c r="AP750" i="82" s="1"/>
  <c r="AM748" i="82"/>
  <c r="DA747" i="82"/>
  <c r="DD747" i="82"/>
  <c r="AW747" i="82"/>
  <c r="CZ747" i="82"/>
  <c r="DC747" i="82"/>
  <c r="CU746" i="82"/>
  <c r="CV746" i="82" s="1"/>
  <c r="CR748" i="82"/>
  <c r="EG746" i="82"/>
  <c r="DW746" i="82"/>
  <c r="EO746" i="82"/>
  <c r="EC746" i="82"/>
  <c r="EK746" i="82"/>
  <c r="DO746" i="82"/>
  <c r="DP746" i="82" s="1"/>
  <c r="DS746" i="82"/>
  <c r="DT746" i="82" s="1"/>
  <c r="CO748" i="82"/>
  <c r="CP749" i="82" s="1"/>
  <c r="DF747" i="82"/>
  <c r="CN748" i="82"/>
  <c r="DG748" i="82"/>
  <c r="CQ749" i="82"/>
  <c r="CX747" i="82"/>
  <c r="AS748" i="82"/>
  <c r="AT749" i="82" s="1"/>
  <c r="AR748" i="82"/>
  <c r="ED747" i="82"/>
  <c r="AV748" i="82"/>
  <c r="EB747" i="82"/>
  <c r="CY748" i="82"/>
  <c r="AU749" i="82"/>
  <c r="DK747" i="82"/>
  <c r="DH747" i="82"/>
  <c r="CS747" i="82"/>
  <c r="CM748" i="82"/>
  <c r="DL747" i="82"/>
  <c r="DJ747" i="82"/>
  <c r="DI747" i="82"/>
  <c r="CJ748" i="82"/>
  <c r="CK749" i="82" s="1"/>
  <c r="CL750" i="82" s="1"/>
  <c r="CI748" i="82"/>
  <c r="BL540" i="72"/>
  <c r="DF747" i="72"/>
  <c r="DJ747" i="72"/>
  <c r="DK747" i="72"/>
  <c r="DH747" i="72"/>
  <c r="DL747" i="72"/>
  <c r="DI747" i="72"/>
  <c r="CQ749" i="72"/>
  <c r="DG748" i="72"/>
  <c r="CR748" i="72"/>
  <c r="CM748" i="72"/>
  <c r="CJ748" i="72"/>
  <c r="CK749" i="72" s="1"/>
  <c r="CL750" i="72" s="1"/>
  <c r="CS747" i="72"/>
  <c r="CI748" i="72"/>
  <c r="CO748" i="72"/>
  <c r="CP749" i="72" s="1"/>
  <c r="CN748" i="72"/>
  <c r="BB543" i="72"/>
  <c r="BI543" i="72"/>
  <c r="BJ543" i="72" s="1"/>
  <c r="BE543" i="72"/>
  <c r="BF543" i="72"/>
  <c r="BF547" i="72" s="1"/>
  <c r="CU747" i="82" l="1"/>
  <c r="CV747" i="82" s="1"/>
  <c r="AV749" i="82"/>
  <c r="EB748" i="82"/>
  <c r="ED748" i="82"/>
  <c r="AR749" i="82"/>
  <c r="AS749" i="82"/>
  <c r="AT750" i="82" s="1"/>
  <c r="CX748" i="82"/>
  <c r="CR749" i="82"/>
  <c r="AN749" i="82"/>
  <c r="AO750" i="82" s="1"/>
  <c r="AP751" i="82" s="1"/>
  <c r="AQ749" i="82"/>
  <c r="DA748" i="82"/>
  <c r="EA748" i="82"/>
  <c r="DD748" i="82"/>
  <c r="DC748" i="82"/>
  <c r="AM749" i="82"/>
  <c r="DB748" i="82"/>
  <c r="CZ748" i="82"/>
  <c r="AW748" i="82"/>
  <c r="AU750" i="82"/>
  <c r="CY749" i="82"/>
  <c r="CJ749" i="82"/>
  <c r="CK750" i="82" s="1"/>
  <c r="CL751" i="82" s="1"/>
  <c r="CM749" i="82"/>
  <c r="DH748" i="82"/>
  <c r="DK748" i="82"/>
  <c r="DL748" i="82"/>
  <c r="DJ748" i="82"/>
  <c r="DI748" i="82"/>
  <c r="CI749" i="82"/>
  <c r="CS748" i="82"/>
  <c r="DS747" i="82"/>
  <c r="DT747" i="82" s="1"/>
  <c r="DO747" i="82"/>
  <c r="DP747" i="82" s="1"/>
  <c r="CQ750" i="82"/>
  <c r="DG749" i="82"/>
  <c r="EC747" i="82"/>
  <c r="EO747" i="82"/>
  <c r="EK747" i="82"/>
  <c r="DW747" i="82"/>
  <c r="EG747" i="82"/>
  <c r="DF748" i="82"/>
  <c r="CN749" i="82"/>
  <c r="CO749" i="82"/>
  <c r="CP750" i="82" s="1"/>
  <c r="B6" i="72"/>
  <c r="F18" i="1" s="1"/>
  <c r="H18" i="1" s="1"/>
  <c r="AJ555" i="72"/>
  <c r="AK555" i="72" s="1"/>
  <c r="AK556" i="72" s="1"/>
  <c r="AK557" i="72" s="1"/>
  <c r="AK558" i="72" s="1"/>
  <c r="AK559" i="72" s="1"/>
  <c r="AK560" i="72" s="1"/>
  <c r="AK561" i="72" s="1"/>
  <c r="AK562" i="72" s="1"/>
  <c r="AK563" i="72" s="1"/>
  <c r="AK564" i="72" s="1"/>
  <c r="AK565" i="72" s="1"/>
  <c r="AK566" i="72" s="1"/>
  <c r="AK567" i="72" s="1"/>
  <c r="AK568" i="72" s="1"/>
  <c r="AK569" i="72" s="1"/>
  <c r="AK570" i="72" s="1"/>
  <c r="AK571" i="72" s="1"/>
  <c r="AK572" i="72" s="1"/>
  <c r="AK573" i="72" s="1"/>
  <c r="AK574" i="72" s="1"/>
  <c r="AK575" i="72" s="1"/>
  <c r="AK576" i="72" s="1"/>
  <c r="AK577" i="72" s="1"/>
  <c r="AK578" i="72" s="1"/>
  <c r="AK579" i="72" s="1"/>
  <c r="AK580" i="72" s="1"/>
  <c r="AK581" i="72" s="1"/>
  <c r="AK582" i="72" s="1"/>
  <c r="AK583" i="72" s="1"/>
  <c r="AK584" i="72" s="1"/>
  <c r="AK585" i="72" s="1"/>
  <c r="AK586" i="72" s="1"/>
  <c r="AK587" i="72" s="1"/>
  <c r="AK588" i="72" s="1"/>
  <c r="AK589" i="72" s="1"/>
  <c r="AK590" i="72" s="1"/>
  <c r="AK591" i="72" s="1"/>
  <c r="AK592" i="72" s="1"/>
  <c r="AK593" i="72" s="1"/>
  <c r="AK594" i="72" s="1"/>
  <c r="AK595" i="72" s="1"/>
  <c r="AK596" i="72" s="1"/>
  <c r="AK597" i="72" s="1"/>
  <c r="AK598" i="72" s="1"/>
  <c r="AK599" i="72" s="1"/>
  <c r="AK600" i="72" s="1"/>
  <c r="AK601" i="72" s="1"/>
  <c r="AK602" i="72" s="1"/>
  <c r="AK603" i="72" s="1"/>
  <c r="AK604" i="72" s="1"/>
  <c r="AK605" i="72" s="1"/>
  <c r="AK606" i="72" s="1"/>
  <c r="AK607" i="72" s="1"/>
  <c r="AK608" i="72" s="1"/>
  <c r="AK609" i="72" s="1"/>
  <c r="AK610" i="72" s="1"/>
  <c r="AK611" i="72" s="1"/>
  <c r="AK612" i="72" s="1"/>
  <c r="AK613" i="72" s="1"/>
  <c r="AK614" i="72" s="1"/>
  <c r="AK615" i="72" s="1"/>
  <c r="AK616" i="72" s="1"/>
  <c r="AK617" i="72" s="1"/>
  <c r="AK618" i="72" s="1"/>
  <c r="AK619" i="72" s="1"/>
  <c r="AK620" i="72" s="1"/>
  <c r="AK621" i="72" s="1"/>
  <c r="AK622" i="72" s="1"/>
  <c r="AK623" i="72" s="1"/>
  <c r="AK624" i="72" s="1"/>
  <c r="AK625" i="72" s="1"/>
  <c r="AK626" i="72" s="1"/>
  <c r="AK627" i="72" s="1"/>
  <c r="AK628" i="72" s="1"/>
  <c r="BE547" i="72"/>
  <c r="BC543" i="72"/>
  <c r="BL543" i="72" s="1"/>
  <c r="BB547" i="72"/>
  <c r="DF748" i="72"/>
  <c r="CQ750" i="72"/>
  <c r="DG749" i="72"/>
  <c r="DH748" i="72"/>
  <c r="DK748" i="72"/>
  <c r="DL748" i="72"/>
  <c r="DI748" i="72"/>
  <c r="DJ748" i="72"/>
  <c r="CN749" i="72"/>
  <c r="CO749" i="72"/>
  <c r="CP750" i="72" s="1"/>
  <c r="CS748" i="72"/>
  <c r="CJ749" i="72"/>
  <c r="CK750" i="72" s="1"/>
  <c r="CL751" i="72" s="1"/>
  <c r="CM749" i="72"/>
  <c r="CI749" i="72"/>
  <c r="CR749" i="72"/>
  <c r="CU748" i="82" l="1"/>
  <c r="CV748" i="82" s="1"/>
  <c r="CR750" i="82"/>
  <c r="CY750" i="82"/>
  <c r="AU751" i="82"/>
  <c r="AQ750" i="82"/>
  <c r="DB749" i="82"/>
  <c r="CZ749" i="82"/>
  <c r="AW749" i="82"/>
  <c r="EA749" i="82"/>
  <c r="DC749" i="82"/>
  <c r="DA749" i="82"/>
  <c r="AM750" i="82"/>
  <c r="AN750" i="82"/>
  <c r="AO751" i="82" s="1"/>
  <c r="AP752" i="82" s="1"/>
  <c r="DD749" i="82"/>
  <c r="CX749" i="82"/>
  <c r="AR750" i="82"/>
  <c r="AS750" i="82"/>
  <c r="AT751" i="82" s="1"/>
  <c r="ED749" i="82"/>
  <c r="DO748" i="82"/>
  <c r="DP748" i="82" s="1"/>
  <c r="DS748" i="82"/>
  <c r="DT748" i="82" s="1"/>
  <c r="DK749" i="82"/>
  <c r="DH749" i="82"/>
  <c r="CJ750" i="82"/>
  <c r="CK751" i="82" s="1"/>
  <c r="CL752" i="82" s="1"/>
  <c r="DJ749" i="82"/>
  <c r="CI750" i="82"/>
  <c r="DI749" i="82"/>
  <c r="CS749" i="82"/>
  <c r="DL749" i="82"/>
  <c r="CM750" i="82"/>
  <c r="DG750" i="82"/>
  <c r="CQ751" i="82"/>
  <c r="EG748" i="82"/>
  <c r="EO748" i="82"/>
  <c r="DW748" i="82"/>
  <c r="EK748" i="82"/>
  <c r="EC748" i="82"/>
  <c r="CO750" i="82"/>
  <c r="CP751" i="82" s="1"/>
  <c r="CN750" i="82"/>
  <c r="DF749" i="82"/>
  <c r="AV750" i="82"/>
  <c r="EB749" i="82"/>
  <c r="BC547" i="72"/>
  <c r="AN555" i="72" s="1"/>
  <c r="AO555" i="72" s="1"/>
  <c r="AO556" i="72" s="1"/>
  <c r="AO557" i="72" s="1"/>
  <c r="AO558" i="72" s="1"/>
  <c r="AO559" i="72" s="1"/>
  <c r="AO560" i="72" s="1"/>
  <c r="AO561" i="72" s="1"/>
  <c r="AO562" i="72" s="1"/>
  <c r="AO563" i="72" s="1"/>
  <c r="AO564" i="72" s="1"/>
  <c r="AO565" i="72" s="1"/>
  <c r="AO566" i="72" s="1"/>
  <c r="AO567" i="72" s="1"/>
  <c r="AO568" i="72" s="1"/>
  <c r="AO569" i="72" s="1"/>
  <c r="AO570" i="72" s="1"/>
  <c r="AO571" i="72" s="1"/>
  <c r="AO572" i="72" s="1"/>
  <c r="AO573" i="72" s="1"/>
  <c r="AO574" i="72" s="1"/>
  <c r="AO575" i="72" s="1"/>
  <c r="AO576" i="72" s="1"/>
  <c r="AO577" i="72" s="1"/>
  <c r="AO578" i="72" s="1"/>
  <c r="AO579" i="72" s="1"/>
  <c r="AO580" i="72" s="1"/>
  <c r="AO581" i="72" s="1"/>
  <c r="AO582" i="72" s="1"/>
  <c r="AO583" i="72" s="1"/>
  <c r="AO584" i="72" s="1"/>
  <c r="AO585" i="72" s="1"/>
  <c r="AO586" i="72" s="1"/>
  <c r="AO587" i="72" s="1"/>
  <c r="AO588" i="72" s="1"/>
  <c r="AO589" i="72" s="1"/>
  <c r="AO590" i="72" s="1"/>
  <c r="AO591" i="72" s="1"/>
  <c r="AO592" i="72" s="1"/>
  <c r="AO593" i="72" s="1"/>
  <c r="AO594" i="72" s="1"/>
  <c r="AO595" i="72" s="1"/>
  <c r="AO596" i="72" s="1"/>
  <c r="AO597" i="72" s="1"/>
  <c r="AO598" i="72" s="1"/>
  <c r="AO599" i="72" s="1"/>
  <c r="AO600" i="72" s="1"/>
  <c r="AO601" i="72" s="1"/>
  <c r="AO602" i="72" s="1"/>
  <c r="AO603" i="72" s="1"/>
  <c r="AO604" i="72" s="1"/>
  <c r="AO605" i="72" s="1"/>
  <c r="AO606" i="72" s="1"/>
  <c r="AO607" i="72" s="1"/>
  <c r="AO608" i="72" s="1"/>
  <c r="AO609" i="72" s="1"/>
  <c r="AO610" i="72" s="1"/>
  <c r="AO611" i="72" s="1"/>
  <c r="AO612" i="72" s="1"/>
  <c r="AO613" i="72" s="1"/>
  <c r="AO614" i="72" s="1"/>
  <c r="AO615" i="72" s="1"/>
  <c r="AO616" i="72" s="1"/>
  <c r="AO617" i="72" s="1"/>
  <c r="AO618" i="72" s="1"/>
  <c r="AO619" i="72" s="1"/>
  <c r="AO620" i="72" s="1"/>
  <c r="AO621" i="72" s="1"/>
  <c r="AO622" i="72" s="1"/>
  <c r="AO623" i="72" s="1"/>
  <c r="AO624" i="72" s="1"/>
  <c r="AO625" i="72" s="1"/>
  <c r="AO626" i="72" s="1"/>
  <c r="AO627" i="72" s="1"/>
  <c r="AO628" i="72" s="1"/>
  <c r="B37" i="72" s="1"/>
  <c r="K15" i="1" s="1"/>
  <c r="M15" i="1" s="1"/>
  <c r="B5" i="72"/>
  <c r="F17" i="1" s="1"/>
  <c r="H17" i="1" s="1"/>
  <c r="AF555" i="72"/>
  <c r="AG555" i="72" s="1"/>
  <c r="AG556" i="72" s="1"/>
  <c r="AG557" i="72" s="1"/>
  <c r="AG558" i="72" s="1"/>
  <c r="AG559" i="72" s="1"/>
  <c r="AG560" i="72" s="1"/>
  <c r="AG561" i="72" s="1"/>
  <c r="AG562" i="72" s="1"/>
  <c r="AG563" i="72" s="1"/>
  <c r="AG564" i="72" s="1"/>
  <c r="AG565" i="72" s="1"/>
  <c r="AG566" i="72" s="1"/>
  <c r="AG567" i="72" s="1"/>
  <c r="AG568" i="72" s="1"/>
  <c r="AG569" i="72" s="1"/>
  <c r="AG570" i="72" s="1"/>
  <c r="AG571" i="72" s="1"/>
  <c r="AG572" i="72" s="1"/>
  <c r="AG573" i="72" s="1"/>
  <c r="AG574" i="72" s="1"/>
  <c r="AG575" i="72" s="1"/>
  <c r="AG576" i="72" s="1"/>
  <c r="AG577" i="72" s="1"/>
  <c r="AG578" i="72" s="1"/>
  <c r="AG579" i="72" s="1"/>
  <c r="AG580" i="72" s="1"/>
  <c r="AG581" i="72" s="1"/>
  <c r="AG582" i="72" s="1"/>
  <c r="AG583" i="72" s="1"/>
  <c r="AG584" i="72" s="1"/>
  <c r="AG585" i="72" s="1"/>
  <c r="AG586" i="72" s="1"/>
  <c r="AG587" i="72" s="1"/>
  <c r="AG588" i="72" s="1"/>
  <c r="AG589" i="72" s="1"/>
  <c r="AG590" i="72" s="1"/>
  <c r="AG591" i="72" s="1"/>
  <c r="AG592" i="72" s="1"/>
  <c r="AG593" i="72" s="1"/>
  <c r="AG594" i="72" s="1"/>
  <c r="AG595" i="72" s="1"/>
  <c r="AG596" i="72" s="1"/>
  <c r="AG597" i="72" s="1"/>
  <c r="AG598" i="72" s="1"/>
  <c r="AG599" i="72" s="1"/>
  <c r="AG600" i="72" s="1"/>
  <c r="AG601" i="72" s="1"/>
  <c r="AG602" i="72" s="1"/>
  <c r="AG603" i="72" s="1"/>
  <c r="AG604" i="72" s="1"/>
  <c r="AG605" i="72" s="1"/>
  <c r="AG606" i="72" s="1"/>
  <c r="AG607" i="72" s="1"/>
  <c r="AG608" i="72" s="1"/>
  <c r="AG609" i="72" s="1"/>
  <c r="AG610" i="72" s="1"/>
  <c r="AG611" i="72" s="1"/>
  <c r="AG612" i="72" s="1"/>
  <c r="AG613" i="72" s="1"/>
  <c r="AG614" i="72" s="1"/>
  <c r="AG615" i="72" s="1"/>
  <c r="AG616" i="72" s="1"/>
  <c r="AG617" i="72" s="1"/>
  <c r="AG618" i="72" s="1"/>
  <c r="AG619" i="72" s="1"/>
  <c r="AG620" i="72" s="1"/>
  <c r="AG621" i="72" s="1"/>
  <c r="AG622" i="72" s="1"/>
  <c r="AG623" i="72" s="1"/>
  <c r="AG624" i="72" s="1"/>
  <c r="AG625" i="72" s="1"/>
  <c r="AG626" i="72" s="1"/>
  <c r="AG627" i="72" s="1"/>
  <c r="AG628" i="72" s="1"/>
  <c r="B31" i="72"/>
  <c r="F40" i="1" s="1"/>
  <c r="H40" i="1" s="1"/>
  <c r="F60" i="1" s="1"/>
  <c r="AW555" i="72"/>
  <c r="AX555" i="72" s="1"/>
  <c r="AX556" i="72" s="1"/>
  <c r="AX557" i="72" s="1"/>
  <c r="AX558" i="72" s="1"/>
  <c r="AX559" i="72" s="1"/>
  <c r="AX560" i="72" s="1"/>
  <c r="AX561" i="72" s="1"/>
  <c r="AX562" i="72" s="1"/>
  <c r="AX563" i="72" s="1"/>
  <c r="AX564" i="72" s="1"/>
  <c r="AX565" i="72" s="1"/>
  <c r="AX566" i="72" s="1"/>
  <c r="AX567" i="72" s="1"/>
  <c r="AX568" i="72" s="1"/>
  <c r="AX569" i="72" s="1"/>
  <c r="AX570" i="72" s="1"/>
  <c r="AX571" i="72" s="1"/>
  <c r="AX572" i="72" s="1"/>
  <c r="AX573" i="72" s="1"/>
  <c r="AX574" i="72" s="1"/>
  <c r="AX575" i="72" s="1"/>
  <c r="AX576" i="72" s="1"/>
  <c r="AX577" i="72" s="1"/>
  <c r="AX578" i="72" s="1"/>
  <c r="AX579" i="72" s="1"/>
  <c r="AX580" i="72" s="1"/>
  <c r="AX581" i="72" s="1"/>
  <c r="AX582" i="72" s="1"/>
  <c r="AX583" i="72" s="1"/>
  <c r="AX584" i="72" s="1"/>
  <c r="AX585" i="72" s="1"/>
  <c r="AX586" i="72" s="1"/>
  <c r="AX587" i="72" s="1"/>
  <c r="AX588" i="72" s="1"/>
  <c r="AX589" i="72" s="1"/>
  <c r="AX590" i="72" s="1"/>
  <c r="AX591" i="72" s="1"/>
  <c r="AX592" i="72" s="1"/>
  <c r="AX593" i="72" s="1"/>
  <c r="AX594" i="72" s="1"/>
  <c r="AX595" i="72" s="1"/>
  <c r="AX596" i="72" s="1"/>
  <c r="AX597" i="72" s="1"/>
  <c r="AX598" i="72" s="1"/>
  <c r="AX599" i="72" s="1"/>
  <c r="AX600" i="72" s="1"/>
  <c r="AX601" i="72" s="1"/>
  <c r="AX602" i="72" s="1"/>
  <c r="AX603" i="72" s="1"/>
  <c r="AX604" i="72" s="1"/>
  <c r="AX605" i="72" s="1"/>
  <c r="AX606" i="72" s="1"/>
  <c r="AX607" i="72" s="1"/>
  <c r="AX608" i="72" s="1"/>
  <c r="AX609" i="72" s="1"/>
  <c r="AX610" i="72" s="1"/>
  <c r="AX611" i="72" s="1"/>
  <c r="AX612" i="72" s="1"/>
  <c r="AX613" i="72" s="1"/>
  <c r="AX614" i="72" s="1"/>
  <c r="AX615" i="72" s="1"/>
  <c r="AX616" i="72" s="1"/>
  <c r="AX617" i="72" s="1"/>
  <c r="AX618" i="72" s="1"/>
  <c r="AX619" i="72" s="1"/>
  <c r="AX620" i="72" s="1"/>
  <c r="AX621" i="72" s="1"/>
  <c r="AX622" i="72" s="1"/>
  <c r="AX623" i="72" s="1"/>
  <c r="AX624" i="72" s="1"/>
  <c r="AX625" i="72" s="1"/>
  <c r="AX626" i="72" s="1"/>
  <c r="AX627" i="72" s="1"/>
  <c r="AX628" i="72" s="1"/>
  <c r="DF749" i="72"/>
  <c r="CQ751" i="72"/>
  <c r="DG750" i="72"/>
  <c r="DH749" i="72"/>
  <c r="DJ749" i="72"/>
  <c r="DK749" i="72"/>
  <c r="DL749" i="72"/>
  <c r="DI749" i="72"/>
  <c r="CR750" i="72"/>
  <c r="CJ750" i="72"/>
  <c r="CK751" i="72" s="1"/>
  <c r="CL752" i="72" s="1"/>
  <c r="CS749" i="72"/>
  <c r="CI750" i="72"/>
  <c r="CM750" i="72"/>
  <c r="CN750" i="72"/>
  <c r="CO750" i="72"/>
  <c r="CP751" i="72" s="1"/>
  <c r="AK629" i="72"/>
  <c r="AK630" i="72" s="1"/>
  <c r="AK631" i="72" s="1"/>
  <c r="AK632" i="72" s="1"/>
  <c r="AK633" i="72" s="1"/>
  <c r="AK634" i="72" s="1"/>
  <c r="AK635" i="72" s="1"/>
  <c r="AK636" i="72" s="1"/>
  <c r="AK637" i="72" s="1"/>
  <c r="AK638" i="72" s="1"/>
  <c r="AK639" i="72" s="1"/>
  <c r="AK640" i="72" s="1"/>
  <c r="AK641" i="72" s="1"/>
  <c r="AK642" i="72" s="1"/>
  <c r="AK643" i="72" s="1"/>
  <c r="AK644" i="72" s="1"/>
  <c r="AK645" i="72" s="1"/>
  <c r="AK646" i="72" s="1"/>
  <c r="AK647" i="72" s="1"/>
  <c r="AK648" i="72" s="1"/>
  <c r="AK649" i="72" s="1"/>
  <c r="AK650" i="72" s="1"/>
  <c r="AK651" i="72" s="1"/>
  <c r="AK652" i="72" s="1"/>
  <c r="AK653" i="72" s="1"/>
  <c r="AK654" i="72" s="1"/>
  <c r="AK655" i="72" s="1"/>
  <c r="B42" i="72"/>
  <c r="K20" i="1" s="1"/>
  <c r="M20" i="1" s="1"/>
  <c r="K58" i="1" l="1"/>
  <c r="K56" i="1"/>
  <c r="CU749" i="82"/>
  <c r="CV749" i="82" s="1"/>
  <c r="DG751" i="82"/>
  <c r="CQ752" i="82"/>
  <c r="AO629" i="72"/>
  <c r="AO630" i="72" s="1"/>
  <c r="AO631" i="72" s="1"/>
  <c r="AO632" i="72" s="1"/>
  <c r="AO633" i="72" s="1"/>
  <c r="AO634" i="72" s="1"/>
  <c r="AO635" i="72" s="1"/>
  <c r="AO636" i="72" s="1"/>
  <c r="AO637" i="72" s="1"/>
  <c r="AO638" i="72" s="1"/>
  <c r="AO639" i="72" s="1"/>
  <c r="AO640" i="72" s="1"/>
  <c r="AO641" i="72" s="1"/>
  <c r="AO642" i="72" s="1"/>
  <c r="AO643" i="72" s="1"/>
  <c r="AO644" i="72" s="1"/>
  <c r="AO645" i="72" s="1"/>
  <c r="AO646" i="72" s="1"/>
  <c r="AO647" i="72" s="1"/>
  <c r="AO648" i="72" s="1"/>
  <c r="AO649" i="72" s="1"/>
  <c r="AO650" i="72" s="1"/>
  <c r="AO651" i="72" s="1"/>
  <c r="AO652" i="72" s="1"/>
  <c r="AO653" i="72" s="1"/>
  <c r="AO654" i="72" s="1"/>
  <c r="AO655" i="72" s="1"/>
  <c r="AN751" i="82"/>
  <c r="AO752" i="82" s="1"/>
  <c r="AP753" i="82" s="1"/>
  <c r="DA750" i="82"/>
  <c r="AQ751" i="82"/>
  <c r="DB750" i="82"/>
  <c r="CZ750" i="82"/>
  <c r="AW750" i="82"/>
  <c r="DC750" i="82"/>
  <c r="AM751" i="82"/>
  <c r="DD750" i="82"/>
  <c r="EA750" i="82"/>
  <c r="EC749" i="82"/>
  <c r="DW749" i="82"/>
  <c r="EG749" i="82"/>
  <c r="EO749" i="82"/>
  <c r="EK749" i="82"/>
  <c r="DH750" i="82"/>
  <c r="CJ751" i="82"/>
  <c r="CK752" i="82" s="1"/>
  <c r="CL753" i="82" s="1"/>
  <c r="DK750" i="82"/>
  <c r="CI751" i="82"/>
  <c r="CS750" i="82"/>
  <c r="DJ750" i="82"/>
  <c r="DI750" i="82"/>
  <c r="CM751" i="82"/>
  <c r="DL750" i="82"/>
  <c r="AU752" i="82"/>
  <c r="CY751" i="82"/>
  <c r="AX629" i="72"/>
  <c r="AX630" i="72" s="1"/>
  <c r="AX631" i="72" s="1"/>
  <c r="AX632" i="72" s="1"/>
  <c r="AX633" i="72" s="1"/>
  <c r="AX634" i="72" s="1"/>
  <c r="AX635" i="72" s="1"/>
  <c r="AX636" i="72" s="1"/>
  <c r="AX637" i="72" s="1"/>
  <c r="AX638" i="72" s="1"/>
  <c r="AX639" i="72" s="1"/>
  <c r="AX640" i="72" s="1"/>
  <c r="AX641" i="72" s="1"/>
  <c r="AX642" i="72" s="1"/>
  <c r="AX643" i="72" s="1"/>
  <c r="AX644" i="72" s="1"/>
  <c r="AX645" i="72" s="1"/>
  <c r="AX646" i="72" s="1"/>
  <c r="AX647" i="72" s="1"/>
  <c r="AX648" i="72" s="1"/>
  <c r="AX649" i="72" s="1"/>
  <c r="AX650" i="72" s="1"/>
  <c r="AX651" i="72" s="1"/>
  <c r="AX652" i="72" s="1"/>
  <c r="AX653" i="72" s="1"/>
  <c r="AX654" i="72" s="1"/>
  <c r="AX655" i="72" s="1"/>
  <c r="B77" i="72"/>
  <c r="K50" i="1" s="1"/>
  <c r="M50" i="1" s="1"/>
  <c r="K74" i="1" s="1"/>
  <c r="AV751" i="82"/>
  <c r="EB750" i="82"/>
  <c r="ED750" i="82"/>
  <c r="AS751" i="82"/>
  <c r="AT752" i="82" s="1"/>
  <c r="CX750" i="82"/>
  <c r="AR751" i="82"/>
  <c r="DS749" i="82"/>
  <c r="DT749" i="82" s="1"/>
  <c r="DO749" i="82"/>
  <c r="DP749" i="82" s="1"/>
  <c r="CR751" i="82"/>
  <c r="CN751" i="82"/>
  <c r="DF750" i="82"/>
  <c r="CO751" i="82"/>
  <c r="CP752" i="82" s="1"/>
  <c r="AG629" i="72"/>
  <c r="AG630" i="72" s="1"/>
  <c r="AG631" i="72" s="1"/>
  <c r="AG632" i="72" s="1"/>
  <c r="AG633" i="72" s="1"/>
  <c r="AG634" i="72" s="1"/>
  <c r="AG635" i="72" s="1"/>
  <c r="AG636" i="72" s="1"/>
  <c r="AG637" i="72" s="1"/>
  <c r="AG638" i="72" s="1"/>
  <c r="AG639" i="72" s="1"/>
  <c r="AG640" i="72" s="1"/>
  <c r="AG641" i="72" s="1"/>
  <c r="AG642" i="72" s="1"/>
  <c r="AG643" i="72" s="1"/>
  <c r="AG644" i="72" s="1"/>
  <c r="AG645" i="72" s="1"/>
  <c r="AG646" i="72" s="1"/>
  <c r="AG647" i="72" s="1"/>
  <c r="AG648" i="72" s="1"/>
  <c r="AG649" i="72" s="1"/>
  <c r="AG650" i="72" s="1"/>
  <c r="AG651" i="72" s="1"/>
  <c r="AG652" i="72" s="1"/>
  <c r="AG653" i="72" s="1"/>
  <c r="AG654" i="72" s="1"/>
  <c r="AG655" i="72" s="1"/>
  <c r="B41" i="72"/>
  <c r="K19" i="1" s="1"/>
  <c r="M19" i="1" s="1"/>
  <c r="K57" i="1" s="1"/>
  <c r="B4" i="72"/>
  <c r="CQ752" i="72"/>
  <c r="DG751" i="72"/>
  <c r="DF750" i="72"/>
  <c r="DJ750" i="72"/>
  <c r="DL750" i="72"/>
  <c r="DK750" i="72"/>
  <c r="DH750" i="72"/>
  <c r="DI750" i="72"/>
  <c r="CN751" i="72"/>
  <c r="CO751" i="72"/>
  <c r="CP752" i="72" s="1"/>
  <c r="CS750" i="72"/>
  <c r="CJ751" i="72"/>
  <c r="CK752" i="72" s="1"/>
  <c r="CL753" i="72" s="1"/>
  <c r="CI751" i="72"/>
  <c r="CM751" i="72"/>
  <c r="CR751" i="72"/>
  <c r="F16" i="1" l="1"/>
  <c r="H16" i="1" s="1"/>
  <c r="CU750" i="82"/>
  <c r="CV750" i="82" s="1"/>
  <c r="CN752" i="82"/>
  <c r="CO752" i="82"/>
  <c r="CP753" i="82" s="1"/>
  <c r="DF751" i="82"/>
  <c r="EG750" i="82"/>
  <c r="EC750" i="82"/>
  <c r="DW750" i="82"/>
  <c r="EK750" i="82"/>
  <c r="EO750" i="82"/>
  <c r="CR752" i="82"/>
  <c r="AV752" i="82"/>
  <c r="EB751" i="82"/>
  <c r="AM752" i="82"/>
  <c r="EA751" i="82"/>
  <c r="CZ751" i="82"/>
  <c r="DD751" i="82"/>
  <c r="AN752" i="82"/>
  <c r="AO753" i="82" s="1"/>
  <c r="AP754" i="82" s="1"/>
  <c r="DC751" i="82"/>
  <c r="AW751" i="82"/>
  <c r="DA751" i="82"/>
  <c r="DB751" i="82"/>
  <c r="AQ752" i="82"/>
  <c r="CX751" i="82"/>
  <c r="ED751" i="82"/>
  <c r="AS752" i="82"/>
  <c r="AT753" i="82" s="1"/>
  <c r="AR752" i="82"/>
  <c r="DS750" i="82"/>
  <c r="DT750" i="82" s="1"/>
  <c r="DO750" i="82"/>
  <c r="DP750" i="82" s="1"/>
  <c r="DH751" i="82"/>
  <c r="DI751" i="82"/>
  <c r="DL751" i="82"/>
  <c r="DK751" i="82"/>
  <c r="CS751" i="82"/>
  <c r="CI752" i="82"/>
  <c r="CM752" i="82"/>
  <c r="DJ751" i="82"/>
  <c r="CJ752" i="82"/>
  <c r="CK753" i="82" s="1"/>
  <c r="CL754" i="82" s="1"/>
  <c r="CQ753" i="82"/>
  <c r="DG752" i="82"/>
  <c r="CY752" i="82"/>
  <c r="AU753" i="82"/>
  <c r="DF751" i="72"/>
  <c r="DJ751" i="72"/>
  <c r="DK751" i="72"/>
  <c r="DH751" i="72"/>
  <c r="DI751" i="72"/>
  <c r="DL751" i="72"/>
  <c r="CQ753" i="72"/>
  <c r="DG752" i="72"/>
  <c r="CR752" i="72"/>
  <c r="CS751" i="72"/>
  <c r="CJ752" i="72"/>
  <c r="CK753" i="72" s="1"/>
  <c r="CL754" i="72" s="1"/>
  <c r="CM752" i="72"/>
  <c r="CI752" i="72"/>
  <c r="CO752" i="72"/>
  <c r="CP753" i="72" s="1"/>
  <c r="CN752" i="72"/>
  <c r="F44" i="1" l="1"/>
  <c r="F46" i="1"/>
  <c r="F45" i="1"/>
  <c r="F47" i="1"/>
  <c r="CU751" i="82"/>
  <c r="CV751" i="82" s="1"/>
  <c r="DC752" i="82"/>
  <c r="AQ753" i="82"/>
  <c r="DB752" i="82"/>
  <c r="CZ752" i="82"/>
  <c r="AW752" i="82"/>
  <c r="AM753" i="82"/>
  <c r="DD752" i="82"/>
  <c r="EA752" i="82"/>
  <c r="AN753" i="82"/>
  <c r="AO754" i="82" s="1"/>
  <c r="AP755" i="82" s="1"/>
  <c r="DA752" i="82"/>
  <c r="DL752" i="82"/>
  <c r="CS752" i="82"/>
  <c r="CM753" i="82"/>
  <c r="DK752" i="82"/>
  <c r="CI753" i="82"/>
  <c r="DJ752" i="82"/>
  <c r="DI752" i="82"/>
  <c r="DH752" i="82"/>
  <c r="CJ753" i="82"/>
  <c r="CK754" i="82" s="1"/>
  <c r="CL755" i="82" s="1"/>
  <c r="EK751" i="82"/>
  <c r="EO751" i="82"/>
  <c r="EC751" i="82"/>
  <c r="DW751" i="82"/>
  <c r="EG751" i="82"/>
  <c r="AR753" i="82"/>
  <c r="ED752" i="82"/>
  <c r="AS753" i="82"/>
  <c r="AT754" i="82" s="1"/>
  <c r="CX752" i="82"/>
  <c r="CY753" i="82"/>
  <c r="AU754" i="82"/>
  <c r="AV753" i="82"/>
  <c r="EB752" i="82"/>
  <c r="CR753" i="82"/>
  <c r="DG753" i="82"/>
  <c r="CQ754" i="82"/>
  <c r="DS751" i="82"/>
  <c r="DT751" i="82" s="1"/>
  <c r="DO751" i="82"/>
  <c r="DP751" i="82" s="1"/>
  <c r="DF752" i="82"/>
  <c r="CN753" i="82"/>
  <c r="CO753" i="82"/>
  <c r="CP754" i="82" s="1"/>
  <c r="DF752" i="72"/>
  <c r="CQ754" i="72"/>
  <c r="DG753" i="72"/>
  <c r="DH752" i="72"/>
  <c r="DK752" i="72"/>
  <c r="DJ752" i="72"/>
  <c r="DL752" i="72"/>
  <c r="DI752" i="72"/>
  <c r="CO753" i="72"/>
  <c r="CP754" i="72" s="1"/>
  <c r="CN753" i="72"/>
  <c r="CM753" i="72"/>
  <c r="CS752" i="72"/>
  <c r="CJ753" i="72"/>
  <c r="CK754" i="72" s="1"/>
  <c r="CL755" i="72" s="1"/>
  <c r="CI753" i="72"/>
  <c r="CR753" i="72"/>
  <c r="CU752" i="82" l="1"/>
  <c r="CV752" i="82" s="1"/>
  <c r="CZ753" i="82"/>
  <c r="AM754" i="82"/>
  <c r="AQ754" i="82"/>
  <c r="AW753" i="82"/>
  <c r="DD753" i="82"/>
  <c r="AN754" i="82"/>
  <c r="AO755" i="82" s="1"/>
  <c r="AP756" i="82" s="1"/>
  <c r="DC753" i="82"/>
  <c r="DB753" i="82"/>
  <c r="EA753" i="82"/>
  <c r="DA753" i="82"/>
  <c r="DS752" i="82"/>
  <c r="DT752" i="82" s="1"/>
  <c r="DO752" i="82"/>
  <c r="DP752" i="82" s="1"/>
  <c r="AU755" i="82"/>
  <c r="CY754" i="82"/>
  <c r="CR754" i="82"/>
  <c r="CQ755" i="82"/>
  <c r="DG754" i="82"/>
  <c r="CX753" i="82"/>
  <c r="AR754" i="82"/>
  <c r="AS754" i="82"/>
  <c r="AT755" i="82" s="1"/>
  <c r="ED753" i="82"/>
  <c r="EG752" i="82"/>
  <c r="DW752" i="82"/>
  <c r="EK752" i="82"/>
  <c r="EC752" i="82"/>
  <c r="EO752" i="82"/>
  <c r="CO754" i="82"/>
  <c r="CP755" i="82" s="1"/>
  <c r="CN754" i="82"/>
  <c r="DF753" i="82"/>
  <c r="AV754" i="82"/>
  <c r="EB753" i="82"/>
  <c r="CM754" i="82"/>
  <c r="DI753" i="82"/>
  <c r="CI754" i="82"/>
  <c r="DH753" i="82"/>
  <c r="DK753" i="82"/>
  <c r="DJ753" i="82"/>
  <c r="CS753" i="82"/>
  <c r="CJ754" i="82"/>
  <c r="CK755" i="82" s="1"/>
  <c r="CL756" i="82" s="1"/>
  <c r="DL753" i="82"/>
  <c r="DF753" i="72"/>
  <c r="CQ755" i="72"/>
  <c r="DG754" i="72"/>
  <c r="DJ753" i="72"/>
  <c r="DK753" i="72"/>
  <c r="DL753" i="72"/>
  <c r="DH753" i="72"/>
  <c r="DI753" i="72"/>
  <c r="CR754" i="72"/>
  <c r="CJ754" i="72"/>
  <c r="CK755" i="72" s="1"/>
  <c r="CL756" i="72" s="1"/>
  <c r="CM754" i="72"/>
  <c r="CS753" i="72"/>
  <c r="CI754" i="72"/>
  <c r="CN754" i="72"/>
  <c r="CO754" i="72"/>
  <c r="CP755" i="72" s="1"/>
  <c r="CU753" i="82" l="1"/>
  <c r="CV753" i="82" s="1"/>
  <c r="AV755" i="82"/>
  <c r="EB754" i="82"/>
  <c r="CJ755" i="82"/>
  <c r="CK756" i="82" s="1"/>
  <c r="CL757" i="82" s="1"/>
  <c r="CM755" i="82"/>
  <c r="DL754" i="82"/>
  <c r="DH754" i="82"/>
  <c r="DJ754" i="82"/>
  <c r="DI754" i="82"/>
  <c r="CI755" i="82"/>
  <c r="CS754" i="82"/>
  <c r="DK754" i="82"/>
  <c r="DF754" i="82"/>
  <c r="CO755" i="82"/>
  <c r="CP756" i="82" s="1"/>
  <c r="CN755" i="82"/>
  <c r="AU756" i="82"/>
  <c r="CY755" i="82"/>
  <c r="CQ756" i="82"/>
  <c r="DG755" i="82"/>
  <c r="AR755" i="82"/>
  <c r="ED754" i="82"/>
  <c r="AS755" i="82"/>
  <c r="AT756" i="82" s="1"/>
  <c r="CX754" i="82"/>
  <c r="DS753" i="82"/>
  <c r="DT753" i="82" s="1"/>
  <c r="DO753" i="82"/>
  <c r="DP753" i="82" s="1"/>
  <c r="EC753" i="82"/>
  <c r="EK753" i="82"/>
  <c r="DW753" i="82"/>
  <c r="EG753" i="82"/>
  <c r="EO753" i="82"/>
  <c r="AW754" i="82"/>
  <c r="AQ755" i="82"/>
  <c r="DC754" i="82"/>
  <c r="DB754" i="82"/>
  <c r="DA754" i="82"/>
  <c r="AN755" i="82"/>
  <c r="AO756" i="82" s="1"/>
  <c r="AP757" i="82" s="1"/>
  <c r="DD754" i="82"/>
  <c r="AM755" i="82"/>
  <c r="CZ754" i="82"/>
  <c r="EA754" i="82"/>
  <c r="CR755" i="82"/>
  <c r="DF754" i="72"/>
  <c r="CQ756" i="72"/>
  <c r="DG755" i="72"/>
  <c r="DJ754" i="72"/>
  <c r="DL754" i="72"/>
  <c r="DH754" i="72"/>
  <c r="DK754" i="72"/>
  <c r="DI754" i="72"/>
  <c r="CN755" i="72"/>
  <c r="CO755" i="72"/>
  <c r="CP756" i="72" s="1"/>
  <c r="CI755" i="72"/>
  <c r="CM755" i="72"/>
  <c r="CS754" i="72"/>
  <c r="CJ755" i="72"/>
  <c r="CK756" i="72" s="1"/>
  <c r="CL757" i="72" s="1"/>
  <c r="CR755" i="72"/>
  <c r="CR756" i="82" l="1"/>
  <c r="AQ756" i="82"/>
  <c r="DB755" i="82"/>
  <c r="AM756" i="82"/>
  <c r="DD755" i="82"/>
  <c r="AN756" i="82"/>
  <c r="AO757" i="82" s="1"/>
  <c r="AP758" i="82" s="1"/>
  <c r="EA755" i="82"/>
  <c r="DC755" i="82"/>
  <c r="DA755" i="82"/>
  <c r="CZ755" i="82"/>
  <c r="AW755" i="82"/>
  <c r="DO754" i="82"/>
  <c r="DP754" i="82" s="1"/>
  <c r="DS754" i="82"/>
  <c r="DT754" i="82" s="1"/>
  <c r="CO756" i="82"/>
  <c r="CP757" i="82" s="1"/>
  <c r="DF755" i="82"/>
  <c r="CN756" i="82"/>
  <c r="CY756" i="82"/>
  <c r="AU757" i="82"/>
  <c r="DG756" i="82"/>
  <c r="CQ757" i="82"/>
  <c r="EO754" i="82"/>
  <c r="EC754" i="82"/>
  <c r="EK754" i="82"/>
  <c r="DW754" i="82"/>
  <c r="EG754" i="82"/>
  <c r="CX755" i="82"/>
  <c r="AS756" i="82"/>
  <c r="AT757" i="82" s="1"/>
  <c r="ED755" i="82"/>
  <c r="AR756" i="82"/>
  <c r="CU754" i="82"/>
  <c r="CV754" i="82" s="1"/>
  <c r="DK755" i="82"/>
  <c r="DH755" i="82"/>
  <c r="CJ756" i="82"/>
  <c r="CK757" i="82" s="1"/>
  <c r="CL758" i="82" s="1"/>
  <c r="DJ755" i="82"/>
  <c r="CI756" i="82"/>
  <c r="DI755" i="82"/>
  <c r="CM756" i="82"/>
  <c r="DL755" i="82"/>
  <c r="CS755" i="82"/>
  <c r="AV756" i="82"/>
  <c r="EB755" i="82"/>
  <c r="DF755" i="72"/>
  <c r="DJ755" i="72"/>
  <c r="DK755" i="72"/>
  <c r="DI755" i="72"/>
  <c r="DH755" i="72"/>
  <c r="DL755" i="72"/>
  <c r="CQ757" i="72"/>
  <c r="DG756" i="72"/>
  <c r="CR756" i="72"/>
  <c r="CM756" i="72"/>
  <c r="CJ756" i="72"/>
  <c r="CK757" i="72" s="1"/>
  <c r="CL758" i="72" s="1"/>
  <c r="CS755" i="72"/>
  <c r="CI756" i="72"/>
  <c r="CO756" i="72"/>
  <c r="CP757" i="72" s="1"/>
  <c r="CN756" i="72"/>
  <c r="CU755" i="82" l="1"/>
  <c r="CV755" i="82" s="1"/>
  <c r="EC755" i="82"/>
  <c r="DW755" i="82"/>
  <c r="EG755" i="82"/>
  <c r="EK755" i="82"/>
  <c r="EO755" i="82"/>
  <c r="DH756" i="82"/>
  <c r="CJ757" i="82"/>
  <c r="CK758" i="82" s="1"/>
  <c r="CL759" i="82" s="1"/>
  <c r="DK756" i="82"/>
  <c r="CM757" i="82"/>
  <c r="CS756" i="82"/>
  <c r="DI756" i="82"/>
  <c r="CI757" i="82"/>
  <c r="DL756" i="82"/>
  <c r="DJ756" i="82"/>
  <c r="AU758" i="82"/>
  <c r="CY757" i="82"/>
  <c r="CR757" i="82"/>
  <c r="DG757" i="82"/>
  <c r="CQ758" i="82"/>
  <c r="DS755" i="82"/>
  <c r="DT755" i="82" s="1"/>
  <c r="DO755" i="82"/>
  <c r="DP755" i="82" s="1"/>
  <c r="AV757" i="82"/>
  <c r="EB756" i="82"/>
  <c r="AN757" i="82"/>
  <c r="AO758" i="82" s="1"/>
  <c r="AP759" i="82" s="1"/>
  <c r="DA756" i="82"/>
  <c r="DB756" i="82"/>
  <c r="EA756" i="82"/>
  <c r="CZ756" i="82"/>
  <c r="AM757" i="82"/>
  <c r="DD756" i="82"/>
  <c r="AW756" i="82"/>
  <c r="AQ757" i="82"/>
  <c r="DC756" i="82"/>
  <c r="ED756" i="82"/>
  <c r="AS757" i="82"/>
  <c r="AT758" i="82" s="1"/>
  <c r="AR757" i="82"/>
  <c r="CX756" i="82"/>
  <c r="CN757" i="82"/>
  <c r="DF756" i="82"/>
  <c r="CO757" i="82"/>
  <c r="CP758" i="82" s="1"/>
  <c r="DF756" i="72"/>
  <c r="DK756" i="72"/>
  <c r="DH756" i="72"/>
  <c r="DJ756" i="72"/>
  <c r="DL756" i="72"/>
  <c r="DI756" i="72"/>
  <c r="CQ758" i="72"/>
  <c r="DG757" i="72"/>
  <c r="CN757" i="72"/>
  <c r="CO757" i="72"/>
  <c r="CP758" i="72" s="1"/>
  <c r="CM757" i="72"/>
  <c r="CJ757" i="72"/>
  <c r="CK758" i="72" s="1"/>
  <c r="CL759" i="72" s="1"/>
  <c r="CS756" i="72"/>
  <c r="CI757" i="72"/>
  <c r="CR757" i="72"/>
  <c r="AS758" i="82" l="1"/>
  <c r="AT759" i="82" s="1"/>
  <c r="AR758" i="82"/>
  <c r="ED757" i="82"/>
  <c r="CX757" i="82"/>
  <c r="DD757" i="82"/>
  <c r="EA757" i="82"/>
  <c r="DA757" i="82"/>
  <c r="CZ757" i="82"/>
  <c r="AQ758" i="82"/>
  <c r="AW757" i="82"/>
  <c r="DC757" i="82"/>
  <c r="AN758" i="82"/>
  <c r="AO759" i="82" s="1"/>
  <c r="AP760" i="82" s="1"/>
  <c r="AM758" i="82"/>
  <c r="DB757" i="82"/>
  <c r="CY758" i="82"/>
  <c r="AU759" i="82"/>
  <c r="EB757" i="82"/>
  <c r="AV758" i="82"/>
  <c r="CJ758" i="82"/>
  <c r="CK759" i="82" s="1"/>
  <c r="CL760" i="82" s="1"/>
  <c r="CS757" i="82"/>
  <c r="CM758" i="82"/>
  <c r="DL757" i="82"/>
  <c r="DI757" i="82"/>
  <c r="DH757" i="82"/>
  <c r="DK757" i="82"/>
  <c r="CI758" i="82"/>
  <c r="DJ757" i="82"/>
  <c r="CQ759" i="82"/>
  <c r="DG758" i="82"/>
  <c r="EG756" i="82"/>
  <c r="EC756" i="82"/>
  <c r="EO756" i="82"/>
  <c r="DW756" i="82"/>
  <c r="EK756" i="82"/>
  <c r="CU756" i="82"/>
  <c r="CV756" i="82" s="1"/>
  <c r="CN758" i="82"/>
  <c r="DF757" i="82"/>
  <c r="CO758" i="82"/>
  <c r="CP759" i="82" s="1"/>
  <c r="CR758" i="82"/>
  <c r="DS756" i="82"/>
  <c r="DT756" i="82" s="1"/>
  <c r="DO756" i="82"/>
  <c r="DP756" i="82" s="1"/>
  <c r="DF757" i="72"/>
  <c r="DH757" i="72"/>
  <c r="DJ757" i="72"/>
  <c r="DI757" i="72"/>
  <c r="DK757" i="72"/>
  <c r="DL757" i="72"/>
  <c r="CQ759" i="72"/>
  <c r="DG758" i="72"/>
  <c r="CR758" i="72"/>
  <c r="CJ758" i="72"/>
  <c r="CK759" i="72" s="1"/>
  <c r="CL760" i="72" s="1"/>
  <c r="CI758" i="72"/>
  <c r="CS757" i="72"/>
  <c r="CM758" i="72"/>
  <c r="CN758" i="72"/>
  <c r="CO758" i="72"/>
  <c r="CP759" i="72" s="1"/>
  <c r="CU757" i="82" l="1"/>
  <c r="CV757" i="82" s="1"/>
  <c r="CO759" i="82"/>
  <c r="CP760" i="82" s="1"/>
  <c r="CN759" i="82"/>
  <c r="DF758" i="82"/>
  <c r="EC757" i="82"/>
  <c r="DW757" i="82"/>
  <c r="EO757" i="82"/>
  <c r="EG757" i="82"/>
  <c r="EK757" i="82"/>
  <c r="CZ758" i="82"/>
  <c r="AN759" i="82"/>
  <c r="AO760" i="82" s="1"/>
  <c r="AP761" i="82" s="1"/>
  <c r="AM759" i="82"/>
  <c r="DC758" i="82"/>
  <c r="AW758" i="82"/>
  <c r="DB758" i="82"/>
  <c r="AQ759" i="82"/>
  <c r="EA758" i="82"/>
  <c r="DD758" i="82"/>
  <c r="DA758" i="82"/>
  <c r="DO757" i="82"/>
  <c r="DP757" i="82" s="1"/>
  <c r="DS757" i="82"/>
  <c r="DT757" i="82" s="1"/>
  <c r="CR759" i="82"/>
  <c r="CI759" i="82"/>
  <c r="DI758" i="82"/>
  <c r="DJ758" i="82"/>
  <c r="CJ759" i="82"/>
  <c r="CK760" i="82" s="1"/>
  <c r="CL761" i="82" s="1"/>
  <c r="CM759" i="82"/>
  <c r="DH758" i="82"/>
  <c r="DL758" i="82"/>
  <c r="CS758" i="82"/>
  <c r="DK758" i="82"/>
  <c r="DG759" i="82"/>
  <c r="CQ760" i="82"/>
  <c r="AV759" i="82"/>
  <c r="EB758" i="82"/>
  <c r="ED758" i="82"/>
  <c r="AR759" i="82"/>
  <c r="AS759" i="82"/>
  <c r="AT760" i="82" s="1"/>
  <c r="CX758" i="82"/>
  <c r="AU760" i="82"/>
  <c r="CY759" i="82"/>
  <c r="DF758" i="72"/>
  <c r="DJ758" i="72"/>
  <c r="DK758" i="72"/>
  <c r="DL758" i="72"/>
  <c r="DH758" i="72"/>
  <c r="DI758" i="72"/>
  <c r="CR759" i="72"/>
  <c r="CQ760" i="72"/>
  <c r="DG759" i="72"/>
  <c r="CO759" i="72"/>
  <c r="CP760" i="72" s="1"/>
  <c r="CN759" i="72"/>
  <c r="CS758" i="72"/>
  <c r="CJ759" i="72"/>
  <c r="CK760" i="72" s="1"/>
  <c r="CL761" i="72" s="1"/>
  <c r="CI759" i="72"/>
  <c r="CM759" i="72"/>
  <c r="CR760" i="82" l="1"/>
  <c r="EB759" i="82"/>
  <c r="AV760" i="82"/>
  <c r="AQ760" i="82"/>
  <c r="DA759" i="82"/>
  <c r="DB759" i="82"/>
  <c r="AW759" i="82"/>
  <c r="AN760" i="82"/>
  <c r="AO761" i="82" s="1"/>
  <c r="AP762" i="82" s="1"/>
  <c r="DC759" i="82"/>
  <c r="CZ759" i="82"/>
  <c r="EA759" i="82"/>
  <c r="DD759" i="82"/>
  <c r="AM760" i="82"/>
  <c r="DS758" i="82"/>
  <c r="DT758" i="82" s="1"/>
  <c r="DO758" i="82"/>
  <c r="DP758" i="82" s="1"/>
  <c r="EC758" i="82"/>
  <c r="EG758" i="82"/>
  <c r="EK758" i="82"/>
  <c r="DW758" i="82"/>
  <c r="EO758" i="82"/>
  <c r="CY760" i="82"/>
  <c r="AU761" i="82"/>
  <c r="CM760" i="82"/>
  <c r="DJ759" i="82"/>
  <c r="DL759" i="82"/>
  <c r="CJ760" i="82"/>
  <c r="CK761" i="82" s="1"/>
  <c r="CL762" i="82" s="1"/>
  <c r="DI759" i="82"/>
  <c r="CI760" i="82"/>
  <c r="CS759" i="82"/>
  <c r="DK759" i="82"/>
  <c r="DH759" i="82"/>
  <c r="CO760" i="82"/>
  <c r="CP761" i="82" s="1"/>
  <c r="DF759" i="82"/>
  <c r="CN760" i="82"/>
  <c r="AS760" i="82"/>
  <c r="AT761" i="82" s="1"/>
  <c r="ED759" i="82"/>
  <c r="CX759" i="82"/>
  <c r="AR760" i="82"/>
  <c r="CU758" i="82"/>
  <c r="CV758" i="82" s="1"/>
  <c r="CQ761" i="82"/>
  <c r="DG760" i="82"/>
  <c r="CQ761" i="72"/>
  <c r="DG760" i="72"/>
  <c r="CR760" i="72"/>
  <c r="DJ759" i="72"/>
  <c r="DK759" i="72"/>
  <c r="DH759" i="72"/>
  <c r="DL759" i="72"/>
  <c r="DI759" i="72"/>
  <c r="DF759" i="72"/>
  <c r="CI760" i="72"/>
  <c r="CJ760" i="72"/>
  <c r="CK761" i="72" s="1"/>
  <c r="CL762" i="72" s="1"/>
  <c r="CS759" i="72"/>
  <c r="CM760" i="72"/>
  <c r="CO760" i="72"/>
  <c r="CP761" i="72" s="1"/>
  <c r="CN760" i="72"/>
  <c r="CU759" i="82" l="1"/>
  <c r="CV759" i="82" s="1"/>
  <c r="DS759" i="82"/>
  <c r="DT759" i="82" s="1"/>
  <c r="DO759" i="82"/>
  <c r="DP759" i="82" s="1"/>
  <c r="AQ761" i="82"/>
  <c r="AM761" i="82"/>
  <c r="CZ760" i="82"/>
  <c r="AW760" i="82"/>
  <c r="AN761" i="82"/>
  <c r="AO762" i="82" s="1"/>
  <c r="AP763" i="82" s="1"/>
  <c r="DA760" i="82"/>
  <c r="EA760" i="82"/>
  <c r="DD760" i="82"/>
  <c r="DC760" i="82"/>
  <c r="DB760" i="82"/>
  <c r="EO759" i="82"/>
  <c r="DW759" i="82"/>
  <c r="EG759" i="82"/>
  <c r="EK759" i="82"/>
  <c r="EC759" i="82"/>
  <c r="CM761" i="82"/>
  <c r="DH760" i="82"/>
  <c r="DI760" i="82"/>
  <c r="DJ760" i="82"/>
  <c r="DL760" i="82"/>
  <c r="CS760" i="82"/>
  <c r="CJ761" i="82"/>
  <c r="CK762" i="82" s="1"/>
  <c r="CL763" i="82" s="1"/>
  <c r="CI761" i="82"/>
  <c r="DK760" i="82"/>
  <c r="CY761" i="82"/>
  <c r="AU762" i="82"/>
  <c r="CN761" i="82"/>
  <c r="CO761" i="82"/>
  <c r="CP762" i="82" s="1"/>
  <c r="DF760" i="82"/>
  <c r="EB760" i="82"/>
  <c r="AV761" i="82"/>
  <c r="CQ762" i="82"/>
  <c r="DG761" i="82"/>
  <c r="AR761" i="82"/>
  <c r="ED760" i="82"/>
  <c r="CX760" i="82"/>
  <c r="AS761" i="82"/>
  <c r="AT762" i="82" s="1"/>
  <c r="CR761" i="82"/>
  <c r="DF760" i="72"/>
  <c r="CQ762" i="72"/>
  <c r="DG761" i="72"/>
  <c r="DH760" i="72"/>
  <c r="DJ760" i="72"/>
  <c r="DK760" i="72"/>
  <c r="DL760" i="72"/>
  <c r="DI760" i="72"/>
  <c r="CN761" i="72"/>
  <c r="CO761" i="72"/>
  <c r="CP762" i="72" s="1"/>
  <c r="CJ761" i="72"/>
  <c r="CK762" i="72" s="1"/>
  <c r="CL763" i="72" s="1"/>
  <c r="CM761" i="72"/>
  <c r="CS760" i="72"/>
  <c r="CI761" i="72"/>
  <c r="CR761" i="72"/>
  <c r="CU760" i="82" l="1"/>
  <c r="CV760" i="82" s="1"/>
  <c r="ED761" i="82"/>
  <c r="AR762" i="82"/>
  <c r="AS762" i="82"/>
  <c r="AT763" i="82" s="1"/>
  <c r="CX761" i="82"/>
  <c r="CQ763" i="82"/>
  <c r="DG762" i="82"/>
  <c r="EC760" i="82"/>
  <c r="EK760" i="82"/>
  <c r="EG760" i="82"/>
  <c r="EO760" i="82"/>
  <c r="DW760" i="82"/>
  <c r="DF761" i="82"/>
  <c r="CO762" i="82"/>
  <c r="CP763" i="82" s="1"/>
  <c r="CN762" i="82"/>
  <c r="CR762" i="82"/>
  <c r="AV762" i="82"/>
  <c r="EB761" i="82"/>
  <c r="AW761" i="82"/>
  <c r="AM762" i="82"/>
  <c r="DD761" i="82"/>
  <c r="EA761" i="82"/>
  <c r="DA761" i="82"/>
  <c r="DC761" i="82"/>
  <c r="AN762" i="82"/>
  <c r="AO763" i="82" s="1"/>
  <c r="AP764" i="82" s="1"/>
  <c r="AQ762" i="82"/>
  <c r="DB761" i="82"/>
  <c r="CZ761" i="82"/>
  <c r="AU763" i="82"/>
  <c r="CY762" i="82"/>
  <c r="DS760" i="82"/>
  <c r="DT760" i="82" s="1"/>
  <c r="DO760" i="82"/>
  <c r="DP760" i="82" s="1"/>
  <c r="CJ762" i="82"/>
  <c r="CK763" i="82" s="1"/>
  <c r="CL764" i="82" s="1"/>
  <c r="DI761" i="82"/>
  <c r="CM762" i="82"/>
  <c r="DH761" i="82"/>
  <c r="CI762" i="82"/>
  <c r="DJ761" i="82"/>
  <c r="CS761" i="82"/>
  <c r="DL761" i="82"/>
  <c r="DK761" i="82"/>
  <c r="DF761" i="72"/>
  <c r="CQ763" i="72"/>
  <c r="DG762" i="72"/>
  <c r="DJ761" i="72"/>
  <c r="DK761" i="72"/>
  <c r="DH761" i="72"/>
  <c r="DI761" i="72"/>
  <c r="DL761" i="72"/>
  <c r="CR762" i="72"/>
  <c r="CM762" i="72"/>
  <c r="CI762" i="72"/>
  <c r="CS761" i="72"/>
  <c r="CJ762" i="72"/>
  <c r="CK763" i="72" s="1"/>
  <c r="CL764" i="72" s="1"/>
  <c r="CN762" i="72"/>
  <c r="CO762" i="72"/>
  <c r="CP763" i="72" s="1"/>
  <c r="CU761" i="82" l="1"/>
  <c r="CV761" i="82" s="1"/>
  <c r="DK762" i="82"/>
  <c r="CJ763" i="82"/>
  <c r="CK764" i="82" s="1"/>
  <c r="CL765" i="82" s="1"/>
  <c r="DH762" i="82"/>
  <c r="DI762" i="82"/>
  <c r="CI763" i="82"/>
  <c r="DL762" i="82"/>
  <c r="DJ762" i="82"/>
  <c r="CM763" i="82"/>
  <c r="CS762" i="82"/>
  <c r="AQ763" i="82"/>
  <c r="DB762" i="82"/>
  <c r="DC762" i="82"/>
  <c r="AW762" i="82"/>
  <c r="DA762" i="82"/>
  <c r="EA762" i="82"/>
  <c r="DD762" i="82"/>
  <c r="CZ762" i="82"/>
  <c r="AN763" i="82"/>
  <c r="AO764" i="82" s="1"/>
  <c r="AP765" i="82" s="1"/>
  <c r="AM763" i="82"/>
  <c r="CO763" i="82"/>
  <c r="CP764" i="82" s="1"/>
  <c r="CN763" i="82"/>
  <c r="DF762" i="82"/>
  <c r="CQ764" i="82"/>
  <c r="DG763" i="82"/>
  <c r="AV763" i="82"/>
  <c r="EB762" i="82"/>
  <c r="DO761" i="82"/>
  <c r="DP761" i="82" s="1"/>
  <c r="DS761" i="82"/>
  <c r="DT761" i="82" s="1"/>
  <c r="CR763" i="82"/>
  <c r="CY763" i="82"/>
  <c r="AU764" i="82"/>
  <c r="EO761" i="82"/>
  <c r="EC761" i="82"/>
  <c r="EG761" i="82"/>
  <c r="DW761" i="82"/>
  <c r="EK761" i="82"/>
  <c r="ED762" i="82"/>
  <c r="AS763" i="82"/>
  <c r="AT764" i="82" s="1"/>
  <c r="AR763" i="82"/>
  <c r="CX762" i="82"/>
  <c r="DF762" i="72"/>
  <c r="CQ764" i="72"/>
  <c r="DG763" i="72"/>
  <c r="DL762" i="72"/>
  <c r="DJ762" i="72"/>
  <c r="DK762" i="72"/>
  <c r="DH762" i="72"/>
  <c r="DI762" i="72"/>
  <c r="CO763" i="72"/>
  <c r="CP764" i="72" s="1"/>
  <c r="CN763" i="72"/>
  <c r="CS762" i="72"/>
  <c r="CJ763" i="72"/>
  <c r="CK764" i="72" s="1"/>
  <c r="CL765" i="72" s="1"/>
  <c r="CI763" i="72"/>
  <c r="CM763" i="72"/>
  <c r="CR763" i="72"/>
  <c r="CR764" i="82" l="1"/>
  <c r="EC762" i="82"/>
  <c r="EK762" i="82"/>
  <c r="EO762" i="82"/>
  <c r="DW762" i="82"/>
  <c r="EG762" i="82"/>
  <c r="CO764" i="82"/>
  <c r="CP765" i="82" s="1"/>
  <c r="DF763" i="82"/>
  <c r="CN764" i="82"/>
  <c r="DH763" i="82"/>
  <c r="DI763" i="82"/>
  <c r="CJ764" i="82"/>
  <c r="CK765" i="82" s="1"/>
  <c r="CL766" i="82" s="1"/>
  <c r="DK763" i="82"/>
  <c r="CS763" i="82"/>
  <c r="CM764" i="82"/>
  <c r="DJ763" i="82"/>
  <c r="CI764" i="82"/>
  <c r="DL763" i="82"/>
  <c r="CQ765" i="82"/>
  <c r="DG764" i="82"/>
  <c r="DS762" i="82"/>
  <c r="DT762" i="82" s="1"/>
  <c r="DO762" i="82"/>
  <c r="DP762" i="82" s="1"/>
  <c r="AQ764" i="82"/>
  <c r="AN764" i="82"/>
  <c r="AO765" i="82" s="1"/>
  <c r="AP766" i="82" s="1"/>
  <c r="EA763" i="82"/>
  <c r="AM764" i="82"/>
  <c r="DB763" i="82"/>
  <c r="AW763" i="82"/>
  <c r="DD763" i="82"/>
  <c r="DA763" i="82"/>
  <c r="CZ763" i="82"/>
  <c r="DC763" i="82"/>
  <c r="AS764" i="82"/>
  <c r="AT765" i="82" s="1"/>
  <c r="ED763" i="82"/>
  <c r="CX763" i="82"/>
  <c r="AR764" i="82"/>
  <c r="CY764" i="82"/>
  <c r="AU765" i="82"/>
  <c r="AV764" i="82"/>
  <c r="EB763" i="82"/>
  <c r="CU762" i="82"/>
  <c r="CV762" i="82" s="1"/>
  <c r="DJ763" i="72"/>
  <c r="DK763" i="72"/>
  <c r="DH763" i="72"/>
  <c r="DL763" i="72"/>
  <c r="DI763" i="72"/>
  <c r="DF763" i="72"/>
  <c r="CQ765" i="72"/>
  <c r="DG764" i="72"/>
  <c r="CR764" i="72"/>
  <c r="CJ764" i="72"/>
  <c r="CK765" i="72" s="1"/>
  <c r="CL766" i="72" s="1"/>
  <c r="CM764" i="72"/>
  <c r="CS763" i="72"/>
  <c r="CI764" i="72"/>
  <c r="CO764" i="72"/>
  <c r="CP765" i="72" s="1"/>
  <c r="CN764" i="72"/>
  <c r="CU763" i="82" l="1"/>
  <c r="CV763" i="82" s="1"/>
  <c r="AS765" i="82"/>
  <c r="AT766" i="82" s="1"/>
  <c r="AR765" i="82"/>
  <c r="ED764" i="82"/>
  <c r="CX764" i="82"/>
  <c r="DO763" i="82"/>
  <c r="DP763" i="82" s="1"/>
  <c r="DS763" i="82"/>
  <c r="DT763" i="82" s="1"/>
  <c r="AN765" i="82"/>
  <c r="AO766" i="82" s="1"/>
  <c r="DD764" i="82"/>
  <c r="EA764" i="82"/>
  <c r="DC764" i="82"/>
  <c r="DB764" i="82"/>
  <c r="AM765" i="82"/>
  <c r="AQ765" i="82"/>
  <c r="DA764" i="82"/>
  <c r="CZ764" i="82"/>
  <c r="AW764" i="82"/>
  <c r="AU766" i="82"/>
  <c r="CY765" i="82"/>
  <c r="AV765" i="82"/>
  <c r="EB764" i="82"/>
  <c r="CM765" i="82"/>
  <c r="DH764" i="82"/>
  <c r="CI765" i="82"/>
  <c r="DI764" i="82"/>
  <c r="CS764" i="82"/>
  <c r="CJ765" i="82"/>
  <c r="CK766" i="82" s="1"/>
  <c r="DL764" i="82"/>
  <c r="DK764" i="82"/>
  <c r="DJ764" i="82"/>
  <c r="CN765" i="82"/>
  <c r="CO765" i="82"/>
  <c r="CP766" i="82" s="1"/>
  <c r="DF764" i="82"/>
  <c r="CR765" i="82"/>
  <c r="EG763" i="82"/>
  <c r="DW763" i="82"/>
  <c r="EC763" i="82"/>
  <c r="EO763" i="82"/>
  <c r="EK763" i="82"/>
  <c r="CQ766" i="82"/>
  <c r="DG765" i="82"/>
  <c r="DF764" i="72"/>
  <c r="CQ766" i="72"/>
  <c r="DG765" i="72"/>
  <c r="DL764" i="72"/>
  <c r="DI764" i="72"/>
  <c r="DJ764" i="72"/>
  <c r="DH764" i="72"/>
  <c r="DK764" i="72"/>
  <c r="CN765" i="72"/>
  <c r="CO765" i="72"/>
  <c r="CP766" i="72" s="1"/>
  <c r="CJ765" i="72"/>
  <c r="CK766" i="72" s="1"/>
  <c r="CI765" i="72"/>
  <c r="CS764" i="72"/>
  <c r="CM765" i="72"/>
  <c r="CR765" i="72"/>
  <c r="CU764" i="82" l="1"/>
  <c r="CV764" i="82" s="1"/>
  <c r="CR766" i="82"/>
  <c r="EB765" i="82"/>
  <c r="AV766" i="82"/>
  <c r="AW765" i="82"/>
  <c r="DD765" i="82"/>
  <c r="DA765" i="82"/>
  <c r="DB765" i="82"/>
  <c r="AN766" i="82"/>
  <c r="AM766" i="82"/>
  <c r="DC765" i="82"/>
  <c r="EA765" i="82"/>
  <c r="AQ766" i="82"/>
  <c r="CZ765" i="82"/>
  <c r="DO764" i="82"/>
  <c r="DP764" i="82" s="1"/>
  <c r="DS764" i="82"/>
  <c r="DT764" i="82" s="1"/>
  <c r="DG766" i="82"/>
  <c r="CJ766" i="82"/>
  <c r="CI766" i="82"/>
  <c r="DJ765" i="82"/>
  <c r="DI765" i="82"/>
  <c r="CS765" i="82"/>
  <c r="DL765" i="82"/>
  <c r="CM766" i="82"/>
  <c r="DH765" i="82"/>
  <c r="DK765" i="82"/>
  <c r="DF765" i="82"/>
  <c r="CN766" i="82"/>
  <c r="CO766" i="82"/>
  <c r="AS766" i="82"/>
  <c r="ED765" i="82"/>
  <c r="AR766" i="82"/>
  <c r="CX765" i="82"/>
  <c r="CY766" i="82"/>
  <c r="EO764" i="82"/>
  <c r="EG764" i="82"/>
  <c r="EK764" i="82"/>
  <c r="EC764" i="82"/>
  <c r="DW764" i="82"/>
  <c r="DG766" i="72"/>
  <c r="DF765" i="72"/>
  <c r="DH765" i="72"/>
  <c r="DJ765" i="72"/>
  <c r="DK765" i="72"/>
  <c r="DI765" i="72"/>
  <c r="DL765" i="72"/>
  <c r="CR766" i="72"/>
  <c r="CI766" i="72"/>
  <c r="CJ766" i="72"/>
  <c r="CS765" i="72"/>
  <c r="CM766" i="72"/>
  <c r="CO766" i="72"/>
  <c r="CN766" i="72"/>
  <c r="CU765" i="82" l="1"/>
  <c r="CV765" i="82" s="1"/>
  <c r="EB766" i="82"/>
  <c r="B63" i="82" s="1"/>
  <c r="L38" i="1" s="1"/>
  <c r="EO765" i="82"/>
  <c r="EK765" i="82"/>
  <c r="DW765" i="82"/>
  <c r="EG765" i="82"/>
  <c r="EC765" i="82"/>
  <c r="DF766" i="82"/>
  <c r="DK766" i="82"/>
  <c r="DJ766" i="82"/>
  <c r="DH766" i="82"/>
  <c r="CS766" i="82"/>
  <c r="DL766" i="82"/>
  <c r="DI766" i="82"/>
  <c r="DO765" i="82"/>
  <c r="DP765" i="82" s="1"/>
  <c r="DS765" i="82"/>
  <c r="DT765" i="82" s="1"/>
  <c r="DB766" i="82"/>
  <c r="DA766" i="82"/>
  <c r="EA766" i="82"/>
  <c r="B62" i="82" s="1"/>
  <c r="L37" i="1" s="1"/>
  <c r="CZ766" i="82"/>
  <c r="DD766" i="82"/>
  <c r="DC766" i="82"/>
  <c r="AW766" i="82"/>
  <c r="ED766" i="82"/>
  <c r="B65" i="82" s="1"/>
  <c r="L40" i="1" s="1"/>
  <c r="CX766" i="82"/>
  <c r="DK766" i="72"/>
  <c r="DJ766" i="72"/>
  <c r="DL766" i="72"/>
  <c r="DH766" i="72"/>
  <c r="DI766" i="72"/>
  <c r="DF766" i="72"/>
  <c r="CS766" i="72"/>
  <c r="CU766" i="82" l="1"/>
  <c r="CV766" i="82" s="1"/>
  <c r="DS766" i="82"/>
  <c r="DT766" i="82" s="1"/>
  <c r="B67" i="82" s="1"/>
  <c r="DO766" i="82"/>
  <c r="DP766" i="82" s="1"/>
  <c r="B66" i="82" s="1"/>
  <c r="EO766" i="82"/>
  <c r="EK766" i="82"/>
  <c r="DW766" i="82"/>
  <c r="EG766" i="82"/>
  <c r="EC766" i="82"/>
  <c r="B64" i="82" s="1"/>
  <c r="L39" i="1" s="1"/>
  <c r="B73" i="82" l="1"/>
  <c r="L47" i="1" s="1"/>
  <c r="L42" i="1"/>
  <c r="B72" i="82"/>
  <c r="L46" i="1" s="1"/>
  <c r="L41" i="1"/>
  <c r="S667" i="72"/>
  <c r="R667" i="72"/>
  <c r="AC667" i="72" l="1"/>
  <c r="AC668" i="72" s="1"/>
  <c r="AK667" i="72"/>
  <c r="AK668" i="72" s="1"/>
  <c r="AB667" i="72"/>
  <c r="AG668" i="72" s="1"/>
  <c r="AJ667" i="72"/>
  <c r="AH668" i="72" l="1"/>
  <c r="FT667" i="72"/>
  <c r="FU667" i="72"/>
  <c r="FQ667" i="72"/>
  <c r="FR667" i="72" s="1"/>
  <c r="AD668" i="72"/>
  <c r="AE669" i="72" s="1"/>
  <c r="AF670" i="72" s="1"/>
  <c r="AB668" i="72"/>
  <c r="AJ668" i="72"/>
  <c r="AL668" i="72"/>
  <c r="AM669" i="72" s="1"/>
  <c r="AN670" i="72" s="1"/>
  <c r="AO668" i="72"/>
  <c r="AP668" i="72"/>
  <c r="GQ667" i="72" l="1"/>
  <c r="GU667" i="72"/>
  <c r="GY667" i="72"/>
  <c r="GD667" i="72"/>
  <c r="GE667" i="72" s="1"/>
  <c r="GH667" i="72"/>
  <c r="GN667" i="72"/>
  <c r="AC669" i="72"/>
  <c r="FV667" i="72"/>
  <c r="AH669" i="72"/>
  <c r="FT668" i="72"/>
  <c r="FU668" i="72"/>
  <c r="FQ668" i="72"/>
  <c r="FR668" i="72" s="1"/>
  <c r="AB669" i="72"/>
  <c r="AK669" i="72"/>
  <c r="AP669" i="72"/>
  <c r="FW668" i="72"/>
  <c r="GM668" i="72" s="1"/>
  <c r="AD669" i="72"/>
  <c r="AE670" i="72" s="1"/>
  <c r="AF671" i="72" s="1"/>
  <c r="AG669" i="72"/>
  <c r="AO669" i="72"/>
  <c r="AJ669" i="72"/>
  <c r="AL669" i="72"/>
  <c r="AM670" i="72" s="1"/>
  <c r="AN671" i="72" s="1"/>
  <c r="GU668" i="72" l="1"/>
  <c r="GY668" i="72"/>
  <c r="GQ668" i="72"/>
  <c r="AC670" i="72"/>
  <c r="GD668" i="72"/>
  <c r="GE668" i="72" s="1"/>
  <c r="GH668" i="72"/>
  <c r="GN668" i="72"/>
  <c r="FZ667" i="72"/>
  <c r="GA667" i="72" s="1"/>
  <c r="GL667" i="72"/>
  <c r="FW669" i="72"/>
  <c r="GM669" i="72" s="1"/>
  <c r="AG670" i="72"/>
  <c r="FV668" i="72"/>
  <c r="FT669" i="72"/>
  <c r="FU669" i="72"/>
  <c r="FQ669" i="72"/>
  <c r="FR669" i="72" s="1"/>
  <c r="AH670" i="72"/>
  <c r="AD670" i="72"/>
  <c r="AE671" i="72" s="1"/>
  <c r="AF672" i="72" s="1"/>
  <c r="AB670" i="72"/>
  <c r="AO670" i="72"/>
  <c r="AL670" i="72"/>
  <c r="AM671" i="72" s="1"/>
  <c r="AN672" i="72" s="1"/>
  <c r="AJ670" i="72"/>
  <c r="AK670" i="72"/>
  <c r="AK671" i="72" s="1"/>
  <c r="AP670" i="72"/>
  <c r="AD671" i="72" l="1"/>
  <c r="AE672" i="72" s="1"/>
  <c r="GY669" i="72"/>
  <c r="GU669" i="72"/>
  <c r="GQ669" i="72"/>
  <c r="AO671" i="72"/>
  <c r="GN669" i="72"/>
  <c r="GH669" i="72"/>
  <c r="FV669" i="72"/>
  <c r="GD669" i="72"/>
  <c r="GE669" i="72" s="1"/>
  <c r="FZ668" i="72"/>
  <c r="GA668" i="72" s="1"/>
  <c r="GL668" i="72"/>
  <c r="AF673" i="72"/>
  <c r="FT670" i="72"/>
  <c r="FU670" i="72"/>
  <c r="FQ670" i="72"/>
  <c r="FR670" i="72" s="1"/>
  <c r="AH671" i="72"/>
  <c r="AP671" i="72"/>
  <c r="FW670" i="72"/>
  <c r="GM670" i="72" s="1"/>
  <c r="AC671" i="72"/>
  <c r="AC672" i="72" s="1"/>
  <c r="AG671" i="72"/>
  <c r="AB671" i="72"/>
  <c r="AJ671" i="72"/>
  <c r="AL671" i="72"/>
  <c r="AM672" i="72" s="1"/>
  <c r="AN673" i="72" s="1"/>
  <c r="GU670" i="72" l="1"/>
  <c r="GY670" i="72"/>
  <c r="GQ670" i="72"/>
  <c r="FW671" i="72"/>
  <c r="GM671" i="72" s="1"/>
  <c r="GD670" i="72"/>
  <c r="GE670" i="72" s="1"/>
  <c r="AH672" i="72"/>
  <c r="AB672" i="72"/>
  <c r="AD673" i="72" s="1"/>
  <c r="AE674" i="72" s="1"/>
  <c r="FZ669" i="72"/>
  <c r="GA669" i="72" s="1"/>
  <c r="GL669" i="72"/>
  <c r="GN670" i="72"/>
  <c r="GH670" i="72"/>
  <c r="AD672" i="72"/>
  <c r="AE673" i="72" s="1"/>
  <c r="AF674" i="72" s="1"/>
  <c r="FT671" i="72"/>
  <c r="FU671" i="72"/>
  <c r="FQ671" i="72"/>
  <c r="FR671" i="72" s="1"/>
  <c r="AG672" i="72"/>
  <c r="FV670" i="72"/>
  <c r="AJ672" i="72"/>
  <c r="AL672" i="72"/>
  <c r="AM673" i="72" s="1"/>
  <c r="AN674" i="72" s="1"/>
  <c r="AK672" i="72"/>
  <c r="AP672" i="72"/>
  <c r="AO672" i="72"/>
  <c r="GU671" i="72" l="1"/>
  <c r="GY671" i="72"/>
  <c r="GQ671" i="72"/>
  <c r="GD671" i="72"/>
  <c r="GE671" i="72" s="1"/>
  <c r="FT672" i="72"/>
  <c r="FZ670" i="72"/>
  <c r="GA670" i="72" s="1"/>
  <c r="GL670" i="72"/>
  <c r="AC673" i="72"/>
  <c r="AC674" i="72" s="1"/>
  <c r="AG673" i="72"/>
  <c r="GH671" i="72"/>
  <c r="GN671" i="72"/>
  <c r="FV671" i="72"/>
  <c r="AH673" i="72"/>
  <c r="AO673" i="72"/>
  <c r="AK673" i="72"/>
  <c r="AP673" i="72"/>
  <c r="FW672" i="72"/>
  <c r="GM672" i="72" s="1"/>
  <c r="FQ672" i="72"/>
  <c r="FR672" i="72" s="1"/>
  <c r="AB673" i="72"/>
  <c r="FU672" i="72"/>
  <c r="AF675" i="72"/>
  <c r="AL673" i="72"/>
  <c r="AM674" i="72" s="1"/>
  <c r="AN675" i="72" s="1"/>
  <c r="AJ673" i="72"/>
  <c r="GU672" i="72" l="1"/>
  <c r="GY672" i="72"/>
  <c r="GQ672" i="72"/>
  <c r="FW673" i="72"/>
  <c r="GM673" i="72" s="1"/>
  <c r="FV672" i="72"/>
  <c r="GN672" i="72"/>
  <c r="GH672" i="72"/>
  <c r="FZ671" i="72"/>
  <c r="GA671" i="72" s="1"/>
  <c r="GL671" i="72"/>
  <c r="GD672" i="72"/>
  <c r="GE672" i="72" s="1"/>
  <c r="AD674" i="72"/>
  <c r="AE675" i="72" s="1"/>
  <c r="AF676" i="72" s="1"/>
  <c r="AH674" i="72"/>
  <c r="AB674" i="72"/>
  <c r="FT673" i="72"/>
  <c r="FU673" i="72"/>
  <c r="FQ673" i="72"/>
  <c r="FR673" i="72" s="1"/>
  <c r="AG674" i="72"/>
  <c r="AL674" i="72"/>
  <c r="AM675" i="72" s="1"/>
  <c r="AN676" i="72" s="1"/>
  <c r="AJ674" i="72"/>
  <c r="AP674" i="72"/>
  <c r="AK674" i="72"/>
  <c r="AO674" i="72"/>
  <c r="AD675" i="72"/>
  <c r="AE676" i="72" s="1"/>
  <c r="GQ673" i="72" l="1"/>
  <c r="GY673" i="72"/>
  <c r="GU673" i="72"/>
  <c r="AP681" i="72"/>
  <c r="GD673" i="72"/>
  <c r="GE673" i="72" s="1"/>
  <c r="AC675" i="72"/>
  <c r="AC676" i="72" s="1"/>
  <c r="AB675" i="72"/>
  <c r="AB676" i="72" s="1"/>
  <c r="FW674" i="72"/>
  <c r="GM674" i="72" s="1"/>
  <c r="GN673" i="72"/>
  <c r="GH673" i="72"/>
  <c r="FZ672" i="72"/>
  <c r="GA672" i="72" s="1"/>
  <c r="GL672" i="72"/>
  <c r="AG675" i="72"/>
  <c r="FV673" i="72"/>
  <c r="AH675" i="72"/>
  <c r="AK675" i="72"/>
  <c r="AO675" i="72"/>
  <c r="FT674" i="72"/>
  <c r="FQ674" i="72"/>
  <c r="FR674" i="72" s="1"/>
  <c r="FU674" i="72"/>
  <c r="AP675" i="72"/>
  <c r="AJ675" i="72"/>
  <c r="AL675" i="72"/>
  <c r="AM676" i="72" s="1"/>
  <c r="AO681" i="72" s="1"/>
  <c r="GY674" i="72" l="1"/>
  <c r="GU674" i="72"/>
  <c r="GD674" i="72"/>
  <c r="GE674" i="72" s="1"/>
  <c r="GQ674" i="72"/>
  <c r="AD676" i="72"/>
  <c r="AP682" i="72"/>
  <c r="FW675" i="72"/>
  <c r="GM675" i="72" s="1"/>
  <c r="AG676" i="72"/>
  <c r="FZ673" i="72"/>
  <c r="GA673" i="72" s="1"/>
  <c r="GL673" i="72"/>
  <c r="AH676" i="72"/>
  <c r="GH674" i="72"/>
  <c r="GN674" i="72"/>
  <c r="FT675" i="72"/>
  <c r="FU675" i="72"/>
  <c r="FV674" i="72"/>
  <c r="FQ675" i="72"/>
  <c r="FR675" i="72" s="1"/>
  <c r="AO676" i="72"/>
  <c r="AP676" i="72"/>
  <c r="AJ676" i="72"/>
  <c r="AL676" i="72"/>
  <c r="AN681" i="72" s="1"/>
  <c r="AO682" i="72" s="1"/>
  <c r="AK676" i="72"/>
  <c r="FW676" i="72" l="1"/>
  <c r="GM676" i="72" s="1"/>
  <c r="B48" i="72" s="1"/>
  <c r="K25" i="1" s="1"/>
  <c r="M25" i="1" s="1"/>
  <c r="GU675" i="72"/>
  <c r="GY675" i="72"/>
  <c r="GQ675" i="72"/>
  <c r="AP683" i="72"/>
  <c r="AR681" i="72"/>
  <c r="ED681" i="72" s="1"/>
  <c r="AQ681" i="72"/>
  <c r="AV681" i="72"/>
  <c r="EB681" i="72" s="1"/>
  <c r="AM681" i="72"/>
  <c r="FT676" i="72"/>
  <c r="GD675" i="72"/>
  <c r="GE675" i="72" s="1"/>
  <c r="FZ674" i="72"/>
  <c r="GA674" i="72" s="1"/>
  <c r="GL674" i="72"/>
  <c r="FV675" i="72"/>
  <c r="GH675" i="72"/>
  <c r="GN675" i="72"/>
  <c r="FU676" i="72"/>
  <c r="FQ676" i="72"/>
  <c r="FR676" i="72" s="1"/>
  <c r="GQ676" i="72" l="1"/>
  <c r="GU676" i="72"/>
  <c r="GY676" i="72"/>
  <c r="AS682" i="72"/>
  <c r="AT683" i="72" s="1"/>
  <c r="CY683" i="72" s="1"/>
  <c r="AR682" i="72"/>
  <c r="AS683" i="72" s="1"/>
  <c r="AT684" i="72" s="1"/>
  <c r="EA681" i="72"/>
  <c r="AV682" i="72"/>
  <c r="EB682" i="72" s="1"/>
  <c r="AQ682" i="72"/>
  <c r="AW681" i="72"/>
  <c r="CU681" i="72" s="1"/>
  <c r="CV681" i="72" s="1"/>
  <c r="AM682" i="72"/>
  <c r="AN682" i="72"/>
  <c r="AO683" i="72" s="1"/>
  <c r="AP684" i="72" s="1"/>
  <c r="GD676" i="72"/>
  <c r="GE676" i="72" s="1"/>
  <c r="FZ675" i="72"/>
  <c r="GA675" i="72" s="1"/>
  <c r="GL675" i="72"/>
  <c r="FV676" i="72"/>
  <c r="GH676" i="72"/>
  <c r="GN676" i="72"/>
  <c r="B49" i="72" s="1"/>
  <c r="K26" i="1" s="1"/>
  <c r="M26" i="1" s="1"/>
  <c r="AU684" i="72" l="1"/>
  <c r="CY684" i="72" s="1"/>
  <c r="B51" i="72"/>
  <c r="K28" i="1" s="1"/>
  <c r="M28" i="1" s="1"/>
  <c r="DT681" i="72"/>
  <c r="EA682" i="72"/>
  <c r="DA682" i="72"/>
  <c r="DB682" i="72"/>
  <c r="DC682" i="72"/>
  <c r="CZ682" i="72"/>
  <c r="DD682" i="72"/>
  <c r="ED682" i="72"/>
  <c r="CX682" i="72"/>
  <c r="AN683" i="72"/>
  <c r="AO684" i="72" s="1"/>
  <c r="AP685" i="72" s="1"/>
  <c r="AW682" i="72"/>
  <c r="CU682" i="72" s="1"/>
  <c r="CV682" i="72" s="1"/>
  <c r="AM683" i="72"/>
  <c r="AQ683" i="72"/>
  <c r="AV683" i="72"/>
  <c r="EB683" i="72" s="1"/>
  <c r="AR683" i="72"/>
  <c r="FZ676" i="72"/>
  <c r="GA676" i="72" s="1"/>
  <c r="GL676" i="72"/>
  <c r="B47" i="72" s="1"/>
  <c r="K24" i="1" s="1"/>
  <c r="M24" i="1" s="1"/>
  <c r="EK682" i="72" l="1"/>
  <c r="EO682" i="72"/>
  <c r="AU685" i="72"/>
  <c r="EG682" i="72"/>
  <c r="B57" i="72"/>
  <c r="K33" i="1" s="1"/>
  <c r="M33" i="1" s="1"/>
  <c r="EC682" i="72"/>
  <c r="DW682" i="72"/>
  <c r="B50" i="72"/>
  <c r="K27" i="1" s="1"/>
  <c r="M27" i="1" s="1"/>
  <c r="DP681" i="72"/>
  <c r="DS682" i="72"/>
  <c r="DT682" i="72" s="1"/>
  <c r="DO682" i="72"/>
  <c r="CX683" i="72"/>
  <c r="ED683" i="72"/>
  <c r="DB683" i="72"/>
  <c r="EA683" i="72"/>
  <c r="DC683" i="72"/>
  <c r="CZ683" i="72"/>
  <c r="DD683" i="72"/>
  <c r="DA683" i="72"/>
  <c r="AS684" i="72"/>
  <c r="AT685" i="72" s="1"/>
  <c r="CY685" i="72" s="1"/>
  <c r="AR684" i="72"/>
  <c r="AV684" i="72"/>
  <c r="EB684" i="72" s="1"/>
  <c r="AM684" i="72"/>
  <c r="AQ684" i="72"/>
  <c r="AW683" i="72"/>
  <c r="CU683" i="72" s="1"/>
  <c r="CV683" i="72" s="1"/>
  <c r="AN684" i="72"/>
  <c r="AO685" i="72" s="1"/>
  <c r="AP686" i="72" s="1"/>
  <c r="EO683" i="72" l="1"/>
  <c r="EK683" i="72"/>
  <c r="EG683" i="72"/>
  <c r="DP682" i="72"/>
  <c r="B56" i="72"/>
  <c r="K32" i="1" s="1"/>
  <c r="M32" i="1" s="1"/>
  <c r="DO683" i="72"/>
  <c r="DS683" i="72"/>
  <c r="DT683" i="72" s="1"/>
  <c r="CX684" i="72"/>
  <c r="ED684" i="72"/>
  <c r="CZ684" i="72"/>
  <c r="DD684" i="72"/>
  <c r="EA684" i="72"/>
  <c r="DB684" i="72"/>
  <c r="DC684" i="72"/>
  <c r="DA684" i="72"/>
  <c r="EC683" i="72"/>
  <c r="DW683" i="72"/>
  <c r="AV685" i="72"/>
  <c r="EB685" i="72" s="1"/>
  <c r="AU686" i="72"/>
  <c r="AM685" i="72"/>
  <c r="AN685" i="72"/>
  <c r="AO686" i="72" s="1"/>
  <c r="AP687" i="72" s="1"/>
  <c r="AQ685" i="72"/>
  <c r="AW684" i="72"/>
  <c r="CU684" i="72" s="1"/>
  <c r="CV684" i="72" s="1"/>
  <c r="AR685" i="72"/>
  <c r="AS685" i="72"/>
  <c r="AT686" i="72" s="1"/>
  <c r="EK684" i="72" l="1"/>
  <c r="EO684" i="72"/>
  <c r="EG684" i="72"/>
  <c r="DP683" i="72"/>
  <c r="CY686" i="72"/>
  <c r="DB685" i="72"/>
  <c r="CZ685" i="72"/>
  <c r="DC685" i="72"/>
  <c r="DA685" i="72"/>
  <c r="DD685" i="72"/>
  <c r="EA685" i="72"/>
  <c r="CX685" i="72"/>
  <c r="ED685" i="72"/>
  <c r="DS684" i="72"/>
  <c r="DT684" i="72" s="1"/>
  <c r="DO684" i="72"/>
  <c r="DW684" i="72"/>
  <c r="EC684" i="72"/>
  <c r="AU687" i="72"/>
  <c r="AS686" i="72"/>
  <c r="AT687" i="72" s="1"/>
  <c r="AR686" i="72"/>
  <c r="AN686" i="72"/>
  <c r="AO687" i="72" s="1"/>
  <c r="AP688" i="72" s="1"/>
  <c r="AM686" i="72"/>
  <c r="AW685" i="72"/>
  <c r="CU685" i="72" s="1"/>
  <c r="CV685" i="72" s="1"/>
  <c r="AQ686" i="72"/>
  <c r="AV686" i="72"/>
  <c r="EB686" i="72" s="1"/>
  <c r="EK685" i="72" l="1"/>
  <c r="EO685" i="72"/>
  <c r="DP684" i="72"/>
  <c r="EG685" i="72"/>
  <c r="CY687" i="72"/>
  <c r="DO685" i="72"/>
  <c r="DS685" i="72"/>
  <c r="DT685" i="72" s="1"/>
  <c r="EC685" i="72"/>
  <c r="DW685" i="72"/>
  <c r="DB686" i="72"/>
  <c r="DC686" i="72"/>
  <c r="CZ686" i="72"/>
  <c r="EA686" i="72"/>
  <c r="DD686" i="72"/>
  <c r="DA686" i="72"/>
  <c r="CX686" i="72"/>
  <c r="ED686" i="72"/>
  <c r="AV687" i="72"/>
  <c r="EB687" i="72" s="1"/>
  <c r="AU688" i="72"/>
  <c r="AM687" i="72"/>
  <c r="AW686" i="72"/>
  <c r="CU686" i="72" s="1"/>
  <c r="CV686" i="72" s="1"/>
  <c r="AN687" i="72"/>
  <c r="AO688" i="72" s="1"/>
  <c r="AP689" i="72" s="1"/>
  <c r="AQ687" i="72"/>
  <c r="AS687" i="72"/>
  <c r="AT688" i="72" s="1"/>
  <c r="AR687" i="72"/>
  <c r="EK686" i="72" l="1"/>
  <c r="EO686" i="72"/>
  <c r="DP685" i="72"/>
  <c r="EG686" i="72"/>
  <c r="CY688" i="72"/>
  <c r="ED687" i="72"/>
  <c r="CX687" i="72"/>
  <c r="DO686" i="72"/>
  <c r="DS686" i="72"/>
  <c r="DT686" i="72" s="1"/>
  <c r="DB687" i="72"/>
  <c r="DC687" i="72"/>
  <c r="EA687" i="72"/>
  <c r="DD687" i="72"/>
  <c r="DA687" i="72"/>
  <c r="CZ687" i="72"/>
  <c r="DW686" i="72"/>
  <c r="EC686" i="72"/>
  <c r="AU689" i="72"/>
  <c r="AR688" i="72"/>
  <c r="AS688" i="72"/>
  <c r="AT689" i="72" s="1"/>
  <c r="AQ688" i="72"/>
  <c r="AW687" i="72"/>
  <c r="CU687" i="72" s="1"/>
  <c r="CV687" i="72" s="1"/>
  <c r="AM688" i="72"/>
  <c r="AN688" i="72"/>
  <c r="AO689" i="72" s="1"/>
  <c r="AP690" i="72" s="1"/>
  <c r="AV688" i="72"/>
  <c r="EO687" i="72" l="1"/>
  <c r="EK687" i="72"/>
  <c r="DP686" i="72"/>
  <c r="EG687" i="72"/>
  <c r="DO687" i="72"/>
  <c r="DS687" i="72"/>
  <c r="DT687" i="72" s="1"/>
  <c r="EC687" i="72"/>
  <c r="DW687" i="72"/>
  <c r="AV689" i="72"/>
  <c r="EB689" i="72" s="1"/>
  <c r="EB688" i="72"/>
  <c r="CY689" i="72"/>
  <c r="CZ688" i="72"/>
  <c r="EA688" i="72"/>
  <c r="DB688" i="72"/>
  <c r="DD688" i="72"/>
  <c r="DA688" i="72"/>
  <c r="DC688" i="72"/>
  <c r="ED688" i="72"/>
  <c r="CX688" i="72"/>
  <c r="AU690" i="72"/>
  <c r="AN689" i="72"/>
  <c r="AO690" i="72" s="1"/>
  <c r="AP691" i="72" s="1"/>
  <c r="AQ689" i="72"/>
  <c r="AM689" i="72"/>
  <c r="AW688" i="72"/>
  <c r="CU688" i="72" s="1"/>
  <c r="CV688" i="72" s="1"/>
  <c r="AS689" i="72"/>
  <c r="AT690" i="72" s="1"/>
  <c r="AR689" i="72"/>
  <c r="EO688" i="72" l="1"/>
  <c r="EK688" i="72"/>
  <c r="DP687" i="72"/>
  <c r="EG688" i="72"/>
  <c r="CY690" i="72"/>
  <c r="CX689" i="72"/>
  <c r="ED689" i="72"/>
  <c r="DB689" i="72"/>
  <c r="DC689" i="72"/>
  <c r="CZ689" i="72"/>
  <c r="DA689" i="72"/>
  <c r="DD689" i="72"/>
  <c r="EA689" i="72"/>
  <c r="DW688" i="72"/>
  <c r="EC688" i="72"/>
  <c r="DS688" i="72"/>
  <c r="DT688" i="72" s="1"/>
  <c r="DO688" i="72"/>
  <c r="AU691" i="72"/>
  <c r="AR690" i="72"/>
  <c r="AS690" i="72"/>
  <c r="AT691" i="72" s="1"/>
  <c r="AM690" i="72"/>
  <c r="AW689" i="72"/>
  <c r="CU689" i="72" s="1"/>
  <c r="CV689" i="72" s="1"/>
  <c r="AQ690" i="72"/>
  <c r="AN690" i="72"/>
  <c r="AO691" i="72" s="1"/>
  <c r="AP692" i="72" s="1"/>
  <c r="AV690" i="72"/>
  <c r="EB690" i="72" s="1"/>
  <c r="EK689" i="72" l="1"/>
  <c r="EO689" i="72"/>
  <c r="DP688" i="72"/>
  <c r="EG689" i="72"/>
  <c r="DW689" i="72"/>
  <c r="EC689" i="72"/>
  <c r="DO689" i="72"/>
  <c r="DS689" i="72"/>
  <c r="DT689" i="72" s="1"/>
  <c r="EA690" i="72"/>
  <c r="DB690" i="72"/>
  <c r="DD690" i="72"/>
  <c r="DC690" i="72"/>
  <c r="CZ690" i="72"/>
  <c r="DA690" i="72"/>
  <c r="CY691" i="72"/>
  <c r="ED690" i="72"/>
  <c r="CX690" i="72"/>
  <c r="AV691" i="72"/>
  <c r="EB691" i="72" s="1"/>
  <c r="AU692" i="72"/>
  <c r="AM691" i="72"/>
  <c r="AN691" i="72"/>
  <c r="AO692" i="72" s="1"/>
  <c r="AP693" i="72" s="1"/>
  <c r="AQ691" i="72"/>
  <c r="AW690" i="72"/>
  <c r="CU690" i="72" s="1"/>
  <c r="CV690" i="72" s="1"/>
  <c r="AS691" i="72"/>
  <c r="AT692" i="72" s="1"/>
  <c r="AR691" i="72"/>
  <c r="EO690" i="72" l="1"/>
  <c r="EK690" i="72"/>
  <c r="DP689" i="72"/>
  <c r="EG690" i="72"/>
  <c r="CY692" i="72"/>
  <c r="DO690" i="72"/>
  <c r="DS690" i="72"/>
  <c r="DT690" i="72" s="1"/>
  <c r="CX691" i="72"/>
  <c r="ED691" i="72"/>
  <c r="DW690" i="72"/>
  <c r="EC690" i="72"/>
  <c r="DB691" i="72"/>
  <c r="EA691" i="72"/>
  <c r="DC691" i="72"/>
  <c r="DD691" i="72"/>
  <c r="CZ691" i="72"/>
  <c r="DA691" i="72"/>
  <c r="AU693" i="72"/>
  <c r="AQ692" i="72"/>
  <c r="AM692" i="72"/>
  <c r="AW691" i="72"/>
  <c r="CU691" i="72" s="1"/>
  <c r="CV691" i="72" s="1"/>
  <c r="AN692" i="72"/>
  <c r="AO693" i="72" s="1"/>
  <c r="AP694" i="72" s="1"/>
  <c r="AR692" i="72"/>
  <c r="AS692" i="72"/>
  <c r="AT693" i="72" s="1"/>
  <c r="AV692" i="72"/>
  <c r="EB692" i="72" s="1"/>
  <c r="EO691" i="72" l="1"/>
  <c r="EK691" i="72"/>
  <c r="DP690" i="72"/>
  <c r="EG691" i="72"/>
  <c r="EC691" i="72"/>
  <c r="DW691" i="72"/>
  <c r="DO691" i="72"/>
  <c r="DS691" i="72"/>
  <c r="DT691" i="72" s="1"/>
  <c r="ED692" i="72"/>
  <c r="CX692" i="72"/>
  <c r="CZ692" i="72"/>
  <c r="DC692" i="72"/>
  <c r="EA692" i="72"/>
  <c r="DD692" i="72"/>
  <c r="DA692" i="72"/>
  <c r="DB692" i="72"/>
  <c r="CY693" i="72"/>
  <c r="AV693" i="72"/>
  <c r="EB693" i="72" s="1"/>
  <c r="AU694" i="72"/>
  <c r="AR693" i="72"/>
  <c r="AS693" i="72"/>
  <c r="AT694" i="72" s="1"/>
  <c r="AN693" i="72"/>
  <c r="AO694" i="72" s="1"/>
  <c r="AP695" i="72" s="1"/>
  <c r="AQ693" i="72"/>
  <c r="AW692" i="72"/>
  <c r="CU692" i="72" s="1"/>
  <c r="CV692" i="72" s="1"/>
  <c r="AM693" i="72"/>
  <c r="EK692" i="72" l="1"/>
  <c r="EO692" i="72"/>
  <c r="DP691" i="72"/>
  <c r="EG692" i="72"/>
  <c r="DS692" i="72"/>
  <c r="DT692" i="72" s="1"/>
  <c r="DO692" i="72"/>
  <c r="EC692" i="72"/>
  <c r="DW692" i="72"/>
  <c r="DB693" i="72"/>
  <c r="CZ693" i="72"/>
  <c r="DC693" i="72"/>
  <c r="DA693" i="72"/>
  <c r="DD693" i="72"/>
  <c r="EA693" i="72"/>
  <c r="CY694" i="72"/>
  <c r="CX693" i="72"/>
  <c r="ED693" i="72"/>
  <c r="AU695" i="72"/>
  <c r="AN694" i="72"/>
  <c r="AO695" i="72" s="1"/>
  <c r="AP696" i="72" s="1"/>
  <c r="AM694" i="72"/>
  <c r="AW693" i="72"/>
  <c r="CU693" i="72" s="1"/>
  <c r="CV693" i="72" s="1"/>
  <c r="AQ694" i="72"/>
  <c r="AV694" i="72"/>
  <c r="EB694" i="72" s="1"/>
  <c r="AR694" i="72"/>
  <c r="AS694" i="72"/>
  <c r="AT695" i="72" s="1"/>
  <c r="EO693" i="72" l="1"/>
  <c r="EK693" i="72"/>
  <c r="DP692" i="72"/>
  <c r="EG693" i="72"/>
  <c r="CY695" i="72"/>
  <c r="DO693" i="72"/>
  <c r="DS693" i="72"/>
  <c r="DT693" i="72" s="1"/>
  <c r="EA694" i="72"/>
  <c r="DD694" i="72"/>
  <c r="CZ694" i="72"/>
  <c r="DB694" i="72"/>
  <c r="DC694" i="72"/>
  <c r="DA694" i="72"/>
  <c r="CX694" i="72"/>
  <c r="ED694" i="72"/>
  <c r="EC693" i="72"/>
  <c r="DW693" i="72"/>
  <c r="AU696" i="72"/>
  <c r="AV695" i="72"/>
  <c r="EB695" i="72" s="1"/>
  <c r="AQ695" i="72"/>
  <c r="AM695" i="72"/>
  <c r="AN695" i="72"/>
  <c r="AO696" i="72" s="1"/>
  <c r="AP697" i="72" s="1"/>
  <c r="AW694" i="72"/>
  <c r="CU694" i="72" s="1"/>
  <c r="CV694" i="72" s="1"/>
  <c r="AS695" i="72"/>
  <c r="AT696" i="72" s="1"/>
  <c r="AR695" i="72"/>
  <c r="EK694" i="72" l="1"/>
  <c r="EO694" i="72"/>
  <c r="DP693" i="72"/>
  <c r="EG694" i="72"/>
  <c r="CY696" i="72"/>
  <c r="DO694" i="72"/>
  <c r="DS694" i="72"/>
  <c r="DT694" i="72" s="1"/>
  <c r="DB695" i="72"/>
  <c r="DC695" i="72"/>
  <c r="EA695" i="72"/>
  <c r="DD695" i="72"/>
  <c r="DA695" i="72"/>
  <c r="CZ695" i="72"/>
  <c r="DW694" i="72"/>
  <c r="EC694" i="72"/>
  <c r="CX695" i="72"/>
  <c r="ED695" i="72"/>
  <c r="AU697" i="72"/>
  <c r="AR696" i="72"/>
  <c r="AS696" i="72"/>
  <c r="AT697" i="72" s="1"/>
  <c r="AM696" i="72"/>
  <c r="AQ696" i="72"/>
  <c r="AW695" i="72"/>
  <c r="CU695" i="72" s="1"/>
  <c r="CV695" i="72" s="1"/>
  <c r="AN696" i="72"/>
  <c r="AO697" i="72" s="1"/>
  <c r="AP698" i="72" s="1"/>
  <c r="AV696" i="72"/>
  <c r="EB696" i="72" s="1"/>
  <c r="EO695" i="72" l="1"/>
  <c r="EK695" i="72"/>
  <c r="DP694" i="72"/>
  <c r="EG695" i="72"/>
  <c r="CY697" i="72"/>
  <c r="DO695" i="72"/>
  <c r="DS695" i="72"/>
  <c r="DT695" i="72" s="1"/>
  <c r="EC695" i="72"/>
  <c r="DW695" i="72"/>
  <c r="DD696" i="72"/>
  <c r="DB696" i="72"/>
  <c r="DC696" i="72"/>
  <c r="EA696" i="72"/>
  <c r="DA696" i="72"/>
  <c r="CZ696" i="72"/>
  <c r="ED696" i="72"/>
  <c r="CX696" i="72"/>
  <c r="AV697" i="72"/>
  <c r="EB697" i="72" s="1"/>
  <c r="AU698" i="72"/>
  <c r="AQ697" i="72"/>
  <c r="AM697" i="72"/>
  <c r="AN697" i="72"/>
  <c r="AO698" i="72" s="1"/>
  <c r="AP699" i="72" s="1"/>
  <c r="AW696" i="72"/>
  <c r="CU696" i="72" s="1"/>
  <c r="CV696" i="72" s="1"/>
  <c r="AS697" i="72"/>
  <c r="AT698" i="72" s="1"/>
  <c r="AR697" i="72"/>
  <c r="EK696" i="72" l="1"/>
  <c r="EO696" i="72"/>
  <c r="DP695" i="72"/>
  <c r="EG696" i="72"/>
  <c r="CY698" i="72"/>
  <c r="DS696" i="72"/>
  <c r="DT696" i="72" s="1"/>
  <c r="DO696" i="72"/>
  <c r="CX697" i="72"/>
  <c r="ED697" i="72"/>
  <c r="DW696" i="72"/>
  <c r="EC696" i="72"/>
  <c r="DB697" i="72"/>
  <c r="DC697" i="72"/>
  <c r="CZ697" i="72"/>
  <c r="EA697" i="72"/>
  <c r="DD697" i="72"/>
  <c r="DA697" i="72"/>
  <c r="AU699" i="72"/>
  <c r="AR698" i="72"/>
  <c r="AS698" i="72"/>
  <c r="AT699" i="72" s="1"/>
  <c r="AQ698" i="72"/>
  <c r="AW697" i="72"/>
  <c r="CU697" i="72" s="1"/>
  <c r="CV697" i="72" s="1"/>
  <c r="AM698" i="72"/>
  <c r="AN698" i="72"/>
  <c r="AO699" i="72" s="1"/>
  <c r="AP700" i="72" s="1"/>
  <c r="AV698" i="72"/>
  <c r="EB698" i="72" s="1"/>
  <c r="EK697" i="72" l="1"/>
  <c r="EO697" i="72"/>
  <c r="DP696" i="72"/>
  <c r="EG697" i="72"/>
  <c r="DW697" i="72"/>
  <c r="EC697" i="72"/>
  <c r="DS697" i="72"/>
  <c r="DT697" i="72" s="1"/>
  <c r="DO697" i="72"/>
  <c r="EA698" i="72"/>
  <c r="CZ698" i="72"/>
  <c r="DB698" i="72"/>
  <c r="DC698" i="72"/>
  <c r="DD698" i="72"/>
  <c r="DA698" i="72"/>
  <c r="CY699" i="72"/>
  <c r="ED698" i="72"/>
  <c r="CX698" i="72"/>
  <c r="AV699" i="72"/>
  <c r="EB699" i="72" s="1"/>
  <c r="AU700" i="72"/>
  <c r="AM699" i="72"/>
  <c r="AN699" i="72"/>
  <c r="AO700" i="72" s="1"/>
  <c r="AP701" i="72" s="1"/>
  <c r="AW698" i="72"/>
  <c r="CU698" i="72" s="1"/>
  <c r="CV698" i="72" s="1"/>
  <c r="AQ699" i="72"/>
  <c r="AS699" i="72"/>
  <c r="AT700" i="72" s="1"/>
  <c r="AR699" i="72"/>
  <c r="EK698" i="72" l="1"/>
  <c r="EO698" i="72"/>
  <c r="DP697" i="72"/>
  <c r="EG698" i="72"/>
  <c r="CY700" i="72"/>
  <c r="DS698" i="72"/>
  <c r="DT698" i="72" s="1"/>
  <c r="DO698" i="72"/>
  <c r="DW698" i="72"/>
  <c r="EC698" i="72"/>
  <c r="DB699" i="72"/>
  <c r="EA699" i="72"/>
  <c r="DC699" i="72"/>
  <c r="CZ699" i="72"/>
  <c r="DA699" i="72"/>
  <c r="DD699" i="72"/>
  <c r="CX699" i="72"/>
  <c r="ED699" i="72"/>
  <c r="AU701" i="72"/>
  <c r="AR700" i="72"/>
  <c r="AS700" i="72"/>
  <c r="AT701" i="72" s="1"/>
  <c r="AN700" i="72"/>
  <c r="AO701" i="72" s="1"/>
  <c r="AP702" i="72" s="1"/>
  <c r="AW699" i="72"/>
  <c r="CU699" i="72" s="1"/>
  <c r="CV699" i="72" s="1"/>
  <c r="AM700" i="72"/>
  <c r="AQ700" i="72"/>
  <c r="AV700" i="72"/>
  <c r="EB700" i="72" s="1"/>
  <c r="EK699" i="72" l="1"/>
  <c r="EO699" i="72"/>
  <c r="DP698" i="72"/>
  <c r="EG699" i="72"/>
  <c r="EC699" i="72"/>
  <c r="DW699" i="72"/>
  <c r="CY701" i="72"/>
  <c r="DO699" i="72"/>
  <c r="DS699" i="72"/>
  <c r="DT699" i="72" s="1"/>
  <c r="CZ700" i="72"/>
  <c r="DB700" i="72"/>
  <c r="DC700" i="72"/>
  <c r="DD700" i="72"/>
  <c r="EA700" i="72"/>
  <c r="DA700" i="72"/>
  <c r="CX700" i="72"/>
  <c r="ED700" i="72"/>
  <c r="AV701" i="72"/>
  <c r="EB701" i="72" s="1"/>
  <c r="AU702" i="72"/>
  <c r="AQ701" i="72"/>
  <c r="AW700" i="72"/>
  <c r="CU700" i="72" s="1"/>
  <c r="CV700" i="72" s="1"/>
  <c r="AM701" i="72"/>
  <c r="AN701" i="72"/>
  <c r="AO702" i="72" s="1"/>
  <c r="AP703" i="72" s="1"/>
  <c r="AR701" i="72"/>
  <c r="AS701" i="72"/>
  <c r="AT702" i="72" s="1"/>
  <c r="EK700" i="72" l="1"/>
  <c r="EO700" i="72"/>
  <c r="DP699" i="72"/>
  <c r="EG700" i="72"/>
  <c r="CY702" i="72"/>
  <c r="DS700" i="72"/>
  <c r="DT700" i="72" s="1"/>
  <c r="DO700" i="72"/>
  <c r="DB701" i="72"/>
  <c r="DA701" i="72"/>
  <c r="CZ701" i="72"/>
  <c r="DC701" i="72"/>
  <c r="DD701" i="72"/>
  <c r="EA701" i="72"/>
  <c r="DW700" i="72"/>
  <c r="EC700" i="72"/>
  <c r="CX701" i="72"/>
  <c r="ED701" i="72"/>
  <c r="AU703" i="72"/>
  <c r="AV702" i="72"/>
  <c r="EB702" i="72" s="1"/>
  <c r="AR702" i="72"/>
  <c r="AS702" i="72"/>
  <c r="AT703" i="72" s="1"/>
  <c r="AQ702" i="72"/>
  <c r="AM702" i="72"/>
  <c r="AW701" i="72"/>
  <c r="CU701" i="72" s="1"/>
  <c r="CV701" i="72" s="1"/>
  <c r="AN702" i="72"/>
  <c r="AO703" i="72" s="1"/>
  <c r="AP704" i="72" s="1"/>
  <c r="EO701" i="72" l="1"/>
  <c r="EK701" i="72"/>
  <c r="DP700" i="72"/>
  <c r="EG701" i="72"/>
  <c r="EC701" i="72"/>
  <c r="DW701" i="72"/>
  <c r="DO701" i="72"/>
  <c r="DS701" i="72"/>
  <c r="DT701" i="72" s="1"/>
  <c r="CZ702" i="72"/>
  <c r="EA702" i="72"/>
  <c r="DB702" i="72"/>
  <c r="DC702" i="72"/>
  <c r="DA702" i="72"/>
  <c r="DD702" i="72"/>
  <c r="CY703" i="72"/>
  <c r="CX702" i="72"/>
  <c r="ED702" i="72"/>
  <c r="AU704" i="72"/>
  <c r="AN703" i="72"/>
  <c r="AO704" i="72" s="1"/>
  <c r="AP705" i="72" s="1"/>
  <c r="AW702" i="72"/>
  <c r="CU702" i="72" s="1"/>
  <c r="CV702" i="72" s="1"/>
  <c r="AQ703" i="72"/>
  <c r="AM703" i="72"/>
  <c r="AR703" i="72"/>
  <c r="AS703" i="72"/>
  <c r="AT704" i="72" s="1"/>
  <c r="AV703" i="72"/>
  <c r="EB703" i="72" s="1"/>
  <c r="EO702" i="72" l="1"/>
  <c r="EK702" i="72"/>
  <c r="DP701" i="72"/>
  <c r="EG702" i="72"/>
  <c r="CY704" i="72"/>
  <c r="DW702" i="72"/>
  <c r="EC702" i="72"/>
  <c r="DO702" i="72"/>
  <c r="DS702" i="72"/>
  <c r="DT702" i="72" s="1"/>
  <c r="ED703" i="72"/>
  <c r="CX703" i="72"/>
  <c r="DB703" i="72"/>
  <c r="DC703" i="72"/>
  <c r="DD703" i="72"/>
  <c r="EA703" i="72"/>
  <c r="DA703" i="72"/>
  <c r="CZ703" i="72"/>
  <c r="AU705" i="72"/>
  <c r="AS704" i="72"/>
  <c r="AT705" i="72" s="1"/>
  <c r="AR704" i="72"/>
  <c r="AV704" i="72"/>
  <c r="EB704" i="72" s="1"/>
  <c r="AM704" i="72"/>
  <c r="AN704" i="72"/>
  <c r="AO705" i="72" s="1"/>
  <c r="AP706" i="72" s="1"/>
  <c r="AW703" i="72"/>
  <c r="CU703" i="72" s="1"/>
  <c r="CV703" i="72" s="1"/>
  <c r="AQ704" i="72"/>
  <c r="EO703" i="72" l="1"/>
  <c r="EK703" i="72"/>
  <c r="DP702" i="72"/>
  <c r="EG703" i="72"/>
  <c r="CZ704" i="72"/>
  <c r="DB704" i="72"/>
  <c r="DC704" i="72"/>
  <c r="EA704" i="72"/>
  <c r="DD704" i="72"/>
  <c r="DA704" i="72"/>
  <c r="ED704" i="72"/>
  <c r="CX704" i="72"/>
  <c r="EC703" i="72"/>
  <c r="DW703" i="72"/>
  <c r="CY705" i="72"/>
  <c r="DO703" i="72"/>
  <c r="DS703" i="72"/>
  <c r="DT703" i="72" s="1"/>
  <c r="AU706" i="72"/>
  <c r="AQ705" i="72"/>
  <c r="AN705" i="72"/>
  <c r="AO706" i="72" s="1"/>
  <c r="AP707" i="72" s="1"/>
  <c r="AW704" i="72"/>
  <c r="CU704" i="72" s="1"/>
  <c r="CV704" i="72" s="1"/>
  <c r="AM705" i="72"/>
  <c r="AS705" i="72"/>
  <c r="AT706" i="72" s="1"/>
  <c r="AR705" i="72"/>
  <c r="AV705" i="72"/>
  <c r="EO704" i="72" l="1"/>
  <c r="EK704" i="72"/>
  <c r="DP703" i="72"/>
  <c r="EG704" i="72"/>
  <c r="CY706" i="72"/>
  <c r="AV706" i="72"/>
  <c r="EB706" i="72" s="1"/>
  <c r="EB705" i="72"/>
  <c r="CX705" i="72"/>
  <c r="ED705" i="72"/>
  <c r="DB705" i="72"/>
  <c r="DC705" i="72"/>
  <c r="DD705" i="72"/>
  <c r="CZ705" i="72"/>
  <c r="EA705" i="72"/>
  <c r="DA705" i="72"/>
  <c r="DS704" i="72"/>
  <c r="DT704" i="72" s="1"/>
  <c r="DO704" i="72"/>
  <c r="DW704" i="72"/>
  <c r="EC704" i="72"/>
  <c r="AU707" i="72"/>
  <c r="AR706" i="72"/>
  <c r="AS706" i="72"/>
  <c r="AT707" i="72" s="1"/>
  <c r="AQ706" i="72"/>
  <c r="AM706" i="72"/>
  <c r="AW705" i="72"/>
  <c r="CU705" i="72" s="1"/>
  <c r="CV705" i="72" s="1"/>
  <c r="AN706" i="72"/>
  <c r="AO707" i="72" s="1"/>
  <c r="AP708" i="72" s="1"/>
  <c r="EO705" i="72" l="1"/>
  <c r="EK705" i="72"/>
  <c r="DP704" i="72"/>
  <c r="EG705" i="72"/>
  <c r="CY707" i="72"/>
  <c r="DO705" i="72"/>
  <c r="DS705" i="72"/>
  <c r="DT705" i="72" s="1"/>
  <c r="DW705" i="72"/>
  <c r="EC705" i="72"/>
  <c r="ED706" i="72"/>
  <c r="CX706" i="72"/>
  <c r="EA706" i="72"/>
  <c r="DB706" i="72"/>
  <c r="CZ706" i="72"/>
  <c r="DD706" i="72"/>
  <c r="DA706" i="72"/>
  <c r="DC706" i="72"/>
  <c r="AU708" i="72"/>
  <c r="AN707" i="72"/>
  <c r="AO708" i="72" s="1"/>
  <c r="AP709" i="72" s="1"/>
  <c r="AM707" i="72"/>
  <c r="AQ707" i="72"/>
  <c r="AW706" i="72"/>
  <c r="CU706" i="72" s="1"/>
  <c r="CV706" i="72" s="1"/>
  <c r="AR707" i="72"/>
  <c r="AS707" i="72"/>
  <c r="AT708" i="72" s="1"/>
  <c r="AV707" i="72"/>
  <c r="EO706" i="72" l="1"/>
  <c r="EK706" i="72"/>
  <c r="DP705" i="72"/>
  <c r="EG706" i="72"/>
  <c r="CY708" i="72"/>
  <c r="DW706" i="72"/>
  <c r="EC706" i="72"/>
  <c r="DB707" i="72"/>
  <c r="EA707" i="72"/>
  <c r="DC707" i="72"/>
  <c r="DA707" i="72"/>
  <c r="DD707" i="72"/>
  <c r="CZ707" i="72"/>
  <c r="AV708" i="72"/>
  <c r="EB708" i="72" s="1"/>
  <c r="EB707" i="72"/>
  <c r="ED707" i="72"/>
  <c r="CX707" i="72"/>
  <c r="DO706" i="72"/>
  <c r="DS706" i="72"/>
  <c r="DT706" i="72" s="1"/>
  <c r="AU709" i="72"/>
  <c r="AR708" i="72"/>
  <c r="AS708" i="72"/>
  <c r="AT709" i="72" s="1"/>
  <c r="AQ708" i="72"/>
  <c r="AM708" i="72"/>
  <c r="AN708" i="72"/>
  <c r="AO709" i="72" s="1"/>
  <c r="AP710" i="72" s="1"/>
  <c r="AW707" i="72"/>
  <c r="CU707" i="72" s="1"/>
  <c r="CV707" i="72" s="1"/>
  <c r="EK707" i="72" l="1"/>
  <c r="EO707" i="72"/>
  <c r="DP706" i="72"/>
  <c r="EG707" i="72"/>
  <c r="CY709" i="72"/>
  <c r="DO707" i="72"/>
  <c r="DS707" i="72"/>
  <c r="DT707" i="72" s="1"/>
  <c r="CZ708" i="72"/>
  <c r="DD708" i="72"/>
  <c r="EA708" i="72"/>
  <c r="DC708" i="72"/>
  <c r="DA708" i="72"/>
  <c r="DB708" i="72"/>
  <c r="ED708" i="72"/>
  <c r="CX708" i="72"/>
  <c r="EC707" i="72"/>
  <c r="DW707" i="72"/>
  <c r="AU710" i="72"/>
  <c r="AM709" i="72"/>
  <c r="AN709" i="72"/>
  <c r="AO710" i="72" s="1"/>
  <c r="AP711" i="72" s="1"/>
  <c r="AQ709" i="72"/>
  <c r="AW708" i="72"/>
  <c r="CU708" i="72" s="1"/>
  <c r="CV708" i="72" s="1"/>
  <c r="AS709" i="72"/>
  <c r="AT710" i="72" s="1"/>
  <c r="AR709" i="72"/>
  <c r="AV709" i="72"/>
  <c r="EB709" i="72" s="1"/>
  <c r="EO708" i="72" l="1"/>
  <c r="EK708" i="72"/>
  <c r="DP707" i="72"/>
  <c r="EG708" i="72"/>
  <c r="DS708" i="72"/>
  <c r="DT708" i="72" s="1"/>
  <c r="DO708" i="72"/>
  <c r="CY710" i="72"/>
  <c r="EC708" i="72"/>
  <c r="DW708" i="72"/>
  <c r="CX709" i="72"/>
  <c r="ED709" i="72"/>
  <c r="DB709" i="72"/>
  <c r="CZ709" i="72"/>
  <c r="DC709" i="72"/>
  <c r="DD709" i="72"/>
  <c r="DA709" i="72"/>
  <c r="EA709" i="72"/>
  <c r="AV710" i="72"/>
  <c r="EB710" i="72" s="1"/>
  <c r="AU711" i="72"/>
  <c r="AR710" i="72"/>
  <c r="AS710" i="72"/>
  <c r="AT711" i="72" s="1"/>
  <c r="AN710" i="72"/>
  <c r="AO711" i="72" s="1"/>
  <c r="AP712" i="72" s="1"/>
  <c r="AQ710" i="72"/>
  <c r="AW709" i="72"/>
  <c r="CU709" i="72" s="1"/>
  <c r="CV709" i="72" s="1"/>
  <c r="AM710" i="72"/>
  <c r="EK709" i="72" l="1"/>
  <c r="EO709" i="72"/>
  <c r="DP708" i="72"/>
  <c r="EG709" i="72"/>
  <c r="CY711" i="72"/>
  <c r="EA710" i="72"/>
  <c r="DB710" i="72"/>
  <c r="DC710" i="72"/>
  <c r="CZ710" i="72"/>
  <c r="DD710" i="72"/>
  <c r="DA710" i="72"/>
  <c r="EC709" i="72"/>
  <c r="DW709" i="72"/>
  <c r="CX710" i="72"/>
  <c r="ED710" i="72"/>
  <c r="DO709" i="72"/>
  <c r="DS709" i="72"/>
  <c r="DT709" i="72" s="1"/>
  <c r="AU712" i="72"/>
  <c r="AQ711" i="72"/>
  <c r="AM711" i="72"/>
  <c r="AN711" i="72"/>
  <c r="AO712" i="72" s="1"/>
  <c r="AP713" i="72" s="1"/>
  <c r="AW710" i="72"/>
  <c r="CU710" i="72" s="1"/>
  <c r="CV710" i="72" s="1"/>
  <c r="AS711" i="72"/>
  <c r="AT712" i="72" s="1"/>
  <c r="AR711" i="72"/>
  <c r="AV711" i="72"/>
  <c r="EB711" i="72" s="1"/>
  <c r="EK710" i="72" l="1"/>
  <c r="EO710" i="72"/>
  <c r="DP709" i="72"/>
  <c r="EG710" i="72"/>
  <c r="CX711" i="72"/>
  <c r="ED711" i="72"/>
  <c r="DO710" i="72"/>
  <c r="DS710" i="72"/>
  <c r="DT710" i="72" s="1"/>
  <c r="CY712" i="72"/>
  <c r="DB711" i="72"/>
  <c r="DC711" i="72"/>
  <c r="EA711" i="72"/>
  <c r="DA711" i="72"/>
  <c r="DD711" i="72"/>
  <c r="CZ711" i="72"/>
  <c r="DW710" i="72"/>
  <c r="EC710" i="72"/>
  <c r="AV712" i="72"/>
  <c r="EB712" i="72" s="1"/>
  <c r="AU713" i="72"/>
  <c r="AQ712" i="72"/>
  <c r="AW711" i="72"/>
  <c r="CU711" i="72" s="1"/>
  <c r="CV711" i="72" s="1"/>
  <c r="AM712" i="72"/>
  <c r="AN712" i="72"/>
  <c r="AO713" i="72" s="1"/>
  <c r="AP714" i="72" s="1"/>
  <c r="AS712" i="72"/>
  <c r="AT713" i="72" s="1"/>
  <c r="AR712" i="72"/>
  <c r="EO711" i="72" l="1"/>
  <c r="EK711" i="72"/>
  <c r="DP710" i="72"/>
  <c r="EG711" i="72"/>
  <c r="CY713" i="72"/>
  <c r="ED712" i="72"/>
  <c r="CX712" i="72"/>
  <c r="DO711" i="72"/>
  <c r="DS711" i="72"/>
  <c r="DT711" i="72" s="1"/>
  <c r="EC711" i="72"/>
  <c r="DW711" i="72"/>
  <c r="DC712" i="72"/>
  <c r="EA712" i="72"/>
  <c r="DD712" i="72"/>
  <c r="CZ712" i="72"/>
  <c r="DB712" i="72"/>
  <c r="DA712" i="72"/>
  <c r="AU714" i="72"/>
  <c r="AR713" i="72"/>
  <c r="AS713" i="72"/>
  <c r="AT714" i="72" s="1"/>
  <c r="AQ713" i="72"/>
  <c r="AW712" i="72"/>
  <c r="CU712" i="72" s="1"/>
  <c r="CV712" i="72" s="1"/>
  <c r="AM713" i="72"/>
  <c r="AN713" i="72"/>
  <c r="AO714" i="72" s="1"/>
  <c r="AP715" i="72" s="1"/>
  <c r="AV713" i="72"/>
  <c r="EB713" i="72" s="1"/>
  <c r="EO712" i="72" l="1"/>
  <c r="EK712" i="72"/>
  <c r="DP711" i="72"/>
  <c r="EG712" i="72"/>
  <c r="DS712" i="72"/>
  <c r="DT712" i="72" s="1"/>
  <c r="DO712" i="72"/>
  <c r="CY714" i="72"/>
  <c r="DW712" i="72"/>
  <c r="EC712" i="72"/>
  <c r="DB713" i="72"/>
  <c r="DC713" i="72"/>
  <c r="CZ713" i="72"/>
  <c r="EA713" i="72"/>
  <c r="DD713" i="72"/>
  <c r="DA713" i="72"/>
  <c r="CX713" i="72"/>
  <c r="ED713" i="72"/>
  <c r="AV714" i="72"/>
  <c r="EB714" i="72" s="1"/>
  <c r="AU715" i="72"/>
  <c r="AM714" i="72"/>
  <c r="AQ714" i="72"/>
  <c r="AN714" i="72"/>
  <c r="AO715" i="72" s="1"/>
  <c r="AP716" i="72" s="1"/>
  <c r="AW713" i="72"/>
  <c r="CU713" i="72" s="1"/>
  <c r="CV713" i="72" s="1"/>
  <c r="AR714" i="72"/>
  <c r="AS714" i="72"/>
  <c r="AT715" i="72" s="1"/>
  <c r="EK713" i="72" l="1"/>
  <c r="EO713" i="72"/>
  <c r="DP712" i="72"/>
  <c r="EG713" i="72"/>
  <c r="CY715" i="72"/>
  <c r="ED714" i="72"/>
  <c r="CX714" i="72"/>
  <c r="DO713" i="72"/>
  <c r="DS713" i="72"/>
  <c r="DT713" i="72" s="1"/>
  <c r="EA714" i="72"/>
  <c r="DB714" i="72"/>
  <c r="CZ714" i="72"/>
  <c r="DC714" i="72"/>
  <c r="DD714" i="72"/>
  <c r="DA714" i="72"/>
  <c r="DW713" i="72"/>
  <c r="EC713" i="72"/>
  <c r="AU716" i="72"/>
  <c r="AR715" i="72"/>
  <c r="AS715" i="72"/>
  <c r="AT716" i="72" s="1"/>
  <c r="AQ715" i="72"/>
  <c r="AW714" i="72"/>
  <c r="CU714" i="72" s="1"/>
  <c r="CV714" i="72" s="1"/>
  <c r="AM715" i="72"/>
  <c r="AN715" i="72"/>
  <c r="AO716" i="72" s="1"/>
  <c r="AP717" i="72" s="1"/>
  <c r="AV715" i="72"/>
  <c r="EK714" i="72" l="1"/>
  <c r="EO714" i="72"/>
  <c r="DP713" i="72"/>
  <c r="EG714" i="72"/>
  <c r="DO714" i="72"/>
  <c r="DS714" i="72"/>
  <c r="DT714" i="72" s="1"/>
  <c r="AV716" i="72"/>
  <c r="EB716" i="72" s="1"/>
  <c r="EB715" i="72"/>
  <c r="EC714" i="72"/>
  <c r="DW714" i="72"/>
  <c r="DB715" i="72"/>
  <c r="EA715" i="72"/>
  <c r="DC715" i="72"/>
  <c r="CZ715" i="72"/>
  <c r="DA715" i="72"/>
  <c r="DD715" i="72"/>
  <c r="CY716" i="72"/>
  <c r="CX715" i="72"/>
  <c r="ED715" i="72"/>
  <c r="AU717" i="72"/>
  <c r="AQ716" i="72"/>
  <c r="AM716" i="72"/>
  <c r="AN716" i="72"/>
  <c r="AO717" i="72" s="1"/>
  <c r="AP718" i="72" s="1"/>
  <c r="AW715" i="72"/>
  <c r="CU715" i="72" s="1"/>
  <c r="CV715" i="72" s="1"/>
  <c r="AS716" i="72"/>
  <c r="AT717" i="72" s="1"/>
  <c r="AR716" i="72"/>
  <c r="EO715" i="72" l="1"/>
  <c r="EK715" i="72"/>
  <c r="DP714" i="72"/>
  <c r="EG715" i="72"/>
  <c r="CY717" i="72"/>
  <c r="CZ716" i="72"/>
  <c r="DC716" i="72"/>
  <c r="DD716" i="72"/>
  <c r="EA716" i="72"/>
  <c r="DB716" i="72"/>
  <c r="DA716" i="72"/>
  <c r="EC715" i="72"/>
  <c r="DW715" i="72"/>
  <c r="ED716" i="72"/>
  <c r="CX716" i="72"/>
  <c r="DO715" i="72"/>
  <c r="DS715" i="72"/>
  <c r="DT715" i="72" s="1"/>
  <c r="AU718" i="72"/>
  <c r="AQ717" i="72"/>
  <c r="AW716" i="72"/>
  <c r="CU716" i="72" s="1"/>
  <c r="CV716" i="72" s="1"/>
  <c r="AM717" i="72"/>
  <c r="AN717" i="72"/>
  <c r="AO718" i="72" s="1"/>
  <c r="AP719" i="72" s="1"/>
  <c r="AS717" i="72"/>
  <c r="AT718" i="72" s="1"/>
  <c r="AR717" i="72"/>
  <c r="AV717" i="72"/>
  <c r="EB717" i="72" s="1"/>
  <c r="EK716" i="72" l="1"/>
  <c r="EO716" i="72"/>
  <c r="DP715" i="72"/>
  <c r="EG716" i="72"/>
  <c r="CY718" i="72"/>
  <c r="CX717" i="72"/>
  <c r="ED717" i="72"/>
  <c r="DS716" i="72"/>
  <c r="DT716" i="72" s="1"/>
  <c r="DO716" i="72"/>
  <c r="DB717" i="72"/>
  <c r="CZ717" i="72"/>
  <c r="DC717" i="72"/>
  <c r="DD717" i="72"/>
  <c r="DA717" i="72"/>
  <c r="EA717" i="72"/>
  <c r="DW716" i="72"/>
  <c r="EC716" i="72"/>
  <c r="AV718" i="72"/>
  <c r="EB718" i="72" s="1"/>
  <c r="AU719" i="72"/>
  <c r="AR718" i="72"/>
  <c r="AS718" i="72"/>
  <c r="AT719" i="72" s="1"/>
  <c r="AN718" i="72"/>
  <c r="AO719" i="72" s="1"/>
  <c r="AP720" i="72" s="1"/>
  <c r="AM718" i="72"/>
  <c r="AQ718" i="72"/>
  <c r="AW717" i="72"/>
  <c r="CU717" i="72" s="1"/>
  <c r="CV717" i="72" s="1"/>
  <c r="EK717" i="72" l="1"/>
  <c r="EO717" i="72"/>
  <c r="DP716" i="72"/>
  <c r="EG717" i="72"/>
  <c r="CY719" i="72"/>
  <c r="CZ718" i="72"/>
  <c r="EA718" i="72"/>
  <c r="DB718" i="72"/>
  <c r="DC718" i="72"/>
  <c r="DD718" i="72"/>
  <c r="DA718" i="72"/>
  <c r="DO717" i="72"/>
  <c r="DS717" i="72"/>
  <c r="DT717" i="72" s="1"/>
  <c r="CX718" i="72"/>
  <c r="ED718" i="72"/>
  <c r="EC717" i="72"/>
  <c r="DW717" i="72"/>
  <c r="AU720" i="72"/>
  <c r="AN719" i="72"/>
  <c r="AO720" i="72" s="1"/>
  <c r="AP721" i="72" s="1"/>
  <c r="AW718" i="72"/>
  <c r="CU718" i="72" s="1"/>
  <c r="CV718" i="72" s="1"/>
  <c r="AM719" i="72"/>
  <c r="AQ719" i="72"/>
  <c r="AV719" i="72"/>
  <c r="EB719" i="72" s="1"/>
  <c r="AS719" i="72"/>
  <c r="AT720" i="72" s="1"/>
  <c r="AR719" i="72"/>
  <c r="EO718" i="72" l="1"/>
  <c r="EK718" i="72"/>
  <c r="DP717" i="72"/>
  <c r="EG718" i="72"/>
  <c r="ED719" i="72"/>
  <c r="CX719" i="72"/>
  <c r="DO718" i="72"/>
  <c r="DS718" i="72"/>
  <c r="DT718" i="72" s="1"/>
  <c r="CY720" i="72"/>
  <c r="DB719" i="72"/>
  <c r="DC719" i="72"/>
  <c r="DA719" i="72"/>
  <c r="DD719" i="72"/>
  <c r="EA719" i="72"/>
  <c r="CZ719" i="72"/>
  <c r="DW718" i="72"/>
  <c r="EC718" i="72"/>
  <c r="AV720" i="72"/>
  <c r="EB720" i="72" s="1"/>
  <c r="AU721" i="72"/>
  <c r="AS720" i="72"/>
  <c r="AT721" i="72" s="1"/>
  <c r="AR720" i="72"/>
  <c r="AN720" i="72"/>
  <c r="AO721" i="72" s="1"/>
  <c r="AP722" i="72" s="1"/>
  <c r="AW719" i="72"/>
  <c r="CU719" i="72" s="1"/>
  <c r="CV719" i="72" s="1"/>
  <c r="AM720" i="72"/>
  <c r="AQ720" i="72"/>
  <c r="EO719" i="72" l="1"/>
  <c r="EK719" i="72"/>
  <c r="DP718" i="72"/>
  <c r="EG719" i="72"/>
  <c r="CY721" i="72"/>
  <c r="DO719" i="72"/>
  <c r="DS719" i="72"/>
  <c r="DT719" i="72" s="1"/>
  <c r="EC719" i="72"/>
  <c r="DW719" i="72"/>
  <c r="ED720" i="72"/>
  <c r="CX720" i="72"/>
  <c r="CZ720" i="72"/>
  <c r="DB720" i="72"/>
  <c r="DC720" i="72"/>
  <c r="DD720" i="72"/>
  <c r="EA720" i="72"/>
  <c r="DA720" i="72"/>
  <c r="AU722" i="72"/>
  <c r="AM721" i="72"/>
  <c r="AN721" i="72"/>
  <c r="AO722" i="72" s="1"/>
  <c r="AP723" i="72" s="1"/>
  <c r="AQ721" i="72"/>
  <c r="AW720" i="72"/>
  <c r="CU720" i="72" s="1"/>
  <c r="CV720" i="72" s="1"/>
  <c r="AS721" i="72"/>
  <c r="AT722" i="72" s="1"/>
  <c r="AR721" i="72"/>
  <c r="AV721" i="72"/>
  <c r="EB721" i="72" s="1"/>
  <c r="EO720" i="72" l="1"/>
  <c r="EK720" i="72"/>
  <c r="DP719" i="72"/>
  <c r="EG720" i="72"/>
  <c r="CX721" i="72"/>
  <c r="ED721" i="72"/>
  <c r="DW720" i="72"/>
  <c r="EC720" i="72"/>
  <c r="CY722" i="72"/>
  <c r="DB721" i="72"/>
  <c r="DC721" i="72"/>
  <c r="DD721" i="72"/>
  <c r="CZ721" i="72"/>
  <c r="EA721" i="72"/>
  <c r="DA721" i="72"/>
  <c r="DS720" i="72"/>
  <c r="DT720" i="72" s="1"/>
  <c r="DO720" i="72"/>
  <c r="AV722" i="72"/>
  <c r="EB722" i="72" s="1"/>
  <c r="AU723" i="72"/>
  <c r="AR722" i="72"/>
  <c r="AS722" i="72"/>
  <c r="AT723" i="72" s="1"/>
  <c r="AN722" i="72"/>
  <c r="AO723" i="72" s="1"/>
  <c r="AP724" i="72" s="1"/>
  <c r="AW721" i="72"/>
  <c r="CU721" i="72" s="1"/>
  <c r="CV721" i="72" s="1"/>
  <c r="AM722" i="72"/>
  <c r="AQ722" i="72"/>
  <c r="EK721" i="72" l="1"/>
  <c r="EO721" i="72"/>
  <c r="DP720" i="72"/>
  <c r="EG721" i="72"/>
  <c r="CY723" i="72"/>
  <c r="EA722" i="72"/>
  <c r="CZ722" i="72"/>
  <c r="DD722" i="72"/>
  <c r="DA722" i="72"/>
  <c r="DB722" i="72"/>
  <c r="DC722" i="72"/>
  <c r="DS721" i="72"/>
  <c r="DT721" i="72" s="1"/>
  <c r="DO721" i="72"/>
  <c r="ED722" i="72"/>
  <c r="CX722" i="72"/>
  <c r="DW721" i="72"/>
  <c r="EC721" i="72"/>
  <c r="AU724" i="72"/>
  <c r="AW722" i="72"/>
  <c r="CU722" i="72" s="1"/>
  <c r="CV722" i="72" s="1"/>
  <c r="AM723" i="72"/>
  <c r="AN723" i="72"/>
  <c r="AO724" i="72" s="1"/>
  <c r="AP725" i="72" s="1"/>
  <c r="AQ723" i="72"/>
  <c r="AR723" i="72"/>
  <c r="AS723" i="72"/>
  <c r="AT724" i="72" s="1"/>
  <c r="AV723" i="72"/>
  <c r="EO722" i="72" l="1"/>
  <c r="EK722" i="72"/>
  <c r="DP721" i="72"/>
  <c r="EG722" i="72"/>
  <c r="DW722" i="72"/>
  <c r="EC722" i="72"/>
  <c r="CY724" i="72"/>
  <c r="AV724" i="72"/>
  <c r="EB724" i="72" s="1"/>
  <c r="EB723" i="72"/>
  <c r="CX723" i="72"/>
  <c r="ED723" i="72"/>
  <c r="DO722" i="72"/>
  <c r="DS722" i="72"/>
  <c r="DT722" i="72" s="1"/>
  <c r="DB723" i="72"/>
  <c r="EA723" i="72"/>
  <c r="DC723" i="72"/>
  <c r="DA723" i="72"/>
  <c r="DD723" i="72"/>
  <c r="CZ723" i="72"/>
  <c r="AU725" i="72"/>
  <c r="AQ724" i="72"/>
  <c r="AM724" i="72"/>
  <c r="AN724" i="72"/>
  <c r="AO725" i="72" s="1"/>
  <c r="AP726" i="72" s="1"/>
  <c r="AW723" i="72"/>
  <c r="CU723" i="72" s="1"/>
  <c r="CV723" i="72" s="1"/>
  <c r="AS724" i="72"/>
  <c r="AT725" i="72" s="1"/>
  <c r="AR724" i="72"/>
  <c r="EO723" i="72" l="1"/>
  <c r="EK723" i="72"/>
  <c r="DP722" i="72"/>
  <c r="EG723" i="72"/>
  <c r="CY725" i="72"/>
  <c r="EC723" i="72"/>
  <c r="DW723" i="72"/>
  <c r="CZ724" i="72"/>
  <c r="EA724" i="72"/>
  <c r="DB724" i="72"/>
  <c r="DC724" i="72"/>
  <c r="DA724" i="72"/>
  <c r="DD724" i="72"/>
  <c r="ED724" i="72"/>
  <c r="CX724" i="72"/>
  <c r="DO723" i="72"/>
  <c r="DS723" i="72"/>
  <c r="DT723" i="72" s="1"/>
  <c r="AU726" i="72"/>
  <c r="AM725" i="72"/>
  <c r="AN725" i="72"/>
  <c r="AO726" i="72" s="1"/>
  <c r="AP727" i="72" s="1"/>
  <c r="AQ725" i="72"/>
  <c r="AW724" i="72"/>
  <c r="CU724" i="72" s="1"/>
  <c r="CV724" i="72" s="1"/>
  <c r="AR725" i="72"/>
  <c r="AS725" i="72"/>
  <c r="AT726" i="72" s="1"/>
  <c r="AV725" i="72"/>
  <c r="EB725" i="72" s="1"/>
  <c r="EK724" i="72" l="1"/>
  <c r="EO724" i="72"/>
  <c r="DP723" i="72"/>
  <c r="EG724" i="72"/>
  <c r="CY726" i="72"/>
  <c r="CX725" i="72"/>
  <c r="ED725" i="72"/>
  <c r="EC724" i="72"/>
  <c r="DW724" i="72"/>
  <c r="DS724" i="72"/>
  <c r="DT724" i="72" s="1"/>
  <c r="DO724" i="72"/>
  <c r="DB725" i="72"/>
  <c r="DA725" i="72"/>
  <c r="CZ725" i="72"/>
  <c r="DC725" i="72"/>
  <c r="DD725" i="72"/>
  <c r="EA725" i="72"/>
  <c r="AV726" i="72"/>
  <c r="EB726" i="72" s="1"/>
  <c r="AU727" i="72"/>
  <c r="AR726" i="72"/>
  <c r="AS726" i="72"/>
  <c r="AT727" i="72" s="1"/>
  <c r="AQ726" i="72"/>
  <c r="AM726" i="72"/>
  <c r="AW725" i="72"/>
  <c r="CU725" i="72" s="1"/>
  <c r="CV725" i="72" s="1"/>
  <c r="AN726" i="72"/>
  <c r="AO727" i="72" s="1"/>
  <c r="AP728" i="72" s="1"/>
  <c r="EK725" i="72" l="1"/>
  <c r="EO725" i="72"/>
  <c r="DP724" i="72"/>
  <c r="EG725" i="72"/>
  <c r="CY727" i="72"/>
  <c r="DO725" i="72"/>
  <c r="DS725" i="72"/>
  <c r="DT725" i="72" s="1"/>
  <c r="EC725" i="72"/>
  <c r="DW725" i="72"/>
  <c r="EA726" i="72"/>
  <c r="DB726" i="72"/>
  <c r="DC726" i="72"/>
  <c r="DD726" i="72"/>
  <c r="CZ726" i="72"/>
  <c r="DA726" i="72"/>
  <c r="CX726" i="72"/>
  <c r="ED726" i="72"/>
  <c r="AU728" i="72"/>
  <c r="AQ727" i="72"/>
  <c r="AM727" i="72"/>
  <c r="AN727" i="72"/>
  <c r="AO728" i="72" s="1"/>
  <c r="AP729" i="72" s="1"/>
  <c r="AW726" i="72"/>
  <c r="CU726" i="72" s="1"/>
  <c r="CV726" i="72" s="1"/>
  <c r="AR727" i="72"/>
  <c r="AS727" i="72"/>
  <c r="AT728" i="72" s="1"/>
  <c r="AV727" i="72"/>
  <c r="EB727" i="72" s="1"/>
  <c r="EK726" i="72" l="1"/>
  <c r="EO726" i="72"/>
  <c r="DP725" i="72"/>
  <c r="EG726" i="72"/>
  <c r="CY728" i="72"/>
  <c r="DO726" i="72"/>
  <c r="DS726" i="72"/>
  <c r="DT726" i="72" s="1"/>
  <c r="DW726" i="72"/>
  <c r="EC726" i="72"/>
  <c r="DB727" i="72"/>
  <c r="DC727" i="72"/>
  <c r="EA727" i="72"/>
  <c r="DD727" i="72"/>
  <c r="DA727" i="72"/>
  <c r="CZ727" i="72"/>
  <c r="CX727" i="72"/>
  <c r="ED727" i="72"/>
  <c r="AV728" i="72"/>
  <c r="EB728" i="72" s="1"/>
  <c r="AU729" i="72"/>
  <c r="AQ728" i="72"/>
  <c r="AN728" i="72"/>
  <c r="AO729" i="72" s="1"/>
  <c r="AP730" i="72" s="1"/>
  <c r="AW727" i="72"/>
  <c r="CU727" i="72" s="1"/>
  <c r="CV727" i="72" s="1"/>
  <c r="AM728" i="72"/>
  <c r="AS728" i="72"/>
  <c r="AT729" i="72" s="1"/>
  <c r="AR728" i="72"/>
  <c r="EO727" i="72" l="1"/>
  <c r="EK727" i="72"/>
  <c r="DP726" i="72"/>
  <c r="EG727" i="72"/>
  <c r="CY729" i="72"/>
  <c r="ED728" i="72"/>
  <c r="CX728" i="72"/>
  <c r="DW727" i="72"/>
  <c r="EC727" i="72"/>
  <c r="DO727" i="72"/>
  <c r="DS727" i="72"/>
  <c r="DT727" i="72" s="1"/>
  <c r="DC728" i="72"/>
  <c r="EA728" i="72"/>
  <c r="CZ728" i="72"/>
  <c r="DB728" i="72"/>
  <c r="DD728" i="72"/>
  <c r="DA728" i="72"/>
  <c r="AU730" i="72"/>
  <c r="AS729" i="72"/>
  <c r="AT730" i="72" s="1"/>
  <c r="AR729" i="72"/>
  <c r="AN729" i="72"/>
  <c r="AO730" i="72" s="1"/>
  <c r="AP731" i="72" s="1"/>
  <c r="AQ729" i="72"/>
  <c r="AM729" i="72"/>
  <c r="AW728" i="72"/>
  <c r="CU728" i="72" s="1"/>
  <c r="CV728" i="72" s="1"/>
  <c r="AV729" i="72"/>
  <c r="EB729" i="72" s="1"/>
  <c r="EK728" i="72" l="1"/>
  <c r="EO728" i="72"/>
  <c r="CY730" i="72"/>
  <c r="DP727" i="72"/>
  <c r="EG728" i="72"/>
  <c r="DW728" i="72"/>
  <c r="EC728" i="72"/>
  <c r="DS728" i="72"/>
  <c r="DT728" i="72" s="1"/>
  <c r="DO728" i="72"/>
  <c r="DB729" i="72"/>
  <c r="DC729" i="72"/>
  <c r="EA729" i="72"/>
  <c r="DD729" i="72"/>
  <c r="CZ729" i="72"/>
  <c r="DA729" i="72"/>
  <c r="CX729" i="72"/>
  <c r="ED729" i="72"/>
  <c r="AU731" i="72"/>
  <c r="AV730" i="72"/>
  <c r="EB730" i="72" s="1"/>
  <c r="AW729" i="72"/>
  <c r="CU729" i="72" s="1"/>
  <c r="CV729" i="72" s="1"/>
  <c r="AM730" i="72"/>
  <c r="AQ730" i="72"/>
  <c r="AN730" i="72"/>
  <c r="AO731" i="72" s="1"/>
  <c r="AP732" i="72" s="1"/>
  <c r="AR730" i="72"/>
  <c r="AS730" i="72"/>
  <c r="AT731" i="72" s="1"/>
  <c r="EK729" i="72" l="1"/>
  <c r="EO729" i="72"/>
  <c r="DP728" i="72"/>
  <c r="EG729" i="72"/>
  <c r="DW729" i="72"/>
  <c r="EC729" i="72"/>
  <c r="DO729" i="72"/>
  <c r="DS729" i="72"/>
  <c r="DT729" i="72" s="1"/>
  <c r="EA730" i="72"/>
  <c r="DB730" i="72"/>
  <c r="DC730" i="72"/>
  <c r="DD730" i="72"/>
  <c r="CZ730" i="72"/>
  <c r="DA730" i="72"/>
  <c r="CY731" i="72"/>
  <c r="ED730" i="72"/>
  <c r="CX730" i="72"/>
  <c r="AU732" i="72"/>
  <c r="AV731" i="72"/>
  <c r="EB731" i="72" s="1"/>
  <c r="AR731" i="72"/>
  <c r="AS731" i="72"/>
  <c r="AT732" i="72" s="1"/>
  <c r="AQ731" i="72"/>
  <c r="AW730" i="72"/>
  <c r="CU730" i="72" s="1"/>
  <c r="CV730" i="72" s="1"/>
  <c r="AN731" i="72"/>
  <c r="AO732" i="72" s="1"/>
  <c r="AP733" i="72" s="1"/>
  <c r="AM731" i="72"/>
  <c r="EO730" i="72" l="1"/>
  <c r="EK730" i="72"/>
  <c r="DP729" i="72"/>
  <c r="EG730" i="72"/>
  <c r="CY732" i="72"/>
  <c r="DO730" i="72"/>
  <c r="DS730" i="72"/>
  <c r="DT730" i="72" s="1"/>
  <c r="EC730" i="72"/>
  <c r="DW730" i="72"/>
  <c r="CX731" i="72"/>
  <c r="ED731" i="72"/>
  <c r="DB731" i="72"/>
  <c r="EA731" i="72"/>
  <c r="DC731" i="72"/>
  <c r="CZ731" i="72"/>
  <c r="DA731" i="72"/>
  <c r="DD731" i="72"/>
  <c r="AU733" i="72"/>
  <c r="AW731" i="72"/>
  <c r="CU731" i="72" s="1"/>
  <c r="CV731" i="72" s="1"/>
  <c r="AQ732" i="72"/>
  <c r="AM732" i="72"/>
  <c r="AN732" i="72"/>
  <c r="AO733" i="72" s="1"/>
  <c r="AP734" i="72" s="1"/>
  <c r="AS732" i="72"/>
  <c r="AT733" i="72" s="1"/>
  <c r="AR732" i="72"/>
  <c r="AV732" i="72"/>
  <c r="EB732" i="72" s="1"/>
  <c r="EO731" i="72" l="1"/>
  <c r="EK731" i="72"/>
  <c r="DP730" i="72"/>
  <c r="EG731" i="72"/>
  <c r="DO731" i="72"/>
  <c r="DS731" i="72"/>
  <c r="DT731" i="72" s="1"/>
  <c r="EC731" i="72"/>
  <c r="DW731" i="72"/>
  <c r="CX732" i="72"/>
  <c r="ED732" i="72"/>
  <c r="CZ732" i="72"/>
  <c r="EA732" i="72"/>
  <c r="DB732" i="72"/>
  <c r="DC732" i="72"/>
  <c r="DD732" i="72"/>
  <c r="DA732" i="72"/>
  <c r="CY733" i="72"/>
  <c r="AV733" i="72"/>
  <c r="EB733" i="72" s="1"/>
  <c r="AU734" i="72"/>
  <c r="AS733" i="72"/>
  <c r="AT734" i="72" s="1"/>
  <c r="AR733" i="72"/>
  <c r="AQ733" i="72"/>
  <c r="AM733" i="72"/>
  <c r="AN733" i="72"/>
  <c r="AO734" i="72" s="1"/>
  <c r="AP735" i="72" s="1"/>
  <c r="AW732" i="72"/>
  <c r="CU732" i="72" s="1"/>
  <c r="CV732" i="72" s="1"/>
  <c r="EK732" i="72" l="1"/>
  <c r="EO732" i="72"/>
  <c r="DP731" i="72"/>
  <c r="EG732" i="72"/>
  <c r="DS732" i="72"/>
  <c r="DT732" i="72" s="1"/>
  <c r="DO732" i="72"/>
  <c r="DB733" i="72"/>
  <c r="CZ733" i="72"/>
  <c r="DC733" i="72"/>
  <c r="DD733" i="72"/>
  <c r="DA733" i="72"/>
  <c r="EA733" i="72"/>
  <c r="CX733" i="72"/>
  <c r="ED733" i="72"/>
  <c r="CY734" i="72"/>
  <c r="DW732" i="72"/>
  <c r="EC732" i="72"/>
  <c r="AU735" i="72"/>
  <c r="AS734" i="72"/>
  <c r="AT735" i="72" s="1"/>
  <c r="AR734" i="72"/>
  <c r="AW733" i="72"/>
  <c r="CU733" i="72" s="1"/>
  <c r="CV733" i="72" s="1"/>
  <c r="AN734" i="72"/>
  <c r="AO735" i="72" s="1"/>
  <c r="AP736" i="72" s="1"/>
  <c r="AQ734" i="72"/>
  <c r="AM734" i="72"/>
  <c r="AV734" i="72"/>
  <c r="EO733" i="72" l="1"/>
  <c r="EK733" i="72"/>
  <c r="DP732" i="72"/>
  <c r="EG733" i="72"/>
  <c r="DO733" i="72"/>
  <c r="DS733" i="72"/>
  <c r="DT733" i="72" s="1"/>
  <c r="CX734" i="72"/>
  <c r="ED734" i="72"/>
  <c r="AV735" i="72"/>
  <c r="EB735" i="72" s="1"/>
  <c r="EB734" i="72"/>
  <c r="EA734" i="72"/>
  <c r="DB734" i="72"/>
  <c r="DC734" i="72"/>
  <c r="DD734" i="72"/>
  <c r="CZ734" i="72"/>
  <c r="DA734" i="72"/>
  <c r="CY735" i="72"/>
  <c r="EC733" i="72"/>
  <c r="DW733" i="72"/>
  <c r="AU736" i="72"/>
  <c r="AM735" i="72"/>
  <c r="AQ735" i="72"/>
  <c r="AN735" i="72"/>
  <c r="AO736" i="72" s="1"/>
  <c r="AP737" i="72" s="1"/>
  <c r="AW734" i="72"/>
  <c r="CU734" i="72" s="1"/>
  <c r="CV734" i="72" s="1"/>
  <c r="AS735" i="72"/>
  <c r="AT736" i="72" s="1"/>
  <c r="AR735" i="72"/>
  <c r="EO734" i="72" l="1"/>
  <c r="EK734" i="72"/>
  <c r="DP733" i="72"/>
  <c r="EG734" i="72"/>
  <c r="CY736" i="72"/>
  <c r="DW734" i="72"/>
  <c r="EC734" i="72"/>
  <c r="DO734" i="72"/>
  <c r="DS734" i="72"/>
  <c r="DT734" i="72" s="1"/>
  <c r="DB735" i="72"/>
  <c r="DC735" i="72"/>
  <c r="DA735" i="72"/>
  <c r="DD735" i="72"/>
  <c r="EA735" i="72"/>
  <c r="CZ735" i="72"/>
  <c r="CX735" i="72"/>
  <c r="ED735" i="72"/>
  <c r="AU737" i="72"/>
  <c r="AR736" i="72"/>
  <c r="AS736" i="72"/>
  <c r="AT737" i="72" s="1"/>
  <c r="AW735" i="72"/>
  <c r="CU735" i="72" s="1"/>
  <c r="CV735" i="72" s="1"/>
  <c r="AQ736" i="72"/>
  <c r="AM736" i="72"/>
  <c r="AN736" i="72"/>
  <c r="AO737" i="72" s="1"/>
  <c r="AP738" i="72" s="1"/>
  <c r="AV736" i="72"/>
  <c r="EB736" i="72" s="1"/>
  <c r="EO735" i="72" l="1"/>
  <c r="EK735" i="72"/>
  <c r="DP734" i="72"/>
  <c r="EG735" i="72"/>
  <c r="DO735" i="72"/>
  <c r="DS735" i="72"/>
  <c r="DT735" i="72" s="1"/>
  <c r="EA736" i="72"/>
  <c r="CZ736" i="72"/>
  <c r="DD736" i="72"/>
  <c r="DC736" i="72"/>
  <c r="DA736" i="72"/>
  <c r="DB736" i="72"/>
  <c r="CY737" i="72"/>
  <c r="EC735" i="72"/>
  <c r="DW735" i="72"/>
  <c r="ED736" i="72"/>
  <c r="CX736" i="72"/>
  <c r="AV737" i="72"/>
  <c r="EB737" i="72" s="1"/>
  <c r="AU738" i="72"/>
  <c r="AM737" i="72"/>
  <c r="AQ737" i="72"/>
  <c r="AN737" i="72"/>
  <c r="AO738" i="72" s="1"/>
  <c r="AP739" i="72" s="1"/>
  <c r="AW736" i="72"/>
  <c r="CU736" i="72" s="1"/>
  <c r="CV736" i="72" s="1"/>
  <c r="AR737" i="72"/>
  <c r="AS737" i="72"/>
  <c r="AT738" i="72" s="1"/>
  <c r="EO736" i="72" l="1"/>
  <c r="EK736" i="72"/>
  <c r="DP735" i="72"/>
  <c r="EG736" i="72"/>
  <c r="CY738" i="72"/>
  <c r="DS736" i="72"/>
  <c r="DT736" i="72" s="1"/>
  <c r="DO736" i="72"/>
  <c r="DB737" i="72"/>
  <c r="DC737" i="72"/>
  <c r="CZ737" i="72"/>
  <c r="DD737" i="72"/>
  <c r="EA737" i="72"/>
  <c r="DA737" i="72"/>
  <c r="ED737" i="72"/>
  <c r="CX737" i="72"/>
  <c r="DW736" i="72"/>
  <c r="EC736" i="72"/>
  <c r="AU739" i="72"/>
  <c r="AR738" i="72"/>
  <c r="AS738" i="72"/>
  <c r="AT739" i="72" s="1"/>
  <c r="AW737" i="72"/>
  <c r="CU737" i="72" s="1"/>
  <c r="CV737" i="72" s="1"/>
  <c r="AN738" i="72"/>
  <c r="AO739" i="72" s="1"/>
  <c r="AP740" i="72" s="1"/>
  <c r="AM738" i="72"/>
  <c r="AQ738" i="72"/>
  <c r="AV738" i="72"/>
  <c r="EO737" i="72" l="1"/>
  <c r="EK737" i="72"/>
  <c r="DP736" i="72"/>
  <c r="EG737" i="72"/>
  <c r="DS737" i="72"/>
  <c r="DT737" i="72" s="1"/>
  <c r="DO737" i="72"/>
  <c r="EA738" i="72"/>
  <c r="CZ738" i="72"/>
  <c r="DB738" i="72"/>
  <c r="DD738" i="72"/>
  <c r="DA738" i="72"/>
  <c r="DC738" i="72"/>
  <c r="DW737" i="72"/>
  <c r="EC737" i="72"/>
  <c r="CY739" i="72"/>
  <c r="AV739" i="72"/>
  <c r="EB739" i="72" s="1"/>
  <c r="EB738" i="72"/>
  <c r="ED738" i="72"/>
  <c r="CX738" i="72"/>
  <c r="AU740" i="72"/>
  <c r="AN739" i="72"/>
  <c r="AO740" i="72" s="1"/>
  <c r="AP741" i="72" s="1"/>
  <c r="AM739" i="72"/>
  <c r="AQ739" i="72"/>
  <c r="AW738" i="72"/>
  <c r="CU738" i="72" s="1"/>
  <c r="CV738" i="72" s="1"/>
  <c r="AS739" i="72"/>
  <c r="AT740" i="72" s="1"/>
  <c r="AR739" i="72"/>
  <c r="EK738" i="72" l="1"/>
  <c r="EO738" i="72"/>
  <c r="DP737" i="72"/>
  <c r="EG738" i="72"/>
  <c r="CY740" i="72"/>
  <c r="DB739" i="72"/>
  <c r="CZ739" i="72"/>
  <c r="EA739" i="72"/>
  <c r="DC739" i="72"/>
  <c r="DA739" i="72"/>
  <c r="DD739" i="72"/>
  <c r="DS738" i="72"/>
  <c r="DT738" i="72" s="1"/>
  <c r="DO738" i="72"/>
  <c r="EC738" i="72"/>
  <c r="DW738" i="72"/>
  <c r="CX739" i="72"/>
  <c r="ED739" i="72"/>
  <c r="AU741" i="72"/>
  <c r="AW739" i="72"/>
  <c r="CU739" i="72" s="1"/>
  <c r="CV739" i="72" s="1"/>
  <c r="AQ740" i="72"/>
  <c r="AN740" i="72"/>
  <c r="AO741" i="72" s="1"/>
  <c r="AP742" i="72" s="1"/>
  <c r="AM740" i="72"/>
  <c r="AR740" i="72"/>
  <c r="AS740" i="72"/>
  <c r="AT741" i="72" s="1"/>
  <c r="AV740" i="72"/>
  <c r="EO739" i="72" l="1"/>
  <c r="EK739" i="72"/>
  <c r="DP738" i="72"/>
  <c r="EG739" i="72"/>
  <c r="EC739" i="72"/>
  <c r="DW739" i="72"/>
  <c r="DO739" i="72"/>
  <c r="DS739" i="72"/>
  <c r="DT739" i="72" s="1"/>
  <c r="AV741" i="72"/>
  <c r="EB741" i="72" s="1"/>
  <c r="EB740" i="72"/>
  <c r="ED740" i="72"/>
  <c r="CX740" i="72"/>
  <c r="CZ740" i="72"/>
  <c r="DB740" i="72"/>
  <c r="DC740" i="72"/>
  <c r="DD740" i="72"/>
  <c r="EA740" i="72"/>
  <c r="DA740" i="72"/>
  <c r="CY741" i="72"/>
  <c r="AU742" i="72"/>
  <c r="AN741" i="72"/>
  <c r="AO742" i="72" s="1"/>
  <c r="AP743" i="72" s="1"/>
  <c r="AM741" i="72"/>
  <c r="AQ741" i="72"/>
  <c r="AW740" i="72"/>
  <c r="CU740" i="72" s="1"/>
  <c r="CV740" i="72" s="1"/>
  <c r="AS741" i="72"/>
  <c r="AT742" i="72" s="1"/>
  <c r="AR741" i="72"/>
  <c r="EO740" i="72" l="1"/>
  <c r="EK740" i="72"/>
  <c r="DP739" i="72"/>
  <c r="EG740" i="72"/>
  <c r="CY742" i="72"/>
  <c r="DB741" i="72"/>
  <c r="CZ741" i="72"/>
  <c r="DC741" i="72"/>
  <c r="DA741" i="72"/>
  <c r="DD741" i="72"/>
  <c r="EA741" i="72"/>
  <c r="DS740" i="72"/>
  <c r="DT740" i="72" s="1"/>
  <c r="DO740" i="72"/>
  <c r="CX741" i="72"/>
  <c r="ED741" i="72"/>
  <c r="DW740" i="72"/>
  <c r="EC740" i="72"/>
  <c r="AU743" i="72"/>
  <c r="AS742" i="72"/>
  <c r="AT743" i="72" s="1"/>
  <c r="AR742" i="72"/>
  <c r="AW741" i="72"/>
  <c r="CU741" i="72" s="1"/>
  <c r="CV741" i="72" s="1"/>
  <c r="AN742" i="72"/>
  <c r="AO743" i="72" s="1"/>
  <c r="AP744" i="72" s="1"/>
  <c r="AM742" i="72"/>
  <c r="AQ742" i="72"/>
  <c r="AV742" i="72"/>
  <c r="EB742" i="72" s="1"/>
  <c r="EO741" i="72" l="1"/>
  <c r="EK741" i="72"/>
  <c r="DP740" i="72"/>
  <c r="EG741" i="72"/>
  <c r="EC741" i="72"/>
  <c r="DW741" i="72"/>
  <c r="DB742" i="72"/>
  <c r="CZ742" i="72"/>
  <c r="EA742" i="72"/>
  <c r="DC742" i="72"/>
  <c r="DD742" i="72"/>
  <c r="DA742" i="72"/>
  <c r="DO741" i="72"/>
  <c r="DS741" i="72"/>
  <c r="DT741" i="72" s="1"/>
  <c r="CX742" i="72"/>
  <c r="ED742" i="72"/>
  <c r="CY743" i="72"/>
  <c r="AV743" i="72"/>
  <c r="EB743" i="72" s="1"/>
  <c r="AU744" i="72"/>
  <c r="AM743" i="72"/>
  <c r="AQ743" i="72"/>
  <c r="AN743" i="72"/>
  <c r="AO744" i="72" s="1"/>
  <c r="AP745" i="72" s="1"/>
  <c r="AW742" i="72"/>
  <c r="CU742" i="72" s="1"/>
  <c r="CV742" i="72" s="1"/>
  <c r="AR743" i="72"/>
  <c r="AS743" i="72"/>
  <c r="AT744" i="72" s="1"/>
  <c r="EO742" i="72" l="1"/>
  <c r="EK742" i="72"/>
  <c r="DP741" i="72"/>
  <c r="EG742" i="72"/>
  <c r="CY744" i="72"/>
  <c r="ED743" i="72"/>
  <c r="CX743" i="72"/>
  <c r="DB743" i="72"/>
  <c r="DC743" i="72"/>
  <c r="EA743" i="72"/>
  <c r="DD743" i="72"/>
  <c r="DA743" i="72"/>
  <c r="CZ743" i="72"/>
  <c r="EC742" i="72"/>
  <c r="DW742" i="72"/>
  <c r="DO742" i="72"/>
  <c r="DS742" i="72"/>
  <c r="DT742" i="72" s="1"/>
  <c r="AU745" i="72"/>
  <c r="AV744" i="72"/>
  <c r="EB744" i="72" s="1"/>
  <c r="AS744" i="72"/>
  <c r="AT745" i="72" s="1"/>
  <c r="AR744" i="72"/>
  <c r="AM744" i="72"/>
  <c r="AQ744" i="72"/>
  <c r="AN744" i="72"/>
  <c r="AO745" i="72" s="1"/>
  <c r="AP746" i="72" s="1"/>
  <c r="AW743" i="72"/>
  <c r="CU743" i="72" s="1"/>
  <c r="CV743" i="72" s="1"/>
  <c r="EO743" i="72" l="1"/>
  <c r="EK743" i="72"/>
  <c r="DP742" i="72"/>
  <c r="EG743" i="72"/>
  <c r="DO743" i="72"/>
  <c r="DS743" i="72"/>
  <c r="DT743" i="72" s="1"/>
  <c r="DC744" i="72"/>
  <c r="DD744" i="72"/>
  <c r="DB744" i="72"/>
  <c r="EA744" i="72"/>
  <c r="DA744" i="72"/>
  <c r="CZ744" i="72"/>
  <c r="ED744" i="72"/>
  <c r="CX744" i="72"/>
  <c r="CY745" i="72"/>
  <c r="EC743" i="72"/>
  <c r="DW743" i="72"/>
  <c r="AU746" i="72"/>
  <c r="AS745" i="72"/>
  <c r="AT746" i="72" s="1"/>
  <c r="AR745" i="72"/>
  <c r="AN745" i="72"/>
  <c r="AO746" i="72" s="1"/>
  <c r="AP747" i="72" s="1"/>
  <c r="AW744" i="72"/>
  <c r="CU744" i="72" s="1"/>
  <c r="CV744" i="72" s="1"/>
  <c r="AQ745" i="72"/>
  <c r="AM745" i="72"/>
  <c r="AV745" i="72"/>
  <c r="EB745" i="72" s="1"/>
  <c r="EO744" i="72" l="1"/>
  <c r="EK744" i="72"/>
  <c r="DP743" i="72"/>
  <c r="EG744" i="72"/>
  <c r="CY746" i="72"/>
  <c r="DS744" i="72"/>
  <c r="DT744" i="72" s="1"/>
  <c r="DO744" i="72"/>
  <c r="DB745" i="72"/>
  <c r="CZ745" i="72"/>
  <c r="DC745" i="72"/>
  <c r="EA745" i="72"/>
  <c r="DA745" i="72"/>
  <c r="DD745" i="72"/>
  <c r="CX745" i="72"/>
  <c r="ED745" i="72"/>
  <c r="DW744" i="72"/>
  <c r="EC744" i="72"/>
  <c r="AV746" i="72"/>
  <c r="EB746" i="72" s="1"/>
  <c r="AU747" i="72"/>
  <c r="AN746" i="72"/>
  <c r="AO747" i="72" s="1"/>
  <c r="AP748" i="72" s="1"/>
  <c r="AQ746" i="72"/>
  <c r="AM746" i="72"/>
  <c r="AW745" i="72"/>
  <c r="CU745" i="72" s="1"/>
  <c r="CV745" i="72" s="1"/>
  <c r="AR746" i="72"/>
  <c r="AS746" i="72"/>
  <c r="AT747" i="72" s="1"/>
  <c r="EO745" i="72" l="1"/>
  <c r="EK745" i="72"/>
  <c r="DP744" i="72"/>
  <c r="EG745" i="72"/>
  <c r="CY747" i="72"/>
  <c r="DO745" i="72"/>
  <c r="DS745" i="72"/>
  <c r="DT745" i="72" s="1"/>
  <c r="EA746" i="72"/>
  <c r="DB746" i="72"/>
  <c r="DC746" i="72"/>
  <c r="CZ746" i="72"/>
  <c r="DA746" i="72"/>
  <c r="DD746" i="72"/>
  <c r="DW745" i="72"/>
  <c r="EC745" i="72"/>
  <c r="ED746" i="72"/>
  <c r="CX746" i="72"/>
  <c r="AU748" i="72"/>
  <c r="AR747" i="72"/>
  <c r="AS747" i="72"/>
  <c r="AT748" i="72" s="1"/>
  <c r="AQ747" i="72"/>
  <c r="AW746" i="72"/>
  <c r="CU746" i="72" s="1"/>
  <c r="CV746" i="72" s="1"/>
  <c r="AM747" i="72"/>
  <c r="AN747" i="72"/>
  <c r="AO748" i="72" s="1"/>
  <c r="AP749" i="72" s="1"/>
  <c r="AV747" i="72"/>
  <c r="EO746" i="72" l="1"/>
  <c r="EK746" i="72"/>
  <c r="DP745" i="72"/>
  <c r="EG746" i="72"/>
  <c r="DB747" i="72"/>
  <c r="DA747" i="72"/>
  <c r="EA747" i="72"/>
  <c r="DC747" i="72"/>
  <c r="DD747" i="72"/>
  <c r="CZ747" i="72"/>
  <c r="AV748" i="72"/>
  <c r="EB748" i="72" s="1"/>
  <c r="EB747" i="72"/>
  <c r="CY748" i="72"/>
  <c r="DW746" i="72"/>
  <c r="EC746" i="72"/>
  <c r="DO746" i="72"/>
  <c r="DS746" i="72"/>
  <c r="DT746" i="72" s="1"/>
  <c r="CX747" i="72"/>
  <c r="ED747" i="72"/>
  <c r="AU749" i="72"/>
  <c r="AN748" i="72"/>
  <c r="AO749" i="72" s="1"/>
  <c r="AP750" i="72" s="1"/>
  <c r="AQ748" i="72"/>
  <c r="AM748" i="72"/>
  <c r="AW747" i="72"/>
  <c r="CU747" i="72" s="1"/>
  <c r="CV747" i="72" s="1"/>
  <c r="AR748" i="72"/>
  <c r="AS748" i="72"/>
  <c r="AT749" i="72" s="1"/>
  <c r="EO747" i="72" l="1"/>
  <c r="EK747" i="72"/>
  <c r="DP746" i="72"/>
  <c r="EG747" i="72"/>
  <c r="CY749" i="72"/>
  <c r="CZ748" i="72"/>
  <c r="DD748" i="72"/>
  <c r="DC748" i="72"/>
  <c r="EA748" i="72"/>
  <c r="DB748" i="72"/>
  <c r="DA748" i="72"/>
  <c r="ED748" i="72"/>
  <c r="CX748" i="72"/>
  <c r="EC747" i="72"/>
  <c r="DW747" i="72"/>
  <c r="DO747" i="72"/>
  <c r="DS747" i="72"/>
  <c r="DT747" i="72" s="1"/>
  <c r="AU750" i="72"/>
  <c r="AS749" i="72"/>
  <c r="AT750" i="72" s="1"/>
  <c r="AR749" i="72"/>
  <c r="AN749" i="72"/>
  <c r="AO750" i="72" s="1"/>
  <c r="AP751" i="72" s="1"/>
  <c r="AW748" i="72"/>
  <c r="CU748" i="72" s="1"/>
  <c r="CV748" i="72" s="1"/>
  <c r="AM749" i="72"/>
  <c r="AQ749" i="72"/>
  <c r="AV749" i="72"/>
  <c r="EB749" i="72" s="1"/>
  <c r="EO748" i="72" l="1"/>
  <c r="EK748" i="72"/>
  <c r="DP747" i="72"/>
  <c r="EG748" i="72"/>
  <c r="DS748" i="72"/>
  <c r="DT748" i="72" s="1"/>
  <c r="DO748" i="72"/>
  <c r="DB749" i="72"/>
  <c r="CZ749" i="72"/>
  <c r="DC749" i="72"/>
  <c r="DD749" i="72"/>
  <c r="EA749" i="72"/>
  <c r="DA749" i="72"/>
  <c r="CX749" i="72"/>
  <c r="ED749" i="72"/>
  <c r="CY750" i="72"/>
  <c r="DW748" i="72"/>
  <c r="EC748" i="72"/>
  <c r="AV750" i="72"/>
  <c r="EB750" i="72" s="1"/>
  <c r="AU751" i="72"/>
  <c r="AN750" i="72"/>
  <c r="AO751" i="72" s="1"/>
  <c r="AP752" i="72" s="1"/>
  <c r="AQ750" i="72"/>
  <c r="AM750" i="72"/>
  <c r="AW749" i="72"/>
  <c r="CU749" i="72" s="1"/>
  <c r="CV749" i="72" s="1"/>
  <c r="AR750" i="72"/>
  <c r="AS750" i="72"/>
  <c r="AT751" i="72" s="1"/>
  <c r="EO749" i="72" l="1"/>
  <c r="EK749" i="72"/>
  <c r="DP748" i="72"/>
  <c r="EG749" i="72"/>
  <c r="CY751" i="72"/>
  <c r="CX750" i="72"/>
  <c r="ED750" i="72"/>
  <c r="EA750" i="72"/>
  <c r="DB750" i="72"/>
  <c r="CZ750" i="72"/>
  <c r="DC750" i="72"/>
  <c r="DD750" i="72"/>
  <c r="DA750" i="72"/>
  <c r="EC749" i="72"/>
  <c r="DW749" i="72"/>
  <c r="DO749" i="72"/>
  <c r="DS749" i="72"/>
  <c r="DT749" i="72" s="1"/>
  <c r="AU752" i="72"/>
  <c r="AS751" i="72"/>
  <c r="AT752" i="72" s="1"/>
  <c r="AR751" i="72"/>
  <c r="AN751" i="72"/>
  <c r="AO752" i="72" s="1"/>
  <c r="AP753" i="72" s="1"/>
  <c r="AW750" i="72"/>
  <c r="CU750" i="72" s="1"/>
  <c r="CV750" i="72" s="1"/>
  <c r="AQ751" i="72"/>
  <c r="AM751" i="72"/>
  <c r="AV751" i="72"/>
  <c r="EK750" i="72" l="1"/>
  <c r="EO750" i="72"/>
  <c r="DP749" i="72"/>
  <c r="EG750" i="72"/>
  <c r="DB751" i="72"/>
  <c r="EA751" i="72"/>
  <c r="DC751" i="72"/>
  <c r="DA751" i="72"/>
  <c r="DD751" i="72"/>
  <c r="CZ751" i="72"/>
  <c r="DO750" i="72"/>
  <c r="DS750" i="72"/>
  <c r="DT750" i="72" s="1"/>
  <c r="AV752" i="72"/>
  <c r="EB752" i="72" s="1"/>
  <c r="EB751" i="72"/>
  <c r="DW750" i="72"/>
  <c r="EC750" i="72"/>
  <c r="ED751" i="72"/>
  <c r="CX751" i="72"/>
  <c r="CY752" i="72"/>
  <c r="AU753" i="72"/>
  <c r="AQ752" i="72"/>
  <c r="AN752" i="72"/>
  <c r="AO753" i="72" s="1"/>
  <c r="AP754" i="72" s="1"/>
  <c r="AM752" i="72"/>
  <c r="AW751" i="72"/>
  <c r="CU751" i="72" s="1"/>
  <c r="CV751" i="72" s="1"/>
  <c r="AR752" i="72"/>
  <c r="AS752" i="72"/>
  <c r="AT753" i="72" s="1"/>
  <c r="EO751" i="72" l="1"/>
  <c r="EK751" i="72"/>
  <c r="DP750" i="72"/>
  <c r="EG751" i="72"/>
  <c r="CY753" i="72"/>
  <c r="ED752" i="72"/>
  <c r="CX752" i="72"/>
  <c r="EC751" i="72"/>
  <c r="DW751" i="72"/>
  <c r="DC752" i="72"/>
  <c r="EA752" i="72"/>
  <c r="DD752" i="72"/>
  <c r="CZ752" i="72"/>
  <c r="DA752" i="72"/>
  <c r="DB752" i="72"/>
  <c r="AV753" i="72"/>
  <c r="EB753" i="72" s="1"/>
  <c r="DO751" i="72"/>
  <c r="DS751" i="72"/>
  <c r="DT751" i="72" s="1"/>
  <c r="AU754" i="72"/>
  <c r="AS753" i="72"/>
  <c r="AT754" i="72" s="1"/>
  <c r="AR753" i="72"/>
  <c r="AN753" i="72"/>
  <c r="AO754" i="72" s="1"/>
  <c r="AP755" i="72" s="1"/>
  <c r="AW752" i="72"/>
  <c r="CU752" i="72" s="1"/>
  <c r="CV752" i="72" s="1"/>
  <c r="AQ753" i="72"/>
  <c r="AM753" i="72"/>
  <c r="EO752" i="72" l="1"/>
  <c r="EK752" i="72"/>
  <c r="DP751" i="72"/>
  <c r="EG752" i="72"/>
  <c r="CY754" i="72"/>
  <c r="DS752" i="72"/>
  <c r="DT752" i="72" s="1"/>
  <c r="DO752" i="72"/>
  <c r="DW752" i="72"/>
  <c r="EC752" i="72"/>
  <c r="DB753" i="72"/>
  <c r="DC753" i="72"/>
  <c r="DD753" i="72"/>
  <c r="CZ753" i="72"/>
  <c r="EA753" i="72"/>
  <c r="DA753" i="72"/>
  <c r="ED753" i="72"/>
  <c r="CX753" i="72"/>
  <c r="AU755" i="72"/>
  <c r="AM754" i="72"/>
  <c r="AQ754" i="72"/>
  <c r="AN754" i="72"/>
  <c r="AO755" i="72" s="1"/>
  <c r="AP756" i="72" s="1"/>
  <c r="AW753" i="72"/>
  <c r="CU753" i="72" s="1"/>
  <c r="CV753" i="72" s="1"/>
  <c r="AS754" i="72"/>
  <c r="AT755" i="72" s="1"/>
  <c r="AR754" i="72"/>
  <c r="AV754" i="72"/>
  <c r="EB754" i="72" s="1"/>
  <c r="EO753" i="72" l="1"/>
  <c r="EK753" i="72"/>
  <c r="DP752" i="72"/>
  <c r="EG753" i="72"/>
  <c r="DS753" i="72"/>
  <c r="DT753" i="72" s="1"/>
  <c r="DO753" i="72"/>
  <c r="DW753" i="72"/>
  <c r="EC753" i="72"/>
  <c r="ED754" i="72"/>
  <c r="CX754" i="72"/>
  <c r="CY755" i="72"/>
  <c r="EA754" i="72"/>
  <c r="CZ754" i="72"/>
  <c r="DD754" i="72"/>
  <c r="DB754" i="72"/>
  <c r="DA754" i="72"/>
  <c r="DC754" i="72"/>
  <c r="AV755" i="72"/>
  <c r="EB755" i="72" s="1"/>
  <c r="AU756" i="72"/>
  <c r="AR755" i="72"/>
  <c r="AS755" i="72"/>
  <c r="AT756" i="72" s="1"/>
  <c r="AQ755" i="72"/>
  <c r="AW754" i="72"/>
  <c r="CU754" i="72" s="1"/>
  <c r="CV754" i="72" s="1"/>
  <c r="AM755" i="72"/>
  <c r="AN755" i="72"/>
  <c r="AO756" i="72" s="1"/>
  <c r="AP757" i="72" s="1"/>
  <c r="EO754" i="72" l="1"/>
  <c r="EK754" i="72"/>
  <c r="DP753" i="72"/>
  <c r="EG754" i="72"/>
  <c r="CY756" i="72"/>
  <c r="DW754" i="72"/>
  <c r="EC754" i="72"/>
  <c r="CX755" i="72"/>
  <c r="ED755" i="72"/>
  <c r="DB755" i="72"/>
  <c r="EA755" i="72"/>
  <c r="DC755" i="72"/>
  <c r="CZ755" i="72"/>
  <c r="DA755" i="72"/>
  <c r="DD755" i="72"/>
  <c r="DS754" i="72"/>
  <c r="DT754" i="72" s="1"/>
  <c r="DO754" i="72"/>
  <c r="AU757" i="72"/>
  <c r="AQ756" i="72"/>
  <c r="AM756" i="72"/>
  <c r="AN756" i="72"/>
  <c r="AO757" i="72" s="1"/>
  <c r="AP758" i="72" s="1"/>
  <c r="AW755" i="72"/>
  <c r="CU755" i="72" s="1"/>
  <c r="CV755" i="72" s="1"/>
  <c r="AR756" i="72"/>
  <c r="AS756" i="72"/>
  <c r="AT757" i="72" s="1"/>
  <c r="AV756" i="72"/>
  <c r="EB756" i="72" s="1"/>
  <c r="EO755" i="72" l="1"/>
  <c r="EK755" i="72"/>
  <c r="DP754" i="72"/>
  <c r="EG755" i="72"/>
  <c r="DO755" i="72"/>
  <c r="DS755" i="72"/>
  <c r="DT755" i="72" s="1"/>
  <c r="ED756" i="72"/>
  <c r="CX756" i="72"/>
  <c r="CY757" i="72"/>
  <c r="EC755" i="72"/>
  <c r="DW755" i="72"/>
  <c r="CZ756" i="72"/>
  <c r="DB756" i="72"/>
  <c r="EA756" i="72"/>
  <c r="DC756" i="72"/>
  <c r="DD756" i="72"/>
  <c r="DA756" i="72"/>
  <c r="AV757" i="72"/>
  <c r="EB757" i="72" s="1"/>
  <c r="AU758" i="72"/>
  <c r="AR757" i="72"/>
  <c r="AS757" i="72"/>
  <c r="AT758" i="72" s="1"/>
  <c r="AQ757" i="72"/>
  <c r="AW756" i="72"/>
  <c r="CU756" i="72" s="1"/>
  <c r="CV756" i="72" s="1"/>
  <c r="AM757" i="72"/>
  <c r="AN757" i="72"/>
  <c r="AO758" i="72" s="1"/>
  <c r="AP759" i="72" s="1"/>
  <c r="EO756" i="72" l="1"/>
  <c r="EK756" i="72"/>
  <c r="DP755" i="72"/>
  <c r="EG756" i="72"/>
  <c r="CY758" i="72"/>
  <c r="DS756" i="72"/>
  <c r="DT756" i="72" s="1"/>
  <c r="DO756" i="72"/>
  <c r="EC756" i="72"/>
  <c r="DW756" i="72"/>
  <c r="DB757" i="72"/>
  <c r="CZ757" i="72"/>
  <c r="DC757" i="72"/>
  <c r="DD757" i="72"/>
  <c r="DA757" i="72"/>
  <c r="EA757" i="72"/>
  <c r="CX757" i="72"/>
  <c r="ED757" i="72"/>
  <c r="AU759" i="72"/>
  <c r="AQ758" i="72"/>
  <c r="AN758" i="72"/>
  <c r="AO759" i="72" s="1"/>
  <c r="AP760" i="72" s="1"/>
  <c r="AM758" i="72"/>
  <c r="AW757" i="72"/>
  <c r="CU757" i="72" s="1"/>
  <c r="CV757" i="72" s="1"/>
  <c r="AR758" i="72"/>
  <c r="AS758" i="72"/>
  <c r="AT759" i="72" s="1"/>
  <c r="AV758" i="72"/>
  <c r="EB758" i="72" s="1"/>
  <c r="EK757" i="72" l="1"/>
  <c r="EO757" i="72"/>
  <c r="DP756" i="72"/>
  <c r="EG757" i="72"/>
  <c r="DO757" i="72"/>
  <c r="DS757" i="72"/>
  <c r="DT757" i="72" s="1"/>
  <c r="CY759" i="72"/>
  <c r="EC757" i="72"/>
  <c r="DW757" i="72"/>
  <c r="DC758" i="72"/>
  <c r="DD758" i="72"/>
  <c r="CZ758" i="72"/>
  <c r="EA758" i="72"/>
  <c r="DB758" i="72"/>
  <c r="DA758" i="72"/>
  <c r="CX758" i="72"/>
  <c r="ED758" i="72"/>
  <c r="AV759" i="72"/>
  <c r="EB759" i="72" s="1"/>
  <c r="AU760" i="72"/>
  <c r="AR759" i="72"/>
  <c r="AS759" i="72"/>
  <c r="AT760" i="72" s="1"/>
  <c r="AM759" i="72"/>
  <c r="AQ759" i="72"/>
  <c r="AN759" i="72"/>
  <c r="AO760" i="72" s="1"/>
  <c r="AP761" i="72" s="1"/>
  <c r="AW758" i="72"/>
  <c r="CU758" i="72" s="1"/>
  <c r="CV758" i="72" s="1"/>
  <c r="EO758" i="72" l="1"/>
  <c r="EK758" i="72"/>
  <c r="DP757" i="72"/>
  <c r="EG758" i="72"/>
  <c r="CY760" i="72"/>
  <c r="DO758" i="72"/>
  <c r="DS758" i="72"/>
  <c r="DT758" i="72" s="1"/>
  <c r="DW758" i="72"/>
  <c r="EC758" i="72"/>
  <c r="CX759" i="72"/>
  <c r="ED759" i="72"/>
  <c r="DB759" i="72"/>
  <c r="DC759" i="72"/>
  <c r="DA759" i="72"/>
  <c r="DD759" i="72"/>
  <c r="EA759" i="72"/>
  <c r="CZ759" i="72"/>
  <c r="AU761" i="72"/>
  <c r="AQ760" i="72"/>
  <c r="AM760" i="72"/>
  <c r="AN760" i="72"/>
  <c r="AO761" i="72" s="1"/>
  <c r="AP762" i="72" s="1"/>
  <c r="AW759" i="72"/>
  <c r="CU759" i="72" s="1"/>
  <c r="CV759" i="72" s="1"/>
  <c r="AS760" i="72"/>
  <c r="AT761" i="72" s="1"/>
  <c r="AR760" i="72"/>
  <c r="AV760" i="72"/>
  <c r="EB760" i="72" s="1"/>
  <c r="EK759" i="72" l="1"/>
  <c r="EO759" i="72"/>
  <c r="DP758" i="72"/>
  <c r="EG759" i="72"/>
  <c r="DO759" i="72"/>
  <c r="DS759" i="72"/>
  <c r="DT759" i="72" s="1"/>
  <c r="EC759" i="72"/>
  <c r="DW759" i="72"/>
  <c r="ED760" i="72"/>
  <c r="CX760" i="72"/>
  <c r="CY761" i="72"/>
  <c r="CZ760" i="72"/>
  <c r="DB760" i="72"/>
  <c r="DC760" i="72"/>
  <c r="EA760" i="72"/>
  <c r="DD760" i="72"/>
  <c r="DA760" i="72"/>
  <c r="AU762" i="72"/>
  <c r="AV761" i="72"/>
  <c r="EB761" i="72" s="1"/>
  <c r="AS761" i="72"/>
  <c r="AT762" i="72" s="1"/>
  <c r="AR761" i="72"/>
  <c r="AQ761" i="72"/>
  <c r="AW760" i="72"/>
  <c r="CU760" i="72" s="1"/>
  <c r="CV760" i="72" s="1"/>
  <c r="AM761" i="72"/>
  <c r="AN761" i="72"/>
  <c r="AO762" i="72" s="1"/>
  <c r="AP763" i="72" s="1"/>
  <c r="EK760" i="72" l="1"/>
  <c r="EO760" i="72"/>
  <c r="DP759" i="72"/>
  <c r="EG760" i="72"/>
  <c r="CY762" i="72"/>
  <c r="DW760" i="72"/>
  <c r="EC760" i="72"/>
  <c r="DB761" i="72"/>
  <c r="DC761" i="72"/>
  <c r="CZ761" i="72"/>
  <c r="EA761" i="72"/>
  <c r="DD761" i="72"/>
  <c r="DA761" i="72"/>
  <c r="CX761" i="72"/>
  <c r="ED761" i="72"/>
  <c r="DO760" i="72"/>
  <c r="DS760" i="72"/>
  <c r="DT760" i="72" s="1"/>
  <c r="AU763" i="72"/>
  <c r="AW761" i="72"/>
  <c r="CU761" i="72" s="1"/>
  <c r="CV761" i="72" s="1"/>
  <c r="AN762" i="72"/>
  <c r="AO763" i="72" s="1"/>
  <c r="AP764" i="72" s="1"/>
  <c r="AM762" i="72"/>
  <c r="AQ762" i="72"/>
  <c r="AR762" i="72"/>
  <c r="AS762" i="72"/>
  <c r="AT763" i="72" s="1"/>
  <c r="AV762" i="72"/>
  <c r="EO761" i="72" l="1"/>
  <c r="EK761" i="72"/>
  <c r="DP760" i="72"/>
  <c r="EG761" i="72"/>
  <c r="AV763" i="72"/>
  <c r="EB763" i="72" s="1"/>
  <c r="EB762" i="72"/>
  <c r="ED762" i="72"/>
  <c r="CX762" i="72"/>
  <c r="EA762" i="72"/>
  <c r="DC762" i="72"/>
  <c r="DD762" i="72"/>
  <c r="DB762" i="72"/>
  <c r="DA762" i="72"/>
  <c r="CZ762" i="72"/>
  <c r="DW761" i="72"/>
  <c r="EC761" i="72"/>
  <c r="CY763" i="72"/>
  <c r="DO761" i="72"/>
  <c r="DS761" i="72"/>
  <c r="DT761" i="72" s="1"/>
  <c r="AU764" i="72"/>
  <c r="AN763" i="72"/>
  <c r="AO764" i="72" s="1"/>
  <c r="AP765" i="72" s="1"/>
  <c r="AQ763" i="72"/>
  <c r="AW762" i="72"/>
  <c r="CU762" i="72" s="1"/>
  <c r="CV762" i="72" s="1"/>
  <c r="AM763" i="72"/>
  <c r="AS763" i="72"/>
  <c r="AT764" i="72" s="1"/>
  <c r="AR763" i="72"/>
  <c r="EK762" i="72" l="1"/>
  <c r="EO762" i="72"/>
  <c r="DP761" i="72"/>
  <c r="EG762" i="72"/>
  <c r="CY764" i="72"/>
  <c r="DS762" i="72"/>
  <c r="DT762" i="72" s="1"/>
  <c r="DO762" i="72"/>
  <c r="DB763" i="72"/>
  <c r="EA763" i="72"/>
  <c r="DC763" i="72"/>
  <c r="DA763" i="72"/>
  <c r="DD763" i="72"/>
  <c r="CZ763" i="72"/>
  <c r="EC762" i="72"/>
  <c r="DW762" i="72"/>
  <c r="CX763" i="72"/>
  <c r="ED763" i="72"/>
  <c r="AV764" i="72"/>
  <c r="EB764" i="72" s="1"/>
  <c r="AU765" i="72"/>
  <c r="AS764" i="72"/>
  <c r="AT765" i="72" s="1"/>
  <c r="AR764" i="72"/>
  <c r="AW763" i="72"/>
  <c r="CU763" i="72" s="1"/>
  <c r="CV763" i="72" s="1"/>
  <c r="AQ764" i="72"/>
  <c r="AM764" i="72"/>
  <c r="AN764" i="72"/>
  <c r="AO765" i="72" s="1"/>
  <c r="AP766" i="72" s="1"/>
  <c r="EK763" i="72" l="1"/>
  <c r="EO763" i="72"/>
  <c r="DP762" i="72"/>
  <c r="EG763" i="72"/>
  <c r="CY765" i="72"/>
  <c r="DS763" i="72"/>
  <c r="DT763" i="72" s="1"/>
  <c r="DO763" i="72"/>
  <c r="CZ764" i="72"/>
  <c r="DB764" i="72"/>
  <c r="EA764" i="72"/>
  <c r="DC764" i="72"/>
  <c r="DD764" i="72"/>
  <c r="DA764" i="72"/>
  <c r="CX764" i="72"/>
  <c r="ED764" i="72"/>
  <c r="EC763" i="72"/>
  <c r="DW763" i="72"/>
  <c r="AU766" i="72"/>
  <c r="AV765" i="72"/>
  <c r="EB765" i="72" s="1"/>
  <c r="AN765" i="72"/>
  <c r="AO766" i="72" s="1"/>
  <c r="AQ765" i="72"/>
  <c r="AM765" i="72"/>
  <c r="AW764" i="72"/>
  <c r="CU764" i="72" s="1"/>
  <c r="CV764" i="72" s="1"/>
  <c r="AS765" i="72"/>
  <c r="AT766" i="72" s="1"/>
  <c r="AR765" i="72"/>
  <c r="EO764" i="72" l="1"/>
  <c r="EK764" i="72"/>
  <c r="DP763" i="72"/>
  <c r="EG764" i="72"/>
  <c r="DS764" i="72"/>
  <c r="DT764" i="72" s="1"/>
  <c r="DO764" i="72"/>
  <c r="EC764" i="72"/>
  <c r="DW764" i="72"/>
  <c r="CX765" i="72"/>
  <c r="ED765" i="72"/>
  <c r="CY766" i="72"/>
  <c r="DB765" i="72"/>
  <c r="CZ765" i="72"/>
  <c r="DC765" i="72"/>
  <c r="DD765" i="72"/>
  <c r="DA765" i="72"/>
  <c r="EA765" i="72"/>
  <c r="AR766" i="72"/>
  <c r="AS766" i="72"/>
  <c r="AQ766" i="72"/>
  <c r="AN766" i="72"/>
  <c r="AM766" i="72"/>
  <c r="AW765" i="72"/>
  <c r="CU765" i="72" s="1"/>
  <c r="CV765" i="72" s="1"/>
  <c r="AV766" i="72"/>
  <c r="EB766" i="72" s="1"/>
  <c r="B63" i="72" s="1"/>
  <c r="K38" i="1" l="1"/>
  <c r="M38" i="1" s="1"/>
  <c r="EK765" i="72"/>
  <c r="EO765" i="72"/>
  <c r="DP764" i="72"/>
  <c r="EG765" i="72"/>
  <c r="DO765" i="72"/>
  <c r="DS765" i="72"/>
  <c r="DT765" i="72" s="1"/>
  <c r="EC765" i="72"/>
  <c r="DW765" i="72"/>
  <c r="EA766" i="72"/>
  <c r="B62" i="72" s="1"/>
  <c r="DC766" i="72"/>
  <c r="CZ766" i="72"/>
  <c r="DA766" i="72"/>
  <c r="DB766" i="72"/>
  <c r="DD766" i="72"/>
  <c r="CX766" i="72"/>
  <c r="ED766" i="72"/>
  <c r="B65" i="72" s="1"/>
  <c r="AW766" i="72"/>
  <c r="CU766" i="72" s="1"/>
  <c r="CV766" i="72" s="1"/>
  <c r="K37" i="1" l="1"/>
  <c r="M37" i="1" s="1"/>
  <c r="K40" i="1"/>
  <c r="M40" i="1" s="1"/>
  <c r="EK766" i="72"/>
  <c r="EO766" i="72"/>
  <c r="DP765" i="72"/>
  <c r="EG766" i="72"/>
  <c r="DS766" i="72"/>
  <c r="DT766" i="72" s="1"/>
  <c r="B67" i="72" s="1"/>
  <c r="DO766" i="72"/>
  <c r="DW766" i="72"/>
  <c r="EC766" i="72"/>
  <c r="B64" i="72" s="1"/>
  <c r="K39" i="1" l="1"/>
  <c r="M39" i="1" s="1"/>
  <c r="K42" i="1"/>
  <c r="M42" i="1" s="1"/>
  <c r="DP766" i="72"/>
  <c r="B66" i="72" s="1"/>
  <c r="B73" i="72"/>
  <c r="K47" i="1" s="1"/>
  <c r="M47" i="1" s="1"/>
  <c r="K456" i="69"/>
  <c r="J456" i="69"/>
  <c r="L456" i="69" s="1"/>
  <c r="O456" i="69" s="1"/>
  <c r="N456" i="69"/>
  <c r="F3" i="73" s="1"/>
  <c r="B72" i="72" l="1"/>
  <c r="K46" i="1" s="1"/>
  <c r="M46" i="1" s="1"/>
  <c r="K41" i="1"/>
  <c r="M41" i="1" s="1"/>
  <c r="E96" i="73"/>
  <c r="E78" i="73"/>
  <c r="E146" i="73"/>
  <c r="E82" i="73"/>
  <c r="E150" i="73"/>
  <c r="E76" i="73"/>
  <c r="E144" i="73"/>
  <c r="E130" i="73"/>
  <c r="E46" i="73"/>
  <c r="E134" i="73"/>
  <c r="E32" i="73"/>
  <c r="E34" i="73"/>
  <c r="E100" i="73"/>
  <c r="E128" i="73"/>
  <c r="E50" i="73"/>
  <c r="E114" i="73"/>
  <c r="E118" i="73"/>
  <c r="E48" i="73"/>
  <c r="E62" i="73"/>
  <c r="E80" i="73"/>
  <c r="E148" i="73"/>
  <c r="E60" i="73"/>
  <c r="E112" i="73"/>
  <c r="E64" i="73"/>
  <c r="E98" i="73"/>
  <c r="E30" i="73"/>
  <c r="E102" i="73"/>
  <c r="E132" i="73"/>
  <c r="E66" i="73"/>
  <c r="E28" i="73"/>
  <c r="E44" i="73"/>
  <c r="E116" i="73"/>
  <c r="G3" i="73"/>
  <c r="BI511" i="82" l="1"/>
  <c r="BI487" i="82"/>
  <c r="BI175" i="82"/>
  <c r="BI47" i="82"/>
  <c r="BI239" i="82"/>
  <c r="BI215" i="82"/>
  <c r="BI439" i="82"/>
  <c r="BI159" i="82"/>
  <c r="BI39" i="82"/>
  <c r="BI495" i="82"/>
  <c r="BI111" i="82"/>
  <c r="BI23" i="82"/>
  <c r="BI311" i="82"/>
  <c r="BI31" i="82"/>
  <c r="BI103" i="82"/>
  <c r="BI447" i="82"/>
  <c r="BI223" i="82"/>
  <c r="BI87" i="82"/>
  <c r="BI423" i="82"/>
  <c r="BI231" i="82"/>
  <c r="BI303" i="82"/>
  <c r="BI383" i="82"/>
  <c r="BI95" i="82"/>
  <c r="BI295" i="82"/>
  <c r="BI359" i="82"/>
  <c r="BI151" i="82"/>
  <c r="BI503" i="82"/>
  <c r="BI319" i="82"/>
  <c r="BI375" i="82"/>
  <c r="BI167" i="82"/>
  <c r="BI367" i="82"/>
  <c r="BI431" i="82"/>
  <c r="BI431" i="72"/>
  <c r="BI167" i="72"/>
  <c r="BI487" i="72"/>
  <c r="BI511" i="72"/>
  <c r="BI375" i="72"/>
  <c r="BI111" i="72"/>
  <c r="BI215" i="72"/>
  <c r="BI503" i="72"/>
  <c r="BI231" i="72"/>
  <c r="BI47" i="72"/>
  <c r="BI239" i="72"/>
  <c r="BI87" i="72"/>
  <c r="BI151" i="72"/>
  <c r="BI319" i="72"/>
  <c r="BI39" i="72"/>
  <c r="BI495" i="72"/>
  <c r="BI367" i="72"/>
  <c r="BI23" i="72"/>
  <c r="BI175" i="72"/>
  <c r="BI439" i="72"/>
  <c r="BI31" i="72"/>
  <c r="BI103" i="72"/>
  <c r="BI447" i="72"/>
  <c r="BI223" i="72"/>
  <c r="BI359" i="72"/>
  <c r="BI423" i="72"/>
  <c r="BI311" i="72"/>
  <c r="BI159" i="72"/>
  <c r="F148" i="73"/>
  <c r="F134" i="73"/>
  <c r="F60" i="73"/>
  <c r="F130" i="73"/>
  <c r="F100" i="73"/>
  <c r="F82" i="73"/>
  <c r="F44" i="73"/>
  <c r="F30" i="73"/>
  <c r="F50" i="73"/>
  <c r="F114" i="73"/>
  <c r="F132" i="73"/>
  <c r="F118" i="73"/>
  <c r="F76" i="73"/>
  <c r="F144" i="73"/>
  <c r="F48" i="73"/>
  <c r="F80" i="73"/>
  <c r="F64" i="73"/>
  <c r="F46" i="73"/>
  <c r="F98" i="73"/>
  <c r="F150" i="73"/>
  <c r="F32" i="73"/>
  <c r="F128" i="73"/>
  <c r="F116" i="73"/>
  <c r="F102" i="73"/>
  <c r="F78" i="73"/>
  <c r="F146" i="73"/>
  <c r="F66" i="73"/>
  <c r="F96" i="73"/>
  <c r="F28" i="73"/>
  <c r="F62" i="73"/>
  <c r="F112" i="73"/>
  <c r="F34" i="73"/>
  <c r="BI303" i="72"/>
  <c r="BI383" i="72"/>
  <c r="BI95" i="72"/>
  <c r="BI295" i="72"/>
  <c r="BJ431" i="82" l="1"/>
  <c r="BL431" i="82"/>
  <c r="BJ319" i="82"/>
  <c r="BL319" i="82"/>
  <c r="BJ295" i="82"/>
  <c r="BL295" i="82"/>
  <c r="BJ231" i="82"/>
  <c r="BL231" i="82"/>
  <c r="BJ447" i="82"/>
  <c r="BL447" i="82"/>
  <c r="BJ23" i="82"/>
  <c r="BI547" i="82"/>
  <c r="BL23" i="82"/>
  <c r="BJ159" i="82"/>
  <c r="BL159" i="82"/>
  <c r="BJ47" i="82"/>
  <c r="BL47" i="82"/>
  <c r="BJ367" i="82"/>
  <c r="BL367" i="82"/>
  <c r="BJ503" i="82"/>
  <c r="BL503" i="82"/>
  <c r="BJ95" i="82"/>
  <c r="BL95" i="82"/>
  <c r="BJ423" i="82"/>
  <c r="BL423" i="82"/>
  <c r="BJ103" i="82"/>
  <c r="BL103" i="82"/>
  <c r="BJ111" i="82"/>
  <c r="BL111" i="82"/>
  <c r="BJ439" i="82"/>
  <c r="BL439" i="82"/>
  <c r="BJ175" i="82"/>
  <c r="BL175" i="82"/>
  <c r="BJ167" i="82"/>
  <c r="BL167" i="82"/>
  <c r="BJ151" i="82"/>
  <c r="BL151" i="82"/>
  <c r="BJ383" i="82"/>
  <c r="BL383" i="82"/>
  <c r="BJ87" i="82"/>
  <c r="BL87" i="82"/>
  <c r="BJ31" i="82"/>
  <c r="BL31" i="82"/>
  <c r="BJ495" i="82"/>
  <c r="BL495" i="82"/>
  <c r="BJ215" i="82"/>
  <c r="BL215" i="82"/>
  <c r="BJ487" i="82"/>
  <c r="BL487" i="82"/>
  <c r="BJ375" i="82"/>
  <c r="BL375" i="82"/>
  <c r="BJ359" i="82"/>
  <c r="BL359" i="82"/>
  <c r="BJ303" i="82"/>
  <c r="BL303" i="82"/>
  <c r="BJ223" i="82"/>
  <c r="BL223" i="82"/>
  <c r="BJ311" i="82"/>
  <c r="BL311" i="82"/>
  <c r="BJ39" i="82"/>
  <c r="BL39" i="82"/>
  <c r="BJ239" i="82"/>
  <c r="BL239" i="82"/>
  <c r="BJ511" i="82"/>
  <c r="BL511" i="82"/>
  <c r="BI547" i="72"/>
  <c r="BJ375" i="72"/>
  <c r="BL375" i="72"/>
  <c r="BJ295" i="72"/>
  <c r="BL295" i="72"/>
  <c r="BJ223" i="72"/>
  <c r="BL223" i="72"/>
  <c r="BJ439" i="72"/>
  <c r="BL439" i="72"/>
  <c r="BJ495" i="72"/>
  <c r="BL495" i="72"/>
  <c r="BJ87" i="72"/>
  <c r="BL87" i="72"/>
  <c r="BJ215" i="72"/>
  <c r="BL215" i="72"/>
  <c r="BJ447" i="72"/>
  <c r="BL447" i="72"/>
  <c r="BJ175" i="72"/>
  <c r="BL175" i="72"/>
  <c r="BJ239" i="72"/>
  <c r="BL239" i="72"/>
  <c r="BJ487" i="72"/>
  <c r="BL487" i="72"/>
  <c r="BJ95" i="72"/>
  <c r="BL95" i="72"/>
  <c r="BJ423" i="72"/>
  <c r="BL423" i="72"/>
  <c r="BJ103" i="72"/>
  <c r="BL103" i="72"/>
  <c r="BJ23" i="72"/>
  <c r="BL23" i="72"/>
  <c r="BJ47" i="72"/>
  <c r="BL47" i="72"/>
  <c r="BJ111" i="72"/>
  <c r="BL111" i="72"/>
  <c r="BJ167" i="72"/>
  <c r="BL167" i="72"/>
  <c r="BJ311" i="72"/>
  <c r="BL311" i="72"/>
  <c r="BJ39" i="72"/>
  <c r="BL39" i="72"/>
  <c r="BJ383" i="72"/>
  <c r="BL383" i="72"/>
  <c r="BJ319" i="72"/>
  <c r="BL319" i="72"/>
  <c r="BJ303" i="72"/>
  <c r="BL303" i="72"/>
  <c r="BJ359" i="72"/>
  <c r="BL359" i="72"/>
  <c r="BJ31" i="72"/>
  <c r="BL31" i="72"/>
  <c r="BJ367" i="72"/>
  <c r="BL367" i="72"/>
  <c r="BJ151" i="72"/>
  <c r="BL151" i="72"/>
  <c r="BJ231" i="72"/>
  <c r="BL231" i="72"/>
  <c r="BJ431" i="72"/>
  <c r="BL431" i="72"/>
  <c r="BJ159" i="72"/>
  <c r="BL159" i="72"/>
  <c r="BJ503" i="72"/>
  <c r="BL503" i="72"/>
  <c r="BJ511" i="72"/>
  <c r="BL511" i="72"/>
  <c r="BL547" i="82" l="1"/>
  <c r="B26" i="82"/>
  <c r="G36" i="1" s="1"/>
  <c r="GV661" i="82"/>
  <c r="GV662" i="82" s="1"/>
  <c r="GV663" i="82" s="1"/>
  <c r="GV664" i="82" s="1"/>
  <c r="GV665" i="82" s="1"/>
  <c r="GV666" i="82" s="1"/>
  <c r="GV667" i="82" s="1"/>
  <c r="GV668" i="82" s="1"/>
  <c r="GV669" i="82" s="1"/>
  <c r="GV670" i="82" s="1"/>
  <c r="GV671" i="82" s="1"/>
  <c r="GV672" i="82" s="1"/>
  <c r="GV673" i="82" s="1"/>
  <c r="GV674" i="82" s="1"/>
  <c r="GV675" i="82" s="1"/>
  <c r="GV676" i="82" s="1"/>
  <c r="B32" i="82"/>
  <c r="G41" i="1" s="1"/>
  <c r="BJ547" i="82"/>
  <c r="B32" i="72"/>
  <c r="F41" i="1" s="1"/>
  <c r="H41" i="1" s="1"/>
  <c r="F61" i="1" s="1"/>
  <c r="GV661" i="72"/>
  <c r="GV662" i="72" s="1"/>
  <c r="GV663" i="72" s="1"/>
  <c r="GV664" i="72" s="1"/>
  <c r="GV665" i="72" s="1"/>
  <c r="GV666" i="72" s="1"/>
  <c r="GV667" i="72" s="1"/>
  <c r="GV668" i="72" s="1"/>
  <c r="GV669" i="72" s="1"/>
  <c r="GV670" i="72" s="1"/>
  <c r="GV671" i="72" s="1"/>
  <c r="GV672" i="72" s="1"/>
  <c r="GV673" i="72" s="1"/>
  <c r="GV674" i="72" s="1"/>
  <c r="GV675" i="72" s="1"/>
  <c r="GV676" i="72" s="1"/>
  <c r="BJ547" i="72"/>
  <c r="BL547" i="72"/>
  <c r="B26" i="72"/>
  <c r="F36" i="1" s="1"/>
  <c r="H36" i="1" l="1"/>
  <c r="B78" i="72"/>
  <c r="K51" i="1" s="1"/>
  <c r="EL681" i="72"/>
  <c r="EL682" i="72" s="1"/>
  <c r="EL683" i="72" s="1"/>
  <c r="EL684" i="72" s="1"/>
  <c r="EL685" i="72" s="1"/>
  <c r="EL686" i="72" s="1"/>
  <c r="EL687" i="72" s="1"/>
  <c r="EL688" i="72" s="1"/>
  <c r="EL689" i="72" s="1"/>
  <c r="EL690" i="72" s="1"/>
  <c r="EL691" i="72" s="1"/>
  <c r="EL692" i="72" s="1"/>
  <c r="EL693" i="72" s="1"/>
  <c r="EL694" i="72" s="1"/>
  <c r="EL695" i="72" s="1"/>
  <c r="EL696" i="72" s="1"/>
  <c r="EL697" i="72" s="1"/>
  <c r="EL698" i="72" s="1"/>
  <c r="EL699" i="72" s="1"/>
  <c r="EL700" i="72" s="1"/>
  <c r="EL701" i="72" s="1"/>
  <c r="EL702" i="72" s="1"/>
  <c r="EL703" i="72" s="1"/>
  <c r="EL704" i="72" s="1"/>
  <c r="EL705" i="72" s="1"/>
  <c r="EL706" i="72" s="1"/>
  <c r="EL707" i="72" s="1"/>
  <c r="EL708" i="72" s="1"/>
  <c r="EL709" i="72" s="1"/>
  <c r="EL710" i="72" s="1"/>
  <c r="EL711" i="72" s="1"/>
  <c r="EL712" i="72" s="1"/>
  <c r="EL713" i="72" s="1"/>
  <c r="EL714" i="72" s="1"/>
  <c r="EL715" i="72" s="1"/>
  <c r="EL716" i="72" s="1"/>
  <c r="EL717" i="72" s="1"/>
  <c r="EL718" i="72" s="1"/>
  <c r="EL719" i="72" s="1"/>
  <c r="EL720" i="72" s="1"/>
  <c r="EL721" i="72" s="1"/>
  <c r="EL722" i="72" s="1"/>
  <c r="EL723" i="72" s="1"/>
  <c r="EL724" i="72" s="1"/>
  <c r="EL725" i="72" s="1"/>
  <c r="EL726" i="72" s="1"/>
  <c r="EL727" i="72" s="1"/>
  <c r="EL728" i="72" s="1"/>
  <c r="EL729" i="72" s="1"/>
  <c r="EL730" i="72" s="1"/>
  <c r="EL731" i="72" s="1"/>
  <c r="EL732" i="72" s="1"/>
  <c r="EL733" i="72" s="1"/>
  <c r="EL734" i="72" s="1"/>
  <c r="EL735" i="72" s="1"/>
  <c r="EL736" i="72" s="1"/>
  <c r="EL737" i="72" s="1"/>
  <c r="EL738" i="72" s="1"/>
  <c r="EL739" i="72" s="1"/>
  <c r="EL740" i="72" s="1"/>
  <c r="EL741" i="72" s="1"/>
  <c r="EL742" i="72" s="1"/>
  <c r="EL743" i="72" s="1"/>
  <c r="EL744" i="72" s="1"/>
  <c r="EL745" i="72" s="1"/>
  <c r="EL746" i="72" s="1"/>
  <c r="EL747" i="72" s="1"/>
  <c r="EL748" i="72" s="1"/>
  <c r="EL749" i="72" s="1"/>
  <c r="EL750" i="72" s="1"/>
  <c r="EL751" i="72" s="1"/>
  <c r="EL752" i="72" s="1"/>
  <c r="EL753" i="72" s="1"/>
  <c r="EL754" i="72" s="1"/>
  <c r="EL755" i="72" s="1"/>
  <c r="EL756" i="72" s="1"/>
  <c r="EL757" i="72" s="1"/>
  <c r="EL758" i="72" s="1"/>
  <c r="EL759" i="72" s="1"/>
  <c r="EL760" i="72" s="1"/>
  <c r="EL761" i="72" s="1"/>
  <c r="EL762" i="72" s="1"/>
  <c r="EL763" i="72" s="1"/>
  <c r="EL764" i="72" s="1"/>
  <c r="EL765" i="72" s="1"/>
  <c r="EL766" i="72" s="1"/>
  <c r="B79" i="72" s="1"/>
  <c r="K52" i="1" s="1"/>
  <c r="B22" i="82"/>
  <c r="G33" i="1" s="1"/>
  <c r="GI661" i="82"/>
  <c r="GI662" i="82" s="1"/>
  <c r="GI663" i="82" s="1"/>
  <c r="GI664" i="82" s="1"/>
  <c r="GI665" i="82" s="1"/>
  <c r="GI666" i="82" s="1"/>
  <c r="GI667" i="82" s="1"/>
  <c r="GI668" i="82" s="1"/>
  <c r="GI669" i="82" s="1"/>
  <c r="GI670" i="82" s="1"/>
  <c r="GI671" i="82" s="1"/>
  <c r="GI672" i="82" s="1"/>
  <c r="GI673" i="82" s="1"/>
  <c r="GI674" i="82" s="1"/>
  <c r="GI675" i="82" s="1"/>
  <c r="GI676" i="82" s="1"/>
  <c r="EL681" i="82"/>
  <c r="EL682" i="82" s="1"/>
  <c r="EL683" i="82" s="1"/>
  <c r="EL684" i="82" s="1"/>
  <c r="EL685" i="82" s="1"/>
  <c r="EL686" i="82" s="1"/>
  <c r="EL687" i="82" s="1"/>
  <c r="EL688" i="82" s="1"/>
  <c r="EL689" i="82" s="1"/>
  <c r="EL690" i="82" s="1"/>
  <c r="EL691" i="82" s="1"/>
  <c r="EL692" i="82" s="1"/>
  <c r="EL693" i="82" s="1"/>
  <c r="EL694" i="82" s="1"/>
  <c r="EL695" i="82" s="1"/>
  <c r="EL696" i="82" s="1"/>
  <c r="EL697" i="82" s="1"/>
  <c r="EL698" i="82" s="1"/>
  <c r="EL699" i="82" s="1"/>
  <c r="EL700" i="82" s="1"/>
  <c r="EL701" i="82" s="1"/>
  <c r="EL702" i="82" s="1"/>
  <c r="EL703" i="82" s="1"/>
  <c r="EL704" i="82" s="1"/>
  <c r="EL705" i="82" s="1"/>
  <c r="EL706" i="82" s="1"/>
  <c r="EL707" i="82" s="1"/>
  <c r="EL708" i="82" s="1"/>
  <c r="EL709" i="82" s="1"/>
  <c r="EL710" i="82" s="1"/>
  <c r="EL711" i="82" s="1"/>
  <c r="EL712" i="82" s="1"/>
  <c r="EL713" i="82" s="1"/>
  <c r="EL714" i="82" s="1"/>
  <c r="EL715" i="82" s="1"/>
  <c r="EL716" i="82" s="1"/>
  <c r="EL717" i="82" s="1"/>
  <c r="EL718" i="82" s="1"/>
  <c r="EL719" i="82" s="1"/>
  <c r="EL720" i="82" s="1"/>
  <c r="EL721" i="82" s="1"/>
  <c r="EL722" i="82" s="1"/>
  <c r="EL723" i="82" s="1"/>
  <c r="EL724" i="82" s="1"/>
  <c r="EL725" i="82" s="1"/>
  <c r="EL726" i="82" s="1"/>
  <c r="EL727" i="82" s="1"/>
  <c r="EL728" i="82" s="1"/>
  <c r="EL729" i="82" s="1"/>
  <c r="EL730" i="82" s="1"/>
  <c r="EL731" i="82" s="1"/>
  <c r="EL732" i="82" s="1"/>
  <c r="EL733" i="82" s="1"/>
  <c r="EL734" i="82" s="1"/>
  <c r="EL735" i="82" s="1"/>
  <c r="EL736" i="82" s="1"/>
  <c r="EL737" i="82" s="1"/>
  <c r="EL738" i="82" s="1"/>
  <c r="EL739" i="82" s="1"/>
  <c r="EL740" i="82" s="1"/>
  <c r="EL741" i="82" s="1"/>
  <c r="EL742" i="82" s="1"/>
  <c r="EL743" i="82" s="1"/>
  <c r="EL744" i="82" s="1"/>
  <c r="EL745" i="82" s="1"/>
  <c r="EL746" i="82" s="1"/>
  <c r="EL747" i="82" s="1"/>
  <c r="EL748" i="82" s="1"/>
  <c r="EL749" i="82" s="1"/>
  <c r="EL750" i="82" s="1"/>
  <c r="EL751" i="82" s="1"/>
  <c r="EL752" i="82" s="1"/>
  <c r="EL753" i="82" s="1"/>
  <c r="EL754" i="82" s="1"/>
  <c r="EL755" i="82" s="1"/>
  <c r="EL756" i="82" s="1"/>
  <c r="EL757" i="82" s="1"/>
  <c r="EL758" i="82" s="1"/>
  <c r="EL759" i="82" s="1"/>
  <c r="EL760" i="82" s="1"/>
  <c r="EL761" i="82" s="1"/>
  <c r="EL762" i="82" s="1"/>
  <c r="EL763" i="82" s="1"/>
  <c r="EL764" i="82" s="1"/>
  <c r="EL765" i="82" s="1"/>
  <c r="EL766" i="82" s="1"/>
  <c r="B79" i="82" s="1"/>
  <c r="L52" i="1" s="1"/>
  <c r="B78" i="82"/>
  <c r="L51" i="1" s="1"/>
  <c r="B33" i="82"/>
  <c r="G42" i="1" s="1"/>
  <c r="GR661" i="82"/>
  <c r="GR662" i="82" s="1"/>
  <c r="GR663" i="82" s="1"/>
  <c r="GR664" i="82" s="1"/>
  <c r="GR665" i="82" s="1"/>
  <c r="GR666" i="82" s="1"/>
  <c r="GR667" i="82" s="1"/>
  <c r="GR668" i="82" s="1"/>
  <c r="GR669" i="82" s="1"/>
  <c r="GR670" i="82" s="1"/>
  <c r="GR671" i="82" s="1"/>
  <c r="GR672" i="82" s="1"/>
  <c r="GR673" i="82" s="1"/>
  <c r="GR674" i="82" s="1"/>
  <c r="GR675" i="82" s="1"/>
  <c r="GR676" i="82" s="1"/>
  <c r="GZ661" i="82"/>
  <c r="GZ662" i="82" s="1"/>
  <c r="GZ663" i="82" s="1"/>
  <c r="GZ664" i="82" s="1"/>
  <c r="GZ665" i="82" s="1"/>
  <c r="GZ666" i="82" s="1"/>
  <c r="GZ667" i="82" s="1"/>
  <c r="GZ668" i="82" s="1"/>
  <c r="GZ669" i="82" s="1"/>
  <c r="GZ670" i="82" s="1"/>
  <c r="GZ671" i="82" s="1"/>
  <c r="GZ672" i="82" s="1"/>
  <c r="GZ673" i="82" s="1"/>
  <c r="GZ674" i="82" s="1"/>
  <c r="GZ675" i="82" s="1"/>
  <c r="GZ676" i="82" s="1"/>
  <c r="B33" i="72"/>
  <c r="F42" i="1" s="1"/>
  <c r="GZ661" i="72"/>
  <c r="GZ662" i="72" s="1"/>
  <c r="GZ663" i="72" s="1"/>
  <c r="GZ664" i="72" s="1"/>
  <c r="GZ665" i="72" s="1"/>
  <c r="GZ666" i="72" s="1"/>
  <c r="GZ667" i="72" s="1"/>
  <c r="GZ668" i="72" s="1"/>
  <c r="GZ669" i="72" s="1"/>
  <c r="GZ670" i="72" s="1"/>
  <c r="GZ671" i="72" s="1"/>
  <c r="GZ672" i="72" s="1"/>
  <c r="GZ673" i="72" s="1"/>
  <c r="GZ674" i="72" s="1"/>
  <c r="GZ675" i="72" s="1"/>
  <c r="GZ676" i="72" s="1"/>
  <c r="GR661" i="72"/>
  <c r="GR662" i="72" s="1"/>
  <c r="GR663" i="72" s="1"/>
  <c r="GR664" i="72" s="1"/>
  <c r="GR665" i="72" s="1"/>
  <c r="GR666" i="72" s="1"/>
  <c r="GR667" i="72" s="1"/>
  <c r="GR668" i="72" s="1"/>
  <c r="GR669" i="72" s="1"/>
  <c r="GR670" i="72" s="1"/>
  <c r="GR671" i="72" s="1"/>
  <c r="GR672" i="72" s="1"/>
  <c r="GR673" i="72" s="1"/>
  <c r="GR674" i="72" s="1"/>
  <c r="GR675" i="72" s="1"/>
  <c r="GR676" i="72" s="1"/>
  <c r="B55" i="72" s="1"/>
  <c r="K31" i="1" s="1"/>
  <c r="B22" i="72"/>
  <c r="GI661" i="72"/>
  <c r="GI662" i="72" s="1"/>
  <c r="GI663" i="72" s="1"/>
  <c r="GI664" i="72" s="1"/>
  <c r="GI665" i="72" s="1"/>
  <c r="GI666" i="72" s="1"/>
  <c r="GI667" i="72" s="1"/>
  <c r="GI668" i="72" s="1"/>
  <c r="GI669" i="72" s="1"/>
  <c r="GI670" i="72" s="1"/>
  <c r="GI671" i="72" s="1"/>
  <c r="GI672" i="72" s="1"/>
  <c r="GI673" i="72" s="1"/>
  <c r="GI674" i="72" s="1"/>
  <c r="GI675" i="72" s="1"/>
  <c r="GI676" i="72" s="1"/>
  <c r="H42" i="1" l="1"/>
  <c r="F62" i="1" s="1"/>
  <c r="M51" i="1"/>
  <c r="K75" i="1" s="1"/>
  <c r="M52" i="1"/>
  <c r="K76" i="1" s="1"/>
  <c r="F33" i="1"/>
  <c r="H33" i="1" s="1"/>
  <c r="F58" i="1"/>
  <c r="F57" i="1"/>
  <c r="F56" i="1"/>
  <c r="F55" i="1"/>
  <c r="F54" i="1"/>
  <c r="EH681" i="82"/>
  <c r="EH682" i="82" s="1"/>
  <c r="EH683" i="82" s="1"/>
  <c r="EH684" i="82" s="1"/>
  <c r="EH685" i="82" s="1"/>
  <c r="EH686" i="82" s="1"/>
  <c r="EH687" i="82" s="1"/>
  <c r="EH688" i="82" s="1"/>
  <c r="EH689" i="82" s="1"/>
  <c r="EH690" i="82" s="1"/>
  <c r="EH691" i="82" s="1"/>
  <c r="EH692" i="82" s="1"/>
  <c r="EH693" i="82" s="1"/>
  <c r="EH694" i="82" s="1"/>
  <c r="EH695" i="82" s="1"/>
  <c r="EH696" i="82" s="1"/>
  <c r="EH697" i="82" s="1"/>
  <c r="EH698" i="82" s="1"/>
  <c r="EH699" i="82" s="1"/>
  <c r="EH700" i="82" s="1"/>
  <c r="EH701" i="82" s="1"/>
  <c r="EH702" i="82" s="1"/>
  <c r="EH703" i="82" s="1"/>
  <c r="EH704" i="82" s="1"/>
  <c r="EH705" i="82" s="1"/>
  <c r="EH706" i="82" s="1"/>
  <c r="EH707" i="82" s="1"/>
  <c r="EH708" i="82" s="1"/>
  <c r="EH709" i="82" s="1"/>
  <c r="EH710" i="82" s="1"/>
  <c r="EH711" i="82" s="1"/>
  <c r="EH712" i="82" s="1"/>
  <c r="EH713" i="82" s="1"/>
  <c r="EH714" i="82" s="1"/>
  <c r="EH715" i="82" s="1"/>
  <c r="EH716" i="82" s="1"/>
  <c r="EH717" i="82" s="1"/>
  <c r="EH718" i="82" s="1"/>
  <c r="EH719" i="82" s="1"/>
  <c r="EH720" i="82" s="1"/>
  <c r="EH721" i="82" s="1"/>
  <c r="EH722" i="82" s="1"/>
  <c r="EH723" i="82" s="1"/>
  <c r="EH724" i="82" s="1"/>
  <c r="EH725" i="82" s="1"/>
  <c r="EH726" i="82" s="1"/>
  <c r="EH727" i="82" s="1"/>
  <c r="EH728" i="82" s="1"/>
  <c r="EH729" i="82" s="1"/>
  <c r="EH730" i="82" s="1"/>
  <c r="EH731" i="82" s="1"/>
  <c r="EH732" i="82" s="1"/>
  <c r="EH733" i="82" s="1"/>
  <c r="EH734" i="82" s="1"/>
  <c r="EH735" i="82" s="1"/>
  <c r="EH736" i="82" s="1"/>
  <c r="EH737" i="82" s="1"/>
  <c r="EH738" i="82" s="1"/>
  <c r="EH739" i="82" s="1"/>
  <c r="EH740" i="82" s="1"/>
  <c r="EH741" i="82" s="1"/>
  <c r="EH742" i="82" s="1"/>
  <c r="EH743" i="82" s="1"/>
  <c r="EH744" i="82" s="1"/>
  <c r="EH745" i="82" s="1"/>
  <c r="EH746" i="82" s="1"/>
  <c r="EH747" i="82" s="1"/>
  <c r="EH748" i="82" s="1"/>
  <c r="EH749" i="82" s="1"/>
  <c r="EH750" i="82" s="1"/>
  <c r="EH751" i="82" s="1"/>
  <c r="EH752" i="82" s="1"/>
  <c r="EH753" i="82" s="1"/>
  <c r="EH754" i="82" s="1"/>
  <c r="EH755" i="82" s="1"/>
  <c r="EH756" i="82" s="1"/>
  <c r="EH757" i="82" s="1"/>
  <c r="EH758" i="82" s="1"/>
  <c r="EH759" i="82" s="1"/>
  <c r="EH760" i="82" s="1"/>
  <c r="EH761" i="82" s="1"/>
  <c r="EH762" i="82" s="1"/>
  <c r="EH763" i="82" s="1"/>
  <c r="EH764" i="82" s="1"/>
  <c r="EH765" i="82" s="1"/>
  <c r="EH766" i="82" s="1"/>
  <c r="B71" i="82" s="1"/>
  <c r="L45" i="1" s="1"/>
  <c r="B55" i="82"/>
  <c r="L31" i="1" s="1"/>
  <c r="M31" i="1" s="1"/>
  <c r="DX681" i="82"/>
  <c r="DX682" i="82" s="1"/>
  <c r="DX683" i="82" s="1"/>
  <c r="DX684" i="82" s="1"/>
  <c r="DX685" i="82" s="1"/>
  <c r="DX686" i="82" s="1"/>
  <c r="DX687" i="82" s="1"/>
  <c r="DX688" i="82" s="1"/>
  <c r="DX689" i="82" s="1"/>
  <c r="DX690" i="82" s="1"/>
  <c r="DX691" i="82" s="1"/>
  <c r="DX692" i="82" s="1"/>
  <c r="DX693" i="82" s="1"/>
  <c r="DX694" i="82" s="1"/>
  <c r="DX695" i="82" s="1"/>
  <c r="DX696" i="82" s="1"/>
  <c r="DX697" i="82" s="1"/>
  <c r="DX698" i="82" s="1"/>
  <c r="DX699" i="82" s="1"/>
  <c r="DX700" i="82" s="1"/>
  <c r="DX701" i="82" s="1"/>
  <c r="DX702" i="82" s="1"/>
  <c r="DX703" i="82" s="1"/>
  <c r="DX704" i="82" s="1"/>
  <c r="DX705" i="82" s="1"/>
  <c r="DX706" i="82" s="1"/>
  <c r="DX707" i="82" s="1"/>
  <c r="DX708" i="82" s="1"/>
  <c r="DX709" i="82" s="1"/>
  <c r="DX710" i="82" s="1"/>
  <c r="DX711" i="82" s="1"/>
  <c r="DX712" i="82" s="1"/>
  <c r="DX713" i="82" s="1"/>
  <c r="DX714" i="82" s="1"/>
  <c r="DX715" i="82" s="1"/>
  <c r="DX716" i="82" s="1"/>
  <c r="DX717" i="82" s="1"/>
  <c r="DX718" i="82" s="1"/>
  <c r="DX719" i="82" s="1"/>
  <c r="DX720" i="82" s="1"/>
  <c r="DX721" i="82" s="1"/>
  <c r="DX722" i="82" s="1"/>
  <c r="DX723" i="82" s="1"/>
  <c r="DX724" i="82" s="1"/>
  <c r="DX725" i="82" s="1"/>
  <c r="DX726" i="82" s="1"/>
  <c r="DX727" i="82" s="1"/>
  <c r="DX728" i="82" s="1"/>
  <c r="DX729" i="82" s="1"/>
  <c r="DX730" i="82" s="1"/>
  <c r="DX731" i="82" s="1"/>
  <c r="DX732" i="82" s="1"/>
  <c r="DX733" i="82" s="1"/>
  <c r="DX734" i="82" s="1"/>
  <c r="DX735" i="82" s="1"/>
  <c r="DX736" i="82" s="1"/>
  <c r="DX737" i="82" s="1"/>
  <c r="DX738" i="82" s="1"/>
  <c r="DX739" i="82" s="1"/>
  <c r="DX740" i="82" s="1"/>
  <c r="DX741" i="82" s="1"/>
  <c r="DX742" i="82" s="1"/>
  <c r="DX743" i="82" s="1"/>
  <c r="DX744" i="82" s="1"/>
  <c r="DX745" i="82" s="1"/>
  <c r="DX746" i="82" s="1"/>
  <c r="DX747" i="82" s="1"/>
  <c r="DX748" i="82" s="1"/>
  <c r="DX749" i="82" s="1"/>
  <c r="DX750" i="82" s="1"/>
  <c r="DX751" i="82" s="1"/>
  <c r="DX752" i="82" s="1"/>
  <c r="DX753" i="82" s="1"/>
  <c r="DX754" i="82" s="1"/>
  <c r="DX755" i="82" s="1"/>
  <c r="DX756" i="82" s="1"/>
  <c r="DX757" i="82" s="1"/>
  <c r="DX758" i="82" s="1"/>
  <c r="DX759" i="82" s="1"/>
  <c r="DX760" i="82" s="1"/>
  <c r="DX761" i="82" s="1"/>
  <c r="DX762" i="82" s="1"/>
  <c r="DX763" i="82" s="1"/>
  <c r="DX764" i="82" s="1"/>
  <c r="DX765" i="82" s="1"/>
  <c r="DX766" i="82" s="1"/>
  <c r="B61" i="82" s="1"/>
  <c r="L36" i="1" s="1"/>
  <c r="B46" i="82"/>
  <c r="L23" i="1" s="1"/>
  <c r="EP681" i="72"/>
  <c r="EP682" i="72" s="1"/>
  <c r="EP683" i="72" s="1"/>
  <c r="EP684" i="72" s="1"/>
  <c r="EP685" i="72" s="1"/>
  <c r="EP686" i="72" s="1"/>
  <c r="EP687" i="72" s="1"/>
  <c r="EP688" i="72" s="1"/>
  <c r="EP689" i="72" s="1"/>
  <c r="EP690" i="72" s="1"/>
  <c r="EP691" i="72" s="1"/>
  <c r="EP692" i="72" s="1"/>
  <c r="EP693" i="72" s="1"/>
  <c r="EP694" i="72" s="1"/>
  <c r="EP695" i="72" s="1"/>
  <c r="EP696" i="72" s="1"/>
  <c r="EP697" i="72" s="1"/>
  <c r="EP698" i="72" s="1"/>
  <c r="EP699" i="72" s="1"/>
  <c r="EP700" i="72" s="1"/>
  <c r="EP701" i="72" s="1"/>
  <c r="EP702" i="72" s="1"/>
  <c r="EP703" i="72" s="1"/>
  <c r="EP704" i="72" s="1"/>
  <c r="EP705" i="72" s="1"/>
  <c r="EP706" i="72" s="1"/>
  <c r="EP707" i="72" s="1"/>
  <c r="EP708" i="72" s="1"/>
  <c r="EP709" i="72" s="1"/>
  <c r="EP710" i="72" s="1"/>
  <c r="EP711" i="72" s="1"/>
  <c r="EP712" i="72" s="1"/>
  <c r="EP713" i="72" s="1"/>
  <c r="EP714" i="72" s="1"/>
  <c r="EP715" i="72" s="1"/>
  <c r="EP716" i="72" s="1"/>
  <c r="EP717" i="72" s="1"/>
  <c r="EP718" i="72" s="1"/>
  <c r="EP719" i="72" s="1"/>
  <c r="EP720" i="72" s="1"/>
  <c r="EP721" i="72" s="1"/>
  <c r="EP722" i="72" s="1"/>
  <c r="EP723" i="72" s="1"/>
  <c r="EP724" i="72" s="1"/>
  <c r="EP725" i="72" s="1"/>
  <c r="EP726" i="72" s="1"/>
  <c r="EP727" i="72" s="1"/>
  <c r="EP728" i="72" s="1"/>
  <c r="EP729" i="72" s="1"/>
  <c r="EP730" i="72" s="1"/>
  <c r="EP731" i="72" s="1"/>
  <c r="EP732" i="72" s="1"/>
  <c r="EP733" i="72" s="1"/>
  <c r="EP734" i="72" s="1"/>
  <c r="EP735" i="72" s="1"/>
  <c r="EP736" i="72" s="1"/>
  <c r="EP737" i="72" s="1"/>
  <c r="EP738" i="72" s="1"/>
  <c r="EP739" i="72" s="1"/>
  <c r="EP740" i="72" s="1"/>
  <c r="EP741" i="72" s="1"/>
  <c r="EP742" i="72" s="1"/>
  <c r="EP743" i="72" s="1"/>
  <c r="EP744" i="72" s="1"/>
  <c r="EP745" i="72" s="1"/>
  <c r="EP746" i="72" s="1"/>
  <c r="EP747" i="72" s="1"/>
  <c r="EP748" i="72" s="1"/>
  <c r="EP749" i="72" s="1"/>
  <c r="EP750" i="72" s="1"/>
  <c r="EP751" i="72" s="1"/>
  <c r="EP752" i="72" s="1"/>
  <c r="EP753" i="72" s="1"/>
  <c r="EP754" i="72" s="1"/>
  <c r="EP755" i="72" s="1"/>
  <c r="EP756" i="72" s="1"/>
  <c r="EP757" i="72" s="1"/>
  <c r="EP758" i="72" s="1"/>
  <c r="EP759" i="72" s="1"/>
  <c r="EP760" i="72" s="1"/>
  <c r="EP761" i="72" s="1"/>
  <c r="EP762" i="72" s="1"/>
  <c r="EP763" i="72" s="1"/>
  <c r="EP764" i="72" s="1"/>
  <c r="EP765" i="72" s="1"/>
  <c r="EP766" i="72" s="1"/>
  <c r="B81" i="72" s="1"/>
  <c r="K54" i="1" s="1"/>
  <c r="B80" i="72"/>
  <c r="K53" i="1" s="1"/>
  <c r="EP681" i="82"/>
  <c r="EP682" i="82" s="1"/>
  <c r="EP683" i="82" s="1"/>
  <c r="EP684" i="82" s="1"/>
  <c r="EP685" i="82" s="1"/>
  <c r="EP686" i="82" s="1"/>
  <c r="EP687" i="82" s="1"/>
  <c r="EP688" i="82" s="1"/>
  <c r="EP689" i="82" s="1"/>
  <c r="EP690" i="82" s="1"/>
  <c r="EP691" i="82" s="1"/>
  <c r="EP692" i="82" s="1"/>
  <c r="EP693" i="82" s="1"/>
  <c r="EP694" i="82" s="1"/>
  <c r="EP695" i="82" s="1"/>
  <c r="EP696" i="82" s="1"/>
  <c r="EP697" i="82" s="1"/>
  <c r="EP698" i="82" s="1"/>
  <c r="EP699" i="82" s="1"/>
  <c r="EP700" i="82" s="1"/>
  <c r="EP701" i="82" s="1"/>
  <c r="EP702" i="82" s="1"/>
  <c r="EP703" i="82" s="1"/>
  <c r="EP704" i="82" s="1"/>
  <c r="EP705" i="82" s="1"/>
  <c r="EP706" i="82" s="1"/>
  <c r="EP707" i="82" s="1"/>
  <c r="EP708" i="82" s="1"/>
  <c r="EP709" i="82" s="1"/>
  <c r="EP710" i="82" s="1"/>
  <c r="EP711" i="82" s="1"/>
  <c r="EP712" i="82" s="1"/>
  <c r="EP713" i="82" s="1"/>
  <c r="EP714" i="82" s="1"/>
  <c r="EP715" i="82" s="1"/>
  <c r="EP716" i="82" s="1"/>
  <c r="EP717" i="82" s="1"/>
  <c r="EP718" i="82" s="1"/>
  <c r="EP719" i="82" s="1"/>
  <c r="EP720" i="82" s="1"/>
  <c r="EP721" i="82" s="1"/>
  <c r="EP722" i="82" s="1"/>
  <c r="EP723" i="82" s="1"/>
  <c r="EP724" i="82" s="1"/>
  <c r="EP725" i="82" s="1"/>
  <c r="EP726" i="82" s="1"/>
  <c r="EP727" i="82" s="1"/>
  <c r="EP728" i="82" s="1"/>
  <c r="EP729" i="82" s="1"/>
  <c r="EP730" i="82" s="1"/>
  <c r="EP731" i="82" s="1"/>
  <c r="EP732" i="82" s="1"/>
  <c r="EP733" i="82" s="1"/>
  <c r="EP734" i="82" s="1"/>
  <c r="EP735" i="82" s="1"/>
  <c r="EP736" i="82" s="1"/>
  <c r="EP737" i="82" s="1"/>
  <c r="EP738" i="82" s="1"/>
  <c r="EP739" i="82" s="1"/>
  <c r="EP740" i="82" s="1"/>
  <c r="EP741" i="82" s="1"/>
  <c r="EP742" i="82" s="1"/>
  <c r="EP743" i="82" s="1"/>
  <c r="EP744" i="82" s="1"/>
  <c r="EP745" i="82" s="1"/>
  <c r="EP746" i="82" s="1"/>
  <c r="EP747" i="82" s="1"/>
  <c r="EP748" i="82" s="1"/>
  <c r="EP749" i="82" s="1"/>
  <c r="EP750" i="82" s="1"/>
  <c r="EP751" i="82" s="1"/>
  <c r="EP752" i="82" s="1"/>
  <c r="EP753" i="82" s="1"/>
  <c r="EP754" i="82" s="1"/>
  <c r="EP755" i="82" s="1"/>
  <c r="EP756" i="82" s="1"/>
  <c r="EP757" i="82" s="1"/>
  <c r="EP758" i="82" s="1"/>
  <c r="EP759" i="82" s="1"/>
  <c r="EP760" i="82" s="1"/>
  <c r="EP761" i="82" s="1"/>
  <c r="EP762" i="82" s="1"/>
  <c r="EP763" i="82" s="1"/>
  <c r="EP764" i="82" s="1"/>
  <c r="EP765" i="82" s="1"/>
  <c r="EP766" i="82" s="1"/>
  <c r="B81" i="82" s="1"/>
  <c r="L54" i="1" s="1"/>
  <c r="B80" i="82"/>
  <c r="L53" i="1" s="1"/>
  <c r="B46" i="72"/>
  <c r="K23" i="1" s="1"/>
  <c r="DX681" i="72"/>
  <c r="DX682" i="72" s="1"/>
  <c r="DX683" i="72" s="1"/>
  <c r="DX684" i="72" s="1"/>
  <c r="DX685" i="72" s="1"/>
  <c r="DX686" i="72" s="1"/>
  <c r="DX687" i="72" s="1"/>
  <c r="DX688" i="72" s="1"/>
  <c r="DX689" i="72" s="1"/>
  <c r="DX690" i="72" s="1"/>
  <c r="DX691" i="72" s="1"/>
  <c r="DX692" i="72" s="1"/>
  <c r="DX693" i="72" s="1"/>
  <c r="DX694" i="72" s="1"/>
  <c r="DX695" i="72" s="1"/>
  <c r="DX696" i="72" s="1"/>
  <c r="DX697" i="72" s="1"/>
  <c r="DX698" i="72" s="1"/>
  <c r="DX699" i="72" s="1"/>
  <c r="DX700" i="72" s="1"/>
  <c r="DX701" i="72" s="1"/>
  <c r="DX702" i="72" s="1"/>
  <c r="DX703" i="72" s="1"/>
  <c r="DX704" i="72" s="1"/>
  <c r="DX705" i="72" s="1"/>
  <c r="DX706" i="72" s="1"/>
  <c r="DX707" i="72" s="1"/>
  <c r="DX708" i="72" s="1"/>
  <c r="DX709" i="72" s="1"/>
  <c r="DX710" i="72" s="1"/>
  <c r="DX711" i="72" s="1"/>
  <c r="DX712" i="72" s="1"/>
  <c r="DX713" i="72" s="1"/>
  <c r="DX714" i="72" s="1"/>
  <c r="DX715" i="72" s="1"/>
  <c r="DX716" i="72" s="1"/>
  <c r="DX717" i="72" s="1"/>
  <c r="DX718" i="72" s="1"/>
  <c r="DX719" i="72" s="1"/>
  <c r="DX720" i="72" s="1"/>
  <c r="DX721" i="72" s="1"/>
  <c r="DX722" i="72" s="1"/>
  <c r="DX723" i="72" s="1"/>
  <c r="DX724" i="72" s="1"/>
  <c r="DX725" i="72" s="1"/>
  <c r="DX726" i="72" s="1"/>
  <c r="DX727" i="72" s="1"/>
  <c r="DX728" i="72" s="1"/>
  <c r="DX729" i="72" s="1"/>
  <c r="DX730" i="72" s="1"/>
  <c r="DX731" i="72" s="1"/>
  <c r="DX732" i="72" s="1"/>
  <c r="DX733" i="72" s="1"/>
  <c r="DX734" i="72" s="1"/>
  <c r="DX735" i="72" s="1"/>
  <c r="DX736" i="72" s="1"/>
  <c r="DX737" i="72" s="1"/>
  <c r="DX738" i="72" s="1"/>
  <c r="DX739" i="72" s="1"/>
  <c r="DX740" i="72" s="1"/>
  <c r="DX741" i="72" s="1"/>
  <c r="DX742" i="72" s="1"/>
  <c r="DX743" i="72" s="1"/>
  <c r="DX744" i="72" s="1"/>
  <c r="DX745" i="72" s="1"/>
  <c r="DX746" i="72" s="1"/>
  <c r="DX747" i="72" s="1"/>
  <c r="DX748" i="72" s="1"/>
  <c r="DX749" i="72" s="1"/>
  <c r="DX750" i="72" s="1"/>
  <c r="DX751" i="72" s="1"/>
  <c r="DX752" i="72" s="1"/>
  <c r="DX753" i="72" s="1"/>
  <c r="DX754" i="72" s="1"/>
  <c r="DX755" i="72" s="1"/>
  <c r="DX756" i="72" s="1"/>
  <c r="DX757" i="72" s="1"/>
  <c r="DX758" i="72" s="1"/>
  <c r="DX759" i="72" s="1"/>
  <c r="DX760" i="72" s="1"/>
  <c r="DX761" i="72" s="1"/>
  <c r="DX762" i="72" s="1"/>
  <c r="DX763" i="72" s="1"/>
  <c r="DX764" i="72" s="1"/>
  <c r="DX765" i="72" s="1"/>
  <c r="DX766" i="72" s="1"/>
  <c r="B61" i="72" s="1"/>
  <c r="EH681" i="72"/>
  <c r="EH682" i="72" s="1"/>
  <c r="EH683" i="72" s="1"/>
  <c r="EH684" i="72" s="1"/>
  <c r="EH685" i="72" s="1"/>
  <c r="EH686" i="72" s="1"/>
  <c r="EH687" i="72" s="1"/>
  <c r="EH688" i="72" s="1"/>
  <c r="EH689" i="72" s="1"/>
  <c r="EH690" i="72" s="1"/>
  <c r="EH691" i="72" s="1"/>
  <c r="EH692" i="72" s="1"/>
  <c r="EH693" i="72" s="1"/>
  <c r="EH694" i="72" s="1"/>
  <c r="EH695" i="72" s="1"/>
  <c r="EH696" i="72" s="1"/>
  <c r="EH697" i="72" s="1"/>
  <c r="EH698" i="72" s="1"/>
  <c r="EH699" i="72" s="1"/>
  <c r="EH700" i="72" s="1"/>
  <c r="EH701" i="72" s="1"/>
  <c r="EH702" i="72" s="1"/>
  <c r="EH703" i="72" s="1"/>
  <c r="EH704" i="72" s="1"/>
  <c r="EH705" i="72" s="1"/>
  <c r="EH706" i="72" s="1"/>
  <c r="EH707" i="72" s="1"/>
  <c r="EH708" i="72" s="1"/>
  <c r="EH709" i="72" s="1"/>
  <c r="EH710" i="72" s="1"/>
  <c r="EH711" i="72" s="1"/>
  <c r="EH712" i="72" s="1"/>
  <c r="EH713" i="72" s="1"/>
  <c r="EH714" i="72" s="1"/>
  <c r="EH715" i="72" s="1"/>
  <c r="EH716" i="72" s="1"/>
  <c r="EH717" i="72" s="1"/>
  <c r="EH718" i="72" s="1"/>
  <c r="EH719" i="72" s="1"/>
  <c r="EH720" i="72" s="1"/>
  <c r="EH721" i="72" s="1"/>
  <c r="EH722" i="72" s="1"/>
  <c r="EH723" i="72" s="1"/>
  <c r="EH724" i="72" s="1"/>
  <c r="EH725" i="72" s="1"/>
  <c r="EH726" i="72" s="1"/>
  <c r="EH727" i="72" s="1"/>
  <c r="EH728" i="72" s="1"/>
  <c r="EH729" i="72" s="1"/>
  <c r="EH730" i="72" s="1"/>
  <c r="EH731" i="72" s="1"/>
  <c r="EH732" i="72" s="1"/>
  <c r="EH733" i="72" s="1"/>
  <c r="EH734" i="72" s="1"/>
  <c r="EH735" i="72" s="1"/>
  <c r="EH736" i="72" s="1"/>
  <c r="EH737" i="72" s="1"/>
  <c r="EH738" i="72" s="1"/>
  <c r="EH739" i="72" s="1"/>
  <c r="EH740" i="72" s="1"/>
  <c r="EH741" i="72" s="1"/>
  <c r="EH742" i="72" s="1"/>
  <c r="EH743" i="72" s="1"/>
  <c r="EH744" i="72" s="1"/>
  <c r="EH745" i="72" s="1"/>
  <c r="EH746" i="72" s="1"/>
  <c r="EH747" i="72" s="1"/>
  <c r="EH748" i="72" s="1"/>
  <c r="EH749" i="72" s="1"/>
  <c r="EH750" i="72" s="1"/>
  <c r="EH751" i="72" s="1"/>
  <c r="EH752" i="72" s="1"/>
  <c r="EH753" i="72" s="1"/>
  <c r="EH754" i="72" s="1"/>
  <c r="EH755" i="72" s="1"/>
  <c r="EH756" i="72" s="1"/>
  <c r="EH757" i="72" s="1"/>
  <c r="EH758" i="72" s="1"/>
  <c r="EH759" i="72" s="1"/>
  <c r="EH760" i="72" s="1"/>
  <c r="EH761" i="72" s="1"/>
  <c r="EH762" i="72" s="1"/>
  <c r="EH763" i="72" s="1"/>
  <c r="EH764" i="72" s="1"/>
  <c r="EH765" i="72" s="1"/>
  <c r="EH766" i="72" s="1"/>
  <c r="M53" i="1" l="1"/>
  <c r="K77" i="1" s="1"/>
  <c r="M23" i="1"/>
  <c r="K65" i="1"/>
  <c r="K64" i="1"/>
  <c r="K63" i="1"/>
  <c r="M54" i="1"/>
  <c r="K78" i="1" s="1"/>
  <c r="K36" i="1"/>
  <c r="M36" i="1" s="1"/>
  <c r="K67" i="1" s="1"/>
  <c r="F52" i="1"/>
  <c r="F51" i="1"/>
  <c r="F50" i="1"/>
  <c r="F49" i="1"/>
  <c r="B71" i="72"/>
  <c r="K45" i="1" s="1"/>
  <c r="M45" i="1" s="1"/>
  <c r="K72" i="1" s="1"/>
  <c r="K60" i="1" l="1"/>
  <c r="K61" i="1"/>
  <c r="K70" i="1"/>
  <c r="K71" i="1"/>
  <c r="K68" i="1"/>
</calcChain>
</file>

<file path=xl/comments1.xml><?xml version="1.0" encoding="utf-8"?>
<comments xmlns="http://schemas.openxmlformats.org/spreadsheetml/2006/main">
  <authors>
    <author>Jones Matthew</author>
  </authors>
  <commentList>
    <comment ref="D2" authorId="0" shapeId="0">
      <text>
        <r>
          <rPr>
            <b/>
            <sz val="9"/>
            <color indexed="81"/>
            <rFont val="Tahoma"/>
            <family val="2"/>
          </rPr>
          <t>No information in SE = model assumes fixed cost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Jones Matthew</author>
  </authors>
  <commentList>
    <comment ref="B2" authorId="0" shapeId="0">
      <text>
        <r>
          <rPr>
            <b/>
            <sz val="9"/>
            <color indexed="81"/>
            <rFont val="Tahoma"/>
            <family val="2"/>
          </rPr>
          <t>Jones Matthew:</t>
        </r>
        <r>
          <rPr>
            <sz val="9"/>
            <color indexed="81"/>
            <rFont val="Tahoma"/>
            <family val="2"/>
          </rPr>
          <t xml:space="preserve">
This data from ONS estimates of LBW and Stillbirth.</t>
        </r>
      </text>
    </comment>
  </commentList>
</comments>
</file>

<file path=xl/sharedStrings.xml><?xml version="1.0" encoding="utf-8"?>
<sst xmlns="http://schemas.openxmlformats.org/spreadsheetml/2006/main" count="5061" uniqueCount="1137">
  <si>
    <t>Year of pregnancy</t>
  </si>
  <si>
    <t>Age of mother</t>
  </si>
  <si>
    <t>Cohort size</t>
  </si>
  <si>
    <t xml:space="preserve">Intervention </t>
  </si>
  <si>
    <t>Mean</t>
  </si>
  <si>
    <t>CHD</t>
  </si>
  <si>
    <t>COPD</t>
  </si>
  <si>
    <t>LC</t>
  </si>
  <si>
    <t>Stroke</t>
  </si>
  <si>
    <t>No complication</t>
  </si>
  <si>
    <t>Pre-eclampsia</t>
  </si>
  <si>
    <t>Total QALYs</t>
  </si>
  <si>
    <t>Previa</t>
  </si>
  <si>
    <t>Ectopic</t>
  </si>
  <si>
    <t>Deterministic</t>
  </si>
  <si>
    <t>Distribution</t>
  </si>
  <si>
    <t>Abruption</t>
  </si>
  <si>
    <t>Beta</t>
  </si>
  <si>
    <t>Condition</t>
  </si>
  <si>
    <t>SE</t>
  </si>
  <si>
    <t>Total</t>
  </si>
  <si>
    <t>Index (age)</t>
  </si>
  <si>
    <t>α</t>
  </si>
  <si>
    <t>β</t>
  </si>
  <si>
    <t>Current smokers</t>
  </si>
  <si>
    <t>Probabilistic</t>
  </si>
  <si>
    <t>Constant</t>
  </si>
  <si>
    <t>Light</t>
  </si>
  <si>
    <t>Utility decrement</t>
  </si>
  <si>
    <t>Moderate</t>
  </si>
  <si>
    <t>Never smoker</t>
  </si>
  <si>
    <t>Heavy</t>
  </si>
  <si>
    <t>Former smoker</t>
  </si>
  <si>
    <t>Female</t>
  </si>
  <si>
    <t>16-24</t>
  </si>
  <si>
    <t>25-34</t>
  </si>
  <si>
    <t>35-44</t>
  </si>
  <si>
    <t>45-54</t>
  </si>
  <si>
    <t>55-64</t>
  </si>
  <si>
    <t>65-74</t>
  </si>
  <si>
    <t>75+</t>
  </si>
  <si>
    <t>Ectopic pregnancy</t>
  </si>
  <si>
    <t>Total cost</t>
  </si>
  <si>
    <t>Intervention</t>
  </si>
  <si>
    <t>Number of quitters</t>
  </si>
  <si>
    <t>Cycle</t>
  </si>
  <si>
    <t>Mother age</t>
  </si>
  <si>
    <t>Year of birth</t>
  </si>
  <si>
    <t>Age</t>
  </si>
  <si>
    <t>Former smokers</t>
  </si>
  <si>
    <t>Never smokers</t>
  </si>
  <si>
    <t>Age index</t>
  </si>
  <si>
    <t>Mortaility rates by age according to ONS</t>
  </si>
  <si>
    <t>Lung Cancer</t>
  </si>
  <si>
    <t>Age in years</t>
  </si>
  <si>
    <t>Females</t>
  </si>
  <si>
    <t>CS_NM</t>
  </si>
  <si>
    <t>FS_NM</t>
  </si>
  <si>
    <t>Discount rate costs</t>
  </si>
  <si>
    <t>Discount rate QALYs</t>
  </si>
  <si>
    <t>Death</t>
  </si>
  <si>
    <t>Intervention cost</t>
  </si>
  <si>
    <t>Stillborn</t>
  </si>
  <si>
    <t>Infant concieved to a smoking mother</t>
  </si>
  <si>
    <t>Miscarriage</t>
  </si>
  <si>
    <t>Stillbirth</t>
  </si>
  <si>
    <t>Premature birth</t>
  </si>
  <si>
    <t>Premature</t>
  </si>
  <si>
    <t>Pathway</t>
  </si>
  <si>
    <t>Base year</t>
  </si>
  <si>
    <t>Male</t>
  </si>
  <si>
    <t>Check</t>
  </si>
  <si>
    <t>Males</t>
  </si>
  <si>
    <t>Prevalence of LBW</t>
  </si>
  <si>
    <t>Obstetrician subsequent visit</t>
  </si>
  <si>
    <t>Former smoker probability</t>
  </si>
  <si>
    <t>Current smoker probability</t>
  </si>
  <si>
    <t>Never smoker probability</t>
  </si>
  <si>
    <t>MALES</t>
  </si>
  <si>
    <t>FEMALES</t>
  </si>
  <si>
    <t>Per cycle</t>
  </si>
  <si>
    <t>Morbidity</t>
  </si>
  <si>
    <t>Incremental cost per life year gained</t>
  </si>
  <si>
    <t>All cause mortality</t>
  </si>
  <si>
    <t>Normal birth</t>
  </si>
  <si>
    <t>Quit rate</t>
  </si>
  <si>
    <t>Full gestation</t>
  </si>
  <si>
    <t>Healthcare cost</t>
  </si>
  <si>
    <t>Pathway no</t>
  </si>
  <si>
    <t>Low birth weight</t>
  </si>
  <si>
    <t>Number of stillbirths</t>
  </si>
  <si>
    <t>Weeks in year</t>
  </si>
  <si>
    <t>Comparator (usual care/control/background)</t>
  </si>
  <si>
    <t>All cause mortality NBW</t>
  </si>
  <si>
    <t>All cause mortality LBW</t>
  </si>
  <si>
    <t>MALES - DETERMINISTIC</t>
  </si>
  <si>
    <t>FEMALES - DETERMINISTIC</t>
  </si>
  <si>
    <t>MALES - PROBABILISTIC</t>
  </si>
  <si>
    <t>FEMALES PROBABILISTIC</t>
  </si>
  <si>
    <t>Parameter</t>
  </si>
  <si>
    <t>Sampled value</t>
  </si>
  <si>
    <t>P(abruption)</t>
  </si>
  <si>
    <t>P(previa)</t>
  </si>
  <si>
    <t>RR(Stillbirth)</t>
  </si>
  <si>
    <t>Pre-eclampsia (premature)</t>
  </si>
  <si>
    <t>Comparator</t>
  </si>
  <si>
    <t>PROBABILISTIC</t>
  </si>
  <si>
    <t>DETERMINISTIC</t>
  </si>
  <si>
    <t>α+β</t>
  </si>
  <si>
    <t>ln(mean)</t>
  </si>
  <si>
    <t>Childs age</t>
  </si>
  <si>
    <t>Current smoker</t>
  </si>
  <si>
    <t>Incremental cost per QALY gained</t>
  </si>
  <si>
    <t>Include uncertainty</t>
  </si>
  <si>
    <t>P(Ectopic preg)</t>
  </si>
  <si>
    <t>P(Miscarriage)</t>
  </si>
  <si>
    <t>P(No foetal loss)</t>
  </si>
  <si>
    <t>P(Pre-eclampsia)</t>
  </si>
  <si>
    <t>P(No complication)</t>
  </si>
  <si>
    <t>P(M_dead_ectopic)</t>
  </si>
  <si>
    <t>P(M_dead_miscarriage)</t>
  </si>
  <si>
    <t>P(M_dead_abrupt)</t>
  </si>
  <si>
    <t>P(M_dead_previa)</t>
  </si>
  <si>
    <t>P(M_dead_eclampsia)</t>
  </si>
  <si>
    <t>P(M_dead_no complication)</t>
  </si>
  <si>
    <t>Utility(Constant)</t>
  </si>
  <si>
    <t>Utility(Moderate smoker)</t>
  </si>
  <si>
    <t>Utility(Heavy smoker)</t>
  </si>
  <si>
    <t>Utility(Fomer smoker)</t>
  </si>
  <si>
    <t>Utility(female)</t>
  </si>
  <si>
    <t>Utility(25-34)</t>
  </si>
  <si>
    <t>Utility(35-44)</t>
  </si>
  <si>
    <t>Utility(45-54)</t>
  </si>
  <si>
    <t>Utility(55-64)</t>
  </si>
  <si>
    <t>Utility(65-74)</t>
  </si>
  <si>
    <t>Utility(75+)</t>
  </si>
  <si>
    <t>Utility(ectopic decrement)</t>
  </si>
  <si>
    <t>Utility(Loss of infant decrement)</t>
  </si>
  <si>
    <t>Cost(Ectopic &amp; Miscarriage)</t>
  </si>
  <si>
    <t>Cost(Abruption &amp; Previa)</t>
  </si>
  <si>
    <t>Cost(Pre-eclampsia)</t>
  </si>
  <si>
    <t>Cost(Premature birth)</t>
  </si>
  <si>
    <t>Cost(Community Midwife Visit)</t>
  </si>
  <si>
    <t>Cost(Obstetrician First Visit)</t>
  </si>
  <si>
    <t>Cost(Obstetrician subsequent visit)</t>
  </si>
  <si>
    <t>Cost(Standard Ultrasound scan)</t>
  </si>
  <si>
    <t>Cost(Specialised Ultrasound Scan)</t>
  </si>
  <si>
    <t>Cost(Normal birth)</t>
  </si>
  <si>
    <t>Cost(Emergency Caesarean Section)</t>
  </si>
  <si>
    <t>Cost(Caesarean Section)</t>
  </si>
  <si>
    <t>Cost(Routine Observation)</t>
  </si>
  <si>
    <t>Cost(Death)</t>
  </si>
  <si>
    <t>Cost(stillbirth)</t>
  </si>
  <si>
    <t>Cost(Neonatal care Premature)</t>
  </si>
  <si>
    <t>Cost(Neonatal care Full term)</t>
  </si>
  <si>
    <t>Include parameter</t>
  </si>
  <si>
    <t>P(Comparator_Quit_rate)</t>
  </si>
  <si>
    <t>P(Intervention_Quit_rate)</t>
  </si>
  <si>
    <t>Gamma</t>
  </si>
  <si>
    <t>Normal</t>
  </si>
  <si>
    <t>Utility(Light smoker)</t>
  </si>
  <si>
    <t>Probability(Male)</t>
  </si>
  <si>
    <t>Probability(Mother exposes offspring to smoke)</t>
  </si>
  <si>
    <t>Probability(Remain abstinent given quit during pregnancy)</t>
  </si>
  <si>
    <t>Probability(Remain abstinent for longer than 1 year after quitting during pregnancy)</t>
  </si>
  <si>
    <t>Probability(Quit attempt in 1st year after birth given smoker during pregnancy)</t>
  </si>
  <si>
    <t>Probability(Current smoker making a quit attempt during a given year (female))</t>
  </si>
  <si>
    <t>Probability(Current smoker making a quit attempt during a given year (male))</t>
  </si>
  <si>
    <t>Probability(Quitter remains abstinent more than one year but less than two)</t>
  </si>
  <si>
    <t>Probability(Quitter remains abstinent for more than two years)</t>
  </si>
  <si>
    <t>Probability(Restart smoking after being abstinent for at least two years)</t>
  </si>
  <si>
    <t>Probability(Restart smoking given quit during pregnancy)</t>
  </si>
  <si>
    <t>Probability(Restart smoking given being quit for at least one year after birth)</t>
  </si>
  <si>
    <t>Probability(No quit attempt in 1st year after birth)</t>
  </si>
  <si>
    <t>Probability(Current smoker does not make a quit attempt (female))</t>
  </si>
  <si>
    <t>Probability(Restart smoking after being abstinent for more than one year but less than two)</t>
  </si>
  <si>
    <t>Probability(Remain abstinent after being quit for longer than two years)</t>
  </si>
  <si>
    <t>Probability(Restart smoking after being abstinent for up to two years)</t>
  </si>
  <si>
    <t>Probability(Current smoker does not make a quit attempt (male))</t>
  </si>
  <si>
    <t>Utility(Coronary Heart Disease)</t>
  </si>
  <si>
    <t>Utility(Chronic Obstructive Pulmonary Disorder)</t>
  </si>
  <si>
    <t>Utility(Lung Cancer)</t>
  </si>
  <si>
    <t>Utility(Stroke)</t>
  </si>
  <si>
    <t>Cost(Coronary Heart Disease)</t>
  </si>
  <si>
    <t>Cost(Chronic Obstructive Pulmonary Disorder)</t>
  </si>
  <si>
    <t>Cost(Lung cancer)</t>
  </si>
  <si>
    <t>Cost(Stroke)</t>
  </si>
  <si>
    <t>Log Normal</t>
  </si>
  <si>
    <t>Prevalence(CHD_age_0-4_Female)</t>
  </si>
  <si>
    <t>Prevalence(CHD_age_5-9_Female)</t>
  </si>
  <si>
    <t>Prevalence(CHD_age_10-14_Female)</t>
  </si>
  <si>
    <t>Prevalence(CHD_age_15_Female)</t>
  </si>
  <si>
    <t>Prevalence(CHD_age_16-19_Female)</t>
  </si>
  <si>
    <t>Prevalence(CHD_age_20-24_Female)</t>
  </si>
  <si>
    <t>Prevalence(CHD_age_25-29_Female)</t>
  </si>
  <si>
    <t>Prevalence(CHD_age_30-34_Female)</t>
  </si>
  <si>
    <t>Prevalence(CHD_age_35-39_Female)</t>
  </si>
  <si>
    <t>Prevalence(CHD_age_40-44_Female)</t>
  </si>
  <si>
    <t>Prevalence(CHD_age_45-49_Female)</t>
  </si>
  <si>
    <t>Prevalence(CHD_age_50-54_Female)</t>
  </si>
  <si>
    <t>Prevalence(CHD_age_55-59_Female)</t>
  </si>
  <si>
    <t>Prevalence(CHD_age_60-64_Female)</t>
  </si>
  <si>
    <t>Prevalence(CHD_age_65-69_Female)</t>
  </si>
  <si>
    <t>Prevalence(CHD_age_70-74_Female)</t>
  </si>
  <si>
    <t>Prevalence(CHD_age_75-79_Female)</t>
  </si>
  <si>
    <t>Prevalence(CHD_age_80-84_Female)</t>
  </si>
  <si>
    <t>Prevalence(CHD_age_85+_Female)</t>
  </si>
  <si>
    <t>Prevalence(COPD_age_0-4_Female)</t>
  </si>
  <si>
    <t>Prevalence(COPD_age_5-9_Female)</t>
  </si>
  <si>
    <t>Prevalence(COPD_age_10-14_Female)</t>
  </si>
  <si>
    <t>Prevalence(COPD_age_15_Female)</t>
  </si>
  <si>
    <t>Prevalence(COPD_age_16-19_Female)</t>
  </si>
  <si>
    <t>Prevalence(COPD_age_20-24_Female)</t>
  </si>
  <si>
    <t>Prevalence(COPD_age_25-29_Female)</t>
  </si>
  <si>
    <t>Prevalence(COPD_age_30-34_Female)</t>
  </si>
  <si>
    <t>Prevalence(COPD_age_35-39_Female)</t>
  </si>
  <si>
    <t>Prevalence(COPD_age_40-44_Female)</t>
  </si>
  <si>
    <t>Prevalence(COPD_age_45-49_Female)</t>
  </si>
  <si>
    <t>Prevalence(COPD_age_50-54_Female)</t>
  </si>
  <si>
    <t>Prevalence(COPD_age_55-59_Female)</t>
  </si>
  <si>
    <t>Prevalence(COPD_age_60-64_Female)</t>
  </si>
  <si>
    <t>Prevalence(COPD_age_65-69_Female)</t>
  </si>
  <si>
    <t>Prevalence(COPD_age_70-74_Female)</t>
  </si>
  <si>
    <t>Prevalence(COPD_age_75-79_Female)</t>
  </si>
  <si>
    <t>Prevalence(COPD_age_80-84_Female)</t>
  </si>
  <si>
    <t>Prevalence(COPD_age_85+_Female)</t>
  </si>
  <si>
    <t>Prevalence(LC_age_0-4_Female)</t>
  </si>
  <si>
    <t>Prevalence(LC_age_5-9_Female)</t>
  </si>
  <si>
    <t>Prevalence(LC_age_10-14_Female)</t>
  </si>
  <si>
    <t>Prevalence(LC_age_15_Female)</t>
  </si>
  <si>
    <t>Prevalence(LC_age_16-19_Female)</t>
  </si>
  <si>
    <t>Prevalence(LC_age_20-24_Female)</t>
  </si>
  <si>
    <t>Prevalence(LC_age_25-29_Female)</t>
  </si>
  <si>
    <t>Prevalence(LC_age_30-34_Female)</t>
  </si>
  <si>
    <t>Prevalence(LC_age_35-39_Female)</t>
  </si>
  <si>
    <t>Prevalence(LC_age_40-44_Female)</t>
  </si>
  <si>
    <t>Prevalence(LC_age_45-49_Female)</t>
  </si>
  <si>
    <t>Prevalence(LC_age_50-54_Female)</t>
  </si>
  <si>
    <t>Prevalence(LC_age_55-59_Female)</t>
  </si>
  <si>
    <t>Prevalence(LC_age_60-64_Female)</t>
  </si>
  <si>
    <t>Prevalence(LC_age_65-69_Female)</t>
  </si>
  <si>
    <t>Prevalence(LC_age_70-74_Female)</t>
  </si>
  <si>
    <t>Prevalence(LC_age_75-79_Female)</t>
  </si>
  <si>
    <t>Prevalence(LC_age_80-84_Female)</t>
  </si>
  <si>
    <t>Prevalence(LC_age_85+_Female)</t>
  </si>
  <si>
    <t>Prevalence(Stroke_age_0-4_Female)</t>
  </si>
  <si>
    <t>Prevalence(Stroke_age_5-9_Female)</t>
  </si>
  <si>
    <t>Prevalence(Stroke_age_10-14_Female)</t>
  </si>
  <si>
    <t>Prevalence(Stroke_age_15_Female)</t>
  </si>
  <si>
    <t>Prevalence(Stroke_age_16-19_Female)</t>
  </si>
  <si>
    <t>Prevalence(Stroke_age_20-24_Female)</t>
  </si>
  <si>
    <t>Prevalence(Stroke_age_25-29_Female)</t>
  </si>
  <si>
    <t>Prevalence(Stroke_age_30-34_Female)</t>
  </si>
  <si>
    <t>Prevalence(Stroke_age_35-39_Female)</t>
  </si>
  <si>
    <t>Prevalence(Stroke_age_40-44_Female)</t>
  </si>
  <si>
    <t>Prevalence(Stroke_age_45-49_Female)</t>
  </si>
  <si>
    <t>Prevalence(Stroke_age_50-54_Female)</t>
  </si>
  <si>
    <t>Prevalence(Stroke_age_55-59_Female)</t>
  </si>
  <si>
    <t>Prevalence(Stroke_age_60-64_Female)</t>
  </si>
  <si>
    <t>Prevalence(Stroke_age_65-69_Female)</t>
  </si>
  <si>
    <t>Prevalence(Stroke_age_70-74_Female)</t>
  </si>
  <si>
    <t>Prevalence(Stroke_age_75-79_Female)</t>
  </si>
  <si>
    <t>Prevalence(Stroke_age_80-84_Female)</t>
  </si>
  <si>
    <t>Prevalence(Stroke_age_85+_Female)</t>
  </si>
  <si>
    <t>Prevalence(CHD_age_0-4_Male)</t>
  </si>
  <si>
    <t>Prevalence(CHD_age_5-9_Male)</t>
  </si>
  <si>
    <t>Prevalence(CHD_age_10-14_Male)</t>
  </si>
  <si>
    <t>Prevalence(CHD_age_15_Male)</t>
  </si>
  <si>
    <t>Prevalence(CHD_age_16-19_Male)</t>
  </si>
  <si>
    <t>Prevalence(CHD_age_20-24_Male)</t>
  </si>
  <si>
    <t>Prevalence(CHD_age_25-29_Male)</t>
  </si>
  <si>
    <t>Prevalence(CHD_age_30-34_Male)</t>
  </si>
  <si>
    <t>Prevalence(CHD_age_35-39_Male)</t>
  </si>
  <si>
    <t>Prevalence(CHD_age_40-44_Male)</t>
  </si>
  <si>
    <t>Prevalence(CHD_age_45-49_Male)</t>
  </si>
  <si>
    <t>Prevalence(CHD_age_50-54_Male)</t>
  </si>
  <si>
    <t>Prevalence(CHD_age_55-59_Male)</t>
  </si>
  <si>
    <t>Prevalence(CHD_age_60-64_Male)</t>
  </si>
  <si>
    <t>Prevalence(CHD_age_65-69_Male)</t>
  </si>
  <si>
    <t>Prevalence(CHD_age_70-74_Male)</t>
  </si>
  <si>
    <t>Prevalence(CHD_age_75-79_Male)</t>
  </si>
  <si>
    <t>Prevalence(CHD_age_80-84_Male)</t>
  </si>
  <si>
    <t>Prevalence(CHD_age_85+_Male)</t>
  </si>
  <si>
    <t>Prevalence(COPD_age_0-4_Male)</t>
  </si>
  <si>
    <t>Prevalence(COPD_age_5-9_Male)</t>
  </si>
  <si>
    <t>Prevalence(COPD_age_10-14_Male)</t>
  </si>
  <si>
    <t>Prevalence(COPD_age_15_Male)</t>
  </si>
  <si>
    <t>Prevalence(COPD_age_16-19_Male)</t>
  </si>
  <si>
    <t>Prevalence(COPD_age_20-24_Male)</t>
  </si>
  <si>
    <t>Prevalence(COPD_age_25-29_Male)</t>
  </si>
  <si>
    <t>Prevalence(COPD_age_30-34_Male)</t>
  </si>
  <si>
    <t>Prevalence(COPD_age_35-39_Male)</t>
  </si>
  <si>
    <t>Prevalence(COPD_age_40-44_Male)</t>
  </si>
  <si>
    <t>Prevalence(COPD_age_45-49_Male)</t>
  </si>
  <si>
    <t>Prevalence(COPD_age_50-54_Male)</t>
  </si>
  <si>
    <t>Prevalence(COPD_age_55-59_Male)</t>
  </si>
  <si>
    <t>Prevalence(COPD_age_60-64_Male)</t>
  </si>
  <si>
    <t>Prevalence(COPD_age_65-69_Male)</t>
  </si>
  <si>
    <t>Prevalence(COPD_age_70-74_Male)</t>
  </si>
  <si>
    <t>Prevalence(COPD_age_75-79_Male)</t>
  </si>
  <si>
    <t>Prevalence(COPD_age_80-84_Male)</t>
  </si>
  <si>
    <t>Prevalence(COPD_age_85+_Male)</t>
  </si>
  <si>
    <t>Prevalence(LC_age_0-4_Male)</t>
  </si>
  <si>
    <t>Prevalence(LC_age_5-9_Male)</t>
  </si>
  <si>
    <t>Prevalence(LC_age_10-14_Male)</t>
  </si>
  <si>
    <t>Prevalence(LC_age_15_Male)</t>
  </si>
  <si>
    <t>Prevalence(LC_age_16-19_Male)</t>
  </si>
  <si>
    <t>Prevalence(LC_age_20-24_Male)</t>
  </si>
  <si>
    <t>Prevalence(LC_age_25-29_Male)</t>
  </si>
  <si>
    <t>Prevalence(LC_age_30-34_Male)</t>
  </si>
  <si>
    <t>Prevalence(LC_age_35-39_Male)</t>
  </si>
  <si>
    <t>Prevalence(LC_age_40-44_Male)</t>
  </si>
  <si>
    <t>Prevalence(LC_age_45-49_Male)</t>
  </si>
  <si>
    <t>Prevalence(LC_age_50-54_Male)</t>
  </si>
  <si>
    <t>Prevalence(LC_age_55-59_Male)</t>
  </si>
  <si>
    <t>Prevalence(LC_age_60-64_Male)</t>
  </si>
  <si>
    <t>Prevalence(LC_age_65-69_Male)</t>
  </si>
  <si>
    <t>Prevalence(LC_age_70-74_Male)</t>
  </si>
  <si>
    <t>Prevalence(LC_age_75-79_Male)</t>
  </si>
  <si>
    <t>Prevalence(LC_age_80-84_Male)</t>
  </si>
  <si>
    <t>Prevalence(LC_age_85+_Male)</t>
  </si>
  <si>
    <t>Prevalence(Stroke_age_0-4_Male)</t>
  </si>
  <si>
    <t>Prevalence(Stroke_age_5-9_Male)</t>
  </si>
  <si>
    <t>Prevalence(Stroke_age_10-14_Male)</t>
  </si>
  <si>
    <t>Prevalence(Stroke_age_15_Male)</t>
  </si>
  <si>
    <t>Prevalence(Stroke_age_16-19_Male)</t>
  </si>
  <si>
    <t>Prevalence(Stroke_age_20-24_Male)</t>
  </si>
  <si>
    <t>Prevalence(Stroke_age_25-29_Male)</t>
  </si>
  <si>
    <t>Prevalence(Stroke_age_30-34_Male)</t>
  </si>
  <si>
    <t>Prevalence(Stroke_age_35-39_Male)</t>
  </si>
  <si>
    <t>Prevalence(Stroke_age_40-44_Male)</t>
  </si>
  <si>
    <t>Prevalence(Stroke_age_45-49_Male)</t>
  </si>
  <si>
    <t>Prevalence(Stroke_age_50-54_Male)</t>
  </si>
  <si>
    <t>Prevalence(Stroke_age_55-59_Male)</t>
  </si>
  <si>
    <t>Prevalence(Stroke_age_60-64_Male)</t>
  </si>
  <si>
    <t>Prevalence(Stroke_age_65-69_Male)</t>
  </si>
  <si>
    <t>Prevalence(Stroke_age_70-74_Male)</t>
  </si>
  <si>
    <t>Prevalence(Stroke_age_75-79_Male)</t>
  </si>
  <si>
    <t>Prevalence(Stroke_age_80-84_Male)</t>
  </si>
  <si>
    <t>Prevalence(Stroke_age_85+_Male)</t>
  </si>
  <si>
    <t>Column index</t>
  </si>
  <si>
    <t>Weighting for current smoker decrement</t>
  </si>
  <si>
    <t>Note: weighted value</t>
  </si>
  <si>
    <t>No Foetal loss</t>
  </si>
  <si>
    <t>P(DET)</t>
  </si>
  <si>
    <t>N.Mothers</t>
  </si>
  <si>
    <t>N.Infants</t>
  </si>
  <si>
    <t>Path number</t>
  </si>
  <si>
    <t>Mother cohort</t>
  </si>
  <si>
    <t>Infant cohort</t>
  </si>
  <si>
    <r>
      <t>Mother (DEAD</t>
    </r>
    <r>
      <rPr>
        <sz val="11"/>
        <color theme="1"/>
        <rFont val="Calibri"/>
        <family val="2"/>
      </rPr>
      <t>|ABRUPTION) - Infant(LBW|</t>
    </r>
    <r>
      <rPr>
        <sz val="11"/>
        <color theme="1"/>
        <rFont val="Calibri"/>
        <family val="2"/>
        <scheme val="minor"/>
      </rPr>
      <t>PREM)</t>
    </r>
  </si>
  <si>
    <r>
      <t>Mother (DEAD|ABRUPTION) - Infant(STILLBORN</t>
    </r>
    <r>
      <rPr>
        <sz val="11"/>
        <color theme="1"/>
        <rFont val="Calibri"/>
        <family val="2"/>
      </rPr>
      <t>|</t>
    </r>
    <r>
      <rPr>
        <sz val="11"/>
        <color theme="1"/>
        <rFont val="Calibri"/>
        <family val="2"/>
        <scheme val="minor"/>
      </rPr>
      <t>LBW|PREM)</t>
    </r>
  </si>
  <si>
    <t>Mother (DEAD|ABRUPTION) - Infant(LIVEBORN|LBW|PREM)</t>
  </si>
  <si>
    <r>
      <t>Mother(DEAD</t>
    </r>
    <r>
      <rPr>
        <sz val="11"/>
        <color theme="1"/>
        <rFont val="Calibri"/>
        <family val="2"/>
      </rPr>
      <t>|ECTOPIC) - Foetus lost</t>
    </r>
  </si>
  <si>
    <t>Mother(ALIVE|ECTOPIC) - Foetus lost</t>
  </si>
  <si>
    <t>Mother(DEAD|MISCARRIAGE) - Foetus lost</t>
  </si>
  <si>
    <t>Mother(ALIVE|MISCARRIAGE) - Foetus lost</t>
  </si>
  <si>
    <r>
      <t>Mother(DEAD</t>
    </r>
    <r>
      <rPr>
        <sz val="11"/>
        <color theme="1"/>
        <rFont val="Calibri"/>
        <family val="2"/>
      </rPr>
      <t>|ABRUPTION) - Infant(NBW|PREM)</t>
    </r>
  </si>
  <si>
    <r>
      <t>Mother (DEAD|ABRUPTION) - Infant(STILLBORN</t>
    </r>
    <r>
      <rPr>
        <sz val="11"/>
        <color theme="1"/>
        <rFont val="Calibri"/>
        <family val="2"/>
      </rPr>
      <t>|N</t>
    </r>
    <r>
      <rPr>
        <sz val="11"/>
        <color theme="1"/>
        <rFont val="Calibri"/>
        <family val="2"/>
        <scheme val="minor"/>
      </rPr>
      <t>BW|PREM)</t>
    </r>
  </si>
  <si>
    <t>Mother (DEAD|ABRUPTION) - Infant(LIVEBORN|NBW|PREM)</t>
  </si>
  <si>
    <r>
      <t>Mother (DEAD</t>
    </r>
    <r>
      <rPr>
        <sz val="11"/>
        <color theme="1"/>
        <rFont val="Calibri"/>
        <family val="2"/>
      </rPr>
      <t>|ABRUPTION) - Infant(LBW|FG</t>
    </r>
    <r>
      <rPr>
        <sz val="11"/>
        <color theme="1"/>
        <rFont val="Calibri"/>
        <family val="2"/>
        <scheme val="minor"/>
      </rPr>
      <t>)</t>
    </r>
  </si>
  <si>
    <r>
      <t>Mother(DEAD</t>
    </r>
    <r>
      <rPr>
        <sz val="11"/>
        <color theme="1"/>
        <rFont val="Calibri"/>
        <family val="2"/>
      </rPr>
      <t>|ABRUPTION) - Infant(NBW|FG)</t>
    </r>
  </si>
  <si>
    <r>
      <t>Mother (DEAD|ABRUPTION) - Infant(STILLBORN</t>
    </r>
    <r>
      <rPr>
        <sz val="11"/>
        <color theme="1"/>
        <rFont val="Calibri"/>
        <family val="2"/>
      </rPr>
      <t>|</t>
    </r>
    <r>
      <rPr>
        <sz val="11"/>
        <color theme="1"/>
        <rFont val="Calibri"/>
        <family val="2"/>
        <scheme val="minor"/>
      </rPr>
      <t>LBW|FG)</t>
    </r>
  </si>
  <si>
    <t>Mother (DEAD|ABRUPTION) - Infant(LIVEBORN|LBW|FG)</t>
  </si>
  <si>
    <r>
      <t>Mother (DEAD|ABRUPTION) - Infant(STILLBORN</t>
    </r>
    <r>
      <rPr>
        <sz val="11"/>
        <color theme="1"/>
        <rFont val="Calibri"/>
        <family val="2"/>
      </rPr>
      <t>|N</t>
    </r>
    <r>
      <rPr>
        <sz val="11"/>
        <color theme="1"/>
        <rFont val="Calibri"/>
        <family val="2"/>
        <scheme val="minor"/>
      </rPr>
      <t>BW|FG)</t>
    </r>
  </si>
  <si>
    <t>Mother (DEAD|ABRUPTION) - Infant(LIVEBORN|NBW|FG)</t>
  </si>
  <si>
    <r>
      <t>Mother (ALIVE</t>
    </r>
    <r>
      <rPr>
        <sz val="11"/>
        <color theme="1"/>
        <rFont val="Calibri"/>
        <family val="2"/>
      </rPr>
      <t>|ABRUPTION) - Infant(LBW|</t>
    </r>
    <r>
      <rPr>
        <sz val="11"/>
        <color theme="1"/>
        <rFont val="Calibri"/>
        <family val="2"/>
        <scheme val="minor"/>
      </rPr>
      <t>PREM)</t>
    </r>
  </si>
  <si>
    <r>
      <t>Mother(ALIVE</t>
    </r>
    <r>
      <rPr>
        <sz val="11"/>
        <color theme="1"/>
        <rFont val="Calibri"/>
        <family val="2"/>
      </rPr>
      <t>|ABRUPTION) - Infant(NBW|PREM)</t>
    </r>
  </si>
  <si>
    <r>
      <t>Mother (ALIVE|ABRUPTION) - Infant(STILLBORN</t>
    </r>
    <r>
      <rPr>
        <sz val="11"/>
        <color theme="1"/>
        <rFont val="Calibri"/>
        <family val="2"/>
      </rPr>
      <t>|</t>
    </r>
    <r>
      <rPr>
        <sz val="11"/>
        <color theme="1"/>
        <rFont val="Calibri"/>
        <family val="2"/>
        <scheme val="minor"/>
      </rPr>
      <t>LBW|PREM)</t>
    </r>
  </si>
  <si>
    <t>Mother (ALIVE|ABRUPTION) - Infant(LIVEBORN|LBW|PREM)</t>
  </si>
  <si>
    <r>
      <t>Mother (ALIVE|ABRUPTION) - Infant(STILLBORN</t>
    </r>
    <r>
      <rPr>
        <sz val="11"/>
        <color theme="1"/>
        <rFont val="Calibri"/>
        <family val="2"/>
      </rPr>
      <t>|N</t>
    </r>
    <r>
      <rPr>
        <sz val="11"/>
        <color theme="1"/>
        <rFont val="Calibri"/>
        <family val="2"/>
        <scheme val="minor"/>
      </rPr>
      <t>BW|PREM)</t>
    </r>
  </si>
  <si>
    <t>Mother (ALIVE|ABRUPTION) - Infant(LIVEBORN|NBW|PREM)</t>
  </si>
  <si>
    <r>
      <t>Mother(DEAD</t>
    </r>
    <r>
      <rPr>
        <sz val="11"/>
        <color theme="1"/>
        <rFont val="Calibri"/>
        <family val="2"/>
      </rPr>
      <t>|ABRUPTION) - Infant(PREM)</t>
    </r>
  </si>
  <si>
    <r>
      <t>Mother(ALIVE</t>
    </r>
    <r>
      <rPr>
        <sz val="11"/>
        <color theme="1"/>
        <rFont val="Calibri"/>
        <family val="2"/>
      </rPr>
      <t>|ABRUPTION) - Infant(PREM)</t>
    </r>
  </si>
  <si>
    <t>Mother(ABRUPTION) - Infant(PREMATURE)</t>
  </si>
  <si>
    <t>Mother(ABRUPTION) - Infant(FULL GESTATION)</t>
  </si>
  <si>
    <r>
      <t>Mother(DEAD</t>
    </r>
    <r>
      <rPr>
        <sz val="11"/>
        <color theme="1"/>
        <rFont val="Calibri"/>
        <family val="2"/>
      </rPr>
      <t>|ABRUPTION) - Infant(FG)</t>
    </r>
  </si>
  <si>
    <r>
      <t>Mother(ALIVE</t>
    </r>
    <r>
      <rPr>
        <sz val="11"/>
        <color theme="1"/>
        <rFont val="Calibri"/>
        <family val="2"/>
      </rPr>
      <t>|ABRUPTION) - Infant(FG)</t>
    </r>
  </si>
  <si>
    <r>
      <t>Mother (ALIVE</t>
    </r>
    <r>
      <rPr>
        <sz val="11"/>
        <color theme="1"/>
        <rFont val="Calibri"/>
        <family val="2"/>
      </rPr>
      <t>|ABRUPTION) - Infant(LBW|FG</t>
    </r>
    <r>
      <rPr>
        <sz val="11"/>
        <color theme="1"/>
        <rFont val="Calibri"/>
        <family val="2"/>
        <scheme val="minor"/>
      </rPr>
      <t>)</t>
    </r>
  </si>
  <si>
    <r>
      <t>Mother(ALIVE</t>
    </r>
    <r>
      <rPr>
        <sz val="11"/>
        <color theme="1"/>
        <rFont val="Calibri"/>
        <family val="2"/>
      </rPr>
      <t>|ABRUPTION) - Infant(NBW|FG)</t>
    </r>
  </si>
  <si>
    <r>
      <t>Mother (ALIVE|ABRUPTION) - Infant(STILLBORN</t>
    </r>
    <r>
      <rPr>
        <sz val="11"/>
        <color theme="1"/>
        <rFont val="Calibri"/>
        <family val="2"/>
      </rPr>
      <t>|</t>
    </r>
    <r>
      <rPr>
        <sz val="11"/>
        <color theme="1"/>
        <rFont val="Calibri"/>
        <family val="2"/>
        <scheme val="minor"/>
      </rPr>
      <t>LBW|FG)</t>
    </r>
  </si>
  <si>
    <t>Mother (ALIVE|ABRUPTION) - Infant(LIVEBORN|LBW|FG)</t>
  </si>
  <si>
    <r>
      <t>Mother (ALIVE|ABRUPTION) - Infant(STILLBORN</t>
    </r>
    <r>
      <rPr>
        <sz val="11"/>
        <color theme="1"/>
        <rFont val="Calibri"/>
        <family val="2"/>
      </rPr>
      <t>|N</t>
    </r>
    <r>
      <rPr>
        <sz val="11"/>
        <color theme="1"/>
        <rFont val="Calibri"/>
        <family val="2"/>
        <scheme val="minor"/>
      </rPr>
      <t>BW|FG)</t>
    </r>
  </si>
  <si>
    <t>Mother (ALIVE|ABRUPTION) - Infant(LIVEBORN|NBW|FG)</t>
  </si>
  <si>
    <t>Mother(ABRUPTION) - Infant()</t>
  </si>
  <si>
    <t>Mother(PREVIA) - Infant()</t>
  </si>
  <si>
    <t>Mother(PRE-ECLAMPSIA) - Infant()</t>
  </si>
  <si>
    <t>Mother(ECTOPIC) - Foetus lost</t>
  </si>
  <si>
    <t>Mother(MISCARRIAGE) - Foetus lost</t>
  </si>
  <si>
    <t>Mother(NO COMPLICATION) - Infant()</t>
  </si>
  <si>
    <t>Mother(NO FOETAL LOSS) - Infant(VIABLE)</t>
  </si>
  <si>
    <t>Mother(QUITS SMOKING DURING PREGNANCY - ABSTINENT AT DELIVERY) - Infant()</t>
  </si>
  <si>
    <t>Intervention Parameters</t>
  </si>
  <si>
    <t>Relative risks of Foetal Loss/Complicationg/Infant Outcomes associated with smoking</t>
  </si>
  <si>
    <t>95% Confidence interval</t>
  </si>
  <si>
    <t>ln(95% CI)</t>
  </si>
  <si>
    <t>RR(Ectopic pregnancy)</t>
  </si>
  <si>
    <t>RR(Miscarriage)</t>
  </si>
  <si>
    <t>RR(Placenta abruption)</t>
  </si>
  <si>
    <t>RR(Placenta previa)</t>
  </si>
  <si>
    <t>RR(Pre-eclampsia)</t>
  </si>
  <si>
    <t>RR(Premature birth)</t>
  </si>
  <si>
    <t>RR(Low birth weight)</t>
  </si>
  <si>
    <r>
      <t>P(Premature</t>
    </r>
    <r>
      <rPr>
        <sz val="11"/>
        <color theme="1"/>
        <rFont val="Calibri"/>
        <family val="2"/>
      </rPr>
      <t>|abruption)</t>
    </r>
  </si>
  <si>
    <r>
      <t>P(Premature</t>
    </r>
    <r>
      <rPr>
        <sz val="11"/>
        <color theme="1"/>
        <rFont val="Calibri"/>
        <family val="2"/>
      </rPr>
      <t>|previa)</t>
    </r>
  </si>
  <si>
    <r>
      <t>P(Premature</t>
    </r>
    <r>
      <rPr>
        <sz val="11"/>
        <color theme="1"/>
        <rFont val="Calibri"/>
        <family val="2"/>
      </rPr>
      <t>|pre-eclampsia)</t>
    </r>
  </si>
  <si>
    <r>
      <t>P(Premature</t>
    </r>
    <r>
      <rPr>
        <sz val="11"/>
        <color theme="1"/>
        <rFont val="Calibri"/>
        <family val="2"/>
      </rPr>
      <t>|no complication)</t>
    </r>
  </si>
  <si>
    <r>
      <t>P(Low birth weight</t>
    </r>
    <r>
      <rPr>
        <sz val="11"/>
        <color theme="1"/>
        <rFont val="Calibri"/>
        <family val="2"/>
      </rPr>
      <t>|premature</t>
    </r>
    <r>
      <rPr>
        <sz val="11"/>
        <color theme="1"/>
        <rFont val="Calibri"/>
        <family val="2"/>
        <scheme val="minor"/>
      </rPr>
      <t>)</t>
    </r>
  </si>
  <si>
    <r>
      <t>P(Low birth weight</t>
    </r>
    <r>
      <rPr>
        <sz val="11"/>
        <color theme="1"/>
        <rFont val="Calibri"/>
        <family val="2"/>
      </rPr>
      <t>|full gestation</t>
    </r>
    <r>
      <rPr>
        <sz val="11"/>
        <color theme="1"/>
        <rFont val="Calibri"/>
        <family val="2"/>
        <scheme val="minor"/>
      </rPr>
      <t>)</t>
    </r>
  </si>
  <si>
    <r>
      <t>P(Stillborn</t>
    </r>
    <r>
      <rPr>
        <sz val="11"/>
        <color theme="1"/>
        <rFont val="Calibri"/>
        <family val="2"/>
      </rPr>
      <t>|Low birth weight|premature)</t>
    </r>
  </si>
  <si>
    <r>
      <t>P(Stillborn</t>
    </r>
    <r>
      <rPr>
        <sz val="11"/>
        <color theme="1"/>
        <rFont val="Calibri"/>
        <family val="2"/>
      </rPr>
      <t>|Normal birth weight|premature)</t>
    </r>
  </si>
  <si>
    <r>
      <t>P(Stillborn</t>
    </r>
    <r>
      <rPr>
        <sz val="11"/>
        <color theme="1"/>
        <rFont val="Calibri"/>
        <family val="2"/>
      </rPr>
      <t>|Low birth weight|full gestation)</t>
    </r>
  </si>
  <si>
    <r>
      <t>P(Stillborn</t>
    </r>
    <r>
      <rPr>
        <sz val="11"/>
        <color theme="1"/>
        <rFont val="Calibri"/>
        <family val="2"/>
      </rPr>
      <t>|Normal birth weight|full gestation)</t>
    </r>
  </si>
  <si>
    <t>Within-pregnancy maternal healthcare costs</t>
  </si>
  <si>
    <t>Within-pregnancy infant healthcare costs</t>
  </si>
  <si>
    <t>Probability of a maternal within-pregnancy complication amongst never smokers (MWPC)</t>
  </si>
  <si>
    <t>Probability of a premature birth by complication amongst never smokers (MWPC)</t>
  </si>
  <si>
    <t>Probability of Low birth weight by gestation (MWPC)</t>
  </si>
  <si>
    <t>Probability of stillbirth by birthweight and gestation (MWPC)</t>
  </si>
  <si>
    <t>Probability of maternal death during pregnancy (MWPC)</t>
  </si>
  <si>
    <t>Lifetime smoking behaviour probabilities (Both MLC and OAC)</t>
  </si>
  <si>
    <t>Probability of being a male and probability of being exposed to smoking (OCC)</t>
  </si>
  <si>
    <t>Probability of picking up smoking (OAC)</t>
  </si>
  <si>
    <t>Prevalence of Long Term Chronic Diseases amongst never smokers (by age and sex) - (MLC and OAC)</t>
  </si>
  <si>
    <t>Relative risks of increased mortality from smoking (MLC and OAC)</t>
  </si>
  <si>
    <t>Relative risks of Long Term Chronic Diseases for Former and Current Smokers</t>
  </si>
  <si>
    <t>Relative risks of mortality associated with Low Birth Weight by age</t>
  </si>
  <si>
    <t>Relative risks of infant picking up smoking if mother is a current smoker</t>
  </si>
  <si>
    <t>Maheswaran Utility Tariff</t>
  </si>
  <si>
    <t>Within-pregnancy utility decrements</t>
  </si>
  <si>
    <t>Long Term Chronic Diseases Utilities</t>
  </si>
  <si>
    <t>Childhood utilities</t>
  </si>
  <si>
    <t>Intervention costs</t>
  </si>
  <si>
    <t>Long Term Disease Healthcare Costs</t>
  </si>
  <si>
    <t>Childhood Disease Costs</t>
  </si>
  <si>
    <t>Placenta abruption</t>
  </si>
  <si>
    <t>Placenta Previa</t>
  </si>
  <si>
    <t>Relative Risks - Maternal Within-pregnancy conditions</t>
  </si>
  <si>
    <t>Relative Risks - Infant birth outcomes</t>
  </si>
  <si>
    <t>Unadjusted Beta values for Never Smokers</t>
  </si>
  <si>
    <t>Adjusted Beta values for Never Smokers</t>
  </si>
  <si>
    <t>Values for Current Smokers</t>
  </si>
  <si>
    <t>Probability of Foetal Loss</t>
  </si>
  <si>
    <t>Probability of Maternal Complication</t>
  </si>
  <si>
    <t>Probability of premature birth conditional of within-pregnancy complication</t>
  </si>
  <si>
    <t>Probability of low birth weight conditional on gestation</t>
  </si>
  <si>
    <t>Gestation</t>
  </si>
  <si>
    <t>Probability of stillbirth conditional on birth weight and gestation</t>
  </si>
  <si>
    <t>Birth weight and gestation</t>
  </si>
  <si>
    <r>
      <t>Low birth weight</t>
    </r>
    <r>
      <rPr>
        <sz val="11"/>
        <color theme="1"/>
        <rFont val="Calibri"/>
        <family val="2"/>
      </rPr>
      <t>|Premature</t>
    </r>
  </si>
  <si>
    <r>
      <t>Normal birth weight</t>
    </r>
    <r>
      <rPr>
        <sz val="11"/>
        <color theme="1"/>
        <rFont val="Calibri"/>
        <family val="2"/>
      </rPr>
      <t>|Premature</t>
    </r>
  </si>
  <si>
    <r>
      <t>Low birth weight</t>
    </r>
    <r>
      <rPr>
        <sz val="11"/>
        <color theme="1"/>
        <rFont val="Calibri"/>
        <family val="2"/>
      </rPr>
      <t>|Full gestation</t>
    </r>
  </si>
  <si>
    <r>
      <t>Normal birth weight</t>
    </r>
    <r>
      <rPr>
        <sz val="11"/>
        <color theme="1"/>
        <rFont val="Calibri"/>
        <family val="2"/>
      </rPr>
      <t>|Full gestation</t>
    </r>
  </si>
  <si>
    <t>Mother(PREVIA) - Infant(PREMATURE)</t>
  </si>
  <si>
    <t>Mother(PREVIA) - Infant(FULL GESTATION)</t>
  </si>
  <si>
    <r>
      <t>Mother(DEAD</t>
    </r>
    <r>
      <rPr>
        <sz val="11"/>
        <color theme="1"/>
        <rFont val="Calibri"/>
        <family val="2"/>
      </rPr>
      <t>|PREVIA) - Infant(PREM)</t>
    </r>
  </si>
  <si>
    <r>
      <t>Mother(ALIVE</t>
    </r>
    <r>
      <rPr>
        <sz val="11"/>
        <color theme="1"/>
        <rFont val="Calibri"/>
        <family val="2"/>
      </rPr>
      <t>|PREVIA) - Infant(PREM)</t>
    </r>
  </si>
  <si>
    <r>
      <t>Mother (DEAD</t>
    </r>
    <r>
      <rPr>
        <sz val="11"/>
        <color theme="1"/>
        <rFont val="Calibri"/>
        <family val="2"/>
      </rPr>
      <t>|PREVIA) - Infant(LBW|</t>
    </r>
    <r>
      <rPr>
        <sz val="11"/>
        <color theme="1"/>
        <rFont val="Calibri"/>
        <family val="2"/>
        <scheme val="minor"/>
      </rPr>
      <t>PREM)</t>
    </r>
  </si>
  <si>
    <r>
      <t>Mother(DEAD</t>
    </r>
    <r>
      <rPr>
        <sz val="11"/>
        <color theme="1"/>
        <rFont val="Calibri"/>
        <family val="2"/>
      </rPr>
      <t>|PREVIA) - Infant(NBW|PREM)</t>
    </r>
  </si>
  <si>
    <r>
      <t>Mother (ALIVE</t>
    </r>
    <r>
      <rPr>
        <sz val="11"/>
        <color theme="1"/>
        <rFont val="Calibri"/>
        <family val="2"/>
      </rPr>
      <t>|PREVIA) - Infant(LBW|</t>
    </r>
    <r>
      <rPr>
        <sz val="11"/>
        <color theme="1"/>
        <rFont val="Calibri"/>
        <family val="2"/>
        <scheme val="minor"/>
      </rPr>
      <t>PREM)</t>
    </r>
  </si>
  <si>
    <r>
      <t>Mother(ALIVE</t>
    </r>
    <r>
      <rPr>
        <sz val="11"/>
        <color theme="1"/>
        <rFont val="Calibri"/>
        <family val="2"/>
      </rPr>
      <t>|PREVIA) - Infant(NBW|PREM)</t>
    </r>
  </si>
  <si>
    <r>
      <t>Mother (DEAD|PREVIA) - Infant(STILLBORN</t>
    </r>
    <r>
      <rPr>
        <sz val="11"/>
        <color theme="1"/>
        <rFont val="Calibri"/>
        <family val="2"/>
      </rPr>
      <t>|</t>
    </r>
    <r>
      <rPr>
        <sz val="11"/>
        <color theme="1"/>
        <rFont val="Calibri"/>
        <family val="2"/>
        <scheme val="minor"/>
      </rPr>
      <t>LBW|PREM)</t>
    </r>
  </si>
  <si>
    <t>Mother (DEAD|PREVIA) - Infant(LIVEBORN|LBW|PREM)</t>
  </si>
  <si>
    <r>
      <t>Mother (DEAD|PREVIA) - Infant(STILLBORN</t>
    </r>
    <r>
      <rPr>
        <sz val="11"/>
        <color theme="1"/>
        <rFont val="Calibri"/>
        <family val="2"/>
      </rPr>
      <t>|N</t>
    </r>
    <r>
      <rPr>
        <sz val="11"/>
        <color theme="1"/>
        <rFont val="Calibri"/>
        <family val="2"/>
        <scheme val="minor"/>
      </rPr>
      <t>BW|PREM)</t>
    </r>
  </si>
  <si>
    <t>Mother (DEAD|PREVIA) - Infant(LIVEBORN|NBW|PREM)</t>
  </si>
  <si>
    <r>
      <t>Mother (ALIVE|PREVIA) - Infant(STILLBORN</t>
    </r>
    <r>
      <rPr>
        <sz val="11"/>
        <color theme="1"/>
        <rFont val="Calibri"/>
        <family val="2"/>
      </rPr>
      <t>|</t>
    </r>
    <r>
      <rPr>
        <sz val="11"/>
        <color theme="1"/>
        <rFont val="Calibri"/>
        <family val="2"/>
        <scheme val="minor"/>
      </rPr>
      <t>LBW|PREM)</t>
    </r>
  </si>
  <si>
    <t>Mother (ALIVE|PREVIA) - Infant(LIVEBORN|LBW|PREM)</t>
  </si>
  <si>
    <r>
      <t>Mother (ALIVE|PREVIA) - Infant(STILLBORN</t>
    </r>
    <r>
      <rPr>
        <sz val="11"/>
        <color theme="1"/>
        <rFont val="Calibri"/>
        <family val="2"/>
      </rPr>
      <t>|N</t>
    </r>
    <r>
      <rPr>
        <sz val="11"/>
        <color theme="1"/>
        <rFont val="Calibri"/>
        <family val="2"/>
        <scheme val="minor"/>
      </rPr>
      <t>BW|PREM)</t>
    </r>
  </si>
  <si>
    <t>Mother (ALIVE|PREVIA) - Infant(LIVEBORN|NBW|PREM)</t>
  </si>
  <si>
    <r>
      <t>Mother (DEAD|PREVIA) - Infant(STILLBORN</t>
    </r>
    <r>
      <rPr>
        <sz val="11"/>
        <color theme="1"/>
        <rFont val="Calibri"/>
        <family val="2"/>
      </rPr>
      <t>|</t>
    </r>
    <r>
      <rPr>
        <sz val="11"/>
        <color theme="1"/>
        <rFont val="Calibri"/>
        <family val="2"/>
        <scheme val="minor"/>
      </rPr>
      <t>LBW|FG)</t>
    </r>
  </si>
  <si>
    <t>Mother (DEAD|PREVIA) - Infant(LIVEBORN|LBW|FG)</t>
  </si>
  <si>
    <r>
      <t>Mother (DEAD|PREVIA) - Infant(STILLBORN</t>
    </r>
    <r>
      <rPr>
        <sz val="11"/>
        <color theme="1"/>
        <rFont val="Calibri"/>
        <family val="2"/>
      </rPr>
      <t>|N</t>
    </r>
    <r>
      <rPr>
        <sz val="11"/>
        <color theme="1"/>
        <rFont val="Calibri"/>
        <family val="2"/>
        <scheme val="minor"/>
      </rPr>
      <t>BW|FG)</t>
    </r>
  </si>
  <si>
    <t>Mother (DEAD|PREVIA) - Infant(LIVEBORN|NBW|FG)</t>
  </si>
  <si>
    <r>
      <t>Mother (ALIVE|PREVIA) - Infant(STILLBORN</t>
    </r>
    <r>
      <rPr>
        <sz val="11"/>
        <color theme="1"/>
        <rFont val="Calibri"/>
        <family val="2"/>
      </rPr>
      <t>|</t>
    </r>
    <r>
      <rPr>
        <sz val="11"/>
        <color theme="1"/>
        <rFont val="Calibri"/>
        <family val="2"/>
        <scheme val="minor"/>
      </rPr>
      <t>LBW|FG)</t>
    </r>
  </si>
  <si>
    <t>Mother (ALIVE|PREVIA) - Infant(LIVEBORN|LBW|FG)</t>
  </si>
  <si>
    <r>
      <t>Mother (ALIVE|PREVIA) - Infant(STILLBORN</t>
    </r>
    <r>
      <rPr>
        <sz val="11"/>
        <color theme="1"/>
        <rFont val="Calibri"/>
        <family val="2"/>
      </rPr>
      <t>|N</t>
    </r>
    <r>
      <rPr>
        <sz val="11"/>
        <color theme="1"/>
        <rFont val="Calibri"/>
        <family val="2"/>
        <scheme val="minor"/>
      </rPr>
      <t>BW|FG)</t>
    </r>
  </si>
  <si>
    <t>Mother (ALIVE|PREVIA) - Infant(LIVEBORN|NBW|FG)</t>
  </si>
  <si>
    <r>
      <t>Mother (DEAD</t>
    </r>
    <r>
      <rPr>
        <sz val="11"/>
        <color theme="1"/>
        <rFont val="Calibri"/>
        <family val="2"/>
      </rPr>
      <t>|PREVIA) - Infant(LBW|FG</t>
    </r>
    <r>
      <rPr>
        <sz val="11"/>
        <color theme="1"/>
        <rFont val="Calibri"/>
        <family val="2"/>
        <scheme val="minor"/>
      </rPr>
      <t>)</t>
    </r>
  </si>
  <si>
    <r>
      <t>Mother(DEAD</t>
    </r>
    <r>
      <rPr>
        <sz val="11"/>
        <color theme="1"/>
        <rFont val="Calibri"/>
        <family val="2"/>
      </rPr>
      <t>|PREVIA) - Infant(NBW|FG)</t>
    </r>
  </si>
  <si>
    <r>
      <t>Mother (ALIVE</t>
    </r>
    <r>
      <rPr>
        <sz val="11"/>
        <color theme="1"/>
        <rFont val="Calibri"/>
        <family val="2"/>
      </rPr>
      <t>|PREVIA) - Infant(LBW|FG</t>
    </r>
    <r>
      <rPr>
        <sz val="11"/>
        <color theme="1"/>
        <rFont val="Calibri"/>
        <family val="2"/>
        <scheme val="minor"/>
      </rPr>
      <t>)</t>
    </r>
  </si>
  <si>
    <r>
      <t>Mother(ALIVE</t>
    </r>
    <r>
      <rPr>
        <sz val="11"/>
        <color theme="1"/>
        <rFont val="Calibri"/>
        <family val="2"/>
      </rPr>
      <t>|PREVIA) - Infant(NBW|FG)</t>
    </r>
  </si>
  <si>
    <r>
      <t>Mother(DEAD</t>
    </r>
    <r>
      <rPr>
        <sz val="11"/>
        <color theme="1"/>
        <rFont val="Calibri"/>
        <family val="2"/>
      </rPr>
      <t>|PREVIA) - Infant(FG)</t>
    </r>
  </si>
  <si>
    <r>
      <t>Mother(ALIVE</t>
    </r>
    <r>
      <rPr>
        <sz val="11"/>
        <color theme="1"/>
        <rFont val="Calibri"/>
        <family val="2"/>
      </rPr>
      <t>|PREVIA) - Infant(FG)</t>
    </r>
  </si>
  <si>
    <t>Mother(PRE-ECLAMPSIA) - Infant(PREMATURE)</t>
  </si>
  <si>
    <t>Mother(PRE-ECLAMPSIA) - Infant(FULL GESTATION)</t>
  </si>
  <si>
    <r>
      <t>Mother(DEAD</t>
    </r>
    <r>
      <rPr>
        <sz val="11"/>
        <color theme="1"/>
        <rFont val="Calibri"/>
        <family val="2"/>
      </rPr>
      <t>|PRE-ECLAMPSIA) - Infant(PREM)</t>
    </r>
  </si>
  <si>
    <r>
      <t>Mother(ALIVE</t>
    </r>
    <r>
      <rPr>
        <sz val="11"/>
        <color theme="1"/>
        <rFont val="Calibri"/>
        <family val="2"/>
      </rPr>
      <t>|PRE-ECLAMPSIA) - Infant(PREM)</t>
    </r>
  </si>
  <si>
    <r>
      <t>Mother(DEAD</t>
    </r>
    <r>
      <rPr>
        <sz val="11"/>
        <color theme="1"/>
        <rFont val="Calibri"/>
        <family val="2"/>
      </rPr>
      <t>|PRE-ECLAMPSIA) - Infant(FG)</t>
    </r>
  </si>
  <si>
    <r>
      <t>Mother(ALIVE</t>
    </r>
    <r>
      <rPr>
        <sz val="11"/>
        <color theme="1"/>
        <rFont val="Calibri"/>
        <family val="2"/>
      </rPr>
      <t>|PRE-ECLAMPSIA) - Infant(FG)</t>
    </r>
  </si>
  <si>
    <r>
      <t>Mother (DEAD</t>
    </r>
    <r>
      <rPr>
        <sz val="11"/>
        <color theme="1"/>
        <rFont val="Calibri"/>
        <family val="2"/>
      </rPr>
      <t>|PRE-ECLAMPSIA) - Infant(LBW|</t>
    </r>
    <r>
      <rPr>
        <sz val="11"/>
        <color theme="1"/>
        <rFont val="Calibri"/>
        <family val="2"/>
        <scheme val="minor"/>
      </rPr>
      <t>PREM)</t>
    </r>
  </si>
  <si>
    <r>
      <t>Mother(DEAD</t>
    </r>
    <r>
      <rPr>
        <sz val="11"/>
        <color theme="1"/>
        <rFont val="Calibri"/>
        <family val="2"/>
      </rPr>
      <t>|PRE-ECLAMPSIA) - Infant(NBW|PREM)</t>
    </r>
  </si>
  <si>
    <r>
      <t>Mother (ALIVE</t>
    </r>
    <r>
      <rPr>
        <sz val="11"/>
        <color theme="1"/>
        <rFont val="Calibri"/>
        <family val="2"/>
      </rPr>
      <t>|PRE-ECLAMPSIA) - Infant(LBW|</t>
    </r>
    <r>
      <rPr>
        <sz val="11"/>
        <color theme="1"/>
        <rFont val="Calibri"/>
        <family val="2"/>
        <scheme val="minor"/>
      </rPr>
      <t>PREM)</t>
    </r>
  </si>
  <si>
    <r>
      <t>Mother(ALIVE</t>
    </r>
    <r>
      <rPr>
        <sz val="11"/>
        <color theme="1"/>
        <rFont val="Calibri"/>
        <family val="2"/>
      </rPr>
      <t>|PRE-ECLAMPSIA) - Infant(NBW|PREM)</t>
    </r>
  </si>
  <si>
    <r>
      <t>Mother (DEAD</t>
    </r>
    <r>
      <rPr>
        <sz val="11"/>
        <color theme="1"/>
        <rFont val="Calibri"/>
        <family val="2"/>
      </rPr>
      <t>|PRE-ECLAMPSIA) - Infant(LBW|FG</t>
    </r>
    <r>
      <rPr>
        <sz val="11"/>
        <color theme="1"/>
        <rFont val="Calibri"/>
        <family val="2"/>
        <scheme val="minor"/>
      </rPr>
      <t>)</t>
    </r>
  </si>
  <si>
    <r>
      <t>Mother(DEAD</t>
    </r>
    <r>
      <rPr>
        <sz val="11"/>
        <color theme="1"/>
        <rFont val="Calibri"/>
        <family val="2"/>
      </rPr>
      <t>|PRE-ECLAMPSIA) - Infant(NBW|FG)</t>
    </r>
  </si>
  <si>
    <r>
      <t>Mother (ALIVE</t>
    </r>
    <r>
      <rPr>
        <sz val="11"/>
        <color theme="1"/>
        <rFont val="Calibri"/>
        <family val="2"/>
      </rPr>
      <t>|PRE-ECLAMPSIA) - Infant(LBW|FG</t>
    </r>
    <r>
      <rPr>
        <sz val="11"/>
        <color theme="1"/>
        <rFont val="Calibri"/>
        <family val="2"/>
        <scheme val="minor"/>
      </rPr>
      <t>)</t>
    </r>
  </si>
  <si>
    <r>
      <t>Mother(ALIVE</t>
    </r>
    <r>
      <rPr>
        <sz val="11"/>
        <color theme="1"/>
        <rFont val="Calibri"/>
        <family val="2"/>
      </rPr>
      <t>|PRE-ECLAMPSIA) - Infant(NBW|FG)</t>
    </r>
  </si>
  <si>
    <r>
      <t>Mother (DEAD|PRE-ECLAMPSIA) - Infant(STILLBORN</t>
    </r>
    <r>
      <rPr>
        <sz val="11"/>
        <color theme="1"/>
        <rFont val="Calibri"/>
        <family val="2"/>
      </rPr>
      <t>|</t>
    </r>
    <r>
      <rPr>
        <sz val="11"/>
        <color theme="1"/>
        <rFont val="Calibri"/>
        <family val="2"/>
        <scheme val="minor"/>
      </rPr>
      <t>LBW|PREM)</t>
    </r>
  </si>
  <si>
    <t>Mother (DEAD|PRE-ECLAMPSIA) - Infant(LIVEBORN|LBW|PREM)</t>
  </si>
  <si>
    <r>
      <t>Mother (DEAD|PRE-ECLAMPSIA) - Infant(STILLBORN</t>
    </r>
    <r>
      <rPr>
        <sz val="11"/>
        <color theme="1"/>
        <rFont val="Calibri"/>
        <family val="2"/>
      </rPr>
      <t>|N</t>
    </r>
    <r>
      <rPr>
        <sz val="11"/>
        <color theme="1"/>
        <rFont val="Calibri"/>
        <family val="2"/>
        <scheme val="minor"/>
      </rPr>
      <t>BW|PREM)</t>
    </r>
  </si>
  <si>
    <t>Mother (DEAD|PRE-ECLAMPSIA) - Infant(LIVEBORN|NBW|PREM)</t>
  </si>
  <si>
    <r>
      <t>Mother (ALIVE|PRE-ECLAMPSIA) - Infant(STILLBORN</t>
    </r>
    <r>
      <rPr>
        <sz val="11"/>
        <color theme="1"/>
        <rFont val="Calibri"/>
        <family val="2"/>
      </rPr>
      <t>|</t>
    </r>
    <r>
      <rPr>
        <sz val="11"/>
        <color theme="1"/>
        <rFont val="Calibri"/>
        <family val="2"/>
        <scheme val="minor"/>
      </rPr>
      <t>LBW|PREM)</t>
    </r>
  </si>
  <si>
    <t>Mother (ALIVE|PRE-ECLAMPSIA) - Infant(LIVEBORN|LBW|PREM)</t>
  </si>
  <si>
    <r>
      <t>Mother (ALIVE|PRE-ECLAMPSIA) - Infant(STILLBORN</t>
    </r>
    <r>
      <rPr>
        <sz val="11"/>
        <color theme="1"/>
        <rFont val="Calibri"/>
        <family val="2"/>
      </rPr>
      <t>|N</t>
    </r>
    <r>
      <rPr>
        <sz val="11"/>
        <color theme="1"/>
        <rFont val="Calibri"/>
        <family val="2"/>
        <scheme val="minor"/>
      </rPr>
      <t>BW|PREM)</t>
    </r>
  </si>
  <si>
    <t>Mother (ALIVE|PRE-ECLAMPSIA) - Infant(LIVEBORN|NBW|PREM)</t>
  </si>
  <si>
    <r>
      <t>Mother (DEAD|PRE-ECLAMPSIA) - Infant(STILLBORN</t>
    </r>
    <r>
      <rPr>
        <sz val="11"/>
        <color theme="1"/>
        <rFont val="Calibri"/>
        <family val="2"/>
      </rPr>
      <t>|</t>
    </r>
    <r>
      <rPr>
        <sz val="11"/>
        <color theme="1"/>
        <rFont val="Calibri"/>
        <family val="2"/>
        <scheme val="minor"/>
      </rPr>
      <t>LBW|FG)</t>
    </r>
  </si>
  <si>
    <t>Mother (DEAD|PRE-ECLAMPSIA) - Infant(LIVEBORN|LBW|FG)</t>
  </si>
  <si>
    <r>
      <t>Mother (DEAD|PRE-ECLAMPSIA) - Infant(STILLBORN</t>
    </r>
    <r>
      <rPr>
        <sz val="11"/>
        <color theme="1"/>
        <rFont val="Calibri"/>
        <family val="2"/>
      </rPr>
      <t>|N</t>
    </r>
    <r>
      <rPr>
        <sz val="11"/>
        <color theme="1"/>
        <rFont val="Calibri"/>
        <family val="2"/>
        <scheme val="minor"/>
      </rPr>
      <t>BW|FG)</t>
    </r>
  </si>
  <si>
    <t>Mother (DEAD|PRE-ECLAMPSIA) - Infant(LIVEBORN|NBW|FG)</t>
  </si>
  <si>
    <r>
      <t>Mother (ALIVE|PRE-ECLAMPSIA) - Infant(STILLBORN</t>
    </r>
    <r>
      <rPr>
        <sz val="11"/>
        <color theme="1"/>
        <rFont val="Calibri"/>
        <family val="2"/>
      </rPr>
      <t>|</t>
    </r>
    <r>
      <rPr>
        <sz val="11"/>
        <color theme="1"/>
        <rFont val="Calibri"/>
        <family val="2"/>
        <scheme val="minor"/>
      </rPr>
      <t>LBW|FG)</t>
    </r>
  </si>
  <si>
    <t>Mother (ALIVE|PRE-ECLAMPSIA) - Infant(LIVEBORN|LBW|FG)</t>
  </si>
  <si>
    <r>
      <t>Mother (ALIVE|PRE-ECLAMPSIA) - Infant(STILLBORN</t>
    </r>
    <r>
      <rPr>
        <sz val="11"/>
        <color theme="1"/>
        <rFont val="Calibri"/>
        <family val="2"/>
      </rPr>
      <t>|N</t>
    </r>
    <r>
      <rPr>
        <sz val="11"/>
        <color theme="1"/>
        <rFont val="Calibri"/>
        <family val="2"/>
        <scheme val="minor"/>
      </rPr>
      <t>BW|FG)</t>
    </r>
  </si>
  <si>
    <t>Mother (ALIVE|PRE-ECLAMPSIA) - Infant(LIVEBORN|NBW|FG)</t>
  </si>
  <si>
    <t>Mother(NO COMPLICATION) - Infant(PREMATURE)</t>
  </si>
  <si>
    <t>Mother(NO COMPLICATION) - Infant(FULL GESTATION)</t>
  </si>
  <si>
    <r>
      <t>Mother(DEAD</t>
    </r>
    <r>
      <rPr>
        <sz val="11"/>
        <color theme="1"/>
        <rFont val="Calibri"/>
        <family val="2"/>
      </rPr>
      <t>|NO COMPLICATION) - Infant(PREM)</t>
    </r>
  </si>
  <si>
    <r>
      <t>Mother(ALIVE</t>
    </r>
    <r>
      <rPr>
        <sz val="11"/>
        <color theme="1"/>
        <rFont val="Calibri"/>
        <family val="2"/>
      </rPr>
      <t>|NO COMPLICATION) - Infant(PREM)</t>
    </r>
  </si>
  <si>
    <r>
      <t>Mother(DEAD</t>
    </r>
    <r>
      <rPr>
        <sz val="11"/>
        <color theme="1"/>
        <rFont val="Calibri"/>
        <family val="2"/>
      </rPr>
      <t>|NO COMPLICATION) - Infant(FG)</t>
    </r>
  </si>
  <si>
    <r>
      <t>Mother(ALIVE</t>
    </r>
    <r>
      <rPr>
        <sz val="11"/>
        <color theme="1"/>
        <rFont val="Calibri"/>
        <family val="2"/>
      </rPr>
      <t>|NO COMPLICATION) - Infant(FG)</t>
    </r>
  </si>
  <si>
    <r>
      <t>Mother (DEAD</t>
    </r>
    <r>
      <rPr>
        <sz val="11"/>
        <color theme="1"/>
        <rFont val="Calibri"/>
        <family val="2"/>
      </rPr>
      <t>|NO COMPLICATION) - Infant(LBW|</t>
    </r>
    <r>
      <rPr>
        <sz val="11"/>
        <color theme="1"/>
        <rFont val="Calibri"/>
        <family val="2"/>
        <scheme val="minor"/>
      </rPr>
      <t>PREM)</t>
    </r>
  </si>
  <si>
    <r>
      <t>Mother(DEAD</t>
    </r>
    <r>
      <rPr>
        <sz val="11"/>
        <color theme="1"/>
        <rFont val="Calibri"/>
        <family val="2"/>
      </rPr>
      <t>|NO COMPLICATION) - Infant(NBW|PREM)</t>
    </r>
  </si>
  <si>
    <r>
      <t>Mother (ALIVE</t>
    </r>
    <r>
      <rPr>
        <sz val="11"/>
        <color theme="1"/>
        <rFont val="Calibri"/>
        <family val="2"/>
      </rPr>
      <t>|NO COMPLICATION) - Infant(LBW|</t>
    </r>
    <r>
      <rPr>
        <sz val="11"/>
        <color theme="1"/>
        <rFont val="Calibri"/>
        <family val="2"/>
        <scheme val="minor"/>
      </rPr>
      <t>PREM)</t>
    </r>
  </si>
  <si>
    <r>
      <t>Mother(ALIVE</t>
    </r>
    <r>
      <rPr>
        <sz val="11"/>
        <color theme="1"/>
        <rFont val="Calibri"/>
        <family val="2"/>
      </rPr>
      <t>|NO COMPLICATION) - Infant(NBW|PREM)</t>
    </r>
  </si>
  <si>
    <r>
      <t>Mother (DEAD</t>
    </r>
    <r>
      <rPr>
        <sz val="11"/>
        <color theme="1"/>
        <rFont val="Calibri"/>
        <family val="2"/>
      </rPr>
      <t>|NO COMPLICATION) - Infant(LBW|FG</t>
    </r>
    <r>
      <rPr>
        <sz val="11"/>
        <color theme="1"/>
        <rFont val="Calibri"/>
        <family val="2"/>
        <scheme val="minor"/>
      </rPr>
      <t>)</t>
    </r>
  </si>
  <si>
    <r>
      <t>Mother(DEAD</t>
    </r>
    <r>
      <rPr>
        <sz val="11"/>
        <color theme="1"/>
        <rFont val="Calibri"/>
        <family val="2"/>
      </rPr>
      <t>|NO COMPLICATION) - Infant(NBW|FG)</t>
    </r>
  </si>
  <si>
    <r>
      <t>Mother (ALIVE</t>
    </r>
    <r>
      <rPr>
        <sz val="11"/>
        <color theme="1"/>
        <rFont val="Calibri"/>
        <family val="2"/>
      </rPr>
      <t>|NO COMPLICATION) - Infant(LBW|FG</t>
    </r>
    <r>
      <rPr>
        <sz val="11"/>
        <color theme="1"/>
        <rFont val="Calibri"/>
        <family val="2"/>
        <scheme val="minor"/>
      </rPr>
      <t>)</t>
    </r>
  </si>
  <si>
    <r>
      <t>Mother(ALIVE</t>
    </r>
    <r>
      <rPr>
        <sz val="11"/>
        <color theme="1"/>
        <rFont val="Calibri"/>
        <family val="2"/>
      </rPr>
      <t>|NO COMPLICATION) - Infant(NBW|FG)</t>
    </r>
  </si>
  <si>
    <t>Mother (ALIVE|NO COMPLICATION) - Infant(LIVEBORN|NBW|FG)</t>
  </si>
  <si>
    <r>
      <t>Mother (ALIVE|NO COMPLICATION) - Infant(STILLBORN</t>
    </r>
    <r>
      <rPr>
        <sz val="11"/>
        <color theme="1"/>
        <rFont val="Calibri"/>
        <family val="2"/>
      </rPr>
      <t>|N</t>
    </r>
    <r>
      <rPr>
        <sz val="11"/>
        <color theme="1"/>
        <rFont val="Calibri"/>
        <family val="2"/>
        <scheme val="minor"/>
      </rPr>
      <t>BW|FG)</t>
    </r>
  </si>
  <si>
    <t>Mother (ALIVE|NO COMPLICATION) - Infant(LIVEBORN|LBW|FG)</t>
  </si>
  <si>
    <r>
      <t>Mother (ALIVE|NO COMPLICATION) - Infant(STILLBORN</t>
    </r>
    <r>
      <rPr>
        <sz val="11"/>
        <color theme="1"/>
        <rFont val="Calibri"/>
        <family val="2"/>
      </rPr>
      <t>|</t>
    </r>
    <r>
      <rPr>
        <sz val="11"/>
        <color theme="1"/>
        <rFont val="Calibri"/>
        <family val="2"/>
        <scheme val="minor"/>
      </rPr>
      <t>LBW|FG)</t>
    </r>
  </si>
  <si>
    <t>Mother (DEAD|NO COMPLICATION) - Infant(LIVEBORN|NBW|FG)</t>
  </si>
  <si>
    <r>
      <t>Mother (DEAD|NO COMPLICATION) - Infant(STILLBORN</t>
    </r>
    <r>
      <rPr>
        <sz val="11"/>
        <color theme="1"/>
        <rFont val="Calibri"/>
        <family val="2"/>
      </rPr>
      <t>|N</t>
    </r>
    <r>
      <rPr>
        <sz val="11"/>
        <color theme="1"/>
        <rFont val="Calibri"/>
        <family val="2"/>
        <scheme val="minor"/>
      </rPr>
      <t>BW|FG)</t>
    </r>
  </si>
  <si>
    <t>Mother (DEAD|NO COMPLICATION) - Infant(LIVEBORN|LBW|FG)</t>
  </si>
  <si>
    <r>
      <t>Mother (DEAD|NO COMPLICATION) - Infant(STILLBORN</t>
    </r>
    <r>
      <rPr>
        <sz val="11"/>
        <color theme="1"/>
        <rFont val="Calibri"/>
        <family val="2"/>
      </rPr>
      <t>|</t>
    </r>
    <r>
      <rPr>
        <sz val="11"/>
        <color theme="1"/>
        <rFont val="Calibri"/>
        <family val="2"/>
        <scheme val="minor"/>
      </rPr>
      <t>LBW|FG)</t>
    </r>
  </si>
  <si>
    <t>Mother (ALIVE|NO COMPLICATION) - Infant(LIVEBORN|NBW|PREM)</t>
  </si>
  <si>
    <r>
      <t>Mother (ALIVE|NO COMPLICATION) - Infant(STILLBORN</t>
    </r>
    <r>
      <rPr>
        <sz val="11"/>
        <color theme="1"/>
        <rFont val="Calibri"/>
        <family val="2"/>
      </rPr>
      <t>|N</t>
    </r>
    <r>
      <rPr>
        <sz val="11"/>
        <color theme="1"/>
        <rFont val="Calibri"/>
        <family val="2"/>
        <scheme val="minor"/>
      </rPr>
      <t>BW|PREM)</t>
    </r>
  </si>
  <si>
    <t>Mother (ALIVE|NO COMPLICATION) - Infant(LIVEBORN|LBW|PREM)</t>
  </si>
  <si>
    <r>
      <t>Mother (ALIVE|NO COMPLICATION) - Infant(STILLBORN</t>
    </r>
    <r>
      <rPr>
        <sz val="11"/>
        <color theme="1"/>
        <rFont val="Calibri"/>
        <family val="2"/>
      </rPr>
      <t>|</t>
    </r>
    <r>
      <rPr>
        <sz val="11"/>
        <color theme="1"/>
        <rFont val="Calibri"/>
        <family val="2"/>
        <scheme val="minor"/>
      </rPr>
      <t>LBW|PREM)</t>
    </r>
  </si>
  <si>
    <t>Mother (DEAD|NO COMPLICATION) - Infant(LIVEBORN|NBW|PREM)</t>
  </si>
  <si>
    <r>
      <t>Mother (DEAD|NO COMPLICATION) - Infant(STILLBORN</t>
    </r>
    <r>
      <rPr>
        <sz val="11"/>
        <color theme="1"/>
        <rFont val="Calibri"/>
        <family val="2"/>
      </rPr>
      <t>|N</t>
    </r>
    <r>
      <rPr>
        <sz val="11"/>
        <color theme="1"/>
        <rFont val="Calibri"/>
        <family val="2"/>
        <scheme val="minor"/>
      </rPr>
      <t>BW|PREM)</t>
    </r>
  </si>
  <si>
    <t>Mother (DEAD|NO COMPLICATION) - Infant(LIVEBORN|LBW|PREM)</t>
  </si>
  <si>
    <r>
      <t>Mother (DEAD|NO COMPLICATION) - Infant(STILLBORN</t>
    </r>
    <r>
      <rPr>
        <sz val="11"/>
        <color theme="1"/>
        <rFont val="Calibri"/>
        <family val="2"/>
      </rPr>
      <t>|</t>
    </r>
    <r>
      <rPr>
        <sz val="11"/>
        <color theme="1"/>
        <rFont val="Calibri"/>
        <family val="2"/>
        <scheme val="minor"/>
      </rPr>
      <t>LBW|PREM)</t>
    </r>
  </si>
  <si>
    <r>
      <t>Mother(Dead</t>
    </r>
    <r>
      <rPr>
        <sz val="11"/>
        <color theme="1"/>
        <rFont val="Calibri"/>
        <family val="2"/>
      </rPr>
      <t>|Ectopic|</t>
    </r>
    <r>
      <rPr>
        <sz val="11"/>
        <color theme="1"/>
        <rFont val="Calibri"/>
        <family val="2"/>
        <scheme val="minor"/>
      </rPr>
      <t>Quits smoking</t>
    </r>
    <r>
      <rPr>
        <sz val="11"/>
        <color theme="1"/>
        <rFont val="Calibri"/>
        <family val="2"/>
      </rPr>
      <t>) - Foetus lost</t>
    </r>
  </si>
  <si>
    <r>
      <t>Mother(Alive</t>
    </r>
    <r>
      <rPr>
        <sz val="11"/>
        <color theme="1"/>
        <rFont val="Calibri"/>
        <family val="2"/>
      </rPr>
      <t>|Ectopic|Quits smoking) - Foetus lost</t>
    </r>
  </si>
  <si>
    <r>
      <t>Mother(Dead</t>
    </r>
    <r>
      <rPr>
        <sz val="11"/>
        <color theme="1"/>
        <rFont val="Calibri"/>
        <family val="2"/>
      </rPr>
      <t>|Miscarriage|Quits smoking) - Foetus lost</t>
    </r>
  </si>
  <si>
    <r>
      <t>Mother(Alive</t>
    </r>
    <r>
      <rPr>
        <sz val="11"/>
        <color theme="1"/>
        <rFont val="Calibri"/>
        <family val="2"/>
      </rPr>
      <t>|Miscarriage|Quits smoking) - Foetus lost</t>
    </r>
  </si>
  <si>
    <r>
      <t>Mother(Dead</t>
    </r>
    <r>
      <rPr>
        <sz val="11"/>
        <color theme="1"/>
        <rFont val="Calibri"/>
        <family val="2"/>
      </rPr>
      <t>|Abruption|Quits smoking) - Infant(Stillborn|LBW|Premature)</t>
    </r>
  </si>
  <si>
    <r>
      <t>Mother(Dead</t>
    </r>
    <r>
      <rPr>
        <sz val="11"/>
        <color theme="1"/>
        <rFont val="Calibri"/>
        <family val="2"/>
      </rPr>
      <t>|Abruption|Quits smoking) - Infant(Liveborn|LBW|Premature)</t>
    </r>
  </si>
  <si>
    <r>
      <t>Mother(Dead</t>
    </r>
    <r>
      <rPr>
        <sz val="11"/>
        <color theme="1"/>
        <rFont val="Calibri"/>
        <family val="2"/>
      </rPr>
      <t>|Abruption|Quits smoking) - Infant(Stillborn|NBW|Premature)</t>
    </r>
  </si>
  <si>
    <r>
      <t>Mother(Dead</t>
    </r>
    <r>
      <rPr>
        <sz val="11"/>
        <color theme="1"/>
        <rFont val="Calibri"/>
        <family val="2"/>
      </rPr>
      <t>|Abruption|Quits smoking) - Infant(Liveborn|NBW|Premature)</t>
    </r>
  </si>
  <si>
    <r>
      <t>Mother(Alive</t>
    </r>
    <r>
      <rPr>
        <sz val="11"/>
        <color theme="1"/>
        <rFont val="Calibri"/>
        <family val="2"/>
      </rPr>
      <t>|Abruption|Quits smoking) - Infant(Stillborn|LBW|Premature)</t>
    </r>
  </si>
  <si>
    <r>
      <t>Mother(Alive</t>
    </r>
    <r>
      <rPr>
        <sz val="11"/>
        <color theme="1"/>
        <rFont val="Calibri"/>
        <family val="2"/>
      </rPr>
      <t>|Abruption|Quits smoking) - Infant(Liveborn|LBW|Premature)</t>
    </r>
  </si>
  <si>
    <r>
      <t>Mother(Alive</t>
    </r>
    <r>
      <rPr>
        <sz val="11"/>
        <color theme="1"/>
        <rFont val="Calibri"/>
        <family val="2"/>
      </rPr>
      <t>|Abruption|Quits smoking) - Infant(Stillborn|NBW|Premature)</t>
    </r>
  </si>
  <si>
    <r>
      <t>Mother(Alive</t>
    </r>
    <r>
      <rPr>
        <sz val="11"/>
        <color theme="1"/>
        <rFont val="Calibri"/>
        <family val="2"/>
      </rPr>
      <t>|Abruption|Quits smoking) - Infant(Liveborn|NBW|Premature)</t>
    </r>
  </si>
  <si>
    <r>
      <t>Mother(Dead</t>
    </r>
    <r>
      <rPr>
        <sz val="11"/>
        <color theme="1"/>
        <rFont val="Calibri"/>
        <family val="2"/>
      </rPr>
      <t>|Abruption|Quits smoking) - Infant(Stillborn|LBW|Full gestation)</t>
    </r>
  </si>
  <si>
    <r>
      <t>Mother(Dead</t>
    </r>
    <r>
      <rPr>
        <sz val="11"/>
        <color theme="1"/>
        <rFont val="Calibri"/>
        <family val="2"/>
      </rPr>
      <t>|Abruption|Quits smoking) - Infant(Liveborn|LBW|Full gestation)</t>
    </r>
  </si>
  <si>
    <r>
      <t>Mother(Dead</t>
    </r>
    <r>
      <rPr>
        <sz val="11"/>
        <color theme="1"/>
        <rFont val="Calibri"/>
        <family val="2"/>
      </rPr>
      <t>|Abruption|Quits smoking) - Infant(Stillborn|NBW|Full gestation)</t>
    </r>
  </si>
  <si>
    <r>
      <t>Mother(Dead</t>
    </r>
    <r>
      <rPr>
        <sz val="11"/>
        <color theme="1"/>
        <rFont val="Calibri"/>
        <family val="2"/>
      </rPr>
      <t>|Abruption|Quits smoking) - Infant(Liveborn|NBW|Full gestation)</t>
    </r>
  </si>
  <si>
    <r>
      <t>Mother(Alive</t>
    </r>
    <r>
      <rPr>
        <sz val="11"/>
        <color theme="1"/>
        <rFont val="Calibri"/>
        <family val="2"/>
      </rPr>
      <t>|Abruption|Quits smoking) - Infant(Stillborn|LBW|Full gestation)</t>
    </r>
  </si>
  <si>
    <r>
      <t>Mother(Alive</t>
    </r>
    <r>
      <rPr>
        <sz val="11"/>
        <color theme="1"/>
        <rFont val="Calibri"/>
        <family val="2"/>
      </rPr>
      <t>|Abruption|Quits smoking) - Infant(Liveborn|LBW|Full gestation)</t>
    </r>
  </si>
  <si>
    <r>
      <t>Mother(Alive</t>
    </r>
    <r>
      <rPr>
        <sz val="11"/>
        <color theme="1"/>
        <rFont val="Calibri"/>
        <family val="2"/>
      </rPr>
      <t>|Abruption|Quits smoking) - Infant(Stillborn|NBW|Full gestation)</t>
    </r>
  </si>
  <si>
    <r>
      <t>Mother(Alive</t>
    </r>
    <r>
      <rPr>
        <sz val="11"/>
        <color theme="1"/>
        <rFont val="Calibri"/>
        <family val="2"/>
      </rPr>
      <t>|Abruption|Quits smoking) - Infant(Liveborn|NBW|Full gestation)</t>
    </r>
  </si>
  <si>
    <r>
      <t>Mother(Dead</t>
    </r>
    <r>
      <rPr>
        <sz val="11"/>
        <color theme="1"/>
        <rFont val="Calibri"/>
        <family val="2"/>
      </rPr>
      <t>|Previa|Quits smoking) - Infant(Stillborn|LBW|Premature)</t>
    </r>
  </si>
  <si>
    <r>
      <t>Mother(Dead</t>
    </r>
    <r>
      <rPr>
        <sz val="11"/>
        <color theme="1"/>
        <rFont val="Calibri"/>
        <family val="2"/>
      </rPr>
      <t>|Previa|Quits smoking) - Infant(Liveborn|LBW|Premature)</t>
    </r>
  </si>
  <si>
    <r>
      <t>Mother(Dead</t>
    </r>
    <r>
      <rPr>
        <sz val="11"/>
        <color theme="1"/>
        <rFont val="Calibri"/>
        <family val="2"/>
      </rPr>
      <t>|Previa|Quits smoking) - Infant(Stillborn|NBW|Premature)</t>
    </r>
  </si>
  <si>
    <r>
      <t>Mother(Dead</t>
    </r>
    <r>
      <rPr>
        <sz val="11"/>
        <color theme="1"/>
        <rFont val="Calibri"/>
        <family val="2"/>
      </rPr>
      <t>|Previa|Quits smoking) - Infant(Liveborn|NBW|Premature)</t>
    </r>
  </si>
  <si>
    <r>
      <t>Mother(Alive</t>
    </r>
    <r>
      <rPr>
        <sz val="11"/>
        <color theme="1"/>
        <rFont val="Calibri"/>
        <family val="2"/>
      </rPr>
      <t>|Previa|Quits smoking) - Infant(Stillborn|LBW|Premature)</t>
    </r>
  </si>
  <si>
    <r>
      <t>Mother(Alive</t>
    </r>
    <r>
      <rPr>
        <sz val="11"/>
        <color theme="1"/>
        <rFont val="Calibri"/>
        <family val="2"/>
      </rPr>
      <t>|Previa|Quits smoking) - Infant(Liveborn|LBW|Premature)</t>
    </r>
  </si>
  <si>
    <r>
      <t>Mother(Alive</t>
    </r>
    <r>
      <rPr>
        <sz val="11"/>
        <color theme="1"/>
        <rFont val="Calibri"/>
        <family val="2"/>
      </rPr>
      <t>|Previa|Quits smoking) - Infant(Stillborn|NBW|Premature)</t>
    </r>
  </si>
  <si>
    <r>
      <t>Mother(Alive</t>
    </r>
    <r>
      <rPr>
        <sz val="11"/>
        <color theme="1"/>
        <rFont val="Calibri"/>
        <family val="2"/>
      </rPr>
      <t>|Previa|Quits smoking) - Infant(Liveborn|NBW|Premature)</t>
    </r>
  </si>
  <si>
    <r>
      <t>Mother(Dead</t>
    </r>
    <r>
      <rPr>
        <sz val="11"/>
        <color theme="1"/>
        <rFont val="Calibri"/>
        <family val="2"/>
      </rPr>
      <t>|Previa|Quits smoking) - Infant(Stillborn|LBW|Full gestation)</t>
    </r>
  </si>
  <si>
    <r>
      <t>Mother(Dead</t>
    </r>
    <r>
      <rPr>
        <sz val="11"/>
        <color theme="1"/>
        <rFont val="Calibri"/>
        <family val="2"/>
      </rPr>
      <t>|Previa|Quits smoking) - Infant(Liveborn|LBW|Full gestation)</t>
    </r>
  </si>
  <si>
    <r>
      <t>Mother(Dead</t>
    </r>
    <r>
      <rPr>
        <sz val="11"/>
        <color theme="1"/>
        <rFont val="Calibri"/>
        <family val="2"/>
      </rPr>
      <t>|Previa|Quits smoking) - Infant(Stillborn|NBW|Full gestation)</t>
    </r>
  </si>
  <si>
    <r>
      <t>Mother(Dead</t>
    </r>
    <r>
      <rPr>
        <sz val="11"/>
        <color theme="1"/>
        <rFont val="Calibri"/>
        <family val="2"/>
      </rPr>
      <t>|Previa|Quits smoking) - Infant(Liveborn|NBW|Full gestation)</t>
    </r>
  </si>
  <si>
    <r>
      <t>Mother(Alive</t>
    </r>
    <r>
      <rPr>
        <sz val="11"/>
        <color theme="1"/>
        <rFont val="Calibri"/>
        <family val="2"/>
      </rPr>
      <t>|Previa|Quits smoking) - Infant(Stillborn|LBW|Full gestation)</t>
    </r>
  </si>
  <si>
    <r>
      <t>Mother(Alive</t>
    </r>
    <r>
      <rPr>
        <sz val="11"/>
        <color theme="1"/>
        <rFont val="Calibri"/>
        <family val="2"/>
      </rPr>
      <t>|Previa|Quits smoking) - Infant(Liveborn|LBW|Full gestation)</t>
    </r>
  </si>
  <si>
    <r>
      <t>Mother(Alive</t>
    </r>
    <r>
      <rPr>
        <sz val="11"/>
        <color theme="1"/>
        <rFont val="Calibri"/>
        <family val="2"/>
      </rPr>
      <t>|Previa|Quits smoking) - Infant(Stillborn|NBW|Full gestation)</t>
    </r>
  </si>
  <si>
    <r>
      <t>Mother(Alive</t>
    </r>
    <r>
      <rPr>
        <sz val="11"/>
        <color theme="1"/>
        <rFont val="Calibri"/>
        <family val="2"/>
      </rPr>
      <t>|Previa|Quits smoking) - Infant(Liveborn|NBW|Full gestation)</t>
    </r>
  </si>
  <si>
    <r>
      <t>Mother(Dead</t>
    </r>
    <r>
      <rPr>
        <sz val="11"/>
        <color theme="1"/>
        <rFont val="Calibri"/>
        <family val="2"/>
      </rPr>
      <t>|Pre-eclampsia|Quits smoking) - Infant(Stillborn|LBW|Premature)</t>
    </r>
  </si>
  <si>
    <r>
      <t>Mother(Dead</t>
    </r>
    <r>
      <rPr>
        <sz val="11"/>
        <color theme="1"/>
        <rFont val="Calibri"/>
        <family val="2"/>
      </rPr>
      <t>|Pre-eclampsia|Quits smoking) - Infant(Liveborn|LBW|Premature)</t>
    </r>
  </si>
  <si>
    <r>
      <t>Mother(Dead</t>
    </r>
    <r>
      <rPr>
        <sz val="11"/>
        <color theme="1"/>
        <rFont val="Calibri"/>
        <family val="2"/>
      </rPr>
      <t>|Pre-eclampsia|Quits smoking) - Infant(Stillborn|NBW|Premature)</t>
    </r>
  </si>
  <si>
    <r>
      <t>Mother(Dead</t>
    </r>
    <r>
      <rPr>
        <sz val="11"/>
        <color theme="1"/>
        <rFont val="Calibri"/>
        <family val="2"/>
      </rPr>
      <t>|Pre-eclampsia|Quits smoking) - Infant(Liveborn|NBW|Premature)</t>
    </r>
  </si>
  <si>
    <r>
      <t>Mother(Alive</t>
    </r>
    <r>
      <rPr>
        <sz val="11"/>
        <color theme="1"/>
        <rFont val="Calibri"/>
        <family val="2"/>
      </rPr>
      <t>|Pre-eclampsia|Quits smoking) - Infant(Stillborn|LBW|Premature)</t>
    </r>
  </si>
  <si>
    <r>
      <t>Mother(Alive</t>
    </r>
    <r>
      <rPr>
        <sz val="11"/>
        <color theme="1"/>
        <rFont val="Calibri"/>
        <family val="2"/>
      </rPr>
      <t>|Pre-eclampsia|Quits smoking) - Infant(Liveborn|LBW|Premature)</t>
    </r>
  </si>
  <si>
    <r>
      <t>Mother(Alive</t>
    </r>
    <r>
      <rPr>
        <sz val="11"/>
        <color theme="1"/>
        <rFont val="Calibri"/>
        <family val="2"/>
      </rPr>
      <t>|Pre-eclampsia|Quits smoking) - Infant(Stillborn|NBW|Premature)</t>
    </r>
  </si>
  <si>
    <r>
      <t>Mother(Alive</t>
    </r>
    <r>
      <rPr>
        <sz val="11"/>
        <color theme="1"/>
        <rFont val="Calibri"/>
        <family val="2"/>
      </rPr>
      <t>|Pre-eclampsia|Quits smoking) - Infant(Liveborn|NBW|Premature)</t>
    </r>
  </si>
  <si>
    <r>
      <t>Mother(Dead</t>
    </r>
    <r>
      <rPr>
        <sz val="11"/>
        <color theme="1"/>
        <rFont val="Calibri"/>
        <family val="2"/>
      </rPr>
      <t>|Pre-eclampsia|Quits smoking) - Infant(Stillborn|LBW|Full gestation)</t>
    </r>
  </si>
  <si>
    <r>
      <t>Mother(Dead</t>
    </r>
    <r>
      <rPr>
        <sz val="11"/>
        <color theme="1"/>
        <rFont val="Calibri"/>
        <family val="2"/>
      </rPr>
      <t>|Pre-eclampsia|Quits smoking) - Infant(Liveborn|LBW|Full gestation)</t>
    </r>
  </si>
  <si>
    <r>
      <t>Mother(Dead</t>
    </r>
    <r>
      <rPr>
        <sz val="11"/>
        <color theme="1"/>
        <rFont val="Calibri"/>
        <family val="2"/>
      </rPr>
      <t>|Pre-eclampsia|Quits smoking) - Infant(Stillborn|NBW|Full gestation)</t>
    </r>
  </si>
  <si>
    <r>
      <t>Mother(Dead</t>
    </r>
    <r>
      <rPr>
        <sz val="11"/>
        <color theme="1"/>
        <rFont val="Calibri"/>
        <family val="2"/>
      </rPr>
      <t>|Pre-eclampsia|Quits smoking) - Infant(Liveborn|NBW|Full gestation)</t>
    </r>
  </si>
  <si>
    <r>
      <t>Mother(Alive</t>
    </r>
    <r>
      <rPr>
        <sz val="11"/>
        <color theme="1"/>
        <rFont val="Calibri"/>
        <family val="2"/>
      </rPr>
      <t>|Pre-eclampsia|Quits smoking) - Infant(Stillborn|LBW|Full gestation)</t>
    </r>
  </si>
  <si>
    <r>
      <t>Mother(Alive</t>
    </r>
    <r>
      <rPr>
        <sz val="11"/>
        <color theme="1"/>
        <rFont val="Calibri"/>
        <family val="2"/>
      </rPr>
      <t>|Pre-eclampsia|Quits smoking) - Infant(Liveborn|LBW|Full gestation)</t>
    </r>
  </si>
  <si>
    <r>
      <t>Mother(Alive</t>
    </r>
    <r>
      <rPr>
        <sz val="11"/>
        <color theme="1"/>
        <rFont val="Calibri"/>
        <family val="2"/>
      </rPr>
      <t>|Pre-eclampsia|Quits smoking) - Infant(Stillborn|NBW|Full gestation)</t>
    </r>
  </si>
  <si>
    <r>
      <t>Mother(Alive</t>
    </r>
    <r>
      <rPr>
        <sz val="11"/>
        <color theme="1"/>
        <rFont val="Calibri"/>
        <family val="2"/>
      </rPr>
      <t>|Pre-eclampsia|Quits smoking) - Infant(Liveborn|NBW|Full gestation)</t>
    </r>
  </si>
  <si>
    <r>
      <t>Mother(Dead</t>
    </r>
    <r>
      <rPr>
        <sz val="11"/>
        <color theme="1"/>
        <rFont val="Calibri"/>
        <family val="2"/>
      </rPr>
      <t>|No complication|Quits smoking) - Infant(Stillborn|LBW|Premature)</t>
    </r>
  </si>
  <si>
    <r>
      <t>Mother(Dead</t>
    </r>
    <r>
      <rPr>
        <sz val="11"/>
        <color theme="1"/>
        <rFont val="Calibri"/>
        <family val="2"/>
      </rPr>
      <t>|No complication|Quits smoking) - Infant(Liveborn|LBW|Premature)</t>
    </r>
  </si>
  <si>
    <r>
      <t>Mother(Dead</t>
    </r>
    <r>
      <rPr>
        <sz val="11"/>
        <color theme="1"/>
        <rFont val="Calibri"/>
        <family val="2"/>
      </rPr>
      <t>|No complication|Quits smoking) - Infant(Stillborn|NBW|Premature)</t>
    </r>
  </si>
  <si>
    <r>
      <t>Mother(Dead</t>
    </r>
    <r>
      <rPr>
        <sz val="11"/>
        <color theme="1"/>
        <rFont val="Calibri"/>
        <family val="2"/>
      </rPr>
      <t>|No complication|Quits smoking) - Infant(Liveborn|NBW|Premature)</t>
    </r>
  </si>
  <si>
    <r>
      <t>Mother(Alive</t>
    </r>
    <r>
      <rPr>
        <sz val="11"/>
        <color theme="1"/>
        <rFont val="Calibri"/>
        <family val="2"/>
      </rPr>
      <t>|No complication|Quits smoking) - Infant(Stillborn|LBW|Premature)</t>
    </r>
  </si>
  <si>
    <r>
      <t>Mother(Alive</t>
    </r>
    <r>
      <rPr>
        <sz val="11"/>
        <color theme="1"/>
        <rFont val="Calibri"/>
        <family val="2"/>
      </rPr>
      <t>|No complication|Quits smoking) - Infant(Liveborn|LBW|Premature)</t>
    </r>
  </si>
  <si>
    <r>
      <t>Mother(Alive</t>
    </r>
    <r>
      <rPr>
        <sz val="11"/>
        <color theme="1"/>
        <rFont val="Calibri"/>
        <family val="2"/>
      </rPr>
      <t>|No complication|Quits smoking) - Infant(Stillborn|NBW|Premature)</t>
    </r>
  </si>
  <si>
    <r>
      <t>Mother(Alive</t>
    </r>
    <r>
      <rPr>
        <sz val="11"/>
        <color theme="1"/>
        <rFont val="Calibri"/>
        <family val="2"/>
      </rPr>
      <t>|No complication|Quits smoking) - Infant(Liveborn|NBW|Premature)</t>
    </r>
  </si>
  <si>
    <r>
      <t>Mother(Dead</t>
    </r>
    <r>
      <rPr>
        <sz val="11"/>
        <color theme="1"/>
        <rFont val="Calibri"/>
        <family val="2"/>
      </rPr>
      <t>|No complication|Quits smoking) - Infant(Stillborn|LBW|Full gestation)</t>
    </r>
  </si>
  <si>
    <r>
      <t>Mother(Dead</t>
    </r>
    <r>
      <rPr>
        <sz val="11"/>
        <color theme="1"/>
        <rFont val="Calibri"/>
        <family val="2"/>
      </rPr>
      <t>|No complication|Quits smoking) - Infant(Liveborn|LBW|Full gestation)</t>
    </r>
  </si>
  <si>
    <r>
      <t>Mother(Dead</t>
    </r>
    <r>
      <rPr>
        <sz val="11"/>
        <color theme="1"/>
        <rFont val="Calibri"/>
        <family val="2"/>
      </rPr>
      <t>|No complication|Quits smoking) - Infant(Stillborn|NBW|Full gestation)</t>
    </r>
  </si>
  <si>
    <r>
      <t>Mother(Dead</t>
    </r>
    <r>
      <rPr>
        <sz val="11"/>
        <color theme="1"/>
        <rFont val="Calibri"/>
        <family val="2"/>
      </rPr>
      <t>|No complication|Quits smoking) - Infant(Liveborn|NBW|Full gestation)</t>
    </r>
  </si>
  <si>
    <r>
      <t>Mother(Alive</t>
    </r>
    <r>
      <rPr>
        <sz val="11"/>
        <color theme="1"/>
        <rFont val="Calibri"/>
        <family val="2"/>
      </rPr>
      <t>|No complication|Quits smoking) - Infant(Stillborn|LBW|Full gestation)</t>
    </r>
  </si>
  <si>
    <r>
      <t>Mother(Alive</t>
    </r>
    <r>
      <rPr>
        <sz val="11"/>
        <color theme="1"/>
        <rFont val="Calibri"/>
        <family val="2"/>
      </rPr>
      <t>|No complication|Quits smoking) - Infant(Liveborn|LBW|Full gestation)</t>
    </r>
  </si>
  <si>
    <r>
      <t>Mother(Alive</t>
    </r>
    <r>
      <rPr>
        <sz val="11"/>
        <color theme="1"/>
        <rFont val="Calibri"/>
        <family val="2"/>
      </rPr>
      <t>|No complication|Quits smoking) - Infant(Stillborn|NBW|Full gestation)</t>
    </r>
  </si>
  <si>
    <r>
      <t>Mother(Alive</t>
    </r>
    <r>
      <rPr>
        <sz val="11"/>
        <color theme="1"/>
        <rFont val="Calibri"/>
        <family val="2"/>
      </rPr>
      <t>|No complication|Quits smoking) - Infant(Liveborn|NBW|Full gestation)</t>
    </r>
  </si>
  <si>
    <r>
      <t>Mother(Dead</t>
    </r>
    <r>
      <rPr>
        <sz val="11"/>
        <color theme="1"/>
        <rFont val="Calibri"/>
        <family val="2"/>
      </rPr>
      <t>|Ectopic|Continues</t>
    </r>
    <r>
      <rPr>
        <sz val="11"/>
        <color theme="1"/>
        <rFont val="Calibri"/>
        <family val="2"/>
        <scheme val="minor"/>
      </rPr>
      <t xml:space="preserve"> smoking</t>
    </r>
    <r>
      <rPr>
        <sz val="11"/>
        <color theme="1"/>
        <rFont val="Calibri"/>
        <family val="2"/>
      </rPr>
      <t>) - Foetus lost</t>
    </r>
  </si>
  <si>
    <r>
      <t>Mother(Alive</t>
    </r>
    <r>
      <rPr>
        <sz val="11"/>
        <color theme="1"/>
        <rFont val="Calibri"/>
        <family val="2"/>
      </rPr>
      <t>|Ectopic|Continues smoking) - Foetus lost</t>
    </r>
  </si>
  <si>
    <r>
      <t>Mother(Dead</t>
    </r>
    <r>
      <rPr>
        <sz val="11"/>
        <color theme="1"/>
        <rFont val="Calibri"/>
        <family val="2"/>
      </rPr>
      <t>|Miscarriage|Continues smoking) - Foetus lost</t>
    </r>
  </si>
  <si>
    <r>
      <t>Mother(Alive</t>
    </r>
    <r>
      <rPr>
        <sz val="11"/>
        <color theme="1"/>
        <rFont val="Calibri"/>
        <family val="2"/>
      </rPr>
      <t>|Miscarriage|Continues smoking) - Foetus lost</t>
    </r>
  </si>
  <si>
    <r>
      <t>Mother(Dead</t>
    </r>
    <r>
      <rPr>
        <sz val="11"/>
        <color theme="1"/>
        <rFont val="Calibri"/>
        <family val="2"/>
      </rPr>
      <t>|Abruption|Continues smoking) - Infant(Stillborn|LBW|Premature)</t>
    </r>
  </si>
  <si>
    <r>
      <t>Mother(Dead</t>
    </r>
    <r>
      <rPr>
        <sz val="11"/>
        <color theme="1"/>
        <rFont val="Calibri"/>
        <family val="2"/>
      </rPr>
      <t>|Abruption|Continues smoking) - Infant(Liveborn|LBW|Premature)</t>
    </r>
  </si>
  <si>
    <r>
      <t>Mother(Dead</t>
    </r>
    <r>
      <rPr>
        <sz val="11"/>
        <color theme="1"/>
        <rFont val="Calibri"/>
        <family val="2"/>
      </rPr>
      <t>|Abruption|Continues smoking) - Infant(Stillborn|NBW|Premature)</t>
    </r>
  </si>
  <si>
    <r>
      <t>Mother(Dead</t>
    </r>
    <r>
      <rPr>
        <sz val="11"/>
        <color theme="1"/>
        <rFont val="Calibri"/>
        <family val="2"/>
      </rPr>
      <t>|Abruption|Continues smoking) - Infant(Liveborn|NBW|Premature)</t>
    </r>
  </si>
  <si>
    <r>
      <t>Mother(Alive</t>
    </r>
    <r>
      <rPr>
        <sz val="11"/>
        <color theme="1"/>
        <rFont val="Calibri"/>
        <family val="2"/>
      </rPr>
      <t>|Abruption|Continues smoking) - Infant(Stillborn|LBW|Premature)</t>
    </r>
  </si>
  <si>
    <r>
      <t>Mother(Alive</t>
    </r>
    <r>
      <rPr>
        <sz val="11"/>
        <color theme="1"/>
        <rFont val="Calibri"/>
        <family val="2"/>
      </rPr>
      <t>|Abruption|Continues smoking) - Infant(Liveborn|LBW|Premature)</t>
    </r>
  </si>
  <si>
    <r>
      <t>Mother(Alive</t>
    </r>
    <r>
      <rPr>
        <sz val="11"/>
        <color theme="1"/>
        <rFont val="Calibri"/>
        <family val="2"/>
      </rPr>
      <t>|Abruption|Continues smoking) - Infant(Stillborn|NBW|Premature)</t>
    </r>
  </si>
  <si>
    <r>
      <t>Mother(Alive</t>
    </r>
    <r>
      <rPr>
        <sz val="11"/>
        <color theme="1"/>
        <rFont val="Calibri"/>
        <family val="2"/>
      </rPr>
      <t>|Abruption|Continues smoking) - Infant(Liveborn|NBW|Premature)</t>
    </r>
  </si>
  <si>
    <r>
      <t>Mother(Dead</t>
    </r>
    <r>
      <rPr>
        <sz val="11"/>
        <color theme="1"/>
        <rFont val="Calibri"/>
        <family val="2"/>
      </rPr>
      <t>|Abruption|Continues smoking) - Infant(Stillborn|LBW|Full gestation)</t>
    </r>
  </si>
  <si>
    <r>
      <t>Mother(Dead</t>
    </r>
    <r>
      <rPr>
        <sz val="11"/>
        <color theme="1"/>
        <rFont val="Calibri"/>
        <family val="2"/>
      </rPr>
      <t>|Abruption|Continues smoking) - Infant(Liveborn|LBW|Full gestation)</t>
    </r>
  </si>
  <si>
    <r>
      <t>Mother(Dead</t>
    </r>
    <r>
      <rPr>
        <sz val="11"/>
        <color theme="1"/>
        <rFont val="Calibri"/>
        <family val="2"/>
      </rPr>
      <t>|Abruption|Continues smoking) - Infant(Stillborn|NBW|Full gestation)</t>
    </r>
  </si>
  <si>
    <r>
      <t>Mother(Dead</t>
    </r>
    <r>
      <rPr>
        <sz val="11"/>
        <color theme="1"/>
        <rFont val="Calibri"/>
        <family val="2"/>
      </rPr>
      <t>|Abruption|Continues smoking) - Infant(Liveborn|NBW|Full gestation)</t>
    </r>
  </si>
  <si>
    <r>
      <t>Mother(Alive</t>
    </r>
    <r>
      <rPr>
        <sz val="11"/>
        <color theme="1"/>
        <rFont val="Calibri"/>
        <family val="2"/>
      </rPr>
      <t>|Abruption|Continues smoking) - Infant(Stillborn|LBW|Full gestation)</t>
    </r>
  </si>
  <si>
    <r>
      <t>Mother(Alive</t>
    </r>
    <r>
      <rPr>
        <sz val="11"/>
        <color theme="1"/>
        <rFont val="Calibri"/>
        <family val="2"/>
      </rPr>
      <t>|Abruption|Continues smoking) - Infant(Liveborn|LBW|Full gestation)</t>
    </r>
  </si>
  <si>
    <r>
      <t>Mother(Alive</t>
    </r>
    <r>
      <rPr>
        <sz val="11"/>
        <color theme="1"/>
        <rFont val="Calibri"/>
        <family val="2"/>
      </rPr>
      <t>|Abruption|Continues smoking) - Infant(Stillborn|NBW|Full gestation)</t>
    </r>
  </si>
  <si>
    <r>
      <t>Mother(Alive</t>
    </r>
    <r>
      <rPr>
        <sz val="11"/>
        <color theme="1"/>
        <rFont val="Calibri"/>
        <family val="2"/>
      </rPr>
      <t>|Abruption|Continues smoking) - Infant(Liveborn|NBW|Full gestation)</t>
    </r>
  </si>
  <si>
    <r>
      <t>Mother(Dead</t>
    </r>
    <r>
      <rPr>
        <sz val="11"/>
        <color theme="1"/>
        <rFont val="Calibri"/>
        <family val="2"/>
      </rPr>
      <t>|Previa|Continues smoking) - Infant(Stillborn|LBW|Premature)</t>
    </r>
  </si>
  <si>
    <r>
      <t>Mother(Dead</t>
    </r>
    <r>
      <rPr>
        <sz val="11"/>
        <color theme="1"/>
        <rFont val="Calibri"/>
        <family val="2"/>
      </rPr>
      <t>|Previa|Continues smoking) - Infant(Liveborn|LBW|Premature)</t>
    </r>
  </si>
  <si>
    <r>
      <t>Mother(Dead</t>
    </r>
    <r>
      <rPr>
        <sz val="11"/>
        <color theme="1"/>
        <rFont val="Calibri"/>
        <family val="2"/>
      </rPr>
      <t>|Previa|Continues smoking) - Infant(Stillborn|NBW|Premature)</t>
    </r>
  </si>
  <si>
    <r>
      <t>Mother(Dead</t>
    </r>
    <r>
      <rPr>
        <sz val="11"/>
        <color theme="1"/>
        <rFont val="Calibri"/>
        <family val="2"/>
      </rPr>
      <t>|Previa|Continues smoking) - Infant(Liveborn|NBW|Premature)</t>
    </r>
  </si>
  <si>
    <r>
      <t>Mother(Alive</t>
    </r>
    <r>
      <rPr>
        <sz val="11"/>
        <color theme="1"/>
        <rFont val="Calibri"/>
        <family val="2"/>
      </rPr>
      <t>|Previa|Continues smoking) - Infant(Stillborn|LBW|Premature)</t>
    </r>
  </si>
  <si>
    <r>
      <t>Mother(Alive</t>
    </r>
    <r>
      <rPr>
        <sz val="11"/>
        <color theme="1"/>
        <rFont val="Calibri"/>
        <family val="2"/>
      </rPr>
      <t>|Previa|Continues smoking) - Infant(Liveborn|LBW|Premature)</t>
    </r>
  </si>
  <si>
    <r>
      <t>Mother(Alive</t>
    </r>
    <r>
      <rPr>
        <sz val="11"/>
        <color theme="1"/>
        <rFont val="Calibri"/>
        <family val="2"/>
      </rPr>
      <t>|Previa|Continues smoking) - Infant(Stillborn|NBW|Premature)</t>
    </r>
  </si>
  <si>
    <r>
      <t>Mother(Alive</t>
    </r>
    <r>
      <rPr>
        <sz val="11"/>
        <color theme="1"/>
        <rFont val="Calibri"/>
        <family val="2"/>
      </rPr>
      <t>|Previa|Continues smoking) - Infant(Liveborn|NBW|Premature)</t>
    </r>
  </si>
  <si>
    <r>
      <t>Mother(Dead</t>
    </r>
    <r>
      <rPr>
        <sz val="11"/>
        <color theme="1"/>
        <rFont val="Calibri"/>
        <family val="2"/>
      </rPr>
      <t>|Previa|Continues smoking) - Infant(Stillborn|LBW|Full gestation)</t>
    </r>
  </si>
  <si>
    <r>
      <t>Mother(Dead</t>
    </r>
    <r>
      <rPr>
        <sz val="11"/>
        <color theme="1"/>
        <rFont val="Calibri"/>
        <family val="2"/>
      </rPr>
      <t>|Previa|Continues smoking) - Infant(Liveborn|LBW|Full gestation)</t>
    </r>
  </si>
  <si>
    <r>
      <t>Mother(Dead</t>
    </r>
    <r>
      <rPr>
        <sz val="11"/>
        <color theme="1"/>
        <rFont val="Calibri"/>
        <family val="2"/>
      </rPr>
      <t>|Previa|Continues smoking) - Infant(Stillborn|NBW|Full gestation)</t>
    </r>
  </si>
  <si>
    <r>
      <t>Mother(Dead</t>
    </r>
    <r>
      <rPr>
        <sz val="11"/>
        <color theme="1"/>
        <rFont val="Calibri"/>
        <family val="2"/>
      </rPr>
      <t>|Previa|Continues smoking) - Infant(Liveborn|NBW|Full gestation)</t>
    </r>
  </si>
  <si>
    <r>
      <t>Mother(Alive</t>
    </r>
    <r>
      <rPr>
        <sz val="11"/>
        <color theme="1"/>
        <rFont val="Calibri"/>
        <family val="2"/>
      </rPr>
      <t>|Previa|Continues smoking) - Infant(Stillborn|LBW|Full gestation)</t>
    </r>
  </si>
  <si>
    <r>
      <t>Mother(Alive</t>
    </r>
    <r>
      <rPr>
        <sz val="11"/>
        <color theme="1"/>
        <rFont val="Calibri"/>
        <family val="2"/>
      </rPr>
      <t>|Previa|Continues smoking) - Infant(Liveborn|LBW|Full gestation)</t>
    </r>
  </si>
  <si>
    <r>
      <t>Mother(Alive</t>
    </r>
    <r>
      <rPr>
        <sz val="11"/>
        <color theme="1"/>
        <rFont val="Calibri"/>
        <family val="2"/>
      </rPr>
      <t>|Previa|Continues smoking) - Infant(Stillborn|NBW|Full gestation)</t>
    </r>
  </si>
  <si>
    <r>
      <t>Mother(Alive</t>
    </r>
    <r>
      <rPr>
        <sz val="11"/>
        <color theme="1"/>
        <rFont val="Calibri"/>
        <family val="2"/>
      </rPr>
      <t>|Previa|Continues smoking) - Infant(Liveborn|NBW|Full gestation)</t>
    </r>
  </si>
  <si>
    <r>
      <t>Mother(Dead</t>
    </r>
    <r>
      <rPr>
        <sz val="11"/>
        <color theme="1"/>
        <rFont val="Calibri"/>
        <family val="2"/>
      </rPr>
      <t>|Pre-eclampsia|Continues smoking) - Infant(Stillborn|LBW|Premature)</t>
    </r>
  </si>
  <si>
    <r>
      <t>Mother(Dead</t>
    </r>
    <r>
      <rPr>
        <sz val="11"/>
        <color theme="1"/>
        <rFont val="Calibri"/>
        <family val="2"/>
      </rPr>
      <t>|Pre-eclampsia|Continues smoking) - Infant(Liveborn|LBW|Premature)</t>
    </r>
  </si>
  <si>
    <r>
      <t>Mother(Dead</t>
    </r>
    <r>
      <rPr>
        <sz val="11"/>
        <color theme="1"/>
        <rFont val="Calibri"/>
        <family val="2"/>
      </rPr>
      <t>|Pre-eclampsia|Continues smoking) - Infant(Stillborn|NBW|Premature)</t>
    </r>
  </si>
  <si>
    <r>
      <t>Mother(Dead</t>
    </r>
    <r>
      <rPr>
        <sz val="11"/>
        <color theme="1"/>
        <rFont val="Calibri"/>
        <family val="2"/>
      </rPr>
      <t>|Pre-eclampsia|Continues smoking) - Infant(Liveborn|NBW|Premature)</t>
    </r>
  </si>
  <si>
    <r>
      <t>Mother(Alive</t>
    </r>
    <r>
      <rPr>
        <sz val="11"/>
        <color theme="1"/>
        <rFont val="Calibri"/>
        <family val="2"/>
      </rPr>
      <t>|Pre-eclampsia|Continues smoking) - Infant(Stillborn|LBW|Premature)</t>
    </r>
  </si>
  <si>
    <r>
      <t>Mother(Alive</t>
    </r>
    <r>
      <rPr>
        <sz val="11"/>
        <color theme="1"/>
        <rFont val="Calibri"/>
        <family val="2"/>
      </rPr>
      <t>|Pre-eclampsia|Continues smoking) - Infant(Liveborn|LBW|Premature)</t>
    </r>
  </si>
  <si>
    <r>
      <t>Mother(Alive</t>
    </r>
    <r>
      <rPr>
        <sz val="11"/>
        <color theme="1"/>
        <rFont val="Calibri"/>
        <family val="2"/>
      </rPr>
      <t>|Pre-eclampsia|Continues smoking) - Infant(Stillborn|NBW|Premature)</t>
    </r>
  </si>
  <si>
    <r>
      <t>Mother(Alive</t>
    </r>
    <r>
      <rPr>
        <sz val="11"/>
        <color theme="1"/>
        <rFont val="Calibri"/>
        <family val="2"/>
      </rPr>
      <t>|Pre-eclampsia|Continues smoking) - Infant(Liveborn|NBW|Premature)</t>
    </r>
  </si>
  <si>
    <r>
      <t>Mother(Dead</t>
    </r>
    <r>
      <rPr>
        <sz val="11"/>
        <color theme="1"/>
        <rFont val="Calibri"/>
        <family val="2"/>
      </rPr>
      <t>|Pre-eclampsia|Continues smoking) - Infant(Stillborn|LBW|Full gestation)</t>
    </r>
  </si>
  <si>
    <r>
      <t>Mother(Dead</t>
    </r>
    <r>
      <rPr>
        <sz val="11"/>
        <color theme="1"/>
        <rFont val="Calibri"/>
        <family val="2"/>
      </rPr>
      <t>|Pre-eclampsia|Continues smoking) - Infant(Liveborn|LBW|Full gestation)</t>
    </r>
  </si>
  <si>
    <r>
      <t>Mother(Dead</t>
    </r>
    <r>
      <rPr>
        <sz val="11"/>
        <color theme="1"/>
        <rFont val="Calibri"/>
        <family val="2"/>
      </rPr>
      <t>|Pre-eclampsia|Continues smoking) - Infant(Stillborn|NBW|Full gestation)</t>
    </r>
  </si>
  <si>
    <r>
      <t>Mother(Dead</t>
    </r>
    <r>
      <rPr>
        <sz val="11"/>
        <color theme="1"/>
        <rFont val="Calibri"/>
        <family val="2"/>
      </rPr>
      <t>|Pre-eclampsia|Continues smoking) - Infant(Liveborn|NBW|Full gestation)</t>
    </r>
  </si>
  <si>
    <r>
      <t>Mother(Alive</t>
    </r>
    <r>
      <rPr>
        <sz val="11"/>
        <color theme="1"/>
        <rFont val="Calibri"/>
        <family val="2"/>
      </rPr>
      <t>|Pre-eclampsia|Continues smoking) - Infant(Stillborn|LBW|Full gestation)</t>
    </r>
  </si>
  <si>
    <r>
      <t>Mother(Alive</t>
    </r>
    <r>
      <rPr>
        <sz val="11"/>
        <color theme="1"/>
        <rFont val="Calibri"/>
        <family val="2"/>
      </rPr>
      <t>|Pre-eclampsia|Continues smoking) - Infant(Liveborn|LBW|Full gestation)</t>
    </r>
  </si>
  <si>
    <r>
      <t>Mother(Alive</t>
    </r>
    <r>
      <rPr>
        <sz val="11"/>
        <color theme="1"/>
        <rFont val="Calibri"/>
        <family val="2"/>
      </rPr>
      <t>|Pre-eclampsia|Continues smoking) - Infant(Stillborn|NBW|Full gestation)</t>
    </r>
  </si>
  <si>
    <r>
      <t>Mother(Alive</t>
    </r>
    <r>
      <rPr>
        <sz val="11"/>
        <color theme="1"/>
        <rFont val="Calibri"/>
        <family val="2"/>
      </rPr>
      <t>|Pre-eclampsia|Continues smoking) - Infant(Liveborn|NBW|Full gestation)</t>
    </r>
  </si>
  <si>
    <r>
      <t>Mother(Dead</t>
    </r>
    <r>
      <rPr>
        <sz val="11"/>
        <color theme="1"/>
        <rFont val="Calibri"/>
        <family val="2"/>
      </rPr>
      <t>|No complication|Continues smoking) - Infant(Stillborn|LBW|Premature)</t>
    </r>
  </si>
  <si>
    <r>
      <t>Mother(Dead</t>
    </r>
    <r>
      <rPr>
        <sz val="11"/>
        <color theme="1"/>
        <rFont val="Calibri"/>
        <family val="2"/>
      </rPr>
      <t>|No complication|Continues smoking) - Infant(Liveborn|LBW|Premature)</t>
    </r>
  </si>
  <si>
    <r>
      <t>Mother(Dead</t>
    </r>
    <r>
      <rPr>
        <sz val="11"/>
        <color theme="1"/>
        <rFont val="Calibri"/>
        <family val="2"/>
      </rPr>
      <t>|No complication|Continues smoking) - Infant(Stillborn|NBW|Premature)</t>
    </r>
  </si>
  <si>
    <r>
      <t>Mother(Dead</t>
    </r>
    <r>
      <rPr>
        <sz val="11"/>
        <color theme="1"/>
        <rFont val="Calibri"/>
        <family val="2"/>
      </rPr>
      <t>|No complication|Continues smoking) - Infant(Liveborn|NBW|Premature)</t>
    </r>
  </si>
  <si>
    <r>
      <t>Mother(Alive</t>
    </r>
    <r>
      <rPr>
        <sz val="11"/>
        <color theme="1"/>
        <rFont val="Calibri"/>
        <family val="2"/>
      </rPr>
      <t>|No complication|Continues smoking) - Infant(Stillborn|LBW|Premature)</t>
    </r>
  </si>
  <si>
    <r>
      <t>Mother(Alive</t>
    </r>
    <r>
      <rPr>
        <sz val="11"/>
        <color theme="1"/>
        <rFont val="Calibri"/>
        <family val="2"/>
      </rPr>
      <t>|No complication|Continues smoking) - Infant(Liveborn|LBW|Premature)</t>
    </r>
  </si>
  <si>
    <r>
      <t>Mother(Alive</t>
    </r>
    <r>
      <rPr>
        <sz val="11"/>
        <color theme="1"/>
        <rFont val="Calibri"/>
        <family val="2"/>
      </rPr>
      <t>|No complication|Continues smoking) - Infant(Stillborn|NBW|Premature)</t>
    </r>
  </si>
  <si>
    <r>
      <t>Mother(Alive</t>
    </r>
    <r>
      <rPr>
        <sz val="11"/>
        <color theme="1"/>
        <rFont val="Calibri"/>
        <family val="2"/>
      </rPr>
      <t>|No complication|Continues smoking) - Infant(Liveborn|NBW|Premature)</t>
    </r>
  </si>
  <si>
    <r>
      <t>Mother(Dead</t>
    </r>
    <r>
      <rPr>
        <sz val="11"/>
        <color theme="1"/>
        <rFont val="Calibri"/>
        <family val="2"/>
      </rPr>
      <t>|No complication|Continues smoking) - Infant(Stillborn|LBW|Full gestation)</t>
    </r>
  </si>
  <si>
    <r>
      <t>Mother(Dead</t>
    </r>
    <r>
      <rPr>
        <sz val="11"/>
        <color theme="1"/>
        <rFont val="Calibri"/>
        <family val="2"/>
      </rPr>
      <t>|No complication|Continues smoking) - Infant(Liveborn|LBW|Full gestation)</t>
    </r>
  </si>
  <si>
    <r>
      <t>Mother(Dead</t>
    </r>
    <r>
      <rPr>
        <sz val="11"/>
        <color theme="1"/>
        <rFont val="Calibri"/>
        <family val="2"/>
      </rPr>
      <t>|No complication|Continues smoking) - Infant(Stillborn|NBW|Full gestation)</t>
    </r>
  </si>
  <si>
    <r>
      <t>Mother(Dead</t>
    </r>
    <r>
      <rPr>
        <sz val="11"/>
        <color theme="1"/>
        <rFont val="Calibri"/>
        <family val="2"/>
      </rPr>
      <t>|No complication|Continues smoking) - Infant(Liveborn|NBW|Full gestation)</t>
    </r>
  </si>
  <si>
    <r>
      <t>Mother(Alive</t>
    </r>
    <r>
      <rPr>
        <sz val="11"/>
        <color theme="1"/>
        <rFont val="Calibri"/>
        <family val="2"/>
      </rPr>
      <t>|No complication|Continues smoking) - Infant(Stillborn|LBW|Full gestation)</t>
    </r>
  </si>
  <si>
    <r>
      <t>Mother(Alive</t>
    </r>
    <r>
      <rPr>
        <sz val="11"/>
        <color theme="1"/>
        <rFont val="Calibri"/>
        <family val="2"/>
      </rPr>
      <t>|No complication|Continues smoking) - Infant(Liveborn|LBW|Full gestation)</t>
    </r>
  </si>
  <si>
    <r>
      <t>Mother(Alive</t>
    </r>
    <r>
      <rPr>
        <sz val="11"/>
        <color theme="1"/>
        <rFont val="Calibri"/>
        <family val="2"/>
      </rPr>
      <t>|No complication|Continues smoking) - Infant(Stillborn|NBW|Full gestation)</t>
    </r>
  </si>
  <si>
    <r>
      <t>Mother(Alive</t>
    </r>
    <r>
      <rPr>
        <sz val="11"/>
        <color theme="1"/>
        <rFont val="Calibri"/>
        <family val="2"/>
      </rPr>
      <t>|No complication|Continues smoking) - Infant(Liveborn|NBW|Full gestation)</t>
    </r>
  </si>
  <si>
    <t>Maternal healthcare costs</t>
  </si>
  <si>
    <t>Ectopic &amp; Miscarriage</t>
  </si>
  <si>
    <t>Abruption &amp; Previa</t>
  </si>
  <si>
    <t>Community Midwife Visit</t>
  </si>
  <si>
    <t>Obstetrician First Visit</t>
  </si>
  <si>
    <t>Standard Ultrasound scan</t>
  </si>
  <si>
    <t>Specialised Ultrasound Scan</t>
  </si>
  <si>
    <t>Emergency Caesarean Section</t>
  </si>
  <si>
    <t>Caesarean Section</t>
  </si>
  <si>
    <t>Routine Observation</t>
  </si>
  <si>
    <t>Antenatal care (Premature)</t>
  </si>
  <si>
    <t>Antenatal care (Full gestation)</t>
  </si>
  <si>
    <t>Maternal Healthcare costs</t>
  </si>
  <si>
    <t>Infant Healthcare costs</t>
  </si>
  <si>
    <t>Maternal Utilities</t>
  </si>
  <si>
    <t>Infant healthcare costs</t>
  </si>
  <si>
    <t>Utility weight for former smoker (from Maheswaran tariff based on maternal age)</t>
  </si>
  <si>
    <t>Utility weight for current smoker (from Maheswaran tariff based on maternal age)</t>
  </si>
  <si>
    <t>Utility decrement for Ectopic pregnancy</t>
  </si>
  <si>
    <t>Utility decrement for Foetal Loss/Stillbirth</t>
  </si>
  <si>
    <t>Abruption (premature)</t>
  </si>
  <si>
    <t>Abruption (full gestation)</t>
  </si>
  <si>
    <t>Previa (premature)</t>
  </si>
  <si>
    <t>Previa (full gestation)</t>
  </si>
  <si>
    <t>Pre-eclampsia (full gestation)</t>
  </si>
  <si>
    <t>No complication (premature)</t>
  </si>
  <si>
    <t>No complication (full gestation)</t>
  </si>
  <si>
    <t>Average length of pregnancy controlling for gestation and complications</t>
  </si>
  <si>
    <t>Model values (look up table)</t>
  </si>
  <si>
    <t>Mother smoking at conception</t>
  </si>
  <si>
    <t>Cohort size (Mother)</t>
  </si>
  <si>
    <t>Cohort size (infant)</t>
  </si>
  <si>
    <t>Expected cost per mother</t>
  </si>
  <si>
    <t>Expected QALYs per mother</t>
  </si>
  <si>
    <t>Number of ectopic pregnancies</t>
  </si>
  <si>
    <t>Number of miscarriages</t>
  </si>
  <si>
    <t>Number of abruption</t>
  </si>
  <si>
    <t>Number of previa</t>
  </si>
  <si>
    <t>Number of pre-eclampsia</t>
  </si>
  <si>
    <t>Number with a complications</t>
  </si>
  <si>
    <t>Number of deaths amongst mothers</t>
  </si>
  <si>
    <t>Number of infant deaths</t>
  </si>
  <si>
    <t>Number of infants born with LBW</t>
  </si>
  <si>
    <t>Number of infants born prematurly</t>
  </si>
  <si>
    <t>Number of adverse live births</t>
  </si>
  <si>
    <t>Number of any adverse infant outcomes</t>
  </si>
  <si>
    <t>Expected cost per infant</t>
  </si>
  <si>
    <t>Combined expected cost per mother and infant</t>
  </si>
  <si>
    <t>Within pregnancy results for mother only</t>
  </si>
  <si>
    <t>Within pregnancy results for infant only</t>
  </si>
  <si>
    <t>Within pregnancy results for both mother and infant</t>
  </si>
  <si>
    <t>These values are rate per</t>
  </si>
  <si>
    <t>All mortality</t>
  </si>
  <si>
    <t>RR(Current smoker aged 35-44)</t>
  </si>
  <si>
    <t>RR(Current smoker aged 45-54)</t>
  </si>
  <si>
    <t>RR(Current smoker aged 55-64)</t>
  </si>
  <si>
    <t>RR(Current smoker aged 65-74)</t>
  </si>
  <si>
    <t>RR(Current smoker aged 75-84)</t>
  </si>
  <si>
    <t>RR(Current smoker aged 85+)</t>
  </si>
  <si>
    <t>RR(Former smoker aged 35-44)</t>
  </si>
  <si>
    <t>RR(Former smoker aged 45-54)</t>
  </si>
  <si>
    <t>RR(Former smoker aged 55-64)</t>
  </si>
  <si>
    <t>RR(Former smoker aged 65-74)</t>
  </si>
  <si>
    <t>RR(Former smoker aged 75-84)</t>
  </si>
  <si>
    <t>RR(Former smoker aged 85+)</t>
  </si>
  <si>
    <t>Prevalence of Smoking amongst women by age</t>
  </si>
  <si>
    <t>Relative risks for increased mortality by smoking behaviour and age (NS=1)</t>
  </si>
  <si>
    <t>State(CS)</t>
  </si>
  <si>
    <t>State(0-1Q)</t>
  </si>
  <si>
    <t>State(1-2Q)</t>
  </si>
  <si>
    <t>State(LTQ)</t>
  </si>
  <si>
    <t>State(Dead)</t>
  </si>
  <si>
    <t>RR(CHD Current Smoker aged 35-54 FEMALE)</t>
  </si>
  <si>
    <t>RR(CHD Current Smoker aged 55-64 FEMALE)</t>
  </si>
  <si>
    <t>RR(CHD Current Smoker aged 65-74 FEMALE)</t>
  </si>
  <si>
    <t>RR(CHD Current Smoker aged 75+ FEMALE)</t>
  </si>
  <si>
    <t>RR(COPD Current Smoker aged 35-54 FEMALE)</t>
  </si>
  <si>
    <t>RR(COPD Current Smoker aged 55-64 FEMALE)</t>
  </si>
  <si>
    <t>RR(COPD Current Smoker aged 65-74 FEMALE)</t>
  </si>
  <si>
    <t>RR(COPD Current Smoker aged 75+ FEMALE)</t>
  </si>
  <si>
    <t>RR(LC Current Smoker aged 35-54 FEMALE)</t>
  </si>
  <si>
    <t>RR(LC Current Smoker aged 55-64 FEMALE)</t>
  </si>
  <si>
    <t>RR(LC Current Smoker aged 65-74 FEMALE)</t>
  </si>
  <si>
    <t>RR(LC Current Smoker aged 75+ FEMALE)</t>
  </si>
  <si>
    <t>RR(Stroke Current Smoker aged 35-54 FEMALE)</t>
  </si>
  <si>
    <t>RR(Stroke Current Smoker aged 55-64 FEMALE)</t>
  </si>
  <si>
    <t>RR(Stroke Current Smoker aged 65-74 FEMALE)</t>
  </si>
  <si>
    <t>RR(Stroke Current Smoker aged 75+ FEMALE)</t>
  </si>
  <si>
    <t>RR(CHD Former Smoker aged 35-54 FEMALE)</t>
  </si>
  <si>
    <t>RR(CHD Former Smoker aged 55-64 FEMALE)</t>
  </si>
  <si>
    <t>RR(CHD Former Smoker aged 65-74 FEMALE)</t>
  </si>
  <si>
    <t>RR(CHD Former Smoker aged 75+ FEMALE)</t>
  </si>
  <si>
    <t>RR(COPD Former Smoker aged 35-54 FEMALE)</t>
  </si>
  <si>
    <t>RR(COPD Former Smoker aged 55-64 FEMALE)</t>
  </si>
  <si>
    <t>RR(COPD Former Smoker aged 65-74 FEMALE)</t>
  </si>
  <si>
    <t>RR(COPD Former Smoker aged 75+ FEMALE)</t>
  </si>
  <si>
    <t>RR(LC Former Smoker aged 35-54 FEMALE)</t>
  </si>
  <si>
    <t>RR(LC Former Smoker aged 55-64 FEMALE)</t>
  </si>
  <si>
    <t>RR(LC Former Smoker aged 65-74 FEMALE)</t>
  </si>
  <si>
    <t>RR(LC Former Smoker aged 75+ FEMALE)</t>
  </si>
  <si>
    <t>RR(Stroke Former Smoker aged 35-54 FEMALE)</t>
  </si>
  <si>
    <t>RR(Stroke Former Smoker aged 55-64 FEMALE)</t>
  </si>
  <si>
    <t>RR(Stroke Former Smoker aged 65-74 FEMALE)</t>
  </si>
  <si>
    <t>RR(Stroke Former Smoker aged 75+ FEMALE)</t>
  </si>
  <si>
    <t>RR(CHD Current Smoker aged 35-54 MALE)</t>
  </si>
  <si>
    <t>RR(CHD Current Smoker aged 55-64 MALE)</t>
  </si>
  <si>
    <t>RR(CHD Current Smoker aged 65-74 MALE)</t>
  </si>
  <si>
    <t>RR(CHD Current Smoker aged 75+ MALE)</t>
  </si>
  <si>
    <t>RR(COPD Current Smoker aged 35-54 MALE)</t>
  </si>
  <si>
    <t>RR(COPD Current Smoker aged 55-64 MALE)</t>
  </si>
  <si>
    <t>RR(COPD Current Smoker aged 65-74 MALE)</t>
  </si>
  <si>
    <t>RR(COPD Current Smoker aged 75+ MALE)</t>
  </si>
  <si>
    <t>RR(LC Current Smoker aged 35-54 MALE)</t>
  </si>
  <si>
    <t>RR(LC Current Smoker aged 55-64 MALE)</t>
  </si>
  <si>
    <t>RR(LC Current Smoker aged 65-74 MALE)</t>
  </si>
  <si>
    <t>RR(LC Current Smoker aged 75+ MALE)</t>
  </si>
  <si>
    <t>RR(Stroke Current Smoker aged 35-54 MALE)</t>
  </si>
  <si>
    <t>RR(Stroke Current Smoker aged 55-64 MALE)</t>
  </si>
  <si>
    <t>RR(Stroke Current Smoker aged 65-74 MALE)</t>
  </si>
  <si>
    <t>RR(Stroke Current Smoker aged 75+ MALE)</t>
  </si>
  <si>
    <t>RR(CHD Former Smoker aged 35-54 MALE)</t>
  </si>
  <si>
    <t>RR(CHD Former Smoker aged 55-64 MALE)</t>
  </si>
  <si>
    <t>RR(CHD Former Smoker aged 65-74 MALE)</t>
  </si>
  <si>
    <t>RR(CHD Former Smoker aged 75+ MALE)</t>
  </si>
  <si>
    <t>RR(COPD Former Smoker aged 35-54 MALE)</t>
  </si>
  <si>
    <t>RR(COPD Former Smoker aged 55-64 MALE)</t>
  </si>
  <si>
    <t>RR(COPD Former Smoker aged 65-74 MALE)</t>
  </si>
  <si>
    <t>RR(COPD Former Smoker aged 75+ MALE)</t>
  </si>
  <si>
    <t>RR(LC Former Smoker aged 35-54 MALE)</t>
  </si>
  <si>
    <t>RR(LC Former Smoker aged 55-64 MALE)</t>
  </si>
  <si>
    <t>RR(LC Former Smoker aged 65-74 MALE)</t>
  </si>
  <si>
    <t>RR(LC Former Smoker aged 75+ MALE)</t>
  </si>
  <si>
    <t>RR(Stroke Former Smoker aged 35-54 MALE)</t>
  </si>
  <si>
    <t>RR(Stroke Former Smoker aged 55-64 MALE)</t>
  </si>
  <si>
    <t>RR(Stroke Former Smoker aged 65-74 MALE)</t>
  </si>
  <si>
    <t>RR(Stroke Former Smoker aged 75+ MALE)</t>
  </si>
  <si>
    <t>FEMALES - CURRENT SMOKERS</t>
  </si>
  <si>
    <t>FEMALES - FORMER SMOKERS</t>
  </si>
  <si>
    <t>MALES - CURRENT SMOKERS</t>
  </si>
  <si>
    <t>MALES - FORMER SMOKERS</t>
  </si>
  <si>
    <t>Tables of Relative Risks for Lookup commands</t>
  </si>
  <si>
    <t>Total Life Years</t>
  </si>
  <si>
    <t>Maternal Life Years</t>
  </si>
  <si>
    <t>Deterministic/Probabilistic</t>
  </si>
  <si>
    <t>Discounted Life Years</t>
  </si>
  <si>
    <t>Discounted QALYs</t>
  </si>
  <si>
    <t>Discounted Health Care Costs</t>
  </si>
  <si>
    <t>% Alive</t>
  </si>
  <si>
    <t>% Dead</t>
  </si>
  <si>
    <t>% Morbidity</t>
  </si>
  <si>
    <t>Morbidity &amp; Mortality</t>
  </si>
  <si>
    <t>Mother lifetime model results</t>
  </si>
  <si>
    <t>Percentage alive</t>
  </si>
  <si>
    <t>Percentage dead</t>
  </si>
  <si>
    <t>Percentage of cohort with morbidity</t>
  </si>
  <si>
    <t>Expected life years per mother</t>
  </si>
  <si>
    <t>Mother Lifetime Component - (MLC)</t>
  </si>
  <si>
    <t>Markov chain</t>
  </si>
  <si>
    <t>Probabilities</t>
  </si>
  <si>
    <t>P(I_PS_M_CS|I_nPS_M_01Q)</t>
  </si>
  <si>
    <t>P(I_PS_M_CS|I_nPS_M_12Q)</t>
  </si>
  <si>
    <t>P(I_PS_M_CS|I_nPS_M_LTQ)</t>
  </si>
  <si>
    <t>State (I_PS_M_CS)</t>
  </si>
  <si>
    <t>State (I_nPS_M_CS)</t>
  </si>
  <si>
    <t>State (I_nPS_M_01Q)</t>
  </si>
  <si>
    <t>State (I_nPS_M_12Q)</t>
  </si>
  <si>
    <t>State (I_nPS_M_LTQ)</t>
  </si>
  <si>
    <t>State(I_nPS_MD)</t>
  </si>
  <si>
    <t>State(I_dead)</t>
  </si>
  <si>
    <t>Probabilities - MALES LBW</t>
  </si>
  <si>
    <t>RR(Increased mortality associated with LBW Aged between 1 and 4 years)</t>
  </si>
  <si>
    <t>RR(Increased mortality associated with LBW Aged between 5 and 9 years)</t>
  </si>
  <si>
    <t>RR(Increased mortality associated with LBW Aged between 10 and 14 years)</t>
  </si>
  <si>
    <t>RR(Increased mortality associated with LBW Aged between 15 and 19 years)</t>
  </si>
  <si>
    <t>Relative risks of increased mortality amongst children born with low birth weight</t>
  </si>
  <si>
    <t>Probabilities - MALES NBW</t>
  </si>
  <si>
    <t>Probabilities - FEMALES LBW</t>
  </si>
  <si>
    <t>Probabilities - FEMALES NBW</t>
  </si>
  <si>
    <t>Total cohort</t>
  </si>
  <si>
    <t>Infant_ NM</t>
  </si>
  <si>
    <t>Infant_Asthma</t>
  </si>
  <si>
    <t>Prevalence of Asthma amongst infants aged 0-15 years controlling for birthweight and exposure to smoke during pregnnacy/childhood (by age and sex) - (OAC)</t>
  </si>
  <si>
    <r>
      <t>Asthma[Male 5-9](Not passive</t>
    </r>
    <r>
      <rPr>
        <sz val="11"/>
        <color theme="1"/>
        <rFont val="Calibri"/>
        <family val="2"/>
      </rPr>
      <t>|Mother not smoking in pregnancy|NBW)</t>
    </r>
  </si>
  <si>
    <r>
      <t>Asthma[Male 10-14](Not passive</t>
    </r>
    <r>
      <rPr>
        <sz val="11"/>
        <color theme="1"/>
        <rFont val="Calibri"/>
        <family val="2"/>
      </rPr>
      <t>|Mother not smoking in pregnancy|NBW)</t>
    </r>
  </si>
  <si>
    <r>
      <t>Asthma[Male15-19](Not passive</t>
    </r>
    <r>
      <rPr>
        <sz val="11"/>
        <color theme="1"/>
        <rFont val="Calibri"/>
        <family val="2"/>
      </rPr>
      <t>|Mother not smoking in pregnancy|NBW)</t>
    </r>
  </si>
  <si>
    <r>
      <t>Asthma[Male 5-9](Not passive</t>
    </r>
    <r>
      <rPr>
        <sz val="11"/>
        <color theme="1"/>
        <rFont val="Calibri"/>
        <family val="2"/>
      </rPr>
      <t>|Mother smoking in pregnancy|NBW)</t>
    </r>
  </si>
  <si>
    <r>
      <t>Asthma[Male 10-14](Not passive</t>
    </r>
    <r>
      <rPr>
        <sz val="11"/>
        <color theme="1"/>
        <rFont val="Calibri"/>
        <family val="2"/>
      </rPr>
      <t>|Mother smoking in pregnancy|NBW)</t>
    </r>
  </si>
  <si>
    <r>
      <t>Asthma[Male 15-19](Not passive</t>
    </r>
    <r>
      <rPr>
        <sz val="11"/>
        <color theme="1"/>
        <rFont val="Calibri"/>
        <family val="2"/>
      </rPr>
      <t>|Mother smoking in pregnancy|NBW)</t>
    </r>
  </si>
  <si>
    <r>
      <t>Asthma[Male 5-9](Not passive</t>
    </r>
    <r>
      <rPr>
        <sz val="11"/>
        <color theme="1"/>
        <rFont val="Calibri"/>
        <family val="2"/>
      </rPr>
      <t>|Mother not smoking in pregnancy|LBW)</t>
    </r>
  </si>
  <si>
    <r>
      <t>Asthma[Male 10-14](Not passive</t>
    </r>
    <r>
      <rPr>
        <sz val="11"/>
        <color theme="1"/>
        <rFont val="Calibri"/>
        <family val="2"/>
      </rPr>
      <t>|Mother not smoking in pregnancy|LBW)</t>
    </r>
  </si>
  <si>
    <r>
      <t>Asthma[Male 15-19](Not passive</t>
    </r>
    <r>
      <rPr>
        <sz val="11"/>
        <color theme="1"/>
        <rFont val="Calibri"/>
        <family val="2"/>
      </rPr>
      <t>|Mother not smoking in pregnancy|LBW)</t>
    </r>
  </si>
  <si>
    <t>Asthma[Male 5-9](Not passive|Mother smoking in pregnancy|LBW)</t>
  </si>
  <si>
    <t>Asthma[Male 10-14](Not passive|Mother smoking in pregnancy|LBW)</t>
  </si>
  <si>
    <t>Asthma[Male 15-19](Not passive|Mother smoking in pregnancy|LBW)</t>
  </si>
  <si>
    <t>Asthma[Female 5-9](Not passive|Mother not smoking in pregnancy|NBW)</t>
  </si>
  <si>
    <t>Asthma[Female 10-14](Not passive|Mother not smoking in pregnancy|NBW)</t>
  </si>
  <si>
    <t>Asthma[Female15-19](Not passive|Mother not smoking in pregnancy|NBW)</t>
  </si>
  <si>
    <t>Asthma[Female 5-9](Not passive|Mother smoking in pregnancy|NBW)</t>
  </si>
  <si>
    <t>Asthma[Female 10-14](Not passive|Mother smoking in pregnancy|NBW)</t>
  </si>
  <si>
    <t>Asthma[Female 15-19](Not passive|Mother smoking in pregnancy|NBW)</t>
  </si>
  <si>
    <t>Asthma[Female 5-9](Not passive|Mother not smoking in pregnancy|LBW)</t>
  </si>
  <si>
    <t>Asthma[Female 10-14](Not passive|Mother not smoking in pregnancy|LBW)</t>
  </si>
  <si>
    <t>Asthma[Female 15-19](Not passive|Mother not smoking in pregnancy|LBW)</t>
  </si>
  <si>
    <t>Asthma[Female 5-9](Not passive|Mother smoking in pregnancy|LBW)</t>
  </si>
  <si>
    <t>Asthma[Female 10-14](Not passive|Mother smoking in pregnancy|LBW)</t>
  </si>
  <si>
    <t>Asthma[Female 15-19](Not passive|Mother smoking in pregnancy|LBW)</t>
  </si>
  <si>
    <t>Odds ratio for childhood asthma associated with exposure to passive smoking</t>
  </si>
  <si>
    <r>
      <t>Asthma(Not passive</t>
    </r>
    <r>
      <rPr>
        <sz val="11"/>
        <color theme="1"/>
        <rFont val="Calibri"/>
        <family val="2"/>
      </rPr>
      <t>|Mother not smoking in pregnancy|NBW)</t>
    </r>
  </si>
  <si>
    <r>
      <t>Asthma(Not passive</t>
    </r>
    <r>
      <rPr>
        <sz val="11"/>
        <color theme="1"/>
        <rFont val="Calibri"/>
        <family val="2"/>
      </rPr>
      <t>|Mother smoking in pregnancy|NBW)</t>
    </r>
  </si>
  <si>
    <r>
      <t>Asthma(Not passive</t>
    </r>
    <r>
      <rPr>
        <sz val="11"/>
        <color theme="1"/>
        <rFont val="Calibri"/>
        <family val="2"/>
      </rPr>
      <t>|Mother not smoking in pregnancy|LBW)</t>
    </r>
  </si>
  <si>
    <t>Asthma(Not passive|Mother smoking in pregnancy|LBW)</t>
  </si>
  <si>
    <t>Asthma(Not passive|Mother not smoking in pregnancy|NBW)</t>
  </si>
  <si>
    <t>Asthma(Passive|Mother not smoking in pregnancy|NBW)</t>
  </si>
  <si>
    <t>Asthma(Not passive|Mother smoking in pregnancy|NBW)</t>
  </si>
  <si>
    <t>Asthma(Not passive|Mother not smoking in pregnancy|LBW)</t>
  </si>
  <si>
    <t>Asthma(Passive|Mother smoking in pregnancy|LBW)</t>
  </si>
  <si>
    <t>Asthma(Passive|Mother not smoking in pregnancy|LBW)</t>
  </si>
  <si>
    <t>Asthma(Passive|Mother smoking in pregnancy|NBW)</t>
  </si>
  <si>
    <t>Coluomn index</t>
  </si>
  <si>
    <t>Markov chain - MALES LBW - Mother quit during pregnancy</t>
  </si>
  <si>
    <t>Markov chain - MALES LBW - Mother smokes during pregnancy</t>
  </si>
  <si>
    <t>Markov chain - MALES NBW - Mother quits during pregnancy</t>
  </si>
  <si>
    <t>Markov chain - MALES NBW - Mother smokes through pregnancy</t>
  </si>
  <si>
    <t>Markov chain - FEMALES LBW - mother quits during pregnancy</t>
  </si>
  <si>
    <t>Markov chain - FEMALES LBW - Mother smokes during pregnancy</t>
  </si>
  <si>
    <t>Markov chain - FEMALES NBW - Mother quits during pregnancy</t>
  </si>
  <si>
    <t>Markov chain - FEMALES NBW - Mother smokes during pregnancy</t>
  </si>
  <si>
    <t>Infant_alive</t>
  </si>
  <si>
    <t>Infant_dead</t>
  </si>
  <si>
    <t>Cost(Childhood asthma)</t>
  </si>
  <si>
    <t>Utility(Childhood asthma)</t>
  </si>
  <si>
    <t>Utility(No morbidity in childhood)</t>
  </si>
  <si>
    <t>Infant childhood model results</t>
  </si>
  <si>
    <t>Expected life years per infant</t>
  </si>
  <si>
    <t>Expected QALYs per infant</t>
  </si>
  <si>
    <t>Combined results for both mother and infant</t>
  </si>
  <si>
    <t>Combined expected life years per mother and infant</t>
  </si>
  <si>
    <t>Combined expected QALYs per mother and infant</t>
  </si>
  <si>
    <t>GET NEW VALUES FOR THESE</t>
  </si>
  <si>
    <r>
      <t>Probability(Start smoking</t>
    </r>
    <r>
      <rPr>
        <sz val="11"/>
        <color theme="1"/>
        <rFont val="Calibri"/>
        <family val="2"/>
      </rPr>
      <t>|Non smoking mother)[Aged under 16] MALES</t>
    </r>
  </si>
  <si>
    <r>
      <t>Probability(Start smoking</t>
    </r>
    <r>
      <rPr>
        <sz val="11"/>
        <color theme="1"/>
        <rFont val="Calibri"/>
        <family val="2"/>
      </rPr>
      <t>|Non smoking mother)[Aged 16-17] MALES</t>
    </r>
  </si>
  <si>
    <r>
      <t>Probability(Start smoking</t>
    </r>
    <r>
      <rPr>
        <sz val="11"/>
        <color theme="1"/>
        <rFont val="Calibri"/>
        <family val="2"/>
      </rPr>
      <t>|Non smoking mother)[Aged 20-24] MALES</t>
    </r>
  </si>
  <si>
    <r>
      <t>Probability(Start smoking</t>
    </r>
    <r>
      <rPr>
        <sz val="11"/>
        <color theme="1"/>
        <rFont val="Calibri"/>
        <family val="2"/>
      </rPr>
      <t>|Non smoking mother)[Aged 25-59] MALES</t>
    </r>
  </si>
  <si>
    <r>
      <t>Probability(Start smoking</t>
    </r>
    <r>
      <rPr>
        <sz val="11"/>
        <color theme="1"/>
        <rFont val="Calibri"/>
        <family val="2"/>
      </rPr>
      <t>|Non smoking mother)[Aged under 16] FEMALES</t>
    </r>
  </si>
  <si>
    <r>
      <t>Probability(Start smoking</t>
    </r>
    <r>
      <rPr>
        <sz val="11"/>
        <color theme="1"/>
        <rFont val="Calibri"/>
        <family val="2"/>
      </rPr>
      <t>|Non smoking mother)[Aged 16-17] FEMALES</t>
    </r>
  </si>
  <si>
    <r>
      <t>Probability(Start smoking</t>
    </r>
    <r>
      <rPr>
        <sz val="11"/>
        <color theme="1"/>
        <rFont val="Calibri"/>
        <family val="2"/>
      </rPr>
      <t>|Non smoking mother)[Aged 18-19] FEMALES</t>
    </r>
  </si>
  <si>
    <r>
      <t>Probability(Start smoking</t>
    </r>
    <r>
      <rPr>
        <sz val="11"/>
        <color theme="1"/>
        <rFont val="Calibri"/>
        <family val="2"/>
      </rPr>
      <t>|Non smoking mother)[Aged 20-24] FEMALES</t>
    </r>
  </si>
  <si>
    <r>
      <t>Probability(Start smoking</t>
    </r>
    <r>
      <rPr>
        <sz val="11"/>
        <color theme="1"/>
        <rFont val="Calibri"/>
        <family val="2"/>
      </rPr>
      <t>|Non smoking mother)[Aged 25-59] FEMALES</t>
    </r>
  </si>
  <si>
    <r>
      <t>Probability(Start smoking</t>
    </r>
    <r>
      <rPr>
        <sz val="11"/>
        <color theme="1"/>
        <rFont val="Calibri"/>
        <family val="2"/>
      </rPr>
      <t>|Non smoking mother)[Aged 18-19] MALES</t>
    </r>
  </si>
  <si>
    <t>Aged under 16</t>
  </si>
  <si>
    <t>Aged 16-17</t>
  </si>
  <si>
    <t>Index</t>
  </si>
  <si>
    <t>Determinsitic</t>
  </si>
  <si>
    <r>
      <t>Annual probability of picking up smoking</t>
    </r>
    <r>
      <rPr>
        <sz val="11"/>
        <color theme="1"/>
        <rFont val="Calibri"/>
        <family val="2"/>
      </rPr>
      <t>|Mother is not actively smoking</t>
    </r>
  </si>
  <si>
    <t>Aged 18-19</t>
  </si>
  <si>
    <t>Aged 20-24</t>
  </si>
  <si>
    <r>
      <t>P(Start smoking</t>
    </r>
    <r>
      <rPr>
        <sz val="11"/>
        <color theme="1"/>
        <rFont val="Calibri"/>
        <family val="2"/>
      </rPr>
      <t>|Mother not smoking)</t>
    </r>
  </si>
  <si>
    <r>
      <t>P(Start smoking</t>
    </r>
    <r>
      <rPr>
        <sz val="11"/>
        <color theme="1"/>
        <rFont val="Calibri"/>
        <family val="2"/>
      </rPr>
      <t>|Mother actively smoking)</t>
    </r>
  </si>
  <si>
    <t>State (NS_M_CS)</t>
  </si>
  <si>
    <t>State (NS_M_01Q)</t>
  </si>
  <si>
    <t>State (NS_M_12Q)</t>
  </si>
  <si>
    <t>State (NS_M_LTQ)</t>
  </si>
  <si>
    <t>State (NS_M_D)</t>
  </si>
  <si>
    <t>State (CS)</t>
  </si>
  <si>
    <t>State (01Q)</t>
  </si>
  <si>
    <t>State (12Q)</t>
  </si>
  <si>
    <t>State (LTQ)</t>
  </si>
  <si>
    <t>State (Dead)</t>
  </si>
  <si>
    <t>NS_NM</t>
  </si>
  <si>
    <t>% Ever smokers</t>
  </si>
  <si>
    <t>Infant adulthood model results</t>
  </si>
  <si>
    <t>Percentage of cohort alive</t>
  </si>
  <si>
    <t>Percentage of cohort dead</t>
  </si>
  <si>
    <t>Percentage of cohort who were ever smokers</t>
  </si>
  <si>
    <t>INFANT CHILDHOOD MODEL</t>
  </si>
  <si>
    <t>INFANT ADULTHOOD COMPONENT - DETERMINISTIC</t>
  </si>
  <si>
    <t>Mother within-pregnancy component</t>
  </si>
  <si>
    <t>Infant within-pregnancy component</t>
  </si>
  <si>
    <r>
      <t>P(I_D</t>
    </r>
    <r>
      <rPr>
        <b/>
        <sz val="11"/>
        <color theme="1"/>
        <rFont val="Calibri"/>
        <family val="2"/>
      </rPr>
      <t>|I_NS_M_CS)</t>
    </r>
  </si>
  <si>
    <r>
      <t>P(I_NS_M_01Q</t>
    </r>
    <r>
      <rPr>
        <b/>
        <sz val="11"/>
        <color theme="1"/>
        <rFont val="Calibri"/>
        <family val="2"/>
      </rPr>
      <t>|I_NS_M_CS)</t>
    </r>
  </si>
  <si>
    <r>
      <t>P(I_CS</t>
    </r>
    <r>
      <rPr>
        <b/>
        <sz val="11"/>
        <color theme="1"/>
        <rFont val="Calibri"/>
        <family val="2"/>
      </rPr>
      <t>|I_NS_M_CS)</t>
    </r>
  </si>
  <si>
    <r>
      <t>P(I_NS_M_D</t>
    </r>
    <r>
      <rPr>
        <b/>
        <sz val="11"/>
        <color theme="1"/>
        <rFont val="Calibri"/>
        <family val="2"/>
      </rPr>
      <t>|I_NS_M_CS)</t>
    </r>
  </si>
  <si>
    <r>
      <t>P(I_NS_M_CS</t>
    </r>
    <r>
      <rPr>
        <b/>
        <sz val="11"/>
        <color theme="1"/>
        <rFont val="Calibri"/>
        <family val="2"/>
      </rPr>
      <t>|I_NS_M_CS)</t>
    </r>
  </si>
  <si>
    <r>
      <t>P(I_D</t>
    </r>
    <r>
      <rPr>
        <b/>
        <sz val="11"/>
        <color theme="1"/>
        <rFont val="Calibri"/>
        <family val="2"/>
      </rPr>
      <t>|I_NS_M_01YQ)</t>
    </r>
  </si>
  <si>
    <r>
      <t>P(I_NS_M_12Q</t>
    </r>
    <r>
      <rPr>
        <b/>
        <sz val="11"/>
        <color theme="1"/>
        <rFont val="Calibri"/>
        <family val="2"/>
      </rPr>
      <t>|I_NS_M_01YQ)</t>
    </r>
  </si>
  <si>
    <r>
      <t>P(I_CS</t>
    </r>
    <r>
      <rPr>
        <b/>
        <sz val="11"/>
        <color theme="1"/>
        <rFont val="Calibri"/>
        <family val="2"/>
      </rPr>
      <t>|I_NS_M_01YQ)</t>
    </r>
  </si>
  <si>
    <r>
      <t>P(I_NS_M_D</t>
    </r>
    <r>
      <rPr>
        <b/>
        <sz val="11"/>
        <color theme="1"/>
        <rFont val="Calibri"/>
        <family val="2"/>
      </rPr>
      <t>|I_NS_M_01YQ)</t>
    </r>
  </si>
  <si>
    <r>
      <t>P(I_NS_M_CS</t>
    </r>
    <r>
      <rPr>
        <b/>
        <sz val="11"/>
        <color theme="1"/>
        <rFont val="Calibri"/>
        <family val="2"/>
      </rPr>
      <t>|I_NS_M_01YQ)</t>
    </r>
  </si>
  <si>
    <r>
      <t>P(I_D</t>
    </r>
    <r>
      <rPr>
        <b/>
        <sz val="11"/>
        <color theme="1"/>
        <rFont val="Calibri"/>
        <family val="2"/>
      </rPr>
      <t>|I_NS_M_12YQ)</t>
    </r>
  </si>
  <si>
    <r>
      <t>P(I_NS_M_LTQ</t>
    </r>
    <r>
      <rPr>
        <b/>
        <sz val="11"/>
        <color theme="1"/>
        <rFont val="Calibri"/>
        <family val="2"/>
      </rPr>
      <t>|I_NS_M_12YQ)</t>
    </r>
  </si>
  <si>
    <r>
      <t>P(I_CS</t>
    </r>
    <r>
      <rPr>
        <b/>
        <sz val="11"/>
        <color theme="1"/>
        <rFont val="Calibri"/>
        <family val="2"/>
      </rPr>
      <t>|I_NS_M_12YQ)</t>
    </r>
  </si>
  <si>
    <r>
      <t>P(I_NS_M_D</t>
    </r>
    <r>
      <rPr>
        <b/>
        <sz val="11"/>
        <color theme="1"/>
        <rFont val="Calibri"/>
        <family val="2"/>
      </rPr>
      <t>|I_NS_M_12YQ)</t>
    </r>
  </si>
  <si>
    <r>
      <t>P(I_NS_M_CS</t>
    </r>
    <r>
      <rPr>
        <b/>
        <sz val="11"/>
        <color theme="1"/>
        <rFont val="Calibri"/>
        <family val="2"/>
      </rPr>
      <t>|I_NS_M_12YQ)</t>
    </r>
  </si>
  <si>
    <r>
      <t>P(I_D</t>
    </r>
    <r>
      <rPr>
        <b/>
        <sz val="11"/>
        <color theme="1"/>
        <rFont val="Calibri"/>
        <family val="2"/>
      </rPr>
      <t>|I_NS_M_LTQ)</t>
    </r>
  </si>
  <si>
    <r>
      <t>P(I_NS_M_CS</t>
    </r>
    <r>
      <rPr>
        <b/>
        <sz val="11"/>
        <color theme="1"/>
        <rFont val="Calibri"/>
        <family val="2"/>
      </rPr>
      <t>|I_NS_M_LTQ)</t>
    </r>
  </si>
  <si>
    <r>
      <t>P(I_CS</t>
    </r>
    <r>
      <rPr>
        <b/>
        <sz val="11"/>
        <color theme="1"/>
        <rFont val="Calibri"/>
        <family val="2"/>
      </rPr>
      <t>|I_NS_M_LTQ)</t>
    </r>
  </si>
  <si>
    <r>
      <t>P(I_NS_M_D</t>
    </r>
    <r>
      <rPr>
        <b/>
        <sz val="11"/>
        <color theme="1"/>
        <rFont val="Calibri"/>
        <family val="2"/>
      </rPr>
      <t>|I_NS_M_LTQ)</t>
    </r>
  </si>
  <si>
    <r>
      <t>P(I_NS_M_LTQ</t>
    </r>
    <r>
      <rPr>
        <b/>
        <sz val="11"/>
        <color theme="1"/>
        <rFont val="Calibri"/>
        <family val="2"/>
      </rPr>
      <t>|I_NS_M_LTQ)</t>
    </r>
  </si>
  <si>
    <r>
      <t>P(I_D</t>
    </r>
    <r>
      <rPr>
        <b/>
        <sz val="11"/>
        <color theme="1"/>
        <rFont val="Calibri"/>
        <family val="2"/>
      </rPr>
      <t>|I_NS_M_D)</t>
    </r>
  </si>
  <si>
    <r>
      <t>P(I_CS</t>
    </r>
    <r>
      <rPr>
        <b/>
        <sz val="11"/>
        <color theme="1"/>
        <rFont val="Calibri"/>
        <family val="2"/>
      </rPr>
      <t>|I_NS_M_D)</t>
    </r>
  </si>
  <si>
    <r>
      <t>P(I_NS_M_D</t>
    </r>
    <r>
      <rPr>
        <b/>
        <sz val="11"/>
        <color theme="1"/>
        <rFont val="Calibri"/>
        <family val="2"/>
      </rPr>
      <t>|I_NS_M_D)</t>
    </r>
  </si>
  <si>
    <r>
      <t>P(I_D</t>
    </r>
    <r>
      <rPr>
        <b/>
        <sz val="11"/>
        <color theme="1"/>
        <rFont val="Calibri"/>
        <family val="2"/>
      </rPr>
      <t>|I_CS)</t>
    </r>
  </si>
  <si>
    <r>
      <t>P(I_01Q</t>
    </r>
    <r>
      <rPr>
        <b/>
        <sz val="11"/>
        <color theme="1"/>
        <rFont val="Calibri"/>
        <family val="2"/>
      </rPr>
      <t>|I_CS)</t>
    </r>
  </si>
  <si>
    <r>
      <t>P(I_CS</t>
    </r>
    <r>
      <rPr>
        <b/>
        <sz val="11"/>
        <color theme="1"/>
        <rFont val="Calibri"/>
        <family val="2"/>
      </rPr>
      <t>|I_CS)</t>
    </r>
  </si>
  <si>
    <r>
      <t>P(I_D</t>
    </r>
    <r>
      <rPr>
        <b/>
        <sz val="11"/>
        <color theme="1"/>
        <rFont val="Calibri"/>
        <family val="2"/>
      </rPr>
      <t>|I_01Q)</t>
    </r>
  </si>
  <si>
    <r>
      <t>P(I_12Q</t>
    </r>
    <r>
      <rPr>
        <b/>
        <sz val="11"/>
        <color theme="1"/>
        <rFont val="Calibri"/>
        <family val="2"/>
      </rPr>
      <t>|I_01Q)</t>
    </r>
  </si>
  <si>
    <r>
      <t>P(I_CS</t>
    </r>
    <r>
      <rPr>
        <b/>
        <sz val="11"/>
        <color theme="1"/>
        <rFont val="Calibri"/>
        <family val="2"/>
      </rPr>
      <t>|I_01Q)</t>
    </r>
  </si>
  <si>
    <r>
      <t>P(I_D</t>
    </r>
    <r>
      <rPr>
        <b/>
        <sz val="11"/>
        <color theme="1"/>
        <rFont val="Calibri"/>
        <family val="2"/>
      </rPr>
      <t>|I_12Q)</t>
    </r>
  </si>
  <si>
    <r>
      <t>P(I_LTQ</t>
    </r>
    <r>
      <rPr>
        <b/>
        <sz val="11"/>
        <color theme="1"/>
        <rFont val="Calibri"/>
        <family val="2"/>
      </rPr>
      <t>|I_12Q)</t>
    </r>
  </si>
  <si>
    <r>
      <t>P(I_CS</t>
    </r>
    <r>
      <rPr>
        <b/>
        <sz val="11"/>
        <color theme="1"/>
        <rFont val="Calibri"/>
        <family val="2"/>
      </rPr>
      <t>|I_12Q)</t>
    </r>
  </si>
  <si>
    <r>
      <t>P(I_D</t>
    </r>
    <r>
      <rPr>
        <b/>
        <sz val="11"/>
        <color theme="1"/>
        <rFont val="Calibri"/>
        <family val="2"/>
      </rPr>
      <t>|I_LTQ)</t>
    </r>
  </si>
  <si>
    <r>
      <t>P(I_CS</t>
    </r>
    <r>
      <rPr>
        <b/>
        <sz val="11"/>
        <color theme="1"/>
        <rFont val="Calibri"/>
        <family val="2"/>
      </rPr>
      <t>|I_LTQ)</t>
    </r>
  </si>
  <si>
    <r>
      <t>P(I_LTQ</t>
    </r>
    <r>
      <rPr>
        <b/>
        <sz val="11"/>
        <color theme="1"/>
        <rFont val="Calibri"/>
        <family val="2"/>
      </rPr>
      <t>|I_LTQ)</t>
    </r>
  </si>
  <si>
    <r>
      <t>P(I_dead</t>
    </r>
    <r>
      <rPr>
        <b/>
        <sz val="12"/>
        <color theme="1"/>
        <rFont val="Calibri"/>
        <family val="2"/>
      </rPr>
      <t>|I_PS_M_CS)</t>
    </r>
  </si>
  <si>
    <r>
      <t>P(I_nPS_M_01Q</t>
    </r>
    <r>
      <rPr>
        <b/>
        <sz val="12"/>
        <color theme="1"/>
        <rFont val="Calibri"/>
        <family val="2"/>
      </rPr>
      <t>|I_PS_M_CS)</t>
    </r>
  </si>
  <si>
    <r>
      <t>P(I_nPS_M_D</t>
    </r>
    <r>
      <rPr>
        <b/>
        <sz val="12"/>
        <color theme="1"/>
        <rFont val="Calibri"/>
        <family val="2"/>
      </rPr>
      <t>|I_PS_M_CS)</t>
    </r>
  </si>
  <si>
    <r>
      <t>P(I_PS</t>
    </r>
    <r>
      <rPr>
        <b/>
        <sz val="12"/>
        <color theme="1"/>
        <rFont val="Calibri"/>
        <family val="2"/>
      </rPr>
      <t>|I_PS_M_CS)</t>
    </r>
  </si>
  <si>
    <r>
      <t>P(I_dead</t>
    </r>
    <r>
      <rPr>
        <b/>
        <sz val="12"/>
        <color theme="1"/>
        <rFont val="Calibri"/>
        <family val="2"/>
      </rPr>
      <t>|I_nPS_M_CS)</t>
    </r>
  </si>
  <si>
    <r>
      <t>P(I_nPS_M_01Q</t>
    </r>
    <r>
      <rPr>
        <b/>
        <sz val="12"/>
        <color theme="1"/>
        <rFont val="Calibri"/>
        <family val="2"/>
      </rPr>
      <t>|I_nPS_M_CS)</t>
    </r>
  </si>
  <si>
    <r>
      <t>P(I_nPS_M_D</t>
    </r>
    <r>
      <rPr>
        <b/>
        <sz val="12"/>
        <color theme="1"/>
        <rFont val="Calibri"/>
        <family val="2"/>
      </rPr>
      <t>|I_nPS_M_CS)</t>
    </r>
  </si>
  <si>
    <r>
      <t>P(I_nPS</t>
    </r>
    <r>
      <rPr>
        <b/>
        <sz val="12"/>
        <color theme="1"/>
        <rFont val="Calibri"/>
        <family val="2"/>
      </rPr>
      <t>|I_nPS_M_CS)</t>
    </r>
  </si>
  <si>
    <r>
      <t>P(I_dead</t>
    </r>
    <r>
      <rPr>
        <b/>
        <sz val="12"/>
        <color theme="1"/>
        <rFont val="Calibri"/>
        <family val="2"/>
      </rPr>
      <t>|I_nPS_M_01Q)</t>
    </r>
  </si>
  <si>
    <r>
      <t>P(I_nPS_M_12Q</t>
    </r>
    <r>
      <rPr>
        <b/>
        <sz val="12"/>
        <color theme="1"/>
        <rFont val="Calibri"/>
        <family val="2"/>
      </rPr>
      <t>|I_nPS_M_01Q)</t>
    </r>
  </si>
  <si>
    <r>
      <t>P(I_nPS_M_D</t>
    </r>
    <r>
      <rPr>
        <b/>
        <sz val="12"/>
        <color theme="1"/>
        <rFont val="Calibri"/>
        <family val="2"/>
      </rPr>
      <t>|I_nPS_M_01Q)</t>
    </r>
  </si>
  <si>
    <r>
      <t>P(I_nPS_M_CS</t>
    </r>
    <r>
      <rPr>
        <b/>
        <sz val="12"/>
        <color theme="1"/>
        <rFont val="Calibri"/>
        <family val="2"/>
      </rPr>
      <t>|I_nPS_M_01Q)</t>
    </r>
  </si>
  <si>
    <r>
      <t>P(I_dead</t>
    </r>
    <r>
      <rPr>
        <b/>
        <sz val="12"/>
        <color theme="1"/>
        <rFont val="Calibri"/>
        <family val="2"/>
      </rPr>
      <t>|I_nPS_M_12Q)</t>
    </r>
  </si>
  <si>
    <r>
      <t>P(I_nPS_M_LTQ</t>
    </r>
    <r>
      <rPr>
        <b/>
        <sz val="12"/>
        <color theme="1"/>
        <rFont val="Calibri"/>
        <family val="2"/>
      </rPr>
      <t>|I_nPS_M_12Q)</t>
    </r>
  </si>
  <si>
    <r>
      <t>P(I_nPS_M_D</t>
    </r>
    <r>
      <rPr>
        <b/>
        <sz val="12"/>
        <color theme="1"/>
        <rFont val="Calibri"/>
        <family val="2"/>
      </rPr>
      <t>|I_nPS_M_12Q)</t>
    </r>
  </si>
  <si>
    <r>
      <t>P(I_nPS_M_CS</t>
    </r>
    <r>
      <rPr>
        <b/>
        <sz val="12"/>
        <color theme="1"/>
        <rFont val="Calibri"/>
        <family val="2"/>
      </rPr>
      <t>|I_nPS_M_12Q)</t>
    </r>
  </si>
  <si>
    <r>
      <t>P(I_dead</t>
    </r>
    <r>
      <rPr>
        <b/>
        <sz val="12"/>
        <color theme="1"/>
        <rFont val="Calibri"/>
        <family val="2"/>
      </rPr>
      <t>|I_nPS_M_LTQ)</t>
    </r>
  </si>
  <si>
    <r>
      <t>P(I_nPS_M_LTQ</t>
    </r>
    <r>
      <rPr>
        <b/>
        <sz val="12"/>
        <color theme="1"/>
        <rFont val="Calibri"/>
        <family val="2"/>
      </rPr>
      <t>|I_nPS_M_LTQ)</t>
    </r>
  </si>
  <si>
    <r>
      <t>P(I_nPS_M_D</t>
    </r>
    <r>
      <rPr>
        <b/>
        <sz val="12"/>
        <color theme="1"/>
        <rFont val="Calibri"/>
        <family val="2"/>
      </rPr>
      <t>|I_nPS_M_LTQ)</t>
    </r>
  </si>
  <si>
    <r>
      <t>P(I_nPS_M_CS</t>
    </r>
    <r>
      <rPr>
        <b/>
        <sz val="12"/>
        <color theme="1"/>
        <rFont val="Calibri"/>
        <family val="2"/>
      </rPr>
      <t>|I_nPS_M_LTQ)</t>
    </r>
  </si>
  <si>
    <r>
      <t>P(I_dead</t>
    </r>
    <r>
      <rPr>
        <b/>
        <sz val="12"/>
        <color theme="1"/>
        <rFont val="Calibri"/>
        <family val="2"/>
      </rPr>
      <t>|I_nPS_M_D)</t>
    </r>
  </si>
  <si>
    <r>
      <t>P(I_nPS_M_D</t>
    </r>
    <r>
      <rPr>
        <b/>
        <sz val="12"/>
        <color theme="1"/>
        <rFont val="Calibri"/>
        <family val="2"/>
      </rPr>
      <t>|I_nPS_M_D)</t>
    </r>
  </si>
  <si>
    <r>
      <t>P(Dead</t>
    </r>
    <r>
      <rPr>
        <b/>
        <sz val="11"/>
        <color theme="1"/>
        <rFont val="Calibri"/>
        <family val="2"/>
      </rPr>
      <t>|</t>
    </r>
    <r>
      <rPr>
        <b/>
        <sz val="8.8000000000000007"/>
        <color theme="1"/>
        <rFont val="Calibri"/>
        <family val="2"/>
      </rPr>
      <t>CS)</t>
    </r>
  </si>
  <si>
    <r>
      <t>P(0-1Q</t>
    </r>
    <r>
      <rPr>
        <b/>
        <sz val="11"/>
        <color theme="1"/>
        <rFont val="Calibri"/>
        <family val="2"/>
      </rPr>
      <t>|CS)</t>
    </r>
  </si>
  <si>
    <r>
      <t>P(CS</t>
    </r>
    <r>
      <rPr>
        <b/>
        <sz val="11"/>
        <color theme="1"/>
        <rFont val="Calibri"/>
        <family val="2"/>
      </rPr>
      <t>|CS)</t>
    </r>
  </si>
  <si>
    <r>
      <t>P(Dead</t>
    </r>
    <r>
      <rPr>
        <b/>
        <sz val="11"/>
        <color theme="1"/>
        <rFont val="Calibri"/>
        <family val="2"/>
      </rPr>
      <t>|</t>
    </r>
    <r>
      <rPr>
        <b/>
        <sz val="8.8000000000000007"/>
        <color theme="1"/>
        <rFont val="Calibri"/>
        <family val="2"/>
      </rPr>
      <t>0-1Q)</t>
    </r>
  </si>
  <si>
    <r>
      <t>P(1-2Q</t>
    </r>
    <r>
      <rPr>
        <b/>
        <sz val="11"/>
        <color theme="1"/>
        <rFont val="Calibri"/>
        <family val="2"/>
      </rPr>
      <t>|</t>
    </r>
    <r>
      <rPr>
        <b/>
        <sz val="8.8000000000000007"/>
        <color theme="1"/>
        <rFont val="Calibri"/>
        <family val="2"/>
      </rPr>
      <t>0-1Q)</t>
    </r>
  </si>
  <si>
    <r>
      <t>P(CS</t>
    </r>
    <r>
      <rPr>
        <b/>
        <sz val="11"/>
        <color theme="1"/>
        <rFont val="Calibri"/>
        <family val="2"/>
      </rPr>
      <t>|</t>
    </r>
    <r>
      <rPr>
        <b/>
        <sz val="8.8000000000000007"/>
        <color theme="1"/>
        <rFont val="Calibri"/>
        <family val="2"/>
      </rPr>
      <t>0-1Q)</t>
    </r>
  </si>
  <si>
    <r>
      <t>P(Dead</t>
    </r>
    <r>
      <rPr>
        <b/>
        <sz val="11"/>
        <color theme="1"/>
        <rFont val="Calibri"/>
        <family val="2"/>
      </rPr>
      <t>|</t>
    </r>
    <r>
      <rPr>
        <b/>
        <sz val="8.8000000000000007"/>
        <color theme="1"/>
        <rFont val="Calibri"/>
        <family val="2"/>
      </rPr>
      <t>1-2Q)</t>
    </r>
  </si>
  <si>
    <r>
      <t>P(CS</t>
    </r>
    <r>
      <rPr>
        <b/>
        <sz val="11"/>
        <color theme="1"/>
        <rFont val="Calibri"/>
        <family val="2"/>
      </rPr>
      <t>|</t>
    </r>
    <r>
      <rPr>
        <b/>
        <sz val="8.8000000000000007"/>
        <color theme="1"/>
        <rFont val="Calibri"/>
        <family val="2"/>
      </rPr>
      <t>1-2Q)</t>
    </r>
  </si>
  <si>
    <r>
      <t>P(LTQ</t>
    </r>
    <r>
      <rPr>
        <b/>
        <sz val="11"/>
        <color theme="1"/>
        <rFont val="Calibri"/>
        <family val="2"/>
      </rPr>
      <t>|</t>
    </r>
    <r>
      <rPr>
        <b/>
        <sz val="8.8000000000000007"/>
        <color theme="1"/>
        <rFont val="Calibri"/>
        <family val="2"/>
      </rPr>
      <t>1-2Q)</t>
    </r>
  </si>
  <si>
    <r>
      <t>P(Dead</t>
    </r>
    <r>
      <rPr>
        <b/>
        <sz val="11"/>
        <color theme="1"/>
        <rFont val="Calibri"/>
        <family val="2"/>
      </rPr>
      <t>|</t>
    </r>
    <r>
      <rPr>
        <b/>
        <sz val="8.8000000000000007"/>
        <color theme="1"/>
        <rFont val="Calibri"/>
        <family val="2"/>
      </rPr>
      <t>LTQ)</t>
    </r>
  </si>
  <si>
    <r>
      <t>P(CS</t>
    </r>
    <r>
      <rPr>
        <b/>
        <sz val="11"/>
        <color theme="1"/>
        <rFont val="Calibri"/>
        <family val="2"/>
      </rPr>
      <t>|</t>
    </r>
    <r>
      <rPr>
        <b/>
        <sz val="8.8000000000000007"/>
        <color theme="1"/>
        <rFont val="Calibri"/>
        <family val="2"/>
      </rPr>
      <t>LTQ)</t>
    </r>
  </si>
  <si>
    <r>
      <t>P(LTQ</t>
    </r>
    <r>
      <rPr>
        <b/>
        <sz val="11"/>
        <color theme="1"/>
        <rFont val="Calibri"/>
        <family val="2"/>
      </rPr>
      <t>|</t>
    </r>
    <r>
      <rPr>
        <b/>
        <sz val="8.8000000000000007"/>
        <color theme="1"/>
        <rFont val="Calibri"/>
        <family val="2"/>
      </rPr>
      <t>LTQ)</t>
    </r>
  </si>
  <si>
    <t>Mobidity</t>
  </si>
  <si>
    <t>Morbidity - FEMALES</t>
  </si>
  <si>
    <t>Morbidity - MALES</t>
  </si>
  <si>
    <t>Cost(Comparator_cost)</t>
  </si>
  <si>
    <t>Cost(Intervention_cost)</t>
  </si>
  <si>
    <t>Combined cohort cost</t>
  </si>
  <si>
    <t>Discounted Health Care Costs - INFANT</t>
  </si>
  <si>
    <t>Discounted Health Care Costs - COMBINED</t>
  </si>
  <si>
    <r>
      <t>Asthma[Male 1-2](Not passive</t>
    </r>
    <r>
      <rPr>
        <sz val="11"/>
        <color theme="1"/>
        <rFont val="Calibri"/>
        <family val="2"/>
      </rPr>
      <t>|Mother not smoking in pregnancy|NBW)</t>
    </r>
  </si>
  <si>
    <t>Asthma[Male 3-4](Not passive|Mother not smoking in pregnancy|NBW)</t>
  </si>
  <si>
    <r>
      <t>Asthma[Male 1-2](Not passive</t>
    </r>
    <r>
      <rPr>
        <sz val="11"/>
        <color theme="1"/>
        <rFont val="Calibri"/>
        <family val="2"/>
      </rPr>
      <t>|Mother smoking in pregnancy|NBW)</t>
    </r>
  </si>
  <si>
    <r>
      <t>Asthma[Male 3-4](Not passive</t>
    </r>
    <r>
      <rPr>
        <sz val="11"/>
        <color theme="1"/>
        <rFont val="Calibri"/>
        <family val="2"/>
      </rPr>
      <t>|Mother smoking in pregnancy|NBW)</t>
    </r>
  </si>
  <si>
    <r>
      <t>Asthma[Male 1-2](Not passive</t>
    </r>
    <r>
      <rPr>
        <sz val="11"/>
        <color theme="1"/>
        <rFont val="Calibri"/>
        <family val="2"/>
      </rPr>
      <t>|Mother not smoking in pregnancy|LBW)</t>
    </r>
  </si>
  <si>
    <r>
      <t>Asthma[Male 3-4](Not passive</t>
    </r>
    <r>
      <rPr>
        <sz val="11"/>
        <color theme="1"/>
        <rFont val="Calibri"/>
        <family val="2"/>
      </rPr>
      <t>|Mother not smoking in pregnancy|LBW)</t>
    </r>
  </si>
  <si>
    <t>Asthma[Male 1-2](Not passive|Mother smoking in pregnancy|LBW)</t>
  </si>
  <si>
    <t>Asthma[Male 3-4](Not passive|Mother smoking in pregnancy|LBW)</t>
  </si>
  <si>
    <t>Asthma[Female 1-2](Not passive|Mother not smoking in pregnancy|NBW)</t>
  </si>
  <si>
    <t>Asthma[Female 3-4](Not passive|Mother not smoking in pregnancy|NBW)</t>
  </si>
  <si>
    <t>Asthma[Female 1-2](Not passive|Mother smoking in pregnancy|NBW)</t>
  </si>
  <si>
    <t>Asthma[Female 3-4](Not passive|Mother smoking in pregnancy|NBW)</t>
  </si>
  <si>
    <t>Asthma[Female 3-4](Not passive|Mother not smoking in pregnancy|LBW)</t>
  </si>
  <si>
    <t>Asthma[Female 1-2](Not passive|Mother not smoking in pregnancy|LBW)</t>
  </si>
  <si>
    <t>Asthma[Female 1-2](Not passive|Mother smoking in pregnancy|LBW)</t>
  </si>
  <si>
    <t>Asthma[Female 3-4](Not passive|Mother smoking in pregnancy|LBW)</t>
  </si>
  <si>
    <t>RR(Childhood Asthma when exposed to passive smoking MALE AGE 1-2 YEARS)</t>
  </si>
  <si>
    <t>RR(Childhood Asthma when exposed to passive smoking MALE AGE 3-4 YEARS)</t>
  </si>
  <si>
    <t>RR(Childhood Asthma when exposed to passive smoking MALE AGE 5-9 YEARS)</t>
  </si>
  <si>
    <t>RR(Childhood Asthma when exposed to passive smoking MALE AGE 10-14 YEARS)</t>
  </si>
  <si>
    <t>RR(Childhood Asthma when exposed to passive smoking MALE AGE 15-19 YEARS)</t>
  </si>
  <si>
    <t>RR(Childhood Asthma when exposed to passive smoking FEMALE AGE 1-2 YEARS)</t>
  </si>
  <si>
    <t>RR(Childhood Asthma when exposed to passive smoking FEMALE AGE 3-4 YEARS)</t>
  </si>
  <si>
    <t>RR(Childhood Asthma when exposed to passive smoking FEMALE AGE 5-9 YEARS)</t>
  </si>
  <si>
    <t>RR(Childhood Asthma when exposed to passive smoking FEMALE AGE 10-14 YEARS)</t>
  </si>
  <si>
    <t>RR(Childhood Asthma when exposed to passive smoking FEMALE AGE 15-19 YEARS)</t>
  </si>
  <si>
    <t>RR(Childhood Asthma when exposed to passive smokingAGE 1-2 YEARS)</t>
  </si>
  <si>
    <t>RR(Childhood Asthma when exposed to passive smokingAGE 3-4 YEARS)</t>
  </si>
  <si>
    <t>RR(Childhood Asthma when exposed to passive smokingAGE 5-9 YEARS)</t>
  </si>
  <si>
    <t>RR(Childhood Asthma when exposed to passive smokingAGE 10-14 YEARS)</t>
  </si>
  <si>
    <t>RR(Childhood Asthma when exposed to passive smokingAGE 15-19 YEARS)</t>
  </si>
  <si>
    <t>RR(Never smoker picks up smoking if mother is a smoker aged 0-15 years)</t>
  </si>
  <si>
    <t>RR(Never smoker picks up smoking if mother is a smoker aged 16-17 years)</t>
  </si>
  <si>
    <t>RR(Never smoker picks up smoking if mother is a smoker aged 18-19 years)</t>
  </si>
  <si>
    <t>25-48</t>
  </si>
  <si>
    <t>Note: Max smokers reached at age 60 for males and age 49 for females</t>
  </si>
  <si>
    <t>49-59</t>
  </si>
  <si>
    <t>60+</t>
  </si>
  <si>
    <t>Check N.Mothers</t>
  </si>
  <si>
    <t>Check N.Infants</t>
  </si>
  <si>
    <t>Do Mother &amp; Infants add up?</t>
  </si>
  <si>
    <t>Total intervention cost</t>
  </si>
  <si>
    <t>Total maternal healthcare cost</t>
  </si>
  <si>
    <t>Total maternal cost</t>
  </si>
  <si>
    <t>Total maternal life years</t>
  </si>
  <si>
    <t>Total maternal QALYs</t>
  </si>
  <si>
    <t>Total infant healthcare cost</t>
  </si>
  <si>
    <t>Total infant cost</t>
  </si>
  <si>
    <t>Combined Cohort cost</t>
  </si>
  <si>
    <t>Individual Branch check</t>
  </si>
  <si>
    <t>Within-pregnancy Cost-Offset analysis</t>
  </si>
  <si>
    <t>Model estimate</t>
  </si>
  <si>
    <t>Combined total healthcare cost</t>
  </si>
  <si>
    <t>COST-OFFSET ANALYSIS - HEALTHCARE ONLY</t>
  </si>
  <si>
    <t>COST-OFFSET ANALYSIS - NO INTERVENTION COSTS INCLUDED</t>
  </si>
  <si>
    <t>Lifetime Cost-Offset Analysis</t>
  </si>
  <si>
    <t>Expected maternal healthcare cost per mother</t>
  </si>
  <si>
    <t>Expected infant healthcare cost per infant (age 15 - childhood)</t>
  </si>
  <si>
    <t>Expected infant health care cost per infant (across adulthood)</t>
  </si>
  <si>
    <t>Combined healthcare cost per mother/infant - age 15 for infant</t>
  </si>
  <si>
    <t>Combined healthcare cost per mother/infant - adulthood for infant</t>
  </si>
  <si>
    <t>QUIT RATES AT DELIVERY</t>
  </si>
  <si>
    <t xml:space="preserve">Incremental </t>
  </si>
  <si>
    <t>Number of pregnancies affected by within-pregnancy morbidity</t>
  </si>
  <si>
    <t>Number of infants born with Low Birth Weight</t>
  </si>
  <si>
    <t>Incremental cost per additional quitter</t>
  </si>
  <si>
    <t>Incremental cost per morbidity avoided</t>
  </si>
  <si>
    <t>VALUE FOR MONEY STATISTICS (MATERNAL - AT DELIVERY)</t>
  </si>
  <si>
    <t>MODEL ESTIMATES AT DELIVERY - MATERNAL</t>
  </si>
  <si>
    <t>MODEL ESTIMATES AT DELIVERY - INFANT</t>
  </si>
  <si>
    <t>MODEL ESTIMATES AT DELIVERY - COMBINED MOTHER AND INFANT</t>
  </si>
  <si>
    <t>MODEL ESTIMATES AT DELIVERY - RETURN ON INVESTMENT</t>
  </si>
  <si>
    <t>Incremental cost per infant death avoided</t>
  </si>
  <si>
    <t>Incremental cost per premature birth avoided</t>
  </si>
  <si>
    <t>Incremental cost per infant born with low birth weight avoided</t>
  </si>
  <si>
    <t>Incremental cost per infant with an adverse birth outcome avoided</t>
  </si>
  <si>
    <t>VALUE FOR MONEY STATISTICS (INFANT - AT DELIVERY)</t>
  </si>
  <si>
    <t>VALUE FOR MONEY STATISTICS (COMBINED MOTHER AND INFANT - AT DELIVERY)</t>
  </si>
  <si>
    <t>Incremental cost per maternal morbidity avoided</t>
  </si>
  <si>
    <t>RETURN ON INVESTMENT STATISTICS (AT DELIVERY)</t>
  </si>
  <si>
    <t>Benefit-cost ratio (maternal healthcare cost)</t>
  </si>
  <si>
    <t>Benefit-cost ratio (infant healthcare cost)</t>
  </si>
  <si>
    <t>Benefit-cost ratio (combined healthcare cost)</t>
  </si>
  <si>
    <t>Maternal lifetime results at age</t>
  </si>
  <si>
    <t>Infant lifetime results at age</t>
  </si>
  <si>
    <t>Benefit-cost ratio (infant healthcare costs - childhood)</t>
  </si>
  <si>
    <t>Benefit-cost ratio (infant healthcare costs - adulthood)</t>
  </si>
  <si>
    <t>Benefit-cost ratio (combined healthcare costs - childhood)</t>
  </si>
  <si>
    <t>Benefit-cost ratio (combined healthcare costs - adulthood)</t>
  </si>
  <si>
    <t>VALUE FOR MONEY STATISTICS (MATERNAL - LIFETIME)</t>
  </si>
  <si>
    <t>RETURN ON INVESTMENT STATISTICS (LIFETIME)</t>
  </si>
  <si>
    <t>VALUE FOR MONEY STATISTICS (INFANT - CHILDHOOD)</t>
  </si>
  <si>
    <t>VALUE FOR MONEY STATISTICS (COMBINED - LIFETIME + CHILDHOOD)</t>
  </si>
  <si>
    <t>VALUE FOR MONEY STATISTICS (INFANT - ADULTHOOD)</t>
  </si>
  <si>
    <t>VALUE FOR MONEY STATISTICS (COMBINED - LIFETIME + ADULTHOOD)</t>
  </si>
  <si>
    <t>MODEL ESTIMATES AT LIFETIME - MATERNAL</t>
  </si>
  <si>
    <t>MODEL ESTIMATES AT AGE 15 YEARS - INFANT</t>
  </si>
  <si>
    <t>MODEL ESTIMATES AT LIFETIME &amp; AGE 15 - COMBINED MOTHER AND INFANT</t>
  </si>
  <si>
    <t>MODEL ESTIMATES AT ADULTHOOD - INFANT</t>
  </si>
  <si>
    <t>MODEL ESTIMATES AT LIFETIME &amp; ADULTHOOD - COMBIMED MOTHER AND INFANT</t>
  </si>
  <si>
    <t>MODEL ESTIMATES AT LIFETIME, AGE 15, &amp; ADULTHOOD - RETURN ON INVESTMENT</t>
  </si>
  <si>
    <t>COSTS OF COMPARATOR / INTERVENTION</t>
  </si>
  <si>
    <t>ESIP OUTPUT BASED UPON ABOVE INPUTS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</si>
</sst>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164" formatCode="&quot;£&quot;#,##0.00_);\(&quot;£&quot;#,##0.00\)"/>
    <numFmt numFmtId="165" formatCode="_(&quot;£&quot;* #,##0.00_);_(&quot;£&quot;* \(#,##0.00\);_(&quot;£&quot;* &quot;-&quot;??_);_(@_)"/>
    <numFmt numFmtId="166" formatCode="_(* #,##0.00_);_(* \(#,##0.00\);_(* &quot;-&quot;??_);_(@_)"/>
    <numFmt numFmtId="167" formatCode="0.0000"/>
    <numFmt numFmtId="168" formatCode="0.00000000"/>
    <numFmt numFmtId="169" formatCode="&quot;£&quot;#,##0.00"/>
    <numFmt numFmtId="170" formatCode="0.00000"/>
    <numFmt numFmtId="171" formatCode="0.000000"/>
    <numFmt numFmtId="172" formatCode="#,##0.0000"/>
    <numFmt numFmtId="173" formatCode="0.0000000000"/>
    <numFmt numFmtId="174" formatCode="0.000000000"/>
    <numFmt numFmtId="175" formatCode="#,##0.000000000"/>
    <numFmt numFmtId="176" formatCode="#,##0.0000_ ;\-#,##0.0000\ "/>
    <numFmt numFmtId="177" formatCode="&quot;£&quot;#,##0.0000"/>
  </numFmts>
  <fonts count="6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0"/>
      <color indexed="30"/>
      <name val="Arial"/>
      <family val="2"/>
    </font>
    <font>
      <u/>
      <sz val="8"/>
      <color rgb="FF0000FF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72"/>
      <name val="MS Sans Serif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name val="Arial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8"/>
      <color rgb="FF800080"/>
      <name val="Calibri"/>
      <family val="2"/>
      <scheme val="minor"/>
    </font>
    <font>
      <sz val="8"/>
      <name val="Tahoma"/>
      <family val="2"/>
    </font>
    <font>
      <i/>
      <sz val="8"/>
      <name val="Tahoma"/>
      <family val="2"/>
    </font>
    <font>
      <sz val="11"/>
      <color theme="0" tint="-0.1499984740745262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b/>
      <sz val="11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sz val="8.8000000000000007"/>
      <color theme="1"/>
      <name val="Calibri"/>
      <family val="2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i/>
      <sz val="14"/>
      <name val="Calibri"/>
      <family val="2"/>
      <scheme val="minor"/>
    </font>
  </fonts>
  <fills count="6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7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 style="thin">
        <color theme="0"/>
      </bottom>
      <diagonal/>
    </border>
    <border>
      <left/>
      <right style="medium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11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6" fillId="7" borderId="14" applyNumberFormat="0" applyAlignment="0" applyProtection="0"/>
    <xf numFmtId="0" fontId="7" fillId="20" borderId="15" applyNumberFormat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1" fillId="0" borderId="16" applyNumberFormat="0" applyFill="0" applyAlignment="0" applyProtection="0"/>
    <xf numFmtId="0" fontId="12" fillId="0" borderId="17" applyNumberFormat="0" applyFill="0" applyAlignment="0" applyProtection="0"/>
    <xf numFmtId="0" fontId="13" fillId="0" borderId="18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18" fillId="7" borderId="14" applyNumberFormat="0" applyAlignment="0" applyProtection="0"/>
    <xf numFmtId="0" fontId="19" fillId="0" borderId="19" applyNumberFormat="0" applyFill="0" applyAlignment="0" applyProtection="0"/>
    <xf numFmtId="0" fontId="20" fillId="21" borderId="0" applyNumberFormat="0" applyBorder="0" applyAlignment="0" applyProtection="0"/>
    <xf numFmtId="0" fontId="8" fillId="0" borderId="0"/>
    <xf numFmtId="0" fontId="8" fillId="0" borderId="0"/>
    <xf numFmtId="0" fontId="21" fillId="0" borderId="0"/>
    <xf numFmtId="0" fontId="8" fillId="0" borderId="0"/>
    <xf numFmtId="0" fontId="8" fillId="0" borderId="0"/>
    <xf numFmtId="0" fontId="3" fillId="0" borderId="0"/>
    <xf numFmtId="0" fontId="22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22" fillId="0" borderId="0"/>
    <xf numFmtId="0" fontId="8" fillId="0" borderId="0"/>
    <xf numFmtId="0" fontId="8" fillId="22" borderId="20" applyNumberFormat="0" applyFont="0" applyAlignment="0" applyProtection="0"/>
    <xf numFmtId="0" fontId="23" fillId="7" borderId="21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22" applyNumberFormat="0" applyFill="0" applyAlignment="0" applyProtection="0"/>
    <xf numFmtId="0" fontId="2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26" applyNumberFormat="0" applyFill="0" applyAlignment="0" applyProtection="0"/>
    <xf numFmtId="0" fontId="34" fillId="0" borderId="27" applyNumberFormat="0" applyFill="0" applyAlignment="0" applyProtection="0"/>
    <xf numFmtId="0" fontId="35" fillId="0" borderId="28" applyNumberFormat="0" applyFill="0" applyAlignment="0" applyProtection="0"/>
    <xf numFmtId="0" fontId="35" fillId="0" borderId="0" applyNumberFormat="0" applyFill="0" applyBorder="0" applyAlignment="0" applyProtection="0"/>
    <xf numFmtId="0" fontId="36" fillId="25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9" fillId="28" borderId="29" applyNumberFormat="0" applyAlignment="0" applyProtection="0"/>
    <xf numFmtId="0" fontId="40" fillId="29" borderId="30" applyNumberFormat="0" applyAlignment="0" applyProtection="0"/>
    <xf numFmtId="0" fontId="41" fillId="29" borderId="29" applyNumberFormat="0" applyAlignment="0" applyProtection="0"/>
    <xf numFmtId="0" fontId="42" fillId="0" borderId="31" applyNumberFormat="0" applyFill="0" applyAlignment="0" applyProtection="0"/>
    <xf numFmtId="0" fontId="43" fillId="30" borderId="32" applyNumberFormat="0" applyAlignment="0" applyProtection="0"/>
    <xf numFmtId="0" fontId="44" fillId="0" borderId="0" applyNumberFormat="0" applyFill="0" applyBorder="0" applyAlignment="0" applyProtection="0"/>
    <xf numFmtId="0" fontId="1" fillId="31" borderId="33" applyNumberFormat="0" applyFont="0" applyAlignment="0" applyProtection="0"/>
    <xf numFmtId="0" fontId="45" fillId="0" borderId="0" applyNumberFormat="0" applyFill="0" applyBorder="0" applyAlignment="0" applyProtection="0"/>
    <xf numFmtId="0" fontId="2" fillId="0" borderId="34" applyNumberFormat="0" applyFill="0" applyAlignment="0" applyProtection="0"/>
    <xf numFmtId="0" fontId="46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46" fillId="39" borderId="0" applyNumberFormat="0" applyBorder="0" applyAlignment="0" applyProtection="0"/>
    <xf numFmtId="0" fontId="46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46" fillId="43" borderId="0" applyNumberFormat="0" applyBorder="0" applyAlignment="0" applyProtection="0"/>
    <xf numFmtId="0" fontId="46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46" fillId="55" borderId="0" applyNumberFormat="0" applyBorder="0" applyAlignment="0" applyProtection="0"/>
    <xf numFmtId="0" fontId="47" fillId="0" borderId="0" applyNumberFormat="0" applyFill="0" applyBorder="0" applyAlignment="0" applyProtection="0"/>
    <xf numFmtId="0" fontId="29" fillId="0" borderId="0" applyNumberFormat="0" applyFill="0" applyBorder="0" applyAlignment="0" applyProtection="0"/>
  </cellStyleXfs>
  <cellXfs count="645">
    <xf numFmtId="0" fontId="0" fillId="0" borderId="0" xfId="0"/>
    <xf numFmtId="0" fontId="0" fillId="23" borderId="0" xfId="0" applyFill="1"/>
    <xf numFmtId="0" fontId="0" fillId="23" borderId="2" xfId="0" applyFill="1" applyBorder="1"/>
    <xf numFmtId="0" fontId="0" fillId="23" borderId="0" xfId="0" applyFill="1" applyBorder="1"/>
    <xf numFmtId="0" fontId="0" fillId="23" borderId="4" xfId="0" applyFill="1" applyBorder="1"/>
    <xf numFmtId="0" fontId="0" fillId="23" borderId="8" xfId="0" applyFill="1" applyBorder="1"/>
    <xf numFmtId="0" fontId="0" fillId="23" borderId="6" xfId="0" applyFill="1" applyBorder="1"/>
    <xf numFmtId="0" fontId="0" fillId="24" borderId="0" xfId="0" applyFill="1"/>
    <xf numFmtId="0" fontId="0" fillId="56" borderId="3" xfId="0" applyFill="1" applyBorder="1"/>
    <xf numFmtId="0" fontId="0" fillId="56" borderId="0" xfId="0" applyFill="1" applyBorder="1"/>
    <xf numFmtId="0" fontId="0" fillId="56" borderId="4" xfId="0" applyFill="1" applyBorder="1"/>
    <xf numFmtId="0" fontId="0" fillId="56" borderId="5" xfId="0" applyFill="1" applyBorder="1"/>
    <xf numFmtId="0" fontId="0" fillId="56" borderId="8" xfId="0" applyFill="1" applyBorder="1"/>
    <xf numFmtId="0" fontId="0" fillId="56" borderId="6" xfId="0" applyFill="1" applyBorder="1"/>
    <xf numFmtId="0" fontId="27" fillId="56" borderId="0" xfId="46" applyFont="1" applyFill="1" applyAlignment="1">
      <alignment horizontal="right"/>
    </xf>
    <xf numFmtId="2" fontId="8" fillId="56" borderId="0" xfId="46" applyNumberFormat="1" applyFont="1" applyFill="1"/>
    <xf numFmtId="0" fontId="0" fillId="56" borderId="1" xfId="0" applyFill="1" applyBorder="1"/>
    <xf numFmtId="10" fontId="0" fillId="56" borderId="0" xfId="0" applyNumberFormat="1" applyFill="1" applyBorder="1"/>
    <xf numFmtId="0" fontId="0" fillId="56" borderId="0" xfId="0" applyFill="1"/>
    <xf numFmtId="0" fontId="0" fillId="56" borderId="1" xfId="0" applyFill="1" applyBorder="1" applyAlignment="1"/>
    <xf numFmtId="0" fontId="50" fillId="56" borderId="0" xfId="0" applyFont="1" applyFill="1"/>
    <xf numFmtId="0" fontId="2" fillId="56" borderId="0" xfId="0" applyFont="1" applyFill="1" applyBorder="1"/>
    <xf numFmtId="0" fontId="2" fillId="56" borderId="3" xfId="0" applyFont="1" applyFill="1" applyBorder="1"/>
    <xf numFmtId="0" fontId="2" fillId="56" borderId="4" xfId="0" applyFont="1" applyFill="1" applyBorder="1"/>
    <xf numFmtId="0" fontId="0" fillId="0" borderId="0" xfId="0" applyFill="1"/>
    <xf numFmtId="169" fontId="0" fillId="56" borderId="3" xfId="0" applyNumberFormat="1" applyFill="1" applyBorder="1"/>
    <xf numFmtId="0" fontId="0" fillId="0" borderId="8" xfId="0" applyBorder="1"/>
    <xf numFmtId="0" fontId="51" fillId="56" borderId="0" xfId="0" applyFont="1" applyFill="1"/>
    <xf numFmtId="2" fontId="0" fillId="56" borderId="4" xfId="0" applyNumberFormat="1" applyFill="1" applyBorder="1"/>
    <xf numFmtId="0" fontId="0" fillId="0" borderId="0" xfId="0" applyFill="1" applyBorder="1" applyAlignment="1"/>
    <xf numFmtId="0" fontId="0" fillId="59" borderId="0" xfId="0" applyFill="1" applyBorder="1"/>
    <xf numFmtId="1" fontId="0" fillId="59" borderId="0" xfId="0" applyNumberFormat="1" applyFill="1" applyBorder="1"/>
    <xf numFmtId="0" fontId="51" fillId="56" borderId="0" xfId="0" applyFont="1" applyFill="1" applyBorder="1"/>
    <xf numFmtId="0" fontId="0" fillId="60" borderId="0" xfId="0" applyFill="1" applyBorder="1"/>
    <xf numFmtId="0" fontId="0" fillId="60" borderId="3" xfId="0" applyFill="1" applyBorder="1"/>
    <xf numFmtId="0" fontId="51" fillId="56" borderId="0" xfId="0" applyFont="1" applyFill="1" applyAlignment="1"/>
    <xf numFmtId="169" fontId="51" fillId="56" borderId="0" xfId="0" applyNumberFormat="1" applyFont="1" applyFill="1"/>
    <xf numFmtId="167" fontId="51" fillId="56" borderId="0" xfId="0" applyNumberFormat="1" applyFont="1" applyFill="1"/>
    <xf numFmtId="0" fontId="28" fillId="56" borderId="0" xfId="0" applyFont="1" applyFill="1" applyBorder="1"/>
    <xf numFmtId="0" fontId="0" fillId="56" borderId="3" xfId="0" applyFill="1" applyBorder="1" applyAlignment="1"/>
    <xf numFmtId="0" fontId="0" fillId="56" borderId="0" xfId="0" applyFill="1" applyBorder="1" applyAlignment="1"/>
    <xf numFmtId="0" fontId="0" fillId="56" borderId="46" xfId="0" applyFill="1" applyBorder="1"/>
    <xf numFmtId="0" fontId="0" fillId="56" borderId="47" xfId="0" applyFill="1" applyBorder="1"/>
    <xf numFmtId="171" fontId="0" fillId="56" borderId="0" xfId="0" applyNumberFormat="1" applyFill="1" applyBorder="1"/>
    <xf numFmtId="169" fontId="0" fillId="56" borderId="0" xfId="0" applyNumberFormat="1" applyFill="1" applyBorder="1"/>
    <xf numFmtId="169" fontId="0" fillId="56" borderId="8" xfId="0" applyNumberFormat="1" applyFill="1" applyBorder="1"/>
    <xf numFmtId="10" fontId="51" fillId="56" borderId="0" xfId="0" applyNumberFormat="1" applyFont="1" applyFill="1" applyBorder="1"/>
    <xf numFmtId="165" fontId="0" fillId="56" borderId="0" xfId="0" applyNumberFormat="1" applyFill="1" applyBorder="1"/>
    <xf numFmtId="0" fontId="50" fillId="56" borderId="0" xfId="0" applyFont="1" applyFill="1" applyBorder="1"/>
    <xf numFmtId="0" fontId="52" fillId="56" borderId="0" xfId="0" applyFont="1" applyFill="1" applyBorder="1" applyAlignment="1"/>
    <xf numFmtId="0" fontId="52" fillId="56" borderId="0" xfId="0" applyFont="1" applyFill="1" applyBorder="1"/>
    <xf numFmtId="1" fontId="51" fillId="56" borderId="0" xfId="0" applyNumberFormat="1" applyFont="1" applyFill="1" applyBorder="1"/>
    <xf numFmtId="169" fontId="51" fillId="56" borderId="0" xfId="0" applyNumberFormat="1" applyFont="1" applyFill="1" applyBorder="1"/>
    <xf numFmtId="167" fontId="51" fillId="56" borderId="0" xfId="0" applyNumberFormat="1" applyFont="1" applyFill="1" applyBorder="1"/>
    <xf numFmtId="172" fontId="51" fillId="56" borderId="0" xfId="0" applyNumberFormat="1" applyFont="1" applyFill="1" applyBorder="1"/>
    <xf numFmtId="169" fontId="0" fillId="56" borderId="4" xfId="0" applyNumberFormat="1" applyFill="1" applyBorder="1"/>
    <xf numFmtId="169" fontId="0" fillId="56" borderId="6" xfId="0" applyNumberFormat="1" applyFill="1" applyBorder="1"/>
    <xf numFmtId="169" fontId="28" fillId="56" borderId="0" xfId="0" applyNumberFormat="1" applyFont="1" applyFill="1" applyBorder="1"/>
    <xf numFmtId="0" fontId="0" fillId="56" borderId="11" xfId="0" applyFill="1" applyBorder="1"/>
    <xf numFmtId="2" fontId="0" fillId="56" borderId="11" xfId="0" applyNumberFormat="1" applyFill="1" applyBorder="1"/>
    <xf numFmtId="0" fontId="0" fillId="56" borderId="39" xfId="0" applyFill="1" applyBorder="1"/>
    <xf numFmtId="0" fontId="0" fillId="56" borderId="42" xfId="0" applyFill="1" applyBorder="1"/>
    <xf numFmtId="0" fontId="0" fillId="56" borderId="13" xfId="0" applyFill="1" applyBorder="1"/>
    <xf numFmtId="0" fontId="48" fillId="56" borderId="0" xfId="49" applyFont="1" applyFill="1"/>
    <xf numFmtId="0" fontId="48" fillId="56" borderId="0" xfId="49" applyFont="1" applyFill="1" applyBorder="1"/>
    <xf numFmtId="0" fontId="49" fillId="56" borderId="0" xfId="49" applyFont="1" applyFill="1" applyBorder="1"/>
    <xf numFmtId="1" fontId="48" fillId="56" borderId="0" xfId="49" applyNumberFormat="1" applyFont="1" applyFill="1" applyBorder="1"/>
    <xf numFmtId="2" fontId="0" fillId="56" borderId="0" xfId="0" applyNumberFormat="1" applyFill="1" applyBorder="1"/>
    <xf numFmtId="0" fontId="27" fillId="56" borderId="12" xfId="46" applyFont="1" applyFill="1" applyBorder="1"/>
    <xf numFmtId="0" fontId="27" fillId="56" borderId="36" xfId="46" applyFont="1" applyFill="1" applyBorder="1"/>
    <xf numFmtId="0" fontId="27" fillId="56" borderId="13" xfId="46" applyFont="1" applyFill="1" applyBorder="1"/>
    <xf numFmtId="0" fontId="27" fillId="56" borderId="9" xfId="46" applyFont="1" applyFill="1" applyBorder="1"/>
    <xf numFmtId="0" fontId="27" fillId="56" borderId="8" xfId="46" applyFont="1" applyFill="1" applyBorder="1"/>
    <xf numFmtId="2" fontId="8" fillId="56" borderId="8" xfId="46" applyNumberFormat="1" applyFont="1" applyFill="1" applyBorder="1"/>
    <xf numFmtId="0" fontId="2" fillId="56" borderId="23" xfId="0" applyFont="1" applyFill="1" applyBorder="1"/>
    <xf numFmtId="0" fontId="0" fillId="56" borderId="24" xfId="0" applyFill="1" applyBorder="1"/>
    <xf numFmtId="0" fontId="0" fillId="56" borderId="25" xfId="0" applyFill="1" applyBorder="1"/>
    <xf numFmtId="0" fontId="0" fillId="56" borderId="44" xfId="0" applyFill="1" applyBorder="1"/>
    <xf numFmtId="0" fontId="0" fillId="56" borderId="45" xfId="0" applyFill="1" applyBorder="1"/>
    <xf numFmtId="0" fontId="52" fillId="56" borderId="4" xfId="0" applyFont="1" applyFill="1" applyBorder="1"/>
    <xf numFmtId="1" fontId="52" fillId="56" borderId="0" xfId="0" applyNumberFormat="1" applyFont="1" applyFill="1" applyBorder="1"/>
    <xf numFmtId="169" fontId="2" fillId="56" borderId="0" xfId="0" applyNumberFormat="1" applyFont="1" applyFill="1" applyBorder="1"/>
    <xf numFmtId="2" fontId="28" fillId="59" borderId="0" xfId="0" applyNumberFormat="1" applyFont="1" applyFill="1" applyBorder="1"/>
    <xf numFmtId="0" fontId="28" fillId="59" borderId="0" xfId="0" applyFont="1" applyFill="1" applyBorder="1"/>
    <xf numFmtId="0" fontId="0" fillId="24" borderId="0" xfId="0" applyFill="1" applyBorder="1"/>
    <xf numFmtId="169" fontId="0" fillId="0" borderId="0" xfId="0" applyNumberFormat="1"/>
    <xf numFmtId="0" fontId="0" fillId="0" borderId="39" xfId="0" applyBorder="1"/>
    <xf numFmtId="0" fontId="0" fillId="0" borderId="10" xfId="0" applyBorder="1"/>
    <xf numFmtId="0" fontId="0" fillId="0" borderId="8" xfId="0" applyFill="1" applyBorder="1"/>
    <xf numFmtId="0" fontId="28" fillId="56" borderId="3" xfId="0" applyFont="1" applyFill="1" applyBorder="1"/>
    <xf numFmtId="0" fontId="0" fillId="0" borderId="11" xfId="0" applyFill="1" applyBorder="1"/>
    <xf numFmtId="0" fontId="0" fillId="0" borderId="0" xfId="0"/>
    <xf numFmtId="0" fontId="0" fillId="0" borderId="0" xfId="0" applyFill="1" applyBorder="1"/>
    <xf numFmtId="0" fontId="0" fillId="0" borderId="11" xfId="0" applyBorder="1"/>
    <xf numFmtId="0" fontId="0" fillId="0" borderId="0" xfId="0" applyBorder="1" applyAlignment="1"/>
    <xf numFmtId="0" fontId="0" fillId="61" borderId="11" xfId="0" applyFill="1" applyBorder="1"/>
    <xf numFmtId="0" fontId="0" fillId="56" borderId="0" xfId="0" applyFill="1" applyBorder="1"/>
    <xf numFmtId="0" fontId="0" fillId="56" borderId="9" xfId="0" applyFill="1" applyBorder="1"/>
    <xf numFmtId="0" fontId="0" fillId="0" borderId="0" xfId="0" applyBorder="1"/>
    <xf numFmtId="0" fontId="0" fillId="0" borderId="0" xfId="0" applyFont="1" applyFill="1"/>
    <xf numFmtId="4" fontId="0" fillId="56" borderId="0" xfId="0" applyNumberFormat="1" applyFill="1" applyBorder="1"/>
    <xf numFmtId="0" fontId="53" fillId="56" borderId="0" xfId="0" applyFont="1" applyFill="1"/>
    <xf numFmtId="0" fontId="28" fillId="0" borderId="11" xfId="0" applyFont="1" applyBorder="1"/>
    <xf numFmtId="0" fontId="28" fillId="0" borderId="0" xfId="0" applyFont="1" applyBorder="1"/>
    <xf numFmtId="0" fontId="2" fillId="0" borderId="0" xfId="0" applyFont="1" applyBorder="1"/>
    <xf numFmtId="0" fontId="2" fillId="0" borderId="11" xfId="0" applyFont="1" applyBorder="1"/>
    <xf numFmtId="0" fontId="2" fillId="0" borderId="9" xfId="0" applyFont="1" applyBorder="1"/>
    <xf numFmtId="0" fontId="2" fillId="0" borderId="10" xfId="0" applyFont="1" applyBorder="1"/>
    <xf numFmtId="0" fontId="54" fillId="0" borderId="10" xfId="0" applyFont="1" applyBorder="1"/>
    <xf numFmtId="0" fontId="54" fillId="0" borderId="9" xfId="0" applyFont="1" applyBorder="1"/>
    <xf numFmtId="0" fontId="2" fillId="0" borderId="53" xfId="0" applyFont="1" applyBorder="1"/>
    <xf numFmtId="0" fontId="0" fillId="0" borderId="48" xfId="0" applyBorder="1"/>
    <xf numFmtId="0" fontId="2" fillId="0" borderId="46" xfId="0" applyFont="1" applyBorder="1"/>
    <xf numFmtId="0" fontId="2" fillId="0" borderId="54" xfId="0" applyFont="1" applyBorder="1"/>
    <xf numFmtId="0" fontId="0" fillId="0" borderId="3" xfId="0" applyBorder="1"/>
    <xf numFmtId="0" fontId="28" fillId="0" borderId="39" xfId="0" applyFont="1" applyBorder="1"/>
    <xf numFmtId="0" fontId="28" fillId="0" borderId="8" xfId="0" applyFont="1" applyBorder="1"/>
    <xf numFmtId="0" fontId="0" fillId="0" borderId="5" xfId="0" applyBorder="1"/>
    <xf numFmtId="0" fontId="0" fillId="0" borderId="0" xfId="0" applyFont="1" applyBorder="1"/>
    <xf numFmtId="0" fontId="0" fillId="0" borderId="0" xfId="0" applyFont="1"/>
    <xf numFmtId="0" fontId="0" fillId="0" borderId="11" xfId="0" applyFont="1" applyBorder="1"/>
    <xf numFmtId="0" fontId="0" fillId="0" borderId="13" xfId="0" applyFont="1" applyBorder="1"/>
    <xf numFmtId="0" fontId="0" fillId="0" borderId="0" xfId="0" applyFont="1" applyFill="1" applyBorder="1"/>
    <xf numFmtId="0" fontId="28" fillId="0" borderId="11" xfId="0" applyFont="1" applyFill="1" applyBorder="1"/>
    <xf numFmtId="0" fontId="28" fillId="0" borderId="0" xfId="0" applyFont="1" applyFill="1" applyBorder="1"/>
    <xf numFmtId="10" fontId="46" fillId="24" borderId="0" xfId="0" applyNumberFormat="1" applyFont="1" applyFill="1" applyBorder="1"/>
    <xf numFmtId="0" fontId="51" fillId="23" borderId="1" xfId="0" applyFont="1" applyFill="1" applyBorder="1"/>
    <xf numFmtId="0" fontId="51" fillId="23" borderId="3" xfId="0" applyFont="1" applyFill="1" applyBorder="1"/>
    <xf numFmtId="0" fontId="51" fillId="23" borderId="3" xfId="0" applyFont="1" applyFill="1" applyBorder="1" applyAlignment="1">
      <alignment horizontal="right"/>
    </xf>
    <xf numFmtId="0" fontId="51" fillId="23" borderId="55" xfId="0" applyFont="1" applyFill="1" applyBorder="1"/>
    <xf numFmtId="0" fontId="51" fillId="23" borderId="46" xfId="0" applyFont="1" applyFill="1" applyBorder="1"/>
    <xf numFmtId="0" fontId="51" fillId="23" borderId="9" xfId="0" applyFont="1" applyFill="1" applyBorder="1"/>
    <xf numFmtId="0" fontId="51" fillId="23" borderId="10" xfId="0" applyFont="1" applyFill="1" applyBorder="1"/>
    <xf numFmtId="0" fontId="51" fillId="23" borderId="47" xfId="0" applyFont="1" applyFill="1" applyBorder="1"/>
    <xf numFmtId="1" fontId="51" fillId="23" borderId="3" xfId="0" applyNumberFormat="1" applyFont="1" applyFill="1" applyBorder="1"/>
    <xf numFmtId="10" fontId="51" fillId="23" borderId="3" xfId="0" applyNumberFormat="1" applyFont="1" applyFill="1" applyBorder="1"/>
    <xf numFmtId="10" fontId="51" fillId="23" borderId="0" xfId="0" applyNumberFormat="1" applyFont="1" applyFill="1" applyBorder="1"/>
    <xf numFmtId="10" fontId="51" fillId="23" borderId="11" xfId="0" applyNumberFormat="1" applyFont="1" applyFill="1" applyBorder="1"/>
    <xf numFmtId="10" fontId="51" fillId="23" borderId="4" xfId="0" applyNumberFormat="1" applyFont="1" applyFill="1" applyBorder="1"/>
    <xf numFmtId="1" fontId="51" fillId="23" borderId="3" xfId="0" applyNumberFormat="1" applyFont="1" applyFill="1" applyBorder="1" applyAlignment="1"/>
    <xf numFmtId="1" fontId="51" fillId="23" borderId="3" xfId="49" applyNumberFormat="1" applyFont="1" applyFill="1" applyBorder="1"/>
    <xf numFmtId="0" fontId="46" fillId="24" borderId="57" xfId="0" applyFont="1" applyFill="1" applyBorder="1"/>
    <xf numFmtId="0" fontId="46" fillId="24" borderId="57" xfId="0" applyFont="1" applyFill="1" applyBorder="1" applyAlignment="1">
      <alignment horizontal="right"/>
    </xf>
    <xf numFmtId="1" fontId="46" fillId="24" borderId="57" xfId="0" applyNumberFormat="1" applyFont="1" applyFill="1" applyBorder="1"/>
    <xf numFmtId="10" fontId="46" fillId="24" borderId="58" xfId="0" applyNumberFormat="1" applyFont="1" applyFill="1" applyBorder="1"/>
    <xf numFmtId="1" fontId="46" fillId="24" borderId="57" xfId="0" applyNumberFormat="1" applyFont="1" applyFill="1" applyBorder="1" applyAlignment="1"/>
    <xf numFmtId="1" fontId="46" fillId="24" borderId="57" xfId="49" applyNumberFormat="1" applyFont="1" applyFill="1" applyBorder="1"/>
    <xf numFmtId="1" fontId="46" fillId="24" borderId="59" xfId="0" applyNumberFormat="1" applyFont="1" applyFill="1" applyBorder="1"/>
    <xf numFmtId="10" fontId="46" fillId="24" borderId="60" xfId="0" applyNumberFormat="1" applyFont="1" applyFill="1" applyBorder="1"/>
    <xf numFmtId="10" fontId="46" fillId="24" borderId="61" xfId="0" applyNumberFormat="1" applyFont="1" applyFill="1" applyBorder="1"/>
    <xf numFmtId="10" fontId="46" fillId="24" borderId="57" xfId="0" applyNumberFormat="1" applyFont="1" applyFill="1" applyBorder="1"/>
    <xf numFmtId="10" fontId="46" fillId="24" borderId="59" xfId="0" applyNumberFormat="1" applyFont="1" applyFill="1" applyBorder="1"/>
    <xf numFmtId="0" fontId="46" fillId="24" borderId="65" xfId="0" applyFont="1" applyFill="1" applyBorder="1"/>
    <xf numFmtId="0" fontId="46" fillId="24" borderId="56" xfId="0" applyFont="1" applyFill="1" applyBorder="1"/>
    <xf numFmtId="0" fontId="46" fillId="24" borderId="66" xfId="0" applyFont="1" applyFill="1" applyBorder="1"/>
    <xf numFmtId="0" fontId="46" fillId="24" borderId="68" xfId="0" applyFont="1" applyFill="1" applyBorder="1"/>
    <xf numFmtId="10" fontId="46" fillId="24" borderId="67" xfId="0" applyNumberFormat="1" applyFont="1" applyFill="1" applyBorder="1"/>
    <xf numFmtId="10" fontId="46" fillId="24" borderId="69" xfId="0" applyNumberFormat="1" applyFont="1" applyFill="1" applyBorder="1"/>
    <xf numFmtId="0" fontId="46" fillId="24" borderId="70" xfId="0" applyFont="1" applyFill="1" applyBorder="1"/>
    <xf numFmtId="171" fontId="51" fillId="59" borderId="0" xfId="47" applyNumberFormat="1" applyFont="1" applyFill="1" applyBorder="1"/>
    <xf numFmtId="0" fontId="2" fillId="59" borderId="3" xfId="0" applyFont="1" applyFill="1" applyBorder="1"/>
    <xf numFmtId="0" fontId="2" fillId="0" borderId="0" xfId="0" applyFont="1" applyBorder="1" applyAlignment="1">
      <alignment horizontal="center"/>
    </xf>
    <xf numFmtId="0" fontId="0" fillId="0" borderId="3" xfId="0" applyFill="1" applyBorder="1"/>
    <xf numFmtId="0" fontId="0" fillId="24" borderId="3" xfId="0" applyFill="1" applyBorder="1"/>
    <xf numFmtId="0" fontId="28" fillId="24" borderId="0" xfId="0" applyFont="1" applyFill="1" applyBorder="1"/>
    <xf numFmtId="0" fontId="0" fillId="0" borderId="71" xfId="0" applyBorder="1"/>
    <xf numFmtId="0" fontId="0" fillId="0" borderId="51" xfId="0" applyBorder="1"/>
    <xf numFmtId="0" fontId="54" fillId="0" borderId="0" xfId="0" applyFont="1" applyBorder="1"/>
    <xf numFmtId="0" fontId="2" fillId="0" borderId="3" xfId="0" applyFont="1" applyBorder="1"/>
    <xf numFmtId="0" fontId="54" fillId="0" borderId="0" xfId="0" applyFont="1" applyBorder="1" applyAlignment="1">
      <alignment horizontal="center"/>
    </xf>
    <xf numFmtId="0" fontId="0" fillId="0" borderId="5" xfId="0" applyFill="1" applyBorder="1"/>
    <xf numFmtId="0" fontId="0" fillId="59" borderId="0" xfId="0" applyFont="1" applyFill="1" applyBorder="1" applyAlignment="1">
      <alignment horizontal="center"/>
    </xf>
    <xf numFmtId="0" fontId="0" fillId="59" borderId="0" xfId="0" applyFont="1" applyFill="1" applyBorder="1"/>
    <xf numFmtId="167" fontId="0" fillId="59" borderId="0" xfId="0" applyNumberFormat="1" applyFont="1" applyFill="1" applyBorder="1"/>
    <xf numFmtId="171" fontId="0" fillId="59" borderId="0" xfId="0" applyNumberFormat="1" applyFont="1" applyFill="1" applyBorder="1"/>
    <xf numFmtId="0" fontId="0" fillId="59" borderId="0" xfId="0" applyFont="1" applyFill="1" applyBorder="1" applyAlignment="1">
      <alignment horizontal="left" vertical="center"/>
    </xf>
    <xf numFmtId="171" fontId="0" fillId="59" borderId="0" xfId="0" applyNumberFormat="1" applyFont="1" applyFill="1" applyBorder="1" applyAlignment="1">
      <alignment horizontal="left" vertical="center"/>
    </xf>
    <xf numFmtId="0" fontId="0" fillId="59" borderId="0" xfId="0" applyFont="1" applyFill="1"/>
    <xf numFmtId="2" fontId="0" fillId="59" borderId="0" xfId="0" applyNumberFormat="1" applyFont="1" applyFill="1" applyBorder="1"/>
    <xf numFmtId="1" fontId="0" fillId="59" borderId="0" xfId="0" applyNumberFormat="1" applyFont="1" applyFill="1" applyBorder="1"/>
    <xf numFmtId="3" fontId="0" fillId="59" borderId="0" xfId="0" applyNumberFormat="1" applyFont="1" applyFill="1" applyBorder="1"/>
    <xf numFmtId="175" fontId="0" fillId="59" borderId="0" xfId="0" applyNumberFormat="1" applyFont="1" applyFill="1" applyBorder="1"/>
    <xf numFmtId="170" fontId="0" fillId="59" borderId="0" xfId="0" applyNumberFormat="1" applyFont="1" applyFill="1" applyBorder="1"/>
    <xf numFmtId="168" fontId="0" fillId="59" borderId="0" xfId="0" applyNumberFormat="1" applyFont="1" applyFill="1" applyBorder="1"/>
    <xf numFmtId="174" fontId="0" fillId="59" borderId="0" xfId="0" applyNumberFormat="1" applyFont="1" applyFill="1" applyBorder="1"/>
    <xf numFmtId="0" fontId="46" fillId="24" borderId="57" xfId="0" applyFont="1" applyFill="1" applyBorder="1" applyAlignment="1">
      <alignment horizontal="center"/>
    </xf>
    <xf numFmtId="0" fontId="46" fillId="24" borderId="0" xfId="0" applyFont="1" applyFill="1" applyBorder="1" applyAlignment="1">
      <alignment horizontal="center"/>
    </xf>
    <xf numFmtId="0" fontId="46" fillId="24" borderId="67" xfId="0" applyFont="1" applyFill="1" applyBorder="1" applyAlignment="1">
      <alignment horizontal="center"/>
    </xf>
    <xf numFmtId="0" fontId="46" fillId="24" borderId="58" xfId="0" applyFont="1" applyFill="1" applyBorder="1" applyAlignment="1">
      <alignment horizontal="center"/>
    </xf>
    <xf numFmtId="0" fontId="51" fillId="23" borderId="0" xfId="0" applyFont="1" applyFill="1" applyBorder="1" applyAlignment="1">
      <alignment horizontal="center"/>
    </xf>
    <xf numFmtId="0" fontId="51" fillId="23" borderId="11" xfId="0" applyFont="1" applyFill="1" applyBorder="1" applyAlignment="1">
      <alignment horizontal="center"/>
    </xf>
    <xf numFmtId="0" fontId="51" fillId="23" borderId="4" xfId="0" applyFont="1" applyFill="1" applyBorder="1" applyAlignment="1">
      <alignment horizontal="center"/>
    </xf>
    <xf numFmtId="0" fontId="51" fillId="23" borderId="3" xfId="0" applyFont="1" applyFill="1" applyBorder="1" applyAlignment="1">
      <alignment horizontal="center"/>
    </xf>
    <xf numFmtId="0" fontId="0" fillId="56" borderId="0" xfId="0" applyFill="1" applyBorder="1" applyAlignment="1">
      <alignment vertical="center" wrapText="1"/>
    </xf>
    <xf numFmtId="0" fontId="0" fillId="56" borderId="72" xfId="0" applyFill="1" applyBorder="1"/>
    <xf numFmtId="169" fontId="0" fillId="56" borderId="11" xfId="0" applyNumberFormat="1" applyFill="1" applyBorder="1"/>
    <xf numFmtId="0" fontId="0" fillId="56" borderId="10" xfId="0" applyFill="1" applyBorder="1"/>
    <xf numFmtId="0" fontId="0" fillId="56" borderId="73" xfId="0" applyFill="1" applyBorder="1"/>
    <xf numFmtId="0" fontId="28" fillId="56" borderId="5" xfId="0" applyFont="1" applyFill="1" applyBorder="1"/>
    <xf numFmtId="0" fontId="54" fillId="56" borderId="23" xfId="0" applyFont="1" applyFill="1" applyBorder="1"/>
    <xf numFmtId="0" fontId="0" fillId="56" borderId="35" xfId="0" applyFill="1" applyBorder="1"/>
    <xf numFmtId="169" fontId="28" fillId="56" borderId="35" xfId="0" applyNumberFormat="1" applyFont="1" applyFill="1" applyBorder="1"/>
    <xf numFmtId="169" fontId="28" fillId="56" borderId="11" xfId="0" applyNumberFormat="1" applyFont="1" applyFill="1" applyBorder="1"/>
    <xf numFmtId="169" fontId="28" fillId="56" borderId="39" xfId="0" applyNumberFormat="1" applyFont="1" applyFill="1" applyBorder="1"/>
    <xf numFmtId="169" fontId="0" fillId="56" borderId="5" xfId="0" applyNumberFormat="1" applyFill="1" applyBorder="1"/>
    <xf numFmtId="169" fontId="0" fillId="56" borderId="46" xfId="0" applyNumberFormat="1" applyFill="1" applyBorder="1"/>
    <xf numFmtId="169" fontId="0" fillId="56" borderId="47" xfId="0" applyNumberFormat="1" applyFill="1" applyBorder="1"/>
    <xf numFmtId="0" fontId="0" fillId="0" borderId="3" xfId="0" applyFont="1" applyBorder="1"/>
    <xf numFmtId="170" fontId="48" fillId="56" borderId="0" xfId="49" applyNumberFormat="1" applyFont="1" applyFill="1" applyBorder="1"/>
    <xf numFmtId="170" fontId="49" fillId="56" borderId="0" xfId="49" applyNumberFormat="1" applyFont="1" applyFill="1" applyBorder="1"/>
    <xf numFmtId="0" fontId="0" fillId="0" borderId="0" xfId="0" applyFont="1" applyBorder="1" applyAlignment="1">
      <alignment horizontal="center"/>
    </xf>
    <xf numFmtId="10" fontId="51" fillId="23" borderId="5" xfId="0" applyNumberFormat="1" applyFont="1" applyFill="1" applyBorder="1"/>
    <xf numFmtId="10" fontId="51" fillId="23" borderId="8" xfId="0" applyNumberFormat="1" applyFont="1" applyFill="1" applyBorder="1"/>
    <xf numFmtId="10" fontId="51" fillId="23" borderId="39" xfId="0" applyNumberFormat="1" applyFont="1" applyFill="1" applyBorder="1"/>
    <xf numFmtId="10" fontId="51" fillId="23" borderId="6" xfId="0" applyNumberFormat="1" applyFont="1" applyFill="1" applyBorder="1"/>
    <xf numFmtId="0" fontId="0" fillId="56" borderId="12" xfId="0" applyFill="1" applyBorder="1"/>
    <xf numFmtId="2" fontId="0" fillId="56" borderId="39" xfId="0" applyNumberFormat="1" applyFill="1" applyBorder="1"/>
    <xf numFmtId="2" fontId="0" fillId="56" borderId="8" xfId="0" applyNumberFormat="1" applyFill="1" applyBorder="1"/>
    <xf numFmtId="2" fontId="0" fillId="56" borderId="6" xfId="0" applyNumberFormat="1" applyFill="1" applyBorder="1"/>
    <xf numFmtId="0" fontId="0" fillId="56" borderId="49" xfId="0" applyFill="1" applyBorder="1"/>
    <xf numFmtId="0" fontId="0" fillId="56" borderId="41" xfId="0" applyFill="1" applyBorder="1"/>
    <xf numFmtId="0" fontId="0" fillId="56" borderId="50" xfId="0" applyFill="1" applyBorder="1"/>
    <xf numFmtId="0" fontId="0" fillId="56" borderId="0" xfId="0" applyFill="1" applyBorder="1" applyAlignment="1">
      <alignment horizontal="center"/>
    </xf>
    <xf numFmtId="10" fontId="0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173" fontId="0" fillId="0" borderId="0" xfId="0" applyNumberFormat="1" applyFont="1" applyFill="1" applyBorder="1"/>
    <xf numFmtId="174" fontId="0" fillId="0" borderId="0" xfId="0" applyNumberFormat="1" applyFont="1" applyFill="1" applyBorder="1"/>
    <xf numFmtId="0" fontId="0" fillId="0" borderId="0" xfId="0" applyAlignment="1">
      <alignment horizontal="center" vertical="center"/>
    </xf>
    <xf numFmtId="0" fontId="0" fillId="57" borderId="0" xfId="0" applyFont="1" applyFill="1" applyBorder="1"/>
    <xf numFmtId="10" fontId="0" fillId="57" borderId="0" xfId="0" applyNumberFormat="1" applyFont="1" applyFill="1" applyBorder="1"/>
    <xf numFmtId="174" fontId="0" fillId="57" borderId="0" xfId="0" applyNumberFormat="1" applyFont="1" applyFill="1" applyBorder="1"/>
    <xf numFmtId="0" fontId="0" fillId="62" borderId="0" xfId="0" applyFont="1" applyFill="1" applyBorder="1"/>
    <xf numFmtId="10" fontId="0" fillId="62" borderId="0" xfId="0" applyNumberFormat="1" applyFont="1" applyFill="1" applyBorder="1"/>
    <xf numFmtId="174" fontId="0" fillId="62" borderId="0" xfId="0" applyNumberFormat="1" applyFont="1" applyFill="1" applyBorder="1"/>
    <xf numFmtId="0" fontId="0" fillId="23" borderId="9" xfId="0" applyFill="1" applyBorder="1"/>
    <xf numFmtId="0" fontId="0" fillId="23" borderId="35" xfId="0" applyFill="1" applyBorder="1"/>
    <xf numFmtId="0" fontId="0" fillId="23" borderId="52" xfId="0" applyFill="1" applyBorder="1"/>
    <xf numFmtId="0" fontId="0" fillId="23" borderId="11" xfId="0" applyFill="1" applyBorder="1"/>
    <xf numFmtId="0" fontId="0" fillId="23" borderId="12" xfId="0" applyFill="1" applyBorder="1"/>
    <xf numFmtId="0" fontId="0" fillId="23" borderId="10" xfId="0" applyFill="1" applyBorder="1"/>
    <xf numFmtId="174" fontId="0" fillId="23" borderId="0" xfId="0" applyNumberFormat="1" applyFill="1"/>
    <xf numFmtId="0" fontId="0" fillId="23" borderId="1" xfId="0" applyFill="1" applyBorder="1"/>
    <xf numFmtId="0" fontId="0" fillId="23" borderId="3" xfId="0" applyFill="1" applyBorder="1"/>
    <xf numFmtId="0" fontId="0" fillId="23" borderId="5" xfId="0" applyFill="1" applyBorder="1"/>
    <xf numFmtId="0" fontId="2" fillId="23" borderId="1" xfId="0" applyFont="1" applyFill="1" applyBorder="1"/>
    <xf numFmtId="0" fontId="2" fillId="23" borderId="3" xfId="0" applyFont="1" applyFill="1" applyBorder="1"/>
    <xf numFmtId="0" fontId="2" fillId="23" borderId="0" xfId="0" applyFont="1" applyFill="1" applyBorder="1"/>
    <xf numFmtId="0" fontId="2" fillId="23" borderId="7" xfId="0" applyFont="1" applyFill="1" applyBorder="1" applyAlignment="1">
      <alignment horizontal="center" vertical="center"/>
    </xf>
    <xf numFmtId="0" fontId="2" fillId="23" borderId="2" xfId="0" applyFont="1" applyFill="1" applyBorder="1" applyAlignment="1">
      <alignment horizontal="center" vertical="center"/>
    </xf>
    <xf numFmtId="0" fontId="0" fillId="23" borderId="0" xfId="0" applyFill="1" applyBorder="1" applyAlignment="1">
      <alignment horizontal="center" vertical="center"/>
    </xf>
    <xf numFmtId="0" fontId="0" fillId="23" borderId="4" xfId="0" applyFill="1" applyBorder="1" applyAlignment="1">
      <alignment horizontal="center" vertical="center"/>
    </xf>
    <xf numFmtId="169" fontId="0" fillId="23" borderId="0" xfId="0" applyNumberFormat="1" applyFill="1" applyBorder="1" applyAlignment="1">
      <alignment horizontal="center" vertical="center"/>
    </xf>
    <xf numFmtId="169" fontId="0" fillId="23" borderId="4" xfId="0" applyNumberFormat="1" applyFill="1" applyBorder="1" applyAlignment="1">
      <alignment horizontal="center" vertical="center"/>
    </xf>
    <xf numFmtId="0" fontId="0" fillId="23" borderId="8" xfId="0" applyFill="1" applyBorder="1" applyAlignment="1">
      <alignment horizontal="center" vertical="center"/>
    </xf>
    <xf numFmtId="0" fontId="0" fillId="23" borderId="6" xfId="0" applyFill="1" applyBorder="1" applyAlignment="1">
      <alignment horizontal="center" vertical="center"/>
    </xf>
    <xf numFmtId="0" fontId="0" fillId="23" borderId="7" xfId="0" applyFill="1" applyBorder="1" applyAlignment="1">
      <alignment horizontal="center" vertical="center"/>
    </xf>
    <xf numFmtId="0" fontId="0" fillId="23" borderId="2" xfId="0" applyFill="1" applyBorder="1" applyAlignment="1">
      <alignment horizontal="center" vertical="center"/>
    </xf>
    <xf numFmtId="0" fontId="2" fillId="23" borderId="0" xfId="0" applyFont="1" applyFill="1" applyBorder="1" applyAlignment="1">
      <alignment horizontal="center" vertical="center"/>
    </xf>
    <xf numFmtId="0" fontId="2" fillId="23" borderId="4" xfId="0" applyFont="1" applyFill="1" applyBorder="1" applyAlignment="1">
      <alignment horizontal="center" vertical="center"/>
    </xf>
    <xf numFmtId="10" fontId="0" fillId="23" borderId="0" xfId="0" applyNumberFormat="1" applyFill="1" applyBorder="1" applyAlignment="1">
      <alignment horizontal="center" vertical="center"/>
    </xf>
    <xf numFmtId="10" fontId="0" fillId="23" borderId="4" xfId="0" applyNumberFormat="1" applyFill="1" applyBorder="1" applyAlignment="1">
      <alignment horizontal="center" vertical="center"/>
    </xf>
    <xf numFmtId="0" fontId="0" fillId="23" borderId="4" xfId="0" applyNumberFormat="1" applyFill="1" applyBorder="1" applyAlignment="1">
      <alignment horizontal="center" vertical="center"/>
    </xf>
    <xf numFmtId="0" fontId="2" fillId="23" borderId="0" xfId="0" applyFont="1" applyFill="1"/>
    <xf numFmtId="0" fontId="2" fillId="60" borderId="3" xfId="0" applyFont="1" applyFill="1" applyBorder="1"/>
    <xf numFmtId="0" fontId="0" fillId="59" borderId="11" xfId="0" applyFill="1" applyBorder="1"/>
    <xf numFmtId="0" fontId="0" fillId="61" borderId="0" xfId="0" applyFill="1" applyBorder="1"/>
    <xf numFmtId="0" fontId="0" fillId="61" borderId="8" xfId="0" applyFill="1" applyBorder="1"/>
    <xf numFmtId="10" fontId="0" fillId="61" borderId="0" xfId="0" applyNumberFormat="1" applyFill="1" applyBorder="1"/>
    <xf numFmtId="0" fontId="2" fillId="61" borderId="8" xfId="0" applyFont="1" applyFill="1" applyBorder="1"/>
    <xf numFmtId="0" fontId="2" fillId="61" borderId="39" xfId="0" applyFont="1" applyFill="1" applyBorder="1"/>
    <xf numFmtId="0" fontId="2" fillId="59" borderId="0" xfId="0" applyFont="1" applyFill="1" applyBorder="1"/>
    <xf numFmtId="0" fontId="2" fillId="59" borderId="39" xfId="0" applyFont="1" applyFill="1" applyBorder="1"/>
    <xf numFmtId="0" fontId="2" fillId="59" borderId="8" xfId="0" applyFont="1" applyFill="1" applyBorder="1"/>
    <xf numFmtId="0" fontId="2" fillId="59" borderId="0" xfId="0" applyFont="1" applyFill="1" applyBorder="1" applyAlignment="1"/>
    <xf numFmtId="0" fontId="55" fillId="59" borderId="8" xfId="0" applyFont="1" applyFill="1" applyBorder="1"/>
    <xf numFmtId="0" fontId="2" fillId="60" borderId="0" xfId="0" applyFont="1" applyFill="1" applyBorder="1"/>
    <xf numFmtId="0" fontId="2" fillId="60" borderId="51" xfId="0" applyFont="1" applyFill="1" applyBorder="1"/>
    <xf numFmtId="0" fontId="2" fillId="60" borderId="11" xfId="0" applyFont="1" applyFill="1" applyBorder="1"/>
    <xf numFmtId="0" fontId="2" fillId="60" borderId="5" xfId="0" applyFont="1" applyFill="1" applyBorder="1"/>
    <xf numFmtId="0" fontId="2" fillId="60" borderId="8" xfId="0" applyFont="1" applyFill="1" applyBorder="1"/>
    <xf numFmtId="0" fontId="0" fillId="59" borderId="13" xfId="0" applyFill="1" applyBorder="1"/>
    <xf numFmtId="0" fontId="55" fillId="59" borderId="39" xfId="0" applyFont="1" applyFill="1" applyBorder="1"/>
    <xf numFmtId="0" fontId="55" fillId="59" borderId="42" xfId="0" applyFont="1" applyFill="1" applyBorder="1"/>
    <xf numFmtId="1" fontId="0" fillId="59" borderId="11" xfId="0" applyNumberFormat="1" applyFill="1" applyBorder="1"/>
    <xf numFmtId="0" fontId="2" fillId="59" borderId="42" xfId="0" applyFont="1" applyFill="1" applyBorder="1"/>
    <xf numFmtId="1" fontId="0" fillId="59" borderId="13" xfId="0" applyNumberFormat="1" applyFill="1" applyBorder="1"/>
    <xf numFmtId="10" fontId="0" fillId="59" borderId="0" xfId="0" applyNumberFormat="1" applyFill="1" applyBorder="1"/>
    <xf numFmtId="10" fontId="0" fillId="59" borderId="13" xfId="0" applyNumberFormat="1" applyFill="1" applyBorder="1"/>
    <xf numFmtId="0" fontId="2" fillId="61" borderId="42" xfId="0" applyFont="1" applyFill="1" applyBorder="1"/>
    <xf numFmtId="10" fontId="0" fillId="61" borderId="13" xfId="0" applyNumberFormat="1" applyFill="1" applyBorder="1"/>
    <xf numFmtId="0" fontId="2" fillId="60" borderId="39" xfId="0" applyFont="1" applyFill="1" applyBorder="1" applyAlignment="1">
      <alignment horizontal="center" vertical="center"/>
    </xf>
    <xf numFmtId="0" fontId="2" fillId="60" borderId="8" xfId="0" applyFont="1" applyFill="1" applyBorder="1" applyAlignment="1">
      <alignment horizontal="center" vertical="center"/>
    </xf>
    <xf numFmtId="0" fontId="2" fillId="23" borderId="8" xfId="0" applyFont="1" applyFill="1" applyBorder="1" applyAlignment="1">
      <alignment horizontal="center" vertical="center"/>
    </xf>
    <xf numFmtId="0" fontId="0" fillId="60" borderId="11" xfId="0" applyFill="1" applyBorder="1" applyAlignment="1">
      <alignment horizontal="center" vertical="center"/>
    </xf>
    <xf numFmtId="0" fontId="0" fillId="60" borderId="0" xfId="0" applyFill="1" applyBorder="1" applyAlignment="1">
      <alignment horizontal="center" vertical="center"/>
    </xf>
    <xf numFmtId="1" fontId="0" fillId="60" borderId="11" xfId="0" applyNumberFormat="1" applyFill="1" applyBorder="1" applyAlignment="1">
      <alignment horizontal="center" vertical="center"/>
    </xf>
    <xf numFmtId="1" fontId="0" fillId="60" borderId="0" xfId="0" applyNumberFormat="1" applyFill="1" applyBorder="1" applyAlignment="1">
      <alignment horizontal="center" vertical="center"/>
    </xf>
    <xf numFmtId="10" fontId="0" fillId="60" borderId="0" xfId="0" applyNumberFormat="1" applyFill="1" applyBorder="1" applyAlignment="1">
      <alignment horizontal="center" vertical="center"/>
    </xf>
    <xf numFmtId="169" fontId="0" fillId="60" borderId="0" xfId="0" applyNumberFormat="1" applyFill="1" applyBorder="1" applyAlignment="1">
      <alignment horizontal="center" vertical="center"/>
    </xf>
    <xf numFmtId="1" fontId="0" fillId="59" borderId="43" xfId="0" applyNumberFormat="1" applyFill="1" applyBorder="1"/>
    <xf numFmtId="1" fontId="0" fillId="59" borderId="7" xfId="0" applyNumberFormat="1" applyFill="1" applyBorder="1"/>
    <xf numFmtId="1" fontId="0" fillId="59" borderId="74" xfId="0" applyNumberFormat="1" applyFill="1" applyBorder="1"/>
    <xf numFmtId="169" fontId="0" fillId="59" borderId="0" xfId="0" applyNumberFormat="1" applyFill="1" applyBorder="1"/>
    <xf numFmtId="169" fontId="0" fillId="59" borderId="13" xfId="0" applyNumberFormat="1" applyFill="1" applyBorder="1"/>
    <xf numFmtId="0" fontId="2" fillId="61" borderId="39" xfId="0" applyFont="1" applyFill="1" applyBorder="1" applyAlignment="1">
      <alignment horizontal="center" vertical="center"/>
    </xf>
    <xf numFmtId="0" fontId="2" fillId="61" borderId="8" xfId="0" applyFont="1" applyFill="1" applyBorder="1" applyAlignment="1">
      <alignment horizontal="center" vertical="center"/>
    </xf>
    <xf numFmtId="0" fontId="2" fillId="61" borderId="42" xfId="0" applyFont="1" applyFill="1" applyBorder="1" applyAlignment="1">
      <alignment horizontal="center" vertical="center"/>
    </xf>
    <xf numFmtId="0" fontId="0" fillId="61" borderId="11" xfId="0" applyFill="1" applyBorder="1" applyAlignment="1">
      <alignment horizontal="center" vertical="center"/>
    </xf>
    <xf numFmtId="0" fontId="0" fillId="61" borderId="0" xfId="0" applyFill="1" applyBorder="1" applyAlignment="1">
      <alignment horizontal="center" vertical="center"/>
    </xf>
    <xf numFmtId="0" fontId="0" fillId="61" borderId="13" xfId="0" applyFill="1" applyBorder="1" applyAlignment="1">
      <alignment horizontal="center" vertical="center"/>
    </xf>
    <xf numFmtId="0" fontId="2" fillId="61" borderId="5" xfId="0" applyFont="1" applyFill="1" applyBorder="1" applyAlignment="1">
      <alignment horizontal="right"/>
    </xf>
    <xf numFmtId="0" fontId="2" fillId="61" borderId="8" xfId="0" applyFont="1" applyFill="1" applyBorder="1" applyAlignment="1">
      <alignment horizontal="right"/>
    </xf>
    <xf numFmtId="0" fontId="0" fillId="61" borderId="3" xfId="0" applyFill="1" applyBorder="1" applyAlignment="1">
      <alignment horizontal="right"/>
    </xf>
    <xf numFmtId="0" fontId="0" fillId="61" borderId="0" xfId="0" applyFill="1" applyBorder="1" applyAlignment="1">
      <alignment horizontal="right"/>
    </xf>
    <xf numFmtId="1" fontId="0" fillId="61" borderId="11" xfId="0" applyNumberFormat="1" applyFill="1" applyBorder="1" applyAlignment="1">
      <alignment horizontal="center" vertical="center"/>
    </xf>
    <xf numFmtId="1" fontId="0" fillId="61" borderId="0" xfId="0" applyNumberFormat="1" applyFill="1" applyBorder="1" applyAlignment="1">
      <alignment horizontal="center" vertical="center"/>
    </xf>
    <xf numFmtId="1" fontId="0" fillId="61" borderId="13" xfId="0" applyNumberFormat="1" applyFill="1" applyBorder="1" applyAlignment="1">
      <alignment horizontal="center" vertical="center"/>
    </xf>
    <xf numFmtId="169" fontId="0" fillId="61" borderId="0" xfId="0" applyNumberFormat="1" applyFill="1" applyBorder="1" applyAlignment="1">
      <alignment horizontal="center" vertical="center"/>
    </xf>
    <xf numFmtId="169" fontId="0" fillId="61" borderId="13" xfId="0" applyNumberFormat="1" applyFill="1" applyBorder="1" applyAlignment="1">
      <alignment horizontal="center" vertical="center"/>
    </xf>
    <xf numFmtId="167" fontId="0" fillId="0" borderId="0" xfId="0" applyNumberFormat="1" applyFill="1" applyBorder="1"/>
    <xf numFmtId="0" fontId="2" fillId="0" borderId="0" xfId="0" applyFont="1" applyFill="1" applyBorder="1"/>
    <xf numFmtId="0" fontId="54" fillId="0" borderId="0" xfId="0" applyFont="1" applyFill="1" applyBorder="1"/>
    <xf numFmtId="0" fontId="2" fillId="0" borderId="11" xfId="0" applyFont="1" applyFill="1" applyBorder="1"/>
    <xf numFmtId="0" fontId="2" fillId="0" borderId="9" xfId="0" applyFont="1" applyFill="1" applyBorder="1"/>
    <xf numFmtId="0" fontId="2" fillId="0" borderId="10" xfId="0" applyFont="1" applyFill="1" applyBorder="1"/>
    <xf numFmtId="0" fontId="54" fillId="0" borderId="10" xfId="0" applyFont="1" applyFill="1" applyBorder="1"/>
    <xf numFmtId="0" fontId="54" fillId="0" borderId="9" xfId="0" applyFont="1" applyFill="1" applyBorder="1"/>
    <xf numFmtId="0" fontId="2" fillId="0" borderId="12" xfId="0" applyFont="1" applyFill="1" applyBorder="1"/>
    <xf numFmtId="0" fontId="2" fillId="0" borderId="53" xfId="0" applyFont="1" applyFill="1" applyBorder="1"/>
    <xf numFmtId="0" fontId="0" fillId="0" borderId="11" xfId="0" applyFont="1" applyFill="1" applyBorder="1"/>
    <xf numFmtId="0" fontId="0" fillId="0" borderId="13" xfId="0" applyFont="1" applyFill="1" applyBorder="1"/>
    <xf numFmtId="0" fontId="0" fillId="0" borderId="13" xfId="0" applyFill="1" applyBorder="1"/>
    <xf numFmtId="0" fontId="2" fillId="0" borderId="0" xfId="0" applyFont="1" applyFill="1" applyBorder="1" applyAlignment="1"/>
    <xf numFmtId="0" fontId="2" fillId="0" borderId="13" xfId="0" applyFont="1" applyFill="1" applyBorder="1" applyAlignment="1"/>
    <xf numFmtId="0" fontId="0" fillId="0" borderId="0" xfId="0" applyFill="1" applyBorder="1" applyAlignment="1">
      <alignment horizontal="center" vertical="center"/>
    </xf>
    <xf numFmtId="0" fontId="0" fillId="23" borderId="4" xfId="0" applyFill="1" applyBorder="1" applyAlignment="1">
      <alignment horizontal="center"/>
    </xf>
    <xf numFmtId="11" fontId="0" fillId="0" borderId="0" xfId="0" applyNumberFormat="1" applyFill="1" applyBorder="1"/>
    <xf numFmtId="0" fontId="0" fillId="23" borderId="0" xfId="0" applyFill="1" applyAlignment="1">
      <alignment horizontal="center"/>
    </xf>
    <xf numFmtId="169" fontId="0" fillId="61" borderId="0" xfId="0" applyNumberFormat="1" applyFill="1" applyBorder="1"/>
    <xf numFmtId="169" fontId="0" fillId="61" borderId="74" xfId="0" applyNumberFormat="1" applyFill="1" applyBorder="1" applyAlignment="1">
      <alignment horizontal="center" vertical="center"/>
    </xf>
    <xf numFmtId="169" fontId="0" fillId="61" borderId="13" xfId="0" applyNumberFormat="1" applyFill="1" applyBorder="1"/>
    <xf numFmtId="169" fontId="0" fillId="23" borderId="0" xfId="0" applyNumberFormat="1" applyFill="1"/>
    <xf numFmtId="11" fontId="0" fillId="0" borderId="11" xfId="0" applyNumberFormat="1" applyFill="1" applyBorder="1"/>
    <xf numFmtId="0" fontId="0" fillId="0" borderId="35" xfId="0" applyBorder="1"/>
    <xf numFmtId="170" fontId="0" fillId="0" borderId="35" xfId="0" applyNumberFormat="1" applyFill="1" applyBorder="1" applyAlignment="1">
      <alignment horizontal="center" vertical="center"/>
    </xf>
    <xf numFmtId="170" fontId="0" fillId="0" borderId="36" xfId="0" applyNumberFormat="1" applyFill="1" applyBorder="1" applyAlignment="1">
      <alignment horizontal="center" vertical="center"/>
    </xf>
    <xf numFmtId="170" fontId="0" fillId="0" borderId="11" xfId="0" applyNumberFormat="1" applyFill="1" applyBorder="1" applyAlignment="1">
      <alignment horizontal="center" vertical="center"/>
    </xf>
    <xf numFmtId="170" fontId="0" fillId="0" borderId="13" xfId="0" applyNumberFormat="1" applyFill="1" applyBorder="1" applyAlignment="1">
      <alignment horizontal="center" vertical="center"/>
    </xf>
    <xf numFmtId="167" fontId="0" fillId="0" borderId="11" xfId="0" applyNumberFormat="1" applyFont="1" applyBorder="1"/>
    <xf numFmtId="167" fontId="0" fillId="0" borderId="0" xfId="0" applyNumberFormat="1" applyFont="1" applyBorder="1"/>
    <xf numFmtId="167" fontId="0" fillId="0" borderId="0" xfId="0" applyNumberFormat="1" applyFont="1" applyFill="1" applyBorder="1"/>
    <xf numFmtId="167" fontId="0" fillId="0" borderId="11" xfId="0" applyNumberFormat="1" applyBorder="1"/>
    <xf numFmtId="167" fontId="0" fillId="0" borderId="0" xfId="0" applyNumberFormat="1"/>
    <xf numFmtId="2" fontId="0" fillId="0" borderId="0" xfId="0" applyNumberFormat="1" applyFont="1" applyBorder="1"/>
    <xf numFmtId="2" fontId="0" fillId="0" borderId="0" xfId="0" applyNumberFormat="1" applyFont="1" applyBorder="1" applyAlignment="1">
      <alignment horizontal="center"/>
    </xf>
    <xf numFmtId="2" fontId="0" fillId="0" borderId="0" xfId="0" applyNumberFormat="1" applyFont="1" applyFill="1" applyBorder="1"/>
    <xf numFmtId="2" fontId="0" fillId="0" borderId="0" xfId="0" applyNumberFormat="1" applyBorder="1"/>
    <xf numFmtId="2" fontId="0" fillId="0" borderId="8" xfId="0" applyNumberFormat="1" applyBorder="1"/>
    <xf numFmtId="2" fontId="0" fillId="0" borderId="11" xfId="0" applyNumberFormat="1" applyBorder="1"/>
    <xf numFmtId="2" fontId="0" fillId="0" borderId="0" xfId="0" applyNumberFormat="1"/>
    <xf numFmtId="2" fontId="0" fillId="0" borderId="11" xfId="0" applyNumberFormat="1" applyFont="1" applyBorder="1"/>
    <xf numFmtId="2" fontId="0" fillId="0" borderId="0" xfId="0" applyNumberFormat="1" applyFont="1"/>
    <xf numFmtId="2" fontId="0" fillId="0" borderId="42" xfId="0" applyNumberFormat="1" applyBorder="1"/>
    <xf numFmtId="1" fontId="0" fillId="0" borderId="0" xfId="0" applyNumberFormat="1" applyFill="1" applyBorder="1" applyAlignment="1">
      <alignment horizontal="center" vertical="center"/>
    </xf>
    <xf numFmtId="169" fontId="0" fillId="0" borderId="0" xfId="0" applyNumberFormat="1" applyFill="1" applyBorder="1" applyAlignment="1">
      <alignment horizontal="center" vertical="center"/>
    </xf>
    <xf numFmtId="10" fontId="0" fillId="0" borderId="0" xfId="0" applyNumberForma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23" borderId="7" xfId="0" applyFont="1" applyFill="1" applyBorder="1" applyAlignment="1"/>
    <xf numFmtId="0" fontId="2" fillId="23" borderId="2" xfId="0" applyFont="1" applyFill="1" applyBorder="1" applyAlignment="1"/>
    <xf numFmtId="0" fontId="0" fillId="23" borderId="13" xfId="0" applyFill="1" applyBorder="1"/>
    <xf numFmtId="0" fontId="0" fillId="23" borderId="36" xfId="0" applyFill="1" applyBorder="1"/>
    <xf numFmtId="0" fontId="2" fillId="59" borderId="0" xfId="0" applyFont="1" applyFill="1" applyBorder="1" applyAlignment="1">
      <alignment horizontal="center"/>
    </xf>
    <xf numFmtId="0" fontId="0" fillId="23" borderId="0" xfId="0" applyFill="1" applyAlignment="1">
      <alignment horizontal="center"/>
    </xf>
    <xf numFmtId="0" fontId="0" fillId="23" borderId="0" xfId="0" applyFill="1" applyAlignment="1"/>
    <xf numFmtId="0" fontId="56" fillId="23" borderId="0" xfId="0" applyFont="1" applyFill="1" applyAlignment="1">
      <alignment vertical="center"/>
    </xf>
    <xf numFmtId="0" fontId="0" fillId="23" borderId="7" xfId="0" applyFill="1" applyBorder="1"/>
    <xf numFmtId="0" fontId="0" fillId="59" borderId="1" xfId="0" applyFill="1" applyBorder="1"/>
    <xf numFmtId="0" fontId="0" fillId="59" borderId="7" xfId="0" applyFill="1" applyBorder="1"/>
    <xf numFmtId="0" fontId="0" fillId="59" borderId="3" xfId="0" applyFill="1" applyBorder="1"/>
    <xf numFmtId="0" fontId="55" fillId="59" borderId="5" xfId="0" applyFont="1" applyFill="1" applyBorder="1"/>
    <xf numFmtId="0" fontId="0" fillId="59" borderId="5" xfId="0" applyFill="1" applyBorder="1"/>
    <xf numFmtId="0" fontId="0" fillId="59" borderId="8" xfId="0" applyFill="1" applyBorder="1"/>
    <xf numFmtId="1" fontId="0" fillId="59" borderId="39" xfId="0" applyNumberFormat="1" applyFill="1" applyBorder="1"/>
    <xf numFmtId="1" fontId="0" fillId="59" borderId="8" xfId="0" applyNumberFormat="1" applyFill="1" applyBorder="1"/>
    <xf numFmtId="1" fontId="0" fillId="59" borderId="42" xfId="0" applyNumberFormat="1" applyFill="1" applyBorder="1"/>
    <xf numFmtId="0" fontId="0" fillId="59" borderId="39" xfId="0" applyFill="1" applyBorder="1"/>
    <xf numFmtId="0" fontId="0" fillId="59" borderId="42" xfId="0" applyFill="1" applyBorder="1"/>
    <xf numFmtId="0" fontId="2" fillId="61" borderId="3" xfId="0" applyFont="1" applyFill="1" applyBorder="1"/>
    <xf numFmtId="0" fontId="2" fillId="61" borderId="0" xfId="0" applyFont="1" applyFill="1" applyBorder="1"/>
    <xf numFmtId="0" fontId="2" fillId="61" borderId="0" xfId="0" applyFont="1" applyFill="1" applyBorder="1" applyAlignment="1">
      <alignment horizontal="center"/>
    </xf>
    <xf numFmtId="0" fontId="0" fillId="61" borderId="7" xfId="0" applyFill="1" applyBorder="1"/>
    <xf numFmtId="1" fontId="0" fillId="61" borderId="7" xfId="0" applyNumberFormat="1" applyFill="1" applyBorder="1"/>
    <xf numFmtId="1" fontId="0" fillId="61" borderId="74" xfId="0" applyNumberFormat="1" applyFill="1" applyBorder="1"/>
    <xf numFmtId="1" fontId="0" fillId="61" borderId="43" xfId="0" applyNumberFormat="1" applyFill="1" applyBorder="1"/>
    <xf numFmtId="169" fontId="0" fillId="61" borderId="74" xfId="0" applyNumberFormat="1" applyFill="1" applyBorder="1" applyAlignment="1">
      <alignment horizontal="right" vertical="center"/>
    </xf>
    <xf numFmtId="169" fontId="0" fillId="23" borderId="0" xfId="0" applyNumberFormat="1" applyFill="1" applyBorder="1"/>
    <xf numFmtId="172" fontId="0" fillId="23" borderId="0" xfId="0" applyNumberFormat="1" applyFill="1" applyBorder="1" applyAlignment="1">
      <alignment horizontal="center" vertical="center"/>
    </xf>
    <xf numFmtId="169" fontId="0" fillId="23" borderId="0" xfId="0" applyNumberFormat="1" applyFill="1" applyBorder="1" applyAlignment="1">
      <alignment horizontal="center" vertical="top"/>
    </xf>
    <xf numFmtId="0" fontId="0" fillId="23" borderId="7" xfId="0" applyFill="1" applyBorder="1" applyAlignment="1">
      <alignment horizontal="center"/>
    </xf>
    <xf numFmtId="0" fontId="0" fillId="23" borderId="0" xfId="0" applyFill="1" applyBorder="1" applyAlignment="1">
      <alignment horizontal="center"/>
    </xf>
    <xf numFmtId="0" fontId="0" fillId="23" borderId="8" xfId="0" applyFill="1" applyBorder="1" applyAlignment="1">
      <alignment horizontal="center"/>
    </xf>
    <xf numFmtId="1" fontId="0" fillId="23" borderId="0" xfId="0" applyNumberFormat="1" applyFill="1" applyBorder="1"/>
    <xf numFmtId="0" fontId="2" fillId="23" borderId="0" xfId="0" applyFont="1" applyFill="1" applyBorder="1" applyAlignment="1">
      <alignment horizontal="center"/>
    </xf>
    <xf numFmtId="0" fontId="2" fillId="23" borderId="0" xfId="0" applyFont="1" applyFill="1" applyBorder="1" applyAlignment="1">
      <alignment horizontal="right"/>
    </xf>
    <xf numFmtId="1" fontId="2" fillId="23" borderId="0" xfId="0" applyNumberFormat="1" applyFont="1" applyFill="1" applyBorder="1" applyAlignment="1">
      <alignment horizontal="center" vertical="center"/>
    </xf>
    <xf numFmtId="0" fontId="2" fillId="23" borderId="8" xfId="0" applyFont="1" applyFill="1" applyBorder="1"/>
    <xf numFmtId="0" fontId="0" fillId="23" borderId="0" xfId="0" applyFill="1" applyBorder="1" applyAlignment="1">
      <alignment horizontal="right"/>
    </xf>
    <xf numFmtId="1" fontId="0" fillId="23" borderId="0" xfId="0" applyNumberFormat="1" applyFill="1" applyBorder="1" applyAlignment="1">
      <alignment horizontal="center" vertical="center"/>
    </xf>
    <xf numFmtId="0" fontId="2" fillId="56" borderId="0" xfId="0" applyFont="1" applyFill="1" applyBorder="1" applyAlignment="1">
      <alignment horizontal="center"/>
    </xf>
    <xf numFmtId="0" fontId="52" fillId="56" borderId="0" xfId="0" applyFont="1" applyFill="1" applyBorder="1" applyAlignment="1">
      <alignment horizontal="center"/>
    </xf>
    <xf numFmtId="0" fontId="0" fillId="56" borderId="0" xfId="0" applyFill="1" applyBorder="1" applyAlignment="1">
      <alignment horizontal="left"/>
    </xf>
    <xf numFmtId="167" fontId="0" fillId="56" borderId="0" xfId="0" applyNumberFormat="1" applyFill="1" applyBorder="1"/>
    <xf numFmtId="1" fontId="0" fillId="56" borderId="0" xfId="0" applyNumberFormat="1" applyFill="1" applyBorder="1" applyAlignment="1">
      <alignment horizontal="left"/>
    </xf>
    <xf numFmtId="169" fontId="52" fillId="56" borderId="0" xfId="0" applyNumberFormat="1" applyFont="1" applyFill="1" applyBorder="1"/>
    <xf numFmtId="172" fontId="52" fillId="56" borderId="0" xfId="0" applyNumberFormat="1" applyFont="1" applyFill="1" applyBorder="1"/>
    <xf numFmtId="172" fontId="2" fillId="56" borderId="0" xfId="0" applyNumberFormat="1" applyFont="1" applyFill="1" applyBorder="1"/>
    <xf numFmtId="1" fontId="0" fillId="56" borderId="0" xfId="0" applyNumberFormat="1" applyFill="1" applyBorder="1"/>
    <xf numFmtId="176" fontId="2" fillId="56" borderId="0" xfId="0" applyNumberFormat="1" applyFont="1" applyFill="1" applyBorder="1"/>
    <xf numFmtId="164" fontId="2" fillId="56" borderId="0" xfId="0" applyNumberFormat="1" applyFont="1" applyFill="1" applyBorder="1"/>
    <xf numFmtId="172" fontId="0" fillId="56" borderId="0" xfId="0" applyNumberFormat="1" applyFill="1" applyBorder="1"/>
    <xf numFmtId="10" fontId="0" fillId="56" borderId="0" xfId="0" applyNumberFormat="1" applyFont="1" applyFill="1" applyBorder="1" applyAlignment="1">
      <alignment horizontal="right"/>
    </xf>
    <xf numFmtId="10" fontId="0" fillId="56" borderId="0" xfId="0" applyNumberFormat="1" applyFont="1" applyFill="1" applyBorder="1"/>
    <xf numFmtId="177" fontId="0" fillId="56" borderId="0" xfId="0" applyNumberFormat="1" applyFont="1" applyFill="1" applyBorder="1" applyAlignment="1">
      <alignment horizontal="right"/>
    </xf>
    <xf numFmtId="169" fontId="0" fillId="56" borderId="0" xfId="0" applyNumberFormat="1" applyFont="1" applyFill="1" applyBorder="1"/>
    <xf numFmtId="167" fontId="0" fillId="56" borderId="0" xfId="0" applyNumberFormat="1" applyFont="1" applyFill="1" applyBorder="1" applyAlignment="1">
      <alignment horizontal="right"/>
    </xf>
    <xf numFmtId="172" fontId="0" fillId="56" borderId="0" xfId="0" applyNumberFormat="1" applyFont="1" applyFill="1" applyBorder="1"/>
    <xf numFmtId="169" fontId="0" fillId="56" borderId="0" xfId="0" applyNumberFormat="1" applyFont="1" applyFill="1" applyBorder="1" applyAlignment="1">
      <alignment horizontal="right"/>
    </xf>
    <xf numFmtId="167" fontId="0" fillId="56" borderId="0" xfId="0" applyNumberFormat="1" applyFont="1" applyFill="1" applyBorder="1"/>
    <xf numFmtId="1" fontId="2" fillId="56" borderId="0" xfId="0" applyNumberFormat="1" applyFont="1" applyFill="1" applyBorder="1"/>
    <xf numFmtId="0" fontId="52" fillId="56" borderId="3" xfId="0" applyFont="1" applyFill="1" applyBorder="1"/>
    <xf numFmtId="0" fontId="51" fillId="56" borderId="3" xfId="0" applyFont="1" applyFill="1" applyBorder="1"/>
    <xf numFmtId="169" fontId="52" fillId="56" borderId="0" xfId="0" applyNumberFormat="1" applyFont="1" applyFill="1" applyBorder="1" applyAlignment="1">
      <alignment horizontal="left"/>
    </xf>
    <xf numFmtId="0" fontId="0" fillId="56" borderId="1" xfId="0" applyFont="1" applyFill="1" applyBorder="1"/>
    <xf numFmtId="0" fontId="0" fillId="56" borderId="5" xfId="0" applyFont="1" applyFill="1" applyBorder="1"/>
    <xf numFmtId="0" fontId="2" fillId="56" borderId="0" xfId="0" applyFont="1" applyFill="1" applyBorder="1" applyAlignment="1"/>
    <xf numFmtId="0" fontId="51" fillId="56" borderId="5" xfId="0" applyFont="1" applyFill="1" applyBorder="1"/>
    <xf numFmtId="167" fontId="2" fillId="56" borderId="0" xfId="0" applyNumberFormat="1" applyFont="1" applyFill="1" applyBorder="1" applyAlignment="1"/>
    <xf numFmtId="10" fontId="0" fillId="56" borderId="8" xfId="0" applyNumberFormat="1" applyFill="1" applyBorder="1"/>
    <xf numFmtId="10" fontId="0" fillId="56" borderId="6" xfId="0" applyNumberFormat="1" applyFill="1" applyBorder="1"/>
    <xf numFmtId="10" fontId="0" fillId="56" borderId="4" xfId="0" applyNumberFormat="1" applyFill="1" applyBorder="1"/>
    <xf numFmtId="172" fontId="0" fillId="56" borderId="8" xfId="0" applyNumberFormat="1" applyFill="1" applyBorder="1"/>
    <xf numFmtId="172" fontId="0" fillId="56" borderId="6" xfId="0" applyNumberFormat="1" applyFill="1" applyBorder="1"/>
    <xf numFmtId="167" fontId="2" fillId="56" borderId="4" xfId="0" applyNumberFormat="1" applyFont="1" applyFill="1" applyBorder="1" applyAlignment="1"/>
    <xf numFmtId="0" fontId="0" fillId="56" borderId="4" xfId="0" applyFill="1" applyBorder="1" applyAlignment="1"/>
    <xf numFmtId="167" fontId="0" fillId="56" borderId="8" xfId="0" applyNumberFormat="1" applyFill="1" applyBorder="1"/>
    <xf numFmtId="167" fontId="0" fillId="56" borderId="6" xfId="0" applyNumberFormat="1" applyFill="1" applyBorder="1"/>
    <xf numFmtId="0" fontId="2" fillId="56" borderId="4" xfId="0" applyFont="1" applyFill="1" applyBorder="1" applyAlignment="1"/>
    <xf numFmtId="0" fontId="2" fillId="56" borderId="8" xfId="0" applyFont="1" applyFill="1" applyBorder="1" applyAlignment="1"/>
    <xf numFmtId="0" fontId="2" fillId="56" borderId="6" xfId="0" applyFont="1" applyFill="1" applyBorder="1" applyAlignment="1"/>
    <xf numFmtId="167" fontId="2" fillId="56" borderId="8" xfId="0" applyNumberFormat="1" applyFont="1" applyFill="1" applyBorder="1" applyAlignment="1"/>
    <xf numFmtId="167" fontId="2" fillId="56" borderId="6" xfId="0" applyNumberFormat="1" applyFont="1" applyFill="1" applyBorder="1" applyAlignment="1"/>
    <xf numFmtId="10" fontId="0" fillId="58" borderId="0" xfId="0" applyNumberFormat="1" applyFill="1" applyBorder="1" applyAlignment="1">
      <alignment horizontal="center"/>
    </xf>
    <xf numFmtId="10" fontId="0" fillId="58" borderId="4" xfId="0" applyNumberFormat="1" applyFill="1" applyBorder="1" applyAlignment="1">
      <alignment horizontal="center"/>
    </xf>
    <xf numFmtId="169" fontId="0" fillId="58" borderId="0" xfId="0" applyNumberFormat="1" applyFill="1" applyBorder="1" applyAlignment="1">
      <alignment horizontal="center"/>
    </xf>
    <xf numFmtId="169" fontId="0" fillId="58" borderId="4" xfId="0" applyNumberFormat="1" applyFill="1" applyBorder="1" applyAlignment="1">
      <alignment horizontal="center"/>
    </xf>
    <xf numFmtId="167" fontId="0" fillId="58" borderId="0" xfId="0" applyNumberFormat="1" applyFill="1" applyBorder="1" applyAlignment="1">
      <alignment horizontal="center"/>
    </xf>
    <xf numFmtId="167" fontId="0" fillId="58" borderId="4" xfId="0" applyNumberFormat="1" applyFill="1" applyBorder="1" applyAlignment="1">
      <alignment horizontal="center"/>
    </xf>
    <xf numFmtId="1" fontId="0" fillId="58" borderId="0" xfId="0" applyNumberFormat="1" applyFill="1" applyBorder="1" applyAlignment="1">
      <alignment horizontal="center"/>
    </xf>
    <xf numFmtId="1" fontId="0" fillId="58" borderId="4" xfId="0" applyNumberFormat="1" applyFill="1" applyBorder="1" applyAlignment="1">
      <alignment horizontal="center"/>
    </xf>
    <xf numFmtId="1" fontId="0" fillId="58" borderId="8" xfId="0" applyNumberFormat="1" applyFill="1" applyBorder="1" applyAlignment="1">
      <alignment horizontal="center"/>
    </xf>
    <xf numFmtId="1" fontId="0" fillId="58" borderId="6" xfId="0" applyNumberFormat="1" applyFill="1" applyBorder="1" applyAlignment="1">
      <alignment horizontal="center"/>
    </xf>
    <xf numFmtId="169" fontId="0" fillId="58" borderId="8" xfId="0" applyNumberFormat="1" applyFill="1" applyBorder="1" applyAlignment="1">
      <alignment horizontal="center"/>
    </xf>
    <xf numFmtId="169" fontId="0" fillId="58" borderId="6" xfId="0" applyNumberFormat="1" applyFill="1" applyBorder="1" applyAlignment="1">
      <alignment horizontal="center"/>
    </xf>
    <xf numFmtId="169" fontId="0" fillId="58" borderId="0" xfId="0" applyNumberFormat="1" applyFill="1" applyBorder="1" applyAlignment="1">
      <alignment horizontal="center" vertical="center"/>
    </xf>
    <xf numFmtId="169" fontId="0" fillId="58" borderId="8" xfId="0" applyNumberFormat="1" applyFill="1" applyBorder="1" applyAlignment="1">
      <alignment horizontal="center" vertical="center"/>
    </xf>
    <xf numFmtId="169" fontId="51" fillId="58" borderId="0" xfId="0" applyNumberFormat="1" applyFont="1" applyFill="1" applyBorder="1" applyAlignment="1">
      <alignment horizontal="center"/>
    </xf>
    <xf numFmtId="169" fontId="53" fillId="58" borderId="0" xfId="0" applyNumberFormat="1" applyFont="1" applyFill="1" applyBorder="1" applyAlignment="1">
      <alignment horizontal="center"/>
    </xf>
    <xf numFmtId="169" fontId="53" fillId="58" borderId="4" xfId="0" applyNumberFormat="1" applyFont="1" applyFill="1" applyBorder="1" applyAlignment="1">
      <alignment horizontal="center"/>
    </xf>
    <xf numFmtId="10" fontId="51" fillId="58" borderId="0" xfId="0" applyNumberFormat="1" applyFont="1" applyFill="1" applyBorder="1" applyAlignment="1">
      <alignment horizontal="center"/>
    </xf>
    <xf numFmtId="10" fontId="53" fillId="58" borderId="0" xfId="0" applyNumberFormat="1" applyFont="1" applyFill="1" applyBorder="1" applyAlignment="1">
      <alignment horizontal="center"/>
    </xf>
    <xf numFmtId="10" fontId="53" fillId="58" borderId="4" xfId="0" applyNumberFormat="1" applyFont="1" applyFill="1" applyBorder="1" applyAlignment="1">
      <alignment horizontal="center"/>
    </xf>
    <xf numFmtId="167" fontId="51" fillId="58" borderId="0" xfId="0" applyNumberFormat="1" applyFont="1" applyFill="1" applyBorder="1" applyAlignment="1">
      <alignment horizontal="center"/>
    </xf>
    <xf numFmtId="167" fontId="53" fillId="58" borderId="0" xfId="0" applyNumberFormat="1" applyFont="1" applyFill="1" applyBorder="1" applyAlignment="1">
      <alignment horizontal="center"/>
    </xf>
    <xf numFmtId="167" fontId="53" fillId="58" borderId="4" xfId="0" applyNumberFormat="1" applyFont="1" applyFill="1" applyBorder="1" applyAlignment="1">
      <alignment horizontal="center"/>
    </xf>
    <xf numFmtId="167" fontId="51" fillId="58" borderId="8" xfId="0" applyNumberFormat="1" applyFont="1" applyFill="1" applyBorder="1" applyAlignment="1">
      <alignment horizontal="center"/>
    </xf>
    <xf numFmtId="167" fontId="53" fillId="58" borderId="8" xfId="0" applyNumberFormat="1" applyFont="1" applyFill="1" applyBorder="1" applyAlignment="1">
      <alignment horizontal="center"/>
    </xf>
    <xf numFmtId="167" fontId="53" fillId="58" borderId="6" xfId="0" applyNumberFormat="1" applyFont="1" applyFill="1" applyBorder="1" applyAlignment="1">
      <alignment horizontal="center"/>
    </xf>
    <xf numFmtId="169" fontId="51" fillId="58" borderId="4" xfId="0" applyNumberFormat="1" applyFont="1" applyFill="1" applyBorder="1" applyAlignment="1">
      <alignment horizontal="center"/>
    </xf>
    <xf numFmtId="10" fontId="51" fillId="58" borderId="4" xfId="0" applyNumberFormat="1" applyFont="1" applyFill="1" applyBorder="1" applyAlignment="1">
      <alignment horizontal="center"/>
    </xf>
    <xf numFmtId="167" fontId="51" fillId="58" borderId="4" xfId="0" applyNumberFormat="1" applyFont="1" applyFill="1" applyBorder="1" applyAlignment="1">
      <alignment horizontal="center"/>
    </xf>
    <xf numFmtId="167" fontId="51" fillId="58" borderId="6" xfId="0" applyNumberFormat="1" applyFont="1" applyFill="1" applyBorder="1" applyAlignment="1">
      <alignment horizontal="center"/>
    </xf>
    <xf numFmtId="169" fontId="51" fillId="58" borderId="8" xfId="0" applyNumberFormat="1" applyFont="1" applyFill="1" applyBorder="1" applyAlignment="1">
      <alignment horizontal="center"/>
    </xf>
    <xf numFmtId="169" fontId="51" fillId="58" borderId="6" xfId="0" applyNumberFormat="1" applyFont="1" applyFill="1" applyBorder="1" applyAlignment="1">
      <alignment horizontal="center"/>
    </xf>
    <xf numFmtId="169" fontId="0" fillId="58" borderId="0" xfId="0" applyNumberFormat="1" applyFont="1" applyFill="1" applyBorder="1" applyAlignment="1">
      <alignment horizontal="center"/>
    </xf>
    <xf numFmtId="169" fontId="0" fillId="58" borderId="8" xfId="0" applyNumberFormat="1" applyFont="1" applyFill="1" applyBorder="1" applyAlignment="1">
      <alignment horizontal="center"/>
    </xf>
    <xf numFmtId="0" fontId="0" fillId="23" borderId="2" xfId="0" applyFill="1" applyBorder="1" applyProtection="1">
      <protection locked="0"/>
    </xf>
    <xf numFmtId="0" fontId="0" fillId="23" borderId="4" xfId="0" applyFill="1" applyBorder="1" applyProtection="1">
      <protection locked="0"/>
    </xf>
    <xf numFmtId="0" fontId="0" fillId="23" borderId="6" xfId="0" applyFill="1" applyBorder="1" applyProtection="1">
      <protection locked="0"/>
    </xf>
    <xf numFmtId="0" fontId="0" fillId="23" borderId="2" xfId="0" applyFill="1" applyBorder="1" applyAlignment="1" applyProtection="1">
      <protection locked="0"/>
    </xf>
    <xf numFmtId="0" fontId="0" fillId="59" borderId="0" xfId="0" applyFont="1" applyFill="1" applyBorder="1" applyAlignment="1" applyProtection="1">
      <alignment horizontal="left" vertical="center"/>
      <protection hidden="1"/>
    </xf>
    <xf numFmtId="0" fontId="2" fillId="59" borderId="3" xfId="0" applyFont="1" applyFill="1" applyBorder="1" applyAlignment="1" applyProtection="1">
      <alignment horizontal="left" vertical="center"/>
      <protection hidden="1"/>
    </xf>
    <xf numFmtId="167" fontId="2" fillId="59" borderId="9" xfId="0" applyNumberFormat="1" applyFont="1" applyFill="1" applyBorder="1" applyAlignment="1" applyProtection="1">
      <alignment horizontal="left" vertical="center"/>
      <protection hidden="1"/>
    </xf>
    <xf numFmtId="167" fontId="2" fillId="59" borderId="47" xfId="0" applyNumberFormat="1" applyFont="1" applyFill="1" applyBorder="1" applyAlignment="1" applyProtection="1">
      <alignment horizontal="left" vertical="center"/>
      <protection hidden="1"/>
    </xf>
    <xf numFmtId="0" fontId="0" fillId="59" borderId="3" xfId="0" applyFont="1" applyFill="1" applyBorder="1" applyAlignment="1" applyProtection="1">
      <alignment horizontal="left" vertical="center"/>
      <protection hidden="1"/>
    </xf>
    <xf numFmtId="167" fontId="0" fillId="59" borderId="11" xfId="0" applyNumberFormat="1" applyFont="1" applyFill="1" applyBorder="1" applyAlignment="1" applyProtection="1">
      <alignment horizontal="left" vertical="center"/>
      <protection hidden="1"/>
    </xf>
    <xf numFmtId="167" fontId="0" fillId="59" borderId="4" xfId="0" applyNumberFormat="1" applyFont="1" applyFill="1" applyBorder="1" applyAlignment="1" applyProtection="1">
      <alignment horizontal="left" vertical="center"/>
      <protection hidden="1"/>
    </xf>
    <xf numFmtId="167" fontId="0" fillId="59" borderId="35" xfId="0" applyNumberFormat="1" applyFont="1" applyFill="1" applyBorder="1" applyAlignment="1" applyProtection="1">
      <alignment horizontal="left" vertical="center"/>
      <protection hidden="1"/>
    </xf>
    <xf numFmtId="167" fontId="0" fillId="59" borderId="0" xfId="0" applyNumberFormat="1" applyFont="1" applyFill="1" applyBorder="1" applyAlignment="1" applyProtection="1">
      <alignment horizontal="left" vertical="center"/>
      <protection hidden="1"/>
    </xf>
    <xf numFmtId="0" fontId="0" fillId="59" borderId="11" xfId="0" applyFont="1" applyFill="1" applyBorder="1" applyAlignment="1" applyProtection="1">
      <alignment horizontal="left" vertical="center"/>
      <protection hidden="1"/>
    </xf>
    <xf numFmtId="0" fontId="0" fillId="59" borderId="4" xfId="0" applyFont="1" applyFill="1" applyBorder="1" applyAlignment="1" applyProtection="1">
      <alignment horizontal="left" vertical="center"/>
      <protection hidden="1"/>
    </xf>
    <xf numFmtId="0" fontId="0" fillId="59" borderId="5" xfId="0" applyFont="1" applyFill="1" applyBorder="1" applyAlignment="1" applyProtection="1">
      <alignment horizontal="left" vertical="center"/>
      <protection hidden="1"/>
    </xf>
    <xf numFmtId="167" fontId="0" fillId="59" borderId="39" xfId="0" applyNumberFormat="1" applyFont="1" applyFill="1" applyBorder="1" applyAlignment="1" applyProtection="1">
      <alignment horizontal="left" vertical="center"/>
      <protection hidden="1"/>
    </xf>
    <xf numFmtId="167" fontId="0" fillId="59" borderId="6" xfId="0" applyNumberFormat="1" applyFont="1" applyFill="1" applyBorder="1" applyAlignment="1" applyProtection="1">
      <alignment horizontal="left" vertical="center"/>
      <protection hidden="1"/>
    </xf>
    <xf numFmtId="0" fontId="0" fillId="59" borderId="39" xfId="0" applyFont="1" applyFill="1" applyBorder="1" applyAlignment="1" applyProtection="1">
      <alignment horizontal="left" vertical="center"/>
      <protection hidden="1"/>
    </xf>
    <xf numFmtId="0" fontId="0" fillId="59" borderId="6" xfId="0" applyFont="1" applyFill="1" applyBorder="1" applyAlignment="1" applyProtection="1">
      <alignment horizontal="left" vertical="center"/>
      <protection hidden="1"/>
    </xf>
    <xf numFmtId="0" fontId="2" fillId="59" borderId="3" xfId="0" applyFont="1" applyFill="1" applyBorder="1" applyAlignment="1" applyProtection="1">
      <alignment vertical="center"/>
      <protection hidden="1"/>
    </xf>
    <xf numFmtId="0" fontId="2" fillId="59" borderId="46" xfId="0" applyFont="1" applyFill="1" applyBorder="1" applyAlignment="1" applyProtection="1">
      <alignment horizontal="left" vertical="center"/>
      <protection hidden="1"/>
    </xf>
    <xf numFmtId="167" fontId="2" fillId="59" borderId="10" xfId="0" applyNumberFormat="1" applyFont="1" applyFill="1" applyBorder="1" applyAlignment="1" applyProtection="1">
      <alignment horizontal="left" vertical="center"/>
      <protection hidden="1"/>
    </xf>
    <xf numFmtId="167" fontId="2" fillId="59" borderId="12" xfId="0" applyNumberFormat="1" applyFont="1" applyFill="1" applyBorder="1" applyAlignment="1" applyProtection="1">
      <alignment horizontal="left" vertical="center"/>
      <protection hidden="1"/>
    </xf>
    <xf numFmtId="0" fontId="0" fillId="59" borderId="13" xfId="0" applyFont="1" applyFill="1" applyBorder="1" applyAlignment="1" applyProtection="1">
      <alignment horizontal="left" vertical="center"/>
      <protection hidden="1"/>
    </xf>
    <xf numFmtId="0" fontId="0" fillId="59" borderId="46" xfId="0" applyFont="1" applyFill="1" applyBorder="1" applyAlignment="1" applyProtection="1">
      <alignment horizontal="left" vertical="center"/>
      <protection hidden="1"/>
    </xf>
    <xf numFmtId="167" fontId="0" fillId="59" borderId="10" xfId="0" applyNumberFormat="1" applyFont="1" applyFill="1" applyBorder="1" applyAlignment="1" applyProtection="1">
      <alignment horizontal="left" vertical="center"/>
      <protection hidden="1"/>
    </xf>
    <xf numFmtId="167" fontId="0" fillId="59" borderId="9" xfId="0" applyNumberFormat="1" applyFont="1" applyFill="1" applyBorder="1" applyAlignment="1" applyProtection="1">
      <alignment horizontal="left" vertical="center"/>
      <protection hidden="1"/>
    </xf>
    <xf numFmtId="0" fontId="0" fillId="59" borderId="12" xfId="0" applyFont="1" applyFill="1" applyBorder="1" applyAlignment="1" applyProtection="1">
      <alignment horizontal="left" vertical="center"/>
      <protection hidden="1"/>
    </xf>
    <xf numFmtId="0" fontId="0" fillId="59" borderId="47" xfId="0" applyFont="1" applyFill="1" applyBorder="1" applyAlignment="1" applyProtection="1">
      <alignment horizontal="left" vertical="center"/>
      <protection hidden="1"/>
    </xf>
    <xf numFmtId="167" fontId="0" fillId="59" borderId="8" xfId="0" applyNumberFormat="1" applyFont="1" applyFill="1" applyBorder="1" applyAlignment="1" applyProtection="1">
      <alignment horizontal="left" vertical="center"/>
      <protection hidden="1"/>
    </xf>
    <xf numFmtId="0" fontId="0" fillId="59" borderId="42" xfId="0" applyFont="1" applyFill="1" applyBorder="1" applyAlignment="1" applyProtection="1">
      <alignment horizontal="left" vertical="center"/>
      <protection hidden="1"/>
    </xf>
    <xf numFmtId="0" fontId="0" fillId="59" borderId="3" xfId="0" applyFont="1" applyFill="1" applyBorder="1" applyProtection="1">
      <protection hidden="1"/>
    </xf>
    <xf numFmtId="167" fontId="0" fillId="59" borderId="11" xfId="0" applyNumberFormat="1" applyFont="1" applyFill="1" applyBorder="1" applyProtection="1">
      <protection hidden="1"/>
    </xf>
    <xf numFmtId="167" fontId="0" fillId="59" borderId="0" xfId="0" applyNumberFormat="1" applyFont="1" applyFill="1" applyBorder="1" applyProtection="1">
      <protection hidden="1"/>
    </xf>
    <xf numFmtId="0" fontId="0" fillId="59" borderId="13" xfId="0" applyFont="1" applyFill="1" applyBorder="1" applyProtection="1">
      <protection hidden="1"/>
    </xf>
    <xf numFmtId="0" fontId="0" fillId="59" borderId="4" xfId="0" applyFont="1" applyFill="1" applyBorder="1" applyProtection="1">
      <protection hidden="1"/>
    </xf>
    <xf numFmtId="0" fontId="0" fillId="59" borderId="46" xfId="0" applyFont="1" applyFill="1" applyBorder="1" applyProtection="1">
      <protection hidden="1"/>
    </xf>
    <xf numFmtId="167" fontId="0" fillId="59" borderId="10" xfId="0" applyNumberFormat="1" applyFont="1" applyFill="1" applyBorder="1" applyProtection="1">
      <protection hidden="1"/>
    </xf>
    <xf numFmtId="167" fontId="0" fillId="59" borderId="9" xfId="0" applyNumberFormat="1" applyFont="1" applyFill="1" applyBorder="1" applyProtection="1">
      <protection hidden="1"/>
    </xf>
    <xf numFmtId="0" fontId="0" fillId="59" borderId="12" xfId="0" applyFont="1" applyFill="1" applyBorder="1" applyProtection="1">
      <protection hidden="1"/>
    </xf>
    <xf numFmtId="0" fontId="0" fillId="59" borderId="47" xfId="0" applyFont="1" applyFill="1" applyBorder="1" applyProtection="1">
      <protection hidden="1"/>
    </xf>
    <xf numFmtId="0" fontId="0" fillId="59" borderId="5" xfId="0" applyFont="1" applyFill="1" applyBorder="1" applyProtection="1">
      <protection hidden="1"/>
    </xf>
    <xf numFmtId="167" fontId="0" fillId="59" borderId="39" xfId="0" applyNumberFormat="1" applyFont="1" applyFill="1" applyBorder="1" applyProtection="1">
      <protection hidden="1"/>
    </xf>
    <xf numFmtId="167" fontId="0" fillId="59" borderId="8" xfId="0" applyNumberFormat="1" applyFont="1" applyFill="1" applyBorder="1" applyProtection="1">
      <protection hidden="1"/>
    </xf>
    <xf numFmtId="0" fontId="0" fillId="59" borderId="42" xfId="0" applyFont="1" applyFill="1" applyBorder="1" applyProtection="1">
      <protection hidden="1"/>
    </xf>
    <xf numFmtId="0" fontId="0" fillId="59" borderId="6" xfId="0" applyFont="1" applyFill="1" applyBorder="1" applyProtection="1">
      <protection hidden="1"/>
    </xf>
    <xf numFmtId="0" fontId="0" fillId="59" borderId="0" xfId="0" applyFont="1" applyFill="1" applyBorder="1" applyProtection="1">
      <protection hidden="1"/>
    </xf>
    <xf numFmtId="0" fontId="2" fillId="59" borderId="3" xfId="0" applyFont="1" applyFill="1" applyBorder="1" applyProtection="1">
      <protection hidden="1"/>
    </xf>
    <xf numFmtId="0" fontId="2" fillId="59" borderId="46" xfId="0" applyFont="1" applyFill="1" applyBorder="1" applyProtection="1">
      <protection hidden="1"/>
    </xf>
    <xf numFmtId="167" fontId="2" fillId="59" borderId="10" xfId="0" applyNumberFormat="1" applyFont="1" applyFill="1" applyBorder="1" applyProtection="1">
      <protection hidden="1"/>
    </xf>
    <xf numFmtId="167" fontId="2" fillId="59" borderId="12" xfId="0" applyNumberFormat="1" applyFont="1" applyFill="1" applyBorder="1" applyProtection="1">
      <protection hidden="1"/>
    </xf>
    <xf numFmtId="0" fontId="2" fillId="59" borderId="10" xfId="0" applyFont="1" applyFill="1" applyBorder="1" applyProtection="1">
      <protection hidden="1"/>
    </xf>
    <xf numFmtId="0" fontId="2" fillId="59" borderId="47" xfId="0" applyFont="1" applyFill="1" applyBorder="1" applyProtection="1">
      <protection hidden="1"/>
    </xf>
    <xf numFmtId="167" fontId="0" fillId="59" borderId="13" xfId="0" applyNumberFormat="1" applyFont="1" applyFill="1" applyBorder="1" applyProtection="1">
      <protection hidden="1"/>
    </xf>
    <xf numFmtId="167" fontId="0" fillId="59" borderId="42" xfId="0" applyNumberFormat="1" applyFont="1" applyFill="1" applyBorder="1" applyProtection="1">
      <protection hidden="1"/>
    </xf>
    <xf numFmtId="0" fontId="0" fillId="59" borderId="11" xfId="0" applyFont="1" applyFill="1" applyBorder="1" applyProtection="1">
      <protection hidden="1"/>
    </xf>
    <xf numFmtId="167" fontId="0" fillId="59" borderId="4" xfId="0" applyNumberFormat="1" applyFont="1" applyFill="1" applyBorder="1" applyProtection="1">
      <protection hidden="1"/>
    </xf>
    <xf numFmtId="0" fontId="0" fillId="59" borderId="39" xfId="0" applyFont="1" applyFill="1" applyBorder="1" applyProtection="1">
      <protection hidden="1"/>
    </xf>
    <xf numFmtId="167" fontId="0" fillId="59" borderId="6" xfId="0" applyNumberFormat="1" applyFont="1" applyFill="1" applyBorder="1" applyProtection="1">
      <protection hidden="1"/>
    </xf>
    <xf numFmtId="0" fontId="2" fillId="56" borderId="0" xfId="0" applyFont="1" applyFill="1" applyBorder="1" applyAlignment="1">
      <alignment horizontal="center"/>
    </xf>
    <xf numFmtId="0" fontId="2" fillId="56" borderId="0" xfId="0" applyFont="1" applyFill="1" applyBorder="1" applyAlignment="1">
      <alignment horizontal="right"/>
    </xf>
    <xf numFmtId="167" fontId="2" fillId="56" borderId="0" xfId="0" applyNumberFormat="1" applyFont="1" applyFill="1" applyBorder="1" applyAlignment="1">
      <alignment horizontal="right"/>
    </xf>
    <xf numFmtId="0" fontId="52" fillId="56" borderId="0" xfId="0" applyFont="1" applyFill="1" applyBorder="1" applyAlignment="1">
      <alignment horizontal="center"/>
    </xf>
    <xf numFmtId="0" fontId="60" fillId="56" borderId="0" xfId="0" applyFont="1" applyFill="1" applyBorder="1" applyAlignment="1">
      <alignment horizontal="center" vertical="center" wrapText="1"/>
    </xf>
    <xf numFmtId="0" fontId="61" fillId="56" borderId="0" xfId="0" applyFont="1" applyFill="1" applyBorder="1" applyAlignment="1">
      <alignment horizontal="center" vertical="center" wrapText="1"/>
    </xf>
    <xf numFmtId="0" fontId="2" fillId="56" borderId="1" xfId="0" applyFont="1" applyFill="1" applyBorder="1" applyAlignment="1">
      <alignment horizontal="center"/>
    </xf>
    <xf numFmtId="0" fontId="0" fillId="56" borderId="7" xfId="0" applyFill="1" applyBorder="1" applyAlignment="1">
      <alignment horizontal="center"/>
    </xf>
    <xf numFmtId="0" fontId="0" fillId="56" borderId="2" xfId="0" applyFill="1" applyBorder="1" applyAlignment="1">
      <alignment horizontal="center"/>
    </xf>
    <xf numFmtId="0" fontId="2" fillId="56" borderId="7" xfId="0" applyFont="1" applyFill="1" applyBorder="1" applyAlignment="1">
      <alignment horizontal="center"/>
    </xf>
    <xf numFmtId="0" fontId="2" fillId="56" borderId="2" xfId="0" applyFont="1" applyFill="1" applyBorder="1" applyAlignment="1">
      <alignment horizontal="center"/>
    </xf>
    <xf numFmtId="0" fontId="59" fillId="56" borderId="0" xfId="0" applyFont="1" applyFill="1" applyBorder="1" applyAlignment="1">
      <alignment horizontal="center"/>
    </xf>
    <xf numFmtId="0" fontId="2" fillId="56" borderId="3" xfId="0" applyFont="1" applyFill="1" applyBorder="1" applyAlignment="1">
      <alignment horizontal="center"/>
    </xf>
    <xf numFmtId="0" fontId="2" fillId="56" borderId="4" xfId="0" applyFont="1" applyFill="1" applyBorder="1" applyAlignment="1">
      <alignment horizontal="center"/>
    </xf>
    <xf numFmtId="0" fontId="2" fillId="56" borderId="37" xfId="0" applyFont="1" applyFill="1" applyBorder="1" applyAlignment="1">
      <alignment horizontal="center"/>
    </xf>
    <xf numFmtId="0" fontId="0" fillId="56" borderId="40" xfId="0" applyFill="1" applyBorder="1" applyAlignment="1">
      <alignment horizontal="center"/>
    </xf>
    <xf numFmtId="0" fontId="0" fillId="56" borderId="38" xfId="0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54" fillId="0" borderId="9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59" borderId="0" xfId="0" applyFont="1" applyFill="1" applyBorder="1" applyAlignment="1">
      <alignment horizontal="center"/>
    </xf>
    <xf numFmtId="0" fontId="2" fillId="59" borderId="13" xfId="0" applyFont="1" applyFill="1" applyBorder="1" applyAlignment="1">
      <alignment horizontal="center"/>
    </xf>
    <xf numFmtId="0" fontId="2" fillId="23" borderId="1" xfId="0" applyFont="1" applyFill="1" applyBorder="1" applyAlignment="1">
      <alignment horizontal="center"/>
    </xf>
    <xf numFmtId="0" fontId="2" fillId="23" borderId="7" xfId="0" applyFont="1" applyFill="1" applyBorder="1" applyAlignment="1">
      <alignment horizontal="center"/>
    </xf>
    <xf numFmtId="0" fontId="2" fillId="60" borderId="11" xfId="0" applyFont="1" applyFill="1" applyBorder="1" applyAlignment="1">
      <alignment horizontal="center"/>
    </xf>
    <xf numFmtId="0" fontId="2" fillId="60" borderId="0" xfId="0" applyFont="1" applyFill="1" applyBorder="1" applyAlignment="1">
      <alignment horizontal="center"/>
    </xf>
    <xf numFmtId="0" fontId="2" fillId="23" borderId="0" xfId="0" applyFont="1" applyFill="1" applyBorder="1" applyAlignment="1">
      <alignment horizontal="center"/>
    </xf>
    <xf numFmtId="0" fontId="0" fillId="23" borderId="0" xfId="0" applyFill="1" applyBorder="1" applyAlignment="1">
      <alignment horizontal="center"/>
    </xf>
    <xf numFmtId="0" fontId="2" fillId="59" borderId="11" xfId="0" applyFont="1" applyFill="1" applyBorder="1" applyAlignment="1">
      <alignment horizontal="center"/>
    </xf>
    <xf numFmtId="0" fontId="2" fillId="61" borderId="11" xfId="0" applyFont="1" applyFill="1" applyBorder="1" applyAlignment="1">
      <alignment horizontal="center"/>
    </xf>
    <xf numFmtId="0" fontId="2" fillId="61" borderId="0" xfId="0" applyFont="1" applyFill="1" applyBorder="1" applyAlignment="1">
      <alignment horizontal="center"/>
    </xf>
    <xf numFmtId="0" fontId="2" fillId="61" borderId="13" xfId="0" applyFont="1" applyFill="1" applyBorder="1" applyAlignment="1">
      <alignment horizontal="center"/>
    </xf>
    <xf numFmtId="0" fontId="0" fillId="23" borderId="0" xfId="0" applyFill="1" applyAlignment="1">
      <alignment horizontal="center"/>
    </xf>
    <xf numFmtId="0" fontId="2" fillId="60" borderId="3" xfId="0" applyFont="1" applyFill="1" applyBorder="1" applyAlignment="1">
      <alignment horizontal="center"/>
    </xf>
    <xf numFmtId="0" fontId="2" fillId="60" borderId="13" xfId="0" applyFont="1" applyFill="1" applyBorder="1" applyAlignment="1">
      <alignment horizontal="center"/>
    </xf>
    <xf numFmtId="1" fontId="2" fillId="23" borderId="0" xfId="0" applyNumberFormat="1" applyFont="1" applyFill="1" applyBorder="1" applyAlignment="1">
      <alignment horizontal="center"/>
    </xf>
    <xf numFmtId="0" fontId="2" fillId="61" borderId="7" xfId="0" applyFont="1" applyFill="1" applyBorder="1" applyAlignment="1">
      <alignment horizontal="center"/>
    </xf>
    <xf numFmtId="0" fontId="0" fillId="61" borderId="7" xfId="0" applyFill="1" applyBorder="1" applyAlignment="1">
      <alignment horizontal="center"/>
    </xf>
    <xf numFmtId="0" fontId="2" fillId="59" borderId="11" xfId="0" applyFont="1" applyFill="1" applyBorder="1" applyAlignment="1">
      <alignment horizontal="center" wrapText="1"/>
    </xf>
    <xf numFmtId="0" fontId="2" fillId="59" borderId="0" xfId="0" applyFont="1" applyFill="1" applyBorder="1" applyAlignment="1">
      <alignment horizontal="center" wrapText="1"/>
    </xf>
    <xf numFmtId="0" fontId="2" fillId="59" borderId="13" xfId="0" applyFont="1" applyFill="1" applyBorder="1" applyAlignment="1">
      <alignment horizontal="center" wrapText="1"/>
    </xf>
    <xf numFmtId="0" fontId="2" fillId="59" borderId="1" xfId="0" applyFont="1" applyFill="1" applyBorder="1" applyAlignment="1" applyProtection="1">
      <alignment horizontal="center"/>
      <protection hidden="1"/>
    </xf>
    <xf numFmtId="0" fontId="2" fillId="59" borderId="7" xfId="0" applyFont="1" applyFill="1" applyBorder="1" applyAlignment="1" applyProtection="1">
      <alignment horizontal="center"/>
      <protection hidden="1"/>
    </xf>
    <xf numFmtId="0" fontId="2" fillId="59" borderId="2" xfId="0" applyFont="1" applyFill="1" applyBorder="1" applyAlignment="1" applyProtection="1">
      <alignment horizontal="center"/>
      <protection hidden="1"/>
    </xf>
    <xf numFmtId="167" fontId="2" fillId="59" borderId="11" xfId="0" applyNumberFormat="1" applyFont="1" applyFill="1" applyBorder="1" applyAlignment="1" applyProtection="1">
      <alignment horizontal="center"/>
      <protection hidden="1"/>
    </xf>
    <xf numFmtId="167" fontId="2" fillId="59" borderId="13" xfId="0" applyNumberFormat="1" applyFont="1" applyFill="1" applyBorder="1" applyAlignment="1" applyProtection="1">
      <alignment horizontal="center"/>
      <protection hidden="1"/>
    </xf>
    <xf numFmtId="0" fontId="2" fillId="59" borderId="11" xfId="0" applyFont="1" applyFill="1" applyBorder="1" applyAlignment="1" applyProtection="1">
      <alignment horizontal="center"/>
      <protection hidden="1"/>
    </xf>
    <xf numFmtId="0" fontId="2" fillId="59" borderId="4" xfId="0" applyFont="1" applyFill="1" applyBorder="1" applyAlignment="1" applyProtection="1">
      <alignment horizontal="center"/>
      <protection hidden="1"/>
    </xf>
    <xf numFmtId="0" fontId="2" fillId="59" borderId="1" xfId="0" applyFont="1" applyFill="1" applyBorder="1" applyAlignment="1" applyProtection="1">
      <alignment horizontal="center" vertical="center"/>
      <protection hidden="1"/>
    </xf>
    <xf numFmtId="0" fontId="2" fillId="59" borderId="7" xfId="0" applyFont="1" applyFill="1" applyBorder="1" applyAlignment="1" applyProtection="1">
      <alignment horizontal="center" vertical="center"/>
      <protection hidden="1"/>
    </xf>
    <xf numFmtId="0" fontId="2" fillId="59" borderId="2" xfId="0" applyFont="1" applyFill="1" applyBorder="1" applyAlignment="1" applyProtection="1">
      <alignment horizontal="center" vertical="center"/>
      <protection hidden="1"/>
    </xf>
    <xf numFmtId="0" fontId="2" fillId="59" borderId="11" xfId="0" applyFont="1" applyFill="1" applyBorder="1" applyAlignment="1" applyProtection="1">
      <alignment horizontal="center" vertical="center"/>
      <protection hidden="1"/>
    </xf>
    <xf numFmtId="0" fontId="2" fillId="59" borderId="0" xfId="0" applyFont="1" applyFill="1" applyBorder="1" applyAlignment="1" applyProtection="1">
      <alignment horizontal="center" vertical="center"/>
      <protection hidden="1"/>
    </xf>
    <xf numFmtId="0" fontId="2" fillId="59" borderId="13" xfId="0" applyFont="1" applyFill="1" applyBorder="1" applyAlignment="1" applyProtection="1">
      <alignment horizontal="center" vertical="center"/>
      <protection hidden="1"/>
    </xf>
    <xf numFmtId="0" fontId="2" fillId="59" borderId="4" xfId="0" applyFont="1" applyFill="1" applyBorder="1" applyAlignment="1" applyProtection="1">
      <alignment horizontal="center" vertical="center"/>
      <protection hidden="1"/>
    </xf>
    <xf numFmtId="0" fontId="0" fillId="56" borderId="1" xfId="0" applyFill="1" applyBorder="1" applyAlignment="1">
      <alignment horizontal="center"/>
    </xf>
    <xf numFmtId="0" fontId="2" fillId="56" borderId="23" xfId="0" applyFont="1" applyFill="1" applyBorder="1" applyAlignment="1">
      <alignment horizontal="center"/>
    </xf>
    <xf numFmtId="0" fontId="2" fillId="56" borderId="25" xfId="0" applyFont="1" applyFill="1" applyBorder="1" applyAlignment="1">
      <alignment horizontal="center"/>
    </xf>
    <xf numFmtId="0" fontId="0" fillId="56" borderId="0" xfId="0" applyFill="1" applyBorder="1" applyAlignment="1">
      <alignment horizontal="center"/>
    </xf>
    <xf numFmtId="0" fontId="0" fillId="0" borderId="0" xfId="0" applyAlignment="1">
      <alignment horizontal="center"/>
    </xf>
    <xf numFmtId="0" fontId="51" fillId="56" borderId="0" xfId="49" applyFont="1" applyFill="1" applyBorder="1" applyAlignment="1">
      <alignment horizontal="center"/>
    </xf>
    <xf numFmtId="0" fontId="51" fillId="56" borderId="3" xfId="49" applyFont="1" applyFill="1" applyBorder="1" applyAlignment="1">
      <alignment horizontal="center"/>
    </xf>
    <xf numFmtId="0" fontId="48" fillId="56" borderId="0" xfId="49" applyFont="1" applyFill="1" applyBorder="1" applyAlignment="1">
      <alignment horizontal="center"/>
    </xf>
    <xf numFmtId="0" fontId="0" fillId="56" borderId="0" xfId="0" applyFill="1" applyAlignment="1">
      <alignment horizontal="center"/>
    </xf>
    <xf numFmtId="0" fontId="0" fillId="0" borderId="0" xfId="0" applyAlignment="1">
      <alignment horizontal="center" vertical="center"/>
    </xf>
    <xf numFmtId="0" fontId="0" fillId="57" borderId="0" xfId="0" applyFont="1" applyFill="1" applyBorder="1" applyAlignment="1">
      <alignment horizontal="center"/>
    </xf>
    <xf numFmtId="0" fontId="0" fillId="62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10" fontId="0" fillId="0" borderId="0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51" fillId="23" borderId="11" xfId="0" applyFont="1" applyFill="1" applyBorder="1" applyAlignment="1">
      <alignment horizontal="center"/>
    </xf>
    <xf numFmtId="0" fontId="51" fillId="23" borderId="0" xfId="0" applyFont="1" applyFill="1" applyBorder="1" applyAlignment="1">
      <alignment horizontal="center"/>
    </xf>
    <xf numFmtId="0" fontId="51" fillId="23" borderId="4" xfId="0" applyFont="1" applyFill="1" applyBorder="1" applyAlignment="1">
      <alignment horizontal="center"/>
    </xf>
    <xf numFmtId="0" fontId="51" fillId="23" borderId="3" xfId="0" applyFont="1" applyFill="1" applyBorder="1" applyAlignment="1">
      <alignment horizontal="center"/>
    </xf>
    <xf numFmtId="0" fontId="51" fillId="23" borderId="37" xfId="0" applyFont="1" applyFill="1" applyBorder="1" applyAlignment="1">
      <alignment horizontal="center"/>
    </xf>
    <xf numFmtId="0" fontId="51" fillId="23" borderId="40" xfId="0" applyFont="1" applyFill="1" applyBorder="1" applyAlignment="1">
      <alignment horizontal="center"/>
    </xf>
    <xf numFmtId="0" fontId="51" fillId="23" borderId="38" xfId="0" applyFont="1" applyFill="1" applyBorder="1" applyAlignment="1">
      <alignment horizontal="center"/>
    </xf>
    <xf numFmtId="0" fontId="46" fillId="24" borderId="63" xfId="0" applyFont="1" applyFill="1" applyBorder="1" applyAlignment="1">
      <alignment horizontal="center"/>
    </xf>
    <xf numFmtId="0" fontId="46" fillId="24" borderId="0" xfId="0" applyFont="1" applyFill="1" applyBorder="1" applyAlignment="1">
      <alignment horizontal="center"/>
    </xf>
    <xf numFmtId="0" fontId="46" fillId="24" borderId="58" xfId="0" applyFont="1" applyFill="1" applyBorder="1" applyAlignment="1">
      <alignment horizontal="center"/>
    </xf>
    <xf numFmtId="0" fontId="46" fillId="24" borderId="62" xfId="0" applyFont="1" applyFill="1" applyBorder="1" applyAlignment="1">
      <alignment horizontal="center"/>
    </xf>
    <xf numFmtId="0" fontId="46" fillId="24" borderId="64" xfId="0" applyFont="1" applyFill="1" applyBorder="1" applyAlignment="1">
      <alignment horizontal="center"/>
    </xf>
    <xf numFmtId="0" fontId="46" fillId="24" borderId="57" xfId="0" applyFont="1" applyFill="1" applyBorder="1" applyAlignment="1">
      <alignment horizontal="center"/>
    </xf>
    <xf numFmtId="0" fontId="46" fillId="24" borderId="67" xfId="0" applyFont="1" applyFill="1" applyBorder="1" applyAlignment="1">
      <alignment horizontal="center"/>
    </xf>
    <xf numFmtId="0" fontId="51" fillId="23" borderId="1" xfId="0" applyFont="1" applyFill="1" applyBorder="1" applyAlignment="1">
      <alignment horizontal="center"/>
    </xf>
    <xf numFmtId="0" fontId="51" fillId="23" borderId="7" xfId="0" applyFont="1" applyFill="1" applyBorder="1" applyAlignment="1">
      <alignment horizontal="center"/>
    </xf>
    <xf numFmtId="0" fontId="51" fillId="23" borderId="2" xfId="0" applyFont="1" applyFill="1" applyBorder="1" applyAlignment="1">
      <alignment horizontal="center"/>
    </xf>
    <xf numFmtId="0" fontId="0" fillId="56" borderId="11" xfId="0" applyFill="1" applyBorder="1" applyAlignment="1">
      <alignment horizontal="center"/>
    </xf>
    <xf numFmtId="0" fontId="0" fillId="56" borderId="4" xfId="0" applyFill="1" applyBorder="1" applyAlignment="1">
      <alignment horizontal="center"/>
    </xf>
    <xf numFmtId="0" fontId="0" fillId="56" borderId="13" xfId="0" applyFill="1" applyBorder="1" applyAlignment="1">
      <alignment horizontal="center"/>
    </xf>
  </cellXfs>
  <cellStyles count="111">
    <cellStyle name="20% - Accent1" xfId="86" builtinId="30" customBuiltin="1"/>
    <cellStyle name="20% - Accent1 2" xfId="1"/>
    <cellStyle name="20% - Accent2" xfId="90" builtinId="34" customBuiltin="1"/>
    <cellStyle name="20% - Accent2 2" xfId="2"/>
    <cellStyle name="20% - Accent3" xfId="94" builtinId="38" customBuiltin="1"/>
    <cellStyle name="20% - Accent3 2" xfId="3"/>
    <cellStyle name="20% - Accent4" xfId="98" builtinId="42" customBuiltin="1"/>
    <cellStyle name="20% - Accent4 2" xfId="4"/>
    <cellStyle name="20% - Accent5" xfId="102" builtinId="46" customBuiltin="1"/>
    <cellStyle name="20% - Accent5 2" xfId="5"/>
    <cellStyle name="20% - Accent6" xfId="106" builtinId="50" customBuiltin="1"/>
    <cellStyle name="20% - Accent6 2" xfId="6"/>
    <cellStyle name="40% - Accent1" xfId="87" builtinId="31" customBuiltin="1"/>
    <cellStyle name="40% - Accent1 2" xfId="7"/>
    <cellStyle name="40% - Accent2" xfId="91" builtinId="35" customBuiltin="1"/>
    <cellStyle name="40% - Accent2 2" xfId="8"/>
    <cellStyle name="40% - Accent3" xfId="95" builtinId="39" customBuiltin="1"/>
    <cellStyle name="40% - Accent3 2" xfId="9"/>
    <cellStyle name="40% - Accent4" xfId="99" builtinId="43" customBuiltin="1"/>
    <cellStyle name="40% - Accent4 2" xfId="10"/>
    <cellStyle name="40% - Accent5" xfId="103" builtinId="47" customBuiltin="1"/>
    <cellStyle name="40% - Accent5 2" xfId="11"/>
    <cellStyle name="40% - Accent6" xfId="107" builtinId="51" customBuiltin="1"/>
    <cellStyle name="40% - Accent6 2" xfId="12"/>
    <cellStyle name="60% - Accent1" xfId="88" builtinId="32" customBuiltin="1"/>
    <cellStyle name="60% - Accent1 2" xfId="13"/>
    <cellStyle name="60% - Accent2" xfId="92" builtinId="36" customBuiltin="1"/>
    <cellStyle name="60% - Accent2 2" xfId="14"/>
    <cellStyle name="60% - Accent3" xfId="96" builtinId="40" customBuiltin="1"/>
    <cellStyle name="60% - Accent3 2" xfId="15"/>
    <cellStyle name="60% - Accent4" xfId="100" builtinId="44" customBuiltin="1"/>
    <cellStyle name="60% - Accent4 2" xfId="16"/>
    <cellStyle name="60% - Accent5" xfId="104" builtinId="48" customBuiltin="1"/>
    <cellStyle name="60% - Accent5 2" xfId="17"/>
    <cellStyle name="60% - Accent6" xfId="108" builtinId="52" customBuiltin="1"/>
    <cellStyle name="60% - Accent6 2" xfId="18"/>
    <cellStyle name="Accent1" xfId="85" builtinId="29" customBuiltin="1"/>
    <cellStyle name="Accent1 2" xfId="19"/>
    <cellStyle name="Accent2" xfId="89" builtinId="33" customBuiltin="1"/>
    <cellStyle name="Accent2 2" xfId="20"/>
    <cellStyle name="Accent3" xfId="93" builtinId="37" customBuiltin="1"/>
    <cellStyle name="Accent3 2" xfId="21"/>
    <cellStyle name="Accent4" xfId="97" builtinId="41" customBuiltin="1"/>
    <cellStyle name="Accent4 2" xfId="22"/>
    <cellStyle name="Accent5" xfId="101" builtinId="45" customBuiltin="1"/>
    <cellStyle name="Accent5 2" xfId="23"/>
    <cellStyle name="Accent6" xfId="105" builtinId="49" customBuiltin="1"/>
    <cellStyle name="Accent6 2" xfId="24"/>
    <cellStyle name="Bad" xfId="74" builtinId="27" customBuiltin="1"/>
    <cellStyle name="Bad 2" xfId="25"/>
    <cellStyle name="Calculation" xfId="78" builtinId="22" customBuiltin="1"/>
    <cellStyle name="Calculation 2" xfId="26"/>
    <cellStyle name="Check Cell" xfId="80" builtinId="23" customBuiltin="1"/>
    <cellStyle name="Check Cell 2" xfId="27"/>
    <cellStyle name="Comma 2" xfId="28"/>
    <cellStyle name="Comma 2 2" xfId="29"/>
    <cellStyle name="Comma 3" xfId="30"/>
    <cellStyle name="Currency 2" xfId="31"/>
    <cellStyle name="Explanatory Text" xfId="83" builtinId="53" customBuiltin="1"/>
    <cellStyle name="Explanatory Text 2" xfId="32"/>
    <cellStyle name="Followed Hyperlink" xfId="109" builtinId="9" customBuiltin="1"/>
    <cellStyle name="Good" xfId="73" builtinId="26" customBuiltin="1"/>
    <cellStyle name="Good 2" xfId="33"/>
    <cellStyle name="Heading 1" xfId="69" builtinId="16" customBuiltin="1"/>
    <cellStyle name="Heading 1 2" xfId="34"/>
    <cellStyle name="Heading 2" xfId="70" builtinId="17" customBuiltin="1"/>
    <cellStyle name="Heading 2 2" xfId="35"/>
    <cellStyle name="Heading 3" xfId="71" builtinId="18" customBuiltin="1"/>
    <cellStyle name="Heading 3 2" xfId="36"/>
    <cellStyle name="Heading 4" xfId="72" builtinId="19" customBuiltin="1"/>
    <cellStyle name="Heading 4 2" xfId="37"/>
    <cellStyle name="Hyperlink 2" xfId="38"/>
    <cellStyle name="Hyperlink 2 2" xfId="39"/>
    <cellStyle name="Hyperlink 3" xfId="40"/>
    <cellStyle name="Hyperlink 4" xfId="41"/>
    <cellStyle name="Hyperlink 5" xfId="42"/>
    <cellStyle name="Hyperlink 6" xfId="110"/>
    <cellStyle name="Input" xfId="76" builtinId="20" customBuiltin="1"/>
    <cellStyle name="Input 2" xfId="43"/>
    <cellStyle name="Linked Cell" xfId="79" builtinId="24" customBuiltin="1"/>
    <cellStyle name="Linked Cell 2" xfId="44"/>
    <cellStyle name="Neutral" xfId="75" builtinId="28" customBuiltin="1"/>
    <cellStyle name="Neutral 2" xfId="45"/>
    <cellStyle name="Normal" xfId="0" builtinId="0"/>
    <cellStyle name="Normal 2" xfId="46"/>
    <cellStyle name="Normal 2 2" xfId="47"/>
    <cellStyle name="Normal 2 3" xfId="48"/>
    <cellStyle name="Normal 3" xfId="49"/>
    <cellStyle name="Normal 3 2" xfId="50"/>
    <cellStyle name="Normal 3 2 2" xfId="51"/>
    <cellStyle name="Normal 3 3" xfId="52"/>
    <cellStyle name="Normal 3 4" xfId="53"/>
    <cellStyle name="Normal 3_data for Eng pivots" xfId="54"/>
    <cellStyle name="Normal 4" xfId="55"/>
    <cellStyle name="Normal 4 2" xfId="56"/>
    <cellStyle name="Normal 4 3" xfId="57"/>
    <cellStyle name="Normal 5" xfId="58"/>
    <cellStyle name="Note" xfId="82" builtinId="10" customBuiltin="1"/>
    <cellStyle name="Note 2" xfId="59"/>
    <cellStyle name="Output" xfId="77" builtinId="21" customBuiltin="1"/>
    <cellStyle name="Output 2" xfId="60"/>
    <cellStyle name="Percent 2" xfId="61"/>
    <cellStyle name="Percent 3" xfId="62"/>
    <cellStyle name="Percent 4" xfId="63"/>
    <cellStyle name="Percent 5" xfId="64"/>
    <cellStyle name="Title" xfId="68" builtinId="15" customBuiltin="1"/>
    <cellStyle name="Title 2" xfId="65"/>
    <cellStyle name="Total" xfId="84" builtinId="25" customBuiltin="1"/>
    <cellStyle name="Total 2" xfId="66"/>
    <cellStyle name="Warning Text" xfId="81" builtinId="11" customBuiltin="1"/>
    <cellStyle name="Warning Text 2" xfId="67"/>
  </cellStyles>
  <dxfs count="0"/>
  <tableStyles count="0" defaultTableStyle="TableStyleMedium2" defaultPivotStyle="PivotStyleLight16"/>
  <colors>
    <mruColors>
      <color rgb="FFFFFF99"/>
      <color rgb="FFDDDDDD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176894</xdr:colOff>
      <xdr:row>0</xdr:row>
      <xdr:rowOff>163287</xdr:rowOff>
    </xdr:from>
    <xdr:ext cx="2503714" cy="655949"/>
    <xdr:sp macro="" textlink="">
      <xdr:nvSpPr>
        <xdr:cNvPr id="2" name="TextBox 1"/>
        <xdr:cNvSpPr txBox="1"/>
      </xdr:nvSpPr>
      <xdr:spPr>
        <a:xfrm>
          <a:off x="176894" y="163287"/>
          <a:ext cx="2503714" cy="655949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800"/>
            <a:t>Input details of</a:t>
          </a:r>
          <a:r>
            <a:rPr lang="en-GB" sz="1800" baseline="0"/>
            <a:t> the cohort of mothers here </a:t>
          </a:r>
          <a:endParaRPr lang="en-GB" sz="1800"/>
        </a:p>
      </xdr:txBody>
    </xdr:sp>
    <xdr:clientData/>
  </xdr:oneCellAnchor>
  <xdr:twoCellAnchor>
    <xdr:from>
      <xdr:col>3</xdr:col>
      <xdr:colOff>244929</xdr:colOff>
      <xdr:row>2</xdr:row>
      <xdr:rowOff>55833</xdr:rowOff>
    </xdr:from>
    <xdr:to>
      <xdr:col>3</xdr:col>
      <xdr:colOff>598714</xdr:colOff>
      <xdr:row>2</xdr:row>
      <xdr:rowOff>136071</xdr:rowOff>
    </xdr:to>
    <xdr:cxnSp macro="">
      <xdr:nvCxnSpPr>
        <xdr:cNvPr id="4" name="Straight Arrow Connector 3"/>
        <xdr:cNvCxnSpPr>
          <a:stCxn id="2" idx="3"/>
        </xdr:cNvCxnSpPr>
      </xdr:nvCxnSpPr>
      <xdr:spPr>
        <a:xfrm>
          <a:off x="2680608" y="491262"/>
          <a:ext cx="353785" cy="80238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176894</xdr:colOff>
      <xdr:row>5</xdr:row>
      <xdr:rowOff>13607</xdr:rowOff>
    </xdr:from>
    <xdr:ext cx="2503714" cy="1219565"/>
    <xdr:sp macro="" textlink="">
      <xdr:nvSpPr>
        <xdr:cNvPr id="7" name="TextBox 6"/>
        <xdr:cNvSpPr txBox="1"/>
      </xdr:nvSpPr>
      <xdr:spPr>
        <a:xfrm>
          <a:off x="176894" y="1061357"/>
          <a:ext cx="2503714" cy="1219565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800"/>
            <a:t>Input age at which you wish to stop the evaluation (default is age 100 years)</a:t>
          </a:r>
        </a:p>
      </xdr:txBody>
    </xdr:sp>
    <xdr:clientData/>
  </xdr:oneCellAnchor>
  <xdr:oneCellAnchor>
    <xdr:from>
      <xdr:col>0</xdr:col>
      <xdr:colOff>193222</xdr:colOff>
      <xdr:row>12</xdr:row>
      <xdr:rowOff>125187</xdr:rowOff>
    </xdr:from>
    <xdr:ext cx="2503714" cy="937757"/>
    <xdr:sp macro="" textlink="">
      <xdr:nvSpPr>
        <xdr:cNvPr id="8" name="TextBox 7"/>
        <xdr:cNvSpPr txBox="1"/>
      </xdr:nvSpPr>
      <xdr:spPr>
        <a:xfrm>
          <a:off x="193222" y="2574473"/>
          <a:ext cx="2503714" cy="937757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800"/>
            <a:t>Input discount</a:t>
          </a:r>
          <a:r>
            <a:rPr lang="en-GB" sz="1800" baseline="0"/>
            <a:t> rate for future costs and benefits (default is 3.5%)</a:t>
          </a:r>
          <a:endParaRPr lang="en-GB" sz="1800"/>
        </a:p>
      </xdr:txBody>
    </xdr:sp>
    <xdr:clientData/>
  </xdr:oneCellAnchor>
  <xdr:twoCellAnchor>
    <xdr:from>
      <xdr:col>3</xdr:col>
      <xdr:colOff>244929</xdr:colOff>
      <xdr:row>6</xdr:row>
      <xdr:rowOff>54429</xdr:rowOff>
    </xdr:from>
    <xdr:to>
      <xdr:col>3</xdr:col>
      <xdr:colOff>585107</xdr:colOff>
      <xdr:row>8</xdr:row>
      <xdr:rowOff>24676</xdr:rowOff>
    </xdr:to>
    <xdr:cxnSp macro="">
      <xdr:nvCxnSpPr>
        <xdr:cNvPr id="6" name="Straight Arrow Connector 5"/>
        <xdr:cNvCxnSpPr>
          <a:stCxn id="7" idx="3"/>
        </xdr:cNvCxnSpPr>
      </xdr:nvCxnSpPr>
      <xdr:spPr>
        <a:xfrm flipV="1">
          <a:off x="2680608" y="1292679"/>
          <a:ext cx="340178" cy="378461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261257</xdr:colOff>
      <xdr:row>9</xdr:row>
      <xdr:rowOff>40822</xdr:rowOff>
    </xdr:from>
    <xdr:to>
      <xdr:col>3</xdr:col>
      <xdr:colOff>585107</xdr:colOff>
      <xdr:row>14</xdr:row>
      <xdr:rowOff>199459</xdr:rowOff>
    </xdr:to>
    <xdr:cxnSp macro="">
      <xdr:nvCxnSpPr>
        <xdr:cNvPr id="10" name="Straight Arrow Connector 9"/>
        <xdr:cNvCxnSpPr>
          <a:stCxn id="8" idx="3"/>
        </xdr:cNvCxnSpPr>
      </xdr:nvCxnSpPr>
      <xdr:spPr>
        <a:xfrm flipV="1">
          <a:off x="2696936" y="1891393"/>
          <a:ext cx="323850" cy="1151959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11</xdr:col>
      <xdr:colOff>549729</xdr:colOff>
      <xdr:row>0</xdr:row>
      <xdr:rowOff>59873</xdr:rowOff>
    </xdr:from>
    <xdr:ext cx="2503714" cy="655949"/>
    <xdr:sp macro="" textlink="">
      <xdr:nvSpPr>
        <xdr:cNvPr id="13" name="TextBox 12"/>
        <xdr:cNvSpPr txBox="1"/>
      </xdr:nvSpPr>
      <xdr:spPr>
        <a:xfrm>
          <a:off x="19980729" y="59873"/>
          <a:ext cx="2503714" cy="655949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800"/>
            <a:t>Input quit rates at delivery here</a:t>
          </a:r>
        </a:p>
      </xdr:txBody>
    </xdr:sp>
    <xdr:clientData/>
  </xdr:oneCellAnchor>
  <xdr:oneCellAnchor>
    <xdr:from>
      <xdr:col>11</xdr:col>
      <xdr:colOff>571501</xdr:colOff>
      <xdr:row>4</xdr:row>
      <xdr:rowOff>54429</xdr:rowOff>
    </xdr:from>
    <xdr:ext cx="2503714" cy="937757"/>
    <xdr:sp macro="" textlink="">
      <xdr:nvSpPr>
        <xdr:cNvPr id="14" name="TextBox 13"/>
        <xdr:cNvSpPr txBox="1"/>
      </xdr:nvSpPr>
      <xdr:spPr>
        <a:xfrm>
          <a:off x="20002501" y="898072"/>
          <a:ext cx="2503714" cy="937757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800"/>
            <a:t>Input the cost of comparator and intervention here</a:t>
          </a:r>
        </a:p>
      </xdr:txBody>
    </xdr:sp>
    <xdr:clientData/>
  </xdr:oneCellAnchor>
  <xdr:twoCellAnchor>
    <xdr:from>
      <xdr:col>10</xdr:col>
      <xdr:colOff>13607</xdr:colOff>
      <xdr:row>1</xdr:row>
      <xdr:rowOff>122464</xdr:rowOff>
    </xdr:from>
    <xdr:to>
      <xdr:col>11</xdr:col>
      <xdr:colOff>549729</xdr:colOff>
      <xdr:row>1</xdr:row>
      <xdr:rowOff>142919</xdr:rowOff>
    </xdr:to>
    <xdr:cxnSp macro="">
      <xdr:nvCxnSpPr>
        <xdr:cNvPr id="12" name="Straight Arrow Connector 11"/>
        <xdr:cNvCxnSpPr>
          <a:stCxn id="13" idx="1"/>
        </xdr:cNvCxnSpPr>
      </xdr:nvCxnSpPr>
      <xdr:spPr>
        <a:xfrm flipH="1" flipV="1">
          <a:off x="18451286" y="367393"/>
          <a:ext cx="1529443" cy="20455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13607</xdr:colOff>
      <xdr:row>5</xdr:row>
      <xdr:rowOff>163286</xdr:rowOff>
    </xdr:from>
    <xdr:to>
      <xdr:col>11</xdr:col>
      <xdr:colOff>571501</xdr:colOff>
      <xdr:row>6</xdr:row>
      <xdr:rowOff>128701</xdr:rowOff>
    </xdr:to>
    <xdr:cxnSp macro="">
      <xdr:nvCxnSpPr>
        <xdr:cNvPr id="16" name="Straight Arrow Connector 15"/>
        <xdr:cNvCxnSpPr>
          <a:stCxn id="14" idx="1"/>
        </xdr:cNvCxnSpPr>
      </xdr:nvCxnSpPr>
      <xdr:spPr>
        <a:xfrm flipH="1" flipV="1">
          <a:off x="18451286" y="1211036"/>
          <a:ext cx="1551215" cy="155915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A137"/>
  <sheetViews>
    <sheetView tabSelected="1" zoomScale="70" zoomScaleNormal="70" workbookViewId="0">
      <selection activeCell="F6" sqref="F6"/>
    </sheetView>
  </sheetViews>
  <sheetFormatPr defaultRowHeight="15" x14ac:dyDescent="0.25"/>
  <cols>
    <col min="1" max="2" width="9.140625" style="18"/>
    <col min="3" max="3" width="18.140625" style="18" customWidth="1"/>
    <col min="4" max="4" width="9.140625" style="18"/>
    <col min="5" max="5" width="64.28515625" style="9" bestFit="1" customWidth="1"/>
    <col min="6" max="6" width="14.85546875" style="18" bestFit="1" customWidth="1"/>
    <col min="7" max="7" width="15.28515625" style="18" bestFit="1" customWidth="1"/>
    <col min="8" max="8" width="15.85546875" style="18" bestFit="1" customWidth="1"/>
    <col min="9" max="9" width="56" style="18" bestFit="1" customWidth="1"/>
    <col min="10" max="10" width="64.42578125" style="18" bestFit="1" customWidth="1"/>
    <col min="11" max="11" width="14.85546875" style="18" bestFit="1" customWidth="1"/>
    <col min="12" max="12" width="15.28515625" style="18" bestFit="1" customWidth="1"/>
    <col min="13" max="14" width="15.7109375" style="18" bestFit="1" customWidth="1"/>
    <col min="15" max="15" width="17.28515625" style="18" bestFit="1" customWidth="1"/>
    <col min="16" max="16" width="66.42578125" style="18" bestFit="1" customWidth="1"/>
    <col min="17" max="18" width="14.85546875" style="18" customWidth="1"/>
    <col min="19" max="19" width="13.5703125" style="18" bestFit="1" customWidth="1"/>
    <col min="20" max="21" width="17.7109375" style="18" customWidth="1"/>
    <col min="22" max="22" width="17.85546875" style="18" customWidth="1"/>
    <col min="23" max="23" width="20.5703125" style="18" bestFit="1" customWidth="1"/>
    <col min="24" max="24" width="19.5703125" style="18" customWidth="1"/>
    <col min="25" max="25" width="21" style="18" bestFit="1" customWidth="1"/>
    <col min="26" max="16384" width="9.140625" style="18"/>
  </cols>
  <sheetData>
    <row r="1" spans="1:20" ht="19.5" thickBot="1" x14ac:dyDescent="0.35">
      <c r="A1" s="557"/>
      <c r="B1" s="557"/>
      <c r="C1" s="557"/>
      <c r="I1" s="552" t="s">
        <v>1095</v>
      </c>
      <c r="J1" s="556"/>
      <c r="K1" s="430"/>
      <c r="L1" s="101"/>
      <c r="M1" s="101"/>
      <c r="N1" s="101"/>
      <c r="O1" s="27"/>
      <c r="P1" s="20"/>
      <c r="Q1" s="27"/>
      <c r="R1" s="27"/>
      <c r="S1" s="20"/>
      <c r="T1" s="20"/>
    </row>
    <row r="2" spans="1:20" ht="15" customHeight="1" x14ac:dyDescent="0.25">
      <c r="A2" s="550"/>
      <c r="B2" s="550"/>
      <c r="C2" s="550"/>
      <c r="E2" s="16" t="s">
        <v>2</v>
      </c>
      <c r="F2" s="486">
        <v>1000</v>
      </c>
      <c r="I2" s="8" t="s">
        <v>92</v>
      </c>
      <c r="J2" s="487">
        <v>1.9599999999999999E-2</v>
      </c>
      <c r="K2" s="8"/>
      <c r="L2" s="32"/>
      <c r="M2" s="32"/>
      <c r="N2" s="32"/>
      <c r="O2" s="27"/>
      <c r="P2" s="20"/>
      <c r="Q2" s="27"/>
      <c r="R2" s="27"/>
      <c r="S2" s="20"/>
      <c r="T2" s="20"/>
    </row>
    <row r="3" spans="1:20" ht="15.75" customHeight="1" thickBot="1" x14ac:dyDescent="0.3">
      <c r="A3" s="550"/>
      <c r="B3" s="550"/>
      <c r="C3" s="550"/>
      <c r="E3" s="8" t="s">
        <v>0</v>
      </c>
      <c r="F3" s="487">
        <v>2014</v>
      </c>
      <c r="I3" s="11" t="s">
        <v>43</v>
      </c>
      <c r="J3" s="488">
        <v>5.1999999999999998E-2</v>
      </c>
      <c r="K3" s="8"/>
      <c r="L3" s="32"/>
      <c r="M3" s="32"/>
      <c r="N3" s="32"/>
      <c r="O3" s="27"/>
      <c r="P3" s="20"/>
      <c r="Q3" s="27"/>
      <c r="R3" s="27"/>
      <c r="S3" s="20"/>
      <c r="T3" s="20"/>
    </row>
    <row r="4" spans="1:20" ht="15.75" customHeight="1" thickBot="1" x14ac:dyDescent="0.3">
      <c r="A4" s="550"/>
      <c r="B4" s="550"/>
      <c r="C4" s="550"/>
      <c r="E4" s="11" t="s">
        <v>1</v>
      </c>
      <c r="F4" s="488">
        <v>27</v>
      </c>
      <c r="K4" s="20"/>
      <c r="L4" s="20"/>
      <c r="M4" s="20"/>
      <c r="N4" s="20"/>
      <c r="O4" s="20"/>
      <c r="P4" s="20"/>
      <c r="Q4" s="27"/>
      <c r="R4" s="27"/>
      <c r="S4" s="20"/>
      <c r="T4" s="20"/>
    </row>
    <row r="5" spans="1:20" ht="15.75" customHeight="1" thickBot="1" x14ac:dyDescent="0.3">
      <c r="A5" s="550"/>
      <c r="B5" s="550"/>
      <c r="C5" s="550"/>
      <c r="I5" s="552" t="s">
        <v>1135</v>
      </c>
      <c r="J5" s="556"/>
      <c r="K5" s="430"/>
      <c r="L5" s="48" t="s">
        <v>22</v>
      </c>
      <c r="M5" s="48" t="s">
        <v>23</v>
      </c>
      <c r="N5" s="48" t="s">
        <v>25</v>
      </c>
      <c r="O5" s="48"/>
      <c r="P5" s="48"/>
      <c r="Q5" s="27"/>
      <c r="R5" s="27"/>
      <c r="S5" s="20"/>
      <c r="T5" s="20"/>
    </row>
    <row r="6" spans="1:20" ht="15" customHeight="1" x14ac:dyDescent="0.25">
      <c r="A6" s="550"/>
      <c r="B6" s="550"/>
      <c r="C6" s="550"/>
      <c r="E6" s="433" t="s">
        <v>1117</v>
      </c>
      <c r="F6" s="486">
        <v>100</v>
      </c>
      <c r="I6" s="8" t="s">
        <v>92</v>
      </c>
      <c r="J6" s="487">
        <v>0</v>
      </c>
      <c r="K6" s="431"/>
      <c r="L6" s="20"/>
      <c r="M6" s="20"/>
      <c r="N6" s="20"/>
      <c r="O6" s="20"/>
      <c r="P6" s="20"/>
      <c r="Q6" s="27"/>
      <c r="R6" s="27"/>
      <c r="S6" s="20"/>
      <c r="T6" s="20"/>
    </row>
    <row r="7" spans="1:20" ht="15.75" customHeight="1" thickBot="1" x14ac:dyDescent="0.3">
      <c r="A7" s="550"/>
      <c r="B7" s="550"/>
      <c r="C7" s="550"/>
      <c r="E7" s="434" t="s">
        <v>1118</v>
      </c>
      <c r="F7" s="488">
        <v>100</v>
      </c>
      <c r="I7" s="11" t="s">
        <v>3</v>
      </c>
      <c r="J7" s="488">
        <v>3.04</v>
      </c>
      <c r="K7" s="431"/>
      <c r="L7" s="20"/>
      <c r="M7" s="20"/>
      <c r="N7" s="20"/>
      <c r="O7" s="20"/>
      <c r="P7" s="20"/>
      <c r="Q7" s="27"/>
      <c r="R7" s="27"/>
      <c r="S7" s="20"/>
      <c r="T7" s="20"/>
    </row>
    <row r="8" spans="1:20" ht="15.75" customHeight="1" thickBot="1" x14ac:dyDescent="0.3">
      <c r="A8" s="550"/>
      <c r="B8" s="550"/>
      <c r="C8" s="550"/>
      <c r="K8" s="27"/>
      <c r="L8" s="20"/>
      <c r="M8" s="20"/>
      <c r="N8" s="20"/>
      <c r="O8" s="20"/>
      <c r="P8" s="20"/>
      <c r="Q8" s="27"/>
      <c r="R8" s="27"/>
      <c r="S8" s="20"/>
      <c r="T8" s="20"/>
    </row>
    <row r="9" spans="1:20" ht="15.75" customHeight="1" x14ac:dyDescent="0.25">
      <c r="A9" s="550"/>
      <c r="B9" s="550"/>
      <c r="C9" s="550"/>
      <c r="E9" s="19" t="s">
        <v>58</v>
      </c>
      <c r="F9" s="489">
        <v>3.5000000000000003E-2</v>
      </c>
      <c r="K9" s="35"/>
      <c r="N9" s="27"/>
      <c r="O9" s="27"/>
      <c r="P9" s="27"/>
      <c r="Q9" s="27"/>
      <c r="R9" s="27"/>
    </row>
    <row r="10" spans="1:20" ht="15.75" customHeight="1" thickBot="1" x14ac:dyDescent="0.3">
      <c r="A10" s="550"/>
      <c r="B10" s="550"/>
      <c r="C10" s="550"/>
      <c r="E10" s="11" t="s">
        <v>59</v>
      </c>
      <c r="F10" s="488">
        <v>3.5000000000000003E-2</v>
      </c>
      <c r="K10" s="27"/>
      <c r="L10" s="27"/>
      <c r="M10" s="27"/>
      <c r="N10" s="36"/>
      <c r="O10" s="27"/>
      <c r="P10" s="27"/>
      <c r="Q10" s="27"/>
      <c r="R10" s="27"/>
    </row>
    <row r="11" spans="1:20" ht="15.75" customHeight="1" thickBot="1" x14ac:dyDescent="0.3">
      <c r="A11" s="550"/>
      <c r="B11" s="550"/>
      <c r="C11" s="550"/>
      <c r="I11" s="9"/>
      <c r="J11" s="9"/>
      <c r="K11" s="27"/>
      <c r="L11" s="27"/>
      <c r="M11" s="27"/>
      <c r="N11" s="36"/>
      <c r="O11" s="27"/>
      <c r="P11" s="27"/>
      <c r="Q11" s="27"/>
      <c r="R11" s="27"/>
    </row>
    <row r="12" spans="1:20" ht="15" customHeight="1" thickBot="1" x14ac:dyDescent="0.3">
      <c r="A12" s="550"/>
      <c r="B12" s="550"/>
      <c r="C12" s="550"/>
      <c r="E12" s="560" t="s">
        <v>1136</v>
      </c>
      <c r="F12" s="561"/>
      <c r="G12" s="561"/>
      <c r="H12" s="561"/>
      <c r="I12" s="561"/>
      <c r="J12" s="561"/>
      <c r="K12" s="561"/>
      <c r="L12" s="561"/>
      <c r="M12" s="562"/>
      <c r="N12" s="36"/>
      <c r="O12" s="27"/>
      <c r="P12" s="27"/>
      <c r="Q12" s="27"/>
      <c r="R12" s="27"/>
    </row>
    <row r="13" spans="1:20" ht="15.75" customHeight="1" x14ac:dyDescent="0.25">
      <c r="A13" s="550"/>
      <c r="B13" s="550"/>
      <c r="C13" s="550"/>
      <c r="E13" s="558" t="s">
        <v>1102</v>
      </c>
      <c r="F13" s="546"/>
      <c r="G13" s="546"/>
      <c r="H13" s="559"/>
      <c r="I13" s="96"/>
      <c r="J13" s="558" t="s">
        <v>1129</v>
      </c>
      <c r="K13" s="546"/>
      <c r="L13" s="546"/>
      <c r="M13" s="559"/>
      <c r="N13" s="36"/>
      <c r="O13" s="27"/>
      <c r="P13" s="27"/>
    </row>
    <row r="14" spans="1:20" ht="15" customHeight="1" x14ac:dyDescent="0.25">
      <c r="A14" s="550"/>
      <c r="B14" s="550"/>
      <c r="C14" s="550"/>
      <c r="E14" s="22"/>
      <c r="F14" s="21" t="s">
        <v>105</v>
      </c>
      <c r="G14" s="21" t="s">
        <v>43</v>
      </c>
      <c r="H14" s="23" t="s">
        <v>1096</v>
      </c>
      <c r="I14" s="96"/>
      <c r="J14" s="8"/>
      <c r="K14" s="21" t="s">
        <v>105</v>
      </c>
      <c r="L14" s="21" t="s">
        <v>43</v>
      </c>
      <c r="M14" s="23" t="s">
        <v>1096</v>
      </c>
      <c r="N14" s="36"/>
    </row>
    <row r="15" spans="1:20" ht="15.75" customHeight="1" x14ac:dyDescent="0.25">
      <c r="A15" s="550"/>
      <c r="B15" s="550"/>
      <c r="C15" s="550"/>
      <c r="E15" s="8" t="s">
        <v>85</v>
      </c>
      <c r="F15" s="452">
        <f>'Comparator (DET)'!$B$3</f>
        <v>1.9599999999999999E-2</v>
      </c>
      <c r="G15" s="452">
        <f>'Experimental (DET)'!$B$3</f>
        <v>5.1999999999999998E-2</v>
      </c>
      <c r="H15" s="453">
        <f>G15-F15</f>
        <v>3.2399999999999998E-2</v>
      </c>
      <c r="I15" s="96"/>
      <c r="J15" s="431" t="s">
        <v>711</v>
      </c>
      <c r="K15" s="466">
        <f>'Comparator (DET)'!B37</f>
        <v>21302.403453107061</v>
      </c>
      <c r="L15" s="467">
        <f>'Experimental (DET)'!B37</f>
        <v>21266.230739291579</v>
      </c>
      <c r="M15" s="468">
        <f>L15-K15</f>
        <v>-36.172713815481984</v>
      </c>
      <c r="N15" s="101"/>
    </row>
    <row r="16" spans="1:20" ht="15.75" customHeight="1" x14ac:dyDescent="0.25">
      <c r="A16" s="550"/>
      <c r="B16" s="550"/>
      <c r="C16" s="550"/>
      <c r="E16" s="8" t="s">
        <v>711</v>
      </c>
      <c r="F16" s="454">
        <f>'Comparator (DET)'!$B$4</f>
        <v>3100.13193585609</v>
      </c>
      <c r="G16" s="454">
        <f>'Experimental (DET)'!$B$4</f>
        <v>3105.0557239635391</v>
      </c>
      <c r="H16" s="455">
        <f t="shared" ref="H16:H39" si="0">G16-F16</f>
        <v>4.923788107449127</v>
      </c>
      <c r="I16" s="96"/>
      <c r="J16" s="431" t="s">
        <v>831</v>
      </c>
      <c r="K16" s="469">
        <f>'Comparator (DET)'!B38</f>
        <v>0.22883579228730441</v>
      </c>
      <c r="L16" s="470">
        <f>'Experimental (DET)'!B38</f>
        <v>0.22905879368550555</v>
      </c>
      <c r="M16" s="471">
        <f t="shared" ref="M16:M20" si="1">L16-K16</f>
        <v>2.2300139820113918E-4</v>
      </c>
      <c r="N16" s="32"/>
      <c r="O16" s="27"/>
    </row>
    <row r="17" spans="1:27" ht="15" customHeight="1" x14ac:dyDescent="0.25">
      <c r="A17" s="550"/>
      <c r="B17" s="550"/>
      <c r="C17" s="550"/>
      <c r="E17" s="8" t="s">
        <v>834</v>
      </c>
      <c r="F17" s="456">
        <f>'Comparator (DET)'!$B$5</f>
        <v>0.70802049829044333</v>
      </c>
      <c r="G17" s="456">
        <f>'Experimental (DET)'!$B$5</f>
        <v>0.70854660748739318</v>
      </c>
      <c r="H17" s="457">
        <f t="shared" si="0"/>
        <v>5.2610919694984215E-4</v>
      </c>
      <c r="I17" s="9"/>
      <c r="J17" s="431" t="s">
        <v>832</v>
      </c>
      <c r="K17" s="469">
        <f>'Comparator (DET)'!B39</f>
        <v>0.77116420771269556</v>
      </c>
      <c r="L17" s="470">
        <f>'Experimental (DET)'!B39</f>
        <v>0.77094120631449414</v>
      </c>
      <c r="M17" s="471">
        <f t="shared" si="1"/>
        <v>-2.2300139820141673E-4</v>
      </c>
      <c r="N17" s="36"/>
    </row>
    <row r="18" spans="1:27" ht="15" customHeight="1" x14ac:dyDescent="0.25">
      <c r="A18" s="550"/>
      <c r="B18" s="550"/>
      <c r="C18" s="550"/>
      <c r="E18" s="8" t="s">
        <v>712</v>
      </c>
      <c r="F18" s="456">
        <f>'Comparator (DET)'!$B$6</f>
        <v>0.68422261850605848</v>
      </c>
      <c r="G18" s="456">
        <f>'Experimental (DET)'!$B$6</f>
        <v>0.68515441351092343</v>
      </c>
      <c r="H18" s="457">
        <f t="shared" si="0"/>
        <v>9.3179500486495481E-4</v>
      </c>
      <c r="I18" s="9"/>
      <c r="J18" s="431" t="s">
        <v>833</v>
      </c>
      <c r="K18" s="469">
        <f>'Comparator (DET)'!B40</f>
        <v>0.12953410231703508</v>
      </c>
      <c r="L18" s="470">
        <f>'Experimental (DET)'!B40</f>
        <v>0.12950728133697634</v>
      </c>
      <c r="M18" s="471">
        <f t="shared" si="1"/>
        <v>-2.6820980058739341E-5</v>
      </c>
      <c r="N18" s="36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7" ht="15.75" customHeight="1" x14ac:dyDescent="0.25">
      <c r="A19" s="550"/>
      <c r="B19" s="550"/>
      <c r="C19" s="550"/>
      <c r="E19" s="8" t="s">
        <v>713</v>
      </c>
      <c r="F19" s="458">
        <f>'Comparator (DET)'!$B$7</f>
        <v>24.281996505817094</v>
      </c>
      <c r="G19" s="458">
        <f>'Experimental (DET)'!$B$7</f>
        <v>23.937432017689353</v>
      </c>
      <c r="H19" s="459">
        <f t="shared" si="0"/>
        <v>-0.34456448812774099</v>
      </c>
      <c r="J19" s="431" t="s">
        <v>834</v>
      </c>
      <c r="K19" s="472">
        <f>'Comparator (DET)'!B41</f>
        <v>25.17973573418929</v>
      </c>
      <c r="L19" s="473">
        <f>'Experimental (DET)'!B41</f>
        <v>25.182515002726063</v>
      </c>
      <c r="M19" s="474">
        <f t="shared" si="1"/>
        <v>2.7792685367735714E-3</v>
      </c>
      <c r="N19" s="3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7" ht="15.75" customHeight="1" thickBot="1" x14ac:dyDescent="0.3">
      <c r="A20" s="550"/>
      <c r="B20" s="550"/>
      <c r="C20" s="550"/>
      <c r="E20" s="8" t="s">
        <v>714</v>
      </c>
      <c r="F20" s="458">
        <f>'Comparator (DET)'!$B$8</f>
        <v>73.846514973861645</v>
      </c>
      <c r="G20" s="458">
        <f>'Experimental (DET)'!$B$8</f>
        <v>73.295267456481426</v>
      </c>
      <c r="H20" s="459">
        <f t="shared" si="0"/>
        <v>-0.55124751738021871</v>
      </c>
      <c r="J20" s="436" t="s">
        <v>712</v>
      </c>
      <c r="K20" s="475">
        <f>'Comparator (DET)'!B42</f>
        <v>23.116474958521071</v>
      </c>
      <c r="L20" s="476">
        <f>'Experimental (DET)'!B42</f>
        <v>23.124049905553523</v>
      </c>
      <c r="M20" s="477">
        <f t="shared" si="1"/>
        <v>7.5749470324524282E-3</v>
      </c>
      <c r="N20" s="49"/>
      <c r="O20" s="49"/>
      <c r="P20" s="546"/>
      <c r="Q20" s="546"/>
      <c r="R20" s="546"/>
      <c r="S20" s="546"/>
      <c r="T20" s="546"/>
      <c r="U20" s="546"/>
      <c r="V20" s="546"/>
      <c r="W20" s="546"/>
      <c r="X20" s="546"/>
      <c r="Y20" s="546"/>
      <c r="Z20" s="27"/>
    </row>
    <row r="21" spans="1:27" ht="15" customHeight="1" x14ac:dyDescent="0.25">
      <c r="A21" s="550"/>
      <c r="B21" s="550"/>
      <c r="C21" s="550"/>
      <c r="E21" s="8" t="s">
        <v>715</v>
      </c>
      <c r="F21" s="458">
        <f>'Comparator (DET)'!$B$9</f>
        <v>5.2334773669555004</v>
      </c>
      <c r="G21" s="458">
        <f>'Experimental (DET)'!$B$9</f>
        <v>5.1715090822884378</v>
      </c>
      <c r="H21" s="459">
        <f t="shared" si="0"/>
        <v>-6.1968284667062612E-2</v>
      </c>
      <c r="J21" s="552" t="s">
        <v>1130</v>
      </c>
      <c r="K21" s="555"/>
      <c r="L21" s="555"/>
      <c r="M21" s="556"/>
      <c r="N21" s="49"/>
      <c r="O21" s="49"/>
      <c r="P21" s="546"/>
      <c r="Q21" s="546"/>
      <c r="R21" s="546"/>
      <c r="S21" s="546"/>
      <c r="T21" s="546"/>
      <c r="U21" s="546"/>
      <c r="V21" s="546"/>
      <c r="W21" s="546"/>
      <c r="X21" s="546"/>
      <c r="Y21" s="546"/>
      <c r="Z21" s="27"/>
    </row>
    <row r="22" spans="1:27" ht="15" customHeight="1" x14ac:dyDescent="0.25">
      <c r="A22" s="550"/>
      <c r="B22" s="550"/>
      <c r="C22" s="550"/>
      <c r="E22" s="8" t="s">
        <v>716</v>
      </c>
      <c r="F22" s="458">
        <f>'Comparator (DET)'!$B$10</f>
        <v>8.6020215235976618</v>
      </c>
      <c r="G22" s="458">
        <f>'Experimental (DET)'!$B$10</f>
        <v>8.5021733550458052</v>
      </c>
      <c r="H22" s="459">
        <f t="shared" si="0"/>
        <v>-9.9848168551856631E-2</v>
      </c>
      <c r="J22" s="8"/>
      <c r="K22" s="50" t="s">
        <v>105</v>
      </c>
      <c r="L22" s="50" t="s">
        <v>43</v>
      </c>
      <c r="M22" s="79" t="s">
        <v>1096</v>
      </c>
      <c r="N22" s="410"/>
      <c r="O22" s="49"/>
      <c r="P22" s="96"/>
      <c r="Q22" s="546"/>
      <c r="R22" s="546"/>
      <c r="S22" s="546"/>
      <c r="T22" s="546"/>
      <c r="U22" s="546"/>
      <c r="V22" s="546"/>
      <c r="W22" s="549"/>
      <c r="X22" s="549"/>
      <c r="Y22" s="549"/>
      <c r="Z22" s="27"/>
      <c r="AA22" s="27"/>
    </row>
    <row r="23" spans="1:27" ht="15" customHeight="1" x14ac:dyDescent="0.25">
      <c r="A23" s="550"/>
      <c r="B23" s="550"/>
      <c r="C23" s="550"/>
      <c r="E23" s="8" t="s">
        <v>717</v>
      </c>
      <c r="F23" s="458">
        <f>'Comparator (DET)'!$B$11</f>
        <v>9.7111634104263711</v>
      </c>
      <c r="G23" s="458">
        <f>'Experimental (DET)'!$B$11</f>
        <v>10.014921464757732</v>
      </c>
      <c r="H23" s="459">
        <f t="shared" si="0"/>
        <v>0.30375805433136094</v>
      </c>
      <c r="J23" s="8" t="s">
        <v>725</v>
      </c>
      <c r="K23" s="466">
        <f>'Comparator (DET)'!B46</f>
        <v>5462.927580867582</v>
      </c>
      <c r="L23" s="466">
        <f>'Experimental (DET)'!B46</f>
        <v>5436.7819509560168</v>
      </c>
      <c r="M23" s="478">
        <f>L23-K23</f>
        <v>-26.145629911565266</v>
      </c>
      <c r="N23" s="50"/>
      <c r="O23" s="50"/>
      <c r="P23" s="96"/>
      <c r="Q23" s="21"/>
      <c r="R23" s="546"/>
      <c r="S23" s="546"/>
      <c r="T23" s="21"/>
      <c r="U23" s="546"/>
      <c r="V23" s="546"/>
      <c r="W23" s="21"/>
      <c r="X23" s="546"/>
      <c r="Y23" s="546"/>
      <c r="Z23" s="27"/>
      <c r="AA23" s="27"/>
    </row>
    <row r="24" spans="1:27" ht="15.75" customHeight="1" x14ac:dyDescent="0.25">
      <c r="A24" s="550"/>
      <c r="B24" s="550"/>
      <c r="C24" s="550"/>
      <c r="E24" s="8" t="s">
        <v>1097</v>
      </c>
      <c r="F24" s="458">
        <f>'Comparator (DET)'!$B$12</f>
        <v>121.67517378065826</v>
      </c>
      <c r="G24" s="458">
        <f>'Experimental (DET)'!$B$12</f>
        <v>120.92130337626274</v>
      </c>
      <c r="H24" s="459">
        <f t="shared" si="0"/>
        <v>-0.75387040439551356</v>
      </c>
      <c r="J24" s="8" t="s">
        <v>831</v>
      </c>
      <c r="K24" s="469">
        <f>'Comparator (DET)'!B47</f>
        <v>0.88895346623610971</v>
      </c>
      <c r="L24" s="469">
        <f>'Experimental (DET)'!B47</f>
        <v>0.88998010629038504</v>
      </c>
      <c r="M24" s="479">
        <f t="shared" ref="M24:M28" si="2">L24-K24</f>
        <v>1.0266400542753296E-3</v>
      </c>
      <c r="N24" s="51"/>
      <c r="O24" s="51"/>
      <c r="P24" s="96"/>
      <c r="Q24" s="51"/>
      <c r="R24" s="51"/>
      <c r="S24" s="51"/>
      <c r="T24" s="51"/>
      <c r="U24" s="51"/>
      <c r="V24" s="51"/>
      <c r="W24" s="51"/>
      <c r="X24" s="51"/>
      <c r="Y24" s="51"/>
      <c r="Z24" s="27"/>
      <c r="AA24" s="27"/>
    </row>
    <row r="25" spans="1:27" ht="15" customHeight="1" thickBot="1" x14ac:dyDescent="0.3">
      <c r="A25" s="550"/>
      <c r="B25" s="550"/>
      <c r="C25" s="550"/>
      <c r="E25" s="11" t="s">
        <v>719</v>
      </c>
      <c r="F25" s="460">
        <f>'Comparator (DET)'!$B$13</f>
        <v>6.2000238720679279E-2</v>
      </c>
      <c r="G25" s="460">
        <f>'Experimental (DET)'!$B$13</f>
        <v>6.2026158605459514E-2</v>
      </c>
      <c r="H25" s="461">
        <f t="shared" si="0"/>
        <v>2.5919884780234437E-5</v>
      </c>
      <c r="J25" s="8" t="s">
        <v>832</v>
      </c>
      <c r="K25" s="469">
        <f>'Comparator (DET)'!B48</f>
        <v>0.11104653376389041</v>
      </c>
      <c r="L25" s="469">
        <f>'Experimental (DET)'!B48</f>
        <v>0.11001989370961482</v>
      </c>
      <c r="M25" s="479">
        <f t="shared" si="2"/>
        <v>-1.0266400542755932E-3</v>
      </c>
      <c r="N25" s="46"/>
      <c r="O25" s="46"/>
      <c r="P25" s="96"/>
      <c r="Q25" s="46"/>
      <c r="R25" s="46"/>
      <c r="S25" s="46"/>
      <c r="T25" s="46"/>
      <c r="U25" s="46"/>
      <c r="V25" s="46"/>
      <c r="W25" s="46"/>
      <c r="X25" s="46"/>
      <c r="Y25" s="46"/>
      <c r="Z25" s="27"/>
      <c r="AA25" s="27"/>
    </row>
    <row r="26" spans="1:27" ht="15" customHeight="1" x14ac:dyDescent="0.25">
      <c r="A26" s="550"/>
      <c r="B26" s="550"/>
      <c r="C26" s="550"/>
      <c r="E26" s="552" t="s">
        <v>1103</v>
      </c>
      <c r="F26" s="555"/>
      <c r="G26" s="555"/>
      <c r="H26" s="556"/>
      <c r="J26" s="8" t="s">
        <v>833</v>
      </c>
      <c r="K26" s="469">
        <f>'Comparator (DET)'!B49</f>
        <v>0.24622529358385259</v>
      </c>
      <c r="L26" s="469">
        <f>'Experimental (DET)'!B49</f>
        <v>0.24514353741746975</v>
      </c>
      <c r="M26" s="479">
        <f t="shared" si="2"/>
        <v>-1.0817561663828412E-3</v>
      </c>
      <c r="N26" s="52"/>
      <c r="O26" s="52"/>
      <c r="P26" s="96"/>
      <c r="Q26" s="52"/>
      <c r="R26" s="52"/>
      <c r="S26" s="52"/>
      <c r="T26" s="52"/>
      <c r="U26" s="52"/>
      <c r="V26" s="52"/>
      <c r="W26" s="52"/>
      <c r="X26" s="52"/>
      <c r="Y26" s="52"/>
      <c r="Z26" s="27"/>
      <c r="AA26" s="27"/>
    </row>
    <row r="27" spans="1:27" ht="15.75" customHeight="1" x14ac:dyDescent="0.25">
      <c r="A27" s="550"/>
      <c r="B27" s="550"/>
      <c r="C27" s="550"/>
      <c r="E27" s="22"/>
      <c r="F27" s="21" t="s">
        <v>105</v>
      </c>
      <c r="G27" s="21" t="s">
        <v>43</v>
      </c>
      <c r="H27" s="23" t="s">
        <v>1096</v>
      </c>
      <c r="J27" s="8" t="s">
        <v>912</v>
      </c>
      <c r="K27" s="472">
        <f>'Comparator (DET)'!B50</f>
        <v>10.244293612711276</v>
      </c>
      <c r="L27" s="472">
        <f>'Experimental (DET)'!B50</f>
        <v>10.256119197751346</v>
      </c>
      <c r="M27" s="480">
        <f t="shared" si="2"/>
        <v>1.1825585040069697E-2</v>
      </c>
      <c r="N27" s="53"/>
      <c r="O27" s="53"/>
      <c r="P27" s="96"/>
      <c r="Q27" s="53"/>
      <c r="R27" s="53"/>
      <c r="S27" s="53"/>
      <c r="T27" s="53"/>
      <c r="U27" s="53"/>
      <c r="V27" s="53"/>
      <c r="W27" s="53"/>
      <c r="X27" s="53"/>
      <c r="Y27" s="53"/>
      <c r="Z27" s="27"/>
      <c r="AA27" s="27"/>
    </row>
    <row r="28" spans="1:27" ht="15.75" thickBot="1" x14ac:dyDescent="0.3">
      <c r="A28" s="550"/>
      <c r="B28" s="550"/>
      <c r="C28" s="550"/>
      <c r="E28" s="8" t="s">
        <v>720</v>
      </c>
      <c r="F28" s="458">
        <f>'Comparator (DET)'!$B$16</f>
        <v>106.04231570599379</v>
      </c>
      <c r="G28" s="458">
        <f>'Experimental (DET)'!$B$16</f>
        <v>105.01814191221118</v>
      </c>
      <c r="H28" s="459">
        <f t="shared" si="0"/>
        <v>-1.0241737937826088</v>
      </c>
      <c r="J28" s="11" t="s">
        <v>913</v>
      </c>
      <c r="K28" s="475">
        <f>'Comparator (DET)'!B51</f>
        <v>10.109740724516852</v>
      </c>
      <c r="L28" s="475">
        <f>'Experimental (DET)'!B51</f>
        <v>10.123281838388776</v>
      </c>
      <c r="M28" s="481">
        <f t="shared" si="2"/>
        <v>1.3541113871923471E-2</v>
      </c>
      <c r="N28" s="51"/>
      <c r="O28" s="52"/>
      <c r="P28" s="411"/>
      <c r="Q28" s="413"/>
      <c r="R28" s="413"/>
      <c r="S28" s="413"/>
      <c r="T28" s="413"/>
      <c r="U28" s="413"/>
      <c r="V28" s="413"/>
      <c r="W28" s="51"/>
      <c r="X28" s="51"/>
      <c r="Y28" s="51"/>
      <c r="Z28" s="27"/>
      <c r="AA28" s="27"/>
    </row>
    <row r="29" spans="1:27" x14ac:dyDescent="0.25">
      <c r="A29" s="550"/>
      <c r="B29" s="550"/>
      <c r="C29" s="550"/>
      <c r="E29" s="8" t="s">
        <v>90</v>
      </c>
      <c r="F29" s="458">
        <f>'Comparator (DET)'!$B$17</f>
        <v>7.9138042263150945</v>
      </c>
      <c r="G29" s="458">
        <f>'Experimental (DET)'!$B$17</f>
        <v>7.7854424380404392</v>
      </c>
      <c r="H29" s="459">
        <f t="shared" si="0"/>
        <v>-0.12836178827465528</v>
      </c>
      <c r="J29" s="552" t="s">
        <v>1131</v>
      </c>
      <c r="K29" s="555"/>
      <c r="L29" s="555"/>
      <c r="M29" s="556"/>
      <c r="N29" s="432"/>
      <c r="O29" s="52"/>
      <c r="P29" s="96"/>
      <c r="Q29" s="52"/>
      <c r="R29" s="52"/>
      <c r="S29" s="52"/>
      <c r="T29" s="547"/>
      <c r="U29" s="547"/>
      <c r="V29" s="547"/>
      <c r="W29" s="414"/>
      <c r="X29" s="414"/>
      <c r="Y29" s="414"/>
      <c r="Z29" s="27"/>
      <c r="AA29" s="27"/>
    </row>
    <row r="30" spans="1:27" ht="15" customHeight="1" x14ac:dyDescent="0.25">
      <c r="A30" s="550"/>
      <c r="B30" s="550"/>
      <c r="C30" s="550"/>
      <c r="E30" s="8" t="s">
        <v>722</v>
      </c>
      <c r="F30" s="458">
        <f>'Comparator (DET)'!$B$18</f>
        <v>73.006974523353833</v>
      </c>
      <c r="G30" s="458">
        <f>'Experimental (DET)'!$B$18</f>
        <v>72.607045930166834</v>
      </c>
      <c r="H30" s="459">
        <f t="shared" si="0"/>
        <v>-0.39992859318699914</v>
      </c>
      <c r="J30" s="8"/>
      <c r="K30" s="50" t="s">
        <v>105</v>
      </c>
      <c r="L30" s="50" t="s">
        <v>43</v>
      </c>
      <c r="M30" s="79" t="s">
        <v>1096</v>
      </c>
      <c r="N30" s="432"/>
      <c r="O30" s="52"/>
      <c r="P30" s="96"/>
      <c r="Q30" s="52"/>
      <c r="R30" s="52"/>
      <c r="S30" s="52"/>
      <c r="T30" s="547"/>
      <c r="U30" s="547"/>
      <c r="V30" s="547"/>
      <c r="W30" s="415"/>
      <c r="X30" s="80"/>
      <c r="Y30" s="80"/>
      <c r="Z30" s="27"/>
      <c r="AA30" s="27"/>
    </row>
    <row r="31" spans="1:27" ht="15" customHeight="1" x14ac:dyDescent="0.25">
      <c r="A31" s="550"/>
      <c r="B31" s="550"/>
      <c r="C31" s="550"/>
      <c r="E31" s="8" t="s">
        <v>1098</v>
      </c>
      <c r="F31" s="458">
        <f>'Comparator (DET)'!$B$19</f>
        <v>112.76104224666068</v>
      </c>
      <c r="G31" s="458">
        <f>'Experimental (DET)'!$B$19</f>
        <v>110.95545651588003</v>
      </c>
      <c r="H31" s="459">
        <f t="shared" si="0"/>
        <v>-1.8055857307806491</v>
      </c>
      <c r="J31" s="8" t="s">
        <v>726</v>
      </c>
      <c r="K31" s="466">
        <f>'Comparator (DET)'!B55</f>
        <v>29865.462969830736</v>
      </c>
      <c r="L31" s="466">
        <f>'Experimental (DET)'!B55</f>
        <v>29805.02841421113</v>
      </c>
      <c r="M31" s="478">
        <f>L31-K31</f>
        <v>-60.434555619605817</v>
      </c>
      <c r="N31" s="432"/>
      <c r="O31" s="51"/>
      <c r="P31" s="96"/>
      <c r="Q31" s="52"/>
      <c r="R31" s="52"/>
      <c r="S31" s="52"/>
      <c r="T31" s="547"/>
      <c r="U31" s="547"/>
      <c r="V31" s="547"/>
      <c r="W31" s="414"/>
      <c r="X31" s="414"/>
      <c r="Y31" s="414"/>
      <c r="Z31" s="27"/>
      <c r="AA31" s="27"/>
    </row>
    <row r="32" spans="1:27" ht="15.75" customHeight="1" x14ac:dyDescent="0.25">
      <c r="A32" s="550"/>
      <c r="B32" s="550"/>
      <c r="C32" s="550"/>
      <c r="E32" s="8" t="s">
        <v>724</v>
      </c>
      <c r="F32" s="458">
        <f>'Comparator (DET)'!$B$21</f>
        <v>212.99624198963241</v>
      </c>
      <c r="G32" s="458">
        <f>'Experimental (DET)'!$B$21</f>
        <v>211.13497535589727</v>
      </c>
      <c r="H32" s="459">
        <f t="shared" si="0"/>
        <v>-1.8612666337351413</v>
      </c>
      <c r="J32" s="8" t="s">
        <v>915</v>
      </c>
      <c r="K32" s="472">
        <f>'Comparator (DET)'!B56</f>
        <v>35.424029346900568</v>
      </c>
      <c r="L32" s="472">
        <f>'Experimental (DET)'!B56</f>
        <v>35.438634200477409</v>
      </c>
      <c r="M32" s="480">
        <f t="shared" ref="M32:M33" si="3">L32-K32</f>
        <v>1.4604853576841492E-2</v>
      </c>
      <c r="N32" s="432"/>
      <c r="O32" s="52"/>
      <c r="P32" s="96"/>
      <c r="Q32" s="52"/>
      <c r="R32" s="52"/>
      <c r="S32" s="52"/>
      <c r="T32" s="547"/>
      <c r="U32" s="547"/>
      <c r="V32" s="547"/>
      <c r="W32" s="414"/>
      <c r="X32" s="414"/>
      <c r="Y32" s="414"/>
      <c r="Z32" s="27"/>
      <c r="AA32" s="27"/>
    </row>
    <row r="33" spans="1:27" ht="15.75" thickBot="1" x14ac:dyDescent="0.3">
      <c r="A33" s="550"/>
      <c r="B33" s="550"/>
      <c r="C33" s="550"/>
      <c r="E33" s="11" t="s">
        <v>725</v>
      </c>
      <c r="F33" s="462">
        <f>'Comparator (DET)'!$B$22</f>
        <v>3270.2225864739148</v>
      </c>
      <c r="G33" s="462">
        <f>'Experimental (DET)'!$B$22</f>
        <v>3271.9411443126342</v>
      </c>
      <c r="H33" s="463">
        <f t="shared" si="0"/>
        <v>1.7185578387193345</v>
      </c>
      <c r="J33" s="11" t="s">
        <v>916</v>
      </c>
      <c r="K33" s="475">
        <f>'Comparator (DET)'!B57</f>
        <v>33.226215683037921</v>
      </c>
      <c r="L33" s="475">
        <f>'Experimental (DET)'!B57</f>
        <v>33.247331743942297</v>
      </c>
      <c r="M33" s="481">
        <f t="shared" si="3"/>
        <v>2.11160609043759E-2</v>
      </c>
      <c r="N33" s="49"/>
      <c r="O33" s="52"/>
      <c r="P33" s="411"/>
      <c r="Q33" s="411"/>
      <c r="R33" s="411"/>
      <c r="S33" s="411"/>
      <c r="T33" s="547"/>
      <c r="U33" s="547"/>
      <c r="V33" s="547"/>
      <c r="W33" s="414"/>
      <c r="X33" s="414"/>
      <c r="Y33" s="414"/>
      <c r="Z33" s="27"/>
      <c r="AA33" s="27"/>
    </row>
    <row r="34" spans="1:27" ht="15" customHeight="1" x14ac:dyDescent="0.25">
      <c r="A34" s="550"/>
      <c r="B34" s="550"/>
      <c r="C34" s="550"/>
      <c r="E34" s="552" t="s">
        <v>1104</v>
      </c>
      <c r="F34" s="555"/>
      <c r="G34" s="555"/>
      <c r="H34" s="556"/>
      <c r="J34" s="552" t="s">
        <v>1132</v>
      </c>
      <c r="K34" s="555"/>
      <c r="L34" s="555"/>
      <c r="M34" s="556"/>
      <c r="N34" s="32"/>
      <c r="O34" s="32"/>
      <c r="P34" s="546"/>
      <c r="Q34" s="546"/>
      <c r="R34" s="546"/>
      <c r="S34" s="546"/>
      <c r="T34" s="546"/>
      <c r="U34" s="546"/>
      <c r="V34" s="546"/>
      <c r="W34" s="546"/>
      <c r="X34" s="546"/>
      <c r="Y34" s="546"/>
      <c r="Z34" s="27"/>
      <c r="AA34" s="27"/>
    </row>
    <row r="35" spans="1:27" ht="15" customHeight="1" x14ac:dyDescent="0.25">
      <c r="A35" s="550"/>
      <c r="B35" s="550"/>
      <c r="C35" s="550"/>
      <c r="E35" s="22"/>
      <c r="F35" s="21" t="s">
        <v>105</v>
      </c>
      <c r="G35" s="21" t="s">
        <v>43</v>
      </c>
      <c r="H35" s="23" t="s">
        <v>1096</v>
      </c>
      <c r="J35" s="8"/>
      <c r="K35" s="50" t="s">
        <v>105</v>
      </c>
      <c r="L35" s="50" t="s">
        <v>43</v>
      </c>
      <c r="M35" s="79" t="s">
        <v>1096</v>
      </c>
      <c r="N35" s="50"/>
      <c r="O35" s="50"/>
      <c r="P35" s="21"/>
      <c r="Q35" s="546"/>
      <c r="R35" s="546"/>
      <c r="S35" s="546"/>
      <c r="T35" s="546"/>
      <c r="U35" s="546"/>
      <c r="V35" s="546"/>
      <c r="W35" s="549"/>
      <c r="X35" s="549"/>
      <c r="Y35" s="549"/>
      <c r="Z35" s="27"/>
      <c r="AA35" s="27"/>
    </row>
    <row r="36" spans="1:27" ht="15" customHeight="1" thickBot="1" x14ac:dyDescent="0.3">
      <c r="A36" s="550"/>
      <c r="B36" s="550"/>
      <c r="C36" s="550"/>
      <c r="E36" s="11" t="s">
        <v>726</v>
      </c>
      <c r="F36" s="462">
        <f>'Comparator (DET)'!$B$26</f>
        <v>6370.3545223300052</v>
      </c>
      <c r="G36" s="462">
        <f>'Experimental (DET)'!$B$26</f>
        <v>6373.9568682761728</v>
      </c>
      <c r="H36" s="463">
        <f t="shared" si="0"/>
        <v>3.6023459461675884</v>
      </c>
      <c r="J36" s="8" t="s">
        <v>725</v>
      </c>
      <c r="K36" s="466">
        <f ca="1">'Comparator (DET)'!B61</f>
        <v>11773.864195158543</v>
      </c>
      <c r="L36" s="466">
        <f ca="1">'Experimental (DET)'!B61</f>
        <v>11750.843142610667</v>
      </c>
      <c r="M36" s="478">
        <f ca="1">L36-K36</f>
        <v>-23.021052547876025</v>
      </c>
      <c r="N36" s="46"/>
      <c r="O36" s="46"/>
      <c r="P36" s="96"/>
      <c r="Q36" s="21"/>
      <c r="R36" s="546"/>
      <c r="S36" s="546"/>
      <c r="T36" s="21"/>
      <c r="U36" s="546"/>
      <c r="V36" s="546"/>
      <c r="W36" s="21"/>
      <c r="X36" s="546"/>
      <c r="Y36" s="546"/>
      <c r="Z36" s="27"/>
      <c r="AA36" s="27"/>
    </row>
    <row r="37" spans="1:27" ht="15.75" customHeight="1" x14ac:dyDescent="0.25">
      <c r="A37" s="550"/>
      <c r="B37" s="550"/>
      <c r="C37" s="550"/>
      <c r="E37" s="552" t="s">
        <v>1105</v>
      </c>
      <c r="F37" s="555"/>
      <c r="G37" s="555"/>
      <c r="H37" s="556"/>
      <c r="J37" s="8" t="s">
        <v>950</v>
      </c>
      <c r="K37" s="469">
        <f ca="1">'Comparator (DET)'!B62</f>
        <v>0.2974375532749769</v>
      </c>
      <c r="L37" s="469">
        <f ca="1">'Experimental (DET)'!B62</f>
        <v>0.29787697369677835</v>
      </c>
      <c r="M37" s="479">
        <f t="shared" ref="M37:M42" ca="1" si="4">L37-K37</f>
        <v>4.394204218014508E-4</v>
      </c>
      <c r="N37" s="46"/>
      <c r="O37" s="46"/>
      <c r="P37" s="96"/>
      <c r="Q37" s="17"/>
      <c r="R37" s="17"/>
      <c r="S37" s="17"/>
      <c r="T37" s="17"/>
      <c r="U37" s="17"/>
      <c r="V37" s="17"/>
      <c r="W37" s="49"/>
      <c r="X37" s="49"/>
      <c r="Y37" s="49"/>
      <c r="Z37" s="27"/>
      <c r="AA37" s="27"/>
    </row>
    <row r="38" spans="1:27" x14ac:dyDescent="0.25">
      <c r="A38" s="550"/>
      <c r="B38" s="550"/>
      <c r="C38" s="550"/>
      <c r="E38" s="22"/>
      <c r="F38" s="21" t="s">
        <v>105</v>
      </c>
      <c r="G38" s="21" t="s">
        <v>43</v>
      </c>
      <c r="H38" s="23" t="s">
        <v>1096</v>
      </c>
      <c r="J38" s="8" t="s">
        <v>951</v>
      </c>
      <c r="K38" s="469">
        <f ca="1">'Comparator (DET)'!B63</f>
        <v>0.70256244672502344</v>
      </c>
      <c r="L38" s="469">
        <f ca="1">'Experimental (DET)'!B63</f>
        <v>0.70212302630322154</v>
      </c>
      <c r="M38" s="479">
        <f t="shared" ca="1" si="4"/>
        <v>-4.3942042180189489E-4</v>
      </c>
      <c r="N38" s="52"/>
      <c r="O38" s="52"/>
      <c r="P38" s="96"/>
      <c r="Q38" s="17"/>
      <c r="R38" s="17"/>
      <c r="S38" s="17"/>
      <c r="T38" s="17"/>
      <c r="U38" s="17"/>
      <c r="V38" s="17"/>
      <c r="W38" s="50"/>
      <c r="X38" s="50"/>
      <c r="Y38" s="50"/>
      <c r="Z38" s="27"/>
      <c r="AA38" s="27"/>
    </row>
    <row r="39" spans="1:27" x14ac:dyDescent="0.25">
      <c r="A39" s="550"/>
      <c r="B39" s="550"/>
      <c r="C39" s="550"/>
      <c r="E39" s="8" t="s">
        <v>61</v>
      </c>
      <c r="F39" s="454">
        <f>'Comparator (DET)'!$B$30</f>
        <v>0</v>
      </c>
      <c r="G39" s="454">
        <f>'Experimental (DET)'!$B$30</f>
        <v>3.0400000000000009</v>
      </c>
      <c r="H39" s="455">
        <f t="shared" si="0"/>
        <v>3.0400000000000009</v>
      </c>
      <c r="J39" s="8" t="s">
        <v>833</v>
      </c>
      <c r="K39" s="469">
        <f ca="1">'Comparator (DET)'!B64</f>
        <v>0.14186613035250065</v>
      </c>
      <c r="L39" s="469">
        <f ca="1">'Experimental (DET)'!B64</f>
        <v>0.14193589021283964</v>
      </c>
      <c r="M39" s="479">
        <f t="shared" ca="1" si="4"/>
        <v>6.975986033899706E-5</v>
      </c>
      <c r="N39" s="54"/>
      <c r="O39" s="54"/>
      <c r="P39" s="96"/>
      <c r="Q39" s="44"/>
      <c r="R39" s="44"/>
      <c r="S39" s="44"/>
      <c r="T39" s="44"/>
      <c r="U39" s="44"/>
      <c r="V39" s="44"/>
      <c r="W39" s="52"/>
      <c r="X39" s="52"/>
      <c r="Y39" s="52"/>
      <c r="Z39" s="27"/>
      <c r="AA39" s="27"/>
    </row>
    <row r="40" spans="1:27" x14ac:dyDescent="0.25">
      <c r="A40" s="550"/>
      <c r="B40" s="550"/>
      <c r="C40" s="550"/>
      <c r="E40" s="8" t="s">
        <v>1076</v>
      </c>
      <c r="F40" s="454">
        <f>'Comparator (DET)'!$B$31</f>
        <v>3100.13193585609</v>
      </c>
      <c r="G40" s="454">
        <f>'Experimental (DET)'!$B$31</f>
        <v>3102.0157239635391</v>
      </c>
      <c r="H40" s="455">
        <f>F40-G40</f>
        <v>-1.8837881074491634</v>
      </c>
      <c r="J40" s="8" t="s">
        <v>952</v>
      </c>
      <c r="K40" s="469">
        <f ca="1">'Comparator (DET)'!B65</f>
        <v>0.14989253738125774</v>
      </c>
      <c r="L40" s="469">
        <f ca="1">'Experimental (DET)'!B65</f>
        <v>0.14967108494871628</v>
      </c>
      <c r="M40" s="479">
        <f t="shared" ca="1" si="4"/>
        <v>-2.2145243254145797E-4</v>
      </c>
      <c r="N40" s="53"/>
      <c r="O40" s="53"/>
      <c r="P40" s="96"/>
      <c r="Q40" s="100"/>
      <c r="R40" s="100"/>
      <c r="S40" s="100"/>
      <c r="T40" s="100"/>
      <c r="U40" s="100"/>
      <c r="V40" s="100"/>
      <c r="W40" s="53"/>
      <c r="X40" s="53"/>
      <c r="Y40" s="53"/>
      <c r="Z40" s="27"/>
      <c r="AA40" s="27"/>
    </row>
    <row r="41" spans="1:27" x14ac:dyDescent="0.25">
      <c r="A41" s="550"/>
      <c r="B41" s="550"/>
      <c r="C41" s="550"/>
      <c r="E41" s="8" t="s">
        <v>1080</v>
      </c>
      <c r="F41" s="454">
        <f>'Comparator (DET)'!$B$32</f>
        <v>3270.2225864739148</v>
      </c>
      <c r="G41" s="454">
        <f>'Experimental (DET)'!$B$32</f>
        <v>3268.9011443126337</v>
      </c>
      <c r="H41" s="455">
        <f t="shared" ref="H41:H42" si="5">F41-G41</f>
        <v>1.3214421612810838</v>
      </c>
      <c r="J41" s="8" t="s">
        <v>912</v>
      </c>
      <c r="K41" s="472">
        <f ca="1">'Comparator (DET)'!B66</f>
        <v>24.072134330801699</v>
      </c>
      <c r="L41" s="472">
        <f ca="1">'Experimental (DET)'!B66</f>
        <v>24.100143822757875</v>
      </c>
      <c r="M41" s="480">
        <f t="shared" ca="1" si="4"/>
        <v>2.8009491956176191E-2</v>
      </c>
      <c r="N41" s="414"/>
      <c r="O41" s="52"/>
      <c r="P41" s="96"/>
      <c r="Q41" s="412"/>
      <c r="R41" s="412"/>
      <c r="S41" s="412"/>
      <c r="T41" s="412"/>
      <c r="U41" s="412"/>
      <c r="V41" s="412"/>
      <c r="W41" s="53"/>
      <c r="X41" s="53"/>
      <c r="Y41" s="53"/>
      <c r="Z41" s="27"/>
      <c r="AA41" s="27"/>
    </row>
    <row r="42" spans="1:27" ht="15.75" thickBot="1" x14ac:dyDescent="0.3">
      <c r="A42" s="550"/>
      <c r="B42" s="550"/>
      <c r="C42" s="550"/>
      <c r="E42" s="11" t="s">
        <v>1086</v>
      </c>
      <c r="F42" s="462">
        <f>'Comparator (DET)'!$B$33</f>
        <v>6370.3545223300052</v>
      </c>
      <c r="G42" s="462">
        <f>'Experimental (DET)'!$B$33</f>
        <v>6373.9568682761728</v>
      </c>
      <c r="H42" s="463">
        <f t="shared" si="5"/>
        <v>-3.6023459461675884</v>
      </c>
      <c r="J42" s="11" t="s">
        <v>913</v>
      </c>
      <c r="K42" s="475">
        <f ca="1">'Comparator (DET)'!B67</f>
        <v>23.544884983817489</v>
      </c>
      <c r="L42" s="475">
        <f ca="1">'Experimental (DET)'!B67</f>
        <v>23.575042570171995</v>
      </c>
      <c r="M42" s="481">
        <f t="shared" ca="1" si="4"/>
        <v>3.0157586354505383E-2</v>
      </c>
      <c r="N42" s="414"/>
      <c r="O42" s="52"/>
      <c r="P42" s="96"/>
      <c r="Q42" s="96"/>
      <c r="R42" s="96"/>
      <c r="S42" s="96"/>
      <c r="T42" s="547"/>
      <c r="U42" s="547"/>
      <c r="V42" s="547"/>
      <c r="W42" s="414"/>
      <c r="X42" s="414"/>
      <c r="Y42" s="414"/>
      <c r="Z42" s="27"/>
      <c r="AA42" s="27"/>
    </row>
    <row r="43" spans="1:27" x14ac:dyDescent="0.25">
      <c r="A43" s="550"/>
      <c r="B43" s="550"/>
      <c r="C43" s="550"/>
      <c r="E43" s="552" t="s">
        <v>1101</v>
      </c>
      <c r="F43" s="555"/>
      <c r="G43" s="555"/>
      <c r="H43" s="556"/>
      <c r="J43" s="552" t="s">
        <v>1133</v>
      </c>
      <c r="K43" s="555"/>
      <c r="L43" s="555"/>
      <c r="M43" s="556"/>
      <c r="N43" s="414"/>
      <c r="O43" s="52"/>
      <c r="P43" s="96"/>
      <c r="Q43" s="96"/>
      <c r="R43" s="96"/>
      <c r="S43" s="96"/>
      <c r="T43" s="547"/>
      <c r="U43" s="547"/>
      <c r="V43" s="547"/>
      <c r="W43" s="414"/>
      <c r="X43" s="414"/>
      <c r="Y43" s="414"/>
      <c r="Z43" s="27"/>
      <c r="AA43" s="27"/>
    </row>
    <row r="44" spans="1:27" x14ac:dyDescent="0.25">
      <c r="A44" s="550"/>
      <c r="B44" s="550"/>
      <c r="C44" s="550"/>
      <c r="E44" s="8" t="s">
        <v>1099</v>
      </c>
      <c r="F44" s="464">
        <f>H16/H15</f>
        <v>151.96876874842985</v>
      </c>
      <c r="G44" s="96"/>
      <c r="H44" s="10"/>
      <c r="J44" s="8"/>
      <c r="K44" s="50" t="s">
        <v>105</v>
      </c>
      <c r="L44" s="50" t="s">
        <v>43</v>
      </c>
      <c r="M44" s="79" t="s">
        <v>1096</v>
      </c>
      <c r="N44" s="414"/>
      <c r="O44" s="52"/>
      <c r="P44" s="96"/>
      <c r="Q44" s="96"/>
      <c r="R44" s="96"/>
      <c r="S44" s="96"/>
      <c r="T44" s="547"/>
      <c r="U44" s="547"/>
      <c r="V44" s="547"/>
      <c r="W44" s="416"/>
      <c r="X44" s="81"/>
      <c r="Y44" s="81"/>
      <c r="Z44" s="27"/>
      <c r="AA44" s="27"/>
    </row>
    <row r="45" spans="1:27" x14ac:dyDescent="0.25">
      <c r="A45" s="550"/>
      <c r="B45" s="550"/>
      <c r="C45" s="550"/>
      <c r="E45" s="8" t="s">
        <v>82</v>
      </c>
      <c r="F45" s="464">
        <f>H16/H17</f>
        <v>9358.8710024366828</v>
      </c>
      <c r="G45" s="96"/>
      <c r="H45" s="10"/>
      <c r="J45" s="8" t="s">
        <v>726</v>
      </c>
      <c r="K45" s="466">
        <f ca="1">'Comparator (DET)'!B71</f>
        <v>36176.399584121689</v>
      </c>
      <c r="L45" s="466">
        <f ca="1">'Experimental (DET)'!B71</f>
        <v>36119.089605865789</v>
      </c>
      <c r="M45" s="478">
        <f ca="1">L45-K45</f>
        <v>-57.309978255900205</v>
      </c>
      <c r="N45" s="414"/>
      <c r="O45" s="52"/>
      <c r="P45" s="96"/>
      <c r="Q45" s="96"/>
      <c r="R45" s="96"/>
      <c r="S45" s="96"/>
      <c r="T45" s="547"/>
      <c r="U45" s="547"/>
      <c r="V45" s="547"/>
      <c r="W45" s="81"/>
      <c r="X45" s="81"/>
      <c r="Y45" s="81"/>
      <c r="Z45" s="27"/>
      <c r="AA45" s="27"/>
    </row>
    <row r="46" spans="1:27" x14ac:dyDescent="0.25">
      <c r="A46" s="550"/>
      <c r="B46" s="550"/>
      <c r="C46" s="550"/>
      <c r="E46" s="8" t="s">
        <v>112</v>
      </c>
      <c r="F46" s="464">
        <f>H16/H18</f>
        <v>5284.1967189582992</v>
      </c>
      <c r="G46" s="96"/>
      <c r="H46" s="10"/>
      <c r="J46" s="8" t="s">
        <v>915</v>
      </c>
      <c r="K46" s="472">
        <f ca="1">'Comparator (DET)'!B72</f>
        <v>49.251870064990989</v>
      </c>
      <c r="L46" s="472">
        <f ca="1">'Experimental (DET)'!B72</f>
        <v>49.282658825483935</v>
      </c>
      <c r="M46" s="480">
        <f t="shared" ref="M46:M47" ca="1" si="6">L46-K46</f>
        <v>3.078876049294621E-2</v>
      </c>
      <c r="N46" s="49"/>
      <c r="O46" s="32"/>
      <c r="P46" s="96"/>
      <c r="Q46" s="96"/>
      <c r="R46" s="96"/>
      <c r="S46" s="96"/>
      <c r="T46" s="547"/>
      <c r="U46" s="547"/>
      <c r="V46" s="547"/>
      <c r="W46" s="81"/>
      <c r="X46" s="81"/>
      <c r="Y46" s="81"/>
      <c r="Z46" s="27"/>
      <c r="AA46" s="27"/>
    </row>
    <row r="47" spans="1:27" ht="15.75" thickBot="1" x14ac:dyDescent="0.3">
      <c r="A47" s="550"/>
      <c r="B47" s="550"/>
      <c r="C47" s="550"/>
      <c r="E47" s="11" t="s">
        <v>1100</v>
      </c>
      <c r="F47" s="465">
        <f>H16/((-1*H24)/Cohort)</f>
        <v>6531.3455452561993</v>
      </c>
      <c r="G47" s="12"/>
      <c r="H47" s="13"/>
      <c r="J47" s="11" t="s">
        <v>916</v>
      </c>
      <c r="K47" s="475">
        <f ca="1">'Comparator (DET)'!B73</f>
        <v>46.661359942338564</v>
      </c>
      <c r="L47" s="475">
        <f ca="1">'Experimental (DET)'!B73</f>
        <v>46.699092475725521</v>
      </c>
      <c r="M47" s="481">
        <f t="shared" ca="1" si="6"/>
        <v>3.7732533386957812E-2</v>
      </c>
      <c r="N47" s="50"/>
      <c r="O47" s="32"/>
      <c r="P47" s="96"/>
      <c r="Q47" s="96"/>
      <c r="R47" s="96"/>
      <c r="S47" s="96"/>
      <c r="T47" s="547"/>
      <c r="U47" s="547"/>
      <c r="V47" s="547"/>
      <c r="W47" s="414"/>
      <c r="X47" s="414"/>
      <c r="Y47" s="414"/>
      <c r="Z47" s="27"/>
      <c r="AA47" s="27"/>
    </row>
    <row r="48" spans="1:27" x14ac:dyDescent="0.25">
      <c r="A48" s="550"/>
      <c r="B48" s="550"/>
      <c r="C48" s="550"/>
      <c r="E48" s="552" t="s">
        <v>1110</v>
      </c>
      <c r="F48" s="555"/>
      <c r="G48" s="555"/>
      <c r="H48" s="556"/>
      <c r="J48" s="552" t="s">
        <v>1134</v>
      </c>
      <c r="K48" s="555"/>
      <c r="L48" s="555"/>
      <c r="M48" s="556"/>
      <c r="N48" s="51"/>
      <c r="O48" s="32"/>
      <c r="P48" s="546"/>
      <c r="Q48" s="546"/>
      <c r="R48" s="546"/>
      <c r="S48" s="546"/>
      <c r="T48" s="546"/>
      <c r="U48" s="546"/>
      <c r="V48" s="546"/>
      <c r="W48" s="546"/>
      <c r="X48" s="546"/>
      <c r="Y48" s="546"/>
      <c r="Z48" s="27"/>
      <c r="AA48" s="27"/>
    </row>
    <row r="49" spans="1:27" x14ac:dyDescent="0.25">
      <c r="A49" s="550"/>
      <c r="B49" s="550"/>
      <c r="C49" s="550"/>
      <c r="E49" s="8" t="s">
        <v>1106</v>
      </c>
      <c r="F49" s="454">
        <f>H33/((-1*H28)/Cohort)</f>
        <v>1677.9943493497703</v>
      </c>
      <c r="G49" s="96"/>
      <c r="H49" s="10"/>
      <c r="J49" s="8"/>
      <c r="K49" s="50" t="s">
        <v>105</v>
      </c>
      <c r="L49" s="50" t="s">
        <v>43</v>
      </c>
      <c r="M49" s="79" t="s">
        <v>1096</v>
      </c>
      <c r="N49" s="51"/>
      <c r="O49" s="32"/>
      <c r="P49" s="409"/>
      <c r="Q49" s="546"/>
      <c r="R49" s="546"/>
      <c r="S49" s="546"/>
      <c r="T49" s="546"/>
      <c r="U49" s="546"/>
      <c r="V49" s="546"/>
      <c r="W49" s="549"/>
      <c r="X49" s="549"/>
      <c r="Y49" s="549"/>
      <c r="Z49" s="27"/>
      <c r="AA49" s="27"/>
    </row>
    <row r="50" spans="1:27" x14ac:dyDescent="0.25">
      <c r="A50" s="550"/>
      <c r="B50" s="550"/>
      <c r="C50" s="550"/>
      <c r="E50" s="8" t="s">
        <v>1107</v>
      </c>
      <c r="F50" s="454">
        <f>H33/((-1*H30)/Cohort)</f>
        <v>4297.1617133555865</v>
      </c>
      <c r="G50" s="96"/>
      <c r="H50" s="10"/>
      <c r="J50" s="8" t="s">
        <v>1090</v>
      </c>
      <c r="K50" s="466">
        <f>'Comparator (DET)'!B77</f>
        <v>21302.403453107061</v>
      </c>
      <c r="L50" s="466">
        <f>'Experimental (DET)'!B77</f>
        <v>21263.190739291578</v>
      </c>
      <c r="M50" s="478">
        <f>K50-L50</f>
        <v>39.212713815482857</v>
      </c>
      <c r="N50" s="51"/>
      <c r="O50" s="32"/>
      <c r="P50" s="409"/>
      <c r="Q50" s="21"/>
      <c r="R50" s="546"/>
      <c r="S50" s="546"/>
      <c r="T50" s="21"/>
      <c r="U50" s="546"/>
      <c r="V50" s="546"/>
      <c r="W50" s="21"/>
      <c r="X50" s="546"/>
      <c r="Y50" s="546"/>
      <c r="Z50" s="27"/>
      <c r="AA50" s="27"/>
    </row>
    <row r="51" spans="1:27" x14ac:dyDescent="0.25">
      <c r="A51" s="550"/>
      <c r="B51" s="550"/>
      <c r="C51" s="550"/>
      <c r="E51" s="8" t="s">
        <v>1108</v>
      </c>
      <c r="F51" s="454">
        <f>H33/((-1*H31)/Cohort)</f>
        <v>951.80074223133795</v>
      </c>
      <c r="G51" s="96"/>
      <c r="H51" s="10"/>
      <c r="J51" s="8" t="s">
        <v>1091</v>
      </c>
      <c r="K51" s="466">
        <f>'Comparator (DET)'!B78</f>
        <v>5462.927580867582</v>
      </c>
      <c r="L51" s="466">
        <f>'Experimental (DET)'!B78</f>
        <v>5433.7419509560159</v>
      </c>
      <c r="M51" s="478">
        <f t="shared" ref="M51:M54" si="7">K51-L51</f>
        <v>29.185629911566139</v>
      </c>
      <c r="N51" s="51"/>
      <c r="O51" s="32"/>
      <c r="P51" s="96"/>
      <c r="Q51" s="417"/>
      <c r="R51" s="417"/>
      <c r="S51" s="417"/>
      <c r="T51" s="417"/>
      <c r="U51" s="417"/>
      <c r="V51" s="417"/>
      <c r="W51" s="32"/>
      <c r="X51" s="32"/>
      <c r="Y51" s="32"/>
      <c r="Z51" s="27"/>
      <c r="AA51" s="27"/>
    </row>
    <row r="52" spans="1:27" ht="15.75" thickBot="1" x14ac:dyDescent="0.3">
      <c r="A52" s="550"/>
      <c r="B52" s="550"/>
      <c r="C52" s="550"/>
      <c r="E52" s="11" t="s">
        <v>1109</v>
      </c>
      <c r="F52" s="462">
        <f>H33/((-1*H32)/Cohort)</f>
        <v>923.32705458249018</v>
      </c>
      <c r="G52" s="12"/>
      <c r="H52" s="13"/>
      <c r="J52" s="8" t="s">
        <v>1092</v>
      </c>
      <c r="K52" s="466">
        <f ca="1">'Comparator (DET)'!B79</f>
        <v>11773.864195158543</v>
      </c>
      <c r="L52" s="466">
        <f ca="1">'Experimental (DET)'!B79</f>
        <v>11747.803142610665</v>
      </c>
      <c r="M52" s="478">
        <f t="shared" ca="1" si="7"/>
        <v>26.061052547878717</v>
      </c>
      <c r="N52" s="51"/>
      <c r="O52" s="27"/>
      <c r="P52" s="96"/>
      <c r="Q52" s="417"/>
      <c r="R52" s="417"/>
      <c r="S52" s="417"/>
      <c r="T52" s="417"/>
      <c r="U52" s="417"/>
      <c r="V52" s="417"/>
      <c r="W52" s="32"/>
      <c r="X52" s="32"/>
      <c r="Y52" s="32"/>
      <c r="Z52" s="27"/>
      <c r="AA52" s="27"/>
    </row>
    <row r="53" spans="1:27" x14ac:dyDescent="0.25">
      <c r="A53" s="550"/>
      <c r="B53" s="550"/>
      <c r="C53" s="550"/>
      <c r="E53" s="552" t="s">
        <v>1111</v>
      </c>
      <c r="F53" s="555"/>
      <c r="G53" s="555"/>
      <c r="H53" s="556"/>
      <c r="J53" s="8" t="s">
        <v>1093</v>
      </c>
      <c r="K53" s="466">
        <f>'Comparator (DET)'!B80</f>
        <v>29865.462969830736</v>
      </c>
      <c r="L53" s="466">
        <f>'Experimental (DET)'!B80</f>
        <v>29801.988414211133</v>
      </c>
      <c r="M53" s="478">
        <f t="shared" si="7"/>
        <v>63.474555619603052</v>
      </c>
      <c r="N53" s="51"/>
      <c r="O53" s="27"/>
      <c r="P53" s="96"/>
      <c r="Q53" s="417"/>
      <c r="R53" s="417"/>
      <c r="S53" s="417"/>
      <c r="T53" s="417"/>
      <c r="U53" s="417"/>
      <c r="V53" s="417"/>
      <c r="W53" s="32"/>
      <c r="X53" s="32"/>
      <c r="Y53" s="32"/>
      <c r="Z53" s="27"/>
      <c r="AA53" s="27"/>
    </row>
    <row r="54" spans="1:27" ht="15.75" thickBot="1" x14ac:dyDescent="0.3">
      <c r="A54" s="550"/>
      <c r="B54" s="550"/>
      <c r="C54" s="550"/>
      <c r="E54" s="8" t="s">
        <v>1099</v>
      </c>
      <c r="F54" s="454">
        <f>H36/H15</f>
        <v>111.18351685702434</v>
      </c>
      <c r="G54" s="96"/>
      <c r="H54" s="10"/>
      <c r="J54" s="11" t="s">
        <v>1094</v>
      </c>
      <c r="K54" s="482">
        <f ca="1">'Comparator (DET)'!B81</f>
        <v>36176.399584121689</v>
      </c>
      <c r="L54" s="482">
        <f ca="1">'Experimental (DET)'!B81</f>
        <v>36116.049605865788</v>
      </c>
      <c r="M54" s="483">
        <f t="shared" ca="1" si="7"/>
        <v>60.349978255901078</v>
      </c>
      <c r="N54" s="52"/>
      <c r="O54" s="27"/>
      <c r="P54" s="96"/>
      <c r="Q54" s="417"/>
      <c r="R54" s="417"/>
      <c r="S54" s="417"/>
      <c r="T54" s="417"/>
      <c r="U54" s="417"/>
      <c r="V54" s="417"/>
      <c r="W54" s="32"/>
      <c r="X54" s="32"/>
      <c r="Y54" s="32"/>
      <c r="Z54" s="27"/>
      <c r="AA54" s="27"/>
    </row>
    <row r="55" spans="1:27" x14ac:dyDescent="0.25">
      <c r="A55" s="550"/>
      <c r="B55" s="550"/>
      <c r="C55" s="550"/>
      <c r="E55" s="8" t="s">
        <v>82</v>
      </c>
      <c r="F55" s="454">
        <f>H36/H17</f>
        <v>6847.1449787467345</v>
      </c>
      <c r="G55" s="96"/>
      <c r="H55" s="10"/>
      <c r="J55" s="552" t="s">
        <v>1123</v>
      </c>
      <c r="K55" s="553"/>
      <c r="L55" s="553"/>
      <c r="M55" s="554"/>
      <c r="N55" s="81"/>
      <c r="O55" s="27"/>
      <c r="P55" s="96"/>
      <c r="Q55" s="417"/>
      <c r="R55" s="417"/>
      <c r="S55" s="417"/>
      <c r="T55" s="417"/>
      <c r="U55" s="417"/>
      <c r="V55" s="417"/>
      <c r="W55" s="32"/>
      <c r="X55" s="32"/>
      <c r="Y55" s="32"/>
      <c r="Z55" s="27"/>
      <c r="AA55" s="27"/>
    </row>
    <row r="56" spans="1:27" x14ac:dyDescent="0.25">
      <c r="A56" s="550"/>
      <c r="B56" s="550"/>
      <c r="C56" s="550"/>
      <c r="E56" s="8" t="s">
        <v>112</v>
      </c>
      <c r="F56" s="454">
        <f>H36/H18</f>
        <v>3866.0283939702776</v>
      </c>
      <c r="G56" s="96"/>
      <c r="H56" s="10"/>
      <c r="J56" s="8" t="s">
        <v>1099</v>
      </c>
      <c r="K56" s="484">
        <f>M15/H15</f>
        <v>-1116.4417844284565</v>
      </c>
      <c r="L56" s="435"/>
      <c r="M56" s="447"/>
      <c r="N56" s="81"/>
      <c r="O56" s="27"/>
      <c r="P56" s="96"/>
      <c r="Q56" s="417"/>
      <c r="R56" s="417"/>
      <c r="S56" s="417"/>
      <c r="T56" s="417"/>
      <c r="U56" s="417"/>
      <c r="V56" s="417"/>
      <c r="W56" s="51"/>
      <c r="X56" s="51"/>
      <c r="Y56" s="51"/>
      <c r="Z56" s="27"/>
      <c r="AA56" s="27"/>
    </row>
    <row r="57" spans="1:27" x14ac:dyDescent="0.25">
      <c r="A57" s="550"/>
      <c r="B57" s="550"/>
      <c r="C57" s="550"/>
      <c r="E57" s="8" t="s">
        <v>1112</v>
      </c>
      <c r="F57" s="454">
        <f>H36/((-1*H24)/Cohort)</f>
        <v>4778.4684544767451</v>
      </c>
      <c r="G57" s="96"/>
      <c r="H57" s="10"/>
      <c r="J57" s="8" t="s">
        <v>82</v>
      </c>
      <c r="K57" s="484">
        <f>M15/M19</f>
        <v>-13015.192068296708</v>
      </c>
      <c r="L57" s="435"/>
      <c r="M57" s="447"/>
      <c r="N57" s="81"/>
      <c r="O57" s="27"/>
      <c r="P57" s="96"/>
      <c r="Q57" s="417"/>
      <c r="R57" s="417"/>
      <c r="S57" s="417"/>
      <c r="T57" s="417"/>
      <c r="U57" s="417"/>
      <c r="V57" s="417"/>
      <c r="W57" s="51"/>
      <c r="X57" s="51"/>
      <c r="Y57" s="51"/>
      <c r="Z57" s="27"/>
      <c r="AA57" s="27"/>
    </row>
    <row r="58" spans="1:27" ht="15.75" thickBot="1" x14ac:dyDescent="0.3">
      <c r="A58" s="550"/>
      <c r="B58" s="550"/>
      <c r="C58" s="550"/>
      <c r="E58" s="11" t="s">
        <v>1109</v>
      </c>
      <c r="F58" s="462">
        <f>H36/((-1*H32)/Cohort)</f>
        <v>1935.4271338000051</v>
      </c>
      <c r="G58" s="12"/>
      <c r="H58" s="13"/>
      <c r="J58" s="11" t="s">
        <v>112</v>
      </c>
      <c r="K58" s="485">
        <f>M15/M20</f>
        <v>-4775.3091421645067</v>
      </c>
      <c r="L58" s="448"/>
      <c r="M58" s="449"/>
      <c r="N58" s="81"/>
      <c r="O58" s="27"/>
      <c r="P58" s="96"/>
      <c r="Q58" s="47"/>
      <c r="R58" s="47"/>
      <c r="S58" s="47"/>
      <c r="T58" s="47"/>
      <c r="U58" s="47"/>
      <c r="V58" s="47"/>
      <c r="W58" s="52"/>
      <c r="X58" s="52"/>
      <c r="Y58" s="52"/>
      <c r="Z58" s="27"/>
      <c r="AA58" s="27"/>
    </row>
    <row r="59" spans="1:27" x14ac:dyDescent="0.25">
      <c r="A59" s="550"/>
      <c r="B59" s="550"/>
      <c r="C59" s="550"/>
      <c r="E59" s="552" t="s">
        <v>1113</v>
      </c>
      <c r="F59" s="555"/>
      <c r="G59" s="555"/>
      <c r="H59" s="556"/>
      <c r="J59" s="552" t="s">
        <v>1125</v>
      </c>
      <c r="K59" s="553"/>
      <c r="L59" s="553"/>
      <c r="M59" s="554"/>
      <c r="N59" s="435"/>
      <c r="O59" s="27"/>
      <c r="P59" s="96"/>
      <c r="Q59" s="47"/>
      <c r="R59" s="47"/>
      <c r="S59" s="47"/>
      <c r="T59" s="547"/>
      <c r="U59" s="547"/>
      <c r="V59" s="547"/>
      <c r="W59" s="414"/>
      <c r="X59" s="414"/>
      <c r="Y59" s="414"/>
      <c r="Z59" s="27"/>
      <c r="AA59" s="27"/>
    </row>
    <row r="60" spans="1:27" x14ac:dyDescent="0.25">
      <c r="A60" s="550"/>
      <c r="B60" s="550"/>
      <c r="C60" s="550"/>
      <c r="E60" s="8" t="s">
        <v>1114</v>
      </c>
      <c r="F60" s="454">
        <f>H40/H39</f>
        <v>-0.61966714060827721</v>
      </c>
      <c r="G60" s="96"/>
      <c r="H60" s="10"/>
      <c r="J60" s="8" t="s">
        <v>82</v>
      </c>
      <c r="K60" s="454">
        <f>M23/M27</f>
        <v>-2210.9375411849533</v>
      </c>
      <c r="L60" s="21"/>
      <c r="M60" s="23"/>
      <c r="N60" s="21"/>
      <c r="O60" s="27"/>
      <c r="P60" s="96"/>
      <c r="Q60" s="47"/>
      <c r="R60" s="47"/>
      <c r="S60" s="47"/>
      <c r="T60" s="547"/>
      <c r="U60" s="547"/>
      <c r="V60" s="547"/>
      <c r="W60" s="418"/>
      <c r="X60" s="50"/>
      <c r="Y60" s="50"/>
      <c r="Z60" s="27"/>
      <c r="AA60" s="27"/>
    </row>
    <row r="61" spans="1:27" ht="15.75" thickBot="1" x14ac:dyDescent="0.3">
      <c r="A61" s="551"/>
      <c r="B61" s="551"/>
      <c r="C61" s="551"/>
      <c r="E61" s="8" t="s">
        <v>1115</v>
      </c>
      <c r="F61" s="454">
        <f>H41/H39</f>
        <v>0.43468492147404059</v>
      </c>
      <c r="G61" s="96"/>
      <c r="H61" s="10"/>
      <c r="J61" s="11" t="s">
        <v>112</v>
      </c>
      <c r="K61" s="462">
        <f>M23/M28</f>
        <v>-1930.8330288674667</v>
      </c>
      <c r="L61" s="438"/>
      <c r="M61" s="439"/>
      <c r="N61" s="17"/>
      <c r="O61" s="27"/>
      <c r="P61" s="96"/>
      <c r="Q61" s="47"/>
      <c r="R61" s="47"/>
      <c r="S61" s="47"/>
      <c r="T61" s="547"/>
      <c r="U61" s="547"/>
      <c r="V61" s="547"/>
      <c r="W61" s="414"/>
      <c r="X61" s="414"/>
      <c r="Y61" s="414"/>
      <c r="Z61" s="27"/>
      <c r="AA61" s="27"/>
    </row>
    <row r="62" spans="1:27" ht="15.75" thickBot="1" x14ac:dyDescent="0.3">
      <c r="A62" s="551"/>
      <c r="B62" s="551"/>
      <c r="C62" s="551"/>
      <c r="E62" s="11" t="s">
        <v>1116</v>
      </c>
      <c r="F62" s="462">
        <f>H42/H39</f>
        <v>-1.1849822191340749</v>
      </c>
      <c r="G62" s="12"/>
      <c r="H62" s="13"/>
      <c r="J62" s="552" t="s">
        <v>1126</v>
      </c>
      <c r="K62" s="553"/>
      <c r="L62" s="553"/>
      <c r="M62" s="554"/>
      <c r="N62" s="17"/>
      <c r="O62" s="27"/>
      <c r="P62" s="96"/>
      <c r="Q62" s="47"/>
      <c r="R62" s="47"/>
      <c r="S62" s="47"/>
      <c r="T62" s="547"/>
      <c r="U62" s="547"/>
      <c r="V62" s="547"/>
      <c r="W62" s="418"/>
      <c r="X62" s="50"/>
      <c r="Y62" s="50"/>
      <c r="Z62" s="27"/>
      <c r="AA62" s="27"/>
    </row>
    <row r="63" spans="1:27" x14ac:dyDescent="0.25">
      <c r="A63" s="551"/>
      <c r="B63" s="551"/>
      <c r="C63" s="551"/>
      <c r="J63" s="8" t="s">
        <v>1099</v>
      </c>
      <c r="K63" s="454">
        <f>M31/H15</f>
        <v>-1865.264062333513</v>
      </c>
      <c r="L63" s="17"/>
      <c r="M63" s="440"/>
      <c r="N63" s="17"/>
      <c r="O63" s="27"/>
      <c r="P63" s="96"/>
      <c r="Q63" s="47"/>
      <c r="R63" s="47"/>
      <c r="S63" s="47"/>
      <c r="T63" s="547"/>
      <c r="U63" s="547"/>
      <c r="V63" s="547"/>
      <c r="W63" s="419"/>
      <c r="X63" s="419"/>
      <c r="Y63" s="419"/>
      <c r="Z63" s="27"/>
      <c r="AA63" s="27"/>
    </row>
    <row r="64" spans="1:27" x14ac:dyDescent="0.25">
      <c r="A64" s="551"/>
      <c r="B64" s="551"/>
      <c r="C64" s="551"/>
      <c r="J64" s="8" t="s">
        <v>82</v>
      </c>
      <c r="K64" s="454">
        <f>M31/M32</f>
        <v>-4137.9775087533371</v>
      </c>
      <c r="L64" s="44"/>
      <c r="M64" s="55"/>
      <c r="N64" s="44"/>
      <c r="O64" s="27"/>
      <c r="P64" s="96"/>
      <c r="Q64" s="96"/>
      <c r="R64" s="96"/>
      <c r="S64" s="96"/>
      <c r="T64" s="547"/>
      <c r="U64" s="547"/>
      <c r="V64" s="547"/>
      <c r="W64" s="81"/>
      <c r="X64" s="81"/>
      <c r="Y64" s="81"/>
      <c r="Z64" s="27"/>
      <c r="AA64" s="27"/>
    </row>
    <row r="65" spans="1:27" ht="15.75" thickBot="1" x14ac:dyDescent="0.3">
      <c r="A65" s="551"/>
      <c r="B65" s="551"/>
      <c r="C65" s="551"/>
      <c r="J65" s="11" t="s">
        <v>112</v>
      </c>
      <c r="K65" s="462">
        <f>M31/M33</f>
        <v>-2862.0184367379766</v>
      </c>
      <c r="L65" s="441"/>
      <c r="M65" s="442"/>
      <c r="N65" s="420"/>
      <c r="O65" s="27"/>
      <c r="P65" s="546"/>
      <c r="Q65" s="546"/>
      <c r="R65" s="546"/>
      <c r="S65" s="546"/>
      <c r="T65" s="546"/>
      <c r="U65" s="546"/>
      <c r="V65" s="546"/>
      <c r="W65" s="546"/>
      <c r="X65" s="546"/>
      <c r="Y65" s="546"/>
      <c r="Z65" s="27"/>
      <c r="AA65" s="27"/>
    </row>
    <row r="66" spans="1:27" x14ac:dyDescent="0.25">
      <c r="A66" s="551"/>
      <c r="B66" s="551"/>
      <c r="C66" s="551"/>
      <c r="J66" s="552" t="s">
        <v>1127</v>
      </c>
      <c r="K66" s="553"/>
      <c r="L66" s="553"/>
      <c r="M66" s="554"/>
      <c r="N66" s="420"/>
      <c r="O66" s="27"/>
      <c r="P66" s="409"/>
      <c r="Q66" s="546"/>
      <c r="R66" s="546"/>
      <c r="S66" s="546"/>
      <c r="T66" s="546"/>
      <c r="U66" s="546"/>
      <c r="V66" s="546"/>
      <c r="W66" s="549"/>
      <c r="X66" s="549"/>
      <c r="Y66" s="549"/>
      <c r="Z66" s="27"/>
      <c r="AA66" s="27"/>
    </row>
    <row r="67" spans="1:27" x14ac:dyDescent="0.25">
      <c r="A67" s="551"/>
      <c r="B67" s="551"/>
      <c r="C67" s="551"/>
      <c r="J67" s="8" t="s">
        <v>82</v>
      </c>
      <c r="K67" s="484">
        <f ca="1">M36/M41</f>
        <v>-821.90182470624222</v>
      </c>
      <c r="L67" s="437"/>
      <c r="M67" s="443"/>
      <c r="N67" s="81"/>
      <c r="O67" s="27"/>
      <c r="P67" s="96"/>
      <c r="Q67" s="21"/>
      <c r="R67" s="546"/>
      <c r="S67" s="546"/>
      <c r="T67" s="21"/>
      <c r="U67" s="546"/>
      <c r="V67" s="546"/>
      <c r="W67" s="21"/>
      <c r="X67" s="546"/>
      <c r="Y67" s="546"/>
      <c r="Z67" s="27"/>
      <c r="AA67" s="27"/>
    </row>
    <row r="68" spans="1:27" ht="15.75" thickBot="1" x14ac:dyDescent="0.3">
      <c r="A68" s="551"/>
      <c r="B68" s="551"/>
      <c r="C68" s="551"/>
      <c r="J68" s="11" t="s">
        <v>112</v>
      </c>
      <c r="K68" s="485">
        <f ca="1">M36/M42</f>
        <v>-763.35858835854083</v>
      </c>
      <c r="L68" s="450"/>
      <c r="M68" s="451"/>
      <c r="N68" s="81"/>
      <c r="O68" s="27"/>
      <c r="P68" s="96"/>
      <c r="Q68" s="17"/>
      <c r="R68" s="17"/>
      <c r="S68" s="17"/>
      <c r="T68" s="17"/>
      <c r="U68" s="17"/>
      <c r="V68" s="17"/>
      <c r="W68" s="32"/>
      <c r="X68" s="32"/>
      <c r="Y68" s="32"/>
      <c r="Z68" s="27"/>
      <c r="AA68" s="27"/>
    </row>
    <row r="69" spans="1:27" x14ac:dyDescent="0.25">
      <c r="A69" s="551"/>
      <c r="B69" s="551"/>
      <c r="C69" s="551"/>
      <c r="J69" s="552" t="s">
        <v>1128</v>
      </c>
      <c r="K69" s="553"/>
      <c r="L69" s="553"/>
      <c r="M69" s="554"/>
      <c r="N69" s="81"/>
      <c r="O69" s="27"/>
      <c r="P69" s="96"/>
      <c r="Q69" s="17"/>
      <c r="R69" s="17"/>
      <c r="S69" s="17"/>
      <c r="T69" s="17"/>
      <c r="U69" s="17"/>
      <c r="V69" s="17"/>
      <c r="W69" s="32"/>
      <c r="X69" s="32"/>
      <c r="Y69" s="32"/>
      <c r="Z69" s="27"/>
      <c r="AA69" s="27"/>
    </row>
    <row r="70" spans="1:27" x14ac:dyDescent="0.25">
      <c r="A70" s="551"/>
      <c r="B70" s="551"/>
      <c r="C70" s="551"/>
      <c r="J70" s="8" t="s">
        <v>1099</v>
      </c>
      <c r="K70" s="484">
        <f ca="1">M45/H15</f>
        <v>-1768.8264893796361</v>
      </c>
      <c r="L70" s="437"/>
      <c r="M70" s="443"/>
      <c r="N70" s="81"/>
      <c r="O70" s="27"/>
      <c r="P70" s="44"/>
      <c r="Q70" s="17"/>
      <c r="R70" s="17"/>
      <c r="S70" s="17"/>
      <c r="T70" s="17"/>
      <c r="U70" s="17"/>
      <c r="V70" s="17"/>
      <c r="W70" s="32"/>
      <c r="X70" s="32"/>
      <c r="Y70" s="32"/>
      <c r="Z70" s="27"/>
      <c r="AA70" s="27"/>
    </row>
    <row r="71" spans="1:27" x14ac:dyDescent="0.25">
      <c r="J71" s="8" t="s">
        <v>82</v>
      </c>
      <c r="K71" s="484">
        <f ca="1">M45/M46</f>
        <v>-1861.392837461907</v>
      </c>
      <c r="L71" s="40"/>
      <c r="M71" s="444"/>
      <c r="N71" s="40"/>
      <c r="O71" s="27"/>
      <c r="P71" s="44"/>
      <c r="Q71" s="44"/>
      <c r="R71" s="44"/>
      <c r="S71" s="44"/>
      <c r="T71" s="44"/>
      <c r="U71" s="44"/>
      <c r="V71" s="44"/>
      <c r="W71" s="52"/>
      <c r="X71" s="52"/>
      <c r="Y71" s="52"/>
      <c r="Z71" s="27"/>
      <c r="AA71" s="27"/>
    </row>
    <row r="72" spans="1:27" ht="15.75" thickBot="1" x14ac:dyDescent="0.3">
      <c r="J72" s="11" t="s">
        <v>112</v>
      </c>
      <c r="K72" s="462">
        <f ca="1">M45/M47</f>
        <v>-1518.847877723188</v>
      </c>
      <c r="L72" s="12"/>
      <c r="M72" s="13"/>
      <c r="N72" s="96"/>
      <c r="O72" s="27"/>
      <c r="P72" s="100"/>
      <c r="Q72" s="420"/>
      <c r="R72" s="420"/>
      <c r="S72" s="420"/>
      <c r="T72" s="420"/>
      <c r="U72" s="420"/>
      <c r="V72" s="420"/>
      <c r="W72" s="53"/>
      <c r="X72" s="53"/>
      <c r="Y72" s="53"/>
      <c r="Z72" s="27"/>
      <c r="AA72" s="27"/>
    </row>
    <row r="73" spans="1:27" x14ac:dyDescent="0.25">
      <c r="J73" s="552" t="s">
        <v>1124</v>
      </c>
      <c r="K73" s="555"/>
      <c r="L73" s="555"/>
      <c r="M73" s="556"/>
      <c r="N73" s="21"/>
      <c r="P73" s="412"/>
      <c r="Q73" s="412"/>
      <c r="R73" s="412"/>
      <c r="S73" s="412"/>
      <c r="T73" s="412"/>
      <c r="U73" s="412"/>
      <c r="V73" s="412"/>
      <c r="W73" s="412"/>
      <c r="X73" s="412"/>
      <c r="Y73" s="412"/>
    </row>
    <row r="74" spans="1:27" x14ac:dyDescent="0.25">
      <c r="J74" s="8" t="s">
        <v>1114</v>
      </c>
      <c r="K74" s="454">
        <f>M50/H39</f>
        <v>12.898919018250936</v>
      </c>
      <c r="L74" s="17"/>
      <c r="M74" s="440"/>
      <c r="N74" s="17"/>
      <c r="P74" s="96"/>
      <c r="Q74" s="96"/>
      <c r="R74" s="96"/>
      <c r="S74" s="96"/>
      <c r="T74" s="548"/>
      <c r="U74" s="548"/>
      <c r="V74" s="548"/>
      <c r="W74" s="81"/>
      <c r="X74" s="81"/>
      <c r="Y74" s="81"/>
    </row>
    <row r="75" spans="1:27" x14ac:dyDescent="0.25">
      <c r="J75" s="8" t="s">
        <v>1119</v>
      </c>
      <c r="K75" s="454">
        <f>M51/H39</f>
        <v>9.6005361551204373</v>
      </c>
      <c r="L75" s="17"/>
      <c r="M75" s="440"/>
      <c r="N75" s="17"/>
      <c r="P75" s="96"/>
      <c r="Q75" s="96"/>
      <c r="R75" s="96"/>
      <c r="S75" s="96"/>
      <c r="T75" s="548"/>
      <c r="U75" s="548"/>
      <c r="V75" s="548"/>
      <c r="W75" s="81"/>
      <c r="X75" s="81"/>
      <c r="Y75" s="81"/>
    </row>
    <row r="76" spans="1:27" x14ac:dyDescent="0.25">
      <c r="J76" s="8" t="s">
        <v>1120</v>
      </c>
      <c r="K76" s="454">
        <f ca="1">M52/H39</f>
        <v>8.5727146539074699</v>
      </c>
      <c r="L76" s="17"/>
      <c r="M76" s="440"/>
      <c r="N76" s="17"/>
      <c r="P76" s="96"/>
      <c r="Q76" s="96"/>
      <c r="R76" s="96"/>
      <c r="S76" s="96"/>
      <c r="T76" s="548"/>
      <c r="U76" s="548"/>
      <c r="V76" s="548"/>
      <c r="W76" s="21"/>
      <c r="X76" s="21"/>
      <c r="Y76" s="21"/>
    </row>
    <row r="77" spans="1:27" x14ac:dyDescent="0.25">
      <c r="J77" s="8" t="s">
        <v>1121</v>
      </c>
      <c r="K77" s="454">
        <f>M53/H36</f>
        <v>17.620338681555957</v>
      </c>
      <c r="L77" s="44"/>
      <c r="M77" s="55"/>
      <c r="N77" s="44"/>
      <c r="P77" s="96"/>
      <c r="Q77" s="96"/>
      <c r="R77" s="96"/>
      <c r="S77" s="96"/>
      <c r="T77" s="548"/>
      <c r="U77" s="548"/>
      <c r="V77" s="548"/>
      <c r="W77" s="81"/>
      <c r="X77" s="81"/>
      <c r="Y77" s="81"/>
    </row>
    <row r="78" spans="1:27" ht="15.75" thickBot="1" x14ac:dyDescent="0.3">
      <c r="J78" s="11" t="s">
        <v>1122</v>
      </c>
      <c r="K78" s="462">
        <f ca="1">M54/H36</f>
        <v>16.752965750028906</v>
      </c>
      <c r="L78" s="445"/>
      <c r="M78" s="446"/>
      <c r="N78" s="412"/>
      <c r="P78" s="96"/>
      <c r="Q78" s="96"/>
      <c r="R78" s="96"/>
      <c r="S78" s="96"/>
      <c r="T78" s="548"/>
      <c r="U78" s="548"/>
      <c r="V78" s="548"/>
      <c r="W78" s="81"/>
      <c r="X78" s="81"/>
      <c r="Y78" s="81"/>
    </row>
    <row r="79" spans="1:27" x14ac:dyDescent="0.25">
      <c r="K79" s="96"/>
      <c r="L79" s="412"/>
      <c r="M79" s="412"/>
      <c r="N79" s="412"/>
      <c r="P79" s="546"/>
      <c r="Q79" s="546"/>
      <c r="R79" s="546"/>
      <c r="S79" s="546"/>
      <c r="T79" s="546"/>
      <c r="U79" s="546"/>
      <c r="V79" s="546"/>
      <c r="W79" s="546"/>
      <c r="X79" s="546"/>
      <c r="Y79" s="546"/>
    </row>
    <row r="80" spans="1:27" x14ac:dyDescent="0.25">
      <c r="K80" s="547"/>
      <c r="L80" s="547"/>
      <c r="M80" s="547"/>
      <c r="N80" s="81"/>
      <c r="P80" s="96"/>
      <c r="Q80" s="546"/>
      <c r="R80" s="546"/>
      <c r="S80" s="546"/>
      <c r="T80" s="546"/>
      <c r="U80" s="546"/>
      <c r="V80" s="546"/>
      <c r="W80" s="549"/>
      <c r="X80" s="549"/>
      <c r="Y80" s="549"/>
    </row>
    <row r="81" spans="11:25" x14ac:dyDescent="0.25">
      <c r="K81" s="547"/>
      <c r="L81" s="547"/>
      <c r="M81" s="547"/>
      <c r="N81" s="81"/>
      <c r="P81" s="96"/>
      <c r="Q81" s="21"/>
      <c r="R81" s="546"/>
      <c r="S81" s="546"/>
      <c r="T81" s="21"/>
      <c r="U81" s="546"/>
      <c r="V81" s="546"/>
      <c r="W81" s="21"/>
      <c r="X81" s="546"/>
      <c r="Y81" s="546"/>
    </row>
    <row r="82" spans="11:25" x14ac:dyDescent="0.25">
      <c r="K82" s="547"/>
      <c r="L82" s="547"/>
      <c r="M82" s="547"/>
      <c r="N82" s="81"/>
      <c r="P82" s="96"/>
      <c r="Q82" s="17"/>
      <c r="R82" s="17"/>
      <c r="S82" s="17"/>
      <c r="T82" s="421"/>
      <c r="U82" s="421"/>
      <c r="V82" s="421"/>
      <c r="W82" s="422"/>
      <c r="X82" s="422"/>
      <c r="Y82" s="422"/>
    </row>
    <row r="83" spans="11:25" x14ac:dyDescent="0.25">
      <c r="K83" s="547"/>
      <c r="L83" s="547"/>
      <c r="M83" s="547"/>
      <c r="N83" s="81"/>
      <c r="P83" s="96"/>
      <c r="Q83" s="17"/>
      <c r="R83" s="17"/>
      <c r="S83" s="17"/>
      <c r="T83" s="421"/>
      <c r="U83" s="421"/>
      <c r="V83" s="421"/>
      <c r="W83" s="422"/>
      <c r="X83" s="422"/>
      <c r="Y83" s="422"/>
    </row>
    <row r="84" spans="11:25" x14ac:dyDescent="0.25">
      <c r="K84" s="546"/>
      <c r="L84" s="546"/>
      <c r="M84" s="546"/>
      <c r="N84" s="546"/>
      <c r="P84" s="96"/>
      <c r="Q84" s="17"/>
      <c r="R84" s="17"/>
      <c r="S84" s="17"/>
      <c r="T84" s="421"/>
      <c r="U84" s="421"/>
      <c r="V84" s="421"/>
      <c r="W84" s="422"/>
      <c r="X84" s="422"/>
      <c r="Y84" s="422"/>
    </row>
    <row r="85" spans="11:25" x14ac:dyDescent="0.25">
      <c r="K85" s="21"/>
      <c r="L85" s="21"/>
      <c r="M85" s="21"/>
      <c r="N85" s="21"/>
      <c r="P85" s="96"/>
      <c r="Q85" s="17"/>
      <c r="R85" s="17"/>
      <c r="S85" s="17"/>
      <c r="T85" s="421"/>
      <c r="U85" s="421"/>
      <c r="V85" s="421"/>
      <c r="W85" s="422"/>
      <c r="X85" s="422"/>
      <c r="Y85" s="422"/>
    </row>
    <row r="86" spans="11:25" x14ac:dyDescent="0.25">
      <c r="K86" s="96"/>
      <c r="L86" s="44"/>
      <c r="M86" s="44"/>
      <c r="N86" s="44"/>
      <c r="P86" s="96"/>
      <c r="Q86" s="17"/>
      <c r="R86" s="17"/>
      <c r="S86" s="17"/>
      <c r="T86" s="421"/>
      <c r="U86" s="421"/>
      <c r="V86" s="421"/>
      <c r="W86" s="422"/>
      <c r="X86" s="422"/>
      <c r="Y86" s="422"/>
    </row>
    <row r="87" spans="11:25" x14ac:dyDescent="0.25">
      <c r="K87" s="547"/>
      <c r="L87" s="547"/>
      <c r="M87" s="547"/>
      <c r="N87" s="81"/>
      <c r="P87" s="96"/>
      <c r="Q87" s="44"/>
      <c r="R87" s="44"/>
      <c r="S87" s="44"/>
      <c r="T87" s="423"/>
      <c r="U87" s="423"/>
      <c r="V87" s="423"/>
      <c r="W87" s="424"/>
      <c r="X87" s="424"/>
      <c r="Y87" s="424"/>
    </row>
    <row r="88" spans="11:25" x14ac:dyDescent="0.25">
      <c r="K88" s="547"/>
      <c r="L88" s="547"/>
      <c r="M88" s="547"/>
      <c r="N88" s="81"/>
      <c r="P88" s="96"/>
      <c r="Q88" s="412"/>
      <c r="R88" s="412"/>
      <c r="S88" s="412"/>
      <c r="T88" s="425"/>
      <c r="U88" s="425"/>
      <c r="V88" s="425"/>
      <c r="W88" s="426"/>
      <c r="X88" s="426"/>
      <c r="Y88" s="426"/>
    </row>
    <row r="89" spans="11:25" x14ac:dyDescent="0.25">
      <c r="K89" s="547"/>
      <c r="L89" s="547"/>
      <c r="M89" s="547"/>
      <c r="N89" s="81"/>
      <c r="P89" s="96"/>
      <c r="Q89" s="412"/>
      <c r="R89" s="412"/>
      <c r="S89" s="412"/>
      <c r="T89" s="425"/>
      <c r="U89" s="425"/>
      <c r="V89" s="425"/>
      <c r="W89" s="426"/>
      <c r="X89" s="426"/>
      <c r="Y89" s="426"/>
    </row>
    <row r="90" spans="11:25" x14ac:dyDescent="0.25">
      <c r="K90" s="546"/>
      <c r="L90" s="546"/>
      <c r="M90" s="546"/>
      <c r="N90" s="546"/>
      <c r="P90" s="96"/>
      <c r="Q90" s="96"/>
      <c r="R90" s="96"/>
      <c r="S90" s="96"/>
      <c r="T90" s="548"/>
      <c r="U90" s="548"/>
      <c r="V90" s="548"/>
      <c r="W90" s="81"/>
      <c r="X90" s="81"/>
      <c r="Y90" s="81"/>
    </row>
    <row r="91" spans="11:25" x14ac:dyDescent="0.25">
      <c r="K91" s="21"/>
      <c r="L91" s="21"/>
      <c r="M91" s="21"/>
      <c r="N91" s="21"/>
      <c r="P91" s="96"/>
      <c r="Q91" s="96"/>
      <c r="R91" s="96"/>
      <c r="S91" s="96"/>
      <c r="T91" s="548"/>
      <c r="U91" s="548"/>
      <c r="V91" s="548"/>
      <c r="W91" s="81"/>
      <c r="X91" s="81"/>
      <c r="Y91" s="81"/>
    </row>
    <row r="92" spans="11:25" x14ac:dyDescent="0.25">
      <c r="K92" s="96"/>
      <c r="L92" s="44"/>
      <c r="M92" s="44"/>
      <c r="N92" s="44"/>
      <c r="P92" s="96"/>
      <c r="Q92" s="96"/>
      <c r="R92" s="96"/>
      <c r="S92" s="96"/>
      <c r="T92" s="548"/>
      <c r="U92" s="548"/>
      <c r="V92" s="548"/>
      <c r="W92" s="416"/>
      <c r="X92" s="81"/>
      <c r="Y92" s="81"/>
    </row>
    <row r="93" spans="11:25" x14ac:dyDescent="0.25">
      <c r="K93" s="96"/>
      <c r="L93" s="420"/>
      <c r="M93" s="420"/>
      <c r="N93" s="420"/>
      <c r="P93" s="96"/>
      <c r="Q93" s="96"/>
      <c r="R93" s="96"/>
      <c r="S93" s="96"/>
      <c r="T93" s="548"/>
      <c r="U93" s="548"/>
      <c r="V93" s="548"/>
      <c r="W93" s="81"/>
      <c r="X93" s="81"/>
      <c r="Y93" s="81"/>
    </row>
    <row r="94" spans="11:25" x14ac:dyDescent="0.25">
      <c r="K94" s="96"/>
      <c r="L94" s="412"/>
      <c r="M94" s="412"/>
      <c r="N94" s="412"/>
      <c r="P94" s="96"/>
      <c r="Q94" s="96"/>
      <c r="R94" s="96"/>
      <c r="S94" s="96"/>
      <c r="T94" s="548"/>
      <c r="U94" s="548"/>
      <c r="V94" s="548"/>
      <c r="W94" s="81"/>
      <c r="X94" s="81"/>
      <c r="Y94" s="81"/>
    </row>
    <row r="95" spans="11:25" x14ac:dyDescent="0.25">
      <c r="K95" s="547"/>
      <c r="L95" s="547"/>
      <c r="M95" s="547"/>
      <c r="N95" s="81"/>
      <c r="P95" s="546"/>
      <c r="Q95" s="546"/>
      <c r="R95" s="546"/>
      <c r="S95" s="546"/>
      <c r="T95" s="546"/>
      <c r="U95" s="546"/>
      <c r="V95" s="546"/>
      <c r="W95" s="546"/>
      <c r="X95" s="546"/>
      <c r="Y95" s="546"/>
    </row>
    <row r="96" spans="11:25" x14ac:dyDescent="0.25">
      <c r="K96" s="547"/>
      <c r="L96" s="547"/>
      <c r="M96" s="547"/>
      <c r="N96" s="81"/>
      <c r="P96" s="96"/>
      <c r="Q96" s="546"/>
      <c r="R96" s="546"/>
      <c r="S96" s="546"/>
      <c r="T96" s="546"/>
      <c r="U96" s="546"/>
      <c r="V96" s="546"/>
      <c r="W96" s="549"/>
      <c r="X96" s="549"/>
      <c r="Y96" s="549"/>
    </row>
    <row r="97" spans="11:25" x14ac:dyDescent="0.25">
      <c r="K97" s="547"/>
      <c r="L97" s="547"/>
      <c r="M97" s="547"/>
      <c r="N97" s="81"/>
      <c r="P97" s="96"/>
      <c r="Q97" s="21"/>
      <c r="R97" s="546"/>
      <c r="S97" s="546"/>
      <c r="T97" s="21"/>
      <c r="U97" s="546"/>
      <c r="V97" s="546"/>
      <c r="W97" s="21"/>
      <c r="X97" s="546"/>
      <c r="Y97" s="546"/>
    </row>
    <row r="98" spans="11:25" x14ac:dyDescent="0.25">
      <c r="K98" s="547"/>
      <c r="L98" s="547"/>
      <c r="M98" s="547"/>
      <c r="N98" s="81"/>
      <c r="P98" s="96"/>
      <c r="Q98" s="44"/>
      <c r="R98" s="44"/>
      <c r="S98" s="44"/>
      <c r="T98" s="44"/>
      <c r="U98" s="44"/>
      <c r="V98" s="44"/>
      <c r="W98" s="44"/>
      <c r="X98" s="44"/>
      <c r="Y98" s="44"/>
    </row>
    <row r="99" spans="11:25" x14ac:dyDescent="0.25">
      <c r="K99" s="547"/>
      <c r="L99" s="547"/>
      <c r="M99" s="547"/>
      <c r="N99" s="81"/>
      <c r="P99" s="96"/>
      <c r="Q99" s="412"/>
      <c r="R99" s="412"/>
      <c r="S99" s="412"/>
      <c r="T99" s="412"/>
      <c r="U99" s="412"/>
      <c r="V99" s="412"/>
      <c r="W99" s="412"/>
      <c r="X99" s="412"/>
      <c r="Y99" s="412"/>
    </row>
    <row r="100" spans="11:25" x14ac:dyDescent="0.25">
      <c r="K100" s="546"/>
      <c r="L100" s="546"/>
      <c r="M100" s="546"/>
      <c r="N100" s="546"/>
      <c r="P100" s="96"/>
      <c r="Q100" s="96"/>
      <c r="R100" s="96"/>
      <c r="S100" s="96"/>
      <c r="T100" s="547"/>
      <c r="U100" s="547"/>
      <c r="V100" s="547"/>
      <c r="W100" s="81"/>
      <c r="X100" s="81"/>
      <c r="Y100" s="81"/>
    </row>
    <row r="101" spans="11:25" x14ac:dyDescent="0.25">
      <c r="K101" s="409"/>
      <c r="L101" s="21"/>
      <c r="M101" s="21"/>
      <c r="N101" s="21"/>
      <c r="P101" s="96"/>
      <c r="Q101" s="96"/>
      <c r="R101" s="96"/>
      <c r="S101" s="96"/>
      <c r="T101" s="547"/>
      <c r="U101" s="547"/>
      <c r="V101" s="547"/>
      <c r="W101" s="81"/>
      <c r="X101" s="81"/>
      <c r="Y101" s="81"/>
    </row>
    <row r="102" spans="11:25" x14ac:dyDescent="0.25">
      <c r="K102" s="96"/>
      <c r="L102" s="44"/>
      <c r="M102" s="44"/>
      <c r="N102" s="44"/>
      <c r="P102" s="96"/>
      <c r="Q102" s="96"/>
      <c r="R102" s="96"/>
      <c r="S102" s="96"/>
      <c r="T102" s="547"/>
      <c r="U102" s="547"/>
      <c r="V102" s="547"/>
      <c r="W102" s="21"/>
      <c r="X102" s="21"/>
      <c r="Y102" s="21"/>
    </row>
    <row r="103" spans="11:25" x14ac:dyDescent="0.25">
      <c r="K103" s="96"/>
      <c r="L103" s="420"/>
      <c r="M103" s="420"/>
      <c r="N103" s="420"/>
      <c r="P103" s="96"/>
      <c r="Q103" s="96"/>
      <c r="R103" s="96"/>
      <c r="S103" s="96"/>
      <c r="T103" s="547"/>
      <c r="U103" s="547"/>
      <c r="V103" s="547"/>
      <c r="W103" s="81"/>
      <c r="X103" s="81"/>
      <c r="Y103" s="81"/>
    </row>
    <row r="104" spans="11:25" x14ac:dyDescent="0.25">
      <c r="K104" s="96"/>
      <c r="L104" s="412"/>
      <c r="M104" s="412"/>
      <c r="N104" s="420"/>
      <c r="P104" s="546"/>
      <c r="Q104" s="546"/>
      <c r="R104" s="546"/>
      <c r="S104" s="546"/>
      <c r="T104" s="546"/>
      <c r="U104" s="546"/>
      <c r="V104" s="546"/>
      <c r="W104" s="546"/>
      <c r="X104" s="546"/>
      <c r="Y104" s="546"/>
    </row>
    <row r="105" spans="11:25" x14ac:dyDescent="0.25">
      <c r="K105" s="547"/>
      <c r="L105" s="547"/>
      <c r="M105" s="547"/>
      <c r="N105" s="81"/>
      <c r="P105" s="96"/>
      <c r="Q105" s="546"/>
      <c r="R105" s="546"/>
      <c r="S105" s="546"/>
      <c r="T105" s="546"/>
      <c r="U105" s="546"/>
      <c r="V105" s="546"/>
      <c r="W105" s="549"/>
      <c r="X105" s="549"/>
      <c r="Y105" s="549"/>
    </row>
    <row r="106" spans="11:25" x14ac:dyDescent="0.25">
      <c r="K106" s="547"/>
      <c r="L106" s="547"/>
      <c r="M106" s="547"/>
      <c r="N106" s="81"/>
      <c r="P106" s="96"/>
      <c r="Q106" s="21"/>
      <c r="R106" s="546"/>
      <c r="S106" s="546"/>
      <c r="T106" s="21"/>
      <c r="U106" s="546"/>
      <c r="V106" s="546"/>
      <c r="W106" s="21"/>
      <c r="X106" s="546"/>
      <c r="Y106" s="546"/>
    </row>
    <row r="107" spans="11:25" x14ac:dyDescent="0.25">
      <c r="K107" s="547"/>
      <c r="L107" s="547"/>
      <c r="M107" s="547"/>
      <c r="N107" s="81"/>
      <c r="P107" s="96"/>
      <c r="Q107" s="44"/>
      <c r="R107" s="44"/>
      <c r="S107" s="44"/>
      <c r="T107" s="44"/>
      <c r="U107" s="44"/>
      <c r="V107" s="44"/>
      <c r="W107" s="52"/>
      <c r="X107" s="52"/>
      <c r="Y107" s="52"/>
    </row>
    <row r="108" spans="11:25" x14ac:dyDescent="0.25">
      <c r="K108" s="547"/>
      <c r="L108" s="547"/>
      <c r="M108" s="547"/>
      <c r="N108" s="81"/>
      <c r="P108" s="96"/>
      <c r="Q108" s="412"/>
      <c r="R108" s="412"/>
      <c r="S108" s="412"/>
      <c r="T108" s="412"/>
      <c r="U108" s="412"/>
      <c r="V108" s="412"/>
      <c r="W108" s="53"/>
      <c r="X108" s="53"/>
      <c r="Y108" s="53"/>
    </row>
    <row r="109" spans="11:25" x14ac:dyDescent="0.25">
      <c r="K109" s="547"/>
      <c r="L109" s="547"/>
      <c r="M109" s="547"/>
      <c r="N109" s="81"/>
      <c r="P109" s="96"/>
      <c r="Q109" s="412"/>
      <c r="R109" s="412"/>
      <c r="S109" s="412"/>
      <c r="T109" s="412"/>
      <c r="U109" s="412"/>
      <c r="V109" s="412"/>
      <c r="W109" s="53"/>
      <c r="X109" s="53"/>
      <c r="Y109" s="53"/>
    </row>
    <row r="110" spans="11:25" x14ac:dyDescent="0.25">
      <c r="P110" s="96"/>
      <c r="Q110" s="96"/>
      <c r="R110" s="96"/>
      <c r="S110" s="96"/>
      <c r="T110" s="547"/>
      <c r="U110" s="547"/>
      <c r="V110" s="547"/>
      <c r="W110" s="81"/>
      <c r="X110" s="81"/>
      <c r="Y110" s="81"/>
    </row>
    <row r="111" spans="11:25" x14ac:dyDescent="0.25">
      <c r="P111" s="96"/>
      <c r="Q111" s="96"/>
      <c r="R111" s="96"/>
      <c r="S111" s="96"/>
      <c r="T111" s="547"/>
      <c r="U111" s="547"/>
      <c r="V111" s="547"/>
      <c r="W111" s="81"/>
      <c r="X111" s="81"/>
      <c r="Y111" s="81"/>
    </row>
    <row r="112" spans="11:25" x14ac:dyDescent="0.25">
      <c r="P112" s="96"/>
      <c r="Q112" s="96"/>
      <c r="R112" s="96"/>
      <c r="S112" s="96"/>
      <c r="T112" s="547"/>
      <c r="U112" s="547"/>
      <c r="V112" s="547"/>
      <c r="W112" s="81"/>
      <c r="X112" s="81"/>
      <c r="Y112" s="81"/>
    </row>
    <row r="113" spans="16:25" x14ac:dyDescent="0.25">
      <c r="P113" s="96"/>
      <c r="Q113" s="96"/>
      <c r="R113" s="96"/>
      <c r="S113" s="96"/>
      <c r="T113" s="547"/>
      <c r="U113" s="547"/>
      <c r="V113" s="547"/>
      <c r="W113" s="21"/>
      <c r="X113" s="21"/>
      <c r="Y113" s="21"/>
    </row>
    <row r="114" spans="16:25" x14ac:dyDescent="0.25">
      <c r="P114" s="96"/>
      <c r="Q114" s="96"/>
      <c r="R114" s="96"/>
      <c r="S114" s="96"/>
      <c r="T114" s="547"/>
      <c r="U114" s="547"/>
      <c r="V114" s="547"/>
      <c r="W114" s="81"/>
      <c r="X114" s="81"/>
      <c r="Y114" s="81"/>
    </row>
    <row r="115" spans="16:25" x14ac:dyDescent="0.25">
      <c r="P115" s="96"/>
      <c r="Q115" s="96"/>
      <c r="R115" s="96"/>
      <c r="S115" s="96"/>
      <c r="T115" s="547"/>
      <c r="U115" s="547"/>
      <c r="V115" s="547"/>
      <c r="W115" s="81"/>
      <c r="X115" s="81"/>
      <c r="Y115" s="81"/>
    </row>
    <row r="116" spans="16:25" x14ac:dyDescent="0.25">
      <c r="P116" s="546"/>
      <c r="Q116" s="546"/>
      <c r="R116" s="546"/>
      <c r="S116" s="546"/>
      <c r="T116" s="546"/>
      <c r="U116" s="546"/>
      <c r="V116" s="546"/>
      <c r="W116" s="546"/>
      <c r="X116" s="546"/>
      <c r="Y116" s="546"/>
    </row>
    <row r="117" spans="16:25" x14ac:dyDescent="0.25">
      <c r="P117" s="96"/>
      <c r="Q117" s="546"/>
      <c r="R117" s="546"/>
      <c r="S117" s="546"/>
      <c r="T117" s="546"/>
      <c r="U117" s="546"/>
      <c r="V117" s="546"/>
      <c r="W117" s="549"/>
      <c r="X117" s="549"/>
      <c r="Y117" s="549"/>
    </row>
    <row r="118" spans="16:25" x14ac:dyDescent="0.25">
      <c r="P118" s="96"/>
      <c r="Q118" s="21"/>
      <c r="R118" s="546"/>
      <c r="S118" s="546"/>
      <c r="T118" s="21"/>
      <c r="U118" s="546"/>
      <c r="V118" s="546"/>
      <c r="W118" s="21"/>
      <c r="X118" s="546"/>
      <c r="Y118" s="546"/>
    </row>
    <row r="119" spans="16:25" x14ac:dyDescent="0.25">
      <c r="P119" s="96"/>
      <c r="Q119" s="44"/>
      <c r="R119" s="44"/>
      <c r="S119" s="44"/>
      <c r="T119" s="427"/>
      <c r="U119" s="427"/>
      <c r="V119" s="427"/>
      <c r="W119" s="424"/>
      <c r="X119" s="424"/>
      <c r="Y119" s="424"/>
    </row>
    <row r="120" spans="16:25" x14ac:dyDescent="0.25">
      <c r="P120" s="96"/>
      <c r="Q120" s="412"/>
      <c r="R120" s="412"/>
      <c r="S120" s="412"/>
      <c r="T120" s="425"/>
      <c r="U120" s="425"/>
      <c r="V120" s="425"/>
      <c r="W120" s="428"/>
      <c r="X120" s="428"/>
      <c r="Y120" s="428"/>
    </row>
    <row r="121" spans="16:25" x14ac:dyDescent="0.25">
      <c r="P121" s="96"/>
      <c r="Q121" s="412"/>
      <c r="R121" s="412"/>
      <c r="S121" s="412"/>
      <c r="T121" s="425"/>
      <c r="U121" s="425"/>
      <c r="V121" s="425"/>
      <c r="W121" s="428"/>
      <c r="X121" s="428"/>
      <c r="Y121" s="428"/>
    </row>
    <row r="122" spans="16:25" x14ac:dyDescent="0.25">
      <c r="P122" s="96"/>
      <c r="Q122" s="96"/>
      <c r="R122" s="96"/>
      <c r="S122" s="96"/>
      <c r="T122" s="547"/>
      <c r="U122" s="547"/>
      <c r="V122" s="547"/>
      <c r="W122" s="81"/>
      <c r="X122" s="81"/>
      <c r="Y122" s="81"/>
    </row>
    <row r="123" spans="16:25" x14ac:dyDescent="0.25">
      <c r="P123" s="96"/>
      <c r="Q123" s="96"/>
      <c r="R123" s="96"/>
      <c r="S123" s="96"/>
      <c r="T123" s="547"/>
      <c r="U123" s="547"/>
      <c r="V123" s="547"/>
      <c r="W123" s="81"/>
      <c r="X123" s="81"/>
      <c r="Y123" s="81"/>
    </row>
    <row r="124" spans="16:25" x14ac:dyDescent="0.25">
      <c r="P124" s="96"/>
      <c r="Q124" s="96"/>
      <c r="R124" s="96"/>
      <c r="S124" s="96"/>
      <c r="T124" s="547"/>
      <c r="U124" s="547"/>
      <c r="V124" s="547"/>
      <c r="W124" s="81"/>
      <c r="X124" s="81"/>
      <c r="Y124" s="81"/>
    </row>
    <row r="125" spans="16:25" x14ac:dyDescent="0.25">
      <c r="P125" s="96"/>
      <c r="Q125" s="96"/>
      <c r="R125" s="96"/>
      <c r="S125" s="96"/>
      <c r="T125" s="547"/>
      <c r="U125" s="547"/>
      <c r="V125" s="547"/>
      <c r="W125" s="429"/>
      <c r="X125" s="81"/>
      <c r="Y125" s="81"/>
    </row>
    <row r="126" spans="16:25" x14ac:dyDescent="0.25">
      <c r="P126" s="96"/>
      <c r="Q126" s="96"/>
      <c r="R126" s="96"/>
      <c r="S126" s="96"/>
      <c r="T126" s="547"/>
      <c r="U126" s="547"/>
      <c r="V126" s="547"/>
      <c r="W126" s="81"/>
      <c r="X126" s="81"/>
      <c r="Y126" s="81"/>
    </row>
    <row r="127" spans="16:25" x14ac:dyDescent="0.25">
      <c r="P127" s="96"/>
      <c r="Q127" s="96"/>
      <c r="R127" s="96"/>
      <c r="S127" s="96"/>
      <c r="T127" s="547"/>
      <c r="U127" s="547"/>
      <c r="V127" s="547"/>
      <c r="W127" s="81"/>
      <c r="X127" s="81"/>
      <c r="Y127" s="81"/>
    </row>
    <row r="129" spans="16:19" x14ac:dyDescent="0.25">
      <c r="P129" s="546"/>
      <c r="Q129" s="546"/>
      <c r="R129" s="546"/>
      <c r="S129" s="546"/>
    </row>
    <row r="130" spans="16:19" x14ac:dyDescent="0.25">
      <c r="P130" s="21"/>
      <c r="Q130" s="21"/>
      <c r="R130" s="546"/>
      <c r="S130" s="546"/>
    </row>
    <row r="131" spans="16:19" x14ac:dyDescent="0.25">
      <c r="P131" s="96"/>
      <c r="Q131" s="44"/>
      <c r="R131" s="44"/>
      <c r="S131" s="44"/>
    </row>
    <row r="132" spans="16:19" x14ac:dyDescent="0.25">
      <c r="P132" s="96"/>
      <c r="Q132" s="44"/>
      <c r="R132" s="44"/>
      <c r="S132" s="44"/>
    </row>
    <row r="133" spans="16:19" x14ac:dyDescent="0.25">
      <c r="P133" s="96"/>
      <c r="Q133" s="44"/>
      <c r="R133" s="44"/>
      <c r="S133" s="44"/>
    </row>
    <row r="134" spans="16:19" x14ac:dyDescent="0.25">
      <c r="P134" s="96"/>
      <c r="Q134" s="44"/>
      <c r="R134" s="44"/>
      <c r="S134" s="44"/>
    </row>
    <row r="135" spans="16:19" x14ac:dyDescent="0.25">
      <c r="P135" s="96"/>
      <c r="Q135" s="44"/>
      <c r="R135" s="44"/>
      <c r="S135" s="44"/>
    </row>
    <row r="136" spans="16:19" x14ac:dyDescent="0.25">
      <c r="P136" s="96"/>
      <c r="Q136" s="44"/>
      <c r="R136" s="44"/>
      <c r="S136" s="44"/>
    </row>
    <row r="137" spans="16:19" x14ac:dyDescent="0.25">
      <c r="P137" s="96"/>
      <c r="Q137" s="44"/>
      <c r="R137" s="44"/>
      <c r="S137" s="44"/>
    </row>
  </sheetData>
  <sheetProtection algorithmName="SHA-512" hashValue="gHUSUH8U6+dyw5ulzO12XgnJph81rCK6SOOU4Aonm0i9WCVdbwOoQt2kPOix7+F5D5eIlor/f5W0jT3E40+v4Q==" saltValue="UppiW65aqzGmB78ljm+FXA==" spinCount="100000" sheet="1" objects="1" scenarios="1" selectLockedCells="1"/>
  <mergeCells count="153">
    <mergeCell ref="E13:H13"/>
    <mergeCell ref="E26:H26"/>
    <mergeCell ref="E34:H34"/>
    <mergeCell ref="E37:H37"/>
    <mergeCell ref="E43:H43"/>
    <mergeCell ref="E48:H48"/>
    <mergeCell ref="T122:V122"/>
    <mergeCell ref="T123:V123"/>
    <mergeCell ref="T124:V124"/>
    <mergeCell ref="T125:V125"/>
    <mergeCell ref="T126:V126"/>
    <mergeCell ref="T127:V127"/>
    <mergeCell ref="P21:Y21"/>
    <mergeCell ref="P116:Y116"/>
    <mergeCell ref="Q117:S117"/>
    <mergeCell ref="T117:V117"/>
    <mergeCell ref="W117:Y117"/>
    <mergeCell ref="R118:S118"/>
    <mergeCell ref="U118:V118"/>
    <mergeCell ref="X118:Y118"/>
    <mergeCell ref="T44:V44"/>
    <mergeCell ref="T45:V45"/>
    <mergeCell ref="R97:S97"/>
    <mergeCell ref="Q105:S105"/>
    <mergeCell ref="T105:V105"/>
    <mergeCell ref="Q96:S96"/>
    <mergeCell ref="T96:V96"/>
    <mergeCell ref="Q66:S66"/>
    <mergeCell ref="T66:V66"/>
    <mergeCell ref="R67:S67"/>
    <mergeCell ref="A1:C1"/>
    <mergeCell ref="A2:C10"/>
    <mergeCell ref="A11:C20"/>
    <mergeCell ref="A21:C30"/>
    <mergeCell ref="A31:C40"/>
    <mergeCell ref="Q22:S22"/>
    <mergeCell ref="R23:S23"/>
    <mergeCell ref="U23:V23"/>
    <mergeCell ref="Q35:S35"/>
    <mergeCell ref="T35:V35"/>
    <mergeCell ref="T29:V29"/>
    <mergeCell ref="T30:V30"/>
    <mergeCell ref="T31:V31"/>
    <mergeCell ref="T32:V32"/>
    <mergeCell ref="T33:V33"/>
    <mergeCell ref="U36:V36"/>
    <mergeCell ref="R36:S36"/>
    <mergeCell ref="J13:M13"/>
    <mergeCell ref="J21:M21"/>
    <mergeCell ref="J29:M29"/>
    <mergeCell ref="J34:M34"/>
    <mergeCell ref="I1:J1"/>
    <mergeCell ref="I5:J5"/>
    <mergeCell ref="E12:M12"/>
    <mergeCell ref="A41:C50"/>
    <mergeCell ref="A51:C60"/>
    <mergeCell ref="A61:C70"/>
    <mergeCell ref="J62:M62"/>
    <mergeCell ref="J66:M66"/>
    <mergeCell ref="J69:M69"/>
    <mergeCell ref="X50:Y50"/>
    <mergeCell ref="X67:Y67"/>
    <mergeCell ref="X97:Y97"/>
    <mergeCell ref="K87:M87"/>
    <mergeCell ref="K84:N84"/>
    <mergeCell ref="K80:M80"/>
    <mergeCell ref="K81:M81"/>
    <mergeCell ref="K82:M82"/>
    <mergeCell ref="K83:M83"/>
    <mergeCell ref="J73:M73"/>
    <mergeCell ref="E53:H53"/>
    <mergeCell ref="E59:H59"/>
    <mergeCell ref="J43:M43"/>
    <mergeCell ref="J48:M48"/>
    <mergeCell ref="J55:M55"/>
    <mergeCell ref="J59:M59"/>
    <mergeCell ref="X106:Y106"/>
    <mergeCell ref="P95:Y95"/>
    <mergeCell ref="P104:Y104"/>
    <mergeCell ref="W105:Y105"/>
    <mergeCell ref="W66:Y66"/>
    <mergeCell ref="W96:Y96"/>
    <mergeCell ref="U67:V67"/>
    <mergeCell ref="P79:Y79"/>
    <mergeCell ref="Q80:S80"/>
    <mergeCell ref="T80:V80"/>
    <mergeCell ref="W80:Y80"/>
    <mergeCell ref="R81:S81"/>
    <mergeCell ref="U81:V81"/>
    <mergeCell ref="X81:Y81"/>
    <mergeCell ref="T90:V90"/>
    <mergeCell ref="W22:Y22"/>
    <mergeCell ref="P20:Y20"/>
    <mergeCell ref="P34:Y34"/>
    <mergeCell ref="P48:Y48"/>
    <mergeCell ref="P65:Y65"/>
    <mergeCell ref="W35:Y35"/>
    <mergeCell ref="W49:Y49"/>
    <mergeCell ref="T59:V59"/>
    <mergeCell ref="T60:V60"/>
    <mergeCell ref="T61:V61"/>
    <mergeCell ref="T62:V62"/>
    <mergeCell ref="T63:V63"/>
    <mergeCell ref="T64:V64"/>
    <mergeCell ref="T42:V42"/>
    <mergeCell ref="T43:V43"/>
    <mergeCell ref="T22:V22"/>
    <mergeCell ref="Q49:S49"/>
    <mergeCell ref="T49:V49"/>
    <mergeCell ref="R50:S50"/>
    <mergeCell ref="U50:V50"/>
    <mergeCell ref="T46:V46"/>
    <mergeCell ref="T47:V47"/>
    <mergeCell ref="X23:Y23"/>
    <mergeCell ref="X36:Y36"/>
    <mergeCell ref="T115:V115"/>
    <mergeCell ref="T74:V74"/>
    <mergeCell ref="T75:V75"/>
    <mergeCell ref="T76:V76"/>
    <mergeCell ref="T77:V77"/>
    <mergeCell ref="T78:V78"/>
    <mergeCell ref="T100:V100"/>
    <mergeCell ref="T101:V101"/>
    <mergeCell ref="T102:V102"/>
    <mergeCell ref="T103:V103"/>
    <mergeCell ref="T110:V110"/>
    <mergeCell ref="T111:V111"/>
    <mergeCell ref="T112:V112"/>
    <mergeCell ref="T113:V113"/>
    <mergeCell ref="T114:V114"/>
    <mergeCell ref="U97:V97"/>
    <mergeCell ref="U106:V106"/>
    <mergeCell ref="T91:V91"/>
    <mergeCell ref="T92:V92"/>
    <mergeCell ref="T93:V93"/>
    <mergeCell ref="T94:V94"/>
    <mergeCell ref="R130:S130"/>
    <mergeCell ref="P129:S129"/>
    <mergeCell ref="R106:S106"/>
    <mergeCell ref="K95:M95"/>
    <mergeCell ref="K96:M96"/>
    <mergeCell ref="K97:M97"/>
    <mergeCell ref="K98:M98"/>
    <mergeCell ref="K99:M99"/>
    <mergeCell ref="K88:M88"/>
    <mergeCell ref="K89:M89"/>
    <mergeCell ref="K90:N90"/>
    <mergeCell ref="K100:N100"/>
    <mergeCell ref="K105:M105"/>
    <mergeCell ref="K106:M106"/>
    <mergeCell ref="K107:M107"/>
    <mergeCell ref="K108:M108"/>
    <mergeCell ref="K109:M109"/>
  </mergeCells>
  <pageMargins left="0.7" right="0.7" top="0.75" bottom="0.75" header="0.3" footer="0.3"/>
  <pageSetup paperSize="9" scale="10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CX171"/>
  <sheetViews>
    <sheetView topLeftCell="A152" workbookViewId="0">
      <selection activeCell="B171" sqref="B171"/>
    </sheetView>
  </sheetViews>
  <sheetFormatPr defaultRowHeight="15" x14ac:dyDescent="0.25"/>
  <cols>
    <col min="1" max="1" width="23.5703125" style="18" bestFit="1" customWidth="1"/>
    <col min="2" max="2" width="7.5703125" style="18" bestFit="1" customWidth="1"/>
    <col min="3" max="36" width="5.5703125" style="18" bestFit="1" customWidth="1"/>
    <col min="37" max="70" width="6.5703125" style="18" bestFit="1" customWidth="1"/>
    <col min="71" max="96" width="7.5703125" style="18" bestFit="1" customWidth="1"/>
    <col min="97" max="102" width="8.5703125" style="18" bestFit="1" customWidth="1"/>
    <col min="103" max="16384" width="9.140625" style="18"/>
  </cols>
  <sheetData>
    <row r="1" spans="1:102" x14ac:dyDescent="0.25">
      <c r="A1" s="18" t="s">
        <v>78</v>
      </c>
    </row>
    <row r="2" spans="1:102" x14ac:dyDescent="0.25">
      <c r="A2" s="68" t="s">
        <v>47</v>
      </c>
      <c r="B2" s="69">
        <v>0</v>
      </c>
      <c r="C2" s="70">
        <v>1</v>
      </c>
      <c r="D2" s="70">
        <v>2</v>
      </c>
      <c r="E2" s="70">
        <v>3</v>
      </c>
      <c r="F2" s="70">
        <v>4</v>
      </c>
      <c r="G2" s="70">
        <v>5</v>
      </c>
      <c r="H2" s="70">
        <v>6</v>
      </c>
      <c r="I2" s="70">
        <v>7</v>
      </c>
      <c r="J2" s="70">
        <v>8</v>
      </c>
      <c r="K2" s="70">
        <v>9</v>
      </c>
      <c r="L2" s="70">
        <v>10</v>
      </c>
      <c r="M2" s="70">
        <v>11</v>
      </c>
      <c r="N2" s="70">
        <v>12</v>
      </c>
      <c r="O2" s="70">
        <v>13</v>
      </c>
      <c r="P2" s="70">
        <v>14</v>
      </c>
      <c r="Q2" s="70">
        <v>15</v>
      </c>
      <c r="R2" s="70">
        <v>16</v>
      </c>
      <c r="S2" s="70">
        <v>17</v>
      </c>
      <c r="T2" s="70">
        <v>18</v>
      </c>
      <c r="U2" s="70">
        <v>19</v>
      </c>
      <c r="V2" s="70">
        <v>20</v>
      </c>
      <c r="W2" s="70">
        <v>21</v>
      </c>
      <c r="X2" s="70">
        <v>22</v>
      </c>
      <c r="Y2" s="70">
        <v>23</v>
      </c>
      <c r="Z2" s="70">
        <v>24</v>
      </c>
      <c r="AA2" s="70">
        <v>25</v>
      </c>
      <c r="AB2" s="70">
        <v>26</v>
      </c>
      <c r="AC2" s="70">
        <v>27</v>
      </c>
      <c r="AD2" s="70">
        <v>28</v>
      </c>
      <c r="AE2" s="70">
        <v>29</v>
      </c>
      <c r="AF2" s="70">
        <v>30</v>
      </c>
      <c r="AG2" s="70">
        <v>31</v>
      </c>
      <c r="AH2" s="70">
        <v>32</v>
      </c>
      <c r="AI2" s="70">
        <v>33</v>
      </c>
      <c r="AJ2" s="70">
        <v>34</v>
      </c>
      <c r="AK2" s="70">
        <v>35</v>
      </c>
      <c r="AL2" s="70">
        <v>36</v>
      </c>
      <c r="AM2" s="70">
        <v>37</v>
      </c>
      <c r="AN2" s="70">
        <v>38</v>
      </c>
      <c r="AO2" s="70">
        <v>39</v>
      </c>
      <c r="AP2" s="70">
        <v>40</v>
      </c>
      <c r="AQ2" s="70">
        <v>41</v>
      </c>
      <c r="AR2" s="70">
        <v>42</v>
      </c>
      <c r="AS2" s="70">
        <v>43</v>
      </c>
      <c r="AT2" s="70">
        <v>44</v>
      </c>
      <c r="AU2" s="70">
        <v>45</v>
      </c>
      <c r="AV2" s="70">
        <v>46</v>
      </c>
      <c r="AW2" s="70">
        <v>47</v>
      </c>
      <c r="AX2" s="70">
        <v>48</v>
      </c>
      <c r="AY2" s="70">
        <v>49</v>
      </c>
      <c r="AZ2" s="70">
        <v>50</v>
      </c>
      <c r="BA2" s="70">
        <v>51</v>
      </c>
      <c r="BB2" s="70">
        <v>52</v>
      </c>
      <c r="BC2" s="70">
        <v>53</v>
      </c>
      <c r="BD2" s="70">
        <v>54</v>
      </c>
      <c r="BE2" s="70">
        <v>55</v>
      </c>
      <c r="BF2" s="70">
        <v>56</v>
      </c>
      <c r="BG2" s="70">
        <v>57</v>
      </c>
      <c r="BH2" s="70">
        <v>58</v>
      </c>
      <c r="BI2" s="70">
        <v>59</v>
      </c>
      <c r="BJ2" s="70">
        <v>60</v>
      </c>
      <c r="BK2" s="70">
        <v>61</v>
      </c>
      <c r="BL2" s="70">
        <v>62</v>
      </c>
      <c r="BM2" s="70">
        <v>63</v>
      </c>
      <c r="BN2" s="70">
        <v>64</v>
      </c>
      <c r="BO2" s="70">
        <v>65</v>
      </c>
      <c r="BP2" s="70">
        <v>66</v>
      </c>
      <c r="BQ2" s="70">
        <v>67</v>
      </c>
      <c r="BR2" s="70">
        <v>68</v>
      </c>
      <c r="BS2" s="70">
        <v>69</v>
      </c>
      <c r="BT2" s="70">
        <v>70</v>
      </c>
      <c r="BU2" s="70">
        <v>71</v>
      </c>
      <c r="BV2" s="70">
        <v>72</v>
      </c>
      <c r="BW2" s="70">
        <v>73</v>
      </c>
      <c r="BX2" s="70">
        <v>74</v>
      </c>
      <c r="BY2" s="70">
        <v>75</v>
      </c>
      <c r="BZ2" s="70">
        <v>76</v>
      </c>
      <c r="CA2" s="70">
        <v>77</v>
      </c>
      <c r="CB2" s="70">
        <v>78</v>
      </c>
      <c r="CC2" s="70">
        <v>79</v>
      </c>
      <c r="CD2" s="70">
        <v>80</v>
      </c>
      <c r="CE2" s="70">
        <v>81</v>
      </c>
      <c r="CF2" s="70">
        <v>82</v>
      </c>
      <c r="CG2" s="70">
        <v>83</v>
      </c>
      <c r="CH2" s="70">
        <v>84</v>
      </c>
      <c r="CI2" s="70">
        <v>85</v>
      </c>
      <c r="CJ2" s="70">
        <v>86</v>
      </c>
      <c r="CK2" s="70">
        <v>87</v>
      </c>
      <c r="CL2" s="70">
        <v>88</v>
      </c>
      <c r="CM2" s="70">
        <v>89</v>
      </c>
      <c r="CN2" s="70">
        <v>90</v>
      </c>
      <c r="CO2" s="70">
        <v>91</v>
      </c>
      <c r="CP2" s="70">
        <v>92</v>
      </c>
      <c r="CQ2" s="70">
        <v>93</v>
      </c>
      <c r="CR2" s="70">
        <v>94</v>
      </c>
      <c r="CS2" s="70">
        <v>95</v>
      </c>
      <c r="CT2" s="70">
        <v>96</v>
      </c>
      <c r="CU2" s="70">
        <v>97</v>
      </c>
      <c r="CV2" s="70">
        <v>98</v>
      </c>
      <c r="CW2" s="70">
        <v>99</v>
      </c>
      <c r="CX2" s="70">
        <v>100</v>
      </c>
    </row>
    <row r="3" spans="1:102" x14ac:dyDescent="0.25">
      <c r="A3" s="71">
        <v>1981</v>
      </c>
      <c r="B3" s="15">
        <v>1263.9000000000001</v>
      </c>
      <c r="C3" s="15">
        <v>90.4</v>
      </c>
      <c r="D3" s="15">
        <v>46.24</v>
      </c>
      <c r="E3" s="15">
        <v>41.89</v>
      </c>
      <c r="F3" s="15">
        <v>30.73</v>
      </c>
      <c r="G3" s="15">
        <v>25.52</v>
      </c>
      <c r="H3" s="15">
        <v>23.62</v>
      </c>
      <c r="I3" s="15">
        <v>24.41</v>
      </c>
      <c r="J3" s="15">
        <v>19.29</v>
      </c>
      <c r="K3" s="15">
        <v>17.670000000000002</v>
      </c>
      <c r="L3" s="15">
        <v>18.18</v>
      </c>
      <c r="M3" s="15">
        <v>17.38</v>
      </c>
      <c r="N3" s="15">
        <v>20.59</v>
      </c>
      <c r="O3" s="15">
        <v>21.12</v>
      </c>
      <c r="P3" s="15">
        <v>25.65</v>
      </c>
      <c r="Q3" s="15">
        <v>34.979999999999997</v>
      </c>
      <c r="R3" s="15">
        <v>49.64</v>
      </c>
      <c r="S3" s="15">
        <v>57.26</v>
      </c>
      <c r="T3" s="15">
        <v>72.12</v>
      </c>
      <c r="U3" s="15">
        <v>84.13</v>
      </c>
      <c r="V3" s="15">
        <v>80.62</v>
      </c>
      <c r="W3" s="15">
        <v>82.77</v>
      </c>
      <c r="X3" s="15">
        <v>85.55</v>
      </c>
      <c r="Y3" s="15">
        <v>87.02</v>
      </c>
      <c r="Z3" s="15">
        <v>71.58</v>
      </c>
      <c r="AA3" s="15">
        <v>79.47</v>
      </c>
      <c r="AB3" s="15">
        <v>79.11</v>
      </c>
      <c r="AC3" s="15">
        <v>78.77</v>
      </c>
      <c r="AD3" s="15">
        <v>84.34</v>
      </c>
      <c r="AE3" s="15">
        <v>78.459999999999994</v>
      </c>
      <c r="AF3" s="15">
        <v>79.69</v>
      </c>
      <c r="AG3" s="15">
        <v>80.44</v>
      </c>
      <c r="AH3" s="15">
        <v>88.04</v>
      </c>
      <c r="AI3" s="15">
        <v>89.84</v>
      </c>
      <c r="AJ3" s="15">
        <v>94.44</v>
      </c>
      <c r="AK3" s="15">
        <v>100.57</v>
      </c>
      <c r="AL3" s="15">
        <v>108.3</v>
      </c>
      <c r="AM3" s="15">
        <v>117.73</v>
      </c>
      <c r="AN3" s="15">
        <v>128.41</v>
      </c>
      <c r="AO3" s="15">
        <v>140.07</v>
      </c>
      <c r="AP3" s="15">
        <v>151.6</v>
      </c>
      <c r="AQ3" s="15">
        <v>162.03</v>
      </c>
      <c r="AR3" s="15">
        <v>170.77</v>
      </c>
      <c r="AS3" s="15">
        <v>177.34</v>
      </c>
      <c r="AT3" s="15">
        <v>181.47</v>
      </c>
      <c r="AU3" s="15">
        <v>183.17</v>
      </c>
      <c r="AV3" s="15">
        <v>182.8</v>
      </c>
      <c r="AW3" s="15">
        <v>182.14</v>
      </c>
      <c r="AX3" s="15">
        <v>183.48</v>
      </c>
      <c r="AY3" s="15">
        <v>189.42</v>
      </c>
      <c r="AZ3" s="15">
        <v>200.99</v>
      </c>
      <c r="BA3" s="15">
        <v>217.21</v>
      </c>
      <c r="BB3" s="15">
        <v>237.81</v>
      </c>
      <c r="BC3" s="15">
        <v>262.69</v>
      </c>
      <c r="BD3" s="15">
        <v>290.02</v>
      </c>
      <c r="BE3" s="15">
        <v>319.14999999999998</v>
      </c>
      <c r="BF3" s="15">
        <v>349.72</v>
      </c>
      <c r="BG3" s="15">
        <v>381.13</v>
      </c>
      <c r="BH3" s="15">
        <v>414.08</v>
      </c>
      <c r="BI3" s="15">
        <v>448.74</v>
      </c>
      <c r="BJ3" s="15">
        <v>485.97</v>
      </c>
      <c r="BK3" s="15">
        <v>526.58000000000004</v>
      </c>
      <c r="BL3" s="15">
        <v>570.20000000000005</v>
      </c>
      <c r="BM3" s="15">
        <v>616.84</v>
      </c>
      <c r="BN3" s="15">
        <v>667.4</v>
      </c>
      <c r="BO3" s="15">
        <v>721.85</v>
      </c>
      <c r="BP3" s="15">
        <v>781.13</v>
      </c>
      <c r="BQ3" s="15">
        <v>849.51</v>
      </c>
      <c r="BR3" s="15">
        <v>928.11</v>
      </c>
      <c r="BS3" s="15">
        <v>1010.53</v>
      </c>
      <c r="BT3" s="15">
        <v>1093.0899999999999</v>
      </c>
      <c r="BU3" s="15">
        <v>1180.31</v>
      </c>
      <c r="BV3" s="15">
        <v>1279.3</v>
      </c>
      <c r="BW3" s="15">
        <v>1391.08</v>
      </c>
      <c r="BX3" s="15">
        <v>1513.11</v>
      </c>
      <c r="BY3" s="15">
        <v>1646.88</v>
      </c>
      <c r="BZ3" s="15">
        <v>1795.7</v>
      </c>
      <c r="CA3" s="15">
        <v>1961.45</v>
      </c>
      <c r="CB3" s="15">
        <v>2144</v>
      </c>
      <c r="CC3" s="15">
        <v>2344.98</v>
      </c>
      <c r="CD3" s="15">
        <v>2568.39</v>
      </c>
      <c r="CE3" s="15">
        <v>2817.67</v>
      </c>
      <c r="CF3" s="15">
        <v>3095.25</v>
      </c>
      <c r="CG3" s="15">
        <v>3403.87</v>
      </c>
      <c r="CH3" s="15">
        <v>3744.89</v>
      </c>
      <c r="CI3" s="15">
        <v>4120.9799999999996</v>
      </c>
      <c r="CJ3" s="15">
        <v>4534.75</v>
      </c>
      <c r="CK3" s="15">
        <v>4984.6899999999996</v>
      </c>
      <c r="CL3" s="15">
        <v>5467.81</v>
      </c>
      <c r="CM3" s="15">
        <v>5986.36</v>
      </c>
      <c r="CN3" s="15">
        <v>6548.16</v>
      </c>
      <c r="CO3" s="15">
        <v>7151.82</v>
      </c>
      <c r="CP3" s="15">
        <v>7794.49</v>
      </c>
      <c r="CQ3" s="15">
        <v>8479.1</v>
      </c>
      <c r="CR3" s="15">
        <v>9214.2900000000009</v>
      </c>
      <c r="CS3" s="15">
        <v>10014.129999999999</v>
      </c>
      <c r="CT3" s="15">
        <v>10890.51</v>
      </c>
      <c r="CU3" s="15">
        <v>11826.32</v>
      </c>
      <c r="CV3" s="15">
        <v>12810.64</v>
      </c>
      <c r="CW3" s="15">
        <v>13860</v>
      </c>
      <c r="CX3" s="15">
        <v>14977.04</v>
      </c>
    </row>
    <row r="4" spans="1:102" x14ac:dyDescent="0.25">
      <c r="A4" s="71">
        <v>1982</v>
      </c>
      <c r="B4" s="15">
        <v>1233.77</v>
      </c>
      <c r="C4" s="15">
        <v>73.39</v>
      </c>
      <c r="D4" s="15">
        <v>45.19</v>
      </c>
      <c r="E4" s="15">
        <v>40.19</v>
      </c>
      <c r="F4" s="15">
        <v>27.48</v>
      </c>
      <c r="G4" s="15">
        <v>25.01</v>
      </c>
      <c r="H4" s="15">
        <v>22.83</v>
      </c>
      <c r="I4" s="15">
        <v>26.06</v>
      </c>
      <c r="J4" s="15">
        <v>19.53</v>
      </c>
      <c r="K4" s="15">
        <v>20.57</v>
      </c>
      <c r="L4" s="15">
        <v>17.079999999999998</v>
      </c>
      <c r="M4" s="15">
        <v>19.8</v>
      </c>
      <c r="N4" s="15">
        <v>24.14</v>
      </c>
      <c r="O4" s="15">
        <v>21.97</v>
      </c>
      <c r="P4" s="15">
        <v>27.91</v>
      </c>
      <c r="Q4" s="15">
        <v>30.31</v>
      </c>
      <c r="R4" s="15">
        <v>48.7</v>
      </c>
      <c r="S4" s="15">
        <v>62.29</v>
      </c>
      <c r="T4" s="15">
        <v>80.489999999999995</v>
      </c>
      <c r="U4" s="15">
        <v>91.7</v>
      </c>
      <c r="V4" s="15">
        <v>87.86</v>
      </c>
      <c r="W4" s="15">
        <v>83.78</v>
      </c>
      <c r="X4" s="15">
        <v>81.06</v>
      </c>
      <c r="Y4" s="15">
        <v>79.709999999999994</v>
      </c>
      <c r="Z4" s="15">
        <v>73.180000000000007</v>
      </c>
      <c r="AA4" s="15">
        <v>73.33</v>
      </c>
      <c r="AB4" s="15">
        <v>80.97</v>
      </c>
      <c r="AC4" s="15">
        <v>73.16</v>
      </c>
      <c r="AD4" s="15">
        <v>70.22</v>
      </c>
      <c r="AE4" s="15">
        <v>74.94</v>
      </c>
      <c r="AF4" s="15">
        <v>77.53</v>
      </c>
      <c r="AG4" s="15">
        <v>82.33</v>
      </c>
      <c r="AH4" s="15">
        <v>83.87</v>
      </c>
      <c r="AI4" s="15">
        <v>87.56</v>
      </c>
      <c r="AJ4" s="15">
        <v>92.4</v>
      </c>
      <c r="AK4" s="15">
        <v>98.66</v>
      </c>
      <c r="AL4" s="15">
        <v>106.61</v>
      </c>
      <c r="AM4" s="15">
        <v>116.2</v>
      </c>
      <c r="AN4" s="15">
        <v>127.22</v>
      </c>
      <c r="AO4" s="15">
        <v>138.87</v>
      </c>
      <c r="AP4" s="15">
        <v>150.33000000000001</v>
      </c>
      <c r="AQ4" s="15">
        <v>160.79</v>
      </c>
      <c r="AR4" s="15">
        <v>169.38</v>
      </c>
      <c r="AS4" s="15">
        <v>175.61</v>
      </c>
      <c r="AT4" s="15">
        <v>179.46</v>
      </c>
      <c r="AU4" s="15">
        <v>180.87</v>
      </c>
      <c r="AV4" s="15">
        <v>180.31</v>
      </c>
      <c r="AW4" s="15">
        <v>179.57</v>
      </c>
      <c r="AX4" s="15">
        <v>180.97</v>
      </c>
      <c r="AY4" s="15">
        <v>186.7</v>
      </c>
      <c r="AZ4" s="15">
        <v>198.24</v>
      </c>
      <c r="BA4" s="15">
        <v>214.28</v>
      </c>
      <c r="BB4" s="15">
        <v>234.71</v>
      </c>
      <c r="BC4" s="15">
        <v>259.38</v>
      </c>
      <c r="BD4" s="15">
        <v>286.5</v>
      </c>
      <c r="BE4" s="15">
        <v>315.36</v>
      </c>
      <c r="BF4" s="15">
        <v>345.47</v>
      </c>
      <c r="BG4" s="15">
        <v>376.54</v>
      </c>
      <c r="BH4" s="15">
        <v>409.03</v>
      </c>
      <c r="BI4" s="15">
        <v>443.28</v>
      </c>
      <c r="BJ4" s="15">
        <v>480.21</v>
      </c>
      <c r="BK4" s="15">
        <v>520.29</v>
      </c>
      <c r="BL4" s="15">
        <v>563.25</v>
      </c>
      <c r="BM4" s="15">
        <v>609.64</v>
      </c>
      <c r="BN4" s="15">
        <v>659.46</v>
      </c>
      <c r="BO4" s="15">
        <v>713.21</v>
      </c>
      <c r="BP4" s="15">
        <v>771.9</v>
      </c>
      <c r="BQ4" s="15">
        <v>839.51</v>
      </c>
      <c r="BR4" s="15">
        <v>917.19</v>
      </c>
      <c r="BS4" s="15">
        <v>998.57</v>
      </c>
      <c r="BT4" s="15">
        <v>1080.17</v>
      </c>
      <c r="BU4" s="15">
        <v>1166.3</v>
      </c>
      <c r="BV4" s="15">
        <v>1264.3</v>
      </c>
      <c r="BW4" s="15">
        <v>1374.83</v>
      </c>
      <c r="BX4" s="15">
        <v>1495.25</v>
      </c>
      <c r="BY4" s="15">
        <v>1627.5</v>
      </c>
      <c r="BZ4" s="15">
        <v>1774.53</v>
      </c>
      <c r="CA4" s="15">
        <v>1938.27</v>
      </c>
      <c r="CB4" s="15">
        <v>2118.6799999999998</v>
      </c>
      <c r="CC4" s="15">
        <v>2317.34</v>
      </c>
      <c r="CD4" s="15">
        <v>2538.39</v>
      </c>
      <c r="CE4" s="15">
        <v>2784.51</v>
      </c>
      <c r="CF4" s="15">
        <v>3058.78</v>
      </c>
      <c r="CG4" s="15">
        <v>3363.99</v>
      </c>
      <c r="CH4" s="15">
        <v>3700.96</v>
      </c>
      <c r="CI4" s="15">
        <v>4072.77</v>
      </c>
      <c r="CJ4" s="15">
        <v>4481.6499999999996</v>
      </c>
      <c r="CK4" s="15">
        <v>4926.5200000000004</v>
      </c>
      <c r="CL4" s="15">
        <v>5403.9</v>
      </c>
      <c r="CM4" s="15">
        <v>5916.67</v>
      </c>
      <c r="CN4" s="15">
        <v>6471.96</v>
      </c>
      <c r="CO4" s="15">
        <v>7069.1</v>
      </c>
      <c r="CP4" s="15">
        <v>7704.47</v>
      </c>
      <c r="CQ4" s="15">
        <v>8381.64</v>
      </c>
      <c r="CR4" s="15">
        <v>9108.41</v>
      </c>
      <c r="CS4" s="15">
        <v>9900.1200000000008</v>
      </c>
      <c r="CT4" s="15">
        <v>10767.01</v>
      </c>
      <c r="CU4" s="15">
        <v>11693.14</v>
      </c>
      <c r="CV4" s="15">
        <v>12666.18</v>
      </c>
      <c r="CW4" s="15">
        <v>13705.36</v>
      </c>
      <c r="CX4" s="15">
        <v>14810.94</v>
      </c>
    </row>
    <row r="5" spans="1:102" x14ac:dyDescent="0.25">
      <c r="A5" s="71">
        <v>1983</v>
      </c>
      <c r="B5" s="15">
        <v>1140.72</v>
      </c>
      <c r="C5" s="15">
        <v>85.31</v>
      </c>
      <c r="D5" s="15">
        <v>50.89</v>
      </c>
      <c r="E5" s="15">
        <v>37.909999999999997</v>
      </c>
      <c r="F5" s="15">
        <v>28.88</v>
      </c>
      <c r="G5" s="15">
        <v>23.98</v>
      </c>
      <c r="H5" s="15">
        <v>21.22</v>
      </c>
      <c r="I5" s="15">
        <v>16.03</v>
      </c>
      <c r="J5" s="15">
        <v>20.350000000000001</v>
      </c>
      <c r="K5" s="15">
        <v>15.75</v>
      </c>
      <c r="L5" s="15">
        <v>17.14</v>
      </c>
      <c r="M5" s="15">
        <v>17.940000000000001</v>
      </c>
      <c r="N5" s="15">
        <v>19.84</v>
      </c>
      <c r="O5" s="15">
        <v>22</v>
      </c>
      <c r="P5" s="15">
        <v>24.44</v>
      </c>
      <c r="Q5" s="15">
        <v>29.29</v>
      </c>
      <c r="R5" s="15">
        <v>43.33</v>
      </c>
      <c r="S5" s="15">
        <v>58.2</v>
      </c>
      <c r="T5" s="15">
        <v>85.4</v>
      </c>
      <c r="U5" s="15">
        <v>72.91</v>
      </c>
      <c r="V5" s="15">
        <v>84.26</v>
      </c>
      <c r="W5" s="15">
        <v>63.56</v>
      </c>
      <c r="X5" s="15">
        <v>71.489999999999995</v>
      </c>
      <c r="Y5" s="15">
        <v>76.849999999999994</v>
      </c>
      <c r="Z5" s="15">
        <v>78.31</v>
      </c>
      <c r="AA5" s="15">
        <v>71.66</v>
      </c>
      <c r="AB5" s="15">
        <v>79.59</v>
      </c>
      <c r="AC5" s="15">
        <v>68.290000000000006</v>
      </c>
      <c r="AD5" s="15">
        <v>72.650000000000006</v>
      </c>
      <c r="AE5" s="15">
        <v>72.33</v>
      </c>
      <c r="AF5" s="15">
        <v>76.510000000000005</v>
      </c>
      <c r="AG5" s="15">
        <v>78.25</v>
      </c>
      <c r="AH5" s="15">
        <v>81.569999999999993</v>
      </c>
      <c r="AI5" s="15">
        <v>85.42</v>
      </c>
      <c r="AJ5" s="15">
        <v>90.5</v>
      </c>
      <c r="AK5" s="15">
        <v>96.77</v>
      </c>
      <c r="AL5" s="15">
        <v>104.95</v>
      </c>
      <c r="AM5" s="15">
        <v>114.78</v>
      </c>
      <c r="AN5" s="15">
        <v>125.92</v>
      </c>
      <c r="AO5" s="15">
        <v>137.51</v>
      </c>
      <c r="AP5" s="15">
        <v>149.08000000000001</v>
      </c>
      <c r="AQ5" s="15">
        <v>159.41999999999999</v>
      </c>
      <c r="AR5" s="15">
        <v>167.77</v>
      </c>
      <c r="AS5" s="15">
        <v>173.64</v>
      </c>
      <c r="AT5" s="15">
        <v>177.29</v>
      </c>
      <c r="AU5" s="15">
        <v>178.52</v>
      </c>
      <c r="AV5" s="15">
        <v>177.77</v>
      </c>
      <c r="AW5" s="15">
        <v>177.15</v>
      </c>
      <c r="AX5" s="15">
        <v>178.37</v>
      </c>
      <c r="AY5" s="15">
        <v>184.15</v>
      </c>
      <c r="AZ5" s="15">
        <v>195.58</v>
      </c>
      <c r="BA5" s="15">
        <v>211.49</v>
      </c>
      <c r="BB5" s="15">
        <v>231.85</v>
      </c>
      <c r="BC5" s="15">
        <v>256.14999999999998</v>
      </c>
      <c r="BD5" s="15">
        <v>283.06</v>
      </c>
      <c r="BE5" s="15">
        <v>311.54000000000002</v>
      </c>
      <c r="BF5" s="15">
        <v>341.19</v>
      </c>
      <c r="BG5" s="15">
        <v>371.93</v>
      </c>
      <c r="BH5" s="15">
        <v>404.06</v>
      </c>
      <c r="BI5" s="15">
        <v>437.89</v>
      </c>
      <c r="BJ5" s="15">
        <v>474.46</v>
      </c>
      <c r="BK5" s="15">
        <v>513.85</v>
      </c>
      <c r="BL5" s="15">
        <v>556.53</v>
      </c>
      <c r="BM5" s="15">
        <v>602.33000000000004</v>
      </c>
      <c r="BN5" s="15">
        <v>651.4</v>
      </c>
      <c r="BO5" s="15">
        <v>704.63</v>
      </c>
      <c r="BP5" s="15">
        <v>762.58</v>
      </c>
      <c r="BQ5" s="15">
        <v>829.3</v>
      </c>
      <c r="BR5" s="15">
        <v>906.16</v>
      </c>
      <c r="BS5" s="15">
        <v>986.4</v>
      </c>
      <c r="BT5" s="15">
        <v>1067.1300000000001</v>
      </c>
      <c r="BU5" s="15">
        <v>1152.3399999999999</v>
      </c>
      <c r="BV5" s="15">
        <v>1249.22</v>
      </c>
      <c r="BW5" s="15">
        <v>1358.25</v>
      </c>
      <c r="BX5" s="15">
        <v>1477.25</v>
      </c>
      <c r="BY5" s="15">
        <v>1607.96</v>
      </c>
      <c r="BZ5" s="15">
        <v>1753.23</v>
      </c>
      <c r="CA5" s="15">
        <v>1915.08</v>
      </c>
      <c r="CB5" s="15">
        <v>2093.3000000000002</v>
      </c>
      <c r="CC5" s="15">
        <v>2289.8000000000002</v>
      </c>
      <c r="CD5" s="15">
        <v>2508.15</v>
      </c>
      <c r="CE5" s="15">
        <v>2751.16</v>
      </c>
      <c r="CF5" s="15">
        <v>3022.42</v>
      </c>
      <c r="CG5" s="15">
        <v>3324.07</v>
      </c>
      <c r="CH5" s="15">
        <v>3657.26</v>
      </c>
      <c r="CI5" s="15">
        <v>4024.83</v>
      </c>
      <c r="CJ5" s="15">
        <v>4428.96</v>
      </c>
      <c r="CK5" s="15">
        <v>4868.7700000000004</v>
      </c>
      <c r="CL5" s="15">
        <v>5340.74</v>
      </c>
      <c r="CM5" s="15">
        <v>5847.71</v>
      </c>
      <c r="CN5" s="15">
        <v>6396.83</v>
      </c>
      <c r="CO5" s="15">
        <v>6987.04</v>
      </c>
      <c r="CP5" s="15">
        <v>7615.65</v>
      </c>
      <c r="CQ5" s="15">
        <v>8285.2000000000007</v>
      </c>
      <c r="CR5" s="15">
        <v>9003.76</v>
      </c>
      <c r="CS5" s="15">
        <v>9787.1299999999992</v>
      </c>
      <c r="CT5" s="15">
        <v>10644.82</v>
      </c>
      <c r="CU5" s="15">
        <v>11560.51</v>
      </c>
      <c r="CV5" s="15">
        <v>12523.97</v>
      </c>
      <c r="CW5" s="15">
        <v>13552.51</v>
      </c>
      <c r="CX5" s="15">
        <v>14646.7</v>
      </c>
    </row>
    <row r="6" spans="1:102" x14ac:dyDescent="0.25">
      <c r="A6" s="71">
        <v>1984</v>
      </c>
      <c r="B6" s="15">
        <v>1073.48</v>
      </c>
      <c r="C6" s="15">
        <v>76.63</v>
      </c>
      <c r="D6" s="15">
        <v>43.08</v>
      </c>
      <c r="E6" s="15">
        <v>31.56</v>
      </c>
      <c r="F6" s="15">
        <v>26.12</v>
      </c>
      <c r="G6" s="15">
        <v>26.91</v>
      </c>
      <c r="H6" s="15">
        <v>24.43</v>
      </c>
      <c r="I6" s="15">
        <v>20.86</v>
      </c>
      <c r="J6" s="15">
        <v>15.7</v>
      </c>
      <c r="K6" s="15">
        <v>17.32</v>
      </c>
      <c r="L6" s="15">
        <v>12.7</v>
      </c>
      <c r="M6" s="15">
        <v>14.83</v>
      </c>
      <c r="N6" s="15">
        <v>19.37</v>
      </c>
      <c r="O6" s="15">
        <v>19.87</v>
      </c>
      <c r="P6" s="15">
        <v>25.47</v>
      </c>
      <c r="Q6" s="15">
        <v>26.49</v>
      </c>
      <c r="R6" s="15">
        <v>42.81</v>
      </c>
      <c r="S6" s="15">
        <v>59.97</v>
      </c>
      <c r="T6" s="15">
        <v>80.319999999999993</v>
      </c>
      <c r="U6" s="15">
        <v>68.930000000000007</v>
      </c>
      <c r="V6" s="15">
        <v>77.400000000000006</v>
      </c>
      <c r="W6" s="15">
        <v>73.55</v>
      </c>
      <c r="X6" s="15">
        <v>74.91</v>
      </c>
      <c r="Y6" s="15">
        <v>71.680000000000007</v>
      </c>
      <c r="Z6" s="15">
        <v>71.34</v>
      </c>
      <c r="AA6" s="15">
        <v>72.44</v>
      </c>
      <c r="AB6" s="15">
        <v>63.22</v>
      </c>
      <c r="AC6" s="15">
        <v>62.3</v>
      </c>
      <c r="AD6" s="15">
        <v>65.489999999999995</v>
      </c>
      <c r="AE6" s="15">
        <v>70.91</v>
      </c>
      <c r="AF6" s="15">
        <v>72.66</v>
      </c>
      <c r="AG6" s="15">
        <v>75.98</v>
      </c>
      <c r="AH6" s="15">
        <v>79.489999999999995</v>
      </c>
      <c r="AI6" s="15">
        <v>83.53</v>
      </c>
      <c r="AJ6" s="15">
        <v>88.57</v>
      </c>
      <c r="AK6" s="15">
        <v>95.09</v>
      </c>
      <c r="AL6" s="15">
        <v>103.43</v>
      </c>
      <c r="AM6" s="15">
        <v>113.34</v>
      </c>
      <c r="AN6" s="15">
        <v>124.49</v>
      </c>
      <c r="AO6" s="15">
        <v>136.25</v>
      </c>
      <c r="AP6" s="15">
        <v>147.69999999999999</v>
      </c>
      <c r="AQ6" s="15">
        <v>157.94</v>
      </c>
      <c r="AR6" s="15">
        <v>165.96</v>
      </c>
      <c r="AS6" s="15">
        <v>171.82</v>
      </c>
      <c r="AT6" s="15">
        <v>175.25</v>
      </c>
      <c r="AU6" s="15">
        <v>176.16</v>
      </c>
      <c r="AV6" s="15">
        <v>175.48</v>
      </c>
      <c r="AW6" s="15">
        <v>174.8</v>
      </c>
      <c r="AX6" s="15">
        <v>175.96</v>
      </c>
      <c r="AY6" s="15">
        <v>181.65</v>
      </c>
      <c r="AZ6" s="15">
        <v>192.91</v>
      </c>
      <c r="BA6" s="15">
        <v>208.91</v>
      </c>
      <c r="BB6" s="15">
        <v>228.96</v>
      </c>
      <c r="BC6" s="15">
        <v>253.03</v>
      </c>
      <c r="BD6" s="15">
        <v>279.73</v>
      </c>
      <c r="BE6" s="15">
        <v>307.69</v>
      </c>
      <c r="BF6" s="15">
        <v>337.04</v>
      </c>
      <c r="BG6" s="15">
        <v>367.51</v>
      </c>
      <c r="BH6" s="15">
        <v>399.19</v>
      </c>
      <c r="BI6" s="15">
        <v>432.78</v>
      </c>
      <c r="BJ6" s="15">
        <v>468.84</v>
      </c>
      <c r="BK6" s="15">
        <v>507.75</v>
      </c>
      <c r="BL6" s="15">
        <v>549.97</v>
      </c>
      <c r="BM6" s="15">
        <v>595.02</v>
      </c>
      <c r="BN6" s="15">
        <v>643.49</v>
      </c>
      <c r="BO6" s="15">
        <v>696.17</v>
      </c>
      <c r="BP6" s="15">
        <v>753.34</v>
      </c>
      <c r="BQ6" s="15">
        <v>819.25</v>
      </c>
      <c r="BR6" s="15">
        <v>895.27</v>
      </c>
      <c r="BS6" s="15">
        <v>974.47</v>
      </c>
      <c r="BT6" s="15">
        <v>1054.25</v>
      </c>
      <c r="BU6" s="15">
        <v>1138.5899999999999</v>
      </c>
      <c r="BV6" s="15">
        <v>1234.1199999999999</v>
      </c>
      <c r="BW6" s="15">
        <v>1341.87</v>
      </c>
      <c r="BX6" s="15">
        <v>1459.49</v>
      </c>
      <c r="BY6" s="15">
        <v>1588.71</v>
      </c>
      <c r="BZ6" s="15">
        <v>1732.18</v>
      </c>
      <c r="CA6" s="15">
        <v>1892.23</v>
      </c>
      <c r="CB6" s="15">
        <v>2068.34</v>
      </c>
      <c r="CC6" s="15">
        <v>2262.5700000000002</v>
      </c>
      <c r="CD6" s="15">
        <v>2478.08</v>
      </c>
      <c r="CE6" s="15">
        <v>2718.47</v>
      </c>
      <c r="CF6" s="15">
        <v>2986.64</v>
      </c>
      <c r="CG6" s="15">
        <v>3284.76</v>
      </c>
      <c r="CH6" s="15">
        <v>3614.16</v>
      </c>
      <c r="CI6" s="15">
        <v>3977.35</v>
      </c>
      <c r="CJ6" s="15">
        <v>4377.16</v>
      </c>
      <c r="CK6" s="15">
        <v>4811.71</v>
      </c>
      <c r="CL6" s="15">
        <v>5278.55</v>
      </c>
      <c r="CM6" s="15">
        <v>5779.66</v>
      </c>
      <c r="CN6" s="15">
        <v>6322.48</v>
      </c>
      <c r="CO6" s="15">
        <v>6906.13</v>
      </c>
      <c r="CP6" s="15">
        <v>7527.9</v>
      </c>
      <c r="CQ6" s="15">
        <v>8189.66</v>
      </c>
      <c r="CR6" s="15">
        <v>8900.6</v>
      </c>
      <c r="CS6" s="15">
        <v>9675.5499999999993</v>
      </c>
      <c r="CT6" s="15">
        <v>10523.73</v>
      </c>
      <c r="CU6" s="15">
        <v>11429.76</v>
      </c>
      <c r="CV6" s="15">
        <v>12383.42</v>
      </c>
      <c r="CW6" s="15">
        <v>13400.68</v>
      </c>
      <c r="CX6" s="15">
        <v>14483.39</v>
      </c>
    </row>
    <row r="7" spans="1:102" x14ac:dyDescent="0.25">
      <c r="A7" s="71">
        <v>1985</v>
      </c>
      <c r="B7" s="15">
        <v>1041.8900000000001</v>
      </c>
      <c r="C7" s="15">
        <v>67.31</v>
      </c>
      <c r="D7" s="15">
        <v>45.17</v>
      </c>
      <c r="E7" s="15">
        <v>35.619999999999997</v>
      </c>
      <c r="F7" s="15">
        <v>26.89</v>
      </c>
      <c r="G7" s="15">
        <v>23.45</v>
      </c>
      <c r="H7" s="15">
        <v>20.25</v>
      </c>
      <c r="I7" s="15">
        <v>19.45</v>
      </c>
      <c r="J7" s="15">
        <v>17.32</v>
      </c>
      <c r="K7" s="15">
        <v>15.2</v>
      </c>
      <c r="L7" s="15">
        <v>19.61</v>
      </c>
      <c r="M7" s="15">
        <v>16.940000000000001</v>
      </c>
      <c r="N7" s="15">
        <v>19.52</v>
      </c>
      <c r="O7" s="15">
        <v>20.77</v>
      </c>
      <c r="P7" s="15">
        <v>23.05</v>
      </c>
      <c r="Q7" s="15">
        <v>25.4</v>
      </c>
      <c r="R7" s="15">
        <v>34.69</v>
      </c>
      <c r="S7" s="15">
        <v>58.17</v>
      </c>
      <c r="T7" s="15">
        <v>74.22</v>
      </c>
      <c r="U7" s="15">
        <v>64.08</v>
      </c>
      <c r="V7" s="15">
        <v>70.06</v>
      </c>
      <c r="W7" s="15">
        <v>69.06</v>
      </c>
      <c r="X7" s="15">
        <v>70.459999999999994</v>
      </c>
      <c r="Y7" s="15">
        <v>74.849999999999994</v>
      </c>
      <c r="Z7" s="15">
        <v>66.900000000000006</v>
      </c>
      <c r="AA7" s="15">
        <v>60.47</v>
      </c>
      <c r="AB7" s="15">
        <v>58.49</v>
      </c>
      <c r="AC7" s="15">
        <v>57.41</v>
      </c>
      <c r="AD7" s="15">
        <v>65.86</v>
      </c>
      <c r="AE7" s="15">
        <v>67.28</v>
      </c>
      <c r="AF7" s="15">
        <v>70.42</v>
      </c>
      <c r="AG7" s="15">
        <v>73.900000000000006</v>
      </c>
      <c r="AH7" s="15">
        <v>77.52</v>
      </c>
      <c r="AI7" s="15">
        <v>81.73</v>
      </c>
      <c r="AJ7" s="15">
        <v>86.92</v>
      </c>
      <c r="AK7" s="15">
        <v>93.67</v>
      </c>
      <c r="AL7" s="15">
        <v>101.92</v>
      </c>
      <c r="AM7" s="15">
        <v>112</v>
      </c>
      <c r="AN7" s="15">
        <v>123.23</v>
      </c>
      <c r="AO7" s="15">
        <v>134.94999999999999</v>
      </c>
      <c r="AP7" s="15">
        <v>146.32</v>
      </c>
      <c r="AQ7" s="15">
        <v>156.43</v>
      </c>
      <c r="AR7" s="15">
        <v>164.36</v>
      </c>
      <c r="AS7" s="15">
        <v>170.06</v>
      </c>
      <c r="AT7" s="15">
        <v>173.31</v>
      </c>
      <c r="AU7" s="15">
        <v>174.09</v>
      </c>
      <c r="AV7" s="15">
        <v>173.3</v>
      </c>
      <c r="AW7" s="15">
        <v>172.58</v>
      </c>
      <c r="AX7" s="15">
        <v>173.66</v>
      </c>
      <c r="AY7" s="15">
        <v>179.19</v>
      </c>
      <c r="AZ7" s="15">
        <v>190.55</v>
      </c>
      <c r="BA7" s="15">
        <v>206.38</v>
      </c>
      <c r="BB7" s="15">
        <v>226.13</v>
      </c>
      <c r="BC7" s="15">
        <v>250.12</v>
      </c>
      <c r="BD7" s="15">
        <v>276.33999999999997</v>
      </c>
      <c r="BE7" s="15">
        <v>304.08</v>
      </c>
      <c r="BF7" s="15">
        <v>333.08</v>
      </c>
      <c r="BG7" s="15">
        <v>363.18</v>
      </c>
      <c r="BH7" s="15">
        <v>394.51</v>
      </c>
      <c r="BI7" s="15">
        <v>427.79</v>
      </c>
      <c r="BJ7" s="15">
        <v>463.25</v>
      </c>
      <c r="BK7" s="15">
        <v>501.86</v>
      </c>
      <c r="BL7" s="15">
        <v>543.41999999999996</v>
      </c>
      <c r="BM7" s="15">
        <v>587.94000000000005</v>
      </c>
      <c r="BN7" s="15">
        <v>635.91999999999996</v>
      </c>
      <c r="BO7" s="15">
        <v>687.93</v>
      </c>
      <c r="BP7" s="15">
        <v>744.39</v>
      </c>
      <c r="BQ7" s="15">
        <v>809.67</v>
      </c>
      <c r="BR7" s="15">
        <v>884.63</v>
      </c>
      <c r="BS7" s="15">
        <v>962.92</v>
      </c>
      <c r="BT7" s="15">
        <v>1041.79</v>
      </c>
      <c r="BU7" s="15">
        <v>1124.99</v>
      </c>
      <c r="BV7" s="15">
        <v>1219.43</v>
      </c>
      <c r="BW7" s="15">
        <v>1326.02</v>
      </c>
      <c r="BX7" s="15">
        <v>1442.15</v>
      </c>
      <c r="BY7" s="15">
        <v>1569.91</v>
      </c>
      <c r="BZ7" s="15">
        <v>1711.82</v>
      </c>
      <c r="CA7" s="15">
        <v>1869.97</v>
      </c>
      <c r="CB7" s="15">
        <v>2044.05</v>
      </c>
      <c r="CC7" s="15">
        <v>2235.98</v>
      </c>
      <c r="CD7" s="15">
        <v>2448.9</v>
      </c>
      <c r="CE7" s="15">
        <v>2686.67</v>
      </c>
      <c r="CF7" s="15">
        <v>2951.71</v>
      </c>
      <c r="CG7" s="15">
        <v>3246.34</v>
      </c>
      <c r="CH7" s="15">
        <v>3571.81</v>
      </c>
      <c r="CI7" s="15">
        <v>3931</v>
      </c>
      <c r="CJ7" s="15">
        <v>4326.1099999999997</v>
      </c>
      <c r="CK7" s="15">
        <v>4755.6899999999996</v>
      </c>
      <c r="CL7" s="15">
        <v>5217.21</v>
      </c>
      <c r="CM7" s="15">
        <v>5712.49</v>
      </c>
      <c r="CN7" s="15">
        <v>6249.05</v>
      </c>
      <c r="CO7" s="15">
        <v>6826.31</v>
      </c>
      <c r="CP7" s="15">
        <v>7440.89</v>
      </c>
      <c r="CQ7" s="15">
        <v>8095.37</v>
      </c>
      <c r="CR7" s="15">
        <v>8798.94</v>
      </c>
      <c r="CS7" s="15">
        <v>9565.17</v>
      </c>
      <c r="CT7" s="15">
        <v>10404.17</v>
      </c>
      <c r="CU7" s="15">
        <v>11300.82</v>
      </c>
      <c r="CV7" s="15">
        <v>12243.69</v>
      </c>
      <c r="CW7" s="15">
        <v>13250.51</v>
      </c>
      <c r="CX7" s="15">
        <v>14321.31</v>
      </c>
    </row>
    <row r="8" spans="1:102" x14ac:dyDescent="0.25">
      <c r="A8" s="71">
        <v>1986</v>
      </c>
      <c r="B8" s="15">
        <v>1092.6400000000001</v>
      </c>
      <c r="C8" s="15">
        <v>68.91</v>
      </c>
      <c r="D8" s="15">
        <v>43.91</v>
      </c>
      <c r="E8" s="15">
        <v>36.49</v>
      </c>
      <c r="F8" s="15">
        <v>26.05</v>
      </c>
      <c r="G8" s="15">
        <v>23.41</v>
      </c>
      <c r="H8" s="15">
        <v>18.48</v>
      </c>
      <c r="I8" s="15">
        <v>15.1</v>
      </c>
      <c r="J8" s="15">
        <v>18.989999999999998</v>
      </c>
      <c r="K8" s="15">
        <v>17.16</v>
      </c>
      <c r="L8" s="15">
        <v>12.46</v>
      </c>
      <c r="M8" s="15">
        <v>15.82</v>
      </c>
      <c r="N8" s="15">
        <v>16.07</v>
      </c>
      <c r="O8" s="15">
        <v>16.82</v>
      </c>
      <c r="P8" s="15">
        <v>19.649999999999999</v>
      </c>
      <c r="Q8" s="15">
        <v>25.98</v>
      </c>
      <c r="R8" s="15">
        <v>39.840000000000003</v>
      </c>
      <c r="S8" s="15">
        <v>52.77</v>
      </c>
      <c r="T8" s="15">
        <v>68.23</v>
      </c>
      <c r="U8" s="15">
        <v>71.319999999999993</v>
      </c>
      <c r="V8" s="15">
        <v>74.540000000000006</v>
      </c>
      <c r="W8" s="15">
        <v>73.510000000000005</v>
      </c>
      <c r="X8" s="15">
        <v>72.52</v>
      </c>
      <c r="Y8" s="15">
        <v>64.83</v>
      </c>
      <c r="Z8" s="15">
        <v>63.69</v>
      </c>
      <c r="AA8" s="15">
        <v>64.72</v>
      </c>
      <c r="AB8" s="15">
        <v>61.03</v>
      </c>
      <c r="AC8" s="15">
        <v>61.55</v>
      </c>
      <c r="AD8" s="15">
        <v>62.34</v>
      </c>
      <c r="AE8" s="15">
        <v>65.12</v>
      </c>
      <c r="AF8" s="15">
        <v>68.34</v>
      </c>
      <c r="AG8" s="15">
        <v>71.91</v>
      </c>
      <c r="AH8" s="15">
        <v>75.680000000000007</v>
      </c>
      <c r="AI8" s="15">
        <v>80.09</v>
      </c>
      <c r="AJ8" s="15">
        <v>85.47</v>
      </c>
      <c r="AK8" s="15">
        <v>92.22</v>
      </c>
      <c r="AL8" s="15">
        <v>100.62</v>
      </c>
      <c r="AM8" s="15">
        <v>110.78</v>
      </c>
      <c r="AN8" s="15">
        <v>121.98</v>
      </c>
      <c r="AO8" s="15">
        <v>133.57</v>
      </c>
      <c r="AP8" s="15">
        <v>145.02000000000001</v>
      </c>
      <c r="AQ8" s="15">
        <v>154.88999999999999</v>
      </c>
      <c r="AR8" s="15">
        <v>162.78</v>
      </c>
      <c r="AS8" s="15">
        <v>168.27</v>
      </c>
      <c r="AT8" s="15">
        <v>171.39</v>
      </c>
      <c r="AU8" s="15">
        <v>172.05</v>
      </c>
      <c r="AV8" s="15">
        <v>171.22</v>
      </c>
      <c r="AW8" s="15">
        <v>170.38</v>
      </c>
      <c r="AX8" s="15">
        <v>171.42</v>
      </c>
      <c r="AY8" s="15">
        <v>177.05</v>
      </c>
      <c r="AZ8" s="15">
        <v>188.4</v>
      </c>
      <c r="BA8" s="15">
        <v>203.92</v>
      </c>
      <c r="BB8" s="15">
        <v>223.6</v>
      </c>
      <c r="BC8" s="15">
        <v>247.27</v>
      </c>
      <c r="BD8" s="15">
        <v>273.22000000000003</v>
      </c>
      <c r="BE8" s="15">
        <v>300.67</v>
      </c>
      <c r="BF8" s="15">
        <v>329.25</v>
      </c>
      <c r="BG8" s="15">
        <v>358.92</v>
      </c>
      <c r="BH8" s="15">
        <v>390.04</v>
      </c>
      <c r="BI8" s="15">
        <v>422.78</v>
      </c>
      <c r="BJ8" s="15">
        <v>457.8</v>
      </c>
      <c r="BK8" s="15">
        <v>495.94</v>
      </c>
      <c r="BL8" s="15">
        <v>537.05999999999995</v>
      </c>
      <c r="BM8" s="15">
        <v>581.09</v>
      </c>
      <c r="BN8" s="15">
        <v>628.62</v>
      </c>
      <c r="BO8" s="15">
        <v>679.88</v>
      </c>
      <c r="BP8" s="15">
        <v>735.72</v>
      </c>
      <c r="BQ8" s="15">
        <v>800.25</v>
      </c>
      <c r="BR8" s="15">
        <v>874.27</v>
      </c>
      <c r="BS8" s="15">
        <v>951.66</v>
      </c>
      <c r="BT8" s="15">
        <v>1029.6500000000001</v>
      </c>
      <c r="BU8" s="15">
        <v>1111.81</v>
      </c>
      <c r="BV8" s="15">
        <v>1205.3399999999999</v>
      </c>
      <c r="BW8" s="15">
        <v>1310.5899999999999</v>
      </c>
      <c r="BX8" s="15">
        <v>1425.45</v>
      </c>
      <c r="BY8" s="15">
        <v>1551.6</v>
      </c>
      <c r="BZ8" s="15">
        <v>1691.97</v>
      </c>
      <c r="CA8" s="15">
        <v>1848.26</v>
      </c>
      <c r="CB8" s="15">
        <v>2020.46</v>
      </c>
      <c r="CC8" s="15">
        <v>2209.98</v>
      </c>
      <c r="CD8" s="15">
        <v>2420.5500000000002</v>
      </c>
      <c r="CE8" s="15">
        <v>2655.69</v>
      </c>
      <c r="CF8" s="15">
        <v>2917.48</v>
      </c>
      <c r="CG8" s="15">
        <v>3208.76</v>
      </c>
      <c r="CH8" s="15">
        <v>3530.53</v>
      </c>
      <c r="CI8" s="15">
        <v>3885.57</v>
      </c>
      <c r="CJ8" s="15">
        <v>4276.05</v>
      </c>
      <c r="CK8" s="15">
        <v>4700.75</v>
      </c>
      <c r="CL8" s="15">
        <v>5156.8100000000004</v>
      </c>
      <c r="CM8" s="15">
        <v>5646.31</v>
      </c>
      <c r="CN8" s="15">
        <v>6176.83</v>
      </c>
      <c r="CO8" s="15">
        <v>6747.59</v>
      </c>
      <c r="CP8" s="15">
        <v>7355.16</v>
      </c>
      <c r="CQ8" s="15">
        <v>8002.58</v>
      </c>
      <c r="CR8" s="15">
        <v>8698.34</v>
      </c>
      <c r="CS8" s="15">
        <v>9456.1200000000008</v>
      </c>
      <c r="CT8" s="15">
        <v>10286.209999999999</v>
      </c>
      <c r="CU8" s="15">
        <v>11172.92</v>
      </c>
      <c r="CV8" s="15">
        <v>12106.19</v>
      </c>
      <c r="CW8" s="15">
        <v>13102.05</v>
      </c>
      <c r="CX8" s="15">
        <v>14162.11</v>
      </c>
    </row>
    <row r="9" spans="1:102" x14ac:dyDescent="0.25">
      <c r="A9" s="71">
        <v>1987</v>
      </c>
      <c r="B9" s="15">
        <v>1037.56</v>
      </c>
      <c r="C9" s="15">
        <v>72.599999999999994</v>
      </c>
      <c r="D9" s="15">
        <v>47.03</v>
      </c>
      <c r="E9" s="15">
        <v>32.5</v>
      </c>
      <c r="F9" s="15">
        <v>21.89</v>
      </c>
      <c r="G9" s="15">
        <v>21.9</v>
      </c>
      <c r="H9" s="15">
        <v>17</v>
      </c>
      <c r="I9" s="15">
        <v>16.22</v>
      </c>
      <c r="J9" s="15">
        <v>16.2</v>
      </c>
      <c r="K9" s="15">
        <v>16.18</v>
      </c>
      <c r="L9" s="15">
        <v>16.93</v>
      </c>
      <c r="M9" s="15">
        <v>17.16</v>
      </c>
      <c r="N9" s="15">
        <v>17.899999999999999</v>
      </c>
      <c r="O9" s="15">
        <v>16.09</v>
      </c>
      <c r="P9" s="15">
        <v>24.21</v>
      </c>
      <c r="Q9" s="15">
        <v>28.9</v>
      </c>
      <c r="R9" s="15">
        <v>38.659999999999997</v>
      </c>
      <c r="S9" s="15">
        <v>52.76</v>
      </c>
      <c r="T9" s="15">
        <v>67.959999999999994</v>
      </c>
      <c r="U9" s="15">
        <v>70.900000000000006</v>
      </c>
      <c r="V9" s="15">
        <v>68.53</v>
      </c>
      <c r="W9" s="15">
        <v>63.54</v>
      </c>
      <c r="X9" s="15">
        <v>60.06</v>
      </c>
      <c r="Y9" s="15">
        <v>68.02</v>
      </c>
      <c r="Z9" s="15">
        <v>51.39</v>
      </c>
      <c r="AA9" s="15">
        <v>57.87</v>
      </c>
      <c r="AB9" s="15">
        <v>58.21</v>
      </c>
      <c r="AC9" s="15">
        <v>58.07</v>
      </c>
      <c r="AD9" s="15">
        <v>60.22</v>
      </c>
      <c r="AE9" s="15">
        <v>63.1</v>
      </c>
      <c r="AF9" s="15">
        <v>66.47</v>
      </c>
      <c r="AG9" s="15">
        <v>70.099999999999994</v>
      </c>
      <c r="AH9" s="15">
        <v>74.03</v>
      </c>
      <c r="AI9" s="15">
        <v>78.540000000000006</v>
      </c>
      <c r="AJ9" s="15">
        <v>84</v>
      </c>
      <c r="AK9" s="15">
        <v>90.78</v>
      </c>
      <c r="AL9" s="15">
        <v>99.37</v>
      </c>
      <c r="AM9" s="15">
        <v>109.48</v>
      </c>
      <c r="AN9" s="15">
        <v>120.67</v>
      </c>
      <c r="AO9" s="15">
        <v>132.30000000000001</v>
      </c>
      <c r="AP9" s="15">
        <v>143.58000000000001</v>
      </c>
      <c r="AQ9" s="15">
        <v>153.38</v>
      </c>
      <c r="AR9" s="15">
        <v>161.15</v>
      </c>
      <c r="AS9" s="15">
        <v>166.49</v>
      </c>
      <c r="AT9" s="15">
        <v>169.52</v>
      </c>
      <c r="AU9" s="15">
        <v>170.05</v>
      </c>
      <c r="AV9" s="15">
        <v>169.15</v>
      </c>
      <c r="AW9" s="15">
        <v>168.26</v>
      </c>
      <c r="AX9" s="15">
        <v>169.37</v>
      </c>
      <c r="AY9" s="15">
        <v>175.1</v>
      </c>
      <c r="AZ9" s="15">
        <v>186.24</v>
      </c>
      <c r="BA9" s="15">
        <v>201.62</v>
      </c>
      <c r="BB9" s="15">
        <v>221.1</v>
      </c>
      <c r="BC9" s="15">
        <v>244.41</v>
      </c>
      <c r="BD9" s="15">
        <v>270.16000000000003</v>
      </c>
      <c r="BE9" s="15">
        <v>297.10000000000002</v>
      </c>
      <c r="BF9" s="15">
        <v>325.33</v>
      </c>
      <c r="BG9" s="15">
        <v>354.81</v>
      </c>
      <c r="BH9" s="15">
        <v>385.56</v>
      </c>
      <c r="BI9" s="15">
        <v>417.81</v>
      </c>
      <c r="BJ9" s="15">
        <v>452.48</v>
      </c>
      <c r="BK9" s="15">
        <v>490.02</v>
      </c>
      <c r="BL9" s="15">
        <v>530.74</v>
      </c>
      <c r="BM9" s="15">
        <v>574.41</v>
      </c>
      <c r="BN9" s="15">
        <v>621.19000000000005</v>
      </c>
      <c r="BO9" s="15">
        <v>671.96</v>
      </c>
      <c r="BP9" s="15">
        <v>727.15</v>
      </c>
      <c r="BQ9" s="15">
        <v>790.8</v>
      </c>
      <c r="BR9" s="15">
        <v>864.13</v>
      </c>
      <c r="BS9" s="15">
        <v>940.64</v>
      </c>
      <c r="BT9" s="15">
        <v>1017.76</v>
      </c>
      <c r="BU9" s="15">
        <v>1098.96</v>
      </c>
      <c r="BV9" s="15">
        <v>1191.45</v>
      </c>
      <c r="BW9" s="15">
        <v>1295.3599999999999</v>
      </c>
      <c r="BX9" s="15">
        <v>1408.88</v>
      </c>
      <c r="BY9" s="15">
        <v>1533.55</v>
      </c>
      <c r="BZ9" s="15">
        <v>1672.32</v>
      </c>
      <c r="CA9" s="15">
        <v>1826.78</v>
      </c>
      <c r="CB9" s="15">
        <v>1996.9</v>
      </c>
      <c r="CC9" s="15">
        <v>2184.1999999999998</v>
      </c>
      <c r="CD9" s="15">
        <v>2392.58</v>
      </c>
      <c r="CE9" s="15">
        <v>2624.76</v>
      </c>
      <c r="CF9" s="15">
        <v>2883.63</v>
      </c>
      <c r="CG9" s="15">
        <v>3171.61</v>
      </c>
      <c r="CH9" s="15">
        <v>3489.6</v>
      </c>
      <c r="CI9" s="15">
        <v>3840.5</v>
      </c>
      <c r="CJ9" s="15">
        <v>4226.68</v>
      </c>
      <c r="CK9" s="15">
        <v>4646.41</v>
      </c>
      <c r="CL9" s="15">
        <v>5097.04</v>
      </c>
      <c r="CM9" s="15">
        <v>5580.93</v>
      </c>
      <c r="CN9" s="15">
        <v>6105.4</v>
      </c>
      <c r="CO9" s="15">
        <v>6669.8</v>
      </c>
      <c r="CP9" s="15">
        <v>7270.48</v>
      </c>
      <c r="CQ9" s="15">
        <v>7910.75</v>
      </c>
      <c r="CR9" s="15">
        <v>8598.7800000000007</v>
      </c>
      <c r="CS9" s="15">
        <v>9348.23</v>
      </c>
      <c r="CT9" s="15">
        <v>10169.25</v>
      </c>
      <c r="CU9" s="15">
        <v>11046.65</v>
      </c>
      <c r="CV9" s="15">
        <v>11970.12</v>
      </c>
      <c r="CW9" s="15">
        <v>12955.99</v>
      </c>
      <c r="CX9" s="15">
        <v>14005.21</v>
      </c>
    </row>
    <row r="10" spans="1:102" x14ac:dyDescent="0.25">
      <c r="A10" s="71">
        <v>1988</v>
      </c>
      <c r="B10" s="15">
        <v>1018.5</v>
      </c>
      <c r="C10" s="15">
        <v>69.48</v>
      </c>
      <c r="D10" s="15">
        <v>44.25</v>
      </c>
      <c r="E10" s="15">
        <v>33.29</v>
      </c>
      <c r="F10" s="15">
        <v>25.49</v>
      </c>
      <c r="G10" s="15">
        <v>17.41</v>
      </c>
      <c r="H10" s="15">
        <v>16.899999999999999</v>
      </c>
      <c r="I10" s="15">
        <v>14.11</v>
      </c>
      <c r="J10" s="15">
        <v>11.83</v>
      </c>
      <c r="K10" s="15">
        <v>13.84</v>
      </c>
      <c r="L10" s="15">
        <v>14.34</v>
      </c>
      <c r="M10" s="15">
        <v>14.31</v>
      </c>
      <c r="N10" s="15">
        <v>16.05</v>
      </c>
      <c r="O10" s="15">
        <v>20.29</v>
      </c>
      <c r="P10" s="15">
        <v>23.15</v>
      </c>
      <c r="Q10" s="15">
        <v>24.92</v>
      </c>
      <c r="R10" s="15">
        <v>32.97</v>
      </c>
      <c r="S10" s="15">
        <v>60.33</v>
      </c>
      <c r="T10" s="15">
        <v>61.64</v>
      </c>
      <c r="U10" s="15">
        <v>65.430000000000007</v>
      </c>
      <c r="V10" s="15">
        <v>75.47</v>
      </c>
      <c r="W10" s="15">
        <v>66.63</v>
      </c>
      <c r="X10" s="15">
        <v>59.66</v>
      </c>
      <c r="Y10" s="15">
        <v>50.92</v>
      </c>
      <c r="Z10" s="15">
        <v>49.24</v>
      </c>
      <c r="AA10" s="15">
        <v>56.06</v>
      </c>
      <c r="AB10" s="15">
        <v>54.77</v>
      </c>
      <c r="AC10" s="15">
        <v>55.99</v>
      </c>
      <c r="AD10" s="15">
        <v>58.27</v>
      </c>
      <c r="AE10" s="15">
        <v>61.37</v>
      </c>
      <c r="AF10" s="15">
        <v>64.760000000000005</v>
      </c>
      <c r="AG10" s="15">
        <v>68.540000000000006</v>
      </c>
      <c r="AH10" s="15">
        <v>72.45</v>
      </c>
      <c r="AI10" s="15">
        <v>77.040000000000006</v>
      </c>
      <c r="AJ10" s="15">
        <v>82.56</v>
      </c>
      <c r="AK10" s="15">
        <v>89.48</v>
      </c>
      <c r="AL10" s="15">
        <v>97.96</v>
      </c>
      <c r="AM10" s="15">
        <v>108.19</v>
      </c>
      <c r="AN10" s="15">
        <v>119.38</v>
      </c>
      <c r="AO10" s="15">
        <v>131</v>
      </c>
      <c r="AP10" s="15">
        <v>142.15</v>
      </c>
      <c r="AQ10" s="15">
        <v>151.91</v>
      </c>
      <c r="AR10" s="15">
        <v>159.52000000000001</v>
      </c>
      <c r="AS10" s="15">
        <v>164.58</v>
      </c>
      <c r="AT10" s="15">
        <v>167.59</v>
      </c>
      <c r="AU10" s="15">
        <v>168.05</v>
      </c>
      <c r="AV10" s="15">
        <v>167.11</v>
      </c>
      <c r="AW10" s="15">
        <v>166.24</v>
      </c>
      <c r="AX10" s="15">
        <v>167.39</v>
      </c>
      <c r="AY10" s="15">
        <v>173.08</v>
      </c>
      <c r="AZ10" s="15">
        <v>184.01</v>
      </c>
      <c r="BA10" s="15">
        <v>199.25</v>
      </c>
      <c r="BB10" s="15">
        <v>218.41</v>
      </c>
      <c r="BC10" s="15">
        <v>241.47</v>
      </c>
      <c r="BD10" s="15">
        <v>266.87</v>
      </c>
      <c r="BE10" s="15">
        <v>293.43</v>
      </c>
      <c r="BF10" s="15">
        <v>321.42</v>
      </c>
      <c r="BG10" s="15">
        <v>350.63</v>
      </c>
      <c r="BH10" s="15">
        <v>380.98</v>
      </c>
      <c r="BI10" s="15">
        <v>412.84</v>
      </c>
      <c r="BJ10" s="15">
        <v>446.97</v>
      </c>
      <c r="BK10" s="15">
        <v>484.14</v>
      </c>
      <c r="BL10" s="15">
        <v>524.41999999999996</v>
      </c>
      <c r="BM10" s="15">
        <v>567.59</v>
      </c>
      <c r="BN10" s="15">
        <v>613.74</v>
      </c>
      <c r="BO10" s="15">
        <v>664.04</v>
      </c>
      <c r="BP10" s="15">
        <v>718.54</v>
      </c>
      <c r="BQ10" s="15">
        <v>781.52</v>
      </c>
      <c r="BR10" s="15">
        <v>853.9</v>
      </c>
      <c r="BS10" s="15">
        <v>929.67</v>
      </c>
      <c r="BT10" s="15">
        <v>1005.74</v>
      </c>
      <c r="BU10" s="15">
        <v>1086.05</v>
      </c>
      <c r="BV10" s="15">
        <v>1177.29</v>
      </c>
      <c r="BW10" s="15">
        <v>1280.1300000000001</v>
      </c>
      <c r="BX10" s="15">
        <v>1392.24</v>
      </c>
      <c r="BY10" s="15">
        <v>1515.45</v>
      </c>
      <c r="BZ10" s="15">
        <v>1652.64</v>
      </c>
      <c r="CA10" s="15">
        <v>1805.24</v>
      </c>
      <c r="CB10" s="15">
        <v>1973.19</v>
      </c>
      <c r="CC10" s="15">
        <v>2158.4899999999998</v>
      </c>
      <c r="CD10" s="15">
        <v>2364.39</v>
      </c>
      <c r="CE10" s="15">
        <v>2593.6999999999998</v>
      </c>
      <c r="CF10" s="15">
        <v>2849.8</v>
      </c>
      <c r="CG10" s="15">
        <v>3134.52</v>
      </c>
      <c r="CH10" s="15">
        <v>3448.64</v>
      </c>
      <c r="CI10" s="15">
        <v>3795.73</v>
      </c>
      <c r="CJ10" s="15">
        <v>4177.26</v>
      </c>
      <c r="CK10" s="15">
        <v>4592.29</v>
      </c>
      <c r="CL10" s="15">
        <v>5037.7299999999996</v>
      </c>
      <c r="CM10" s="15">
        <v>5515.97</v>
      </c>
      <c r="CN10" s="15">
        <v>6034.63</v>
      </c>
      <c r="CO10" s="15">
        <v>6592.58</v>
      </c>
      <c r="CP10" s="15">
        <v>7186.77</v>
      </c>
      <c r="CQ10" s="15">
        <v>7819.78</v>
      </c>
      <c r="CR10" s="15">
        <v>8500.19</v>
      </c>
      <c r="CS10" s="15">
        <v>9241.17</v>
      </c>
      <c r="CT10" s="15">
        <v>10053.52</v>
      </c>
      <c r="CU10" s="15">
        <v>10921.6</v>
      </c>
      <c r="CV10" s="15">
        <v>11835.29</v>
      </c>
      <c r="CW10" s="15">
        <v>12811.05</v>
      </c>
      <c r="CX10" s="15">
        <v>13849.29</v>
      </c>
    </row>
    <row r="11" spans="1:102" x14ac:dyDescent="0.25">
      <c r="A11" s="71">
        <v>1989</v>
      </c>
      <c r="B11" s="15">
        <v>954.6</v>
      </c>
      <c r="C11" s="15">
        <v>69.45</v>
      </c>
      <c r="D11" s="15">
        <v>38.659999999999997</v>
      </c>
      <c r="E11" s="15">
        <v>26.7</v>
      </c>
      <c r="F11" s="15">
        <v>23.15</v>
      </c>
      <c r="G11" s="15">
        <v>13.72</v>
      </c>
      <c r="H11" s="15">
        <v>17.260000000000002</v>
      </c>
      <c r="I11" s="15">
        <v>10.14</v>
      </c>
      <c r="J11" s="15">
        <v>17.73</v>
      </c>
      <c r="K11" s="15">
        <v>13.16</v>
      </c>
      <c r="L11" s="15">
        <v>13.14</v>
      </c>
      <c r="M11" s="15">
        <v>11.86</v>
      </c>
      <c r="N11" s="15">
        <v>19.16</v>
      </c>
      <c r="O11" s="15">
        <v>20.97</v>
      </c>
      <c r="P11" s="15">
        <v>21.23</v>
      </c>
      <c r="Q11" s="15">
        <v>29.05</v>
      </c>
      <c r="R11" s="15">
        <v>35.01</v>
      </c>
      <c r="S11" s="15">
        <v>57.98</v>
      </c>
      <c r="T11" s="15">
        <v>63.3</v>
      </c>
      <c r="U11" s="15">
        <v>64.13</v>
      </c>
      <c r="V11" s="15">
        <v>64.239999999999995</v>
      </c>
      <c r="W11" s="15">
        <v>67.37</v>
      </c>
      <c r="X11" s="15">
        <v>58.19</v>
      </c>
      <c r="Y11" s="15">
        <v>57.87</v>
      </c>
      <c r="Z11" s="15">
        <v>55.3</v>
      </c>
      <c r="AA11" s="15">
        <v>52.72</v>
      </c>
      <c r="AB11" s="15">
        <v>52.69</v>
      </c>
      <c r="AC11" s="15">
        <v>54.05</v>
      </c>
      <c r="AD11" s="15">
        <v>56.55</v>
      </c>
      <c r="AE11" s="15">
        <v>59.66</v>
      </c>
      <c r="AF11" s="15">
        <v>63.09</v>
      </c>
      <c r="AG11" s="15">
        <v>67.010000000000005</v>
      </c>
      <c r="AH11" s="15">
        <v>70.89</v>
      </c>
      <c r="AI11" s="15">
        <v>75.59</v>
      </c>
      <c r="AJ11" s="15">
        <v>81.150000000000006</v>
      </c>
      <c r="AK11" s="15">
        <v>88.06</v>
      </c>
      <c r="AL11" s="15">
        <v>96.6</v>
      </c>
      <c r="AM11" s="15">
        <v>106.92</v>
      </c>
      <c r="AN11" s="15">
        <v>118.02</v>
      </c>
      <c r="AO11" s="15">
        <v>129.63</v>
      </c>
      <c r="AP11" s="15">
        <v>140.69</v>
      </c>
      <c r="AQ11" s="15">
        <v>150.34</v>
      </c>
      <c r="AR11" s="15">
        <v>157.61000000000001</v>
      </c>
      <c r="AS11" s="15">
        <v>162.71</v>
      </c>
      <c r="AT11" s="15">
        <v>165.49</v>
      </c>
      <c r="AU11" s="15">
        <v>165.94</v>
      </c>
      <c r="AV11" s="15">
        <v>165.14</v>
      </c>
      <c r="AW11" s="15">
        <v>164.23</v>
      </c>
      <c r="AX11" s="15">
        <v>165.41</v>
      </c>
      <c r="AY11" s="15">
        <v>170.85</v>
      </c>
      <c r="AZ11" s="15">
        <v>181.73</v>
      </c>
      <c r="BA11" s="15">
        <v>196.84</v>
      </c>
      <c r="BB11" s="15">
        <v>215.7</v>
      </c>
      <c r="BC11" s="15">
        <v>238.61</v>
      </c>
      <c r="BD11" s="15">
        <v>263.52</v>
      </c>
      <c r="BE11" s="15">
        <v>289.79000000000002</v>
      </c>
      <c r="BF11" s="15">
        <v>317.56</v>
      </c>
      <c r="BG11" s="15">
        <v>346.48</v>
      </c>
      <c r="BH11" s="15">
        <v>376.22</v>
      </c>
      <c r="BI11" s="15">
        <v>407.83</v>
      </c>
      <c r="BJ11" s="15">
        <v>441.49</v>
      </c>
      <c r="BK11" s="15">
        <v>478.34</v>
      </c>
      <c r="BL11" s="15">
        <v>518.16</v>
      </c>
      <c r="BM11" s="15">
        <v>560.71</v>
      </c>
      <c r="BN11" s="15">
        <v>606.39</v>
      </c>
      <c r="BO11" s="15">
        <v>656.16</v>
      </c>
      <c r="BP11" s="15">
        <v>709.88</v>
      </c>
      <c r="BQ11" s="15">
        <v>772.16</v>
      </c>
      <c r="BR11" s="15">
        <v>843.66</v>
      </c>
      <c r="BS11" s="15">
        <v>918.43</v>
      </c>
      <c r="BT11" s="15">
        <v>993.61</v>
      </c>
      <c r="BU11" s="15">
        <v>1072.97</v>
      </c>
      <c r="BV11" s="15">
        <v>1163.19</v>
      </c>
      <c r="BW11" s="15">
        <v>1264.8499999999999</v>
      </c>
      <c r="BX11" s="15">
        <v>1375.56</v>
      </c>
      <c r="BY11" s="15">
        <v>1497.41</v>
      </c>
      <c r="BZ11" s="15">
        <v>1632.97</v>
      </c>
      <c r="CA11" s="15">
        <v>1783.62</v>
      </c>
      <c r="CB11" s="15">
        <v>1949.71</v>
      </c>
      <c r="CC11" s="15">
        <v>2132.87</v>
      </c>
      <c r="CD11" s="15">
        <v>2336.0700000000002</v>
      </c>
      <c r="CE11" s="15">
        <v>2563.0100000000002</v>
      </c>
      <c r="CF11" s="15">
        <v>2816.12</v>
      </c>
      <c r="CG11" s="15">
        <v>3097.39</v>
      </c>
      <c r="CH11" s="15">
        <v>3407.98</v>
      </c>
      <c r="CI11" s="15">
        <v>3750.97</v>
      </c>
      <c r="CJ11" s="15">
        <v>4128.1499999999996</v>
      </c>
      <c r="CK11" s="15">
        <v>4538.59</v>
      </c>
      <c r="CL11" s="15">
        <v>4978.9799999999996</v>
      </c>
      <c r="CM11" s="15">
        <v>5451.71</v>
      </c>
      <c r="CN11" s="15">
        <v>5964.64</v>
      </c>
      <c r="CO11" s="15">
        <v>6516.54</v>
      </c>
      <c r="CP11" s="15">
        <v>7103.84</v>
      </c>
      <c r="CQ11" s="15">
        <v>7729.88</v>
      </c>
      <c r="CR11" s="15">
        <v>8402.52</v>
      </c>
      <c r="CS11" s="15">
        <v>9135.44</v>
      </c>
      <c r="CT11" s="15">
        <v>9938.82</v>
      </c>
      <c r="CU11" s="15">
        <v>10797.27</v>
      </c>
      <c r="CV11" s="15">
        <v>11701.67</v>
      </c>
      <c r="CW11" s="15">
        <v>12666.89</v>
      </c>
      <c r="CX11" s="15">
        <v>13694.47</v>
      </c>
    </row>
    <row r="12" spans="1:102" x14ac:dyDescent="0.25">
      <c r="A12" s="71">
        <v>1990</v>
      </c>
      <c r="B12" s="15">
        <v>888.54</v>
      </c>
      <c r="C12" s="15">
        <v>67.56</v>
      </c>
      <c r="D12" s="15">
        <v>34.18</v>
      </c>
      <c r="E12" s="15">
        <v>27.34</v>
      </c>
      <c r="F12" s="15">
        <v>21.5</v>
      </c>
      <c r="G12" s="15">
        <v>17.68</v>
      </c>
      <c r="H12" s="15">
        <v>13.1</v>
      </c>
      <c r="I12" s="15">
        <v>12.59</v>
      </c>
      <c r="J12" s="15">
        <v>13.58</v>
      </c>
      <c r="K12" s="15">
        <v>12.3</v>
      </c>
      <c r="L12" s="15">
        <v>13.79</v>
      </c>
      <c r="M12" s="15">
        <v>13.76</v>
      </c>
      <c r="N12" s="15">
        <v>11.76</v>
      </c>
      <c r="O12" s="15">
        <v>18.739999999999998</v>
      </c>
      <c r="P12" s="15">
        <v>20.010000000000002</v>
      </c>
      <c r="Q12" s="15">
        <v>23.44</v>
      </c>
      <c r="R12" s="15">
        <v>35.4</v>
      </c>
      <c r="S12" s="15">
        <v>49.35</v>
      </c>
      <c r="T12" s="15">
        <v>59.16</v>
      </c>
      <c r="U12" s="15">
        <v>63.85</v>
      </c>
      <c r="V12" s="15">
        <v>55.21</v>
      </c>
      <c r="W12" s="15">
        <v>54.68</v>
      </c>
      <c r="X12" s="15">
        <v>49.76</v>
      </c>
      <c r="Y12" s="15">
        <v>55.64</v>
      </c>
      <c r="Z12" s="15">
        <v>52.08</v>
      </c>
      <c r="AA12" s="15">
        <v>50.67</v>
      </c>
      <c r="AB12" s="15">
        <v>50.81</v>
      </c>
      <c r="AC12" s="15">
        <v>52.36</v>
      </c>
      <c r="AD12" s="15">
        <v>54.94</v>
      </c>
      <c r="AE12" s="15">
        <v>57.89</v>
      </c>
      <c r="AF12" s="15">
        <v>61.67</v>
      </c>
      <c r="AG12" s="15">
        <v>65.44</v>
      </c>
      <c r="AH12" s="15">
        <v>69.55</v>
      </c>
      <c r="AI12" s="15">
        <v>74.14</v>
      </c>
      <c r="AJ12" s="15">
        <v>79.83</v>
      </c>
      <c r="AK12" s="15">
        <v>86.74</v>
      </c>
      <c r="AL12" s="15">
        <v>95.45</v>
      </c>
      <c r="AM12" s="15">
        <v>105.58</v>
      </c>
      <c r="AN12" s="15">
        <v>116.73</v>
      </c>
      <c r="AO12" s="15">
        <v>128.22999999999999</v>
      </c>
      <c r="AP12" s="15">
        <v>139.18</v>
      </c>
      <c r="AQ12" s="15">
        <v>148.69999999999999</v>
      </c>
      <c r="AR12" s="15">
        <v>155.85</v>
      </c>
      <c r="AS12" s="15">
        <v>160.87</v>
      </c>
      <c r="AT12" s="15">
        <v>163.47999999999999</v>
      </c>
      <c r="AU12" s="15">
        <v>164.03</v>
      </c>
      <c r="AV12" s="15">
        <v>163.19</v>
      </c>
      <c r="AW12" s="15">
        <v>162.26</v>
      </c>
      <c r="AX12" s="15">
        <v>163.35</v>
      </c>
      <c r="AY12" s="15">
        <v>168.73</v>
      </c>
      <c r="AZ12" s="15">
        <v>179.58</v>
      </c>
      <c r="BA12" s="15">
        <v>194.43</v>
      </c>
      <c r="BB12" s="15">
        <v>213.18</v>
      </c>
      <c r="BC12" s="15">
        <v>235.6</v>
      </c>
      <c r="BD12" s="15">
        <v>260.24</v>
      </c>
      <c r="BE12" s="15">
        <v>286.37</v>
      </c>
      <c r="BF12" s="15">
        <v>313.91000000000003</v>
      </c>
      <c r="BG12" s="15">
        <v>342.19</v>
      </c>
      <c r="BH12" s="15">
        <v>371.71</v>
      </c>
      <c r="BI12" s="15">
        <v>402.83</v>
      </c>
      <c r="BJ12" s="15">
        <v>436.29</v>
      </c>
      <c r="BK12" s="15">
        <v>472.64</v>
      </c>
      <c r="BL12" s="15">
        <v>512.01</v>
      </c>
      <c r="BM12" s="15">
        <v>554.02</v>
      </c>
      <c r="BN12" s="15">
        <v>599.21</v>
      </c>
      <c r="BO12" s="15">
        <v>648.24</v>
      </c>
      <c r="BP12" s="15">
        <v>701.44</v>
      </c>
      <c r="BQ12" s="15">
        <v>762.89</v>
      </c>
      <c r="BR12" s="15">
        <v>833.63</v>
      </c>
      <c r="BS12" s="15">
        <v>907.36</v>
      </c>
      <c r="BT12" s="15">
        <v>981.73</v>
      </c>
      <c r="BU12" s="15">
        <v>1060.2</v>
      </c>
      <c r="BV12" s="15">
        <v>1149.5</v>
      </c>
      <c r="BW12" s="15">
        <v>1249.78</v>
      </c>
      <c r="BX12" s="15">
        <v>1359.18</v>
      </c>
      <c r="BY12" s="15">
        <v>1479.65</v>
      </c>
      <c r="BZ12" s="15">
        <v>1613.61</v>
      </c>
      <c r="CA12" s="15">
        <v>1762.47</v>
      </c>
      <c r="CB12" s="15">
        <v>1926.73</v>
      </c>
      <c r="CC12" s="15">
        <v>2107.58</v>
      </c>
      <c r="CD12" s="15">
        <v>2308.4899999999998</v>
      </c>
      <c r="CE12" s="15">
        <v>2532.86</v>
      </c>
      <c r="CF12" s="15">
        <v>2782.98</v>
      </c>
      <c r="CG12" s="15">
        <v>3060.94</v>
      </c>
      <c r="CH12" s="15">
        <v>3367.98</v>
      </c>
      <c r="CI12" s="15">
        <v>3706.9</v>
      </c>
      <c r="CJ12" s="15">
        <v>4080.05</v>
      </c>
      <c r="CK12" s="15">
        <v>4485.74</v>
      </c>
      <c r="CL12" s="15">
        <v>4921.04</v>
      </c>
      <c r="CM12" s="15">
        <v>5388.47</v>
      </c>
      <c r="CN12" s="15">
        <v>5895.54</v>
      </c>
      <c r="CO12" s="15">
        <v>6441.15</v>
      </c>
      <c r="CP12" s="15">
        <v>7021.94</v>
      </c>
      <c r="CQ12" s="15">
        <v>7640.85</v>
      </c>
      <c r="CR12" s="15">
        <v>8306.0499999999993</v>
      </c>
      <c r="CS12" s="15">
        <v>9030.75</v>
      </c>
      <c r="CT12" s="15">
        <v>9825.39</v>
      </c>
      <c r="CU12" s="15">
        <v>10674.81</v>
      </c>
      <c r="CV12" s="15">
        <v>11569.19</v>
      </c>
      <c r="CW12" s="15">
        <v>12524.56</v>
      </c>
      <c r="CX12" s="15">
        <v>13541.5</v>
      </c>
    </row>
    <row r="13" spans="1:102" x14ac:dyDescent="0.25">
      <c r="A13" s="71">
        <v>1991</v>
      </c>
      <c r="B13" s="15">
        <v>829.53</v>
      </c>
      <c r="C13" s="15">
        <v>54.36</v>
      </c>
      <c r="D13" s="15">
        <v>39.43</v>
      </c>
      <c r="E13" s="15">
        <v>21.95</v>
      </c>
      <c r="F13" s="15">
        <v>15.45</v>
      </c>
      <c r="G13" s="15">
        <v>16.41</v>
      </c>
      <c r="H13" s="15">
        <v>14.91</v>
      </c>
      <c r="I13" s="15">
        <v>17.63</v>
      </c>
      <c r="J13" s="15">
        <v>12.14</v>
      </c>
      <c r="K13" s="15">
        <v>13.12</v>
      </c>
      <c r="L13" s="15">
        <v>15.34</v>
      </c>
      <c r="M13" s="15">
        <v>16.04</v>
      </c>
      <c r="N13" s="15">
        <v>15.51</v>
      </c>
      <c r="O13" s="15">
        <v>14.03</v>
      </c>
      <c r="P13" s="15">
        <v>18.920000000000002</v>
      </c>
      <c r="Q13" s="15">
        <v>25.15</v>
      </c>
      <c r="R13" s="15">
        <v>34.43</v>
      </c>
      <c r="S13" s="15">
        <v>52.5</v>
      </c>
      <c r="T13" s="15">
        <v>56.64</v>
      </c>
      <c r="U13" s="15">
        <v>46.64</v>
      </c>
      <c r="V13" s="15">
        <v>53.03</v>
      </c>
      <c r="W13" s="15">
        <v>45.29</v>
      </c>
      <c r="X13" s="15">
        <v>56.13</v>
      </c>
      <c r="Y13" s="15">
        <v>52.37</v>
      </c>
      <c r="Z13" s="15">
        <v>50.15</v>
      </c>
      <c r="AA13" s="15">
        <v>48.82</v>
      </c>
      <c r="AB13" s="15">
        <v>49.23</v>
      </c>
      <c r="AC13" s="15">
        <v>50.88</v>
      </c>
      <c r="AD13" s="15">
        <v>53.28</v>
      </c>
      <c r="AE13" s="15">
        <v>56.46</v>
      </c>
      <c r="AF13" s="15">
        <v>60.35</v>
      </c>
      <c r="AG13" s="15">
        <v>64.180000000000007</v>
      </c>
      <c r="AH13" s="15">
        <v>68.33</v>
      </c>
      <c r="AI13" s="15">
        <v>72.959999999999994</v>
      </c>
      <c r="AJ13" s="15">
        <v>78.67</v>
      </c>
      <c r="AK13" s="15">
        <v>85.69</v>
      </c>
      <c r="AL13" s="15">
        <v>94.27</v>
      </c>
      <c r="AM13" s="15">
        <v>104.41</v>
      </c>
      <c r="AN13" s="15">
        <v>115.51</v>
      </c>
      <c r="AO13" s="15">
        <v>126.96</v>
      </c>
      <c r="AP13" s="15">
        <v>137.77000000000001</v>
      </c>
      <c r="AQ13" s="15">
        <v>147.12</v>
      </c>
      <c r="AR13" s="15">
        <v>154.29</v>
      </c>
      <c r="AS13" s="15">
        <v>159.1</v>
      </c>
      <c r="AT13" s="15">
        <v>161.69</v>
      </c>
      <c r="AU13" s="15">
        <v>162.22999999999999</v>
      </c>
      <c r="AV13" s="15">
        <v>161.25</v>
      </c>
      <c r="AW13" s="15">
        <v>160.38</v>
      </c>
      <c r="AX13" s="15">
        <v>161.44</v>
      </c>
      <c r="AY13" s="15">
        <v>166.75</v>
      </c>
      <c r="AZ13" s="15">
        <v>177.42</v>
      </c>
      <c r="BA13" s="15">
        <v>192.11</v>
      </c>
      <c r="BB13" s="15">
        <v>210.62</v>
      </c>
      <c r="BC13" s="15">
        <v>232.71</v>
      </c>
      <c r="BD13" s="15">
        <v>257.26</v>
      </c>
      <c r="BE13" s="15">
        <v>283.18</v>
      </c>
      <c r="BF13" s="15">
        <v>310.22000000000003</v>
      </c>
      <c r="BG13" s="15">
        <v>338.15</v>
      </c>
      <c r="BH13" s="15">
        <v>367.4</v>
      </c>
      <c r="BI13" s="15">
        <v>398.12</v>
      </c>
      <c r="BJ13" s="15">
        <v>431.19</v>
      </c>
      <c r="BK13" s="15">
        <v>467.16</v>
      </c>
      <c r="BL13" s="15">
        <v>505.99</v>
      </c>
      <c r="BM13" s="15">
        <v>547.49</v>
      </c>
      <c r="BN13" s="15">
        <v>592.16</v>
      </c>
      <c r="BO13" s="15">
        <v>640.61</v>
      </c>
      <c r="BP13" s="15">
        <v>693.21</v>
      </c>
      <c r="BQ13" s="15">
        <v>754.12</v>
      </c>
      <c r="BR13" s="15">
        <v>823.81</v>
      </c>
      <c r="BS13" s="15">
        <v>896.76</v>
      </c>
      <c r="BT13" s="15">
        <v>970.32</v>
      </c>
      <c r="BU13" s="15">
        <v>1047.93</v>
      </c>
      <c r="BV13" s="15">
        <v>1136.08</v>
      </c>
      <c r="BW13" s="15">
        <v>1235.1300000000001</v>
      </c>
      <c r="BX13" s="15">
        <v>1343.43</v>
      </c>
      <c r="BY13" s="15">
        <v>1462.47</v>
      </c>
      <c r="BZ13" s="15">
        <v>1594.68</v>
      </c>
      <c r="CA13" s="15">
        <v>1741.96</v>
      </c>
      <c r="CB13" s="15">
        <v>1904.3</v>
      </c>
      <c r="CC13" s="15">
        <v>2082.9499999999998</v>
      </c>
      <c r="CD13" s="15">
        <v>2281.81</v>
      </c>
      <c r="CE13" s="15">
        <v>2503.39</v>
      </c>
      <c r="CF13" s="15">
        <v>2750.69</v>
      </c>
      <c r="CG13" s="15">
        <v>3025.42</v>
      </c>
      <c r="CH13" s="15">
        <v>3328.86</v>
      </c>
      <c r="CI13" s="15">
        <v>3664.04</v>
      </c>
      <c r="CJ13" s="15">
        <v>4032.84</v>
      </c>
      <c r="CK13" s="15">
        <v>4433.75</v>
      </c>
      <c r="CL13" s="15">
        <v>4864.07</v>
      </c>
      <c r="CM13" s="15">
        <v>5326.01</v>
      </c>
      <c r="CN13" s="15">
        <v>5827.2</v>
      </c>
      <c r="CO13" s="15">
        <v>6366.67</v>
      </c>
      <c r="CP13" s="15">
        <v>6940.89</v>
      </c>
      <c r="CQ13" s="15">
        <v>7552.8</v>
      </c>
      <c r="CR13" s="15">
        <v>8210.76</v>
      </c>
      <c r="CS13" s="15">
        <v>8927.6299999999992</v>
      </c>
      <c r="CT13" s="15">
        <v>9713.51</v>
      </c>
      <c r="CU13" s="15">
        <v>10554.01</v>
      </c>
      <c r="CV13" s="15">
        <v>11438.54</v>
      </c>
      <c r="CW13" s="15">
        <v>12384.1</v>
      </c>
      <c r="CX13" s="15">
        <v>13390.18</v>
      </c>
    </row>
    <row r="14" spans="1:102" x14ac:dyDescent="0.25">
      <c r="A14" s="71">
        <v>1992</v>
      </c>
      <c r="B14" s="15">
        <v>734.39</v>
      </c>
      <c r="C14" s="15">
        <v>55.9</v>
      </c>
      <c r="D14" s="15">
        <v>31.36</v>
      </c>
      <c r="E14" s="15">
        <v>25.09</v>
      </c>
      <c r="F14" s="15">
        <v>21.8</v>
      </c>
      <c r="G14" s="15">
        <v>16.54</v>
      </c>
      <c r="H14" s="15">
        <v>14.53</v>
      </c>
      <c r="I14" s="15">
        <v>13.53</v>
      </c>
      <c r="J14" s="15">
        <v>11.78</v>
      </c>
      <c r="K14" s="15">
        <v>8.7799999999999994</v>
      </c>
      <c r="L14" s="15">
        <v>10.01</v>
      </c>
      <c r="M14" s="15">
        <v>12.48</v>
      </c>
      <c r="N14" s="15">
        <v>15.22</v>
      </c>
      <c r="O14" s="15">
        <v>17.690000000000001</v>
      </c>
      <c r="P14" s="15">
        <v>19.43</v>
      </c>
      <c r="Q14" s="15">
        <v>28</v>
      </c>
      <c r="R14" s="15">
        <v>36.450000000000003</v>
      </c>
      <c r="S14" s="15">
        <v>49.83</v>
      </c>
      <c r="T14" s="15">
        <v>53.94</v>
      </c>
      <c r="U14" s="15">
        <v>49.22</v>
      </c>
      <c r="V14" s="15">
        <v>47.78</v>
      </c>
      <c r="W14" s="15">
        <v>55.48</v>
      </c>
      <c r="X14" s="15">
        <v>52.74</v>
      </c>
      <c r="Y14" s="15">
        <v>50.48</v>
      </c>
      <c r="Z14" s="15">
        <v>48.36</v>
      </c>
      <c r="AA14" s="15">
        <v>47.25</v>
      </c>
      <c r="AB14" s="15">
        <v>47.73</v>
      </c>
      <c r="AC14" s="15">
        <v>49.3</v>
      </c>
      <c r="AD14" s="15">
        <v>51.85</v>
      </c>
      <c r="AE14" s="15">
        <v>55.22</v>
      </c>
      <c r="AF14" s="15">
        <v>58.94</v>
      </c>
      <c r="AG14" s="15">
        <v>62.97</v>
      </c>
      <c r="AH14" s="15">
        <v>67.11</v>
      </c>
      <c r="AI14" s="15">
        <v>71.84</v>
      </c>
      <c r="AJ14" s="15">
        <v>77.489999999999995</v>
      </c>
      <c r="AK14" s="15">
        <v>84.46</v>
      </c>
      <c r="AL14" s="15">
        <v>93.07</v>
      </c>
      <c r="AM14" s="15">
        <v>103.2</v>
      </c>
      <c r="AN14" s="15">
        <v>114.24</v>
      </c>
      <c r="AO14" s="15">
        <v>125.59</v>
      </c>
      <c r="AP14" s="15">
        <v>136.24</v>
      </c>
      <c r="AQ14" s="15">
        <v>145.47999999999999</v>
      </c>
      <c r="AR14" s="15">
        <v>152.44999999999999</v>
      </c>
      <c r="AS14" s="15">
        <v>157.31</v>
      </c>
      <c r="AT14" s="15">
        <v>159.82</v>
      </c>
      <c r="AU14" s="15">
        <v>160.27000000000001</v>
      </c>
      <c r="AV14" s="15">
        <v>159.27000000000001</v>
      </c>
      <c r="AW14" s="15">
        <v>158.43</v>
      </c>
      <c r="AX14" s="15">
        <v>159.47999999999999</v>
      </c>
      <c r="AY14" s="15">
        <v>164.76</v>
      </c>
      <c r="AZ14" s="15">
        <v>175.28</v>
      </c>
      <c r="BA14" s="15">
        <v>189.87</v>
      </c>
      <c r="BB14" s="15">
        <v>208.09</v>
      </c>
      <c r="BC14" s="15">
        <v>230.15</v>
      </c>
      <c r="BD14" s="15">
        <v>254.33</v>
      </c>
      <c r="BE14" s="15">
        <v>279.82</v>
      </c>
      <c r="BF14" s="15">
        <v>306.49</v>
      </c>
      <c r="BG14" s="15">
        <v>334.27</v>
      </c>
      <c r="BH14" s="15">
        <v>362.99</v>
      </c>
      <c r="BI14" s="15">
        <v>393.51</v>
      </c>
      <c r="BJ14" s="15">
        <v>426.1</v>
      </c>
      <c r="BK14" s="15">
        <v>461.56</v>
      </c>
      <c r="BL14" s="15">
        <v>499.95</v>
      </c>
      <c r="BM14" s="15">
        <v>540.9</v>
      </c>
      <c r="BN14" s="15">
        <v>585.13</v>
      </c>
      <c r="BO14" s="15">
        <v>633.04</v>
      </c>
      <c r="BP14" s="15">
        <v>685.05</v>
      </c>
      <c r="BQ14" s="15">
        <v>745.15</v>
      </c>
      <c r="BR14" s="15">
        <v>814.1</v>
      </c>
      <c r="BS14" s="15">
        <v>886.25</v>
      </c>
      <c r="BT14" s="15">
        <v>959.02</v>
      </c>
      <c r="BU14" s="15">
        <v>1035.5999999999999</v>
      </c>
      <c r="BV14" s="15">
        <v>1122.6400000000001</v>
      </c>
      <c r="BW14" s="15">
        <v>1220.6099999999999</v>
      </c>
      <c r="BX14" s="15">
        <v>1327.68</v>
      </c>
      <c r="BY14" s="15">
        <v>1445.25</v>
      </c>
      <c r="BZ14" s="15">
        <v>1575.82</v>
      </c>
      <c r="CA14" s="15">
        <v>1721.51</v>
      </c>
      <c r="CB14" s="15">
        <v>1881.89</v>
      </c>
      <c r="CC14" s="15">
        <v>2058.59</v>
      </c>
      <c r="CD14" s="15">
        <v>2255.04</v>
      </c>
      <c r="CE14" s="15">
        <v>2474.0700000000002</v>
      </c>
      <c r="CF14" s="15">
        <v>2718.47</v>
      </c>
      <c r="CG14" s="15">
        <v>2990</v>
      </c>
      <c r="CH14" s="15">
        <v>3290.02</v>
      </c>
      <c r="CI14" s="15">
        <v>3621.35</v>
      </c>
      <c r="CJ14" s="15">
        <v>3985.78</v>
      </c>
      <c r="CK14" s="15">
        <v>4382.12</v>
      </c>
      <c r="CL14" s="15">
        <v>4807.3599999999997</v>
      </c>
      <c r="CM14" s="15">
        <v>5264.05</v>
      </c>
      <c r="CN14" s="15">
        <v>5759.59</v>
      </c>
      <c r="CO14" s="15">
        <v>6292.98</v>
      </c>
      <c r="CP14" s="15">
        <v>6860.49</v>
      </c>
      <c r="CQ14" s="15">
        <v>7465.8</v>
      </c>
      <c r="CR14" s="15">
        <v>8116.25</v>
      </c>
      <c r="CS14" s="15">
        <v>8825.3700000000008</v>
      </c>
      <c r="CT14" s="15">
        <v>9602.7999999999993</v>
      </c>
      <c r="CU14" s="15">
        <v>10434.07</v>
      </c>
      <c r="CV14" s="15">
        <v>11309.28</v>
      </c>
      <c r="CW14" s="15">
        <v>12244.31</v>
      </c>
      <c r="CX14" s="15">
        <v>13240.28</v>
      </c>
    </row>
    <row r="15" spans="1:102" x14ac:dyDescent="0.25">
      <c r="A15" s="71">
        <v>1993</v>
      </c>
      <c r="B15" s="15">
        <v>706.03</v>
      </c>
      <c r="C15" s="15">
        <v>53.35</v>
      </c>
      <c r="D15" s="15">
        <v>29.64</v>
      </c>
      <c r="E15" s="15">
        <v>21.9</v>
      </c>
      <c r="F15" s="15">
        <v>20.100000000000001</v>
      </c>
      <c r="G15" s="15">
        <v>15.97</v>
      </c>
      <c r="H15" s="15">
        <v>13.64</v>
      </c>
      <c r="I15" s="15">
        <v>12.62</v>
      </c>
      <c r="J15" s="15">
        <v>11.34</v>
      </c>
      <c r="K15" s="15">
        <v>13.63</v>
      </c>
      <c r="L15" s="15">
        <v>9.2200000000000006</v>
      </c>
      <c r="M15" s="15">
        <v>9.6999999999999993</v>
      </c>
      <c r="N15" s="15">
        <v>16.8</v>
      </c>
      <c r="O15" s="15">
        <v>19.32</v>
      </c>
      <c r="P15" s="15">
        <v>20.53</v>
      </c>
      <c r="Q15" s="15">
        <v>21.17</v>
      </c>
      <c r="R15" s="15">
        <v>28.72</v>
      </c>
      <c r="S15" s="15">
        <v>38.799999999999997</v>
      </c>
      <c r="T15" s="15">
        <v>40.590000000000003</v>
      </c>
      <c r="U15" s="15">
        <v>45.91</v>
      </c>
      <c r="V15" s="15">
        <v>52.53</v>
      </c>
      <c r="W15" s="15">
        <v>52.19</v>
      </c>
      <c r="X15" s="15">
        <v>50.79</v>
      </c>
      <c r="Y15" s="15">
        <v>48.68</v>
      </c>
      <c r="Z15" s="15">
        <v>46.62</v>
      </c>
      <c r="AA15" s="15">
        <v>45.75</v>
      </c>
      <c r="AB15" s="15">
        <v>46.21</v>
      </c>
      <c r="AC15" s="15">
        <v>47.88</v>
      </c>
      <c r="AD15" s="15">
        <v>50.52</v>
      </c>
      <c r="AE15" s="15">
        <v>53.9</v>
      </c>
      <c r="AF15" s="15">
        <v>57.62</v>
      </c>
      <c r="AG15" s="15">
        <v>61.64</v>
      </c>
      <c r="AH15" s="15">
        <v>65.900000000000006</v>
      </c>
      <c r="AI15" s="15">
        <v>70.53</v>
      </c>
      <c r="AJ15" s="15">
        <v>76.260000000000005</v>
      </c>
      <c r="AK15" s="15">
        <v>83.16</v>
      </c>
      <c r="AL15" s="15">
        <v>91.83</v>
      </c>
      <c r="AM15" s="15">
        <v>101.87</v>
      </c>
      <c r="AN15" s="15">
        <v>112.85</v>
      </c>
      <c r="AO15" s="15">
        <v>124.02</v>
      </c>
      <c r="AP15" s="15">
        <v>134.63999999999999</v>
      </c>
      <c r="AQ15" s="15">
        <v>143.66</v>
      </c>
      <c r="AR15" s="15">
        <v>150.6</v>
      </c>
      <c r="AS15" s="15">
        <v>155.29</v>
      </c>
      <c r="AT15" s="15">
        <v>157.81</v>
      </c>
      <c r="AU15" s="15">
        <v>158.19</v>
      </c>
      <c r="AV15" s="15">
        <v>157.22999999999999</v>
      </c>
      <c r="AW15" s="15">
        <v>156.41999999999999</v>
      </c>
      <c r="AX15" s="15">
        <v>157.54</v>
      </c>
      <c r="AY15" s="15">
        <v>162.79</v>
      </c>
      <c r="AZ15" s="15">
        <v>173.18</v>
      </c>
      <c r="BA15" s="15">
        <v>187.58</v>
      </c>
      <c r="BB15" s="15">
        <v>205.71</v>
      </c>
      <c r="BC15" s="15">
        <v>227.39</v>
      </c>
      <c r="BD15" s="15">
        <v>251.15</v>
      </c>
      <c r="BE15" s="15">
        <v>276.33999999999997</v>
      </c>
      <c r="BF15" s="15">
        <v>302.72000000000003</v>
      </c>
      <c r="BG15" s="15">
        <v>330.09</v>
      </c>
      <c r="BH15" s="15">
        <v>358.64</v>
      </c>
      <c r="BI15" s="15">
        <v>388.77</v>
      </c>
      <c r="BJ15" s="15">
        <v>420.94</v>
      </c>
      <c r="BK15" s="15">
        <v>455.89</v>
      </c>
      <c r="BL15" s="15">
        <v>493.78</v>
      </c>
      <c r="BM15" s="15">
        <v>534.29999999999995</v>
      </c>
      <c r="BN15" s="15">
        <v>578.07000000000005</v>
      </c>
      <c r="BO15" s="15">
        <v>625.29999999999995</v>
      </c>
      <c r="BP15" s="15">
        <v>676.72</v>
      </c>
      <c r="BQ15" s="15">
        <v>736.07</v>
      </c>
      <c r="BR15" s="15">
        <v>804.25</v>
      </c>
      <c r="BS15" s="15">
        <v>875.6</v>
      </c>
      <c r="BT15" s="15">
        <v>947.39</v>
      </c>
      <c r="BU15" s="15">
        <v>1023.03</v>
      </c>
      <c r="BV15" s="15">
        <v>1108.97</v>
      </c>
      <c r="BW15" s="15">
        <v>1205.8900000000001</v>
      </c>
      <c r="BX15" s="15">
        <v>1311.66</v>
      </c>
      <c r="BY15" s="15">
        <v>1427.6</v>
      </c>
      <c r="BZ15" s="15">
        <v>1556.75</v>
      </c>
      <c r="CA15" s="15">
        <v>1700.74</v>
      </c>
      <c r="CB15" s="15">
        <v>1859.13</v>
      </c>
      <c r="CC15" s="15">
        <v>2033.84</v>
      </c>
      <c r="CD15" s="15">
        <v>2227.84</v>
      </c>
      <c r="CE15" s="15">
        <v>2444.36</v>
      </c>
      <c r="CF15" s="15">
        <v>2685.86</v>
      </c>
      <c r="CG15" s="15">
        <v>2954.29</v>
      </c>
      <c r="CH15" s="15">
        <v>3250.89</v>
      </c>
      <c r="CI15" s="15">
        <v>3578.39</v>
      </c>
      <c r="CJ15" s="15">
        <v>3938.56</v>
      </c>
      <c r="CK15" s="15">
        <v>4330.37</v>
      </c>
      <c r="CL15" s="15">
        <v>4750.8100000000004</v>
      </c>
      <c r="CM15" s="15">
        <v>5202.62</v>
      </c>
      <c r="CN15" s="15">
        <v>5692.42</v>
      </c>
      <c r="CO15" s="15">
        <v>6219.66</v>
      </c>
      <c r="CP15" s="15">
        <v>6780.76</v>
      </c>
      <c r="CQ15" s="15">
        <v>7379.4</v>
      </c>
      <c r="CR15" s="15">
        <v>8022.54</v>
      </c>
      <c r="CS15" s="15">
        <v>8723.86</v>
      </c>
      <c r="CT15" s="15">
        <v>9492.9599999999991</v>
      </c>
      <c r="CU15" s="15">
        <v>10315.17</v>
      </c>
      <c r="CV15" s="15">
        <v>11180.96</v>
      </c>
      <c r="CW15" s="15">
        <v>12106.07</v>
      </c>
      <c r="CX15" s="15">
        <v>13091.43</v>
      </c>
    </row>
    <row r="16" spans="1:102" x14ac:dyDescent="0.25">
      <c r="A16" s="71">
        <v>1994</v>
      </c>
      <c r="B16" s="15">
        <v>683.74</v>
      </c>
      <c r="C16" s="15">
        <v>46.01</v>
      </c>
      <c r="D16" s="15">
        <v>31.23</v>
      </c>
      <c r="E16" s="15">
        <v>21.11</v>
      </c>
      <c r="F16" s="15">
        <v>18.52</v>
      </c>
      <c r="G16" s="15">
        <v>14.34</v>
      </c>
      <c r="H16" s="15">
        <v>17.25</v>
      </c>
      <c r="I16" s="15">
        <v>13.37</v>
      </c>
      <c r="J16" s="15">
        <v>9.65</v>
      </c>
      <c r="K16" s="15">
        <v>11.69</v>
      </c>
      <c r="L16" s="15">
        <v>11.89</v>
      </c>
      <c r="M16" s="15">
        <v>13.88</v>
      </c>
      <c r="N16" s="15">
        <v>11.79</v>
      </c>
      <c r="O16" s="15">
        <v>16.329999999999998</v>
      </c>
      <c r="P16" s="15">
        <v>14.24</v>
      </c>
      <c r="Q16" s="15">
        <v>25.7</v>
      </c>
      <c r="R16" s="15">
        <v>22.93</v>
      </c>
      <c r="S16" s="15">
        <v>35.14</v>
      </c>
      <c r="T16" s="15">
        <v>50.98</v>
      </c>
      <c r="U16" s="15">
        <v>46.94</v>
      </c>
      <c r="V16" s="15">
        <v>49.49</v>
      </c>
      <c r="W16" s="15">
        <v>50.17</v>
      </c>
      <c r="X16" s="15">
        <v>48.9</v>
      </c>
      <c r="Y16" s="15">
        <v>46.81</v>
      </c>
      <c r="Z16" s="15">
        <v>45.05</v>
      </c>
      <c r="AA16" s="15">
        <v>44.31</v>
      </c>
      <c r="AB16" s="15">
        <v>44.79</v>
      </c>
      <c r="AC16" s="15">
        <v>46.65</v>
      </c>
      <c r="AD16" s="15">
        <v>49.31</v>
      </c>
      <c r="AE16" s="15">
        <v>52.61</v>
      </c>
      <c r="AF16" s="15">
        <v>56.37</v>
      </c>
      <c r="AG16" s="15">
        <v>60.43</v>
      </c>
      <c r="AH16" s="15">
        <v>64.66</v>
      </c>
      <c r="AI16" s="15">
        <v>69.38</v>
      </c>
      <c r="AJ16" s="15">
        <v>75.05</v>
      </c>
      <c r="AK16" s="15">
        <v>82.01</v>
      </c>
      <c r="AL16" s="15">
        <v>90.63</v>
      </c>
      <c r="AM16" s="15">
        <v>100.54</v>
      </c>
      <c r="AN16" s="15">
        <v>111.43</v>
      </c>
      <c r="AO16" s="15">
        <v>122.58</v>
      </c>
      <c r="AP16" s="15">
        <v>133.06</v>
      </c>
      <c r="AQ16" s="15">
        <v>141.93</v>
      </c>
      <c r="AR16" s="15">
        <v>148.76</v>
      </c>
      <c r="AS16" s="15">
        <v>153.32</v>
      </c>
      <c r="AT16" s="15">
        <v>155.80000000000001</v>
      </c>
      <c r="AU16" s="15">
        <v>156.18</v>
      </c>
      <c r="AV16" s="15">
        <v>155.36000000000001</v>
      </c>
      <c r="AW16" s="15">
        <v>154.6</v>
      </c>
      <c r="AX16" s="15">
        <v>155.71</v>
      </c>
      <c r="AY16" s="15">
        <v>160.83000000000001</v>
      </c>
      <c r="AZ16" s="15">
        <v>171.07</v>
      </c>
      <c r="BA16" s="15">
        <v>185.34</v>
      </c>
      <c r="BB16" s="15">
        <v>203.22</v>
      </c>
      <c r="BC16" s="15">
        <v>224.5</v>
      </c>
      <c r="BD16" s="15">
        <v>248.09</v>
      </c>
      <c r="BE16" s="15">
        <v>272.89999999999998</v>
      </c>
      <c r="BF16" s="15">
        <v>299.01</v>
      </c>
      <c r="BG16" s="15">
        <v>326.06</v>
      </c>
      <c r="BH16" s="15">
        <v>354.33</v>
      </c>
      <c r="BI16" s="15">
        <v>383.98</v>
      </c>
      <c r="BJ16" s="15">
        <v>415.78</v>
      </c>
      <c r="BK16" s="15">
        <v>450.41</v>
      </c>
      <c r="BL16" s="15">
        <v>487.67</v>
      </c>
      <c r="BM16" s="15">
        <v>527.94000000000005</v>
      </c>
      <c r="BN16" s="15">
        <v>571.02</v>
      </c>
      <c r="BO16" s="15">
        <v>617.78</v>
      </c>
      <c r="BP16" s="15">
        <v>668.45</v>
      </c>
      <c r="BQ16" s="15">
        <v>727.18</v>
      </c>
      <c r="BR16" s="15">
        <v>794.48</v>
      </c>
      <c r="BS16" s="15">
        <v>864.93</v>
      </c>
      <c r="BT16" s="15">
        <v>935.88</v>
      </c>
      <c r="BU16" s="15">
        <v>1010.65</v>
      </c>
      <c r="BV16" s="15">
        <v>1095.58</v>
      </c>
      <c r="BW16" s="15">
        <v>1191.31</v>
      </c>
      <c r="BX16" s="15">
        <v>1295.72</v>
      </c>
      <c r="BY16" s="15">
        <v>1410.23</v>
      </c>
      <c r="BZ16" s="15">
        <v>1538.01</v>
      </c>
      <c r="CA16" s="15">
        <v>1680.11</v>
      </c>
      <c r="CB16" s="15">
        <v>1836.68</v>
      </c>
      <c r="CC16" s="15">
        <v>2009.42</v>
      </c>
      <c r="CD16" s="15">
        <v>2201.06</v>
      </c>
      <c r="CE16" s="15">
        <v>2414.98</v>
      </c>
      <c r="CF16" s="15">
        <v>2653.66</v>
      </c>
      <c r="CG16" s="15">
        <v>2918.89</v>
      </c>
      <c r="CH16" s="15">
        <v>3212.13</v>
      </c>
      <c r="CI16" s="15">
        <v>3535.86</v>
      </c>
      <c r="CJ16" s="15">
        <v>3891.8</v>
      </c>
      <c r="CK16" s="15">
        <v>4279.2</v>
      </c>
      <c r="CL16" s="15">
        <v>4695.1400000000003</v>
      </c>
      <c r="CM16" s="15">
        <v>5141.5200000000004</v>
      </c>
      <c r="CN16" s="15">
        <v>5625.82</v>
      </c>
      <c r="CO16" s="15">
        <v>6146.97</v>
      </c>
      <c r="CP16" s="15">
        <v>6702.03</v>
      </c>
      <c r="CQ16" s="15">
        <v>7293.78</v>
      </c>
      <c r="CR16" s="15">
        <v>7929.86</v>
      </c>
      <c r="CS16" s="15">
        <v>8623.4500000000007</v>
      </c>
      <c r="CT16" s="15">
        <v>9384.31</v>
      </c>
      <c r="CU16" s="15">
        <v>10197.61</v>
      </c>
      <c r="CV16" s="15">
        <v>11054.25</v>
      </c>
      <c r="CW16" s="15">
        <v>11969.58</v>
      </c>
      <c r="CX16" s="15">
        <v>12943.96</v>
      </c>
    </row>
    <row r="17" spans="1:102" x14ac:dyDescent="0.25">
      <c r="A17" s="71">
        <v>1995</v>
      </c>
      <c r="B17" s="15">
        <v>683.37</v>
      </c>
      <c r="C17" s="15">
        <v>51.22</v>
      </c>
      <c r="D17" s="15">
        <v>30.71</v>
      </c>
      <c r="E17" s="15">
        <v>22.43</v>
      </c>
      <c r="F17" s="15">
        <v>17.87</v>
      </c>
      <c r="G17" s="15">
        <v>12.81</v>
      </c>
      <c r="H17" s="15">
        <v>13.62</v>
      </c>
      <c r="I17" s="15">
        <v>11.44</v>
      </c>
      <c r="J17" s="15">
        <v>10.33</v>
      </c>
      <c r="K17" s="15">
        <v>11.33</v>
      </c>
      <c r="L17" s="15">
        <v>11.54</v>
      </c>
      <c r="M17" s="15">
        <v>13.86</v>
      </c>
      <c r="N17" s="15">
        <v>13.54</v>
      </c>
      <c r="O17" s="15">
        <v>11.68</v>
      </c>
      <c r="P17" s="15">
        <v>14.45</v>
      </c>
      <c r="Q17" s="15">
        <v>17.39</v>
      </c>
      <c r="R17" s="15">
        <v>23.73</v>
      </c>
      <c r="S17" s="15">
        <v>33.9</v>
      </c>
      <c r="T17" s="15">
        <v>39.57</v>
      </c>
      <c r="U17" s="15">
        <v>44.19</v>
      </c>
      <c r="V17" s="15">
        <v>47.63</v>
      </c>
      <c r="W17" s="15">
        <v>48.39</v>
      </c>
      <c r="X17" s="15">
        <v>47.13</v>
      </c>
      <c r="Y17" s="15">
        <v>45.24</v>
      </c>
      <c r="Z17" s="15">
        <v>43.66</v>
      </c>
      <c r="AA17" s="15">
        <v>42.94</v>
      </c>
      <c r="AB17" s="15">
        <v>43.54</v>
      </c>
      <c r="AC17" s="15">
        <v>45.43</v>
      </c>
      <c r="AD17" s="15">
        <v>48.13</v>
      </c>
      <c r="AE17" s="15">
        <v>51.47</v>
      </c>
      <c r="AF17" s="15">
        <v>55.22</v>
      </c>
      <c r="AG17" s="15">
        <v>59.37</v>
      </c>
      <c r="AH17" s="15">
        <v>63.54</v>
      </c>
      <c r="AI17" s="15">
        <v>68.36</v>
      </c>
      <c r="AJ17" s="15">
        <v>73.92</v>
      </c>
      <c r="AK17" s="15">
        <v>80.89</v>
      </c>
      <c r="AL17" s="15">
        <v>89.44</v>
      </c>
      <c r="AM17" s="15">
        <v>99.33</v>
      </c>
      <c r="AN17" s="15">
        <v>110.12</v>
      </c>
      <c r="AO17" s="15">
        <v>121.15</v>
      </c>
      <c r="AP17" s="15">
        <v>131.47</v>
      </c>
      <c r="AQ17" s="15">
        <v>140.25</v>
      </c>
      <c r="AR17" s="15">
        <v>146.93</v>
      </c>
      <c r="AS17" s="15">
        <v>151.52000000000001</v>
      </c>
      <c r="AT17" s="15">
        <v>153.85</v>
      </c>
      <c r="AU17" s="15">
        <v>154.38</v>
      </c>
      <c r="AV17" s="15">
        <v>153.61000000000001</v>
      </c>
      <c r="AW17" s="15">
        <v>152.83000000000001</v>
      </c>
      <c r="AX17" s="15">
        <v>153.84</v>
      </c>
      <c r="AY17" s="15">
        <v>158.88999999999999</v>
      </c>
      <c r="AZ17" s="15">
        <v>169.06</v>
      </c>
      <c r="BA17" s="15">
        <v>183.13</v>
      </c>
      <c r="BB17" s="15">
        <v>200.67</v>
      </c>
      <c r="BC17" s="15">
        <v>221.87</v>
      </c>
      <c r="BD17" s="15">
        <v>245.06</v>
      </c>
      <c r="BE17" s="15">
        <v>269.64999999999998</v>
      </c>
      <c r="BF17" s="15">
        <v>295.42</v>
      </c>
      <c r="BG17" s="15">
        <v>322.14</v>
      </c>
      <c r="BH17" s="15">
        <v>349.92</v>
      </c>
      <c r="BI17" s="15">
        <v>379.29</v>
      </c>
      <c r="BJ17" s="15">
        <v>410.77</v>
      </c>
      <c r="BK17" s="15">
        <v>444.88</v>
      </c>
      <c r="BL17" s="15">
        <v>481.84</v>
      </c>
      <c r="BM17" s="15">
        <v>521.61</v>
      </c>
      <c r="BN17" s="15">
        <v>564.17999999999995</v>
      </c>
      <c r="BO17" s="15">
        <v>610.29</v>
      </c>
      <c r="BP17" s="15">
        <v>660.52</v>
      </c>
      <c r="BQ17" s="15">
        <v>718.41</v>
      </c>
      <c r="BR17" s="15">
        <v>784.89</v>
      </c>
      <c r="BS17" s="15">
        <v>854.55</v>
      </c>
      <c r="BT17" s="15">
        <v>924.62</v>
      </c>
      <c r="BU17" s="15">
        <v>998.59</v>
      </c>
      <c r="BV17" s="15">
        <v>1082.55</v>
      </c>
      <c r="BW17" s="15">
        <v>1176.95</v>
      </c>
      <c r="BX17" s="15">
        <v>1279.99</v>
      </c>
      <c r="BY17" s="15">
        <v>1393.41</v>
      </c>
      <c r="BZ17" s="15">
        <v>1519.69</v>
      </c>
      <c r="CA17" s="15">
        <v>1660.02</v>
      </c>
      <c r="CB17" s="15">
        <v>1814.92</v>
      </c>
      <c r="CC17" s="15">
        <v>1985.4</v>
      </c>
      <c r="CD17" s="15">
        <v>2174.89</v>
      </c>
      <c r="CE17" s="15">
        <v>2386.1799999999998</v>
      </c>
      <c r="CF17" s="15">
        <v>2622.02</v>
      </c>
      <c r="CG17" s="15">
        <v>2884.22</v>
      </c>
      <c r="CH17" s="15">
        <v>3174.14</v>
      </c>
      <c r="CI17" s="15">
        <v>3493.84</v>
      </c>
      <c r="CJ17" s="15">
        <v>3845.87</v>
      </c>
      <c r="CK17" s="15">
        <v>4228.8500000000004</v>
      </c>
      <c r="CL17" s="15">
        <v>4639.8900000000003</v>
      </c>
      <c r="CM17" s="15">
        <v>5081.3</v>
      </c>
      <c r="CN17" s="15">
        <v>5559.91</v>
      </c>
      <c r="CO17" s="15">
        <v>6075.1</v>
      </c>
      <c r="CP17" s="15">
        <v>6624.15</v>
      </c>
      <c r="CQ17" s="15">
        <v>7208.99</v>
      </c>
      <c r="CR17" s="15">
        <v>7838.2</v>
      </c>
      <c r="CS17" s="15">
        <v>8524.2099999999991</v>
      </c>
      <c r="CT17" s="15">
        <v>9276.98</v>
      </c>
      <c r="CU17" s="15">
        <v>10081.51</v>
      </c>
      <c r="CV17" s="15">
        <v>10929.01</v>
      </c>
      <c r="CW17" s="15">
        <v>11834.21</v>
      </c>
      <c r="CX17" s="15">
        <v>12798.89</v>
      </c>
    </row>
    <row r="18" spans="1:102" x14ac:dyDescent="0.25">
      <c r="A18" s="71">
        <v>1996</v>
      </c>
      <c r="B18" s="15">
        <v>687.49</v>
      </c>
      <c r="C18" s="15">
        <v>51.53</v>
      </c>
      <c r="D18" s="15">
        <v>32.35</v>
      </c>
      <c r="E18" s="15">
        <v>22.61</v>
      </c>
      <c r="F18" s="15">
        <v>16.940000000000001</v>
      </c>
      <c r="G18" s="15">
        <v>13.17</v>
      </c>
      <c r="H18" s="15">
        <v>11.49</v>
      </c>
      <c r="I18" s="15">
        <v>10.36</v>
      </c>
      <c r="J18" s="15">
        <v>12.42</v>
      </c>
      <c r="K18" s="15">
        <v>9.48</v>
      </c>
      <c r="L18" s="15">
        <v>12.06</v>
      </c>
      <c r="M18" s="15">
        <v>12</v>
      </c>
      <c r="N18" s="15">
        <v>9.8699999999999992</v>
      </c>
      <c r="O18" s="15">
        <v>13.68</v>
      </c>
      <c r="P18" s="15">
        <v>12.82</v>
      </c>
      <c r="Q18" s="15">
        <v>17.23</v>
      </c>
      <c r="R18" s="15">
        <v>20.43</v>
      </c>
      <c r="S18" s="15">
        <v>31.82</v>
      </c>
      <c r="T18" s="15">
        <v>37.22</v>
      </c>
      <c r="U18" s="15">
        <v>42.48</v>
      </c>
      <c r="V18" s="15">
        <v>45.94</v>
      </c>
      <c r="W18" s="15">
        <v>46.78</v>
      </c>
      <c r="X18" s="15">
        <v>45.67</v>
      </c>
      <c r="Y18" s="15">
        <v>43.92</v>
      </c>
      <c r="Z18" s="15">
        <v>42.31</v>
      </c>
      <c r="AA18" s="15">
        <v>41.77</v>
      </c>
      <c r="AB18" s="15">
        <v>42.45</v>
      </c>
      <c r="AC18" s="15">
        <v>44.24</v>
      </c>
      <c r="AD18" s="15">
        <v>47.02</v>
      </c>
      <c r="AE18" s="15">
        <v>50.49</v>
      </c>
      <c r="AF18" s="15">
        <v>54.25</v>
      </c>
      <c r="AG18" s="15">
        <v>58.31</v>
      </c>
      <c r="AH18" s="15">
        <v>62.6</v>
      </c>
      <c r="AI18" s="15">
        <v>67.28</v>
      </c>
      <c r="AJ18" s="15">
        <v>72.92</v>
      </c>
      <c r="AK18" s="15">
        <v>79.87</v>
      </c>
      <c r="AL18" s="15">
        <v>88.34</v>
      </c>
      <c r="AM18" s="15">
        <v>98.22</v>
      </c>
      <c r="AN18" s="15">
        <v>108.82</v>
      </c>
      <c r="AO18" s="15">
        <v>119.68</v>
      </c>
      <c r="AP18" s="15">
        <v>129.86000000000001</v>
      </c>
      <c r="AQ18" s="15">
        <v>138.5</v>
      </c>
      <c r="AR18" s="15">
        <v>145.18</v>
      </c>
      <c r="AS18" s="15">
        <v>149.66999999999999</v>
      </c>
      <c r="AT18" s="15">
        <v>152.04</v>
      </c>
      <c r="AU18" s="15">
        <v>152.62</v>
      </c>
      <c r="AV18" s="15">
        <v>151.72999999999999</v>
      </c>
      <c r="AW18" s="15">
        <v>150.94</v>
      </c>
      <c r="AX18" s="15">
        <v>151.91</v>
      </c>
      <c r="AY18" s="15">
        <v>156.97999999999999</v>
      </c>
      <c r="AZ18" s="15">
        <v>167.03</v>
      </c>
      <c r="BA18" s="15">
        <v>180.82</v>
      </c>
      <c r="BB18" s="15">
        <v>198.26</v>
      </c>
      <c r="BC18" s="15">
        <v>219.19</v>
      </c>
      <c r="BD18" s="15">
        <v>242.01</v>
      </c>
      <c r="BE18" s="15">
        <v>266.44</v>
      </c>
      <c r="BF18" s="15">
        <v>291.83</v>
      </c>
      <c r="BG18" s="15">
        <v>318.22000000000003</v>
      </c>
      <c r="BH18" s="15">
        <v>345.67</v>
      </c>
      <c r="BI18" s="15">
        <v>374.76</v>
      </c>
      <c r="BJ18" s="15">
        <v>405.8</v>
      </c>
      <c r="BK18" s="15">
        <v>439.52</v>
      </c>
      <c r="BL18" s="15">
        <v>476.15</v>
      </c>
      <c r="BM18" s="15">
        <v>515.23</v>
      </c>
      <c r="BN18" s="15">
        <v>557.4</v>
      </c>
      <c r="BO18" s="15">
        <v>602.97</v>
      </c>
      <c r="BP18" s="15">
        <v>652.5</v>
      </c>
      <c r="BQ18" s="15">
        <v>709.69</v>
      </c>
      <c r="BR18" s="15">
        <v>775.44</v>
      </c>
      <c r="BS18" s="15">
        <v>844.22</v>
      </c>
      <c r="BT18" s="15">
        <v>913.46</v>
      </c>
      <c r="BU18" s="15">
        <v>986.59</v>
      </c>
      <c r="BV18" s="15">
        <v>1069.53</v>
      </c>
      <c r="BW18" s="15">
        <v>1162.71</v>
      </c>
      <c r="BX18" s="15">
        <v>1264.6500000000001</v>
      </c>
      <c r="BY18" s="15">
        <v>1376.9</v>
      </c>
      <c r="BZ18" s="15">
        <v>1501.48</v>
      </c>
      <c r="CA18" s="15">
        <v>1640.25</v>
      </c>
      <c r="CB18" s="15">
        <v>1793.18</v>
      </c>
      <c r="CC18" s="15">
        <v>1961.64</v>
      </c>
      <c r="CD18" s="15">
        <v>2148.83</v>
      </c>
      <c r="CE18" s="15">
        <v>2357.6999999999998</v>
      </c>
      <c r="CF18" s="15">
        <v>2590.8000000000002</v>
      </c>
      <c r="CG18" s="15">
        <v>2850.02</v>
      </c>
      <c r="CH18" s="15">
        <v>3136.46</v>
      </c>
      <c r="CI18" s="15">
        <v>3452.42</v>
      </c>
      <c r="CJ18" s="15">
        <v>3800.57</v>
      </c>
      <c r="CK18" s="15">
        <v>4179.04</v>
      </c>
      <c r="CL18" s="15">
        <v>4585.33</v>
      </c>
      <c r="CM18" s="15">
        <v>5021.79</v>
      </c>
      <c r="CN18" s="15">
        <v>5494.7</v>
      </c>
      <c r="CO18" s="15">
        <v>6004.35</v>
      </c>
      <c r="CP18" s="15">
        <v>6546.96</v>
      </c>
      <c r="CQ18" s="15">
        <v>7125.5</v>
      </c>
      <c r="CR18" s="15">
        <v>7747.81</v>
      </c>
      <c r="CS18" s="15">
        <v>8426.5400000000009</v>
      </c>
      <c r="CT18" s="15">
        <v>9170.6299999999992</v>
      </c>
      <c r="CU18" s="15">
        <v>9966.6299999999992</v>
      </c>
      <c r="CV18" s="15">
        <v>10804.7</v>
      </c>
      <c r="CW18" s="15">
        <v>11700.68</v>
      </c>
      <c r="CX18" s="15">
        <v>12655.22</v>
      </c>
    </row>
    <row r="19" spans="1:102" x14ac:dyDescent="0.25">
      <c r="A19" s="71">
        <v>1997</v>
      </c>
      <c r="B19" s="15">
        <v>645.42999999999995</v>
      </c>
      <c r="C19" s="15">
        <v>50.94</v>
      </c>
      <c r="D19" s="15">
        <v>31.62</v>
      </c>
      <c r="E19" s="15">
        <v>18.510000000000002</v>
      </c>
      <c r="F19" s="15">
        <v>16.64</v>
      </c>
      <c r="G19" s="15">
        <v>12.82</v>
      </c>
      <c r="H19" s="15">
        <v>14.08</v>
      </c>
      <c r="I19" s="15">
        <v>10.039999999999999</v>
      </c>
      <c r="J19" s="15">
        <v>8.9600000000000009</v>
      </c>
      <c r="K19" s="15">
        <v>14.19</v>
      </c>
      <c r="L19" s="15">
        <v>7.06</v>
      </c>
      <c r="M19" s="15">
        <v>9.11</v>
      </c>
      <c r="N19" s="15">
        <v>10.09</v>
      </c>
      <c r="O19" s="15">
        <v>9.7799999999999994</v>
      </c>
      <c r="P19" s="15">
        <v>12.76</v>
      </c>
      <c r="Q19" s="15">
        <v>13.22</v>
      </c>
      <c r="R19" s="15">
        <v>24.9</v>
      </c>
      <c r="S19" s="15">
        <v>29.86</v>
      </c>
      <c r="T19" s="15">
        <v>35.729999999999997</v>
      </c>
      <c r="U19" s="15">
        <v>40.85</v>
      </c>
      <c r="V19" s="15">
        <v>44.36</v>
      </c>
      <c r="W19" s="15">
        <v>45.31</v>
      </c>
      <c r="X19" s="15">
        <v>44.35</v>
      </c>
      <c r="Y19" s="15">
        <v>42.51</v>
      </c>
      <c r="Z19" s="15">
        <v>41.2</v>
      </c>
      <c r="AA19" s="15">
        <v>40.72</v>
      </c>
      <c r="AB19" s="15">
        <v>41.35</v>
      </c>
      <c r="AC19" s="15">
        <v>43.21</v>
      </c>
      <c r="AD19" s="15">
        <v>46.23</v>
      </c>
      <c r="AE19" s="15">
        <v>49.55</v>
      </c>
      <c r="AF19" s="15">
        <v>53.28</v>
      </c>
      <c r="AG19" s="15">
        <v>57.3</v>
      </c>
      <c r="AH19" s="15">
        <v>61.62</v>
      </c>
      <c r="AI19" s="15">
        <v>66.37</v>
      </c>
      <c r="AJ19" s="15">
        <v>72.03</v>
      </c>
      <c r="AK19" s="15">
        <v>78.83</v>
      </c>
      <c r="AL19" s="15">
        <v>87.33</v>
      </c>
      <c r="AM19" s="15">
        <v>96.98</v>
      </c>
      <c r="AN19" s="15">
        <v>107.52</v>
      </c>
      <c r="AO19" s="15">
        <v>118.25</v>
      </c>
      <c r="AP19" s="15">
        <v>128.19999999999999</v>
      </c>
      <c r="AQ19" s="15">
        <v>136.83000000000001</v>
      </c>
      <c r="AR19" s="15">
        <v>143.37</v>
      </c>
      <c r="AS19" s="15">
        <v>147.88</v>
      </c>
      <c r="AT19" s="15">
        <v>150.26</v>
      </c>
      <c r="AU19" s="15">
        <v>150.68</v>
      </c>
      <c r="AV19" s="15">
        <v>149.83000000000001</v>
      </c>
      <c r="AW19" s="15">
        <v>149.09</v>
      </c>
      <c r="AX19" s="15">
        <v>150.04</v>
      </c>
      <c r="AY19" s="15">
        <v>155.16999999999999</v>
      </c>
      <c r="AZ19" s="15">
        <v>164.96</v>
      </c>
      <c r="BA19" s="15">
        <v>178.57</v>
      </c>
      <c r="BB19" s="15">
        <v>195.88</v>
      </c>
      <c r="BC19" s="15">
        <v>216.44</v>
      </c>
      <c r="BD19" s="15">
        <v>239.22</v>
      </c>
      <c r="BE19" s="15">
        <v>263.16000000000003</v>
      </c>
      <c r="BF19" s="15">
        <v>288.36</v>
      </c>
      <c r="BG19" s="15">
        <v>314.37</v>
      </c>
      <c r="BH19" s="15">
        <v>341.55</v>
      </c>
      <c r="BI19" s="15">
        <v>370.32</v>
      </c>
      <c r="BJ19" s="15">
        <v>400.98</v>
      </c>
      <c r="BK19" s="15">
        <v>434.37</v>
      </c>
      <c r="BL19" s="15">
        <v>470.38</v>
      </c>
      <c r="BM19" s="15">
        <v>509.07</v>
      </c>
      <c r="BN19" s="15">
        <v>550.62</v>
      </c>
      <c r="BO19" s="15">
        <v>595.79</v>
      </c>
      <c r="BP19" s="15">
        <v>644.62</v>
      </c>
      <c r="BQ19" s="15">
        <v>701.13</v>
      </c>
      <c r="BR19" s="15">
        <v>766.18</v>
      </c>
      <c r="BS19" s="15">
        <v>833.99</v>
      </c>
      <c r="BT19" s="15">
        <v>902.47</v>
      </c>
      <c r="BU19" s="15">
        <v>974.78</v>
      </c>
      <c r="BV19" s="15">
        <v>1056.67</v>
      </c>
      <c r="BW19" s="15">
        <v>1148.78</v>
      </c>
      <c r="BX19" s="15">
        <v>1249.6500000000001</v>
      </c>
      <c r="BY19" s="15">
        <v>1360.39</v>
      </c>
      <c r="BZ19" s="15">
        <v>1483.43</v>
      </c>
      <c r="CA19" s="15">
        <v>1620.61</v>
      </c>
      <c r="CB19" s="15">
        <v>1771.69</v>
      </c>
      <c r="CC19" s="15">
        <v>1938.27</v>
      </c>
      <c r="CD19" s="15">
        <v>2123.23</v>
      </c>
      <c r="CE19" s="15">
        <v>2329.77</v>
      </c>
      <c r="CF19" s="15">
        <v>2560.04</v>
      </c>
      <c r="CG19" s="15">
        <v>2816.19</v>
      </c>
      <c r="CH19" s="15">
        <v>3099.27</v>
      </c>
      <c r="CI19" s="15">
        <v>3411.86</v>
      </c>
      <c r="CJ19" s="15">
        <v>3755.86</v>
      </c>
      <c r="CK19" s="15">
        <v>4129.8599999999997</v>
      </c>
      <c r="CL19" s="15">
        <v>4531.57</v>
      </c>
      <c r="CM19" s="15">
        <v>4962.7299999999996</v>
      </c>
      <c r="CN19" s="15">
        <v>5430.61</v>
      </c>
      <c r="CO19" s="15">
        <v>5934.46</v>
      </c>
      <c r="CP19" s="15">
        <v>6471.02</v>
      </c>
      <c r="CQ19" s="15">
        <v>7043.22</v>
      </c>
      <c r="CR19" s="15">
        <v>7658.67</v>
      </c>
      <c r="CS19" s="15">
        <v>8329.7900000000009</v>
      </c>
      <c r="CT19" s="15">
        <v>9065.4</v>
      </c>
      <c r="CU19" s="15">
        <v>9852.9</v>
      </c>
      <c r="CV19" s="15">
        <v>10681.9</v>
      </c>
      <c r="CW19" s="15">
        <v>11568.2</v>
      </c>
      <c r="CX19" s="15">
        <v>12512.76</v>
      </c>
    </row>
    <row r="20" spans="1:102" x14ac:dyDescent="0.25">
      <c r="A20" s="71">
        <v>1998</v>
      </c>
      <c r="B20" s="15">
        <v>628.65</v>
      </c>
      <c r="C20" s="15">
        <v>51.97</v>
      </c>
      <c r="D20" s="15">
        <v>27.96</v>
      </c>
      <c r="E20" s="15">
        <v>17.02</v>
      </c>
      <c r="F20" s="15">
        <v>18.309999999999999</v>
      </c>
      <c r="G20" s="15">
        <v>14.13</v>
      </c>
      <c r="H20" s="15">
        <v>11.36</v>
      </c>
      <c r="I20" s="15">
        <v>8.6300000000000008</v>
      </c>
      <c r="J20" s="15">
        <v>12.36</v>
      </c>
      <c r="K20" s="15">
        <v>10.97</v>
      </c>
      <c r="L20" s="15">
        <v>11.72</v>
      </c>
      <c r="M20" s="15">
        <v>10.33</v>
      </c>
      <c r="N20" s="15">
        <v>11.07</v>
      </c>
      <c r="O20" s="15">
        <v>8.6300000000000008</v>
      </c>
      <c r="P20" s="15">
        <v>13.02</v>
      </c>
      <c r="Q20" s="15">
        <v>19.329999999999998</v>
      </c>
      <c r="R20" s="15">
        <v>23.36</v>
      </c>
      <c r="S20" s="15">
        <v>28.78</v>
      </c>
      <c r="T20" s="15">
        <v>34.31</v>
      </c>
      <c r="U20" s="15">
        <v>39.46</v>
      </c>
      <c r="V20" s="15">
        <v>42.93</v>
      </c>
      <c r="W20" s="15">
        <v>43.99</v>
      </c>
      <c r="X20" s="15">
        <v>43.05</v>
      </c>
      <c r="Y20" s="15">
        <v>41.26</v>
      </c>
      <c r="Z20" s="15">
        <v>40.130000000000003</v>
      </c>
      <c r="AA20" s="15">
        <v>39.71</v>
      </c>
      <c r="AB20" s="15">
        <v>40.36</v>
      </c>
      <c r="AC20" s="15">
        <v>42.36</v>
      </c>
      <c r="AD20" s="15">
        <v>45.31</v>
      </c>
      <c r="AE20" s="15">
        <v>48.52</v>
      </c>
      <c r="AF20" s="15">
        <v>52.36</v>
      </c>
      <c r="AG20" s="15">
        <v>56.38</v>
      </c>
      <c r="AH20" s="15">
        <v>60.7</v>
      </c>
      <c r="AI20" s="15">
        <v>65.510000000000005</v>
      </c>
      <c r="AJ20" s="15">
        <v>70.98</v>
      </c>
      <c r="AK20" s="15">
        <v>77.819999999999993</v>
      </c>
      <c r="AL20" s="15">
        <v>86.15</v>
      </c>
      <c r="AM20" s="15">
        <v>95.76</v>
      </c>
      <c r="AN20" s="15">
        <v>106.16</v>
      </c>
      <c r="AO20" s="15">
        <v>116.77</v>
      </c>
      <c r="AP20" s="15">
        <v>126.68</v>
      </c>
      <c r="AQ20" s="15">
        <v>135.09</v>
      </c>
      <c r="AR20" s="15">
        <v>141.6</v>
      </c>
      <c r="AS20" s="15">
        <v>146.05000000000001</v>
      </c>
      <c r="AT20" s="15">
        <v>148.4</v>
      </c>
      <c r="AU20" s="15">
        <v>148.82</v>
      </c>
      <c r="AV20" s="15">
        <v>148.07</v>
      </c>
      <c r="AW20" s="15">
        <v>147.36000000000001</v>
      </c>
      <c r="AX20" s="15">
        <v>148.37</v>
      </c>
      <c r="AY20" s="15">
        <v>153.28</v>
      </c>
      <c r="AZ20" s="15">
        <v>162.91</v>
      </c>
      <c r="BA20" s="15">
        <v>176.4</v>
      </c>
      <c r="BB20" s="15">
        <v>193.48</v>
      </c>
      <c r="BC20" s="15">
        <v>213.9</v>
      </c>
      <c r="BD20" s="15">
        <v>236.35</v>
      </c>
      <c r="BE20" s="15">
        <v>260.02</v>
      </c>
      <c r="BF20" s="15">
        <v>284.83999999999997</v>
      </c>
      <c r="BG20" s="15">
        <v>310.54000000000002</v>
      </c>
      <c r="BH20" s="15">
        <v>337.58</v>
      </c>
      <c r="BI20" s="15">
        <v>365.88</v>
      </c>
      <c r="BJ20" s="15">
        <v>396.25</v>
      </c>
      <c r="BK20" s="15">
        <v>429.21</v>
      </c>
      <c r="BL20" s="15">
        <v>464.69</v>
      </c>
      <c r="BM20" s="15">
        <v>502.98</v>
      </c>
      <c r="BN20" s="15">
        <v>544.03</v>
      </c>
      <c r="BO20" s="15">
        <v>588.6</v>
      </c>
      <c r="BP20" s="15">
        <v>636.91</v>
      </c>
      <c r="BQ20" s="15">
        <v>692.85</v>
      </c>
      <c r="BR20" s="15">
        <v>756.97</v>
      </c>
      <c r="BS20" s="15">
        <v>824.03</v>
      </c>
      <c r="BT20" s="15">
        <v>891.7</v>
      </c>
      <c r="BU20" s="15">
        <v>963.06</v>
      </c>
      <c r="BV20" s="15">
        <v>1043.9000000000001</v>
      </c>
      <c r="BW20" s="15">
        <v>1135.01</v>
      </c>
      <c r="BX20" s="15">
        <v>1234.57</v>
      </c>
      <c r="BY20" s="15">
        <v>1343.91</v>
      </c>
      <c r="BZ20" s="15">
        <v>1465.6</v>
      </c>
      <c r="CA20" s="15">
        <v>1601.16</v>
      </c>
      <c r="CB20" s="15">
        <v>1750.56</v>
      </c>
      <c r="CC20" s="15">
        <v>1915.17</v>
      </c>
      <c r="CD20" s="15">
        <v>2098.12</v>
      </c>
      <c r="CE20" s="15">
        <v>2302.1</v>
      </c>
      <c r="CF20" s="15">
        <v>2529.59</v>
      </c>
      <c r="CG20" s="15">
        <v>2782.82</v>
      </c>
      <c r="CH20" s="15">
        <v>3062.7</v>
      </c>
      <c r="CI20" s="15">
        <v>3371.6</v>
      </c>
      <c r="CJ20" s="15">
        <v>3711.46</v>
      </c>
      <c r="CK20" s="15">
        <v>4081.16</v>
      </c>
      <c r="CL20" s="15">
        <v>4478.13</v>
      </c>
      <c r="CM20" s="15">
        <v>4904.5600000000004</v>
      </c>
      <c r="CN20" s="15">
        <v>5367.2</v>
      </c>
      <c r="CO20" s="15">
        <v>5865.28</v>
      </c>
      <c r="CP20" s="15">
        <v>6395.84</v>
      </c>
      <c r="CQ20" s="15">
        <v>6961.68</v>
      </c>
      <c r="CR20" s="15">
        <v>7570.36</v>
      </c>
      <c r="CS20" s="15">
        <v>8233.5400000000009</v>
      </c>
      <c r="CT20" s="15">
        <v>8961.57</v>
      </c>
      <c r="CU20" s="15">
        <v>9740.16</v>
      </c>
      <c r="CV20" s="15">
        <v>10560.36</v>
      </c>
      <c r="CW20" s="15">
        <v>11437.35</v>
      </c>
      <c r="CX20" s="15">
        <v>12372.05</v>
      </c>
    </row>
    <row r="21" spans="1:102" x14ac:dyDescent="0.25">
      <c r="A21" s="71">
        <v>1999</v>
      </c>
      <c r="B21" s="15">
        <v>644.34</v>
      </c>
      <c r="C21" s="15">
        <v>43.51</v>
      </c>
      <c r="D21" s="15">
        <v>25.45</v>
      </c>
      <c r="E21" s="15">
        <v>16.170000000000002</v>
      </c>
      <c r="F21" s="15">
        <v>16.34</v>
      </c>
      <c r="G21" s="15">
        <v>9.92</v>
      </c>
      <c r="H21" s="15">
        <v>14.28</v>
      </c>
      <c r="I21" s="15">
        <v>9.31</v>
      </c>
      <c r="J21" s="15">
        <v>12.53</v>
      </c>
      <c r="K21" s="15">
        <v>10.3</v>
      </c>
      <c r="L21" s="15">
        <v>7.81</v>
      </c>
      <c r="M21" s="15">
        <v>9.65</v>
      </c>
      <c r="N21" s="15">
        <v>10.64</v>
      </c>
      <c r="O21" s="15">
        <v>10.07</v>
      </c>
      <c r="P21" s="15">
        <v>15.02</v>
      </c>
      <c r="Q21" s="15">
        <v>18.13</v>
      </c>
      <c r="R21" s="15">
        <v>22.43</v>
      </c>
      <c r="S21" s="15">
        <v>27.57</v>
      </c>
      <c r="T21" s="15">
        <v>33.08</v>
      </c>
      <c r="U21" s="15">
        <v>38.17</v>
      </c>
      <c r="V21" s="15">
        <v>41.67</v>
      </c>
      <c r="W21" s="15">
        <v>42.7</v>
      </c>
      <c r="X21" s="15">
        <v>41.78</v>
      </c>
      <c r="Y21" s="15">
        <v>40.21</v>
      </c>
      <c r="Z21" s="15">
        <v>39.08</v>
      </c>
      <c r="AA21" s="15">
        <v>38.729999999999997</v>
      </c>
      <c r="AB21" s="15">
        <v>39.39</v>
      </c>
      <c r="AC21" s="15">
        <v>41.44</v>
      </c>
      <c r="AD21" s="15">
        <v>44.27</v>
      </c>
      <c r="AE21" s="15">
        <v>47.71</v>
      </c>
      <c r="AF21" s="15">
        <v>51.45</v>
      </c>
      <c r="AG21" s="15">
        <v>55.55</v>
      </c>
      <c r="AH21" s="15">
        <v>59.82</v>
      </c>
      <c r="AI21" s="15">
        <v>64.489999999999995</v>
      </c>
      <c r="AJ21" s="15">
        <v>69.989999999999995</v>
      </c>
      <c r="AK21" s="15">
        <v>76.83</v>
      </c>
      <c r="AL21" s="15">
        <v>85.03</v>
      </c>
      <c r="AM21" s="15">
        <v>94.57</v>
      </c>
      <c r="AN21" s="15">
        <v>104.86</v>
      </c>
      <c r="AO21" s="15">
        <v>115.36</v>
      </c>
      <c r="AP21" s="15">
        <v>125.15</v>
      </c>
      <c r="AQ21" s="15">
        <v>133.46</v>
      </c>
      <c r="AR21" s="15">
        <v>139.85</v>
      </c>
      <c r="AS21" s="15">
        <v>144.30000000000001</v>
      </c>
      <c r="AT21" s="15">
        <v>146.63</v>
      </c>
      <c r="AU21" s="15">
        <v>147.1</v>
      </c>
      <c r="AV21" s="15">
        <v>146.38</v>
      </c>
      <c r="AW21" s="15">
        <v>145.6</v>
      </c>
      <c r="AX21" s="15">
        <v>146.51</v>
      </c>
      <c r="AY21" s="15">
        <v>151.31</v>
      </c>
      <c r="AZ21" s="15">
        <v>160.91999999999999</v>
      </c>
      <c r="BA21" s="15">
        <v>174.29</v>
      </c>
      <c r="BB21" s="15">
        <v>191.12</v>
      </c>
      <c r="BC21" s="15">
        <v>211.28</v>
      </c>
      <c r="BD21" s="15">
        <v>233.45</v>
      </c>
      <c r="BE21" s="15">
        <v>256.97000000000003</v>
      </c>
      <c r="BF21" s="15">
        <v>281.41000000000003</v>
      </c>
      <c r="BG21" s="15">
        <v>306.92</v>
      </c>
      <c r="BH21" s="15">
        <v>333.55</v>
      </c>
      <c r="BI21" s="15">
        <v>361.45</v>
      </c>
      <c r="BJ21" s="15">
        <v>391.5</v>
      </c>
      <c r="BK21" s="15">
        <v>423.98</v>
      </c>
      <c r="BL21" s="15">
        <v>459.19</v>
      </c>
      <c r="BM21" s="15">
        <v>496.83</v>
      </c>
      <c r="BN21" s="15">
        <v>537.53</v>
      </c>
      <c r="BO21" s="15">
        <v>581.5</v>
      </c>
      <c r="BP21" s="15">
        <v>629.29</v>
      </c>
      <c r="BQ21" s="15">
        <v>684.49</v>
      </c>
      <c r="BR21" s="15">
        <v>747.84</v>
      </c>
      <c r="BS21" s="15">
        <v>814.17</v>
      </c>
      <c r="BT21" s="15">
        <v>880.95</v>
      </c>
      <c r="BU21" s="15">
        <v>951.34</v>
      </c>
      <c r="BV21" s="15">
        <v>1031.27</v>
      </c>
      <c r="BW21" s="15">
        <v>1121.28</v>
      </c>
      <c r="BX21" s="15">
        <v>1219.6300000000001</v>
      </c>
      <c r="BY21" s="15">
        <v>1327.76</v>
      </c>
      <c r="BZ21" s="15">
        <v>1447.94</v>
      </c>
      <c r="CA21" s="15">
        <v>1581.99</v>
      </c>
      <c r="CB21" s="15">
        <v>1729.52</v>
      </c>
      <c r="CC21" s="15">
        <v>1892.26</v>
      </c>
      <c r="CD21" s="15">
        <v>2073.06</v>
      </c>
      <c r="CE21" s="15">
        <v>2274.71</v>
      </c>
      <c r="CF21" s="15">
        <v>2499.4899999999998</v>
      </c>
      <c r="CG21" s="15">
        <v>2749.85</v>
      </c>
      <c r="CH21" s="15">
        <v>3026.42</v>
      </c>
      <c r="CI21" s="15">
        <v>3331.48</v>
      </c>
      <c r="CJ21" s="15">
        <v>3667.45</v>
      </c>
      <c r="CK21" s="15">
        <v>4032.9</v>
      </c>
      <c r="CL21" s="15">
        <v>4425.3900000000003</v>
      </c>
      <c r="CM21" s="15">
        <v>4847</v>
      </c>
      <c r="CN21" s="15">
        <v>5304.39</v>
      </c>
      <c r="CO21" s="15">
        <v>5796.9</v>
      </c>
      <c r="CP21" s="15">
        <v>6321.28</v>
      </c>
      <c r="CQ21" s="15">
        <v>6881.01</v>
      </c>
      <c r="CR21" s="15">
        <v>7482.61</v>
      </c>
      <c r="CS21" s="15">
        <v>8138.55</v>
      </c>
      <c r="CT21" s="15">
        <v>8858.7900000000009</v>
      </c>
      <c r="CU21" s="15">
        <v>9628.6</v>
      </c>
      <c r="CV21" s="15">
        <v>10440.15</v>
      </c>
      <c r="CW21" s="15">
        <v>11307.84</v>
      </c>
      <c r="CX21" s="15">
        <v>12232.69</v>
      </c>
    </row>
    <row r="22" spans="1:102" x14ac:dyDescent="0.25">
      <c r="A22" s="71">
        <v>2000</v>
      </c>
      <c r="B22" s="15">
        <v>611.24</v>
      </c>
      <c r="C22" s="15">
        <v>41.08</v>
      </c>
      <c r="D22" s="15">
        <v>27.78</v>
      </c>
      <c r="E22" s="15">
        <v>21.93</v>
      </c>
      <c r="F22" s="15">
        <v>13.02</v>
      </c>
      <c r="G22" s="15">
        <v>11.29</v>
      </c>
      <c r="H22" s="15">
        <v>10.130000000000001</v>
      </c>
      <c r="I22" s="15">
        <v>9.52</v>
      </c>
      <c r="J22" s="15">
        <v>11.98</v>
      </c>
      <c r="K22" s="15">
        <v>8.0399999999999991</v>
      </c>
      <c r="L22" s="15">
        <v>8.82</v>
      </c>
      <c r="M22" s="15">
        <v>8.2100000000000009</v>
      </c>
      <c r="N22" s="15">
        <v>11.18</v>
      </c>
      <c r="O22" s="15">
        <v>11.81</v>
      </c>
      <c r="P22" s="15">
        <v>14.03</v>
      </c>
      <c r="Q22" s="15">
        <v>17.28</v>
      </c>
      <c r="R22" s="15">
        <v>21.49</v>
      </c>
      <c r="S22" s="15">
        <v>26.5</v>
      </c>
      <c r="T22" s="15">
        <v>31.88</v>
      </c>
      <c r="U22" s="15">
        <v>36.979999999999997</v>
      </c>
      <c r="V22" s="15">
        <v>40.270000000000003</v>
      </c>
      <c r="W22" s="15">
        <v>41.55</v>
      </c>
      <c r="X22" s="15">
        <v>40.75</v>
      </c>
      <c r="Y22" s="15">
        <v>39.159999999999997</v>
      </c>
      <c r="Z22" s="15">
        <v>38.14</v>
      </c>
      <c r="AA22" s="15">
        <v>37.79</v>
      </c>
      <c r="AB22" s="15">
        <v>38.54</v>
      </c>
      <c r="AC22" s="15">
        <v>40.630000000000003</v>
      </c>
      <c r="AD22" s="15">
        <v>43.42</v>
      </c>
      <c r="AE22" s="15">
        <v>46.99</v>
      </c>
      <c r="AF22" s="15">
        <v>50.63</v>
      </c>
      <c r="AG22" s="15">
        <v>54.7</v>
      </c>
      <c r="AH22" s="15">
        <v>58.89</v>
      </c>
      <c r="AI22" s="15">
        <v>63.55</v>
      </c>
      <c r="AJ22" s="15">
        <v>69.099999999999994</v>
      </c>
      <c r="AK22" s="15">
        <v>75.8</v>
      </c>
      <c r="AL22" s="15">
        <v>84.04</v>
      </c>
      <c r="AM22" s="15">
        <v>93.38</v>
      </c>
      <c r="AN22" s="15">
        <v>103.59</v>
      </c>
      <c r="AO22" s="15">
        <v>113.96</v>
      </c>
      <c r="AP22" s="15">
        <v>123.66</v>
      </c>
      <c r="AQ22" s="15">
        <v>131.91</v>
      </c>
      <c r="AR22" s="15">
        <v>138.13999999999999</v>
      </c>
      <c r="AS22" s="15">
        <v>142.62</v>
      </c>
      <c r="AT22" s="15">
        <v>144.87</v>
      </c>
      <c r="AU22" s="15">
        <v>145.28</v>
      </c>
      <c r="AV22" s="15">
        <v>144.54</v>
      </c>
      <c r="AW22" s="15">
        <v>143.74</v>
      </c>
      <c r="AX22" s="15">
        <v>144.65</v>
      </c>
      <c r="AY22" s="15">
        <v>149.41999999999999</v>
      </c>
      <c r="AZ22" s="15">
        <v>159.04</v>
      </c>
      <c r="BA22" s="15">
        <v>172.19</v>
      </c>
      <c r="BB22" s="15">
        <v>188.77</v>
      </c>
      <c r="BC22" s="15">
        <v>208.69</v>
      </c>
      <c r="BD22" s="15">
        <v>230.81</v>
      </c>
      <c r="BE22" s="15">
        <v>253.85</v>
      </c>
      <c r="BF22" s="15">
        <v>278.05</v>
      </c>
      <c r="BG22" s="15">
        <v>303.22000000000003</v>
      </c>
      <c r="BH22" s="15">
        <v>329.4</v>
      </c>
      <c r="BI22" s="15">
        <v>357.09</v>
      </c>
      <c r="BJ22" s="15">
        <v>386.79</v>
      </c>
      <c r="BK22" s="15">
        <v>418.84</v>
      </c>
      <c r="BL22" s="15">
        <v>453.66</v>
      </c>
      <c r="BM22" s="15">
        <v>490.87</v>
      </c>
      <c r="BN22" s="15">
        <v>530.94000000000005</v>
      </c>
      <c r="BO22" s="15">
        <v>574.42999999999995</v>
      </c>
      <c r="BP22" s="15">
        <v>621.66</v>
      </c>
      <c r="BQ22" s="15">
        <v>676.1</v>
      </c>
      <c r="BR22" s="15">
        <v>738.8</v>
      </c>
      <c r="BS22" s="15">
        <v>804.38</v>
      </c>
      <c r="BT22" s="15">
        <v>870.15</v>
      </c>
      <c r="BU22" s="15">
        <v>939.9</v>
      </c>
      <c r="BV22" s="15">
        <v>1018.84</v>
      </c>
      <c r="BW22" s="15">
        <v>1107.82</v>
      </c>
      <c r="BX22" s="15">
        <v>1205.1199999999999</v>
      </c>
      <c r="BY22" s="15">
        <v>1311.72</v>
      </c>
      <c r="BZ22" s="15">
        <v>1430.6</v>
      </c>
      <c r="CA22" s="15">
        <v>1562.93</v>
      </c>
      <c r="CB22" s="15">
        <v>1708.81</v>
      </c>
      <c r="CC22" s="15">
        <v>1869.53</v>
      </c>
      <c r="CD22" s="15">
        <v>2048.2600000000002</v>
      </c>
      <c r="CE22" s="15">
        <v>2247.4899999999998</v>
      </c>
      <c r="CF22" s="15">
        <v>2469.7399999999998</v>
      </c>
      <c r="CG22" s="15">
        <v>2717.16</v>
      </c>
      <c r="CH22" s="15">
        <v>2990.34</v>
      </c>
      <c r="CI22" s="15">
        <v>3291.88</v>
      </c>
      <c r="CJ22" s="15">
        <v>3624.02</v>
      </c>
      <c r="CK22" s="15">
        <v>3985.3</v>
      </c>
      <c r="CL22" s="15">
        <v>4373.32</v>
      </c>
      <c r="CM22" s="15">
        <v>4790.09</v>
      </c>
      <c r="CN22" s="15">
        <v>5242.5600000000004</v>
      </c>
      <c r="CO22" s="15">
        <v>5729.09</v>
      </c>
      <c r="CP22" s="15">
        <v>6247.62</v>
      </c>
      <c r="CQ22" s="15">
        <v>6800.99</v>
      </c>
      <c r="CR22" s="15">
        <v>7395.7</v>
      </c>
      <c r="CS22" s="15">
        <v>8044.99</v>
      </c>
      <c r="CT22" s="15">
        <v>8756.83</v>
      </c>
      <c r="CU22" s="15">
        <v>9518.5400000000009</v>
      </c>
      <c r="CV22" s="15">
        <v>10321.379999999999</v>
      </c>
      <c r="CW22" s="15">
        <v>11179.77</v>
      </c>
      <c r="CX22" s="15">
        <v>12094.42</v>
      </c>
    </row>
    <row r="23" spans="1:102" x14ac:dyDescent="0.25">
      <c r="A23" s="71">
        <v>2001</v>
      </c>
      <c r="B23" s="15">
        <v>597</v>
      </c>
      <c r="C23" s="15">
        <v>47.05</v>
      </c>
      <c r="D23" s="15">
        <v>25.46</v>
      </c>
      <c r="E23" s="15">
        <v>20.37</v>
      </c>
      <c r="F23" s="15">
        <v>11.59</v>
      </c>
      <c r="G23" s="15">
        <v>12.43</v>
      </c>
      <c r="H23" s="15">
        <v>11.22</v>
      </c>
      <c r="I23" s="15">
        <v>10.89</v>
      </c>
      <c r="J23" s="15">
        <v>10.55</v>
      </c>
      <c r="K23" s="15">
        <v>11.35</v>
      </c>
      <c r="L23" s="15">
        <v>8.75</v>
      </c>
      <c r="M23" s="15">
        <v>11.51</v>
      </c>
      <c r="N23" s="15">
        <v>9.7200000000000006</v>
      </c>
      <c r="O23" s="15">
        <v>11.03</v>
      </c>
      <c r="P23" s="15">
        <v>13.45</v>
      </c>
      <c r="Q23" s="15">
        <v>16.579999999999998</v>
      </c>
      <c r="R23" s="15">
        <v>20.63</v>
      </c>
      <c r="S23" s="15">
        <v>25.51</v>
      </c>
      <c r="T23" s="15">
        <v>30.84</v>
      </c>
      <c r="U23" s="15">
        <v>35.76</v>
      </c>
      <c r="V23" s="15">
        <v>39.08</v>
      </c>
      <c r="W23" s="15">
        <v>40.47</v>
      </c>
      <c r="X23" s="15">
        <v>39.729999999999997</v>
      </c>
      <c r="Y23" s="15">
        <v>38.200000000000003</v>
      </c>
      <c r="Z23" s="15">
        <v>37.29</v>
      </c>
      <c r="AA23" s="15">
        <v>36.94</v>
      </c>
      <c r="AB23" s="15">
        <v>37.89</v>
      </c>
      <c r="AC23" s="15">
        <v>39.799999999999997</v>
      </c>
      <c r="AD23" s="15">
        <v>42.72</v>
      </c>
      <c r="AE23" s="15">
        <v>46.21</v>
      </c>
      <c r="AF23" s="15">
        <v>49.94</v>
      </c>
      <c r="AG23" s="15">
        <v>53.87</v>
      </c>
      <c r="AH23" s="15">
        <v>58.04</v>
      </c>
      <c r="AI23" s="15">
        <v>62.74</v>
      </c>
      <c r="AJ23" s="15">
        <v>68.19</v>
      </c>
      <c r="AK23" s="15">
        <v>74.87</v>
      </c>
      <c r="AL23" s="15">
        <v>83</v>
      </c>
      <c r="AM23" s="15">
        <v>92.2</v>
      </c>
      <c r="AN23" s="15">
        <v>102.3</v>
      </c>
      <c r="AO23" s="15">
        <v>112.54</v>
      </c>
      <c r="AP23" s="15">
        <v>122.22</v>
      </c>
      <c r="AQ23" s="15">
        <v>130.24</v>
      </c>
      <c r="AR23" s="15">
        <v>136.54</v>
      </c>
      <c r="AS23" s="15">
        <v>140.76</v>
      </c>
      <c r="AT23" s="15">
        <v>143.05000000000001</v>
      </c>
      <c r="AU23" s="15">
        <v>143.52000000000001</v>
      </c>
      <c r="AV23" s="15">
        <v>142.69</v>
      </c>
      <c r="AW23" s="15">
        <v>141.91999999999999</v>
      </c>
      <c r="AX23" s="15">
        <v>142.85</v>
      </c>
      <c r="AY23" s="15">
        <v>147.66</v>
      </c>
      <c r="AZ23" s="15">
        <v>157.13</v>
      </c>
      <c r="BA23" s="15">
        <v>170.1</v>
      </c>
      <c r="BB23" s="15">
        <v>186.45</v>
      </c>
      <c r="BC23" s="15">
        <v>206.2</v>
      </c>
      <c r="BD23" s="15">
        <v>227.97</v>
      </c>
      <c r="BE23" s="15">
        <v>250.66</v>
      </c>
      <c r="BF23" s="15">
        <v>274.66000000000003</v>
      </c>
      <c r="BG23" s="15">
        <v>299.45</v>
      </c>
      <c r="BH23" s="15">
        <v>325.39</v>
      </c>
      <c r="BI23" s="15">
        <v>352.81</v>
      </c>
      <c r="BJ23" s="15">
        <v>382.01</v>
      </c>
      <c r="BK23" s="15">
        <v>413.85</v>
      </c>
      <c r="BL23" s="15">
        <v>448.08</v>
      </c>
      <c r="BM23" s="15">
        <v>484.91</v>
      </c>
      <c r="BN23" s="15">
        <v>524.39</v>
      </c>
      <c r="BO23" s="15">
        <v>567.47</v>
      </c>
      <c r="BP23" s="15">
        <v>613.96</v>
      </c>
      <c r="BQ23" s="15">
        <v>667.91</v>
      </c>
      <c r="BR23" s="15">
        <v>729.87</v>
      </c>
      <c r="BS23" s="15">
        <v>794.57</v>
      </c>
      <c r="BT23" s="15">
        <v>859.67</v>
      </c>
      <c r="BU23" s="15">
        <v>928.55</v>
      </c>
      <c r="BV23" s="15">
        <v>1006.62</v>
      </c>
      <c r="BW23" s="15">
        <v>1094.51</v>
      </c>
      <c r="BX23" s="15">
        <v>1190.49</v>
      </c>
      <c r="BY23" s="15">
        <v>1295.8900000000001</v>
      </c>
      <c r="BZ23" s="15">
        <v>1413.45</v>
      </c>
      <c r="CA23" s="15">
        <v>1544.04</v>
      </c>
      <c r="CB23" s="15">
        <v>1688.26</v>
      </c>
      <c r="CC23" s="15">
        <v>1847.02</v>
      </c>
      <c r="CD23" s="15">
        <v>2023.58</v>
      </c>
      <c r="CE23" s="15">
        <v>2220.37</v>
      </c>
      <c r="CF23" s="15">
        <v>2440.17</v>
      </c>
      <c r="CG23" s="15">
        <v>2684.6</v>
      </c>
      <c r="CH23" s="15">
        <v>2954.48</v>
      </c>
      <c r="CI23" s="15">
        <v>3252.73</v>
      </c>
      <c r="CJ23" s="15">
        <v>3581.05</v>
      </c>
      <c r="CK23" s="15">
        <v>3938.17</v>
      </c>
      <c r="CL23" s="15">
        <v>4321.71</v>
      </c>
      <c r="CM23" s="15">
        <v>4734.01</v>
      </c>
      <c r="CN23" s="15">
        <v>5181.09</v>
      </c>
      <c r="CO23" s="15">
        <v>5661.79</v>
      </c>
      <c r="CP23" s="15">
        <v>6174.99</v>
      </c>
      <c r="CQ23" s="15">
        <v>6721.67</v>
      </c>
      <c r="CR23" s="15">
        <v>7310.19</v>
      </c>
      <c r="CS23" s="15">
        <v>7952.26</v>
      </c>
      <c r="CT23" s="15">
        <v>8656.39</v>
      </c>
      <c r="CU23" s="15">
        <v>9409.7900000000009</v>
      </c>
      <c r="CV23" s="15">
        <v>10203.65</v>
      </c>
      <c r="CW23" s="15">
        <v>11052.98</v>
      </c>
      <c r="CX23" s="15">
        <v>11957.94</v>
      </c>
    </row>
    <row r="24" spans="1:102" x14ac:dyDescent="0.25">
      <c r="A24" s="14">
        <v>2002</v>
      </c>
      <c r="B24" s="15">
        <v>599.29999999999995</v>
      </c>
      <c r="C24" s="15">
        <v>39.01</v>
      </c>
      <c r="D24" s="15">
        <v>23.11</v>
      </c>
      <c r="E24" s="15">
        <v>19.27</v>
      </c>
      <c r="F24" s="15">
        <v>12.83</v>
      </c>
      <c r="G24" s="15">
        <v>11.63</v>
      </c>
      <c r="H24" s="15">
        <v>12.19</v>
      </c>
      <c r="I24" s="15">
        <v>7.52</v>
      </c>
      <c r="J24" s="15">
        <v>10.97</v>
      </c>
      <c r="K24" s="15">
        <v>10.65</v>
      </c>
      <c r="L24" s="15">
        <v>9.4499999999999993</v>
      </c>
      <c r="M24" s="15">
        <v>8.5399999999999991</v>
      </c>
      <c r="N24" s="15">
        <v>9.16</v>
      </c>
      <c r="O24" s="15">
        <v>10.7</v>
      </c>
      <c r="P24" s="15">
        <v>12.95</v>
      </c>
      <c r="Q24" s="15">
        <v>16</v>
      </c>
      <c r="R24" s="15">
        <v>19.97</v>
      </c>
      <c r="S24" s="15">
        <v>24.65</v>
      </c>
      <c r="T24" s="15">
        <v>29.86</v>
      </c>
      <c r="U24" s="15">
        <v>34.58</v>
      </c>
      <c r="V24" s="15">
        <v>38.090000000000003</v>
      </c>
      <c r="W24" s="15">
        <v>39.369999999999997</v>
      </c>
      <c r="X24" s="15">
        <v>38.630000000000003</v>
      </c>
      <c r="Y24" s="15">
        <v>37.409999999999997</v>
      </c>
      <c r="Z24" s="15">
        <v>36.39</v>
      </c>
      <c r="AA24" s="15">
        <v>36.18</v>
      </c>
      <c r="AB24" s="15">
        <v>37.15</v>
      </c>
      <c r="AC24" s="15">
        <v>38.979999999999997</v>
      </c>
      <c r="AD24" s="15">
        <v>42.05</v>
      </c>
      <c r="AE24" s="15">
        <v>45.47</v>
      </c>
      <c r="AF24" s="15">
        <v>49.19</v>
      </c>
      <c r="AG24" s="15">
        <v>53.16</v>
      </c>
      <c r="AH24" s="15">
        <v>57.33</v>
      </c>
      <c r="AI24" s="15">
        <v>61.97</v>
      </c>
      <c r="AJ24" s="15">
        <v>67.319999999999993</v>
      </c>
      <c r="AK24" s="15">
        <v>73.900000000000006</v>
      </c>
      <c r="AL24" s="15">
        <v>81.900000000000006</v>
      </c>
      <c r="AM24" s="15">
        <v>91.09</v>
      </c>
      <c r="AN24" s="15">
        <v>101.06</v>
      </c>
      <c r="AO24" s="15">
        <v>111.13</v>
      </c>
      <c r="AP24" s="15">
        <v>120.61</v>
      </c>
      <c r="AQ24" s="15">
        <v>128.59</v>
      </c>
      <c r="AR24" s="15">
        <v>134.82</v>
      </c>
      <c r="AS24" s="15">
        <v>138.94999999999999</v>
      </c>
      <c r="AT24" s="15">
        <v>141.25</v>
      </c>
      <c r="AU24" s="15">
        <v>141.65</v>
      </c>
      <c r="AV24" s="15">
        <v>140.86000000000001</v>
      </c>
      <c r="AW24" s="15">
        <v>140.08000000000001</v>
      </c>
      <c r="AX24" s="15">
        <v>141.09</v>
      </c>
      <c r="AY24" s="15">
        <v>145.91</v>
      </c>
      <c r="AZ24" s="15">
        <v>155.19999999999999</v>
      </c>
      <c r="BA24" s="15">
        <v>167.96</v>
      </c>
      <c r="BB24" s="15">
        <v>184.14</v>
      </c>
      <c r="BC24" s="15">
        <v>203.7</v>
      </c>
      <c r="BD24" s="15">
        <v>225.04</v>
      </c>
      <c r="BE24" s="15">
        <v>247.67</v>
      </c>
      <c r="BF24" s="15">
        <v>271.32</v>
      </c>
      <c r="BG24" s="15">
        <v>295.75</v>
      </c>
      <c r="BH24" s="15">
        <v>321.45999999999998</v>
      </c>
      <c r="BI24" s="15">
        <v>348.41</v>
      </c>
      <c r="BJ24" s="15">
        <v>377.23</v>
      </c>
      <c r="BK24" s="15">
        <v>408.7</v>
      </c>
      <c r="BL24" s="15">
        <v>442.63</v>
      </c>
      <c r="BM24" s="15">
        <v>478.87</v>
      </c>
      <c r="BN24" s="15">
        <v>518.09</v>
      </c>
      <c r="BO24" s="15">
        <v>560.48</v>
      </c>
      <c r="BP24" s="15">
        <v>606.49</v>
      </c>
      <c r="BQ24" s="15">
        <v>659.79</v>
      </c>
      <c r="BR24" s="15">
        <v>721.05</v>
      </c>
      <c r="BS24" s="15">
        <v>784.88</v>
      </c>
      <c r="BT24" s="15">
        <v>849.32</v>
      </c>
      <c r="BU24" s="15">
        <v>917.24</v>
      </c>
      <c r="BV24" s="15">
        <v>994.32</v>
      </c>
      <c r="BW24" s="15">
        <v>1081.1600000000001</v>
      </c>
      <c r="BX24" s="15">
        <v>1175.95</v>
      </c>
      <c r="BY24" s="15">
        <v>1280.3499999999999</v>
      </c>
      <c r="BZ24" s="15">
        <v>1396.14</v>
      </c>
      <c r="CA24" s="15">
        <v>1525.42</v>
      </c>
      <c r="CB24" s="15">
        <v>1667.69</v>
      </c>
      <c r="CC24" s="15">
        <v>1824.63</v>
      </c>
      <c r="CD24" s="15">
        <v>1998.97</v>
      </c>
      <c r="CE24" s="15">
        <v>2193.61</v>
      </c>
      <c r="CF24" s="15">
        <v>2410.84</v>
      </c>
      <c r="CG24" s="15">
        <v>2652.19</v>
      </c>
      <c r="CH24" s="15">
        <v>2919.09</v>
      </c>
      <c r="CI24" s="15">
        <v>3213.91</v>
      </c>
      <c r="CJ24" s="15">
        <v>3538.39</v>
      </c>
      <c r="CK24" s="15">
        <v>3891.42</v>
      </c>
      <c r="CL24" s="15">
        <v>4270.67</v>
      </c>
      <c r="CM24" s="15">
        <v>4678.26</v>
      </c>
      <c r="CN24" s="15">
        <v>5119.83</v>
      </c>
      <c r="CO24" s="15">
        <v>5595.58</v>
      </c>
      <c r="CP24" s="15">
        <v>6102.9</v>
      </c>
      <c r="CQ24" s="15">
        <v>6643.55</v>
      </c>
      <c r="CR24" s="15">
        <v>7225.54</v>
      </c>
      <c r="CS24" s="15">
        <v>7860.54</v>
      </c>
      <c r="CT24" s="15">
        <v>8556.98</v>
      </c>
      <c r="CU24" s="15">
        <v>9302.01</v>
      </c>
      <c r="CV24" s="15">
        <v>10087.35</v>
      </c>
      <c r="CW24" s="15">
        <v>10927.24</v>
      </c>
      <c r="CX24" s="15">
        <v>11823.09</v>
      </c>
    </row>
    <row r="25" spans="1:102" x14ac:dyDescent="0.25">
      <c r="A25" s="14">
        <v>2003</v>
      </c>
      <c r="B25" s="15">
        <v>576.86</v>
      </c>
      <c r="C25" s="15">
        <v>42.81</v>
      </c>
      <c r="D25" s="15">
        <v>25.69</v>
      </c>
      <c r="E25" s="15">
        <v>15.13</v>
      </c>
      <c r="F25" s="15">
        <v>14.53</v>
      </c>
      <c r="G25" s="15">
        <v>14.23</v>
      </c>
      <c r="H25" s="15">
        <v>10.52</v>
      </c>
      <c r="I25" s="15">
        <v>7.38</v>
      </c>
      <c r="J25" s="15">
        <v>9.65</v>
      </c>
      <c r="K25" s="15">
        <v>8.77</v>
      </c>
      <c r="L25" s="15">
        <v>7.9</v>
      </c>
      <c r="M25" s="15">
        <v>8.17</v>
      </c>
      <c r="N25" s="15">
        <v>8.93</v>
      </c>
      <c r="O25" s="15">
        <v>10.32</v>
      </c>
      <c r="P25" s="15">
        <v>12.55</v>
      </c>
      <c r="Q25" s="15">
        <v>15.5</v>
      </c>
      <c r="R25" s="15">
        <v>19.3</v>
      </c>
      <c r="S25" s="15">
        <v>23.87</v>
      </c>
      <c r="T25" s="15">
        <v>28.9</v>
      </c>
      <c r="U25" s="15">
        <v>33.72</v>
      </c>
      <c r="V25" s="15">
        <v>36.99</v>
      </c>
      <c r="W25" s="15">
        <v>38.26</v>
      </c>
      <c r="X25" s="15">
        <v>37.729999999999997</v>
      </c>
      <c r="Y25" s="15">
        <v>36.54</v>
      </c>
      <c r="Z25" s="15">
        <v>35.49</v>
      </c>
      <c r="AA25" s="15">
        <v>35.54</v>
      </c>
      <c r="AB25" s="15">
        <v>36.39</v>
      </c>
      <c r="AC25" s="15">
        <v>38.39</v>
      </c>
      <c r="AD25" s="15">
        <v>41.39</v>
      </c>
      <c r="AE25" s="15">
        <v>44.78</v>
      </c>
      <c r="AF25" s="15">
        <v>48.53</v>
      </c>
      <c r="AG25" s="15">
        <v>52.42</v>
      </c>
      <c r="AH25" s="15">
        <v>56.66</v>
      </c>
      <c r="AI25" s="15">
        <v>61.21</v>
      </c>
      <c r="AJ25" s="15">
        <v>66.34</v>
      </c>
      <c r="AK25" s="15">
        <v>72.92</v>
      </c>
      <c r="AL25" s="15">
        <v>80.91</v>
      </c>
      <c r="AM25" s="15">
        <v>89.97</v>
      </c>
      <c r="AN25" s="15">
        <v>99.8</v>
      </c>
      <c r="AO25" s="15">
        <v>109.59</v>
      </c>
      <c r="AP25" s="15">
        <v>119.04</v>
      </c>
      <c r="AQ25" s="15">
        <v>127.05</v>
      </c>
      <c r="AR25" s="15">
        <v>133.09</v>
      </c>
      <c r="AS25" s="15">
        <v>137.22999999999999</v>
      </c>
      <c r="AT25" s="15">
        <v>139.43</v>
      </c>
      <c r="AU25" s="15">
        <v>139.81</v>
      </c>
      <c r="AV25" s="15">
        <v>139.09</v>
      </c>
      <c r="AW25" s="15">
        <v>138.37</v>
      </c>
      <c r="AX25" s="15">
        <v>139.5</v>
      </c>
      <c r="AY25" s="15">
        <v>144.13</v>
      </c>
      <c r="AZ25" s="15">
        <v>153.29</v>
      </c>
      <c r="BA25" s="15">
        <v>165.95</v>
      </c>
      <c r="BB25" s="15">
        <v>181.93</v>
      </c>
      <c r="BC25" s="15">
        <v>201.2</v>
      </c>
      <c r="BD25" s="15">
        <v>222.34</v>
      </c>
      <c r="BE25" s="15">
        <v>244.7</v>
      </c>
      <c r="BF25" s="15">
        <v>267.99</v>
      </c>
      <c r="BG25" s="15">
        <v>292.19</v>
      </c>
      <c r="BH25" s="15">
        <v>317.52</v>
      </c>
      <c r="BI25" s="15">
        <v>344.03</v>
      </c>
      <c r="BJ25" s="15">
        <v>372.62</v>
      </c>
      <c r="BK25" s="15">
        <v>403.72</v>
      </c>
      <c r="BL25" s="15">
        <v>437.24</v>
      </c>
      <c r="BM25" s="15">
        <v>473.11</v>
      </c>
      <c r="BN25" s="15">
        <v>511.81</v>
      </c>
      <c r="BO25" s="15">
        <v>553.63</v>
      </c>
      <c r="BP25" s="15">
        <v>599.16</v>
      </c>
      <c r="BQ25" s="15">
        <v>651.79</v>
      </c>
      <c r="BR25" s="15">
        <v>712.33</v>
      </c>
      <c r="BS25" s="15">
        <v>775.38</v>
      </c>
      <c r="BT25" s="15">
        <v>839</v>
      </c>
      <c r="BU25" s="15">
        <v>906.01</v>
      </c>
      <c r="BV25" s="15">
        <v>982.21</v>
      </c>
      <c r="BW25" s="15">
        <v>1068.03</v>
      </c>
      <c r="BX25" s="15">
        <v>1161.74</v>
      </c>
      <c r="BY25" s="15">
        <v>1264.8399999999999</v>
      </c>
      <c r="BZ25" s="15">
        <v>1379.19</v>
      </c>
      <c r="CA25" s="15">
        <v>1506.87</v>
      </c>
      <c r="CB25" s="15">
        <v>1647.6</v>
      </c>
      <c r="CC25" s="15">
        <v>1802.62</v>
      </c>
      <c r="CD25" s="15">
        <v>1974.9</v>
      </c>
      <c r="CE25" s="15">
        <v>2167.41</v>
      </c>
      <c r="CF25" s="15">
        <v>2381.89</v>
      </c>
      <c r="CG25" s="15">
        <v>2620.48</v>
      </c>
      <c r="CH25" s="15">
        <v>2884.41</v>
      </c>
      <c r="CI25" s="15">
        <v>3175.72</v>
      </c>
      <c r="CJ25" s="15">
        <v>3496.34</v>
      </c>
      <c r="CK25" s="15">
        <v>3845.41</v>
      </c>
      <c r="CL25" s="15">
        <v>4220.12</v>
      </c>
      <c r="CM25" s="15">
        <v>4622.97</v>
      </c>
      <c r="CN25" s="15">
        <v>5059.4799999999996</v>
      </c>
      <c r="CO25" s="15">
        <v>5530.28</v>
      </c>
      <c r="CP25" s="15">
        <v>6031.47</v>
      </c>
      <c r="CQ25" s="15">
        <v>6566.16</v>
      </c>
      <c r="CR25" s="15">
        <v>7141.61</v>
      </c>
      <c r="CS25" s="15">
        <v>7769.73</v>
      </c>
      <c r="CT25" s="15">
        <v>8458.7000000000007</v>
      </c>
      <c r="CU25" s="15">
        <v>9195.39</v>
      </c>
      <c r="CV25" s="15">
        <v>9972.2900000000009</v>
      </c>
      <c r="CW25" s="15">
        <v>10803.17</v>
      </c>
      <c r="CX25" s="15">
        <v>11689.61</v>
      </c>
    </row>
    <row r="26" spans="1:102" x14ac:dyDescent="0.25">
      <c r="A26" s="14">
        <v>2004</v>
      </c>
      <c r="B26" s="15">
        <v>555.79999999999995</v>
      </c>
      <c r="C26" s="15">
        <v>39.6</v>
      </c>
      <c r="D26" s="15">
        <v>23.58</v>
      </c>
      <c r="E26" s="15">
        <v>19.37</v>
      </c>
      <c r="F26" s="15">
        <v>12.46</v>
      </c>
      <c r="G26" s="15">
        <v>11.34</v>
      </c>
      <c r="H26" s="15">
        <v>10.78</v>
      </c>
      <c r="I26" s="15">
        <v>8.3000000000000007</v>
      </c>
      <c r="J26" s="15">
        <v>10.75</v>
      </c>
      <c r="K26" s="15">
        <v>7.72</v>
      </c>
      <c r="L26" s="15">
        <v>7.5</v>
      </c>
      <c r="M26" s="15">
        <v>7.9</v>
      </c>
      <c r="N26" s="15">
        <v>8.58</v>
      </c>
      <c r="O26" s="15">
        <v>10.01</v>
      </c>
      <c r="P26" s="15">
        <v>12.18</v>
      </c>
      <c r="Q26" s="15">
        <v>15</v>
      </c>
      <c r="R26" s="15">
        <v>18.71</v>
      </c>
      <c r="S26" s="15">
        <v>23.18</v>
      </c>
      <c r="T26" s="15">
        <v>28.17</v>
      </c>
      <c r="U26" s="15">
        <v>32.880000000000003</v>
      </c>
      <c r="V26" s="15">
        <v>36.1</v>
      </c>
      <c r="W26" s="15">
        <v>37.35</v>
      </c>
      <c r="X26" s="15">
        <v>36.909999999999997</v>
      </c>
      <c r="Y26" s="15">
        <v>35.700000000000003</v>
      </c>
      <c r="Z26" s="15">
        <v>34.81</v>
      </c>
      <c r="AA26" s="15">
        <v>34.92</v>
      </c>
      <c r="AB26" s="15">
        <v>35.770000000000003</v>
      </c>
      <c r="AC26" s="15">
        <v>37.909999999999997</v>
      </c>
      <c r="AD26" s="15">
        <v>40.85</v>
      </c>
      <c r="AE26" s="15">
        <v>44.17</v>
      </c>
      <c r="AF26" s="15">
        <v>47.85</v>
      </c>
      <c r="AG26" s="15">
        <v>51.78</v>
      </c>
      <c r="AH26" s="15">
        <v>56</v>
      </c>
      <c r="AI26" s="15">
        <v>60.45</v>
      </c>
      <c r="AJ26" s="15">
        <v>65.59</v>
      </c>
      <c r="AK26" s="15">
        <v>72.16</v>
      </c>
      <c r="AL26" s="15">
        <v>79.89</v>
      </c>
      <c r="AM26" s="15">
        <v>88.88</v>
      </c>
      <c r="AN26" s="15">
        <v>98.51</v>
      </c>
      <c r="AO26" s="15">
        <v>108.34</v>
      </c>
      <c r="AP26" s="15">
        <v>117.6</v>
      </c>
      <c r="AQ26" s="15">
        <v>125.56</v>
      </c>
      <c r="AR26" s="15">
        <v>131.54</v>
      </c>
      <c r="AS26" s="15">
        <v>135.53</v>
      </c>
      <c r="AT26" s="15">
        <v>137.80000000000001</v>
      </c>
      <c r="AU26" s="15">
        <v>138.29</v>
      </c>
      <c r="AV26" s="15">
        <v>137.47</v>
      </c>
      <c r="AW26" s="15">
        <v>136.88</v>
      </c>
      <c r="AX26" s="15">
        <v>137.81</v>
      </c>
      <c r="AY26" s="15">
        <v>142.47</v>
      </c>
      <c r="AZ26" s="15">
        <v>151.44999999999999</v>
      </c>
      <c r="BA26" s="15">
        <v>163.97</v>
      </c>
      <c r="BB26" s="15">
        <v>179.75</v>
      </c>
      <c r="BC26" s="15">
        <v>198.74</v>
      </c>
      <c r="BD26" s="15">
        <v>219.69</v>
      </c>
      <c r="BE26" s="15">
        <v>241.66</v>
      </c>
      <c r="BF26" s="15">
        <v>264.70999999999998</v>
      </c>
      <c r="BG26" s="15">
        <v>288.77</v>
      </c>
      <c r="BH26" s="15">
        <v>313.64999999999998</v>
      </c>
      <c r="BI26" s="15">
        <v>339.97</v>
      </c>
      <c r="BJ26" s="15">
        <v>368.28</v>
      </c>
      <c r="BK26" s="15">
        <v>398.92</v>
      </c>
      <c r="BL26" s="15">
        <v>431.99</v>
      </c>
      <c r="BM26" s="15">
        <v>467.55</v>
      </c>
      <c r="BN26" s="15">
        <v>505.62</v>
      </c>
      <c r="BO26" s="15">
        <v>546.95000000000005</v>
      </c>
      <c r="BP26" s="15">
        <v>591.95000000000005</v>
      </c>
      <c r="BQ26" s="15">
        <v>644.04</v>
      </c>
      <c r="BR26" s="15">
        <v>703.69</v>
      </c>
      <c r="BS26" s="15">
        <v>766.15</v>
      </c>
      <c r="BT26" s="15">
        <v>828.86</v>
      </c>
      <c r="BU26" s="15">
        <v>895.19</v>
      </c>
      <c r="BV26" s="15">
        <v>970.54</v>
      </c>
      <c r="BW26" s="15">
        <v>1055.21</v>
      </c>
      <c r="BX26" s="15">
        <v>1147.8699999999999</v>
      </c>
      <c r="BY26" s="15">
        <v>1249.6500000000001</v>
      </c>
      <c r="BZ26" s="15">
        <v>1362.83</v>
      </c>
      <c r="CA26" s="15">
        <v>1488.9</v>
      </c>
      <c r="CB26" s="15">
        <v>1628.01</v>
      </c>
      <c r="CC26" s="15">
        <v>1781.15</v>
      </c>
      <c r="CD26" s="15">
        <v>1951.51</v>
      </c>
      <c r="CE26" s="15">
        <v>2141.73</v>
      </c>
      <c r="CF26" s="15">
        <v>2353.63</v>
      </c>
      <c r="CG26" s="15">
        <v>2589.54</v>
      </c>
      <c r="CH26" s="15">
        <v>2850.37</v>
      </c>
      <c r="CI26" s="15">
        <v>3138.19</v>
      </c>
      <c r="CJ26" s="15">
        <v>3455.22</v>
      </c>
      <c r="CK26" s="15">
        <v>3800.08</v>
      </c>
      <c r="CL26" s="15">
        <v>4170.4799999999996</v>
      </c>
      <c r="CM26" s="15">
        <v>4568.5600000000004</v>
      </c>
      <c r="CN26" s="15">
        <v>5000.4799999999996</v>
      </c>
      <c r="CO26" s="15">
        <v>5465.63</v>
      </c>
      <c r="CP26" s="15">
        <v>5961.06</v>
      </c>
      <c r="CQ26" s="15">
        <v>6489.49</v>
      </c>
      <c r="CR26" s="15">
        <v>7059.08</v>
      </c>
      <c r="CS26" s="15">
        <v>7680</v>
      </c>
      <c r="CT26" s="15">
        <v>8361.4699999999993</v>
      </c>
      <c r="CU26" s="15">
        <v>9090.17</v>
      </c>
      <c r="CV26" s="15">
        <v>9858.66</v>
      </c>
      <c r="CW26" s="15">
        <v>10680.54</v>
      </c>
      <c r="CX26" s="15">
        <v>11557.27</v>
      </c>
    </row>
    <row r="27" spans="1:102" x14ac:dyDescent="0.25">
      <c r="A27" s="14">
        <v>2005</v>
      </c>
      <c r="B27" s="15">
        <v>572.45000000000005</v>
      </c>
      <c r="C27" s="15">
        <v>39.74</v>
      </c>
      <c r="D27" s="15">
        <v>28.23</v>
      </c>
      <c r="E27" s="15">
        <v>16.27</v>
      </c>
      <c r="F27" s="15">
        <v>9.2200000000000006</v>
      </c>
      <c r="G27" s="15">
        <v>10.29</v>
      </c>
      <c r="H27" s="15">
        <v>9.75</v>
      </c>
      <c r="I27" s="15">
        <v>7.28</v>
      </c>
      <c r="J27" s="15">
        <v>8.1300000000000008</v>
      </c>
      <c r="K27" s="15">
        <v>7.31</v>
      </c>
      <c r="L27" s="15">
        <v>7.24</v>
      </c>
      <c r="M27" s="15">
        <v>7.63</v>
      </c>
      <c r="N27" s="15">
        <v>8.35</v>
      </c>
      <c r="O27" s="15">
        <v>9.74</v>
      </c>
      <c r="P27" s="15">
        <v>11.79</v>
      </c>
      <c r="Q27" s="15">
        <v>14.54</v>
      </c>
      <c r="R27" s="15">
        <v>18.170000000000002</v>
      </c>
      <c r="S27" s="15">
        <v>22.58</v>
      </c>
      <c r="T27" s="15">
        <v>27.51</v>
      </c>
      <c r="U27" s="15">
        <v>32.11</v>
      </c>
      <c r="V27" s="15">
        <v>35.32</v>
      </c>
      <c r="W27" s="15">
        <v>36.619999999999997</v>
      </c>
      <c r="X27" s="15">
        <v>36.14</v>
      </c>
      <c r="Y27" s="15">
        <v>35.03</v>
      </c>
      <c r="Z27" s="15">
        <v>34.28</v>
      </c>
      <c r="AA27" s="15">
        <v>34.18</v>
      </c>
      <c r="AB27" s="15">
        <v>35.24</v>
      </c>
      <c r="AC27" s="15">
        <v>37.4</v>
      </c>
      <c r="AD27" s="15">
        <v>40.22</v>
      </c>
      <c r="AE27" s="15">
        <v>43.58</v>
      </c>
      <c r="AF27" s="15">
        <v>47.24</v>
      </c>
      <c r="AG27" s="15">
        <v>51.14</v>
      </c>
      <c r="AH27" s="15">
        <v>55.27</v>
      </c>
      <c r="AI27" s="15">
        <v>59.69</v>
      </c>
      <c r="AJ27" s="15">
        <v>64.94</v>
      </c>
      <c r="AK27" s="15">
        <v>71.25</v>
      </c>
      <c r="AL27" s="15">
        <v>78.86</v>
      </c>
      <c r="AM27" s="15">
        <v>87.77</v>
      </c>
      <c r="AN27" s="15">
        <v>97.3</v>
      </c>
      <c r="AO27" s="15">
        <v>107.08</v>
      </c>
      <c r="AP27" s="15">
        <v>116.24</v>
      </c>
      <c r="AQ27" s="15">
        <v>123.96</v>
      </c>
      <c r="AR27" s="15">
        <v>129.86000000000001</v>
      </c>
      <c r="AS27" s="15">
        <v>133.93</v>
      </c>
      <c r="AT27" s="15">
        <v>136.19999999999999</v>
      </c>
      <c r="AU27" s="15">
        <v>136.57</v>
      </c>
      <c r="AV27" s="15">
        <v>135.82</v>
      </c>
      <c r="AW27" s="15">
        <v>135.19</v>
      </c>
      <c r="AX27" s="15">
        <v>136.16</v>
      </c>
      <c r="AY27" s="15">
        <v>140.66</v>
      </c>
      <c r="AZ27" s="15">
        <v>149.56</v>
      </c>
      <c r="BA27" s="15">
        <v>161.91</v>
      </c>
      <c r="BB27" s="15">
        <v>177.57</v>
      </c>
      <c r="BC27" s="15">
        <v>196.43</v>
      </c>
      <c r="BD27" s="15">
        <v>216.97</v>
      </c>
      <c r="BE27" s="15">
        <v>238.73</v>
      </c>
      <c r="BF27" s="15">
        <v>261.49</v>
      </c>
      <c r="BG27" s="15">
        <v>285.24</v>
      </c>
      <c r="BH27" s="15">
        <v>309.89999999999998</v>
      </c>
      <c r="BI27" s="15">
        <v>335.97</v>
      </c>
      <c r="BJ27" s="15">
        <v>363.87</v>
      </c>
      <c r="BK27" s="15">
        <v>394.05</v>
      </c>
      <c r="BL27" s="15">
        <v>426.9</v>
      </c>
      <c r="BM27" s="15">
        <v>461.88</v>
      </c>
      <c r="BN27" s="15">
        <v>499.44</v>
      </c>
      <c r="BO27" s="15">
        <v>540.35</v>
      </c>
      <c r="BP27" s="15">
        <v>584.86</v>
      </c>
      <c r="BQ27" s="15">
        <v>636.19000000000005</v>
      </c>
      <c r="BR27" s="15">
        <v>695.12</v>
      </c>
      <c r="BS27" s="15">
        <v>756.86</v>
      </c>
      <c r="BT27" s="15">
        <v>818.84</v>
      </c>
      <c r="BU27" s="15">
        <v>884.43</v>
      </c>
      <c r="BV27" s="15">
        <v>958.77</v>
      </c>
      <c r="BW27" s="15">
        <v>1042.51</v>
      </c>
      <c r="BX27" s="15">
        <v>1134.06</v>
      </c>
      <c r="BY27" s="15">
        <v>1234.58</v>
      </c>
      <c r="BZ27" s="15">
        <v>1346.48</v>
      </c>
      <c r="CA27" s="15">
        <v>1471.11</v>
      </c>
      <c r="CB27" s="15">
        <v>1608.39</v>
      </c>
      <c r="CC27" s="15">
        <v>1759.71</v>
      </c>
      <c r="CD27" s="15">
        <v>1928.24</v>
      </c>
      <c r="CE27" s="15">
        <v>2116.02</v>
      </c>
      <c r="CF27" s="15">
        <v>2325.46</v>
      </c>
      <c r="CG27" s="15">
        <v>2558.6999999999998</v>
      </c>
      <c r="CH27" s="15">
        <v>2816.2</v>
      </c>
      <c r="CI27" s="15">
        <v>3100.87</v>
      </c>
      <c r="CJ27" s="15">
        <v>3414.34</v>
      </c>
      <c r="CK27" s="15">
        <v>3755.12</v>
      </c>
      <c r="CL27" s="15">
        <v>4121.3100000000004</v>
      </c>
      <c r="CM27" s="15">
        <v>4514.95</v>
      </c>
      <c r="CN27" s="15">
        <v>4942.1000000000004</v>
      </c>
      <c r="CO27" s="15">
        <v>5401.73</v>
      </c>
      <c r="CP27" s="15">
        <v>5891.38</v>
      </c>
      <c r="CQ27" s="15">
        <v>6414.28</v>
      </c>
      <c r="CR27" s="15">
        <v>6977.25</v>
      </c>
      <c r="CS27" s="15">
        <v>7591.21</v>
      </c>
      <c r="CT27" s="15">
        <v>8264.93</v>
      </c>
      <c r="CU27" s="15">
        <v>8986.2099999999991</v>
      </c>
      <c r="CV27" s="15">
        <v>9746.1299999999992</v>
      </c>
      <c r="CW27" s="15">
        <v>10559.12</v>
      </c>
      <c r="CX27" s="15">
        <v>11426.11</v>
      </c>
    </row>
    <row r="28" spans="1:102" x14ac:dyDescent="0.25">
      <c r="A28" s="14">
        <v>2006</v>
      </c>
      <c r="B28" s="15">
        <v>545</v>
      </c>
      <c r="C28" s="15">
        <v>40.729999999999997</v>
      </c>
      <c r="D28" s="15">
        <v>18.47</v>
      </c>
      <c r="E28" s="15">
        <v>11.05</v>
      </c>
      <c r="F28" s="15">
        <v>10.220000000000001</v>
      </c>
      <c r="G28" s="15">
        <v>11.51</v>
      </c>
      <c r="H28" s="15">
        <v>9.3800000000000008</v>
      </c>
      <c r="I28" s="15">
        <v>8.74</v>
      </c>
      <c r="J28" s="15">
        <v>7.68</v>
      </c>
      <c r="K28" s="15">
        <v>7.09</v>
      </c>
      <c r="L28" s="15">
        <v>7.01</v>
      </c>
      <c r="M28" s="15">
        <v>7.46</v>
      </c>
      <c r="N28" s="15">
        <v>8.16</v>
      </c>
      <c r="O28" s="15">
        <v>9.4499999999999993</v>
      </c>
      <c r="P28" s="15">
        <v>11.44</v>
      </c>
      <c r="Q28" s="15">
        <v>14.1</v>
      </c>
      <c r="R28" s="15">
        <v>17.559999999999999</v>
      </c>
      <c r="S28" s="15">
        <v>21.91</v>
      </c>
      <c r="T28" s="15">
        <v>26.83</v>
      </c>
      <c r="U28" s="15">
        <v>31.36</v>
      </c>
      <c r="V28" s="15">
        <v>34.61</v>
      </c>
      <c r="W28" s="15">
        <v>35.880000000000003</v>
      </c>
      <c r="X28" s="15">
        <v>35.54</v>
      </c>
      <c r="Y28" s="15">
        <v>34.42</v>
      </c>
      <c r="Z28" s="15">
        <v>33.76</v>
      </c>
      <c r="AA28" s="15">
        <v>33.61</v>
      </c>
      <c r="AB28" s="15">
        <v>34.76</v>
      </c>
      <c r="AC28" s="15">
        <v>36.700000000000003</v>
      </c>
      <c r="AD28" s="15">
        <v>39.619999999999997</v>
      </c>
      <c r="AE28" s="15">
        <v>43.02</v>
      </c>
      <c r="AF28" s="15">
        <v>46.58</v>
      </c>
      <c r="AG28" s="15">
        <v>50.27</v>
      </c>
      <c r="AH28" s="15">
        <v>54.46</v>
      </c>
      <c r="AI28" s="15">
        <v>58.88</v>
      </c>
      <c r="AJ28" s="15">
        <v>64.05</v>
      </c>
      <c r="AK28" s="15">
        <v>70.209999999999994</v>
      </c>
      <c r="AL28" s="15">
        <v>77.790000000000006</v>
      </c>
      <c r="AM28" s="15">
        <v>86.57</v>
      </c>
      <c r="AN28" s="15">
        <v>96.03</v>
      </c>
      <c r="AO28" s="15">
        <v>105.67</v>
      </c>
      <c r="AP28" s="15">
        <v>114.76</v>
      </c>
      <c r="AQ28" s="15">
        <v>122.33</v>
      </c>
      <c r="AR28" s="15">
        <v>128.13</v>
      </c>
      <c r="AS28" s="15">
        <v>132.26</v>
      </c>
      <c r="AT28" s="15">
        <v>134.36000000000001</v>
      </c>
      <c r="AU28" s="15">
        <v>134.77000000000001</v>
      </c>
      <c r="AV28" s="15">
        <v>134.09</v>
      </c>
      <c r="AW28" s="15">
        <v>133.43</v>
      </c>
      <c r="AX28" s="15">
        <v>134.38</v>
      </c>
      <c r="AY28" s="15">
        <v>138.82</v>
      </c>
      <c r="AZ28" s="15">
        <v>147.66</v>
      </c>
      <c r="BA28" s="15">
        <v>159.97999999999999</v>
      </c>
      <c r="BB28" s="15">
        <v>175.46</v>
      </c>
      <c r="BC28" s="15">
        <v>193.95</v>
      </c>
      <c r="BD28" s="15">
        <v>214.29</v>
      </c>
      <c r="BE28" s="15">
        <v>235.76</v>
      </c>
      <c r="BF28" s="15">
        <v>258.27999999999997</v>
      </c>
      <c r="BG28" s="15">
        <v>281.69</v>
      </c>
      <c r="BH28" s="15">
        <v>306.11</v>
      </c>
      <c r="BI28" s="15">
        <v>331.84</v>
      </c>
      <c r="BJ28" s="15">
        <v>359.3</v>
      </c>
      <c r="BK28" s="15">
        <v>389.32</v>
      </c>
      <c r="BL28" s="15">
        <v>421.67</v>
      </c>
      <c r="BM28" s="15">
        <v>456.14</v>
      </c>
      <c r="BN28" s="15">
        <v>493.35</v>
      </c>
      <c r="BO28" s="15">
        <v>533.83000000000004</v>
      </c>
      <c r="BP28" s="15">
        <v>577.71</v>
      </c>
      <c r="BQ28" s="15">
        <v>628.27</v>
      </c>
      <c r="BR28" s="15">
        <v>686.6</v>
      </c>
      <c r="BS28" s="15">
        <v>747.48</v>
      </c>
      <c r="BT28" s="15">
        <v>808.84</v>
      </c>
      <c r="BU28" s="15">
        <v>873.48</v>
      </c>
      <c r="BV28" s="15">
        <v>947.05</v>
      </c>
      <c r="BW28" s="15">
        <v>1029.74</v>
      </c>
      <c r="BX28" s="15">
        <v>1120.1400000000001</v>
      </c>
      <c r="BY28" s="15">
        <v>1219.5999999999999</v>
      </c>
      <c r="BZ28" s="15">
        <v>1330.08</v>
      </c>
      <c r="CA28" s="15">
        <v>1453.14</v>
      </c>
      <c r="CB28" s="15">
        <v>1588.78</v>
      </c>
      <c r="CC28" s="15">
        <v>1738.3</v>
      </c>
      <c r="CD28" s="15">
        <v>1904.85</v>
      </c>
      <c r="CE28" s="15">
        <v>2090.29</v>
      </c>
      <c r="CF28" s="15">
        <v>2297.38</v>
      </c>
      <c r="CG28" s="15">
        <v>2527.7399999999998</v>
      </c>
      <c r="CH28" s="15">
        <v>2782.26</v>
      </c>
      <c r="CI28" s="15">
        <v>3063.67</v>
      </c>
      <c r="CJ28" s="15">
        <v>3373.5</v>
      </c>
      <c r="CK28" s="15">
        <v>3710.36</v>
      </c>
      <c r="CL28" s="15">
        <v>4072.47</v>
      </c>
      <c r="CM28" s="15">
        <v>4461.82</v>
      </c>
      <c r="CN28" s="15">
        <v>4883.95</v>
      </c>
      <c r="CO28" s="15">
        <v>5338.45</v>
      </c>
      <c r="CP28" s="15">
        <v>5822.65</v>
      </c>
      <c r="CQ28" s="15">
        <v>6339.74</v>
      </c>
      <c r="CR28" s="15">
        <v>6896.1</v>
      </c>
      <c r="CS28" s="15">
        <v>7503.34</v>
      </c>
      <c r="CT28" s="15">
        <v>8169.8</v>
      </c>
      <c r="CU28" s="15">
        <v>8883</v>
      </c>
      <c r="CV28" s="15">
        <v>9634.5</v>
      </c>
      <c r="CW28" s="15">
        <v>10438.879999999999</v>
      </c>
      <c r="CX28" s="15">
        <v>11296.54</v>
      </c>
    </row>
    <row r="29" spans="1:102" x14ac:dyDescent="0.25">
      <c r="A29" s="14">
        <v>2007</v>
      </c>
      <c r="B29" s="15">
        <v>535.82000000000005</v>
      </c>
      <c r="C29" s="15">
        <v>36.909999999999997</v>
      </c>
      <c r="D29" s="15">
        <v>18.7</v>
      </c>
      <c r="E29" s="15">
        <v>15.58</v>
      </c>
      <c r="F29" s="15">
        <v>10.199999999999999</v>
      </c>
      <c r="G29" s="15">
        <v>11.17</v>
      </c>
      <c r="H29" s="15">
        <v>9.18</v>
      </c>
      <c r="I29" s="15">
        <v>8.2100000000000009</v>
      </c>
      <c r="J29" s="15">
        <v>7.45</v>
      </c>
      <c r="K29" s="15">
        <v>6.81</v>
      </c>
      <c r="L29" s="15">
        <v>6.8</v>
      </c>
      <c r="M29" s="15">
        <v>7.3</v>
      </c>
      <c r="N29" s="15">
        <v>7.91</v>
      </c>
      <c r="O29" s="15">
        <v>9.16</v>
      </c>
      <c r="P29" s="15">
        <v>11.15</v>
      </c>
      <c r="Q29" s="15">
        <v>13.62</v>
      </c>
      <c r="R29" s="15">
        <v>16.97</v>
      </c>
      <c r="S29" s="15">
        <v>21.32</v>
      </c>
      <c r="T29" s="15">
        <v>26.16</v>
      </c>
      <c r="U29" s="15">
        <v>30.64</v>
      </c>
      <c r="V29" s="15">
        <v>33.92</v>
      </c>
      <c r="W29" s="15">
        <v>35.229999999999997</v>
      </c>
      <c r="X29" s="15">
        <v>34.909999999999997</v>
      </c>
      <c r="Y29" s="15">
        <v>33.94</v>
      </c>
      <c r="Z29" s="15">
        <v>33.200000000000003</v>
      </c>
      <c r="AA29" s="15">
        <v>33.28</v>
      </c>
      <c r="AB29" s="15">
        <v>34.24</v>
      </c>
      <c r="AC29" s="15">
        <v>36.18</v>
      </c>
      <c r="AD29" s="15">
        <v>39.14</v>
      </c>
      <c r="AE29" s="15">
        <v>42.35</v>
      </c>
      <c r="AF29" s="15">
        <v>45.87</v>
      </c>
      <c r="AG29" s="15">
        <v>49.74</v>
      </c>
      <c r="AH29" s="15">
        <v>53.72</v>
      </c>
      <c r="AI29" s="15">
        <v>58.08</v>
      </c>
      <c r="AJ29" s="15">
        <v>63.17</v>
      </c>
      <c r="AK29" s="15">
        <v>69.28</v>
      </c>
      <c r="AL29" s="15">
        <v>76.83</v>
      </c>
      <c r="AM29" s="15">
        <v>85.44</v>
      </c>
      <c r="AN29" s="15">
        <v>94.82</v>
      </c>
      <c r="AO29" s="15">
        <v>104.38</v>
      </c>
      <c r="AP29" s="15">
        <v>113.34</v>
      </c>
      <c r="AQ29" s="15">
        <v>120.83</v>
      </c>
      <c r="AR29" s="15">
        <v>126.64</v>
      </c>
      <c r="AS29" s="15">
        <v>130.66</v>
      </c>
      <c r="AT29" s="15">
        <v>132.71</v>
      </c>
      <c r="AU29" s="15">
        <v>133.16</v>
      </c>
      <c r="AV29" s="15">
        <v>132.44999999999999</v>
      </c>
      <c r="AW29" s="15">
        <v>131.76</v>
      </c>
      <c r="AX29" s="15">
        <v>132.62</v>
      </c>
      <c r="AY29" s="15">
        <v>137.22</v>
      </c>
      <c r="AZ29" s="15">
        <v>145.94</v>
      </c>
      <c r="BA29" s="15">
        <v>158.1</v>
      </c>
      <c r="BB29" s="15">
        <v>173.25</v>
      </c>
      <c r="BC29" s="15">
        <v>191.48</v>
      </c>
      <c r="BD29" s="15">
        <v>211.79</v>
      </c>
      <c r="BE29" s="15">
        <v>232.88</v>
      </c>
      <c r="BF29" s="15">
        <v>255.15</v>
      </c>
      <c r="BG29" s="15">
        <v>278.27999999999997</v>
      </c>
      <c r="BH29" s="15">
        <v>302.45999999999998</v>
      </c>
      <c r="BI29" s="15">
        <v>327.81</v>
      </c>
      <c r="BJ29" s="15">
        <v>355</v>
      </c>
      <c r="BK29" s="15">
        <v>384.69</v>
      </c>
      <c r="BL29" s="15">
        <v>416.42</v>
      </c>
      <c r="BM29" s="15">
        <v>450.62</v>
      </c>
      <c r="BN29" s="15">
        <v>487.54</v>
      </c>
      <c r="BO29" s="15">
        <v>527.42999999999995</v>
      </c>
      <c r="BP29" s="15">
        <v>570.62</v>
      </c>
      <c r="BQ29" s="15">
        <v>620.71</v>
      </c>
      <c r="BR29" s="15">
        <v>678.32</v>
      </c>
      <c r="BS29" s="15">
        <v>738.53</v>
      </c>
      <c r="BT29" s="15">
        <v>799.05</v>
      </c>
      <c r="BU29" s="15">
        <v>862.99</v>
      </c>
      <c r="BV29" s="15">
        <v>935.63</v>
      </c>
      <c r="BW29" s="15">
        <v>1017.38</v>
      </c>
      <c r="BX29" s="15">
        <v>1106.71</v>
      </c>
      <c r="BY29" s="15">
        <v>1204.8699999999999</v>
      </c>
      <c r="BZ29" s="15">
        <v>1314.07</v>
      </c>
      <c r="CA29" s="15">
        <v>1435.71</v>
      </c>
      <c r="CB29" s="15">
        <v>1569.66</v>
      </c>
      <c r="CC29" s="15">
        <v>1717.59</v>
      </c>
      <c r="CD29" s="15">
        <v>1881.99</v>
      </c>
      <c r="CE29" s="15">
        <v>2065.25</v>
      </c>
      <c r="CF29" s="15">
        <v>2270.02</v>
      </c>
      <c r="CG29" s="15">
        <v>2497.54</v>
      </c>
      <c r="CH29" s="15">
        <v>2749.25</v>
      </c>
      <c r="CI29" s="15">
        <v>3027.29</v>
      </c>
      <c r="CJ29" s="15">
        <v>3333.37</v>
      </c>
      <c r="CK29" s="15">
        <v>3666.43</v>
      </c>
      <c r="CL29" s="15">
        <v>4024.43</v>
      </c>
      <c r="CM29" s="15">
        <v>4409.34</v>
      </c>
      <c r="CN29" s="15">
        <v>4826.72</v>
      </c>
      <c r="CO29" s="15">
        <v>5276.03</v>
      </c>
      <c r="CP29" s="15">
        <v>5754.79</v>
      </c>
      <c r="CQ29" s="15">
        <v>6265.92</v>
      </c>
      <c r="CR29" s="15">
        <v>6816.41</v>
      </c>
      <c r="CS29" s="15">
        <v>7416.9</v>
      </c>
      <c r="CT29" s="15">
        <v>8075.9</v>
      </c>
      <c r="CU29" s="15">
        <v>8780.89</v>
      </c>
      <c r="CV29" s="15">
        <v>9524.25</v>
      </c>
      <c r="CW29" s="15">
        <v>10319.94</v>
      </c>
      <c r="CX29" s="15">
        <v>11168.85</v>
      </c>
    </row>
    <row r="30" spans="1:102" x14ac:dyDescent="0.25">
      <c r="A30" s="14">
        <v>2008</v>
      </c>
      <c r="B30" s="15">
        <v>522.70000000000005</v>
      </c>
      <c r="C30" s="15">
        <v>31.64</v>
      </c>
      <c r="D30" s="15">
        <v>19.149999999999999</v>
      </c>
      <c r="E30" s="15">
        <v>11.43</v>
      </c>
      <c r="F30" s="15">
        <v>11.38</v>
      </c>
      <c r="G30" s="15">
        <v>9.75</v>
      </c>
      <c r="H30" s="15">
        <v>8.6199999999999992</v>
      </c>
      <c r="I30" s="15">
        <v>7.92</v>
      </c>
      <c r="J30" s="15">
        <v>7.17</v>
      </c>
      <c r="K30" s="15">
        <v>6.61</v>
      </c>
      <c r="L30" s="15">
        <v>6.66</v>
      </c>
      <c r="M30" s="15">
        <v>7.02</v>
      </c>
      <c r="N30" s="15">
        <v>7.69</v>
      </c>
      <c r="O30" s="15">
        <v>8.91</v>
      </c>
      <c r="P30" s="15">
        <v>10.86</v>
      </c>
      <c r="Q30" s="15">
        <v>13.2</v>
      </c>
      <c r="R30" s="15">
        <v>16.55</v>
      </c>
      <c r="S30" s="15">
        <v>20.87</v>
      </c>
      <c r="T30" s="15">
        <v>25.55</v>
      </c>
      <c r="U30" s="15">
        <v>30.07</v>
      </c>
      <c r="V30" s="15">
        <v>33.25</v>
      </c>
      <c r="W30" s="15">
        <v>34.659999999999997</v>
      </c>
      <c r="X30" s="15">
        <v>34.31</v>
      </c>
      <c r="Y30" s="15">
        <v>33.43</v>
      </c>
      <c r="Z30" s="15">
        <v>32.71</v>
      </c>
      <c r="AA30" s="15">
        <v>32.89</v>
      </c>
      <c r="AB30" s="15">
        <v>33.840000000000003</v>
      </c>
      <c r="AC30" s="15">
        <v>35.85</v>
      </c>
      <c r="AD30" s="15">
        <v>38.6</v>
      </c>
      <c r="AE30" s="15">
        <v>41.81</v>
      </c>
      <c r="AF30" s="15">
        <v>45.38</v>
      </c>
      <c r="AG30" s="15">
        <v>49.28</v>
      </c>
      <c r="AH30" s="15">
        <v>53.04</v>
      </c>
      <c r="AI30" s="15">
        <v>57.37</v>
      </c>
      <c r="AJ30" s="15">
        <v>62.38</v>
      </c>
      <c r="AK30" s="15">
        <v>68.53</v>
      </c>
      <c r="AL30" s="15">
        <v>76</v>
      </c>
      <c r="AM30" s="15">
        <v>84.46</v>
      </c>
      <c r="AN30" s="15">
        <v>93.72</v>
      </c>
      <c r="AO30" s="15">
        <v>103.22</v>
      </c>
      <c r="AP30" s="15">
        <v>111.99</v>
      </c>
      <c r="AQ30" s="15">
        <v>119.4</v>
      </c>
      <c r="AR30" s="15">
        <v>125.22</v>
      </c>
      <c r="AS30" s="15">
        <v>129.16999999999999</v>
      </c>
      <c r="AT30" s="15">
        <v>131.19</v>
      </c>
      <c r="AU30" s="15">
        <v>131.59</v>
      </c>
      <c r="AV30" s="15">
        <v>130.88999999999999</v>
      </c>
      <c r="AW30" s="15">
        <v>130.15</v>
      </c>
      <c r="AX30" s="15">
        <v>131.15</v>
      </c>
      <c r="AY30" s="15">
        <v>135.6</v>
      </c>
      <c r="AZ30" s="15">
        <v>144.26</v>
      </c>
      <c r="BA30" s="15">
        <v>156.19999999999999</v>
      </c>
      <c r="BB30" s="15">
        <v>171.12</v>
      </c>
      <c r="BC30" s="15">
        <v>189.28</v>
      </c>
      <c r="BD30" s="15">
        <v>209.24</v>
      </c>
      <c r="BE30" s="15">
        <v>230.11</v>
      </c>
      <c r="BF30" s="15">
        <v>252.14</v>
      </c>
      <c r="BG30" s="15">
        <v>275.08</v>
      </c>
      <c r="BH30" s="15">
        <v>298.87</v>
      </c>
      <c r="BI30" s="15">
        <v>323.81</v>
      </c>
      <c r="BJ30" s="15">
        <v>350.89</v>
      </c>
      <c r="BK30" s="15">
        <v>379.99</v>
      </c>
      <c r="BL30" s="15">
        <v>411.46</v>
      </c>
      <c r="BM30" s="15">
        <v>445.36</v>
      </c>
      <c r="BN30" s="15">
        <v>481.77</v>
      </c>
      <c r="BO30" s="15">
        <v>521.14</v>
      </c>
      <c r="BP30" s="15">
        <v>563.85</v>
      </c>
      <c r="BQ30" s="15">
        <v>613.45000000000005</v>
      </c>
      <c r="BR30" s="15">
        <v>670.37</v>
      </c>
      <c r="BS30" s="15">
        <v>729.81</v>
      </c>
      <c r="BT30" s="15">
        <v>789.58</v>
      </c>
      <c r="BU30" s="15">
        <v>852.81</v>
      </c>
      <c r="BV30" s="15">
        <v>924.56</v>
      </c>
      <c r="BW30" s="15">
        <v>1005.49</v>
      </c>
      <c r="BX30" s="15">
        <v>1093.6199999999999</v>
      </c>
      <c r="BY30" s="15">
        <v>1190.56</v>
      </c>
      <c r="BZ30" s="15">
        <v>1298.55</v>
      </c>
      <c r="CA30" s="15">
        <v>1418.8</v>
      </c>
      <c r="CB30" s="15">
        <v>1551.17</v>
      </c>
      <c r="CC30" s="15">
        <v>1697.48</v>
      </c>
      <c r="CD30" s="15">
        <v>1859.77</v>
      </c>
      <c r="CE30" s="15">
        <v>2040.92</v>
      </c>
      <c r="CF30" s="15">
        <v>2243.2399999999998</v>
      </c>
      <c r="CG30" s="15">
        <v>2468.3000000000002</v>
      </c>
      <c r="CH30" s="15">
        <v>2717.04</v>
      </c>
      <c r="CI30" s="15">
        <v>2991.82</v>
      </c>
      <c r="CJ30" s="15">
        <v>3294.18</v>
      </c>
      <c r="CK30" s="15">
        <v>3623.31</v>
      </c>
      <c r="CL30" s="15">
        <v>3977.24</v>
      </c>
      <c r="CM30" s="15">
        <v>4357.83</v>
      </c>
      <c r="CN30" s="15">
        <v>4770.42</v>
      </c>
      <c r="CO30" s="15">
        <v>5214.5200000000004</v>
      </c>
      <c r="CP30" s="15">
        <v>5687.76</v>
      </c>
      <c r="CQ30" s="15">
        <v>6193.58</v>
      </c>
      <c r="CR30" s="15">
        <v>6737.65</v>
      </c>
      <c r="CS30" s="15">
        <v>7331.29</v>
      </c>
      <c r="CT30" s="15">
        <v>7982.96</v>
      </c>
      <c r="CU30" s="15">
        <v>8679.86</v>
      </c>
      <c r="CV30" s="15">
        <v>9415.34</v>
      </c>
      <c r="CW30" s="15">
        <v>10202.58</v>
      </c>
      <c r="CX30" s="15">
        <v>11042.56</v>
      </c>
    </row>
    <row r="31" spans="1:102" x14ac:dyDescent="0.25">
      <c r="A31" s="14">
        <v>2009</v>
      </c>
      <c r="B31" s="15">
        <v>511.37</v>
      </c>
      <c r="C31" s="15">
        <v>32.130000000000003</v>
      </c>
      <c r="D31" s="15">
        <v>20.2</v>
      </c>
      <c r="E31" s="15">
        <v>10.42</v>
      </c>
      <c r="F31" s="15">
        <v>10.31</v>
      </c>
      <c r="G31" s="15">
        <v>9</v>
      </c>
      <c r="H31" s="15">
        <v>8.31</v>
      </c>
      <c r="I31" s="15">
        <v>7.69</v>
      </c>
      <c r="J31" s="15">
        <v>7</v>
      </c>
      <c r="K31" s="15">
        <v>6.44</v>
      </c>
      <c r="L31" s="15">
        <v>6.43</v>
      </c>
      <c r="M31" s="15">
        <v>6.79</v>
      </c>
      <c r="N31" s="15">
        <v>7.51</v>
      </c>
      <c r="O31" s="15">
        <v>8.7200000000000006</v>
      </c>
      <c r="P31" s="15">
        <v>10.53</v>
      </c>
      <c r="Q31" s="15">
        <v>12.87</v>
      </c>
      <c r="R31" s="15">
        <v>16.25</v>
      </c>
      <c r="S31" s="15">
        <v>20.420000000000002</v>
      </c>
      <c r="T31" s="15">
        <v>25.14</v>
      </c>
      <c r="U31" s="15">
        <v>29.52</v>
      </c>
      <c r="V31" s="15">
        <v>32.69</v>
      </c>
      <c r="W31" s="15">
        <v>34.1</v>
      </c>
      <c r="X31" s="15">
        <v>33.83</v>
      </c>
      <c r="Y31" s="15">
        <v>32.85</v>
      </c>
      <c r="Z31" s="15">
        <v>32.299999999999997</v>
      </c>
      <c r="AA31" s="15">
        <v>32.43</v>
      </c>
      <c r="AB31" s="15">
        <v>33.43</v>
      </c>
      <c r="AC31" s="15">
        <v>35.43</v>
      </c>
      <c r="AD31" s="15">
        <v>38.11</v>
      </c>
      <c r="AE31" s="15">
        <v>41.3</v>
      </c>
      <c r="AF31" s="15">
        <v>44.91</v>
      </c>
      <c r="AG31" s="15">
        <v>48.63</v>
      </c>
      <c r="AH31" s="15">
        <v>52.47</v>
      </c>
      <c r="AI31" s="15">
        <v>56.73</v>
      </c>
      <c r="AJ31" s="15">
        <v>61.65</v>
      </c>
      <c r="AK31" s="15">
        <v>67.77</v>
      </c>
      <c r="AL31" s="15">
        <v>75.040000000000006</v>
      </c>
      <c r="AM31" s="15">
        <v>83.5</v>
      </c>
      <c r="AN31" s="15">
        <v>92.6</v>
      </c>
      <c r="AO31" s="15">
        <v>101.99</v>
      </c>
      <c r="AP31" s="15">
        <v>110.55</v>
      </c>
      <c r="AQ31" s="15">
        <v>117.92</v>
      </c>
      <c r="AR31" s="15">
        <v>123.76</v>
      </c>
      <c r="AS31" s="15">
        <v>127.59</v>
      </c>
      <c r="AT31" s="15">
        <v>129.54</v>
      </c>
      <c r="AU31" s="15">
        <v>130.04</v>
      </c>
      <c r="AV31" s="15">
        <v>129.30000000000001</v>
      </c>
      <c r="AW31" s="15">
        <v>128.61000000000001</v>
      </c>
      <c r="AX31" s="15">
        <v>129.54</v>
      </c>
      <c r="AY31" s="15">
        <v>133.9</v>
      </c>
      <c r="AZ31" s="15">
        <v>142.5</v>
      </c>
      <c r="BA31" s="15">
        <v>154.31</v>
      </c>
      <c r="BB31" s="15">
        <v>169.12</v>
      </c>
      <c r="BC31" s="15">
        <v>187.06</v>
      </c>
      <c r="BD31" s="15">
        <v>206.63</v>
      </c>
      <c r="BE31" s="15">
        <v>227.42</v>
      </c>
      <c r="BF31" s="15">
        <v>249.14</v>
      </c>
      <c r="BG31" s="15">
        <v>271.77</v>
      </c>
      <c r="BH31" s="15">
        <v>295.13</v>
      </c>
      <c r="BI31" s="15">
        <v>319.95999999999998</v>
      </c>
      <c r="BJ31" s="15">
        <v>346.63</v>
      </c>
      <c r="BK31" s="15">
        <v>375.41</v>
      </c>
      <c r="BL31" s="15">
        <v>406.55</v>
      </c>
      <c r="BM31" s="15">
        <v>440.04</v>
      </c>
      <c r="BN31" s="15">
        <v>475.96</v>
      </c>
      <c r="BO31" s="15">
        <v>514.86</v>
      </c>
      <c r="BP31" s="15">
        <v>557.20000000000005</v>
      </c>
      <c r="BQ31" s="15">
        <v>606.05999999999995</v>
      </c>
      <c r="BR31" s="15">
        <v>662.31</v>
      </c>
      <c r="BS31" s="15">
        <v>721.05</v>
      </c>
      <c r="BT31" s="15">
        <v>780.1</v>
      </c>
      <c r="BU31" s="15">
        <v>842.61</v>
      </c>
      <c r="BV31" s="15">
        <v>913.6</v>
      </c>
      <c r="BW31" s="15">
        <v>993.46</v>
      </c>
      <c r="BX31" s="15">
        <v>1080.48</v>
      </c>
      <c r="BY31" s="15">
        <v>1176.3800000000001</v>
      </c>
      <c r="BZ31" s="15">
        <v>1283.01</v>
      </c>
      <c r="CA31" s="15">
        <v>1401.87</v>
      </c>
      <c r="CB31" s="15">
        <v>1532.69</v>
      </c>
      <c r="CC31" s="15">
        <v>1677.29</v>
      </c>
      <c r="CD31" s="15">
        <v>1837.6</v>
      </c>
      <c r="CE31" s="15">
        <v>2016.59</v>
      </c>
      <c r="CF31" s="15">
        <v>2216.62</v>
      </c>
      <c r="CG31" s="15">
        <v>2439.1</v>
      </c>
      <c r="CH31" s="15">
        <v>2684.91</v>
      </c>
      <c r="CI31" s="15">
        <v>2956.32</v>
      </c>
      <c r="CJ31" s="15">
        <v>3255.21</v>
      </c>
      <c r="CK31" s="15">
        <v>3580.42</v>
      </c>
      <c r="CL31" s="15">
        <v>3930.68</v>
      </c>
      <c r="CM31" s="15">
        <v>4306.62</v>
      </c>
      <c r="CN31" s="15">
        <v>4714.4799999999996</v>
      </c>
      <c r="CO31" s="15">
        <v>5153.57</v>
      </c>
      <c r="CP31" s="15">
        <v>5621.73</v>
      </c>
      <c r="CQ31" s="15">
        <v>6121.51</v>
      </c>
      <c r="CR31" s="15">
        <v>6659.22</v>
      </c>
      <c r="CS31" s="15">
        <v>7246.57</v>
      </c>
      <c r="CT31" s="15">
        <v>7890.82</v>
      </c>
      <c r="CU31" s="15">
        <v>8580.2000000000007</v>
      </c>
      <c r="CV31" s="15">
        <v>9307.68</v>
      </c>
      <c r="CW31" s="15">
        <v>10086.370000000001</v>
      </c>
      <c r="CX31" s="15">
        <v>10917.11</v>
      </c>
    </row>
    <row r="32" spans="1:102" x14ac:dyDescent="0.25">
      <c r="A32" s="14">
        <v>2010</v>
      </c>
      <c r="B32" s="15">
        <v>464.45</v>
      </c>
      <c r="C32" s="15">
        <v>35.4</v>
      </c>
      <c r="D32" s="15">
        <v>18.22</v>
      </c>
      <c r="E32" s="15">
        <v>11.59</v>
      </c>
      <c r="F32" s="15">
        <v>9.49</v>
      </c>
      <c r="G32" s="15">
        <v>8.68</v>
      </c>
      <c r="H32" s="15">
        <v>8.06</v>
      </c>
      <c r="I32" s="15">
        <v>7.5</v>
      </c>
      <c r="J32" s="15">
        <v>6.76</v>
      </c>
      <c r="K32" s="15">
        <v>6.26</v>
      </c>
      <c r="L32" s="15">
        <v>6.2</v>
      </c>
      <c r="M32" s="15">
        <v>6.62</v>
      </c>
      <c r="N32" s="15">
        <v>7.33</v>
      </c>
      <c r="O32" s="15">
        <v>8.5299999999999994</v>
      </c>
      <c r="P32" s="15">
        <v>10.16</v>
      </c>
      <c r="Q32" s="15">
        <v>12.59</v>
      </c>
      <c r="R32" s="15">
        <v>15.89</v>
      </c>
      <c r="S32" s="15">
        <v>20.04</v>
      </c>
      <c r="T32" s="15">
        <v>24.72</v>
      </c>
      <c r="U32" s="15">
        <v>28.95</v>
      </c>
      <c r="V32" s="15">
        <v>32.159999999999997</v>
      </c>
      <c r="W32" s="15">
        <v>33.57</v>
      </c>
      <c r="X32" s="15">
        <v>33.29</v>
      </c>
      <c r="Y32" s="15">
        <v>32.380000000000003</v>
      </c>
      <c r="Z32" s="15">
        <v>31.85</v>
      </c>
      <c r="AA32" s="15">
        <v>31.88</v>
      </c>
      <c r="AB32" s="15">
        <v>32.979999999999997</v>
      </c>
      <c r="AC32" s="15">
        <v>34.93</v>
      </c>
      <c r="AD32" s="15">
        <v>37.700000000000003</v>
      </c>
      <c r="AE32" s="15">
        <v>40.770000000000003</v>
      </c>
      <c r="AF32" s="15">
        <v>44.3</v>
      </c>
      <c r="AG32" s="15">
        <v>48.05</v>
      </c>
      <c r="AH32" s="15">
        <v>51.87</v>
      </c>
      <c r="AI32" s="15">
        <v>56</v>
      </c>
      <c r="AJ32" s="15">
        <v>60.94</v>
      </c>
      <c r="AK32" s="15">
        <v>66.92</v>
      </c>
      <c r="AL32" s="15">
        <v>74.09</v>
      </c>
      <c r="AM32" s="15">
        <v>82.44</v>
      </c>
      <c r="AN32" s="15">
        <v>91.48</v>
      </c>
      <c r="AO32" s="15">
        <v>100.7</v>
      </c>
      <c r="AP32" s="15">
        <v>109.2</v>
      </c>
      <c r="AQ32" s="15">
        <v>116.51</v>
      </c>
      <c r="AR32" s="15">
        <v>122.25</v>
      </c>
      <c r="AS32" s="15">
        <v>125.93</v>
      </c>
      <c r="AT32" s="15">
        <v>127.91</v>
      </c>
      <c r="AU32" s="15">
        <v>128.4</v>
      </c>
      <c r="AV32" s="15">
        <v>127.71</v>
      </c>
      <c r="AW32" s="15">
        <v>126.97</v>
      </c>
      <c r="AX32" s="15">
        <v>127.91</v>
      </c>
      <c r="AY32" s="15">
        <v>132.29</v>
      </c>
      <c r="AZ32" s="15">
        <v>140.74</v>
      </c>
      <c r="BA32" s="15">
        <v>152.41999999999999</v>
      </c>
      <c r="BB32" s="15">
        <v>167.13</v>
      </c>
      <c r="BC32" s="15">
        <v>184.74</v>
      </c>
      <c r="BD32" s="15">
        <v>204.16</v>
      </c>
      <c r="BE32" s="15">
        <v>224.69</v>
      </c>
      <c r="BF32" s="15">
        <v>246.15</v>
      </c>
      <c r="BG32" s="15">
        <v>268.39</v>
      </c>
      <c r="BH32" s="15">
        <v>291.63</v>
      </c>
      <c r="BI32" s="15">
        <v>316.2</v>
      </c>
      <c r="BJ32" s="15">
        <v>342.4</v>
      </c>
      <c r="BK32" s="15">
        <v>370.9</v>
      </c>
      <c r="BL32" s="15">
        <v>401.63</v>
      </c>
      <c r="BM32" s="15">
        <v>434.63</v>
      </c>
      <c r="BN32" s="15">
        <v>470.15</v>
      </c>
      <c r="BO32" s="15">
        <v>508.62</v>
      </c>
      <c r="BP32" s="15">
        <v>550.42999999999995</v>
      </c>
      <c r="BQ32" s="15">
        <v>598.66999999999996</v>
      </c>
      <c r="BR32" s="15">
        <v>654.26</v>
      </c>
      <c r="BS32" s="15">
        <v>712.24</v>
      </c>
      <c r="BT32" s="15">
        <v>770.74</v>
      </c>
      <c r="BU32" s="15">
        <v>832.49</v>
      </c>
      <c r="BV32" s="15">
        <v>902.58</v>
      </c>
      <c r="BW32" s="15">
        <v>981.37</v>
      </c>
      <c r="BX32" s="15">
        <v>1067.4000000000001</v>
      </c>
      <c r="BY32" s="15">
        <v>1162.0899999999999</v>
      </c>
      <c r="BZ32" s="15">
        <v>1267.5999999999999</v>
      </c>
      <c r="CA32" s="15">
        <v>1384.88</v>
      </c>
      <c r="CB32" s="15">
        <v>1514.36</v>
      </c>
      <c r="CC32" s="15">
        <v>1657.12</v>
      </c>
      <c r="CD32" s="15">
        <v>1815.46</v>
      </c>
      <c r="CE32" s="15">
        <v>1992.45</v>
      </c>
      <c r="CF32" s="15">
        <v>2190.02</v>
      </c>
      <c r="CG32" s="15">
        <v>2409.83</v>
      </c>
      <c r="CH32" s="15">
        <v>2652.74</v>
      </c>
      <c r="CI32" s="15">
        <v>2921.1</v>
      </c>
      <c r="CJ32" s="15">
        <v>3216.52</v>
      </c>
      <c r="CK32" s="15">
        <v>3538.25</v>
      </c>
      <c r="CL32" s="15">
        <v>3884.18</v>
      </c>
      <c r="CM32" s="15">
        <v>4255.82</v>
      </c>
      <c r="CN32" s="15">
        <v>4659.16</v>
      </c>
      <c r="CO32" s="15">
        <v>5093.2700000000004</v>
      </c>
      <c r="CP32" s="15">
        <v>5556.07</v>
      </c>
      <c r="CQ32" s="15">
        <v>6050</v>
      </c>
      <c r="CR32" s="15">
        <v>6581.97</v>
      </c>
      <c r="CS32" s="15">
        <v>7162.97</v>
      </c>
      <c r="CT32" s="15">
        <v>7799.86</v>
      </c>
      <c r="CU32" s="15">
        <v>8481.7800000000007</v>
      </c>
      <c r="CV32" s="15">
        <v>9201.18</v>
      </c>
      <c r="CW32" s="15">
        <v>9971.41</v>
      </c>
      <c r="CX32" s="15">
        <v>10792.86</v>
      </c>
    </row>
    <row r="33" spans="1:102" x14ac:dyDescent="0.25">
      <c r="A33" s="71">
        <v>2011</v>
      </c>
      <c r="B33" s="15">
        <v>494.27</v>
      </c>
      <c r="C33" s="15">
        <v>32.43</v>
      </c>
      <c r="D33" s="15">
        <v>20.69</v>
      </c>
      <c r="E33" s="15">
        <v>10.86</v>
      </c>
      <c r="F33" s="15">
        <v>9.16</v>
      </c>
      <c r="G33" s="15">
        <v>8.42</v>
      </c>
      <c r="H33" s="15">
        <v>7.87</v>
      </c>
      <c r="I33" s="15">
        <v>7.26</v>
      </c>
      <c r="J33" s="15">
        <v>6.53</v>
      </c>
      <c r="K33" s="15">
        <v>6.1</v>
      </c>
      <c r="L33" s="15">
        <v>6.04</v>
      </c>
      <c r="M33" s="15">
        <v>6.39</v>
      </c>
      <c r="N33" s="15">
        <v>7.1</v>
      </c>
      <c r="O33" s="15">
        <v>8.2799999999999994</v>
      </c>
      <c r="P33" s="15">
        <v>9.8699999999999992</v>
      </c>
      <c r="Q33" s="15">
        <v>12.28</v>
      </c>
      <c r="R33" s="15">
        <v>15.58</v>
      </c>
      <c r="S33" s="15">
        <v>19.72</v>
      </c>
      <c r="T33" s="15">
        <v>24.22</v>
      </c>
      <c r="U33" s="15">
        <v>28.56</v>
      </c>
      <c r="V33" s="15">
        <v>31.61</v>
      </c>
      <c r="W33" s="15">
        <v>33.06</v>
      </c>
      <c r="X33" s="15">
        <v>32.799999999999997</v>
      </c>
      <c r="Y33" s="15">
        <v>31.97</v>
      </c>
      <c r="Z33" s="15">
        <v>31.39</v>
      </c>
      <c r="AA33" s="15">
        <v>31.49</v>
      </c>
      <c r="AB33" s="15">
        <v>32.47</v>
      </c>
      <c r="AC33" s="15">
        <v>34.549999999999997</v>
      </c>
      <c r="AD33" s="15">
        <v>37.28</v>
      </c>
      <c r="AE33" s="15">
        <v>40.26</v>
      </c>
      <c r="AF33" s="15">
        <v>43.7</v>
      </c>
      <c r="AG33" s="15">
        <v>47.45</v>
      </c>
      <c r="AH33" s="15">
        <v>51.21</v>
      </c>
      <c r="AI33" s="15">
        <v>55.34</v>
      </c>
      <c r="AJ33" s="15">
        <v>60.17</v>
      </c>
      <c r="AK33" s="15">
        <v>66.06</v>
      </c>
      <c r="AL33" s="15">
        <v>73.180000000000007</v>
      </c>
      <c r="AM33" s="15">
        <v>81.42</v>
      </c>
      <c r="AN33" s="15">
        <v>90.39</v>
      </c>
      <c r="AO33" s="15">
        <v>99.44</v>
      </c>
      <c r="AP33" s="15">
        <v>107.87</v>
      </c>
      <c r="AQ33" s="15">
        <v>115.08</v>
      </c>
      <c r="AR33" s="15">
        <v>120.68</v>
      </c>
      <c r="AS33" s="15">
        <v>124.31</v>
      </c>
      <c r="AT33" s="15">
        <v>126.31</v>
      </c>
      <c r="AU33" s="15">
        <v>126.79</v>
      </c>
      <c r="AV33" s="15">
        <v>126.11</v>
      </c>
      <c r="AW33" s="15">
        <v>125.38</v>
      </c>
      <c r="AX33" s="15">
        <v>126.4</v>
      </c>
      <c r="AY33" s="15">
        <v>130.68</v>
      </c>
      <c r="AZ33" s="15">
        <v>139.06</v>
      </c>
      <c r="BA33" s="15">
        <v>150.57</v>
      </c>
      <c r="BB33" s="15">
        <v>165.14</v>
      </c>
      <c r="BC33" s="15">
        <v>182.5</v>
      </c>
      <c r="BD33" s="15">
        <v>201.7</v>
      </c>
      <c r="BE33" s="15">
        <v>221.99</v>
      </c>
      <c r="BF33" s="15">
        <v>243.19</v>
      </c>
      <c r="BG33" s="15">
        <v>265.22000000000003</v>
      </c>
      <c r="BH33" s="15">
        <v>288.23</v>
      </c>
      <c r="BI33" s="15">
        <v>312.35000000000002</v>
      </c>
      <c r="BJ33" s="15">
        <v>338.33</v>
      </c>
      <c r="BK33" s="15">
        <v>366.41</v>
      </c>
      <c r="BL33" s="15">
        <v>396.8</v>
      </c>
      <c r="BM33" s="15">
        <v>429.37</v>
      </c>
      <c r="BN33" s="15">
        <v>464.47</v>
      </c>
      <c r="BO33" s="15">
        <v>502.53</v>
      </c>
      <c r="BP33" s="15">
        <v>543.77</v>
      </c>
      <c r="BQ33" s="15">
        <v>591.5</v>
      </c>
      <c r="BR33" s="15">
        <v>646.41999999999996</v>
      </c>
      <c r="BS33" s="15">
        <v>703.68</v>
      </c>
      <c r="BT33" s="15">
        <v>761.55</v>
      </c>
      <c r="BU33" s="15">
        <v>822.45</v>
      </c>
      <c r="BV33" s="15">
        <v>891.72</v>
      </c>
      <c r="BW33" s="15">
        <v>969.54</v>
      </c>
      <c r="BX33" s="15">
        <v>1054.53</v>
      </c>
      <c r="BY33" s="15">
        <v>1148.19</v>
      </c>
      <c r="BZ33" s="15">
        <v>1252.3900000000001</v>
      </c>
      <c r="CA33" s="15">
        <v>1368.3</v>
      </c>
      <c r="CB33" s="15">
        <v>1496.26</v>
      </c>
      <c r="CC33" s="15">
        <v>1637.24</v>
      </c>
      <c r="CD33" s="15">
        <v>1793.81</v>
      </c>
      <c r="CE33" s="15">
        <v>1968.68</v>
      </c>
      <c r="CF33" s="15">
        <v>2163.92</v>
      </c>
      <c r="CG33" s="15">
        <v>2381.08</v>
      </c>
      <c r="CH33" s="15">
        <v>2621.12</v>
      </c>
      <c r="CI33" s="15">
        <v>2886.49</v>
      </c>
      <c r="CJ33" s="15">
        <v>3178.41</v>
      </c>
      <c r="CK33" s="15">
        <v>3496.42</v>
      </c>
      <c r="CL33" s="15">
        <v>3838.28</v>
      </c>
      <c r="CM33" s="15">
        <v>4205.7299999999996</v>
      </c>
      <c r="CN33" s="15">
        <v>4604.43</v>
      </c>
      <c r="CO33" s="15">
        <v>5033.54</v>
      </c>
      <c r="CP33" s="15">
        <v>5490.99</v>
      </c>
      <c r="CQ33" s="15">
        <v>5979.61</v>
      </c>
      <c r="CR33" s="15">
        <v>6505.73</v>
      </c>
      <c r="CS33" s="15">
        <v>7079.93</v>
      </c>
      <c r="CT33" s="15">
        <v>7709.75</v>
      </c>
      <c r="CU33" s="15">
        <v>8384.0499999999993</v>
      </c>
      <c r="CV33" s="15">
        <v>9095.99</v>
      </c>
      <c r="CW33" s="15">
        <v>9857.58</v>
      </c>
      <c r="CX33" s="15">
        <v>10670.44</v>
      </c>
    </row>
    <row r="34" spans="1:102" x14ac:dyDescent="0.25">
      <c r="A34" s="71">
        <v>2012</v>
      </c>
      <c r="B34" s="15">
        <v>458.02</v>
      </c>
      <c r="C34" s="15">
        <v>43.32</v>
      </c>
      <c r="D34" s="15">
        <v>19.690000000000001</v>
      </c>
      <c r="E34" s="15">
        <v>10.5</v>
      </c>
      <c r="F34" s="15">
        <v>8.86</v>
      </c>
      <c r="G34" s="15">
        <v>8.19</v>
      </c>
      <c r="H34" s="15">
        <v>7.64</v>
      </c>
      <c r="I34" s="15">
        <v>7.04</v>
      </c>
      <c r="J34" s="15">
        <v>6.37</v>
      </c>
      <c r="K34" s="15">
        <v>6.01</v>
      </c>
      <c r="L34" s="15">
        <v>5.88</v>
      </c>
      <c r="M34" s="15">
        <v>6.11</v>
      </c>
      <c r="N34" s="15">
        <v>6.93</v>
      </c>
      <c r="O34" s="15">
        <v>8.0399999999999991</v>
      </c>
      <c r="P34" s="15">
        <v>9.6300000000000008</v>
      </c>
      <c r="Q34" s="15">
        <v>12.01</v>
      </c>
      <c r="R34" s="15">
        <v>15.29</v>
      </c>
      <c r="S34" s="15">
        <v>19.350000000000001</v>
      </c>
      <c r="T34" s="15">
        <v>23.87</v>
      </c>
      <c r="U34" s="15">
        <v>28.09</v>
      </c>
      <c r="V34" s="15">
        <v>31.25</v>
      </c>
      <c r="W34" s="15">
        <v>32.590000000000003</v>
      </c>
      <c r="X34" s="15">
        <v>32.35</v>
      </c>
      <c r="Y34" s="15">
        <v>31.63</v>
      </c>
      <c r="Z34" s="15">
        <v>30.96</v>
      </c>
      <c r="AA34" s="15">
        <v>31.05</v>
      </c>
      <c r="AB34" s="15">
        <v>32.03</v>
      </c>
      <c r="AC34" s="15">
        <v>34.200000000000003</v>
      </c>
      <c r="AD34" s="15">
        <v>36.72</v>
      </c>
      <c r="AE34" s="15">
        <v>39.78</v>
      </c>
      <c r="AF34" s="15">
        <v>43.2</v>
      </c>
      <c r="AG34" s="15">
        <v>46.83</v>
      </c>
      <c r="AH34" s="15">
        <v>50.47</v>
      </c>
      <c r="AI34" s="15">
        <v>54.58</v>
      </c>
      <c r="AJ34" s="15">
        <v>59.38</v>
      </c>
      <c r="AK34" s="15">
        <v>65.14</v>
      </c>
      <c r="AL34" s="15">
        <v>72.260000000000005</v>
      </c>
      <c r="AM34" s="15">
        <v>80.41</v>
      </c>
      <c r="AN34" s="15">
        <v>89.23</v>
      </c>
      <c r="AO34" s="15">
        <v>98.17</v>
      </c>
      <c r="AP34" s="15">
        <v>106.45</v>
      </c>
      <c r="AQ34" s="15">
        <v>113.68</v>
      </c>
      <c r="AR34" s="15">
        <v>119.1</v>
      </c>
      <c r="AS34" s="15">
        <v>122.67</v>
      </c>
      <c r="AT34" s="15">
        <v>124.76</v>
      </c>
      <c r="AU34" s="15">
        <v>125.29</v>
      </c>
      <c r="AV34" s="15">
        <v>124.51</v>
      </c>
      <c r="AW34" s="15">
        <v>123.89</v>
      </c>
      <c r="AX34" s="15">
        <v>124.89</v>
      </c>
      <c r="AY34" s="15">
        <v>129.12</v>
      </c>
      <c r="AZ34" s="15">
        <v>137.33000000000001</v>
      </c>
      <c r="BA34" s="15">
        <v>148.77000000000001</v>
      </c>
      <c r="BB34" s="15">
        <v>163.13</v>
      </c>
      <c r="BC34" s="15">
        <v>180.28</v>
      </c>
      <c r="BD34" s="15">
        <v>199.26</v>
      </c>
      <c r="BE34" s="15">
        <v>219.28</v>
      </c>
      <c r="BF34" s="15">
        <v>240.24</v>
      </c>
      <c r="BG34" s="15">
        <v>261.98</v>
      </c>
      <c r="BH34" s="15">
        <v>284.58</v>
      </c>
      <c r="BI34" s="15">
        <v>308.54000000000002</v>
      </c>
      <c r="BJ34" s="15">
        <v>334.18</v>
      </c>
      <c r="BK34" s="15">
        <v>361.92</v>
      </c>
      <c r="BL34" s="15">
        <v>392.05</v>
      </c>
      <c r="BM34" s="15">
        <v>424.18</v>
      </c>
      <c r="BN34" s="15">
        <v>458.87</v>
      </c>
      <c r="BO34" s="15">
        <v>496.44</v>
      </c>
      <c r="BP34" s="15">
        <v>537.16</v>
      </c>
      <c r="BQ34" s="15">
        <v>584.35</v>
      </c>
      <c r="BR34" s="15">
        <v>638.52</v>
      </c>
      <c r="BS34" s="15">
        <v>695.19</v>
      </c>
      <c r="BT34" s="15">
        <v>752.17</v>
      </c>
      <c r="BU34" s="15">
        <v>812.44</v>
      </c>
      <c r="BV34" s="15">
        <v>880.82</v>
      </c>
      <c r="BW34" s="15">
        <v>957.62</v>
      </c>
      <c r="BX34" s="15">
        <v>1041.74</v>
      </c>
      <c r="BY34" s="15">
        <v>1134.31</v>
      </c>
      <c r="BZ34" s="15">
        <v>1237.1099999999999</v>
      </c>
      <c r="CA34" s="15">
        <v>1351.65</v>
      </c>
      <c r="CB34" s="15">
        <v>1478.08</v>
      </c>
      <c r="CC34" s="15">
        <v>1617.47</v>
      </c>
      <c r="CD34" s="15">
        <v>1772.23</v>
      </c>
      <c r="CE34" s="15">
        <v>1945.01</v>
      </c>
      <c r="CF34" s="15">
        <v>2137.91</v>
      </c>
      <c r="CG34" s="15">
        <v>2352.46</v>
      </c>
      <c r="CH34" s="15">
        <v>2589.69</v>
      </c>
      <c r="CI34" s="15">
        <v>2851.78</v>
      </c>
      <c r="CJ34" s="15">
        <v>3140.46</v>
      </c>
      <c r="CK34" s="15">
        <v>3454.77</v>
      </c>
      <c r="CL34" s="15">
        <v>3792.73</v>
      </c>
      <c r="CM34" s="15">
        <v>4156</v>
      </c>
      <c r="CN34" s="15">
        <v>4550.07</v>
      </c>
      <c r="CO34" s="15">
        <v>4974.22</v>
      </c>
      <c r="CP34" s="15">
        <v>5426.78</v>
      </c>
      <c r="CQ34" s="15">
        <v>5909.67</v>
      </c>
      <c r="CR34" s="15">
        <v>6429.84</v>
      </c>
      <c r="CS34" s="15">
        <v>6997.49</v>
      </c>
      <c r="CT34" s="15">
        <v>7620.46</v>
      </c>
      <c r="CU34" s="15">
        <v>8287.76</v>
      </c>
      <c r="CV34" s="15">
        <v>8991.65</v>
      </c>
      <c r="CW34" s="15">
        <v>9744.85</v>
      </c>
      <c r="CX34" s="15">
        <v>10548.36</v>
      </c>
    </row>
    <row r="35" spans="1:102" x14ac:dyDescent="0.25">
      <c r="A35" s="71">
        <v>2013</v>
      </c>
      <c r="B35" s="15">
        <v>462.1</v>
      </c>
      <c r="C35" s="15">
        <v>41.37</v>
      </c>
      <c r="D35" s="15">
        <v>19.14</v>
      </c>
      <c r="E35" s="15">
        <v>10.14</v>
      </c>
      <c r="F35" s="15">
        <v>8.67</v>
      </c>
      <c r="G35" s="15">
        <v>8</v>
      </c>
      <c r="H35" s="15">
        <v>7.45</v>
      </c>
      <c r="I35" s="15">
        <v>6.84</v>
      </c>
      <c r="J35" s="15">
        <v>6.29</v>
      </c>
      <c r="K35" s="15">
        <v>5.92</v>
      </c>
      <c r="L35" s="15">
        <v>5.74</v>
      </c>
      <c r="M35" s="15">
        <v>5.9</v>
      </c>
      <c r="N35" s="15">
        <v>6.79</v>
      </c>
      <c r="O35" s="15">
        <v>7.85</v>
      </c>
      <c r="P35" s="15">
        <v>9.3800000000000008</v>
      </c>
      <c r="Q35" s="15">
        <v>11.78</v>
      </c>
      <c r="R35" s="15">
        <v>15.02</v>
      </c>
      <c r="S35" s="15">
        <v>19.04</v>
      </c>
      <c r="T35" s="15">
        <v>23.48</v>
      </c>
      <c r="U35" s="15">
        <v>27.73</v>
      </c>
      <c r="V35" s="15">
        <v>30.85</v>
      </c>
      <c r="W35" s="15">
        <v>32.15</v>
      </c>
      <c r="X35" s="15">
        <v>31.97</v>
      </c>
      <c r="Y35" s="15">
        <v>31.26</v>
      </c>
      <c r="Z35" s="15">
        <v>30.53</v>
      </c>
      <c r="AA35" s="15">
        <v>30.63</v>
      </c>
      <c r="AB35" s="15">
        <v>31.77</v>
      </c>
      <c r="AC35" s="15">
        <v>33.64</v>
      </c>
      <c r="AD35" s="15">
        <v>36.229999999999997</v>
      </c>
      <c r="AE35" s="15">
        <v>39.26</v>
      </c>
      <c r="AF35" s="15">
        <v>42.7</v>
      </c>
      <c r="AG35" s="15">
        <v>46.15</v>
      </c>
      <c r="AH35" s="15">
        <v>49.76</v>
      </c>
      <c r="AI35" s="15">
        <v>53.83</v>
      </c>
      <c r="AJ35" s="15">
        <v>58.6</v>
      </c>
      <c r="AK35" s="15">
        <v>64.290000000000006</v>
      </c>
      <c r="AL35" s="15">
        <v>71.34</v>
      </c>
      <c r="AM35" s="15">
        <v>79.37</v>
      </c>
      <c r="AN35" s="15">
        <v>88.13</v>
      </c>
      <c r="AO35" s="15">
        <v>96.96</v>
      </c>
      <c r="AP35" s="15">
        <v>105.18</v>
      </c>
      <c r="AQ35" s="15">
        <v>112.28</v>
      </c>
      <c r="AR35" s="15">
        <v>117.58</v>
      </c>
      <c r="AS35" s="15">
        <v>121.2</v>
      </c>
      <c r="AT35" s="15">
        <v>123.36</v>
      </c>
      <c r="AU35" s="15">
        <v>123.83</v>
      </c>
      <c r="AV35" s="15">
        <v>123.05</v>
      </c>
      <c r="AW35" s="15">
        <v>122.46</v>
      </c>
      <c r="AX35" s="15">
        <v>123.37</v>
      </c>
      <c r="AY35" s="15">
        <v>127.56</v>
      </c>
      <c r="AZ35" s="15">
        <v>135.65</v>
      </c>
      <c r="BA35" s="15">
        <v>146.91999999999999</v>
      </c>
      <c r="BB35" s="15">
        <v>161.13999999999999</v>
      </c>
      <c r="BC35" s="15">
        <v>178.1</v>
      </c>
      <c r="BD35" s="15">
        <v>196.84</v>
      </c>
      <c r="BE35" s="15">
        <v>216.57</v>
      </c>
      <c r="BF35" s="15">
        <v>237.26</v>
      </c>
      <c r="BG35" s="15">
        <v>258.66000000000003</v>
      </c>
      <c r="BH35" s="15">
        <v>281.07</v>
      </c>
      <c r="BI35" s="15">
        <v>304.79000000000002</v>
      </c>
      <c r="BJ35" s="15">
        <v>330.05</v>
      </c>
      <c r="BK35" s="15">
        <v>357.56</v>
      </c>
      <c r="BL35" s="15">
        <v>387.3</v>
      </c>
      <c r="BM35" s="15">
        <v>419.04</v>
      </c>
      <c r="BN35" s="15">
        <v>453.29</v>
      </c>
      <c r="BO35" s="15">
        <v>490.31</v>
      </c>
      <c r="BP35" s="15">
        <v>530.52</v>
      </c>
      <c r="BQ35" s="15">
        <v>577.22</v>
      </c>
      <c r="BR35" s="15">
        <v>630.75</v>
      </c>
      <c r="BS35" s="15">
        <v>686.64</v>
      </c>
      <c r="BT35" s="15">
        <v>743.03</v>
      </c>
      <c r="BU35" s="15">
        <v>802.53</v>
      </c>
      <c r="BV35" s="15">
        <v>869.95</v>
      </c>
      <c r="BW35" s="15">
        <v>945.89</v>
      </c>
      <c r="BX35" s="15">
        <v>1029.17</v>
      </c>
      <c r="BY35" s="15">
        <v>1120.3499999999999</v>
      </c>
      <c r="BZ35" s="15">
        <v>1221.99</v>
      </c>
      <c r="CA35" s="15">
        <v>1335.13</v>
      </c>
      <c r="CB35" s="15">
        <v>1460.21</v>
      </c>
      <c r="CC35" s="15">
        <v>1597.84</v>
      </c>
      <c r="CD35" s="15">
        <v>1750.75</v>
      </c>
      <c r="CE35" s="15">
        <v>1921.48</v>
      </c>
      <c r="CF35" s="15">
        <v>2112.13</v>
      </c>
      <c r="CG35" s="15">
        <v>2324.11</v>
      </c>
      <c r="CH35" s="15">
        <v>2558.58</v>
      </c>
      <c r="CI35" s="15">
        <v>2817.62</v>
      </c>
      <c r="CJ35" s="15">
        <v>3103</v>
      </c>
      <c r="CK35" s="15">
        <v>3413.73</v>
      </c>
      <c r="CL35" s="15">
        <v>3747.78</v>
      </c>
      <c r="CM35" s="15">
        <v>4106.9399999999996</v>
      </c>
      <c r="CN35" s="15">
        <v>4496.4399999999996</v>
      </c>
      <c r="CO35" s="15">
        <v>4915.74</v>
      </c>
      <c r="CP35" s="15">
        <v>5363.24</v>
      </c>
      <c r="CQ35" s="15">
        <v>5840.58</v>
      </c>
      <c r="CR35" s="15">
        <v>6354.74</v>
      </c>
      <c r="CS35" s="15">
        <v>6916.21</v>
      </c>
      <c r="CT35" s="15">
        <v>7532.49</v>
      </c>
      <c r="CU35" s="15">
        <v>8192.49</v>
      </c>
      <c r="CV35" s="15">
        <v>8888.07</v>
      </c>
      <c r="CW35" s="15">
        <v>9632.89</v>
      </c>
      <c r="CX35" s="15">
        <v>10427.68</v>
      </c>
    </row>
    <row r="36" spans="1:102" x14ac:dyDescent="0.25">
      <c r="A36" s="71">
        <v>2014</v>
      </c>
      <c r="B36" s="15">
        <v>441.5</v>
      </c>
      <c r="C36" s="15">
        <v>40.5</v>
      </c>
      <c r="D36" s="15">
        <v>18.600000000000001</v>
      </c>
      <c r="E36" s="15">
        <v>9.83</v>
      </c>
      <c r="F36" s="15">
        <v>8.49</v>
      </c>
      <c r="G36" s="15">
        <v>7.81</v>
      </c>
      <c r="H36" s="15">
        <v>7.26</v>
      </c>
      <c r="I36" s="15">
        <v>6.66</v>
      </c>
      <c r="J36" s="15">
        <v>6.17</v>
      </c>
      <c r="K36" s="15">
        <v>5.8</v>
      </c>
      <c r="L36" s="15">
        <v>5.56</v>
      </c>
      <c r="M36" s="15">
        <v>5.85</v>
      </c>
      <c r="N36" s="15">
        <v>6.67</v>
      </c>
      <c r="O36" s="15">
        <v>7.74</v>
      </c>
      <c r="P36" s="15">
        <v>9.2100000000000009</v>
      </c>
      <c r="Q36" s="15">
        <v>11.55</v>
      </c>
      <c r="R36" s="15">
        <v>14.8</v>
      </c>
      <c r="S36" s="15">
        <v>18.77</v>
      </c>
      <c r="T36" s="15">
        <v>23.09</v>
      </c>
      <c r="U36" s="15">
        <v>27.34</v>
      </c>
      <c r="V36" s="15">
        <v>30.35</v>
      </c>
      <c r="W36" s="15">
        <v>31.71</v>
      </c>
      <c r="X36" s="15">
        <v>31.64</v>
      </c>
      <c r="Y36" s="15">
        <v>30.72</v>
      </c>
      <c r="Z36" s="15">
        <v>30.22</v>
      </c>
      <c r="AA36" s="15">
        <v>30.37</v>
      </c>
      <c r="AB36" s="15">
        <v>31.42</v>
      </c>
      <c r="AC36" s="15">
        <v>33.19</v>
      </c>
      <c r="AD36" s="15">
        <v>35.729999999999997</v>
      </c>
      <c r="AE36" s="15">
        <v>38.76</v>
      </c>
      <c r="AF36" s="15">
        <v>42.2</v>
      </c>
      <c r="AG36" s="15">
        <v>45.5</v>
      </c>
      <c r="AH36" s="15">
        <v>49.16</v>
      </c>
      <c r="AI36" s="15">
        <v>53.23</v>
      </c>
      <c r="AJ36" s="15">
        <v>57.91</v>
      </c>
      <c r="AK36" s="15">
        <v>63.5</v>
      </c>
      <c r="AL36" s="15">
        <v>70.459999999999994</v>
      </c>
      <c r="AM36" s="15">
        <v>78.44</v>
      </c>
      <c r="AN36" s="15">
        <v>87.14</v>
      </c>
      <c r="AO36" s="15">
        <v>95.82</v>
      </c>
      <c r="AP36" s="15">
        <v>104.03</v>
      </c>
      <c r="AQ36" s="15">
        <v>110.82</v>
      </c>
      <c r="AR36" s="15">
        <v>116.2</v>
      </c>
      <c r="AS36" s="15">
        <v>119.87</v>
      </c>
      <c r="AT36" s="15">
        <v>121.91</v>
      </c>
      <c r="AU36" s="15">
        <v>122.28</v>
      </c>
      <c r="AV36" s="15">
        <v>121.54</v>
      </c>
      <c r="AW36" s="15">
        <v>120.96</v>
      </c>
      <c r="AX36" s="15">
        <v>121.86</v>
      </c>
      <c r="AY36" s="15">
        <v>125.96</v>
      </c>
      <c r="AZ36" s="15">
        <v>134</v>
      </c>
      <c r="BA36" s="15">
        <v>145.13</v>
      </c>
      <c r="BB36" s="15">
        <v>159.09</v>
      </c>
      <c r="BC36" s="15">
        <v>175.99</v>
      </c>
      <c r="BD36" s="15">
        <v>194.41</v>
      </c>
      <c r="BE36" s="15">
        <v>213.93</v>
      </c>
      <c r="BF36" s="15">
        <v>234.33</v>
      </c>
      <c r="BG36" s="15">
        <v>255.55</v>
      </c>
      <c r="BH36" s="15">
        <v>277.83999999999997</v>
      </c>
      <c r="BI36" s="15">
        <v>301.12</v>
      </c>
      <c r="BJ36" s="15">
        <v>326.02999999999997</v>
      </c>
      <c r="BK36" s="15">
        <v>353.4</v>
      </c>
      <c r="BL36" s="15">
        <v>382.57</v>
      </c>
      <c r="BM36" s="15">
        <v>414</v>
      </c>
      <c r="BN36" s="15">
        <v>447.71</v>
      </c>
      <c r="BO36" s="15">
        <v>484.34</v>
      </c>
      <c r="BP36" s="15">
        <v>524.16</v>
      </c>
      <c r="BQ36" s="15">
        <v>570.29</v>
      </c>
      <c r="BR36" s="15">
        <v>623.16</v>
      </c>
      <c r="BS36" s="15">
        <v>678.46</v>
      </c>
      <c r="BT36" s="15">
        <v>734.13</v>
      </c>
      <c r="BU36" s="15">
        <v>792.83</v>
      </c>
      <c r="BV36" s="15">
        <v>859.49</v>
      </c>
      <c r="BW36" s="15">
        <v>934.66</v>
      </c>
      <c r="BX36" s="15">
        <v>1016.72</v>
      </c>
      <c r="BY36" s="15">
        <v>1106.9000000000001</v>
      </c>
      <c r="BZ36" s="15">
        <v>1207.3499999999999</v>
      </c>
      <c r="CA36" s="15">
        <v>1319.26</v>
      </c>
      <c r="CB36" s="15">
        <v>1442.69</v>
      </c>
      <c r="CC36" s="15">
        <v>1578.66</v>
      </c>
      <c r="CD36" s="15">
        <v>1729.75</v>
      </c>
      <c r="CE36" s="15">
        <v>1898.51</v>
      </c>
      <c r="CF36" s="15">
        <v>2086.9499999999998</v>
      </c>
      <c r="CG36" s="15">
        <v>2296.4899999999998</v>
      </c>
      <c r="CH36" s="15">
        <v>2528.19</v>
      </c>
      <c r="CI36" s="15">
        <v>2784.3</v>
      </c>
      <c r="CJ36" s="15">
        <v>3066.27</v>
      </c>
      <c r="CK36" s="15">
        <v>3373.46</v>
      </c>
      <c r="CL36" s="15">
        <v>3703.79</v>
      </c>
      <c r="CM36" s="15">
        <v>4058.62</v>
      </c>
      <c r="CN36" s="15">
        <v>4443.53</v>
      </c>
      <c r="CO36" s="15">
        <v>4858.16</v>
      </c>
      <c r="CP36" s="15">
        <v>5300.46</v>
      </c>
      <c r="CQ36" s="15">
        <v>5772.5</v>
      </c>
      <c r="CR36" s="15">
        <v>6280.75</v>
      </c>
      <c r="CS36" s="15">
        <v>6835.95</v>
      </c>
      <c r="CT36" s="15">
        <v>7445.65</v>
      </c>
      <c r="CU36" s="15">
        <v>8097.83</v>
      </c>
      <c r="CV36" s="15">
        <v>8785.56</v>
      </c>
      <c r="CW36" s="15">
        <v>9522.2199999999993</v>
      </c>
      <c r="CX36" s="15">
        <v>10308.370000000001</v>
      </c>
    </row>
    <row r="37" spans="1:102" x14ac:dyDescent="0.25">
      <c r="A37" s="71">
        <v>2015</v>
      </c>
      <c r="B37" s="15">
        <v>430.7</v>
      </c>
      <c r="C37" s="15">
        <v>39.479999999999997</v>
      </c>
      <c r="D37" s="15">
        <v>18.09</v>
      </c>
      <c r="E37" s="15">
        <v>9.5399999999999991</v>
      </c>
      <c r="F37" s="15">
        <v>8.27</v>
      </c>
      <c r="G37" s="15">
        <v>7.6</v>
      </c>
      <c r="H37" s="15">
        <v>7.05</v>
      </c>
      <c r="I37" s="15">
        <v>6.44</v>
      </c>
      <c r="J37" s="15">
        <v>6.02</v>
      </c>
      <c r="K37" s="15">
        <v>5.65</v>
      </c>
      <c r="L37" s="15">
        <v>5.47</v>
      </c>
      <c r="M37" s="15">
        <v>5.82</v>
      </c>
      <c r="N37" s="15">
        <v>6.58</v>
      </c>
      <c r="O37" s="15">
        <v>7.52</v>
      </c>
      <c r="P37" s="15">
        <v>9.0500000000000007</v>
      </c>
      <c r="Q37" s="15">
        <v>11.37</v>
      </c>
      <c r="R37" s="15">
        <v>14.61</v>
      </c>
      <c r="S37" s="15">
        <v>18.38</v>
      </c>
      <c r="T37" s="15">
        <v>22.74</v>
      </c>
      <c r="U37" s="15">
        <v>26.8</v>
      </c>
      <c r="V37" s="15">
        <v>29.92</v>
      </c>
      <c r="W37" s="15">
        <v>31.33</v>
      </c>
      <c r="X37" s="15">
        <v>31.16</v>
      </c>
      <c r="Y37" s="15">
        <v>30.3</v>
      </c>
      <c r="Z37" s="15">
        <v>29.92</v>
      </c>
      <c r="AA37" s="15">
        <v>30.08</v>
      </c>
      <c r="AB37" s="15">
        <v>31.07</v>
      </c>
      <c r="AC37" s="15">
        <v>32.83</v>
      </c>
      <c r="AD37" s="15">
        <v>35.21</v>
      </c>
      <c r="AE37" s="15">
        <v>38.39</v>
      </c>
      <c r="AF37" s="15">
        <v>41.66</v>
      </c>
      <c r="AG37" s="15">
        <v>45</v>
      </c>
      <c r="AH37" s="15">
        <v>48.59</v>
      </c>
      <c r="AI37" s="15">
        <v>52.65</v>
      </c>
      <c r="AJ37" s="15">
        <v>57.25</v>
      </c>
      <c r="AK37" s="15">
        <v>62.76</v>
      </c>
      <c r="AL37" s="15">
        <v>69.59</v>
      </c>
      <c r="AM37" s="15">
        <v>77.58</v>
      </c>
      <c r="AN37" s="15">
        <v>86.15</v>
      </c>
      <c r="AO37" s="15">
        <v>94.73</v>
      </c>
      <c r="AP37" s="15">
        <v>102.76</v>
      </c>
      <c r="AQ37" s="15">
        <v>109.51</v>
      </c>
      <c r="AR37" s="15">
        <v>114.82</v>
      </c>
      <c r="AS37" s="15">
        <v>118.47</v>
      </c>
      <c r="AT37" s="15">
        <v>120.35</v>
      </c>
      <c r="AU37" s="15">
        <v>120.66</v>
      </c>
      <c r="AV37" s="15">
        <v>120.02</v>
      </c>
      <c r="AW37" s="15">
        <v>119.49</v>
      </c>
      <c r="AX37" s="15">
        <v>120.39</v>
      </c>
      <c r="AY37" s="15">
        <v>124.41</v>
      </c>
      <c r="AZ37" s="15">
        <v>132.36000000000001</v>
      </c>
      <c r="BA37" s="15">
        <v>143.38</v>
      </c>
      <c r="BB37" s="15">
        <v>157.16</v>
      </c>
      <c r="BC37" s="15">
        <v>173.88</v>
      </c>
      <c r="BD37" s="15">
        <v>192.06</v>
      </c>
      <c r="BE37" s="15">
        <v>211.36</v>
      </c>
      <c r="BF37" s="15">
        <v>231.56</v>
      </c>
      <c r="BG37" s="15">
        <v>252.62</v>
      </c>
      <c r="BH37" s="15">
        <v>274.48</v>
      </c>
      <c r="BI37" s="15">
        <v>297.47000000000003</v>
      </c>
      <c r="BJ37" s="15">
        <v>322.24</v>
      </c>
      <c r="BK37" s="15">
        <v>349.14</v>
      </c>
      <c r="BL37" s="15">
        <v>377.98</v>
      </c>
      <c r="BM37" s="15">
        <v>409.01</v>
      </c>
      <c r="BN37" s="15">
        <v>442.36</v>
      </c>
      <c r="BO37" s="15">
        <v>478.61</v>
      </c>
      <c r="BP37" s="15">
        <v>517.96</v>
      </c>
      <c r="BQ37" s="15">
        <v>563.47</v>
      </c>
      <c r="BR37" s="15">
        <v>615.73</v>
      </c>
      <c r="BS37" s="15">
        <v>670.4</v>
      </c>
      <c r="BT37" s="15">
        <v>725.3</v>
      </c>
      <c r="BU37" s="15">
        <v>783.46</v>
      </c>
      <c r="BV37" s="15">
        <v>849.35</v>
      </c>
      <c r="BW37" s="15">
        <v>923.56</v>
      </c>
      <c r="BX37" s="15">
        <v>1004.59</v>
      </c>
      <c r="BY37" s="15">
        <v>1093.8699999999999</v>
      </c>
      <c r="BZ37" s="15">
        <v>1193.1400000000001</v>
      </c>
      <c r="CA37" s="15">
        <v>1303.6300000000001</v>
      </c>
      <c r="CB37" s="15">
        <v>1425.49</v>
      </c>
      <c r="CC37" s="15">
        <v>1559.96</v>
      </c>
      <c r="CD37" s="15">
        <v>1709.29</v>
      </c>
      <c r="CE37" s="15">
        <v>1876.11</v>
      </c>
      <c r="CF37" s="15">
        <v>2062.21</v>
      </c>
      <c r="CG37" s="15">
        <v>2269.34</v>
      </c>
      <c r="CH37" s="15">
        <v>2498.38</v>
      </c>
      <c r="CI37" s="15">
        <v>2751.54</v>
      </c>
      <c r="CJ37" s="15">
        <v>3030.21</v>
      </c>
      <c r="CK37" s="15">
        <v>3333.93</v>
      </c>
      <c r="CL37" s="15">
        <v>3660.13</v>
      </c>
      <c r="CM37" s="15">
        <v>4010.93</v>
      </c>
      <c r="CN37" s="15">
        <v>4391.3900000000003</v>
      </c>
      <c r="CO37" s="15">
        <v>4801.34</v>
      </c>
      <c r="CP37" s="15">
        <v>5238.5200000000004</v>
      </c>
      <c r="CQ37" s="15">
        <v>5705.25</v>
      </c>
      <c r="CR37" s="15">
        <v>6207.82</v>
      </c>
      <c r="CS37" s="15">
        <v>6756.73</v>
      </c>
      <c r="CT37" s="15">
        <v>7359.54</v>
      </c>
      <c r="CU37" s="15">
        <v>8004.11</v>
      </c>
      <c r="CV37" s="15">
        <v>8684.24</v>
      </c>
      <c r="CW37" s="15">
        <v>9412.81</v>
      </c>
      <c r="CX37" s="15">
        <v>10190.43</v>
      </c>
    </row>
    <row r="38" spans="1:102" x14ac:dyDescent="0.25">
      <c r="A38" s="71">
        <v>2016</v>
      </c>
      <c r="B38" s="15">
        <v>420.7</v>
      </c>
      <c r="C38" s="15">
        <v>38.24</v>
      </c>
      <c r="D38" s="15">
        <v>17.55</v>
      </c>
      <c r="E38" s="15">
        <v>9.2100000000000009</v>
      </c>
      <c r="F38" s="15">
        <v>8</v>
      </c>
      <c r="G38" s="15">
        <v>7.45</v>
      </c>
      <c r="H38" s="15">
        <v>6.79</v>
      </c>
      <c r="I38" s="15">
        <v>6.3</v>
      </c>
      <c r="J38" s="15">
        <v>5.88</v>
      </c>
      <c r="K38" s="15">
        <v>5.58</v>
      </c>
      <c r="L38" s="15">
        <v>5.39</v>
      </c>
      <c r="M38" s="15">
        <v>5.68</v>
      </c>
      <c r="N38" s="15">
        <v>6.38</v>
      </c>
      <c r="O38" s="15">
        <v>7.32</v>
      </c>
      <c r="P38" s="15">
        <v>8.9</v>
      </c>
      <c r="Q38" s="15">
        <v>11.22</v>
      </c>
      <c r="R38" s="15">
        <v>14.32</v>
      </c>
      <c r="S38" s="15">
        <v>18.079999999999998</v>
      </c>
      <c r="T38" s="15">
        <v>22.32</v>
      </c>
      <c r="U38" s="15">
        <v>26.37</v>
      </c>
      <c r="V38" s="15">
        <v>29.55</v>
      </c>
      <c r="W38" s="15">
        <v>31.02</v>
      </c>
      <c r="X38" s="15">
        <v>30.74</v>
      </c>
      <c r="Y38" s="15">
        <v>30</v>
      </c>
      <c r="Z38" s="15">
        <v>29.62</v>
      </c>
      <c r="AA38" s="15">
        <v>29.78</v>
      </c>
      <c r="AB38" s="15">
        <v>30.72</v>
      </c>
      <c r="AC38" s="15">
        <v>32.43</v>
      </c>
      <c r="AD38" s="15">
        <v>34.909999999999997</v>
      </c>
      <c r="AE38" s="15">
        <v>37.92</v>
      </c>
      <c r="AF38" s="15">
        <v>41.09</v>
      </c>
      <c r="AG38" s="15">
        <v>44.52</v>
      </c>
      <c r="AH38" s="15">
        <v>48.05</v>
      </c>
      <c r="AI38" s="15">
        <v>52.1</v>
      </c>
      <c r="AJ38" s="15">
        <v>56.54</v>
      </c>
      <c r="AK38" s="15">
        <v>62.09</v>
      </c>
      <c r="AL38" s="15">
        <v>68.84</v>
      </c>
      <c r="AM38" s="15">
        <v>76.66</v>
      </c>
      <c r="AN38" s="15">
        <v>85.05</v>
      </c>
      <c r="AO38" s="15">
        <v>93.66</v>
      </c>
      <c r="AP38" s="15">
        <v>101.46</v>
      </c>
      <c r="AQ38" s="15">
        <v>108.24</v>
      </c>
      <c r="AR38" s="15">
        <v>113.48</v>
      </c>
      <c r="AS38" s="15">
        <v>117.06</v>
      </c>
      <c r="AT38" s="15">
        <v>118.93</v>
      </c>
      <c r="AU38" s="15">
        <v>119.29</v>
      </c>
      <c r="AV38" s="15">
        <v>118.65</v>
      </c>
      <c r="AW38" s="15">
        <v>118.12</v>
      </c>
      <c r="AX38" s="15">
        <v>118.91</v>
      </c>
      <c r="AY38" s="15">
        <v>122.87</v>
      </c>
      <c r="AZ38" s="15">
        <v>130.84</v>
      </c>
      <c r="BA38" s="15">
        <v>141.61000000000001</v>
      </c>
      <c r="BB38" s="15">
        <v>155.35</v>
      </c>
      <c r="BC38" s="15">
        <v>171.76</v>
      </c>
      <c r="BD38" s="15">
        <v>189.82</v>
      </c>
      <c r="BE38" s="15">
        <v>208.91</v>
      </c>
      <c r="BF38" s="15">
        <v>228.82</v>
      </c>
      <c r="BG38" s="15">
        <v>249.6</v>
      </c>
      <c r="BH38" s="15">
        <v>271.17</v>
      </c>
      <c r="BI38" s="15">
        <v>293.91000000000003</v>
      </c>
      <c r="BJ38" s="15">
        <v>318.52999999999997</v>
      </c>
      <c r="BK38" s="15">
        <v>344.9</v>
      </c>
      <c r="BL38" s="15">
        <v>373.57</v>
      </c>
      <c r="BM38" s="15">
        <v>404.15</v>
      </c>
      <c r="BN38" s="15">
        <v>437.2</v>
      </c>
      <c r="BO38" s="15">
        <v>472.96</v>
      </c>
      <c r="BP38" s="15">
        <v>511.86</v>
      </c>
      <c r="BQ38" s="15">
        <v>556.78</v>
      </c>
      <c r="BR38" s="15">
        <v>608.51</v>
      </c>
      <c r="BS38" s="15">
        <v>662.41</v>
      </c>
      <c r="BT38" s="15">
        <v>716.74</v>
      </c>
      <c r="BU38" s="15">
        <v>774.19</v>
      </c>
      <c r="BV38" s="15">
        <v>839.36</v>
      </c>
      <c r="BW38" s="15">
        <v>912.63</v>
      </c>
      <c r="BX38" s="15">
        <v>992.81</v>
      </c>
      <c r="BY38" s="15">
        <v>1081</v>
      </c>
      <c r="BZ38" s="15">
        <v>1179.01</v>
      </c>
      <c r="CA38" s="15">
        <v>1288.2</v>
      </c>
      <c r="CB38" s="15">
        <v>1408.68</v>
      </c>
      <c r="CC38" s="15">
        <v>1541.56</v>
      </c>
      <c r="CD38" s="15">
        <v>1689.25</v>
      </c>
      <c r="CE38" s="15">
        <v>1854.03</v>
      </c>
      <c r="CF38" s="15">
        <v>2038</v>
      </c>
      <c r="CG38" s="15">
        <v>2242.58</v>
      </c>
      <c r="CH38" s="15">
        <v>2469.1</v>
      </c>
      <c r="CI38" s="15">
        <v>2719.22</v>
      </c>
      <c r="CJ38" s="15">
        <v>2994.71</v>
      </c>
      <c r="CK38" s="15">
        <v>3294.7</v>
      </c>
      <c r="CL38" s="15">
        <v>3617.05</v>
      </c>
      <c r="CM38" s="15">
        <v>3963.94</v>
      </c>
      <c r="CN38" s="15">
        <v>4340.1400000000003</v>
      </c>
      <c r="CO38" s="15">
        <v>4745.29</v>
      </c>
      <c r="CP38" s="15">
        <v>5177.5</v>
      </c>
      <c r="CQ38" s="15">
        <v>5638.89</v>
      </c>
      <c r="CR38" s="15">
        <v>6135.74</v>
      </c>
      <c r="CS38" s="15">
        <v>6678.39</v>
      </c>
      <c r="CT38" s="15">
        <v>7274.11</v>
      </c>
      <c r="CU38" s="15">
        <v>7911.48</v>
      </c>
      <c r="CV38" s="15">
        <v>8584.08</v>
      </c>
      <c r="CW38" s="15">
        <v>9304.67</v>
      </c>
      <c r="CX38" s="15">
        <v>10073.84</v>
      </c>
    </row>
    <row r="39" spans="1:102" x14ac:dyDescent="0.25">
      <c r="A39" s="71">
        <v>2017</v>
      </c>
      <c r="B39" s="15">
        <v>411.02</v>
      </c>
      <c r="C39" s="15">
        <v>37.54</v>
      </c>
      <c r="D39" s="15">
        <v>17.03</v>
      </c>
      <c r="E39" s="15">
        <v>9.01</v>
      </c>
      <c r="F39" s="15">
        <v>7.86</v>
      </c>
      <c r="G39" s="15">
        <v>7.25</v>
      </c>
      <c r="H39" s="15">
        <v>6.59</v>
      </c>
      <c r="I39" s="15">
        <v>6.23</v>
      </c>
      <c r="J39" s="15">
        <v>5.81</v>
      </c>
      <c r="K39" s="15">
        <v>5.44</v>
      </c>
      <c r="L39" s="15">
        <v>5.26</v>
      </c>
      <c r="M39" s="15">
        <v>5.55</v>
      </c>
      <c r="N39" s="15">
        <v>6.19</v>
      </c>
      <c r="O39" s="15">
        <v>7.24</v>
      </c>
      <c r="P39" s="15">
        <v>8.76</v>
      </c>
      <c r="Q39" s="15">
        <v>11.07</v>
      </c>
      <c r="R39" s="15">
        <v>14.11</v>
      </c>
      <c r="S39" s="15">
        <v>17.86</v>
      </c>
      <c r="T39" s="15">
        <v>22.04</v>
      </c>
      <c r="U39" s="15">
        <v>26.02</v>
      </c>
      <c r="V39" s="15">
        <v>29.19</v>
      </c>
      <c r="W39" s="15">
        <v>30.67</v>
      </c>
      <c r="X39" s="15">
        <v>30.4</v>
      </c>
      <c r="Y39" s="15">
        <v>29.66</v>
      </c>
      <c r="Z39" s="15">
        <v>29.34</v>
      </c>
      <c r="AA39" s="15">
        <v>29.4</v>
      </c>
      <c r="AB39" s="15">
        <v>30.29</v>
      </c>
      <c r="AC39" s="15">
        <v>32.049999999999997</v>
      </c>
      <c r="AD39" s="15">
        <v>34.520000000000003</v>
      </c>
      <c r="AE39" s="15">
        <v>37.44</v>
      </c>
      <c r="AF39" s="15">
        <v>40.65</v>
      </c>
      <c r="AG39" s="15">
        <v>44.02</v>
      </c>
      <c r="AH39" s="15">
        <v>47.55</v>
      </c>
      <c r="AI39" s="15">
        <v>51.48</v>
      </c>
      <c r="AJ39" s="15">
        <v>55.92</v>
      </c>
      <c r="AK39" s="15">
        <v>61.4</v>
      </c>
      <c r="AL39" s="15">
        <v>68.040000000000006</v>
      </c>
      <c r="AM39" s="15">
        <v>75.69</v>
      </c>
      <c r="AN39" s="15">
        <v>83.96</v>
      </c>
      <c r="AO39" s="15">
        <v>92.5</v>
      </c>
      <c r="AP39" s="15">
        <v>100.27</v>
      </c>
      <c r="AQ39" s="15">
        <v>106.99</v>
      </c>
      <c r="AR39" s="15">
        <v>112.21</v>
      </c>
      <c r="AS39" s="15">
        <v>115.73</v>
      </c>
      <c r="AT39" s="15">
        <v>117.64</v>
      </c>
      <c r="AU39" s="15">
        <v>117.95</v>
      </c>
      <c r="AV39" s="15">
        <v>117.36</v>
      </c>
      <c r="AW39" s="15">
        <v>116.77</v>
      </c>
      <c r="AX39" s="15">
        <v>117.51</v>
      </c>
      <c r="AY39" s="15">
        <v>121.46</v>
      </c>
      <c r="AZ39" s="15">
        <v>129.25</v>
      </c>
      <c r="BA39" s="15">
        <v>139.9</v>
      </c>
      <c r="BB39" s="15">
        <v>153.49</v>
      </c>
      <c r="BC39" s="15">
        <v>169.7</v>
      </c>
      <c r="BD39" s="15">
        <v>187.61</v>
      </c>
      <c r="BE39" s="15">
        <v>206.39</v>
      </c>
      <c r="BF39" s="15">
        <v>226.14</v>
      </c>
      <c r="BG39" s="15">
        <v>246.59</v>
      </c>
      <c r="BH39" s="15">
        <v>267.93</v>
      </c>
      <c r="BI39" s="15">
        <v>290.55</v>
      </c>
      <c r="BJ39" s="15">
        <v>314.67</v>
      </c>
      <c r="BK39" s="15">
        <v>340.84</v>
      </c>
      <c r="BL39" s="15">
        <v>369.1</v>
      </c>
      <c r="BM39" s="15">
        <v>399.41</v>
      </c>
      <c r="BN39" s="15">
        <v>432.01</v>
      </c>
      <c r="BO39" s="15">
        <v>467.36</v>
      </c>
      <c r="BP39" s="15">
        <v>505.84</v>
      </c>
      <c r="BQ39" s="15">
        <v>550.25</v>
      </c>
      <c r="BR39" s="15">
        <v>601.33000000000004</v>
      </c>
      <c r="BS39" s="15">
        <v>654.61</v>
      </c>
      <c r="BT39" s="15">
        <v>708.24</v>
      </c>
      <c r="BU39" s="15">
        <v>765.01</v>
      </c>
      <c r="BV39" s="15">
        <v>829.34</v>
      </c>
      <c r="BW39" s="15">
        <v>901.82</v>
      </c>
      <c r="BX39" s="15">
        <v>981.04</v>
      </c>
      <c r="BY39" s="15">
        <v>1068.1300000000001</v>
      </c>
      <c r="BZ39" s="15">
        <v>1165.08</v>
      </c>
      <c r="CA39" s="15">
        <v>1273.03</v>
      </c>
      <c r="CB39" s="15">
        <v>1392.16</v>
      </c>
      <c r="CC39" s="15">
        <v>1523.37</v>
      </c>
      <c r="CD39" s="15">
        <v>1669.26</v>
      </c>
      <c r="CE39" s="15">
        <v>1832.29</v>
      </c>
      <c r="CF39" s="15">
        <v>2013.96</v>
      </c>
      <c r="CG39" s="15">
        <v>2216.2399999999998</v>
      </c>
      <c r="CH39" s="15">
        <v>2440.14</v>
      </c>
      <c r="CI39" s="15">
        <v>2687.24</v>
      </c>
      <c r="CJ39" s="15">
        <v>2959.58</v>
      </c>
      <c r="CK39" s="15">
        <v>3255.85</v>
      </c>
      <c r="CL39" s="15">
        <v>3574.68</v>
      </c>
      <c r="CM39" s="15">
        <v>3917.59</v>
      </c>
      <c r="CN39" s="15">
        <v>4289.47</v>
      </c>
      <c r="CO39" s="15">
        <v>4689.8900000000003</v>
      </c>
      <c r="CP39" s="15">
        <v>5117.1899999999996</v>
      </c>
      <c r="CQ39" s="15">
        <v>5573.21</v>
      </c>
      <c r="CR39" s="15">
        <v>6064.39</v>
      </c>
      <c r="CS39" s="15">
        <v>6600.66</v>
      </c>
      <c r="CT39" s="15">
        <v>7189.66</v>
      </c>
      <c r="CU39" s="15">
        <v>7819.92</v>
      </c>
      <c r="CV39" s="15">
        <v>8485.07</v>
      </c>
      <c r="CW39" s="15">
        <v>9197.76</v>
      </c>
      <c r="CX39" s="15">
        <v>9958.59</v>
      </c>
    </row>
    <row r="40" spans="1:102" x14ac:dyDescent="0.25">
      <c r="A40" s="71">
        <v>2018</v>
      </c>
      <c r="B40" s="15">
        <v>401.74</v>
      </c>
      <c r="C40" s="15">
        <v>37.06</v>
      </c>
      <c r="D40" s="15">
        <v>16.77</v>
      </c>
      <c r="E40" s="15">
        <v>8.8800000000000008</v>
      </c>
      <c r="F40" s="15">
        <v>7.67</v>
      </c>
      <c r="G40" s="15">
        <v>6.95</v>
      </c>
      <c r="H40" s="15">
        <v>6.46</v>
      </c>
      <c r="I40" s="15">
        <v>6.1</v>
      </c>
      <c r="J40" s="15">
        <v>5.74</v>
      </c>
      <c r="K40" s="15">
        <v>5.32</v>
      </c>
      <c r="L40" s="15">
        <v>5.13</v>
      </c>
      <c r="M40" s="15">
        <v>5.48</v>
      </c>
      <c r="N40" s="15">
        <v>6.06</v>
      </c>
      <c r="O40" s="15">
        <v>7.11</v>
      </c>
      <c r="P40" s="15">
        <v>8.68</v>
      </c>
      <c r="Q40" s="15">
        <v>11</v>
      </c>
      <c r="R40" s="15">
        <v>13.97</v>
      </c>
      <c r="S40" s="15">
        <v>17.66</v>
      </c>
      <c r="T40" s="15">
        <v>21.83</v>
      </c>
      <c r="U40" s="15">
        <v>25.7</v>
      </c>
      <c r="V40" s="15">
        <v>28.81</v>
      </c>
      <c r="W40" s="15">
        <v>30.24</v>
      </c>
      <c r="X40" s="15">
        <v>29.97</v>
      </c>
      <c r="Y40" s="15">
        <v>29.3</v>
      </c>
      <c r="Z40" s="15">
        <v>28.99</v>
      </c>
      <c r="AA40" s="15">
        <v>29</v>
      </c>
      <c r="AB40" s="15">
        <v>29.89</v>
      </c>
      <c r="AC40" s="15">
        <v>31.65</v>
      </c>
      <c r="AD40" s="15">
        <v>34.119999999999997</v>
      </c>
      <c r="AE40" s="15">
        <v>37.03</v>
      </c>
      <c r="AF40" s="15">
        <v>40.24</v>
      </c>
      <c r="AG40" s="15">
        <v>43.51</v>
      </c>
      <c r="AH40" s="15">
        <v>47.03</v>
      </c>
      <c r="AI40" s="15">
        <v>50.81</v>
      </c>
      <c r="AJ40" s="15">
        <v>55.29</v>
      </c>
      <c r="AK40" s="15">
        <v>60.67</v>
      </c>
      <c r="AL40" s="15">
        <v>67.25</v>
      </c>
      <c r="AM40" s="15">
        <v>74.78</v>
      </c>
      <c r="AN40" s="15">
        <v>82.99</v>
      </c>
      <c r="AO40" s="15">
        <v>91.37</v>
      </c>
      <c r="AP40" s="15">
        <v>99.18</v>
      </c>
      <c r="AQ40" s="15">
        <v>105.73</v>
      </c>
      <c r="AR40" s="15">
        <v>110.94</v>
      </c>
      <c r="AS40" s="15">
        <v>114.4</v>
      </c>
      <c r="AT40" s="15">
        <v>116.21</v>
      </c>
      <c r="AU40" s="15">
        <v>116.56</v>
      </c>
      <c r="AV40" s="15">
        <v>115.97</v>
      </c>
      <c r="AW40" s="15">
        <v>115.38</v>
      </c>
      <c r="AX40" s="15">
        <v>116.12</v>
      </c>
      <c r="AY40" s="15">
        <v>120.05</v>
      </c>
      <c r="AZ40" s="15">
        <v>127.63</v>
      </c>
      <c r="BA40" s="15">
        <v>138.30000000000001</v>
      </c>
      <c r="BB40" s="15">
        <v>151.62</v>
      </c>
      <c r="BC40" s="15">
        <v>167.74</v>
      </c>
      <c r="BD40" s="15">
        <v>185.31</v>
      </c>
      <c r="BE40" s="15">
        <v>203.95</v>
      </c>
      <c r="BF40" s="15">
        <v>223.5</v>
      </c>
      <c r="BG40" s="15">
        <v>243.65</v>
      </c>
      <c r="BH40" s="15">
        <v>264.79000000000002</v>
      </c>
      <c r="BI40" s="15">
        <v>287.08999999999997</v>
      </c>
      <c r="BJ40" s="15">
        <v>310.83999999999997</v>
      </c>
      <c r="BK40" s="15">
        <v>336.78</v>
      </c>
      <c r="BL40" s="15">
        <v>364.64</v>
      </c>
      <c r="BM40" s="15">
        <v>394.66</v>
      </c>
      <c r="BN40" s="15">
        <v>426.9</v>
      </c>
      <c r="BO40" s="15">
        <v>461.88</v>
      </c>
      <c r="BP40" s="15">
        <v>499.85</v>
      </c>
      <c r="BQ40" s="15">
        <v>543.69000000000005</v>
      </c>
      <c r="BR40" s="15">
        <v>594.16</v>
      </c>
      <c r="BS40" s="15">
        <v>646.80999999999995</v>
      </c>
      <c r="BT40" s="15">
        <v>699.9</v>
      </c>
      <c r="BU40" s="15">
        <v>755.88</v>
      </c>
      <c r="BV40" s="15">
        <v>819.42</v>
      </c>
      <c r="BW40" s="15">
        <v>891.11</v>
      </c>
      <c r="BX40" s="15">
        <v>969.44</v>
      </c>
      <c r="BY40" s="15">
        <v>1055.47</v>
      </c>
      <c r="BZ40" s="15">
        <v>1151.3699999999999</v>
      </c>
      <c r="CA40" s="15">
        <v>1258.07</v>
      </c>
      <c r="CB40" s="15">
        <v>1375.66</v>
      </c>
      <c r="CC40" s="15">
        <v>1505.3</v>
      </c>
      <c r="CD40" s="15">
        <v>1649.59</v>
      </c>
      <c r="CE40" s="15">
        <v>1810.57</v>
      </c>
      <c r="CF40" s="15">
        <v>1990.21</v>
      </c>
      <c r="CG40" s="15">
        <v>2190.31</v>
      </c>
      <c r="CH40" s="15">
        <v>2411.33</v>
      </c>
      <c r="CI40" s="15">
        <v>2655.68</v>
      </c>
      <c r="CJ40" s="15">
        <v>2924.76</v>
      </c>
      <c r="CK40" s="15">
        <v>3217.62</v>
      </c>
      <c r="CL40" s="15">
        <v>3532.69</v>
      </c>
      <c r="CM40" s="15">
        <v>3871.65</v>
      </c>
      <c r="CN40" s="15">
        <v>4239.2299999999996</v>
      </c>
      <c r="CO40" s="15">
        <v>4635.04</v>
      </c>
      <c r="CP40" s="15">
        <v>5057.28</v>
      </c>
      <c r="CQ40" s="15">
        <v>5508.18</v>
      </c>
      <c r="CR40" s="15">
        <v>5993.63</v>
      </c>
      <c r="CS40" s="15">
        <v>6523.82</v>
      </c>
      <c r="CT40" s="15">
        <v>7106.2</v>
      </c>
      <c r="CU40" s="15">
        <v>7729.42</v>
      </c>
      <c r="CV40" s="15">
        <v>8387.2099999999991</v>
      </c>
      <c r="CW40" s="15">
        <v>9092.09</v>
      </c>
      <c r="CX40" s="15">
        <v>9844.65</v>
      </c>
    </row>
    <row r="41" spans="1:102" x14ac:dyDescent="0.25">
      <c r="A41" s="71">
        <v>2019</v>
      </c>
      <c r="B41" s="15">
        <v>393.24</v>
      </c>
      <c r="C41" s="15">
        <v>36.130000000000003</v>
      </c>
      <c r="D41" s="15">
        <v>16.53</v>
      </c>
      <c r="E41" s="15">
        <v>8.6300000000000008</v>
      </c>
      <c r="F41" s="15">
        <v>7.31</v>
      </c>
      <c r="G41" s="15">
        <v>6.71</v>
      </c>
      <c r="H41" s="15">
        <v>6.34</v>
      </c>
      <c r="I41" s="15">
        <v>6.04</v>
      </c>
      <c r="J41" s="15">
        <v>5.62</v>
      </c>
      <c r="K41" s="15">
        <v>5.26</v>
      </c>
      <c r="L41" s="15">
        <v>5.07</v>
      </c>
      <c r="M41" s="15">
        <v>5.3</v>
      </c>
      <c r="N41" s="15">
        <v>5.94</v>
      </c>
      <c r="O41" s="15">
        <v>7.05</v>
      </c>
      <c r="P41" s="15">
        <v>8.6199999999999992</v>
      </c>
      <c r="Q41" s="15">
        <v>10.88</v>
      </c>
      <c r="R41" s="15">
        <v>13.73</v>
      </c>
      <c r="S41" s="15">
        <v>17.54</v>
      </c>
      <c r="T41" s="15">
        <v>21.59</v>
      </c>
      <c r="U41" s="15">
        <v>25.41</v>
      </c>
      <c r="V41" s="15">
        <v>28.47</v>
      </c>
      <c r="W41" s="15">
        <v>29.78</v>
      </c>
      <c r="X41" s="15">
        <v>29.53</v>
      </c>
      <c r="Y41" s="15">
        <v>28.97</v>
      </c>
      <c r="Z41" s="15">
        <v>28.61</v>
      </c>
      <c r="AA41" s="15">
        <v>28.73</v>
      </c>
      <c r="AB41" s="15">
        <v>29.52</v>
      </c>
      <c r="AC41" s="15">
        <v>31.23</v>
      </c>
      <c r="AD41" s="15">
        <v>33.75</v>
      </c>
      <c r="AE41" s="15">
        <v>36.61</v>
      </c>
      <c r="AF41" s="15">
        <v>39.72</v>
      </c>
      <c r="AG41" s="15">
        <v>42.94</v>
      </c>
      <c r="AH41" s="15">
        <v>46.46</v>
      </c>
      <c r="AI41" s="15">
        <v>50.24</v>
      </c>
      <c r="AJ41" s="15">
        <v>54.57</v>
      </c>
      <c r="AK41" s="15">
        <v>59.94</v>
      </c>
      <c r="AL41" s="15">
        <v>66.52</v>
      </c>
      <c r="AM41" s="15">
        <v>73.900000000000006</v>
      </c>
      <c r="AN41" s="15">
        <v>82.1</v>
      </c>
      <c r="AO41" s="15">
        <v>90.32</v>
      </c>
      <c r="AP41" s="15">
        <v>97.98</v>
      </c>
      <c r="AQ41" s="15">
        <v>104.52</v>
      </c>
      <c r="AR41" s="15">
        <v>109.63</v>
      </c>
      <c r="AS41" s="15">
        <v>112.98</v>
      </c>
      <c r="AT41" s="15">
        <v>114.73</v>
      </c>
      <c r="AU41" s="15">
        <v>115.13</v>
      </c>
      <c r="AV41" s="15">
        <v>114.54</v>
      </c>
      <c r="AW41" s="15">
        <v>113.9</v>
      </c>
      <c r="AX41" s="15">
        <v>114.78</v>
      </c>
      <c r="AY41" s="15">
        <v>118.61</v>
      </c>
      <c r="AZ41" s="15">
        <v>126.13</v>
      </c>
      <c r="BA41" s="15">
        <v>136.63999999999999</v>
      </c>
      <c r="BB41" s="15">
        <v>149.88999999999999</v>
      </c>
      <c r="BC41" s="15">
        <v>165.74</v>
      </c>
      <c r="BD41" s="15">
        <v>183.09</v>
      </c>
      <c r="BE41" s="15">
        <v>201.6</v>
      </c>
      <c r="BF41" s="15">
        <v>220.83</v>
      </c>
      <c r="BG41" s="15">
        <v>240.79</v>
      </c>
      <c r="BH41" s="15">
        <v>261.69</v>
      </c>
      <c r="BI41" s="15">
        <v>283.55</v>
      </c>
      <c r="BJ41" s="15">
        <v>307.2</v>
      </c>
      <c r="BK41" s="15">
        <v>332.69</v>
      </c>
      <c r="BL41" s="15">
        <v>360.34</v>
      </c>
      <c r="BM41" s="15">
        <v>389.98</v>
      </c>
      <c r="BN41" s="15">
        <v>421.84</v>
      </c>
      <c r="BO41" s="15">
        <v>456.42</v>
      </c>
      <c r="BP41" s="15">
        <v>493.83</v>
      </c>
      <c r="BQ41" s="15">
        <v>537.17999999999995</v>
      </c>
      <c r="BR41" s="15">
        <v>587.04</v>
      </c>
      <c r="BS41" s="15">
        <v>639.22</v>
      </c>
      <c r="BT41" s="15">
        <v>691.65</v>
      </c>
      <c r="BU41" s="15">
        <v>746.84</v>
      </c>
      <c r="BV41" s="15">
        <v>809.76</v>
      </c>
      <c r="BW41" s="15">
        <v>880.64</v>
      </c>
      <c r="BX41" s="15">
        <v>957.92</v>
      </c>
      <c r="BY41" s="15">
        <v>1043.02</v>
      </c>
      <c r="BZ41" s="15">
        <v>1137.74</v>
      </c>
      <c r="CA41" s="15">
        <v>1243.1099999999999</v>
      </c>
      <c r="CB41" s="15">
        <v>1359.32</v>
      </c>
      <c r="CC41" s="15">
        <v>1487.47</v>
      </c>
      <c r="CD41" s="15">
        <v>1630.05</v>
      </c>
      <c r="CE41" s="15">
        <v>1789.13</v>
      </c>
      <c r="CF41" s="15">
        <v>1966.9</v>
      </c>
      <c r="CG41" s="15">
        <v>2164.4499999999998</v>
      </c>
      <c r="CH41" s="15">
        <v>2382.84</v>
      </c>
      <c r="CI41" s="15">
        <v>2624.39</v>
      </c>
      <c r="CJ41" s="15">
        <v>2890.19</v>
      </c>
      <c r="CK41" s="15">
        <v>3179.8</v>
      </c>
      <c r="CL41" s="15">
        <v>3491.23</v>
      </c>
      <c r="CM41" s="15">
        <v>3826.07</v>
      </c>
      <c r="CN41" s="15">
        <v>4189.33</v>
      </c>
      <c r="CO41" s="15">
        <v>4580.6400000000003</v>
      </c>
      <c r="CP41" s="15">
        <v>4997.95</v>
      </c>
      <c r="CQ41" s="15">
        <v>5443.75</v>
      </c>
      <c r="CR41" s="15">
        <v>5923.69</v>
      </c>
      <c r="CS41" s="15">
        <v>6447.88</v>
      </c>
      <c r="CT41" s="15">
        <v>7023.71</v>
      </c>
      <c r="CU41" s="15">
        <v>7639.96</v>
      </c>
      <c r="CV41" s="15">
        <v>8290.48</v>
      </c>
      <c r="CW41" s="15">
        <v>8987.6200000000008</v>
      </c>
      <c r="CX41" s="15">
        <v>9732.02</v>
      </c>
    </row>
    <row r="42" spans="1:102" x14ac:dyDescent="0.25">
      <c r="A42" s="71">
        <v>2020</v>
      </c>
      <c r="B42" s="15">
        <v>385.26</v>
      </c>
      <c r="C42" s="15">
        <v>35.200000000000003</v>
      </c>
      <c r="D42" s="15">
        <v>16.190000000000001</v>
      </c>
      <c r="E42" s="15">
        <v>8.34</v>
      </c>
      <c r="F42" s="15">
        <v>7.14</v>
      </c>
      <c r="G42" s="15">
        <v>6.59</v>
      </c>
      <c r="H42" s="15">
        <v>6.23</v>
      </c>
      <c r="I42" s="15">
        <v>5.92</v>
      </c>
      <c r="J42" s="15">
        <v>5.56</v>
      </c>
      <c r="K42" s="15">
        <v>5.14</v>
      </c>
      <c r="L42" s="15">
        <v>5.0199999999999996</v>
      </c>
      <c r="M42" s="15">
        <v>5.19</v>
      </c>
      <c r="N42" s="15">
        <v>5.89</v>
      </c>
      <c r="O42" s="15">
        <v>6.99</v>
      </c>
      <c r="P42" s="15">
        <v>8.51</v>
      </c>
      <c r="Q42" s="15">
        <v>10.71</v>
      </c>
      <c r="R42" s="15">
        <v>13.57</v>
      </c>
      <c r="S42" s="15">
        <v>17.32</v>
      </c>
      <c r="T42" s="15">
        <v>21.32</v>
      </c>
      <c r="U42" s="15">
        <v>25.19</v>
      </c>
      <c r="V42" s="15">
        <v>28.15</v>
      </c>
      <c r="W42" s="15">
        <v>29.41</v>
      </c>
      <c r="X42" s="15">
        <v>29.22</v>
      </c>
      <c r="Y42" s="15">
        <v>28.67</v>
      </c>
      <c r="Z42" s="15">
        <v>28.31</v>
      </c>
      <c r="AA42" s="15">
        <v>28.33</v>
      </c>
      <c r="AB42" s="15">
        <v>29.12</v>
      </c>
      <c r="AC42" s="15">
        <v>30.84</v>
      </c>
      <c r="AD42" s="15">
        <v>33.36</v>
      </c>
      <c r="AE42" s="15">
        <v>36.18</v>
      </c>
      <c r="AF42" s="15">
        <v>39.19</v>
      </c>
      <c r="AG42" s="15">
        <v>42.46</v>
      </c>
      <c r="AH42" s="15">
        <v>45.93</v>
      </c>
      <c r="AI42" s="15">
        <v>49.67</v>
      </c>
      <c r="AJ42" s="15">
        <v>53.89</v>
      </c>
      <c r="AK42" s="15">
        <v>59.27</v>
      </c>
      <c r="AL42" s="15">
        <v>65.7</v>
      </c>
      <c r="AM42" s="15">
        <v>73.08</v>
      </c>
      <c r="AN42" s="15">
        <v>81.180000000000007</v>
      </c>
      <c r="AO42" s="15">
        <v>89.26</v>
      </c>
      <c r="AP42" s="15">
        <v>96.76</v>
      </c>
      <c r="AQ42" s="15">
        <v>103.31</v>
      </c>
      <c r="AR42" s="15">
        <v>108.26</v>
      </c>
      <c r="AS42" s="15">
        <v>111.61</v>
      </c>
      <c r="AT42" s="15">
        <v>113.41</v>
      </c>
      <c r="AU42" s="15">
        <v>113.8</v>
      </c>
      <c r="AV42" s="15">
        <v>113.21</v>
      </c>
      <c r="AW42" s="15">
        <v>112.57</v>
      </c>
      <c r="AX42" s="15">
        <v>113.45</v>
      </c>
      <c r="AY42" s="15">
        <v>117.12</v>
      </c>
      <c r="AZ42" s="15">
        <v>124.69</v>
      </c>
      <c r="BA42" s="15">
        <v>135</v>
      </c>
      <c r="BB42" s="15">
        <v>148.13999999999999</v>
      </c>
      <c r="BC42" s="15">
        <v>163.69</v>
      </c>
      <c r="BD42" s="15">
        <v>180.98</v>
      </c>
      <c r="BE42" s="15">
        <v>199.23</v>
      </c>
      <c r="BF42" s="15">
        <v>218.14</v>
      </c>
      <c r="BG42" s="15">
        <v>237.89</v>
      </c>
      <c r="BH42" s="15">
        <v>258.57</v>
      </c>
      <c r="BI42" s="15">
        <v>280.2</v>
      </c>
      <c r="BJ42" s="15">
        <v>303.58</v>
      </c>
      <c r="BK42" s="15">
        <v>328.78</v>
      </c>
      <c r="BL42" s="15">
        <v>356.09</v>
      </c>
      <c r="BM42" s="15">
        <v>385.33</v>
      </c>
      <c r="BN42" s="15">
        <v>416.83</v>
      </c>
      <c r="BO42" s="15">
        <v>450.95</v>
      </c>
      <c r="BP42" s="15">
        <v>487.93</v>
      </c>
      <c r="BQ42" s="15">
        <v>530.78</v>
      </c>
      <c r="BR42" s="15">
        <v>580.13</v>
      </c>
      <c r="BS42" s="15">
        <v>631.61</v>
      </c>
      <c r="BT42" s="15">
        <v>683.38</v>
      </c>
      <c r="BU42" s="15">
        <v>738.04</v>
      </c>
      <c r="BV42" s="15">
        <v>800.18</v>
      </c>
      <c r="BW42" s="15">
        <v>870.19</v>
      </c>
      <c r="BX42" s="15">
        <v>946.5</v>
      </c>
      <c r="BY42" s="15">
        <v>1030.68</v>
      </c>
      <c r="BZ42" s="15">
        <v>1124.19</v>
      </c>
      <c r="CA42" s="15">
        <v>1228.3800000000001</v>
      </c>
      <c r="CB42" s="15">
        <v>1343.15</v>
      </c>
      <c r="CC42" s="15">
        <v>1469.85</v>
      </c>
      <c r="CD42" s="15">
        <v>1610.72</v>
      </c>
      <c r="CE42" s="15">
        <v>1768.17</v>
      </c>
      <c r="CF42" s="15">
        <v>1943.61</v>
      </c>
      <c r="CG42" s="15">
        <v>2138.7600000000002</v>
      </c>
      <c r="CH42" s="15">
        <v>2354.7800000000002</v>
      </c>
      <c r="CI42" s="15">
        <v>2593.48</v>
      </c>
      <c r="CJ42" s="15">
        <v>2856.07</v>
      </c>
      <c r="CK42" s="15">
        <v>3142.4</v>
      </c>
      <c r="CL42" s="15">
        <v>3450.24</v>
      </c>
      <c r="CM42" s="15">
        <v>3781.01</v>
      </c>
      <c r="CN42" s="15">
        <v>4139.91</v>
      </c>
      <c r="CO42" s="15">
        <v>4526.7700000000004</v>
      </c>
      <c r="CP42" s="15">
        <v>4939.3599999999997</v>
      </c>
      <c r="CQ42" s="15">
        <v>5380.08</v>
      </c>
      <c r="CR42" s="15">
        <v>5854.56</v>
      </c>
      <c r="CS42" s="15">
        <v>6372.83</v>
      </c>
      <c r="CT42" s="15">
        <v>6942.17</v>
      </c>
      <c r="CU42" s="15">
        <v>7551.54</v>
      </c>
      <c r="CV42" s="15">
        <v>8194.86</v>
      </c>
      <c r="CW42" s="15">
        <v>8884.36</v>
      </c>
      <c r="CX42" s="15">
        <v>9620.67</v>
      </c>
    </row>
    <row r="43" spans="1:102" x14ac:dyDescent="0.25">
      <c r="A43" s="71">
        <v>2021</v>
      </c>
      <c r="B43" s="15">
        <v>377.75</v>
      </c>
      <c r="C43" s="15">
        <v>34.75</v>
      </c>
      <c r="D43" s="15">
        <v>15.73</v>
      </c>
      <c r="E43" s="15">
        <v>8.17</v>
      </c>
      <c r="F43" s="15">
        <v>7.03</v>
      </c>
      <c r="G43" s="15">
        <v>6.48</v>
      </c>
      <c r="H43" s="15">
        <v>6.12</v>
      </c>
      <c r="I43" s="15">
        <v>5.81</v>
      </c>
      <c r="J43" s="15">
        <v>5.45</v>
      </c>
      <c r="K43" s="15">
        <v>5.09</v>
      </c>
      <c r="L43" s="15">
        <v>4.91</v>
      </c>
      <c r="M43" s="15">
        <v>5.19</v>
      </c>
      <c r="N43" s="15">
        <v>5.83</v>
      </c>
      <c r="O43" s="15">
        <v>6.89</v>
      </c>
      <c r="P43" s="15">
        <v>8.4</v>
      </c>
      <c r="Q43" s="15">
        <v>10.54</v>
      </c>
      <c r="R43" s="15">
        <v>13.35</v>
      </c>
      <c r="S43" s="15">
        <v>16.989999999999998</v>
      </c>
      <c r="T43" s="15">
        <v>21</v>
      </c>
      <c r="U43" s="15">
        <v>25</v>
      </c>
      <c r="V43" s="15">
        <v>27.85</v>
      </c>
      <c r="W43" s="15">
        <v>29.17</v>
      </c>
      <c r="X43" s="15">
        <v>28.98</v>
      </c>
      <c r="Y43" s="15">
        <v>28.33</v>
      </c>
      <c r="Z43" s="15">
        <v>27.81</v>
      </c>
      <c r="AA43" s="15">
        <v>27.89</v>
      </c>
      <c r="AB43" s="15">
        <v>28.79</v>
      </c>
      <c r="AC43" s="15">
        <v>30.51</v>
      </c>
      <c r="AD43" s="15">
        <v>32.99</v>
      </c>
      <c r="AE43" s="15">
        <v>35.81</v>
      </c>
      <c r="AF43" s="15">
        <v>38.78</v>
      </c>
      <c r="AG43" s="15">
        <v>42.05</v>
      </c>
      <c r="AH43" s="15">
        <v>45.43</v>
      </c>
      <c r="AI43" s="15">
        <v>49.02</v>
      </c>
      <c r="AJ43" s="15">
        <v>53.3</v>
      </c>
      <c r="AK43" s="15">
        <v>58.58</v>
      </c>
      <c r="AL43" s="15">
        <v>64.92</v>
      </c>
      <c r="AM43" s="15">
        <v>72.260000000000005</v>
      </c>
      <c r="AN43" s="15">
        <v>80.22</v>
      </c>
      <c r="AO43" s="15">
        <v>88.2</v>
      </c>
      <c r="AP43" s="15">
        <v>95.66</v>
      </c>
      <c r="AQ43" s="15">
        <v>102.05</v>
      </c>
      <c r="AR43" s="15">
        <v>107.01</v>
      </c>
      <c r="AS43" s="15">
        <v>110.31</v>
      </c>
      <c r="AT43" s="15">
        <v>112.15</v>
      </c>
      <c r="AU43" s="15">
        <v>112.6</v>
      </c>
      <c r="AV43" s="15">
        <v>111.85</v>
      </c>
      <c r="AW43" s="15">
        <v>111.25</v>
      </c>
      <c r="AX43" s="15">
        <v>112.03</v>
      </c>
      <c r="AY43" s="15">
        <v>115.76</v>
      </c>
      <c r="AZ43" s="15">
        <v>123.23</v>
      </c>
      <c r="BA43" s="15">
        <v>133.43</v>
      </c>
      <c r="BB43" s="15">
        <v>146.28</v>
      </c>
      <c r="BC43" s="15">
        <v>161.78</v>
      </c>
      <c r="BD43" s="15">
        <v>178.93</v>
      </c>
      <c r="BE43" s="15">
        <v>196.78</v>
      </c>
      <c r="BF43" s="15">
        <v>215.49</v>
      </c>
      <c r="BG43" s="15">
        <v>235.09</v>
      </c>
      <c r="BH43" s="15">
        <v>255.51</v>
      </c>
      <c r="BI43" s="15">
        <v>276.93</v>
      </c>
      <c r="BJ43" s="15">
        <v>299.94</v>
      </c>
      <c r="BK43" s="15">
        <v>324.87</v>
      </c>
      <c r="BL43" s="15">
        <v>351.81</v>
      </c>
      <c r="BM43" s="15">
        <v>380.72</v>
      </c>
      <c r="BN43" s="15">
        <v>411.89</v>
      </c>
      <c r="BO43" s="15">
        <v>445.44</v>
      </c>
      <c r="BP43" s="15">
        <v>482.12</v>
      </c>
      <c r="BQ43" s="15">
        <v>524.45000000000005</v>
      </c>
      <c r="BR43" s="15">
        <v>573.21</v>
      </c>
      <c r="BS43" s="15">
        <v>624.03</v>
      </c>
      <c r="BT43" s="15">
        <v>675.22</v>
      </c>
      <c r="BU43" s="15">
        <v>729.28</v>
      </c>
      <c r="BV43" s="15">
        <v>790.69</v>
      </c>
      <c r="BW43" s="15">
        <v>859.81</v>
      </c>
      <c r="BX43" s="15">
        <v>935.31</v>
      </c>
      <c r="BY43" s="15">
        <v>1018.46</v>
      </c>
      <c r="BZ43" s="15">
        <v>1110.82</v>
      </c>
      <c r="CA43" s="15">
        <v>1213.79</v>
      </c>
      <c r="CB43" s="15">
        <v>1327.12</v>
      </c>
      <c r="CC43" s="15">
        <v>1452.51</v>
      </c>
      <c r="CD43" s="15">
        <v>1591.83</v>
      </c>
      <c r="CE43" s="15">
        <v>1747.15</v>
      </c>
      <c r="CF43" s="15">
        <v>1920.51</v>
      </c>
      <c r="CG43" s="15">
        <v>2113.5700000000002</v>
      </c>
      <c r="CH43" s="15">
        <v>2327.11</v>
      </c>
      <c r="CI43" s="15">
        <v>2562.79</v>
      </c>
      <c r="CJ43" s="15">
        <v>2822.49</v>
      </c>
      <c r="CK43" s="15">
        <v>3105.6</v>
      </c>
      <c r="CL43" s="15">
        <v>3409.55</v>
      </c>
      <c r="CM43" s="15">
        <v>3736.44</v>
      </c>
      <c r="CN43" s="15">
        <v>4091.23</v>
      </c>
      <c r="CO43" s="15">
        <v>4473.59</v>
      </c>
      <c r="CP43" s="15">
        <v>4881.46</v>
      </c>
      <c r="CQ43" s="15">
        <v>5317.15</v>
      </c>
      <c r="CR43" s="15">
        <v>5786.24</v>
      </c>
      <c r="CS43" s="15">
        <v>6298.65</v>
      </c>
      <c r="CT43" s="15">
        <v>6861.58</v>
      </c>
      <c r="CU43" s="15">
        <v>7464.15</v>
      </c>
      <c r="CV43" s="15">
        <v>8100.34</v>
      </c>
      <c r="CW43" s="15">
        <v>8782.2900000000009</v>
      </c>
      <c r="CX43" s="15">
        <v>9510.6</v>
      </c>
    </row>
    <row r="44" spans="1:102" x14ac:dyDescent="0.25">
      <c r="A44" s="71">
        <v>2022</v>
      </c>
      <c r="B44" s="15">
        <v>370.48</v>
      </c>
      <c r="C44" s="15">
        <v>34.270000000000003</v>
      </c>
      <c r="D44" s="15">
        <v>15.34</v>
      </c>
      <c r="E44" s="15">
        <v>8.07</v>
      </c>
      <c r="F44" s="15">
        <v>6.86</v>
      </c>
      <c r="G44" s="15">
        <v>6.37</v>
      </c>
      <c r="H44" s="15">
        <v>6.07</v>
      </c>
      <c r="I44" s="15">
        <v>5.7</v>
      </c>
      <c r="J44" s="15">
        <v>5.34</v>
      </c>
      <c r="K44" s="15">
        <v>5.04</v>
      </c>
      <c r="L44" s="15">
        <v>4.8499999999999996</v>
      </c>
      <c r="M44" s="15">
        <v>5.08</v>
      </c>
      <c r="N44" s="15">
        <v>5.73</v>
      </c>
      <c r="O44" s="15">
        <v>6.78</v>
      </c>
      <c r="P44" s="15">
        <v>8.3000000000000007</v>
      </c>
      <c r="Q44" s="15">
        <v>10.39</v>
      </c>
      <c r="R44" s="15">
        <v>13.14</v>
      </c>
      <c r="S44" s="15">
        <v>16.670000000000002</v>
      </c>
      <c r="T44" s="15">
        <v>20.74</v>
      </c>
      <c r="U44" s="15">
        <v>24.75</v>
      </c>
      <c r="V44" s="15">
        <v>27.61</v>
      </c>
      <c r="W44" s="15">
        <v>28.89</v>
      </c>
      <c r="X44" s="15">
        <v>28.65</v>
      </c>
      <c r="Y44" s="15">
        <v>27.94</v>
      </c>
      <c r="Z44" s="15">
        <v>27.38</v>
      </c>
      <c r="AA44" s="15">
        <v>27.62</v>
      </c>
      <c r="AB44" s="15">
        <v>28.42</v>
      </c>
      <c r="AC44" s="15">
        <v>30.2</v>
      </c>
      <c r="AD44" s="15">
        <v>32.69</v>
      </c>
      <c r="AE44" s="15">
        <v>35.46</v>
      </c>
      <c r="AF44" s="15">
        <v>38.380000000000003</v>
      </c>
      <c r="AG44" s="15">
        <v>41.56</v>
      </c>
      <c r="AH44" s="15">
        <v>44.8</v>
      </c>
      <c r="AI44" s="15">
        <v>48.44</v>
      </c>
      <c r="AJ44" s="15">
        <v>52.73</v>
      </c>
      <c r="AK44" s="15">
        <v>57.92</v>
      </c>
      <c r="AL44" s="15">
        <v>64.11</v>
      </c>
      <c r="AM44" s="15">
        <v>71.36</v>
      </c>
      <c r="AN44" s="15">
        <v>79.180000000000007</v>
      </c>
      <c r="AO44" s="15">
        <v>87.12</v>
      </c>
      <c r="AP44" s="15">
        <v>94.64</v>
      </c>
      <c r="AQ44" s="15">
        <v>100.89</v>
      </c>
      <c r="AR44" s="15">
        <v>105.69</v>
      </c>
      <c r="AS44" s="15">
        <v>108.99</v>
      </c>
      <c r="AT44" s="15">
        <v>110.83</v>
      </c>
      <c r="AU44" s="15">
        <v>111.17</v>
      </c>
      <c r="AV44" s="15">
        <v>110.47</v>
      </c>
      <c r="AW44" s="15">
        <v>109.93</v>
      </c>
      <c r="AX44" s="15">
        <v>110.7</v>
      </c>
      <c r="AY44" s="15">
        <v>114.43</v>
      </c>
      <c r="AZ44" s="15">
        <v>121.7</v>
      </c>
      <c r="BA44" s="15">
        <v>131.77000000000001</v>
      </c>
      <c r="BB44" s="15">
        <v>144.58000000000001</v>
      </c>
      <c r="BC44" s="15">
        <v>159.99</v>
      </c>
      <c r="BD44" s="15">
        <v>176.79</v>
      </c>
      <c r="BE44" s="15">
        <v>194.34</v>
      </c>
      <c r="BF44" s="15">
        <v>212.96</v>
      </c>
      <c r="BG44" s="15">
        <v>232.36</v>
      </c>
      <c r="BH44" s="15">
        <v>252.43</v>
      </c>
      <c r="BI44" s="15">
        <v>273.60000000000002</v>
      </c>
      <c r="BJ44" s="15">
        <v>296.35000000000002</v>
      </c>
      <c r="BK44" s="15">
        <v>320.93</v>
      </c>
      <c r="BL44" s="15">
        <v>347.55</v>
      </c>
      <c r="BM44" s="15">
        <v>376.19</v>
      </c>
      <c r="BN44" s="15">
        <v>406.88</v>
      </c>
      <c r="BO44" s="15">
        <v>440.1</v>
      </c>
      <c r="BP44" s="15">
        <v>476.33</v>
      </c>
      <c r="BQ44" s="15">
        <v>518.21</v>
      </c>
      <c r="BR44" s="15">
        <v>566.34</v>
      </c>
      <c r="BS44" s="15">
        <v>616.67999999999995</v>
      </c>
      <c r="BT44" s="15">
        <v>667.15</v>
      </c>
      <c r="BU44" s="15">
        <v>720.63</v>
      </c>
      <c r="BV44" s="15">
        <v>781.27</v>
      </c>
      <c r="BW44" s="15">
        <v>849.65</v>
      </c>
      <c r="BX44" s="15">
        <v>924.26</v>
      </c>
      <c r="BY44" s="15">
        <v>1006.29</v>
      </c>
      <c r="BZ44" s="15">
        <v>1097.5999999999999</v>
      </c>
      <c r="CA44" s="15">
        <v>1199.22</v>
      </c>
      <c r="CB44" s="15">
        <v>1311.57</v>
      </c>
      <c r="CC44" s="15">
        <v>1435.36</v>
      </c>
      <c r="CD44" s="15">
        <v>1572.89</v>
      </c>
      <c r="CE44" s="15">
        <v>1726.32</v>
      </c>
      <c r="CF44" s="15">
        <v>1897.78</v>
      </c>
      <c r="CG44" s="15">
        <v>2088.54</v>
      </c>
      <c r="CH44" s="15">
        <v>2299.62</v>
      </c>
      <c r="CI44" s="15">
        <v>2532.58</v>
      </c>
      <c r="CJ44" s="15">
        <v>2789.31</v>
      </c>
      <c r="CK44" s="15">
        <v>3068.92</v>
      </c>
      <c r="CL44" s="15">
        <v>3369.4</v>
      </c>
      <c r="CM44" s="15">
        <v>3692.43</v>
      </c>
      <c r="CN44" s="15">
        <v>4043.08</v>
      </c>
      <c r="CO44" s="15">
        <v>4421.04</v>
      </c>
      <c r="CP44" s="15">
        <v>4824.2299999999996</v>
      </c>
      <c r="CQ44" s="15">
        <v>5254.96</v>
      </c>
      <c r="CR44" s="15">
        <v>5718.72</v>
      </c>
      <c r="CS44" s="15">
        <v>6225.33</v>
      </c>
      <c r="CT44" s="15">
        <v>6781.93</v>
      </c>
      <c r="CU44" s="15">
        <v>7377.76</v>
      </c>
      <c r="CV44" s="15">
        <v>8006.92</v>
      </c>
      <c r="CW44" s="15">
        <v>8681.3799999999992</v>
      </c>
      <c r="CX44" s="15">
        <v>9401.7900000000009</v>
      </c>
    </row>
    <row r="45" spans="1:102" x14ac:dyDescent="0.25">
      <c r="A45" s="71">
        <v>2023</v>
      </c>
      <c r="B45" s="15">
        <v>363.45</v>
      </c>
      <c r="C45" s="15">
        <v>33.64</v>
      </c>
      <c r="D45" s="15">
        <v>15.14</v>
      </c>
      <c r="E45" s="15">
        <v>7.91</v>
      </c>
      <c r="F45" s="15">
        <v>6.76</v>
      </c>
      <c r="G45" s="15">
        <v>6.33</v>
      </c>
      <c r="H45" s="15">
        <v>5.96</v>
      </c>
      <c r="I45" s="15">
        <v>5.6</v>
      </c>
      <c r="J45" s="15">
        <v>5.35</v>
      </c>
      <c r="K45" s="15">
        <v>4.93</v>
      </c>
      <c r="L45" s="15">
        <v>4.8099999999999996</v>
      </c>
      <c r="M45" s="15">
        <v>4.9800000000000004</v>
      </c>
      <c r="N45" s="15">
        <v>5.68</v>
      </c>
      <c r="O45" s="15">
        <v>6.74</v>
      </c>
      <c r="P45" s="15">
        <v>8.26</v>
      </c>
      <c r="Q45" s="15">
        <v>10.23</v>
      </c>
      <c r="R45" s="15">
        <v>12.99</v>
      </c>
      <c r="S45" s="15">
        <v>16.47</v>
      </c>
      <c r="T45" s="15">
        <v>20.56</v>
      </c>
      <c r="U45" s="15">
        <v>24.52</v>
      </c>
      <c r="V45" s="15">
        <v>27.33</v>
      </c>
      <c r="W45" s="15">
        <v>28.5</v>
      </c>
      <c r="X45" s="15">
        <v>28.32</v>
      </c>
      <c r="Y45" s="15">
        <v>27.57</v>
      </c>
      <c r="Z45" s="15">
        <v>27.12</v>
      </c>
      <c r="AA45" s="15">
        <v>27.26</v>
      </c>
      <c r="AB45" s="15">
        <v>28.06</v>
      </c>
      <c r="AC45" s="15">
        <v>29.9</v>
      </c>
      <c r="AD45" s="15">
        <v>32.340000000000003</v>
      </c>
      <c r="AE45" s="15">
        <v>34.97</v>
      </c>
      <c r="AF45" s="15">
        <v>37.950000000000003</v>
      </c>
      <c r="AG45" s="15">
        <v>40.98</v>
      </c>
      <c r="AH45" s="15">
        <v>44.22</v>
      </c>
      <c r="AI45" s="15">
        <v>47.87</v>
      </c>
      <c r="AJ45" s="15">
        <v>52.12</v>
      </c>
      <c r="AK45" s="15">
        <v>57.16</v>
      </c>
      <c r="AL45" s="15">
        <v>63.31</v>
      </c>
      <c r="AM45" s="15">
        <v>70.48</v>
      </c>
      <c r="AN45" s="15">
        <v>78.16</v>
      </c>
      <c r="AO45" s="15">
        <v>86.16</v>
      </c>
      <c r="AP45" s="15">
        <v>93.49</v>
      </c>
      <c r="AQ45" s="15">
        <v>99.64</v>
      </c>
      <c r="AR45" s="15">
        <v>104.35</v>
      </c>
      <c r="AS45" s="15">
        <v>107.66</v>
      </c>
      <c r="AT45" s="15">
        <v>109.49</v>
      </c>
      <c r="AU45" s="15">
        <v>109.83</v>
      </c>
      <c r="AV45" s="15">
        <v>109.23</v>
      </c>
      <c r="AW45" s="15">
        <v>108.63</v>
      </c>
      <c r="AX45" s="15">
        <v>109.35</v>
      </c>
      <c r="AY45" s="15">
        <v>113.03</v>
      </c>
      <c r="AZ45" s="15">
        <v>120.21</v>
      </c>
      <c r="BA45" s="15">
        <v>130.22999999999999</v>
      </c>
      <c r="BB45" s="15">
        <v>142.91</v>
      </c>
      <c r="BC45" s="15">
        <v>158.08000000000001</v>
      </c>
      <c r="BD45" s="15">
        <v>174.49</v>
      </c>
      <c r="BE45" s="15">
        <v>192.01</v>
      </c>
      <c r="BF45" s="15">
        <v>210.49</v>
      </c>
      <c r="BG45" s="15">
        <v>229.55</v>
      </c>
      <c r="BH45" s="15">
        <v>249.37</v>
      </c>
      <c r="BI45" s="15">
        <v>270.39</v>
      </c>
      <c r="BJ45" s="15">
        <v>292.74</v>
      </c>
      <c r="BK45" s="15">
        <v>317.06</v>
      </c>
      <c r="BL45" s="15">
        <v>343.38</v>
      </c>
      <c r="BM45" s="15">
        <v>371.66</v>
      </c>
      <c r="BN45" s="15">
        <v>401.98</v>
      </c>
      <c r="BO45" s="15">
        <v>434.93</v>
      </c>
      <c r="BP45" s="15">
        <v>470.68</v>
      </c>
      <c r="BQ45" s="15">
        <v>512.11</v>
      </c>
      <c r="BR45" s="15">
        <v>559.69000000000005</v>
      </c>
      <c r="BS45" s="15">
        <v>609.29</v>
      </c>
      <c r="BT45" s="15">
        <v>659.22</v>
      </c>
      <c r="BU45" s="15">
        <v>711.97</v>
      </c>
      <c r="BV45" s="15">
        <v>771.97</v>
      </c>
      <c r="BW45" s="15">
        <v>839.51</v>
      </c>
      <c r="BX45" s="15">
        <v>913.25</v>
      </c>
      <c r="BY45" s="15">
        <v>994.26</v>
      </c>
      <c r="BZ45" s="15">
        <v>1084.49</v>
      </c>
      <c r="CA45" s="15">
        <v>1185.01</v>
      </c>
      <c r="CB45" s="15">
        <v>1296.02</v>
      </c>
      <c r="CC45" s="15">
        <v>1418.25</v>
      </c>
      <c r="CD45" s="15">
        <v>1554.1</v>
      </c>
      <c r="CE45" s="15">
        <v>1705.93</v>
      </c>
      <c r="CF45" s="15">
        <v>1875.26</v>
      </c>
      <c r="CG45" s="15">
        <v>2063.85</v>
      </c>
      <c r="CH45" s="15">
        <v>2272.4299999999998</v>
      </c>
      <c r="CI45" s="15">
        <v>2502.71</v>
      </c>
      <c r="CJ45" s="15">
        <v>2756.36</v>
      </c>
      <c r="CK45" s="15">
        <v>3032.65</v>
      </c>
      <c r="CL45" s="15">
        <v>3329.7</v>
      </c>
      <c r="CM45" s="15">
        <v>3648.91</v>
      </c>
      <c r="CN45" s="15">
        <v>3995.49</v>
      </c>
      <c r="CO45" s="15">
        <v>4369.1099999999997</v>
      </c>
      <c r="CP45" s="15">
        <v>4767.68</v>
      </c>
      <c r="CQ45" s="15">
        <v>5193.5</v>
      </c>
      <c r="CR45" s="15">
        <v>5651.99</v>
      </c>
      <c r="CS45" s="15">
        <v>6152.86</v>
      </c>
      <c r="CT45" s="15">
        <v>6703.2</v>
      </c>
      <c r="CU45" s="15">
        <v>7292.38</v>
      </c>
      <c r="CV45" s="15">
        <v>7914.57</v>
      </c>
      <c r="CW45" s="15">
        <v>8581.64</v>
      </c>
      <c r="CX45" s="15">
        <v>9294.23</v>
      </c>
    </row>
    <row r="46" spans="1:102" x14ac:dyDescent="0.25">
      <c r="A46" s="71">
        <v>2024</v>
      </c>
      <c r="B46" s="15">
        <v>357.06</v>
      </c>
      <c r="C46" s="15">
        <v>33.15</v>
      </c>
      <c r="D46" s="15">
        <v>14.93</v>
      </c>
      <c r="E46" s="15">
        <v>7.75</v>
      </c>
      <c r="F46" s="15">
        <v>6.65</v>
      </c>
      <c r="G46" s="15">
        <v>6.22</v>
      </c>
      <c r="H46" s="15">
        <v>5.86</v>
      </c>
      <c r="I46" s="15">
        <v>5.61</v>
      </c>
      <c r="J46" s="15">
        <v>5.25</v>
      </c>
      <c r="K46" s="15">
        <v>4.88</v>
      </c>
      <c r="L46" s="15">
        <v>4.76</v>
      </c>
      <c r="M46" s="15">
        <v>4.99</v>
      </c>
      <c r="N46" s="15">
        <v>5.69</v>
      </c>
      <c r="O46" s="15">
        <v>6.69</v>
      </c>
      <c r="P46" s="15">
        <v>8.1</v>
      </c>
      <c r="Q46" s="15">
        <v>10.08</v>
      </c>
      <c r="R46" s="15">
        <v>12.85</v>
      </c>
      <c r="S46" s="15">
        <v>16.34</v>
      </c>
      <c r="T46" s="15">
        <v>20.37</v>
      </c>
      <c r="U46" s="15">
        <v>24.29</v>
      </c>
      <c r="V46" s="15">
        <v>26.94</v>
      </c>
      <c r="W46" s="15">
        <v>28.07</v>
      </c>
      <c r="X46" s="15">
        <v>28</v>
      </c>
      <c r="Y46" s="15">
        <v>27.2</v>
      </c>
      <c r="Z46" s="15">
        <v>26.81</v>
      </c>
      <c r="AA46" s="15">
        <v>26.85</v>
      </c>
      <c r="AB46" s="15">
        <v>27.76</v>
      </c>
      <c r="AC46" s="15">
        <v>29.55</v>
      </c>
      <c r="AD46" s="15">
        <v>31.79</v>
      </c>
      <c r="AE46" s="15">
        <v>34.479999999999997</v>
      </c>
      <c r="AF46" s="15">
        <v>37.47</v>
      </c>
      <c r="AG46" s="15">
        <v>40.51</v>
      </c>
      <c r="AH46" s="15">
        <v>43.71</v>
      </c>
      <c r="AI46" s="15">
        <v>47.31</v>
      </c>
      <c r="AJ46" s="15">
        <v>51.42</v>
      </c>
      <c r="AK46" s="15">
        <v>56.48</v>
      </c>
      <c r="AL46" s="15">
        <v>62.64</v>
      </c>
      <c r="AM46" s="15">
        <v>69.66</v>
      </c>
      <c r="AN46" s="15">
        <v>77.260000000000005</v>
      </c>
      <c r="AO46" s="15">
        <v>85.12</v>
      </c>
      <c r="AP46" s="15">
        <v>92.26</v>
      </c>
      <c r="AQ46" s="15">
        <v>98.42</v>
      </c>
      <c r="AR46" s="15">
        <v>103.19</v>
      </c>
      <c r="AS46" s="15">
        <v>106.39</v>
      </c>
      <c r="AT46" s="15">
        <v>108.23</v>
      </c>
      <c r="AU46" s="15">
        <v>108.61</v>
      </c>
      <c r="AV46" s="15">
        <v>107.91</v>
      </c>
      <c r="AW46" s="15">
        <v>107.3</v>
      </c>
      <c r="AX46" s="15">
        <v>108.13</v>
      </c>
      <c r="AY46" s="15">
        <v>111.71</v>
      </c>
      <c r="AZ46" s="15">
        <v>118.85</v>
      </c>
      <c r="BA46" s="15">
        <v>128.72999999999999</v>
      </c>
      <c r="BB46" s="15">
        <v>141.16999999999999</v>
      </c>
      <c r="BC46" s="15">
        <v>156.06</v>
      </c>
      <c r="BD46" s="15">
        <v>172.34</v>
      </c>
      <c r="BE46" s="15">
        <v>189.77</v>
      </c>
      <c r="BF46" s="15">
        <v>208.02</v>
      </c>
      <c r="BG46" s="15">
        <v>226.73</v>
      </c>
      <c r="BH46" s="15">
        <v>246.37</v>
      </c>
      <c r="BI46" s="15">
        <v>267.14999999999998</v>
      </c>
      <c r="BJ46" s="15">
        <v>289.2</v>
      </c>
      <c r="BK46" s="15">
        <v>313.33</v>
      </c>
      <c r="BL46" s="15">
        <v>339.29</v>
      </c>
      <c r="BM46" s="15">
        <v>367.22</v>
      </c>
      <c r="BN46" s="15">
        <v>397.23</v>
      </c>
      <c r="BO46" s="15">
        <v>429.82</v>
      </c>
      <c r="BP46" s="15">
        <v>465.09</v>
      </c>
      <c r="BQ46" s="15">
        <v>506.04</v>
      </c>
      <c r="BR46" s="15">
        <v>552.97</v>
      </c>
      <c r="BS46" s="15">
        <v>601.95000000000005</v>
      </c>
      <c r="BT46" s="15">
        <v>651.41</v>
      </c>
      <c r="BU46" s="15">
        <v>703.4</v>
      </c>
      <c r="BV46" s="15">
        <v>762.77</v>
      </c>
      <c r="BW46" s="15">
        <v>829.45</v>
      </c>
      <c r="BX46" s="15">
        <v>902.39</v>
      </c>
      <c r="BY46" s="15">
        <v>982.46</v>
      </c>
      <c r="BZ46" s="15">
        <v>1071.58</v>
      </c>
      <c r="CA46" s="15">
        <v>1170.93</v>
      </c>
      <c r="CB46" s="15">
        <v>1280.51</v>
      </c>
      <c r="CC46" s="15">
        <v>1401.4</v>
      </c>
      <c r="CD46" s="15">
        <v>1535.73</v>
      </c>
      <c r="CE46" s="15">
        <v>1685.73</v>
      </c>
      <c r="CF46" s="15">
        <v>1853.1</v>
      </c>
      <c r="CG46" s="15">
        <v>2039.53</v>
      </c>
      <c r="CH46" s="15">
        <v>2245.5100000000002</v>
      </c>
      <c r="CI46" s="15">
        <v>2472.9899999999998</v>
      </c>
      <c r="CJ46" s="15">
        <v>2723.73</v>
      </c>
      <c r="CK46" s="15">
        <v>2996.95</v>
      </c>
      <c r="CL46" s="15">
        <v>3290.4</v>
      </c>
      <c r="CM46" s="15">
        <v>3605.89</v>
      </c>
      <c r="CN46" s="15">
        <v>3948.47</v>
      </c>
      <c r="CO46" s="15">
        <v>4317.78</v>
      </c>
      <c r="CP46" s="15">
        <v>4711.79</v>
      </c>
      <c r="CQ46" s="15">
        <v>5132.75</v>
      </c>
      <c r="CR46" s="15">
        <v>5586.04</v>
      </c>
      <c r="CS46" s="15">
        <v>6081.24</v>
      </c>
      <c r="CT46" s="15">
        <v>6625.38</v>
      </c>
      <c r="CU46" s="15">
        <v>7207.98</v>
      </c>
      <c r="CV46" s="15">
        <v>7823.29</v>
      </c>
      <c r="CW46" s="15">
        <v>8483.0400000000009</v>
      </c>
      <c r="CX46" s="15">
        <v>9187.89</v>
      </c>
    </row>
    <row r="47" spans="1:102" x14ac:dyDescent="0.25">
      <c r="A47" s="71">
        <v>2025</v>
      </c>
      <c r="B47" s="15">
        <v>351.09</v>
      </c>
      <c r="C47" s="15">
        <v>32.340000000000003</v>
      </c>
      <c r="D47" s="15">
        <v>14.67</v>
      </c>
      <c r="E47" s="15">
        <v>7.59</v>
      </c>
      <c r="F47" s="15">
        <v>6.55</v>
      </c>
      <c r="G47" s="15">
        <v>6.12</v>
      </c>
      <c r="H47" s="15">
        <v>5.81</v>
      </c>
      <c r="I47" s="15">
        <v>5.51</v>
      </c>
      <c r="J47" s="15">
        <v>5.14</v>
      </c>
      <c r="K47" s="15">
        <v>4.9000000000000004</v>
      </c>
      <c r="L47" s="15">
        <v>4.71</v>
      </c>
      <c r="M47" s="15">
        <v>5</v>
      </c>
      <c r="N47" s="15">
        <v>5.59</v>
      </c>
      <c r="O47" s="15">
        <v>6.59</v>
      </c>
      <c r="P47" s="15">
        <v>7.95</v>
      </c>
      <c r="Q47" s="15">
        <v>9.93</v>
      </c>
      <c r="R47" s="15">
        <v>12.7</v>
      </c>
      <c r="S47" s="15">
        <v>16.149999999999999</v>
      </c>
      <c r="T47" s="15">
        <v>20.25</v>
      </c>
      <c r="U47" s="15">
        <v>23.9</v>
      </c>
      <c r="V47" s="15">
        <v>26.5</v>
      </c>
      <c r="W47" s="15">
        <v>27.69</v>
      </c>
      <c r="X47" s="15">
        <v>27.52</v>
      </c>
      <c r="Y47" s="15">
        <v>26.88</v>
      </c>
      <c r="Z47" s="15">
        <v>26.45</v>
      </c>
      <c r="AA47" s="15">
        <v>26.54</v>
      </c>
      <c r="AB47" s="15">
        <v>27.46</v>
      </c>
      <c r="AC47" s="15">
        <v>29.1</v>
      </c>
      <c r="AD47" s="15">
        <v>31.35</v>
      </c>
      <c r="AE47" s="15">
        <v>34.1</v>
      </c>
      <c r="AF47" s="15">
        <v>36.99</v>
      </c>
      <c r="AG47" s="15">
        <v>40.090000000000003</v>
      </c>
      <c r="AH47" s="15">
        <v>43.25</v>
      </c>
      <c r="AI47" s="15">
        <v>46.76</v>
      </c>
      <c r="AJ47" s="15">
        <v>50.78</v>
      </c>
      <c r="AK47" s="15">
        <v>55.84</v>
      </c>
      <c r="AL47" s="15">
        <v>61.92</v>
      </c>
      <c r="AM47" s="15">
        <v>68.8</v>
      </c>
      <c r="AN47" s="15">
        <v>76.31</v>
      </c>
      <c r="AO47" s="15">
        <v>84.04</v>
      </c>
      <c r="AP47" s="15">
        <v>91.24</v>
      </c>
      <c r="AQ47" s="15">
        <v>97.31</v>
      </c>
      <c r="AR47" s="15">
        <v>101.93</v>
      </c>
      <c r="AS47" s="15">
        <v>105.19</v>
      </c>
      <c r="AT47" s="15">
        <v>106.93</v>
      </c>
      <c r="AU47" s="15">
        <v>107.26</v>
      </c>
      <c r="AV47" s="15">
        <v>106.6</v>
      </c>
      <c r="AW47" s="15">
        <v>106.09</v>
      </c>
      <c r="AX47" s="15">
        <v>106.92</v>
      </c>
      <c r="AY47" s="15">
        <v>110.45</v>
      </c>
      <c r="AZ47" s="15">
        <v>117.45</v>
      </c>
      <c r="BA47" s="15">
        <v>127.15</v>
      </c>
      <c r="BB47" s="15">
        <v>139.44999999999999</v>
      </c>
      <c r="BC47" s="15">
        <v>154.15</v>
      </c>
      <c r="BD47" s="15">
        <v>170.31</v>
      </c>
      <c r="BE47" s="15">
        <v>187.56</v>
      </c>
      <c r="BF47" s="15">
        <v>205.47</v>
      </c>
      <c r="BG47" s="15">
        <v>223.95</v>
      </c>
      <c r="BH47" s="15">
        <v>243.5</v>
      </c>
      <c r="BI47" s="15">
        <v>263.89</v>
      </c>
      <c r="BJ47" s="15">
        <v>285.86</v>
      </c>
      <c r="BK47" s="15">
        <v>309.64</v>
      </c>
      <c r="BL47" s="15">
        <v>335.26</v>
      </c>
      <c r="BM47" s="15">
        <v>362.83</v>
      </c>
      <c r="BN47" s="15">
        <v>392.54</v>
      </c>
      <c r="BO47" s="15">
        <v>424.61</v>
      </c>
      <c r="BP47" s="15">
        <v>459.57</v>
      </c>
      <c r="BQ47" s="15">
        <v>499.93</v>
      </c>
      <c r="BR47" s="15">
        <v>546.32000000000005</v>
      </c>
      <c r="BS47" s="15">
        <v>594.80999999999995</v>
      </c>
      <c r="BT47" s="15">
        <v>643.53</v>
      </c>
      <c r="BU47" s="15">
        <v>695.09</v>
      </c>
      <c r="BV47" s="15">
        <v>753.69</v>
      </c>
      <c r="BW47" s="15">
        <v>819.62</v>
      </c>
      <c r="BX47" s="15">
        <v>891.62</v>
      </c>
      <c r="BY47" s="15">
        <v>970.76</v>
      </c>
      <c r="BZ47" s="15">
        <v>1058.79</v>
      </c>
      <c r="CA47" s="15">
        <v>1156.93</v>
      </c>
      <c r="CB47" s="15">
        <v>1265.29</v>
      </c>
      <c r="CC47" s="15">
        <v>1384.69</v>
      </c>
      <c r="CD47" s="15">
        <v>1517.53</v>
      </c>
      <c r="CE47" s="15">
        <v>1665.73</v>
      </c>
      <c r="CF47" s="15">
        <v>1831.26</v>
      </c>
      <c r="CG47" s="15">
        <v>2015.21</v>
      </c>
      <c r="CH47" s="15">
        <v>2218.7600000000002</v>
      </c>
      <c r="CI47" s="15">
        <v>2443.6999999999998</v>
      </c>
      <c r="CJ47" s="15">
        <v>2691.54</v>
      </c>
      <c r="CK47" s="15">
        <v>2961.52</v>
      </c>
      <c r="CL47" s="15">
        <v>3251.55</v>
      </c>
      <c r="CM47" s="15">
        <v>3563.38</v>
      </c>
      <c r="CN47" s="15">
        <v>3902</v>
      </c>
      <c r="CO47" s="15">
        <v>4267.0600000000004</v>
      </c>
      <c r="CP47" s="15">
        <v>4656.5600000000004</v>
      </c>
      <c r="CQ47" s="15">
        <v>5072.72</v>
      </c>
      <c r="CR47" s="15">
        <v>5520.85</v>
      </c>
      <c r="CS47" s="15">
        <v>6010.45</v>
      </c>
      <c r="CT47" s="15">
        <v>6548.47</v>
      </c>
      <c r="CU47" s="15">
        <v>7124.56</v>
      </c>
      <c r="CV47" s="15">
        <v>7733.06</v>
      </c>
      <c r="CW47" s="15">
        <v>8385.58</v>
      </c>
      <c r="CX47" s="15">
        <v>9082.77</v>
      </c>
    </row>
    <row r="48" spans="1:102" x14ac:dyDescent="0.25">
      <c r="A48" s="71">
        <v>2026</v>
      </c>
      <c r="B48" s="15">
        <v>345.37</v>
      </c>
      <c r="C48" s="15">
        <v>31.7</v>
      </c>
      <c r="D48" s="15">
        <v>14.41</v>
      </c>
      <c r="E48" s="15">
        <v>7.43</v>
      </c>
      <c r="F48" s="15">
        <v>6.45</v>
      </c>
      <c r="G48" s="15">
        <v>6.02</v>
      </c>
      <c r="H48" s="15">
        <v>5.71</v>
      </c>
      <c r="I48" s="15">
        <v>5.4</v>
      </c>
      <c r="J48" s="15">
        <v>5.16</v>
      </c>
      <c r="K48" s="15">
        <v>4.8499999999999996</v>
      </c>
      <c r="L48" s="15">
        <v>4.66</v>
      </c>
      <c r="M48" s="15">
        <v>4.9000000000000004</v>
      </c>
      <c r="N48" s="15">
        <v>5.49</v>
      </c>
      <c r="O48" s="15">
        <v>6.55</v>
      </c>
      <c r="P48" s="15">
        <v>7.85</v>
      </c>
      <c r="Q48" s="15">
        <v>9.7799999999999994</v>
      </c>
      <c r="R48" s="15">
        <v>12.56</v>
      </c>
      <c r="S48" s="15">
        <v>16.07</v>
      </c>
      <c r="T48" s="15">
        <v>20.010000000000002</v>
      </c>
      <c r="U48" s="15">
        <v>23.44</v>
      </c>
      <c r="V48" s="15">
        <v>26.12</v>
      </c>
      <c r="W48" s="15">
        <v>27.31</v>
      </c>
      <c r="X48" s="15">
        <v>27.09</v>
      </c>
      <c r="Y48" s="15">
        <v>26.52</v>
      </c>
      <c r="Z48" s="15">
        <v>26.14</v>
      </c>
      <c r="AA48" s="15">
        <v>26.34</v>
      </c>
      <c r="AB48" s="15">
        <v>27.16</v>
      </c>
      <c r="AC48" s="15">
        <v>28.8</v>
      </c>
      <c r="AD48" s="15">
        <v>31.01</v>
      </c>
      <c r="AE48" s="15">
        <v>33.619999999999997</v>
      </c>
      <c r="AF48" s="15">
        <v>36.57</v>
      </c>
      <c r="AG48" s="15">
        <v>39.630000000000003</v>
      </c>
      <c r="AH48" s="15">
        <v>42.84</v>
      </c>
      <c r="AI48" s="15">
        <v>46.16</v>
      </c>
      <c r="AJ48" s="15">
        <v>50.23</v>
      </c>
      <c r="AK48" s="15">
        <v>55.16</v>
      </c>
      <c r="AL48" s="15">
        <v>61.14</v>
      </c>
      <c r="AM48" s="15">
        <v>67.900000000000006</v>
      </c>
      <c r="AN48" s="15">
        <v>75.47</v>
      </c>
      <c r="AO48" s="15">
        <v>83.11</v>
      </c>
      <c r="AP48" s="15">
        <v>90.17</v>
      </c>
      <c r="AQ48" s="15">
        <v>96.15</v>
      </c>
      <c r="AR48" s="15">
        <v>100.73</v>
      </c>
      <c r="AS48" s="15">
        <v>103.89</v>
      </c>
      <c r="AT48" s="15">
        <v>105.57</v>
      </c>
      <c r="AU48" s="15">
        <v>105.95</v>
      </c>
      <c r="AV48" s="15">
        <v>105.34</v>
      </c>
      <c r="AW48" s="15">
        <v>104.88</v>
      </c>
      <c r="AX48" s="15">
        <v>105.55</v>
      </c>
      <c r="AY48" s="15">
        <v>109.09</v>
      </c>
      <c r="AZ48" s="15">
        <v>115.94</v>
      </c>
      <c r="BA48" s="15">
        <v>125.66</v>
      </c>
      <c r="BB48" s="15">
        <v>137.72</v>
      </c>
      <c r="BC48" s="15">
        <v>152.30000000000001</v>
      </c>
      <c r="BD48" s="15">
        <v>168.27</v>
      </c>
      <c r="BE48" s="15">
        <v>185.24</v>
      </c>
      <c r="BF48" s="15">
        <v>202.92</v>
      </c>
      <c r="BG48" s="15">
        <v>221.32</v>
      </c>
      <c r="BH48" s="15">
        <v>240.58</v>
      </c>
      <c r="BI48" s="15">
        <v>260.73</v>
      </c>
      <c r="BJ48" s="15">
        <v>282.51</v>
      </c>
      <c r="BK48" s="15">
        <v>305.89999999999998</v>
      </c>
      <c r="BL48" s="15">
        <v>331.16</v>
      </c>
      <c r="BM48" s="15">
        <v>358.49</v>
      </c>
      <c r="BN48" s="15">
        <v>387.74</v>
      </c>
      <c r="BO48" s="15">
        <v>419.5</v>
      </c>
      <c r="BP48" s="15">
        <v>454.04</v>
      </c>
      <c r="BQ48" s="15">
        <v>493.93</v>
      </c>
      <c r="BR48" s="15">
        <v>539.79</v>
      </c>
      <c r="BS48" s="15">
        <v>587.66999999999996</v>
      </c>
      <c r="BT48" s="15">
        <v>635.83000000000004</v>
      </c>
      <c r="BU48" s="15">
        <v>686.85</v>
      </c>
      <c r="BV48" s="15">
        <v>744.68</v>
      </c>
      <c r="BW48" s="15">
        <v>809.81</v>
      </c>
      <c r="BX48" s="15">
        <v>880.93</v>
      </c>
      <c r="BY48" s="15">
        <v>959.09</v>
      </c>
      <c r="BZ48" s="15">
        <v>1046.2</v>
      </c>
      <c r="CA48" s="15">
        <v>1143.1500000000001</v>
      </c>
      <c r="CB48" s="15">
        <v>1250.18</v>
      </c>
      <c r="CC48" s="15">
        <v>1368.21</v>
      </c>
      <c r="CD48" s="15">
        <v>1499.47</v>
      </c>
      <c r="CE48" s="15">
        <v>1646.02</v>
      </c>
      <c r="CF48" s="15">
        <v>1809.36</v>
      </c>
      <c r="CG48" s="15">
        <v>1991.22</v>
      </c>
      <c r="CH48" s="15">
        <v>2192.44</v>
      </c>
      <c r="CI48" s="15">
        <v>2414.69</v>
      </c>
      <c r="CJ48" s="15">
        <v>2659.68</v>
      </c>
      <c r="CK48" s="15">
        <v>2926.51</v>
      </c>
      <c r="CL48" s="15">
        <v>3213.16</v>
      </c>
      <c r="CM48" s="15">
        <v>3521.38</v>
      </c>
      <c r="CN48" s="15">
        <v>3856.08</v>
      </c>
      <c r="CO48" s="15">
        <v>4216.93</v>
      </c>
      <c r="CP48" s="15">
        <v>4601.97</v>
      </c>
      <c r="CQ48" s="15">
        <v>5013.3900000000003</v>
      </c>
      <c r="CR48" s="15">
        <v>5456.43</v>
      </c>
      <c r="CS48" s="15">
        <v>5940.49</v>
      </c>
      <c r="CT48" s="15">
        <v>6472.45</v>
      </c>
      <c r="CU48" s="15">
        <v>7042.11</v>
      </c>
      <c r="CV48" s="15">
        <v>7643.87</v>
      </c>
      <c r="CW48" s="15">
        <v>8289.23</v>
      </c>
      <c r="CX48" s="15">
        <v>8978.85</v>
      </c>
    </row>
    <row r="49" spans="1:102" x14ac:dyDescent="0.25">
      <c r="A49" s="71">
        <v>2027</v>
      </c>
      <c r="B49" s="15">
        <v>339.85</v>
      </c>
      <c r="C49" s="15">
        <v>31.42</v>
      </c>
      <c r="D49" s="15">
        <v>14.21</v>
      </c>
      <c r="E49" s="15">
        <v>7.33</v>
      </c>
      <c r="F49" s="15">
        <v>6.34</v>
      </c>
      <c r="G49" s="15">
        <v>5.91</v>
      </c>
      <c r="H49" s="15">
        <v>5.66</v>
      </c>
      <c r="I49" s="15">
        <v>5.42</v>
      </c>
      <c r="J49" s="15">
        <v>5.17</v>
      </c>
      <c r="K49" s="15">
        <v>4.74</v>
      </c>
      <c r="L49" s="15">
        <v>4.62</v>
      </c>
      <c r="M49" s="15">
        <v>4.79</v>
      </c>
      <c r="N49" s="15">
        <v>5.5</v>
      </c>
      <c r="O49" s="15">
        <v>6.45</v>
      </c>
      <c r="P49" s="15">
        <v>7.69</v>
      </c>
      <c r="Q49" s="15">
        <v>9.68</v>
      </c>
      <c r="R49" s="15">
        <v>12.48</v>
      </c>
      <c r="S49" s="15">
        <v>16</v>
      </c>
      <c r="T49" s="15">
        <v>19.600000000000001</v>
      </c>
      <c r="U49" s="15">
        <v>23.15</v>
      </c>
      <c r="V49" s="15">
        <v>25.84</v>
      </c>
      <c r="W49" s="15">
        <v>26.93</v>
      </c>
      <c r="X49" s="15">
        <v>26.83</v>
      </c>
      <c r="Y49" s="15">
        <v>26.2</v>
      </c>
      <c r="Z49" s="15">
        <v>25.98</v>
      </c>
      <c r="AA49" s="15">
        <v>26.09</v>
      </c>
      <c r="AB49" s="15">
        <v>26.91</v>
      </c>
      <c r="AC49" s="15">
        <v>28.46</v>
      </c>
      <c r="AD49" s="15">
        <v>30.62</v>
      </c>
      <c r="AE49" s="15">
        <v>33.18</v>
      </c>
      <c r="AF49" s="15">
        <v>36.14</v>
      </c>
      <c r="AG49" s="15">
        <v>39.15</v>
      </c>
      <c r="AH49" s="15">
        <v>42.22</v>
      </c>
      <c r="AI49" s="15">
        <v>45.65</v>
      </c>
      <c r="AJ49" s="15">
        <v>49.64</v>
      </c>
      <c r="AK49" s="15">
        <v>54.52</v>
      </c>
      <c r="AL49" s="15">
        <v>60.37</v>
      </c>
      <c r="AM49" s="15">
        <v>67.13</v>
      </c>
      <c r="AN49" s="15">
        <v>74.67</v>
      </c>
      <c r="AO49" s="15">
        <v>82.02</v>
      </c>
      <c r="AP49" s="15">
        <v>88.99</v>
      </c>
      <c r="AQ49" s="15">
        <v>94.98</v>
      </c>
      <c r="AR49" s="15">
        <v>99.51</v>
      </c>
      <c r="AS49" s="15">
        <v>102.57</v>
      </c>
      <c r="AT49" s="15">
        <v>104.31</v>
      </c>
      <c r="AU49" s="15">
        <v>104.63</v>
      </c>
      <c r="AV49" s="15">
        <v>104.07</v>
      </c>
      <c r="AW49" s="15">
        <v>103.56</v>
      </c>
      <c r="AX49" s="15">
        <v>104.22</v>
      </c>
      <c r="AY49" s="15">
        <v>107.67</v>
      </c>
      <c r="AZ49" s="15">
        <v>114.58</v>
      </c>
      <c r="BA49" s="15">
        <v>124.16</v>
      </c>
      <c r="BB49" s="15">
        <v>136.04</v>
      </c>
      <c r="BC49" s="15">
        <v>150.43</v>
      </c>
      <c r="BD49" s="15">
        <v>166.33</v>
      </c>
      <c r="BE49" s="15">
        <v>183.01</v>
      </c>
      <c r="BF49" s="15">
        <v>200.5</v>
      </c>
      <c r="BG49" s="15">
        <v>218.66</v>
      </c>
      <c r="BH49" s="15">
        <v>237.59</v>
      </c>
      <c r="BI49" s="15">
        <v>257.60000000000002</v>
      </c>
      <c r="BJ49" s="15">
        <v>279.08</v>
      </c>
      <c r="BK49" s="15">
        <v>302.17</v>
      </c>
      <c r="BL49" s="15">
        <v>327.2</v>
      </c>
      <c r="BM49" s="15">
        <v>354.12</v>
      </c>
      <c r="BN49" s="15">
        <v>383.06</v>
      </c>
      <c r="BO49" s="15">
        <v>414.47</v>
      </c>
      <c r="BP49" s="15">
        <v>448.59</v>
      </c>
      <c r="BQ49" s="15">
        <v>488</v>
      </c>
      <c r="BR49" s="15">
        <v>533.27</v>
      </c>
      <c r="BS49" s="15">
        <v>580.6</v>
      </c>
      <c r="BT49" s="15">
        <v>628.29</v>
      </c>
      <c r="BU49" s="15">
        <v>678.61</v>
      </c>
      <c r="BV49" s="15">
        <v>735.72</v>
      </c>
      <c r="BW49" s="15">
        <v>800.11</v>
      </c>
      <c r="BX49" s="15">
        <v>870.29</v>
      </c>
      <c r="BY49" s="15">
        <v>947.7</v>
      </c>
      <c r="BZ49" s="15">
        <v>1033.79</v>
      </c>
      <c r="CA49" s="15">
        <v>1129.48</v>
      </c>
      <c r="CB49" s="15">
        <v>1235.25</v>
      </c>
      <c r="CC49" s="15">
        <v>1351.87</v>
      </c>
      <c r="CD49" s="15">
        <v>1481.6</v>
      </c>
      <c r="CE49" s="15">
        <v>1626.32</v>
      </c>
      <c r="CF49" s="15">
        <v>1787.73</v>
      </c>
      <c r="CG49" s="15">
        <v>1967.58</v>
      </c>
      <c r="CH49" s="15">
        <v>2166.37</v>
      </c>
      <c r="CI49" s="15">
        <v>2386.0700000000002</v>
      </c>
      <c r="CJ49" s="15">
        <v>2628.2</v>
      </c>
      <c r="CK49" s="15">
        <v>2891.91</v>
      </c>
      <c r="CL49" s="15">
        <v>3175.23</v>
      </c>
      <c r="CM49" s="15">
        <v>3479.87</v>
      </c>
      <c r="CN49" s="15">
        <v>3810.69</v>
      </c>
      <c r="CO49" s="15">
        <v>4167.3900000000003</v>
      </c>
      <c r="CP49" s="15">
        <v>4548.0200000000004</v>
      </c>
      <c r="CQ49" s="15">
        <v>4954.75</v>
      </c>
      <c r="CR49" s="15">
        <v>5392.76</v>
      </c>
      <c r="CS49" s="15">
        <v>5871.34</v>
      </c>
      <c r="CT49" s="15">
        <v>6397.32</v>
      </c>
      <c r="CU49" s="15">
        <v>6960.61</v>
      </c>
      <c r="CV49" s="15">
        <v>7555.71</v>
      </c>
      <c r="CW49" s="15">
        <v>8194</v>
      </c>
      <c r="CX49" s="15">
        <v>8876.1299999999992</v>
      </c>
    </row>
    <row r="50" spans="1:102" x14ac:dyDescent="0.25">
      <c r="A50" s="71">
        <v>2028</v>
      </c>
      <c r="B50" s="15">
        <v>334.63</v>
      </c>
      <c r="C50" s="15">
        <v>30.74</v>
      </c>
      <c r="D50" s="15">
        <v>14.06</v>
      </c>
      <c r="E50" s="15">
        <v>7.22</v>
      </c>
      <c r="F50" s="15">
        <v>6.3</v>
      </c>
      <c r="G50" s="15">
        <v>5.93</v>
      </c>
      <c r="H50" s="15">
        <v>5.62</v>
      </c>
      <c r="I50" s="15">
        <v>5.37</v>
      </c>
      <c r="J50" s="15">
        <v>5.0599999999999996</v>
      </c>
      <c r="K50" s="15">
        <v>4.6900000000000004</v>
      </c>
      <c r="L50" s="15">
        <v>4.57</v>
      </c>
      <c r="M50" s="15">
        <v>4.8</v>
      </c>
      <c r="N50" s="15">
        <v>5.45</v>
      </c>
      <c r="O50" s="15">
        <v>6.28</v>
      </c>
      <c r="P50" s="15">
        <v>7.59</v>
      </c>
      <c r="Q50" s="15">
        <v>9.59</v>
      </c>
      <c r="R50" s="15">
        <v>12.33</v>
      </c>
      <c r="S50" s="15">
        <v>15.74</v>
      </c>
      <c r="T50" s="15">
        <v>19.3</v>
      </c>
      <c r="U50" s="15">
        <v>22.92</v>
      </c>
      <c r="V50" s="15">
        <v>25.56</v>
      </c>
      <c r="W50" s="15">
        <v>26.71</v>
      </c>
      <c r="X50" s="15">
        <v>26.56</v>
      </c>
      <c r="Y50" s="15">
        <v>25.99</v>
      </c>
      <c r="Z50" s="15">
        <v>25.72</v>
      </c>
      <c r="AA50" s="15">
        <v>25.77</v>
      </c>
      <c r="AB50" s="15">
        <v>26.54</v>
      </c>
      <c r="AC50" s="15">
        <v>28.05</v>
      </c>
      <c r="AD50" s="15">
        <v>30.27</v>
      </c>
      <c r="AE50" s="15">
        <v>32.89</v>
      </c>
      <c r="AF50" s="15">
        <v>35.65</v>
      </c>
      <c r="AG50" s="15">
        <v>38.619999999999997</v>
      </c>
      <c r="AH50" s="15">
        <v>41.6</v>
      </c>
      <c r="AI50" s="15">
        <v>45.14</v>
      </c>
      <c r="AJ50" s="15">
        <v>49.08</v>
      </c>
      <c r="AK50" s="15">
        <v>53.77</v>
      </c>
      <c r="AL50" s="15">
        <v>59.62</v>
      </c>
      <c r="AM50" s="15">
        <v>66.45</v>
      </c>
      <c r="AN50" s="15">
        <v>73.599999999999994</v>
      </c>
      <c r="AO50" s="15">
        <v>80.91</v>
      </c>
      <c r="AP50" s="15">
        <v>87.9</v>
      </c>
      <c r="AQ50" s="15">
        <v>93.79</v>
      </c>
      <c r="AR50" s="15">
        <v>98.17</v>
      </c>
      <c r="AS50" s="15">
        <v>101.39</v>
      </c>
      <c r="AT50" s="15">
        <v>102.97</v>
      </c>
      <c r="AU50" s="15">
        <v>103.34</v>
      </c>
      <c r="AV50" s="15">
        <v>102.88</v>
      </c>
      <c r="AW50" s="15">
        <v>102.26</v>
      </c>
      <c r="AX50" s="15">
        <v>102.98</v>
      </c>
      <c r="AY50" s="15">
        <v>106.43</v>
      </c>
      <c r="AZ50" s="15">
        <v>113.3</v>
      </c>
      <c r="BA50" s="15">
        <v>122.58</v>
      </c>
      <c r="BB50" s="15">
        <v>134.41999999999999</v>
      </c>
      <c r="BC50" s="15">
        <v>148.74</v>
      </c>
      <c r="BD50" s="15">
        <v>164.34</v>
      </c>
      <c r="BE50" s="15">
        <v>180.9</v>
      </c>
      <c r="BF50" s="15">
        <v>198.09</v>
      </c>
      <c r="BG50" s="15">
        <v>215.97</v>
      </c>
      <c r="BH50" s="15">
        <v>234.7</v>
      </c>
      <c r="BI50" s="15">
        <v>254.57</v>
      </c>
      <c r="BJ50" s="15">
        <v>275.64999999999998</v>
      </c>
      <c r="BK50" s="15">
        <v>298.55</v>
      </c>
      <c r="BL50" s="15">
        <v>323.32</v>
      </c>
      <c r="BM50" s="15">
        <v>349.84</v>
      </c>
      <c r="BN50" s="15">
        <v>378.47</v>
      </c>
      <c r="BO50" s="15">
        <v>409.51</v>
      </c>
      <c r="BP50" s="15">
        <v>443.26</v>
      </c>
      <c r="BQ50" s="15">
        <v>482.08</v>
      </c>
      <c r="BR50" s="15">
        <v>526.86</v>
      </c>
      <c r="BS50" s="15">
        <v>573.63</v>
      </c>
      <c r="BT50" s="15">
        <v>620.79999999999995</v>
      </c>
      <c r="BU50" s="15">
        <v>670.41</v>
      </c>
      <c r="BV50" s="15">
        <v>726.85</v>
      </c>
      <c r="BW50" s="15">
        <v>790.5</v>
      </c>
      <c r="BX50" s="15">
        <v>859.84</v>
      </c>
      <c r="BY50" s="15">
        <v>936.43</v>
      </c>
      <c r="BZ50" s="15">
        <v>1021.32</v>
      </c>
      <c r="CA50" s="15">
        <v>1115.92</v>
      </c>
      <c r="CB50" s="15">
        <v>1220.47</v>
      </c>
      <c r="CC50" s="15">
        <v>1335.67</v>
      </c>
      <c r="CD50" s="15">
        <v>1463.88</v>
      </c>
      <c r="CE50" s="15">
        <v>1606.81</v>
      </c>
      <c r="CF50" s="15">
        <v>1766.47</v>
      </c>
      <c r="CG50" s="15">
        <v>1944.07</v>
      </c>
      <c r="CH50" s="15">
        <v>2140.66</v>
      </c>
      <c r="CI50" s="15">
        <v>2357.79</v>
      </c>
      <c r="CJ50" s="15">
        <v>2597.09</v>
      </c>
      <c r="CK50" s="15">
        <v>2857.72</v>
      </c>
      <c r="CL50" s="15">
        <v>3137.74</v>
      </c>
      <c r="CM50" s="15">
        <v>3438.85</v>
      </c>
      <c r="CN50" s="15">
        <v>3765.85</v>
      </c>
      <c r="CO50" s="15">
        <v>4118.4399999999996</v>
      </c>
      <c r="CP50" s="15">
        <v>4494.71</v>
      </c>
      <c r="CQ50" s="15">
        <v>4896.8</v>
      </c>
      <c r="CR50" s="15">
        <v>5329.83</v>
      </c>
      <c r="CS50" s="15">
        <v>5803</v>
      </c>
      <c r="CT50" s="15">
        <v>6323.05</v>
      </c>
      <c r="CU50" s="15">
        <v>6880.05</v>
      </c>
      <c r="CV50" s="15">
        <v>7468.57</v>
      </c>
      <c r="CW50" s="15">
        <v>8099.85</v>
      </c>
      <c r="CX50" s="15">
        <v>8774.58</v>
      </c>
    </row>
    <row r="51" spans="1:102" x14ac:dyDescent="0.25">
      <c r="A51" s="71">
        <v>2029</v>
      </c>
      <c r="B51" s="15">
        <v>329.8</v>
      </c>
      <c r="C51" s="15">
        <v>30.46</v>
      </c>
      <c r="D51" s="15">
        <v>13.84</v>
      </c>
      <c r="E51" s="15">
        <v>7.18</v>
      </c>
      <c r="F51" s="15">
        <v>6.25</v>
      </c>
      <c r="G51" s="15">
        <v>5.82</v>
      </c>
      <c r="H51" s="15">
        <v>5.51</v>
      </c>
      <c r="I51" s="15">
        <v>5.26</v>
      </c>
      <c r="J51" s="15">
        <v>4.95</v>
      </c>
      <c r="K51" s="15">
        <v>4.6399999999999997</v>
      </c>
      <c r="L51" s="15">
        <v>4.5199999999999996</v>
      </c>
      <c r="M51" s="15">
        <v>4.8099999999999996</v>
      </c>
      <c r="N51" s="15">
        <v>5.34</v>
      </c>
      <c r="O51" s="15">
        <v>6.24</v>
      </c>
      <c r="P51" s="15">
        <v>7.54</v>
      </c>
      <c r="Q51" s="15">
        <v>9.49</v>
      </c>
      <c r="R51" s="15">
        <v>12.18</v>
      </c>
      <c r="S51" s="15">
        <v>15.48</v>
      </c>
      <c r="T51" s="15">
        <v>19.100000000000001</v>
      </c>
      <c r="U51" s="15">
        <v>22.67</v>
      </c>
      <c r="V51" s="15">
        <v>25.32</v>
      </c>
      <c r="W51" s="15">
        <v>26.43</v>
      </c>
      <c r="X51" s="15">
        <v>26.27</v>
      </c>
      <c r="Y51" s="15">
        <v>25.65</v>
      </c>
      <c r="Z51" s="15">
        <v>25.39</v>
      </c>
      <c r="AA51" s="15">
        <v>25.4</v>
      </c>
      <c r="AB51" s="15">
        <v>26.07</v>
      </c>
      <c r="AC51" s="15">
        <v>27.73</v>
      </c>
      <c r="AD51" s="15">
        <v>30.01</v>
      </c>
      <c r="AE51" s="15">
        <v>32.479999999999997</v>
      </c>
      <c r="AF51" s="15">
        <v>35.26</v>
      </c>
      <c r="AG51" s="15">
        <v>38.03</v>
      </c>
      <c r="AH51" s="15">
        <v>41.16</v>
      </c>
      <c r="AI51" s="15">
        <v>44.65</v>
      </c>
      <c r="AJ51" s="15">
        <v>48.4</v>
      </c>
      <c r="AK51" s="15">
        <v>53.1</v>
      </c>
      <c r="AL51" s="15">
        <v>58.91</v>
      </c>
      <c r="AM51" s="15">
        <v>65.599999999999994</v>
      </c>
      <c r="AN51" s="15">
        <v>72.599999999999994</v>
      </c>
      <c r="AO51" s="15">
        <v>79.98</v>
      </c>
      <c r="AP51" s="15">
        <v>86.92</v>
      </c>
      <c r="AQ51" s="15">
        <v>92.56</v>
      </c>
      <c r="AR51" s="15">
        <v>97.1</v>
      </c>
      <c r="AS51" s="15">
        <v>100.11</v>
      </c>
      <c r="AT51" s="15">
        <v>101.74</v>
      </c>
      <c r="AU51" s="15">
        <v>102.22</v>
      </c>
      <c r="AV51" s="15">
        <v>101.6</v>
      </c>
      <c r="AW51" s="15">
        <v>101.03</v>
      </c>
      <c r="AX51" s="15">
        <v>101.8</v>
      </c>
      <c r="AY51" s="15">
        <v>105.2</v>
      </c>
      <c r="AZ51" s="15">
        <v>111.87</v>
      </c>
      <c r="BA51" s="15">
        <v>121.11</v>
      </c>
      <c r="BB51" s="15">
        <v>132.87</v>
      </c>
      <c r="BC51" s="15">
        <v>146.94</v>
      </c>
      <c r="BD51" s="15">
        <v>162.41</v>
      </c>
      <c r="BE51" s="15">
        <v>178.66</v>
      </c>
      <c r="BF51" s="15">
        <v>195.72</v>
      </c>
      <c r="BG51" s="15">
        <v>213.4</v>
      </c>
      <c r="BH51" s="15">
        <v>232.04</v>
      </c>
      <c r="BI51" s="15">
        <v>251.5</v>
      </c>
      <c r="BJ51" s="15">
        <v>272.27999999999997</v>
      </c>
      <c r="BK51" s="15">
        <v>295.02999999999997</v>
      </c>
      <c r="BL51" s="15">
        <v>319.44</v>
      </c>
      <c r="BM51" s="15">
        <v>345.7</v>
      </c>
      <c r="BN51" s="15">
        <v>373.91</v>
      </c>
      <c r="BO51" s="15">
        <v>404.68</v>
      </c>
      <c r="BP51" s="15">
        <v>437.93</v>
      </c>
      <c r="BQ51" s="15">
        <v>476.27</v>
      </c>
      <c r="BR51" s="15">
        <v>520.48</v>
      </c>
      <c r="BS51" s="15">
        <v>566.74</v>
      </c>
      <c r="BT51" s="15">
        <v>613.37</v>
      </c>
      <c r="BU51" s="15">
        <v>662.32</v>
      </c>
      <c r="BV51" s="15">
        <v>718.13</v>
      </c>
      <c r="BW51" s="15">
        <v>780.9</v>
      </c>
      <c r="BX51" s="15">
        <v>849.56</v>
      </c>
      <c r="BY51" s="15">
        <v>925.09</v>
      </c>
      <c r="BZ51" s="15">
        <v>1008.99</v>
      </c>
      <c r="CA51" s="15">
        <v>1102.54</v>
      </c>
      <c r="CB51" s="15">
        <v>1205.8399999999999</v>
      </c>
      <c r="CC51" s="15">
        <v>1319.66</v>
      </c>
      <c r="CD51" s="15">
        <v>1446.38</v>
      </c>
      <c r="CE51" s="15">
        <v>1587.64</v>
      </c>
      <c r="CF51" s="15">
        <v>1745.34</v>
      </c>
      <c r="CG51" s="15">
        <v>1920.97</v>
      </c>
      <c r="CH51" s="15">
        <v>2115.2600000000002</v>
      </c>
      <c r="CI51" s="15">
        <v>2329.84</v>
      </c>
      <c r="CJ51" s="15">
        <v>2566.34</v>
      </c>
      <c r="CK51" s="15">
        <v>2823.94</v>
      </c>
      <c r="CL51" s="15">
        <v>3100.7</v>
      </c>
      <c r="CM51" s="15">
        <v>3398.31</v>
      </c>
      <c r="CN51" s="15">
        <v>3721.53</v>
      </c>
      <c r="CO51" s="15">
        <v>4070.06</v>
      </c>
      <c r="CP51" s="15">
        <v>4442.0200000000004</v>
      </c>
      <c r="CQ51" s="15">
        <v>4839.53</v>
      </c>
      <c r="CR51" s="15">
        <v>5267.64</v>
      </c>
      <c r="CS51" s="15">
        <v>5735.45</v>
      </c>
      <c r="CT51" s="15">
        <v>6249.65</v>
      </c>
      <c r="CU51" s="15">
        <v>6800.43</v>
      </c>
      <c r="CV51" s="15">
        <v>7382.43</v>
      </c>
      <c r="CW51" s="15">
        <v>8006.79</v>
      </c>
      <c r="CX51" s="15">
        <v>8674.18</v>
      </c>
    </row>
    <row r="52" spans="1:102" x14ac:dyDescent="0.25">
      <c r="A52" s="71">
        <v>2030</v>
      </c>
      <c r="B52" s="15">
        <v>325</v>
      </c>
      <c r="C52" s="15">
        <v>30.28</v>
      </c>
      <c r="D52" s="15">
        <v>13.56</v>
      </c>
      <c r="E52" s="15">
        <v>7.13</v>
      </c>
      <c r="F52" s="15">
        <v>6.14</v>
      </c>
      <c r="G52" s="15">
        <v>5.71</v>
      </c>
      <c r="H52" s="15">
        <v>5.46</v>
      </c>
      <c r="I52" s="15">
        <v>5.21</v>
      </c>
      <c r="J52" s="15">
        <v>4.9000000000000004</v>
      </c>
      <c r="K52" s="15">
        <v>4.53</v>
      </c>
      <c r="L52" s="15">
        <v>4.46</v>
      </c>
      <c r="M52" s="15">
        <v>4.76</v>
      </c>
      <c r="N52" s="15">
        <v>5.29</v>
      </c>
      <c r="O52" s="15">
        <v>6.25</v>
      </c>
      <c r="P52" s="15">
        <v>7.5</v>
      </c>
      <c r="Q52" s="15">
        <v>9.3800000000000008</v>
      </c>
      <c r="R52" s="15">
        <v>12.07</v>
      </c>
      <c r="S52" s="15">
        <v>15.2</v>
      </c>
      <c r="T52" s="15">
        <v>18.89</v>
      </c>
      <c r="U52" s="15">
        <v>22.47</v>
      </c>
      <c r="V52" s="15">
        <v>25.01</v>
      </c>
      <c r="W52" s="15">
        <v>26.12</v>
      </c>
      <c r="X52" s="15">
        <v>25.92</v>
      </c>
      <c r="Y52" s="15">
        <v>25.36</v>
      </c>
      <c r="Z52" s="15">
        <v>25.05</v>
      </c>
      <c r="AA52" s="15">
        <v>25</v>
      </c>
      <c r="AB52" s="15">
        <v>25.73</v>
      </c>
      <c r="AC52" s="15">
        <v>27.45</v>
      </c>
      <c r="AD52" s="15">
        <v>29.64</v>
      </c>
      <c r="AE52" s="15">
        <v>32.11</v>
      </c>
      <c r="AF52" s="15">
        <v>34.89</v>
      </c>
      <c r="AG52" s="15">
        <v>37.56</v>
      </c>
      <c r="AH52" s="15">
        <v>40.799999999999997</v>
      </c>
      <c r="AI52" s="15">
        <v>44.1</v>
      </c>
      <c r="AJ52" s="15">
        <v>47.8</v>
      </c>
      <c r="AK52" s="15">
        <v>52.5</v>
      </c>
      <c r="AL52" s="15">
        <v>58.17</v>
      </c>
      <c r="AM52" s="15">
        <v>64.66</v>
      </c>
      <c r="AN52" s="15">
        <v>71.819999999999993</v>
      </c>
      <c r="AO52" s="15">
        <v>79.150000000000006</v>
      </c>
      <c r="AP52" s="15">
        <v>85.9</v>
      </c>
      <c r="AQ52" s="15">
        <v>91.54</v>
      </c>
      <c r="AR52" s="15">
        <v>95.98</v>
      </c>
      <c r="AS52" s="15">
        <v>98.94</v>
      </c>
      <c r="AT52" s="15">
        <v>100.67</v>
      </c>
      <c r="AU52" s="15">
        <v>100.94</v>
      </c>
      <c r="AV52" s="15">
        <v>100.26</v>
      </c>
      <c r="AW52" s="15">
        <v>99.84</v>
      </c>
      <c r="AX52" s="15">
        <v>100.56</v>
      </c>
      <c r="AY52" s="15">
        <v>103.86</v>
      </c>
      <c r="AZ52" s="15">
        <v>110.44</v>
      </c>
      <c r="BA52" s="15">
        <v>119.68</v>
      </c>
      <c r="BB52" s="15">
        <v>131.24</v>
      </c>
      <c r="BC52" s="15">
        <v>145.11000000000001</v>
      </c>
      <c r="BD52" s="15">
        <v>160.44</v>
      </c>
      <c r="BE52" s="15">
        <v>176.44</v>
      </c>
      <c r="BF52" s="15">
        <v>193.35</v>
      </c>
      <c r="BG52" s="15">
        <v>210.98</v>
      </c>
      <c r="BH52" s="15">
        <v>229.26</v>
      </c>
      <c r="BI52" s="15">
        <v>248.41</v>
      </c>
      <c r="BJ52" s="15">
        <v>269.02999999999997</v>
      </c>
      <c r="BK52" s="15">
        <v>291.51</v>
      </c>
      <c r="BL52" s="15">
        <v>315.61</v>
      </c>
      <c r="BM52" s="15">
        <v>341.59</v>
      </c>
      <c r="BN52" s="15">
        <v>369.53</v>
      </c>
      <c r="BO52" s="15">
        <v>399.85</v>
      </c>
      <c r="BP52" s="15">
        <v>432.56</v>
      </c>
      <c r="BQ52" s="15">
        <v>470.54</v>
      </c>
      <c r="BR52" s="15">
        <v>514.23</v>
      </c>
      <c r="BS52" s="15">
        <v>560.05999999999995</v>
      </c>
      <c r="BT52" s="15">
        <v>605.97</v>
      </c>
      <c r="BU52" s="15">
        <v>654.35</v>
      </c>
      <c r="BV52" s="15">
        <v>709.51</v>
      </c>
      <c r="BW52" s="15">
        <v>771.55</v>
      </c>
      <c r="BX52" s="15">
        <v>839.39</v>
      </c>
      <c r="BY52" s="15">
        <v>913.94</v>
      </c>
      <c r="BZ52" s="15">
        <v>996.81</v>
      </c>
      <c r="CA52" s="15">
        <v>1089.33</v>
      </c>
      <c r="CB52" s="15">
        <v>1191.31</v>
      </c>
      <c r="CC52" s="15">
        <v>1303.82</v>
      </c>
      <c r="CD52" s="15">
        <v>1429.13</v>
      </c>
      <c r="CE52" s="15">
        <v>1568.61</v>
      </c>
      <c r="CF52" s="15">
        <v>1724.58</v>
      </c>
      <c r="CG52" s="15">
        <v>1898.15</v>
      </c>
      <c r="CH52" s="15">
        <v>2090.15</v>
      </c>
      <c r="CI52" s="15">
        <v>2302.23</v>
      </c>
      <c r="CJ52" s="15">
        <v>2535.96</v>
      </c>
      <c r="CK52" s="15">
        <v>2790.55</v>
      </c>
      <c r="CL52" s="15">
        <v>3064.1</v>
      </c>
      <c r="CM52" s="15">
        <v>3358.25</v>
      </c>
      <c r="CN52" s="15">
        <v>3677.73</v>
      </c>
      <c r="CO52" s="15">
        <v>4022.25</v>
      </c>
      <c r="CP52" s="15">
        <v>4389.95</v>
      </c>
      <c r="CQ52" s="15">
        <v>4782.92</v>
      </c>
      <c r="CR52" s="15">
        <v>5206.17</v>
      </c>
      <c r="CS52" s="15">
        <v>5668.68</v>
      </c>
      <c r="CT52" s="15">
        <v>6177.1</v>
      </c>
      <c r="CU52" s="15">
        <v>6721.73</v>
      </c>
      <c r="CV52" s="15">
        <v>7297.29</v>
      </c>
      <c r="CW52" s="15">
        <v>7914.8</v>
      </c>
      <c r="CX52" s="15">
        <v>8574.94</v>
      </c>
    </row>
    <row r="53" spans="1:102" x14ac:dyDescent="0.25">
      <c r="A53" s="71">
        <v>2031</v>
      </c>
      <c r="B53" s="15">
        <v>320.39</v>
      </c>
      <c r="C53" s="15">
        <v>29.58</v>
      </c>
      <c r="D53" s="15">
        <v>13.38</v>
      </c>
      <c r="E53" s="15">
        <v>7.01</v>
      </c>
      <c r="F53" s="15">
        <v>6.08</v>
      </c>
      <c r="G53" s="15">
        <v>5.71</v>
      </c>
      <c r="H53" s="15">
        <v>5.46</v>
      </c>
      <c r="I53" s="15">
        <v>5.21</v>
      </c>
      <c r="J53" s="15">
        <v>4.84</v>
      </c>
      <c r="K53" s="15">
        <v>4.47</v>
      </c>
      <c r="L53" s="15">
        <v>4.47</v>
      </c>
      <c r="M53" s="15">
        <v>4.6399999999999997</v>
      </c>
      <c r="N53" s="15">
        <v>5.3</v>
      </c>
      <c r="O53" s="15">
        <v>6.07</v>
      </c>
      <c r="P53" s="15">
        <v>7.38</v>
      </c>
      <c r="Q53" s="15">
        <v>9.33</v>
      </c>
      <c r="R53" s="15">
        <v>11.85</v>
      </c>
      <c r="S53" s="15">
        <v>14.98</v>
      </c>
      <c r="T53" s="15">
        <v>18.670000000000002</v>
      </c>
      <c r="U53" s="15">
        <v>22.14</v>
      </c>
      <c r="V53" s="15">
        <v>24.69</v>
      </c>
      <c r="W53" s="15">
        <v>25.86</v>
      </c>
      <c r="X53" s="15">
        <v>25.55</v>
      </c>
      <c r="Y53" s="15">
        <v>25.1</v>
      </c>
      <c r="Z53" s="15">
        <v>24.69</v>
      </c>
      <c r="AA53" s="15">
        <v>24.7</v>
      </c>
      <c r="AB53" s="15">
        <v>25.49</v>
      </c>
      <c r="AC53" s="15">
        <v>27.16</v>
      </c>
      <c r="AD53" s="15">
        <v>29.19</v>
      </c>
      <c r="AE53" s="15">
        <v>31.88</v>
      </c>
      <c r="AF53" s="15">
        <v>34.4</v>
      </c>
      <c r="AG53" s="15">
        <v>37.229999999999997</v>
      </c>
      <c r="AH53" s="15">
        <v>40.26</v>
      </c>
      <c r="AI53" s="15">
        <v>43.46</v>
      </c>
      <c r="AJ53" s="15">
        <v>47.31</v>
      </c>
      <c r="AK53" s="15">
        <v>51.82</v>
      </c>
      <c r="AL53" s="15">
        <v>57.44</v>
      </c>
      <c r="AM53" s="15">
        <v>63.93</v>
      </c>
      <c r="AN53" s="15">
        <v>70.989999999999995</v>
      </c>
      <c r="AO53" s="15">
        <v>78.23</v>
      </c>
      <c r="AP53" s="15">
        <v>84.82</v>
      </c>
      <c r="AQ53" s="15">
        <v>90.47</v>
      </c>
      <c r="AR53" s="15">
        <v>94.8</v>
      </c>
      <c r="AS53" s="15">
        <v>97.81</v>
      </c>
      <c r="AT53" s="15">
        <v>99.43</v>
      </c>
      <c r="AU53" s="15">
        <v>99.6</v>
      </c>
      <c r="AV53" s="15">
        <v>99.13</v>
      </c>
      <c r="AW53" s="15">
        <v>98.65</v>
      </c>
      <c r="AX53" s="15">
        <v>99.27</v>
      </c>
      <c r="AY53" s="15">
        <v>102.51</v>
      </c>
      <c r="AZ53" s="15">
        <v>109.09</v>
      </c>
      <c r="BA53" s="15">
        <v>118.24</v>
      </c>
      <c r="BB53" s="15">
        <v>129.63999999999999</v>
      </c>
      <c r="BC53" s="15">
        <v>143.41</v>
      </c>
      <c r="BD53" s="15">
        <v>158.37</v>
      </c>
      <c r="BE53" s="15">
        <v>174.32</v>
      </c>
      <c r="BF53" s="15">
        <v>191.12</v>
      </c>
      <c r="BG53" s="15">
        <v>208.43</v>
      </c>
      <c r="BH53" s="15">
        <v>226.44</v>
      </c>
      <c r="BI53" s="15">
        <v>245.38</v>
      </c>
      <c r="BJ53" s="15">
        <v>265.83</v>
      </c>
      <c r="BK53" s="15">
        <v>287.93</v>
      </c>
      <c r="BL53" s="15">
        <v>311.85000000000002</v>
      </c>
      <c r="BM53" s="15">
        <v>337.49</v>
      </c>
      <c r="BN53" s="15">
        <v>365.08</v>
      </c>
      <c r="BO53" s="15">
        <v>394.95</v>
      </c>
      <c r="BP53" s="15">
        <v>427.24</v>
      </c>
      <c r="BQ53" s="15">
        <v>464.96</v>
      </c>
      <c r="BR53" s="15">
        <v>508.16</v>
      </c>
      <c r="BS53" s="15">
        <v>553.26</v>
      </c>
      <c r="BT53" s="15">
        <v>598.6</v>
      </c>
      <c r="BU53" s="15">
        <v>646.54</v>
      </c>
      <c r="BV53" s="15">
        <v>700.97</v>
      </c>
      <c r="BW53" s="15">
        <v>762.29</v>
      </c>
      <c r="BX53" s="15">
        <v>829.34</v>
      </c>
      <c r="BY53" s="15">
        <v>902.94</v>
      </c>
      <c r="BZ53" s="15">
        <v>984.86</v>
      </c>
      <c r="CA53" s="15">
        <v>1076.26</v>
      </c>
      <c r="CB53" s="15">
        <v>1176.97</v>
      </c>
      <c r="CC53" s="15">
        <v>1288.32</v>
      </c>
      <c r="CD53" s="15">
        <v>1411.93</v>
      </c>
      <c r="CE53" s="15">
        <v>1549.94</v>
      </c>
      <c r="CF53" s="15">
        <v>1704.07</v>
      </c>
      <c r="CG53" s="15">
        <v>1875.6</v>
      </c>
      <c r="CH53" s="15">
        <v>2065.35</v>
      </c>
      <c r="CI53" s="15">
        <v>2274.94</v>
      </c>
      <c r="CJ53" s="15">
        <v>2505.9499999999998</v>
      </c>
      <c r="CK53" s="15">
        <v>2757.56</v>
      </c>
      <c r="CL53" s="15">
        <v>3027.92</v>
      </c>
      <c r="CM53" s="15">
        <v>3318.66</v>
      </c>
      <c r="CN53" s="15">
        <v>3634.44</v>
      </c>
      <c r="CO53" s="15">
        <v>3975</v>
      </c>
      <c r="CP53" s="15">
        <v>4338.49</v>
      </c>
      <c r="CQ53" s="15">
        <v>4726.9799999999996</v>
      </c>
      <c r="CR53" s="15">
        <v>5145.42</v>
      </c>
      <c r="CS53" s="15">
        <v>5602.7</v>
      </c>
      <c r="CT53" s="15">
        <v>6105.39</v>
      </c>
      <c r="CU53" s="15">
        <v>6643.94</v>
      </c>
      <c r="CV53" s="15">
        <v>7213.12</v>
      </c>
      <c r="CW53" s="15">
        <v>7823.86</v>
      </c>
      <c r="CX53" s="15">
        <v>8476.84</v>
      </c>
    </row>
    <row r="54" spans="1:102" x14ac:dyDescent="0.25">
      <c r="A54" s="71">
        <v>2032</v>
      </c>
      <c r="B54" s="15">
        <v>316.33999999999997</v>
      </c>
      <c r="C54" s="15">
        <v>29.28</v>
      </c>
      <c r="D54" s="15">
        <v>13.19</v>
      </c>
      <c r="E54" s="15">
        <v>6.95</v>
      </c>
      <c r="F54" s="15">
        <v>6.08</v>
      </c>
      <c r="G54" s="15">
        <v>5.71</v>
      </c>
      <c r="H54" s="15">
        <v>5.46</v>
      </c>
      <c r="I54" s="15">
        <v>5.21</v>
      </c>
      <c r="J54" s="15">
        <v>4.84</v>
      </c>
      <c r="K54" s="15">
        <v>4.47</v>
      </c>
      <c r="L54" s="15">
        <v>4.41</v>
      </c>
      <c r="M54" s="15">
        <v>4.58</v>
      </c>
      <c r="N54" s="15">
        <v>5.18</v>
      </c>
      <c r="O54" s="15">
        <v>5.89</v>
      </c>
      <c r="P54" s="15">
        <v>7.32</v>
      </c>
      <c r="Q54" s="15">
        <v>9.27</v>
      </c>
      <c r="R54" s="15">
        <v>11.67</v>
      </c>
      <c r="S54" s="15">
        <v>14.8</v>
      </c>
      <c r="T54" s="15">
        <v>18.38</v>
      </c>
      <c r="U54" s="15">
        <v>21.79</v>
      </c>
      <c r="V54" s="15">
        <v>24.46</v>
      </c>
      <c r="W54" s="15">
        <v>25.46</v>
      </c>
      <c r="X54" s="15">
        <v>25.27</v>
      </c>
      <c r="Y54" s="15">
        <v>24.78</v>
      </c>
      <c r="Z54" s="15">
        <v>24.31</v>
      </c>
      <c r="AA54" s="15">
        <v>24.38</v>
      </c>
      <c r="AB54" s="15">
        <v>25.22</v>
      </c>
      <c r="AC54" s="15">
        <v>26.69</v>
      </c>
      <c r="AD54" s="15">
        <v>28.93</v>
      </c>
      <c r="AE54" s="15">
        <v>31.41</v>
      </c>
      <c r="AF54" s="15">
        <v>33.94</v>
      </c>
      <c r="AG54" s="15">
        <v>36.76</v>
      </c>
      <c r="AH54" s="15">
        <v>39.700000000000003</v>
      </c>
      <c r="AI54" s="15">
        <v>42.9</v>
      </c>
      <c r="AJ54" s="15">
        <v>46.75</v>
      </c>
      <c r="AK54" s="15">
        <v>51.26</v>
      </c>
      <c r="AL54" s="15">
        <v>56.82</v>
      </c>
      <c r="AM54" s="15">
        <v>63.16</v>
      </c>
      <c r="AN54" s="15">
        <v>70.12</v>
      </c>
      <c r="AO54" s="15">
        <v>77.2</v>
      </c>
      <c r="AP54" s="15">
        <v>83.79</v>
      </c>
      <c r="AQ54" s="15">
        <v>89.33</v>
      </c>
      <c r="AR54" s="15">
        <v>93.66</v>
      </c>
      <c r="AS54" s="15">
        <v>96.56</v>
      </c>
      <c r="AT54" s="15">
        <v>98.18</v>
      </c>
      <c r="AU54" s="15">
        <v>98.44</v>
      </c>
      <c r="AV54" s="15">
        <v>97.97</v>
      </c>
      <c r="AW54" s="15">
        <v>97.44</v>
      </c>
      <c r="AX54" s="15">
        <v>98</v>
      </c>
      <c r="AY54" s="15">
        <v>101.3</v>
      </c>
      <c r="AZ54" s="15">
        <v>107.87</v>
      </c>
      <c r="BA54" s="15">
        <v>116.86</v>
      </c>
      <c r="BB54" s="15">
        <v>128.1</v>
      </c>
      <c r="BC54" s="15">
        <v>141.6</v>
      </c>
      <c r="BD54" s="15">
        <v>156.44999999999999</v>
      </c>
      <c r="BE54" s="15">
        <v>172.34</v>
      </c>
      <c r="BF54" s="15">
        <v>188.81</v>
      </c>
      <c r="BG54" s="15">
        <v>205.8</v>
      </c>
      <c r="BH54" s="15">
        <v>223.68</v>
      </c>
      <c r="BI54" s="15">
        <v>242.44</v>
      </c>
      <c r="BJ54" s="15">
        <v>262.64999999999998</v>
      </c>
      <c r="BK54" s="15">
        <v>284.41000000000003</v>
      </c>
      <c r="BL54" s="15">
        <v>307.98</v>
      </c>
      <c r="BM54" s="15">
        <v>333.37</v>
      </c>
      <c r="BN54" s="15">
        <v>360.65</v>
      </c>
      <c r="BO54" s="15">
        <v>390.1</v>
      </c>
      <c r="BP54" s="15">
        <v>422.22</v>
      </c>
      <c r="BQ54" s="15">
        <v>459.44</v>
      </c>
      <c r="BR54" s="15">
        <v>501.96</v>
      </c>
      <c r="BS54" s="15">
        <v>546.53</v>
      </c>
      <c r="BT54" s="15">
        <v>591.41999999999996</v>
      </c>
      <c r="BU54" s="15">
        <v>638.73</v>
      </c>
      <c r="BV54" s="15">
        <v>692.45</v>
      </c>
      <c r="BW54" s="15">
        <v>753.15</v>
      </c>
      <c r="BX54" s="15">
        <v>819.36</v>
      </c>
      <c r="BY54" s="15">
        <v>892.14</v>
      </c>
      <c r="BZ54" s="15">
        <v>973.07</v>
      </c>
      <c r="CA54" s="15">
        <v>1063.4100000000001</v>
      </c>
      <c r="CB54" s="15">
        <v>1162.93</v>
      </c>
      <c r="CC54" s="15">
        <v>1272.8699999999999</v>
      </c>
      <c r="CD54" s="15">
        <v>1395.11</v>
      </c>
      <c r="CE54" s="15">
        <v>1531.5</v>
      </c>
      <c r="CF54" s="15">
        <v>1683.81</v>
      </c>
      <c r="CG54" s="15">
        <v>1853.32</v>
      </c>
      <c r="CH54" s="15">
        <v>2040.84</v>
      </c>
      <c r="CI54" s="15">
        <v>2247.98</v>
      </c>
      <c r="CJ54" s="15">
        <v>2476.2800000000002</v>
      </c>
      <c r="CK54" s="15">
        <v>2724.96</v>
      </c>
      <c r="CL54" s="15">
        <v>2992.18</v>
      </c>
      <c r="CM54" s="15">
        <v>3279.54</v>
      </c>
      <c r="CN54" s="15">
        <v>3591.67</v>
      </c>
      <c r="CO54" s="15">
        <v>3928.3</v>
      </c>
      <c r="CP54" s="15">
        <v>4287.63</v>
      </c>
      <c r="CQ54" s="15">
        <v>4671.6899999999996</v>
      </c>
      <c r="CR54" s="15">
        <v>5085.37</v>
      </c>
      <c r="CS54" s="15">
        <v>5537.48</v>
      </c>
      <c r="CT54" s="15">
        <v>6034.52</v>
      </c>
      <c r="CU54" s="15">
        <v>6567.04</v>
      </c>
      <c r="CV54" s="15">
        <v>7129.93</v>
      </c>
      <c r="CW54" s="15">
        <v>7733.97</v>
      </c>
      <c r="CX54" s="15">
        <v>8379.85</v>
      </c>
    </row>
    <row r="55" spans="1:102" x14ac:dyDescent="0.25">
      <c r="A55" s="71">
        <v>2033</v>
      </c>
      <c r="B55" s="15">
        <v>312.22000000000003</v>
      </c>
      <c r="C55" s="15">
        <v>29.27</v>
      </c>
      <c r="D55" s="15">
        <v>13.05</v>
      </c>
      <c r="E55" s="15">
        <v>6.94</v>
      </c>
      <c r="F55" s="15">
        <v>6.02</v>
      </c>
      <c r="G55" s="15">
        <v>5.7</v>
      </c>
      <c r="H55" s="15">
        <v>5.39</v>
      </c>
      <c r="I55" s="15">
        <v>5.14</v>
      </c>
      <c r="J55" s="15">
        <v>4.7699999999999996</v>
      </c>
      <c r="K55" s="15">
        <v>4.41</v>
      </c>
      <c r="L55" s="15">
        <v>4.34</v>
      </c>
      <c r="M55" s="15">
        <v>4.58</v>
      </c>
      <c r="N55" s="15">
        <v>5.05</v>
      </c>
      <c r="O55" s="15">
        <v>5.88</v>
      </c>
      <c r="P55" s="15">
        <v>7.31</v>
      </c>
      <c r="Q55" s="15">
        <v>9.14</v>
      </c>
      <c r="R55" s="15">
        <v>11.6</v>
      </c>
      <c r="S55" s="15">
        <v>14.61</v>
      </c>
      <c r="T55" s="15">
        <v>18.12</v>
      </c>
      <c r="U55" s="15">
        <v>21.6</v>
      </c>
      <c r="V55" s="15">
        <v>24.15</v>
      </c>
      <c r="W55" s="15">
        <v>25.1</v>
      </c>
      <c r="X55" s="15">
        <v>25.02</v>
      </c>
      <c r="Y55" s="15">
        <v>24.43</v>
      </c>
      <c r="Z55" s="15">
        <v>23.91</v>
      </c>
      <c r="AA55" s="15">
        <v>24.04</v>
      </c>
      <c r="AB55" s="15">
        <v>24.78</v>
      </c>
      <c r="AC55" s="15">
        <v>26.35</v>
      </c>
      <c r="AD55" s="15">
        <v>28.49</v>
      </c>
      <c r="AE55" s="15">
        <v>30.87</v>
      </c>
      <c r="AF55" s="15">
        <v>33.49</v>
      </c>
      <c r="AG55" s="15">
        <v>36.369999999999997</v>
      </c>
      <c r="AH55" s="15">
        <v>39.15</v>
      </c>
      <c r="AI55" s="15">
        <v>42.4</v>
      </c>
      <c r="AJ55" s="15">
        <v>46.15</v>
      </c>
      <c r="AK55" s="15">
        <v>50.75</v>
      </c>
      <c r="AL55" s="15">
        <v>56.11</v>
      </c>
      <c r="AM55" s="15">
        <v>62.34</v>
      </c>
      <c r="AN55" s="15">
        <v>69.239999999999995</v>
      </c>
      <c r="AO55" s="15">
        <v>76.260000000000005</v>
      </c>
      <c r="AP55" s="15">
        <v>82.79</v>
      </c>
      <c r="AQ55" s="15">
        <v>88.27</v>
      </c>
      <c r="AR55" s="15">
        <v>92.43</v>
      </c>
      <c r="AS55" s="15">
        <v>95.38</v>
      </c>
      <c r="AT55" s="15">
        <v>97</v>
      </c>
      <c r="AU55" s="15">
        <v>97.26</v>
      </c>
      <c r="AV55" s="15">
        <v>96.78</v>
      </c>
      <c r="AW55" s="15">
        <v>96.2</v>
      </c>
      <c r="AX55" s="15">
        <v>96.92</v>
      </c>
      <c r="AY55" s="15">
        <v>100.21</v>
      </c>
      <c r="AZ55" s="15">
        <v>106.57</v>
      </c>
      <c r="BA55" s="15">
        <v>115.44</v>
      </c>
      <c r="BB55" s="15">
        <v>126.46</v>
      </c>
      <c r="BC55" s="15">
        <v>139.88999999999999</v>
      </c>
      <c r="BD55" s="15">
        <v>154.61000000000001</v>
      </c>
      <c r="BE55" s="15">
        <v>170.16</v>
      </c>
      <c r="BF55" s="15">
        <v>186.4</v>
      </c>
      <c r="BG55" s="15">
        <v>203.3</v>
      </c>
      <c r="BH55" s="15">
        <v>220.95</v>
      </c>
      <c r="BI55" s="15">
        <v>239.56</v>
      </c>
      <c r="BJ55" s="15">
        <v>259.47000000000003</v>
      </c>
      <c r="BK55" s="15">
        <v>280.97000000000003</v>
      </c>
      <c r="BL55" s="15">
        <v>304.33</v>
      </c>
      <c r="BM55" s="15">
        <v>329.35</v>
      </c>
      <c r="BN55" s="15">
        <v>356.3</v>
      </c>
      <c r="BO55" s="15">
        <v>385.46</v>
      </c>
      <c r="BP55" s="15">
        <v>417.22</v>
      </c>
      <c r="BQ55" s="15">
        <v>453.76</v>
      </c>
      <c r="BR55" s="15">
        <v>495.84</v>
      </c>
      <c r="BS55" s="15">
        <v>540</v>
      </c>
      <c r="BT55" s="15">
        <v>584.29999999999995</v>
      </c>
      <c r="BU55" s="15">
        <v>630.96</v>
      </c>
      <c r="BV55" s="15">
        <v>684.15</v>
      </c>
      <c r="BW55" s="15">
        <v>744.07</v>
      </c>
      <c r="BX55" s="15">
        <v>809.51</v>
      </c>
      <c r="BY55" s="15">
        <v>881.41</v>
      </c>
      <c r="BZ55" s="15">
        <v>961.41</v>
      </c>
      <c r="CA55" s="15">
        <v>1050.6400000000001</v>
      </c>
      <c r="CB55" s="15">
        <v>1149.02</v>
      </c>
      <c r="CC55" s="15">
        <v>1257.7</v>
      </c>
      <c r="CD55" s="15">
        <v>1378.5</v>
      </c>
      <c r="CE55" s="15">
        <v>1513.27</v>
      </c>
      <c r="CF55" s="15">
        <v>1663.78</v>
      </c>
      <c r="CG55" s="15">
        <v>1831.3</v>
      </c>
      <c r="CH55" s="15">
        <v>2016.62</v>
      </c>
      <c r="CI55" s="15">
        <v>2221.33</v>
      </c>
      <c r="CJ55" s="15">
        <v>2446.9699999999998</v>
      </c>
      <c r="CK55" s="15">
        <v>2692.75</v>
      </c>
      <c r="CL55" s="15">
        <v>2956.85</v>
      </c>
      <c r="CM55" s="15">
        <v>3240.88</v>
      </c>
      <c r="CN55" s="15">
        <v>3549.4</v>
      </c>
      <c r="CO55" s="15">
        <v>3882.15</v>
      </c>
      <c r="CP55" s="15">
        <v>4237.37</v>
      </c>
      <c r="CQ55" s="15">
        <v>4617.05</v>
      </c>
      <c r="CR55" s="15">
        <v>5026.03</v>
      </c>
      <c r="CS55" s="15">
        <v>5473.02</v>
      </c>
      <c r="CT55" s="15">
        <v>5964.46</v>
      </c>
      <c r="CU55" s="15">
        <v>6491.04</v>
      </c>
      <c r="CV55" s="15">
        <v>7047.7</v>
      </c>
      <c r="CW55" s="15">
        <v>7645.11</v>
      </c>
      <c r="CX55" s="15">
        <v>8283.98</v>
      </c>
    </row>
    <row r="56" spans="1:102" x14ac:dyDescent="0.25">
      <c r="A56" s="71">
        <v>2034</v>
      </c>
      <c r="B56" s="15">
        <v>308.3</v>
      </c>
      <c r="C56" s="15">
        <v>28.52</v>
      </c>
      <c r="D56" s="15">
        <v>12.96</v>
      </c>
      <c r="E56" s="15">
        <v>6.86</v>
      </c>
      <c r="F56" s="15">
        <v>5.94</v>
      </c>
      <c r="G56" s="15">
        <v>5.57</v>
      </c>
      <c r="H56" s="15">
        <v>5.26</v>
      </c>
      <c r="I56" s="15">
        <v>5.01</v>
      </c>
      <c r="J56" s="15">
        <v>4.6399999999999997</v>
      </c>
      <c r="K56" s="15">
        <v>4.34</v>
      </c>
      <c r="L56" s="15">
        <v>4.33</v>
      </c>
      <c r="M56" s="15">
        <v>4.57</v>
      </c>
      <c r="N56" s="15">
        <v>4.9800000000000004</v>
      </c>
      <c r="O56" s="15">
        <v>5.87</v>
      </c>
      <c r="P56" s="15">
        <v>7.18</v>
      </c>
      <c r="Q56" s="15">
        <v>9.06</v>
      </c>
      <c r="R56" s="15">
        <v>11.45</v>
      </c>
      <c r="S56" s="15">
        <v>14.46</v>
      </c>
      <c r="T56" s="15">
        <v>17.97</v>
      </c>
      <c r="U56" s="15">
        <v>21.38</v>
      </c>
      <c r="V56" s="15">
        <v>23.81</v>
      </c>
      <c r="W56" s="15">
        <v>24.82</v>
      </c>
      <c r="X56" s="15">
        <v>24.8</v>
      </c>
      <c r="Y56" s="15">
        <v>24.1</v>
      </c>
      <c r="Z56" s="15">
        <v>23.6</v>
      </c>
      <c r="AA56" s="15">
        <v>23.68</v>
      </c>
      <c r="AB56" s="15">
        <v>24.47</v>
      </c>
      <c r="AC56" s="15">
        <v>26.04</v>
      </c>
      <c r="AD56" s="15">
        <v>27.97</v>
      </c>
      <c r="AE56" s="15">
        <v>30.45</v>
      </c>
      <c r="AF56" s="15">
        <v>33.119999999999997</v>
      </c>
      <c r="AG56" s="15">
        <v>35.950000000000003</v>
      </c>
      <c r="AH56" s="15">
        <v>38.619999999999997</v>
      </c>
      <c r="AI56" s="15">
        <v>41.86</v>
      </c>
      <c r="AJ56" s="15">
        <v>45.6</v>
      </c>
      <c r="AK56" s="15">
        <v>50.04</v>
      </c>
      <c r="AL56" s="15">
        <v>55.34</v>
      </c>
      <c r="AM56" s="15">
        <v>61.61</v>
      </c>
      <c r="AN56" s="15">
        <v>68.44</v>
      </c>
      <c r="AO56" s="15">
        <v>75.39</v>
      </c>
      <c r="AP56" s="15">
        <v>81.709999999999994</v>
      </c>
      <c r="AQ56" s="15">
        <v>87.12</v>
      </c>
      <c r="AR56" s="15">
        <v>91.28</v>
      </c>
      <c r="AS56" s="15">
        <v>94.26</v>
      </c>
      <c r="AT56" s="15">
        <v>95.77</v>
      </c>
      <c r="AU56" s="15">
        <v>96.13</v>
      </c>
      <c r="AV56" s="15">
        <v>95.55</v>
      </c>
      <c r="AW56" s="15">
        <v>95.03</v>
      </c>
      <c r="AX56" s="15">
        <v>95.79</v>
      </c>
      <c r="AY56" s="15">
        <v>98.92</v>
      </c>
      <c r="AZ56" s="15">
        <v>105.16</v>
      </c>
      <c r="BA56" s="15">
        <v>113.96</v>
      </c>
      <c r="BB56" s="15">
        <v>124.9</v>
      </c>
      <c r="BC56" s="15">
        <v>138.19</v>
      </c>
      <c r="BD56" s="15">
        <v>152.72</v>
      </c>
      <c r="BE56" s="15">
        <v>168.03</v>
      </c>
      <c r="BF56" s="15">
        <v>184.17</v>
      </c>
      <c r="BG56" s="15">
        <v>200.82</v>
      </c>
      <c r="BH56" s="15">
        <v>218.31</v>
      </c>
      <c r="BI56" s="15">
        <v>236.66</v>
      </c>
      <c r="BJ56" s="15">
        <v>256.36</v>
      </c>
      <c r="BK56" s="15">
        <v>277.64</v>
      </c>
      <c r="BL56" s="15">
        <v>300.76</v>
      </c>
      <c r="BM56" s="15">
        <v>325.33</v>
      </c>
      <c r="BN56" s="15">
        <v>351.98</v>
      </c>
      <c r="BO56" s="15">
        <v>380.82</v>
      </c>
      <c r="BP56" s="15">
        <v>412.05</v>
      </c>
      <c r="BQ56" s="15">
        <v>448.24</v>
      </c>
      <c r="BR56" s="15">
        <v>489.9</v>
      </c>
      <c r="BS56" s="15">
        <v>533.45000000000005</v>
      </c>
      <c r="BT56" s="15">
        <v>577.19000000000005</v>
      </c>
      <c r="BU56" s="15">
        <v>623.41999999999996</v>
      </c>
      <c r="BV56" s="15">
        <v>675.93</v>
      </c>
      <c r="BW56" s="15">
        <v>735.07</v>
      </c>
      <c r="BX56" s="15">
        <v>799.69</v>
      </c>
      <c r="BY56" s="15">
        <v>870.72</v>
      </c>
      <c r="BZ56" s="15">
        <v>949.84</v>
      </c>
      <c r="CA56" s="15">
        <v>1037.99</v>
      </c>
      <c r="CB56" s="15">
        <v>1135.32</v>
      </c>
      <c r="CC56" s="15">
        <v>1242.71</v>
      </c>
      <c r="CD56" s="15">
        <v>1362.08</v>
      </c>
      <c r="CE56" s="15">
        <v>1495.26</v>
      </c>
      <c r="CF56" s="15">
        <v>1644</v>
      </c>
      <c r="CG56" s="15">
        <v>1809.55</v>
      </c>
      <c r="CH56" s="15">
        <v>1992.69</v>
      </c>
      <c r="CI56" s="15">
        <v>2195.0100000000002</v>
      </c>
      <c r="CJ56" s="15">
        <v>2418</v>
      </c>
      <c r="CK56" s="15">
        <v>2660.92</v>
      </c>
      <c r="CL56" s="15">
        <v>2921.94</v>
      </c>
      <c r="CM56" s="15">
        <v>3202.67</v>
      </c>
      <c r="CN56" s="15">
        <v>3507.62</v>
      </c>
      <c r="CO56" s="15">
        <v>3836.55</v>
      </c>
      <c r="CP56" s="15">
        <v>4187.6899999999996</v>
      </c>
      <c r="CQ56" s="15">
        <v>4563.05</v>
      </c>
      <c r="CR56" s="15">
        <v>4967.38</v>
      </c>
      <c r="CS56" s="15">
        <v>5409.32</v>
      </c>
      <c r="CT56" s="15">
        <v>5895.22</v>
      </c>
      <c r="CU56" s="15">
        <v>6415.92</v>
      </c>
      <c r="CV56" s="15">
        <v>6966.41</v>
      </c>
      <c r="CW56" s="15">
        <v>7557.28</v>
      </c>
      <c r="CX56" s="15">
        <v>8189.2</v>
      </c>
    </row>
    <row r="57" spans="1:102" x14ac:dyDescent="0.25">
      <c r="A57" s="71">
        <v>2035</v>
      </c>
      <c r="B57" s="15">
        <v>304.74</v>
      </c>
      <c r="C57" s="15">
        <v>27.88</v>
      </c>
      <c r="D57" s="15">
        <v>12.85</v>
      </c>
      <c r="E57" s="15">
        <v>6.72</v>
      </c>
      <c r="F57" s="15">
        <v>5.86</v>
      </c>
      <c r="G57" s="15">
        <v>5.43</v>
      </c>
      <c r="H57" s="15">
        <v>5.18</v>
      </c>
      <c r="I57" s="15">
        <v>4.93</v>
      </c>
      <c r="J57" s="15">
        <v>4.57</v>
      </c>
      <c r="K57" s="15">
        <v>4.32</v>
      </c>
      <c r="L57" s="15">
        <v>4.32</v>
      </c>
      <c r="M57" s="15">
        <v>4.49</v>
      </c>
      <c r="N57" s="15">
        <v>4.9000000000000004</v>
      </c>
      <c r="O57" s="15">
        <v>5.79</v>
      </c>
      <c r="P57" s="15">
        <v>7.03</v>
      </c>
      <c r="Q57" s="15">
        <v>8.91</v>
      </c>
      <c r="R57" s="15">
        <v>11.29</v>
      </c>
      <c r="S57" s="15">
        <v>14.29</v>
      </c>
      <c r="T57" s="15">
        <v>17.79</v>
      </c>
      <c r="U57" s="15">
        <v>21.13</v>
      </c>
      <c r="V57" s="15">
        <v>23.51</v>
      </c>
      <c r="W57" s="15">
        <v>24.57</v>
      </c>
      <c r="X57" s="15">
        <v>24.56</v>
      </c>
      <c r="Y57" s="15">
        <v>23.76</v>
      </c>
      <c r="Z57" s="15">
        <v>23.36</v>
      </c>
      <c r="AA57" s="15">
        <v>23.39</v>
      </c>
      <c r="AB57" s="15">
        <v>24.29</v>
      </c>
      <c r="AC57" s="15">
        <v>25.65</v>
      </c>
      <c r="AD57" s="15">
        <v>27.68</v>
      </c>
      <c r="AE57" s="15">
        <v>30.05</v>
      </c>
      <c r="AF57" s="15">
        <v>32.770000000000003</v>
      </c>
      <c r="AG57" s="15">
        <v>35.380000000000003</v>
      </c>
      <c r="AH57" s="15">
        <v>38.200000000000003</v>
      </c>
      <c r="AI57" s="15">
        <v>41.28</v>
      </c>
      <c r="AJ57" s="15">
        <v>45.01</v>
      </c>
      <c r="AK57" s="15">
        <v>49.34</v>
      </c>
      <c r="AL57" s="15">
        <v>54.67</v>
      </c>
      <c r="AM57" s="15">
        <v>60.87</v>
      </c>
      <c r="AN57" s="15">
        <v>67.680000000000007</v>
      </c>
      <c r="AO57" s="15">
        <v>74.41</v>
      </c>
      <c r="AP57" s="15">
        <v>80.650000000000006</v>
      </c>
      <c r="AQ57" s="15">
        <v>86.04</v>
      </c>
      <c r="AR57" s="15">
        <v>90.18</v>
      </c>
      <c r="AS57" s="15">
        <v>93.11</v>
      </c>
      <c r="AT57" s="15">
        <v>94.61</v>
      </c>
      <c r="AU57" s="15">
        <v>94.96</v>
      </c>
      <c r="AV57" s="15">
        <v>94.28</v>
      </c>
      <c r="AW57" s="15">
        <v>93.86</v>
      </c>
      <c r="AX57" s="15">
        <v>94.52</v>
      </c>
      <c r="AY57" s="15">
        <v>97.69</v>
      </c>
      <c r="AZ57" s="15">
        <v>103.96</v>
      </c>
      <c r="BA57" s="15">
        <v>112.57</v>
      </c>
      <c r="BB57" s="15">
        <v>123.42</v>
      </c>
      <c r="BC57" s="15">
        <v>136.52000000000001</v>
      </c>
      <c r="BD57" s="15">
        <v>150.94999999999999</v>
      </c>
      <c r="BE57" s="15">
        <v>166.1</v>
      </c>
      <c r="BF57" s="15">
        <v>181.98</v>
      </c>
      <c r="BG57" s="15">
        <v>198.46</v>
      </c>
      <c r="BH57" s="15">
        <v>215.67</v>
      </c>
      <c r="BI57" s="15">
        <v>233.85</v>
      </c>
      <c r="BJ57" s="15">
        <v>253.26</v>
      </c>
      <c r="BK57" s="15">
        <v>274.35000000000002</v>
      </c>
      <c r="BL57" s="15">
        <v>297.01</v>
      </c>
      <c r="BM57" s="15">
        <v>321.37</v>
      </c>
      <c r="BN57" s="15">
        <v>347.75</v>
      </c>
      <c r="BO57" s="15">
        <v>376.25</v>
      </c>
      <c r="BP57" s="15">
        <v>407.02</v>
      </c>
      <c r="BQ57" s="15">
        <v>442.88</v>
      </c>
      <c r="BR57" s="15">
        <v>484.03</v>
      </c>
      <c r="BS57" s="15">
        <v>526.99</v>
      </c>
      <c r="BT57" s="15">
        <v>570.24</v>
      </c>
      <c r="BU57" s="15">
        <v>615.95000000000005</v>
      </c>
      <c r="BV57" s="15">
        <v>667.79</v>
      </c>
      <c r="BW57" s="15">
        <v>726.16</v>
      </c>
      <c r="BX57" s="15">
        <v>790.01</v>
      </c>
      <c r="BY57" s="15">
        <v>860.23</v>
      </c>
      <c r="BZ57" s="15">
        <v>938.29</v>
      </c>
      <c r="CA57" s="15">
        <v>1025.5999999999999</v>
      </c>
      <c r="CB57" s="15">
        <v>1121.77</v>
      </c>
      <c r="CC57" s="15">
        <v>1227.8900000000001</v>
      </c>
      <c r="CD57" s="15">
        <v>1345.85</v>
      </c>
      <c r="CE57" s="15">
        <v>1477.46</v>
      </c>
      <c r="CF57" s="15">
        <v>1624.45</v>
      </c>
      <c r="CG57" s="15">
        <v>1788.05</v>
      </c>
      <c r="CH57" s="15">
        <v>1969.05</v>
      </c>
      <c r="CI57" s="15">
        <v>2168.9899999999998</v>
      </c>
      <c r="CJ57" s="15">
        <v>2389.38</v>
      </c>
      <c r="CK57" s="15">
        <v>2629.46</v>
      </c>
      <c r="CL57" s="15">
        <v>2887.45</v>
      </c>
      <c r="CM57" s="15">
        <v>3164.92</v>
      </c>
      <c r="CN57" s="15">
        <v>3466.34</v>
      </c>
      <c r="CO57" s="15">
        <v>3791.48</v>
      </c>
      <c r="CP57" s="15">
        <v>4138.6000000000004</v>
      </c>
      <c r="CQ57" s="15">
        <v>4509.68</v>
      </c>
      <c r="CR57" s="15">
        <v>4909.42</v>
      </c>
      <c r="CS57" s="15">
        <v>5346.35</v>
      </c>
      <c r="CT57" s="15">
        <v>5826.79</v>
      </c>
      <c r="CU57" s="15">
        <v>6341.67</v>
      </c>
      <c r="CV57" s="15">
        <v>6886.07</v>
      </c>
      <c r="CW57" s="15">
        <v>7470.45</v>
      </c>
      <c r="CX57" s="15">
        <v>8095.51</v>
      </c>
    </row>
    <row r="58" spans="1:102" x14ac:dyDescent="0.25">
      <c r="A58" s="71">
        <v>2036</v>
      </c>
      <c r="B58" s="15">
        <v>301.16000000000003</v>
      </c>
      <c r="C58" s="15">
        <v>27.64</v>
      </c>
      <c r="D58" s="15">
        <v>12.67</v>
      </c>
      <c r="E58" s="15">
        <v>6.62</v>
      </c>
      <c r="F58" s="15">
        <v>5.77</v>
      </c>
      <c r="G58" s="15">
        <v>5.4</v>
      </c>
      <c r="H58" s="15">
        <v>5.16</v>
      </c>
      <c r="I58" s="15">
        <v>4.91</v>
      </c>
      <c r="J58" s="15">
        <v>4.54</v>
      </c>
      <c r="K58" s="15">
        <v>4.3</v>
      </c>
      <c r="L58" s="15">
        <v>4.24</v>
      </c>
      <c r="M58" s="15">
        <v>4.41</v>
      </c>
      <c r="N58" s="15">
        <v>4.88</v>
      </c>
      <c r="O58" s="15">
        <v>5.7</v>
      </c>
      <c r="P58" s="15">
        <v>6.94</v>
      </c>
      <c r="Q58" s="15">
        <v>8.75</v>
      </c>
      <c r="R58" s="15">
        <v>11.18</v>
      </c>
      <c r="S58" s="15">
        <v>14.17</v>
      </c>
      <c r="T58" s="15">
        <v>17.649999999999999</v>
      </c>
      <c r="U58" s="15">
        <v>20.87</v>
      </c>
      <c r="V58" s="15">
        <v>23.18</v>
      </c>
      <c r="W58" s="15">
        <v>24.3</v>
      </c>
      <c r="X58" s="15">
        <v>24.12</v>
      </c>
      <c r="Y58" s="15">
        <v>23.44</v>
      </c>
      <c r="Z58" s="15">
        <v>23.06</v>
      </c>
      <c r="AA58" s="15">
        <v>23.19</v>
      </c>
      <c r="AB58" s="15">
        <v>23.98</v>
      </c>
      <c r="AC58" s="15">
        <v>25.39</v>
      </c>
      <c r="AD58" s="15">
        <v>27.36</v>
      </c>
      <c r="AE58" s="15">
        <v>29.68</v>
      </c>
      <c r="AF58" s="15">
        <v>32.39</v>
      </c>
      <c r="AG58" s="15">
        <v>34.99</v>
      </c>
      <c r="AH58" s="15">
        <v>37.700000000000003</v>
      </c>
      <c r="AI58" s="15">
        <v>40.82</v>
      </c>
      <c r="AJ58" s="15">
        <v>44.33</v>
      </c>
      <c r="AK58" s="15">
        <v>48.74</v>
      </c>
      <c r="AL58" s="15">
        <v>53.95</v>
      </c>
      <c r="AM58" s="15">
        <v>60.12</v>
      </c>
      <c r="AN58" s="15">
        <v>66.86</v>
      </c>
      <c r="AO58" s="15">
        <v>73.41</v>
      </c>
      <c r="AP58" s="15">
        <v>79.72</v>
      </c>
      <c r="AQ58" s="15">
        <v>84.99</v>
      </c>
      <c r="AR58" s="15">
        <v>89.16</v>
      </c>
      <c r="AS58" s="15">
        <v>91.92</v>
      </c>
      <c r="AT58" s="15">
        <v>93.46</v>
      </c>
      <c r="AU58" s="15">
        <v>93.66</v>
      </c>
      <c r="AV58" s="15">
        <v>93.08</v>
      </c>
      <c r="AW58" s="15">
        <v>92.61</v>
      </c>
      <c r="AX58" s="15">
        <v>93.41</v>
      </c>
      <c r="AY58" s="15">
        <v>96.57</v>
      </c>
      <c r="AZ58" s="15">
        <v>102.77</v>
      </c>
      <c r="BA58" s="15">
        <v>111.19</v>
      </c>
      <c r="BB58" s="15">
        <v>121.94</v>
      </c>
      <c r="BC58" s="15">
        <v>134.97999999999999</v>
      </c>
      <c r="BD58" s="15">
        <v>149.09</v>
      </c>
      <c r="BE58" s="15">
        <v>164.07</v>
      </c>
      <c r="BF58" s="15">
        <v>179.82</v>
      </c>
      <c r="BG58" s="15">
        <v>196.18</v>
      </c>
      <c r="BH58" s="15">
        <v>213.11</v>
      </c>
      <c r="BI58" s="15">
        <v>230.98</v>
      </c>
      <c r="BJ58" s="15">
        <v>250.14</v>
      </c>
      <c r="BK58" s="15">
        <v>271.02999999999997</v>
      </c>
      <c r="BL58" s="15">
        <v>293.42</v>
      </c>
      <c r="BM58" s="15">
        <v>317.61</v>
      </c>
      <c r="BN58" s="15">
        <v>343.58</v>
      </c>
      <c r="BO58" s="15">
        <v>371.62</v>
      </c>
      <c r="BP58" s="15">
        <v>402.17</v>
      </c>
      <c r="BQ58" s="15">
        <v>437.57</v>
      </c>
      <c r="BR58" s="15">
        <v>478.22</v>
      </c>
      <c r="BS58" s="15">
        <v>520.61</v>
      </c>
      <c r="BT58" s="15">
        <v>563.38</v>
      </c>
      <c r="BU58" s="15">
        <v>608.6</v>
      </c>
      <c r="BV58" s="15">
        <v>659.79</v>
      </c>
      <c r="BW58" s="15">
        <v>717.45</v>
      </c>
      <c r="BX58" s="15">
        <v>780.5</v>
      </c>
      <c r="BY58" s="15">
        <v>849.84</v>
      </c>
      <c r="BZ58" s="15">
        <v>927.09</v>
      </c>
      <c r="CA58" s="15">
        <v>1013.36</v>
      </c>
      <c r="CB58" s="15">
        <v>1108.3900000000001</v>
      </c>
      <c r="CC58" s="15">
        <v>1213.26</v>
      </c>
      <c r="CD58" s="15">
        <v>1329.82</v>
      </c>
      <c r="CE58" s="15">
        <v>1459.87</v>
      </c>
      <c r="CF58" s="15">
        <v>1605.13</v>
      </c>
      <c r="CG58" s="15">
        <v>1766.81</v>
      </c>
      <c r="CH58" s="15">
        <v>1945.68</v>
      </c>
      <c r="CI58" s="15">
        <v>2143.2800000000002</v>
      </c>
      <c r="CJ58" s="15">
        <v>2361.1</v>
      </c>
      <c r="CK58" s="15">
        <v>2598.38</v>
      </c>
      <c r="CL58" s="15">
        <v>2853.36</v>
      </c>
      <c r="CM58" s="15">
        <v>3127.61</v>
      </c>
      <c r="CN58" s="15">
        <v>3425.55</v>
      </c>
      <c r="CO58" s="15">
        <v>3746.94</v>
      </c>
      <c r="CP58" s="15">
        <v>4090.09</v>
      </c>
      <c r="CQ58" s="15">
        <v>4456.93</v>
      </c>
      <c r="CR58" s="15">
        <v>4852.13</v>
      </c>
      <c r="CS58" s="15">
        <v>5284.12</v>
      </c>
      <c r="CT58" s="15">
        <v>5759.15</v>
      </c>
      <c r="CU58" s="15">
        <v>6268.27</v>
      </c>
      <c r="CV58" s="15">
        <v>6806.65</v>
      </c>
      <c r="CW58" s="15">
        <v>7384.62</v>
      </c>
      <c r="CX58" s="15">
        <v>8002.89</v>
      </c>
    </row>
    <row r="59" spans="1:102" x14ac:dyDescent="0.25">
      <c r="A59" s="71">
        <v>2037</v>
      </c>
      <c r="B59" s="15">
        <v>297.47000000000003</v>
      </c>
      <c r="C59" s="15">
        <v>27.31</v>
      </c>
      <c r="D59" s="15">
        <v>12.47</v>
      </c>
      <c r="E59" s="15">
        <v>6.59</v>
      </c>
      <c r="F59" s="15">
        <v>5.74</v>
      </c>
      <c r="G59" s="15">
        <v>5.37</v>
      </c>
      <c r="H59" s="15">
        <v>5.13</v>
      </c>
      <c r="I59" s="15">
        <v>4.88</v>
      </c>
      <c r="J59" s="15">
        <v>4.5199999999999996</v>
      </c>
      <c r="K59" s="15">
        <v>4.22</v>
      </c>
      <c r="L59" s="15">
        <v>4.1500000000000004</v>
      </c>
      <c r="M59" s="15">
        <v>4.38</v>
      </c>
      <c r="N59" s="15">
        <v>4.8499999999999996</v>
      </c>
      <c r="O59" s="15">
        <v>5.67</v>
      </c>
      <c r="P59" s="15">
        <v>6.84</v>
      </c>
      <c r="Q59" s="15">
        <v>8.7100000000000009</v>
      </c>
      <c r="R59" s="15">
        <v>11.12</v>
      </c>
      <c r="S59" s="15">
        <v>14.09</v>
      </c>
      <c r="T59" s="15">
        <v>17.440000000000001</v>
      </c>
      <c r="U59" s="15">
        <v>20.59</v>
      </c>
      <c r="V59" s="15">
        <v>22.83</v>
      </c>
      <c r="W59" s="15">
        <v>23.95</v>
      </c>
      <c r="X59" s="15">
        <v>23.73</v>
      </c>
      <c r="Y59" s="15">
        <v>23.16</v>
      </c>
      <c r="Z59" s="15">
        <v>22.78</v>
      </c>
      <c r="AA59" s="15">
        <v>22.92</v>
      </c>
      <c r="AB59" s="15">
        <v>23.71</v>
      </c>
      <c r="AC59" s="15">
        <v>25.12</v>
      </c>
      <c r="AD59" s="15">
        <v>26.98</v>
      </c>
      <c r="AE59" s="15">
        <v>29.39</v>
      </c>
      <c r="AF59" s="15">
        <v>32.03</v>
      </c>
      <c r="AG59" s="15">
        <v>34.619999999999997</v>
      </c>
      <c r="AH59" s="15">
        <v>37.22</v>
      </c>
      <c r="AI59" s="15">
        <v>40.270000000000003</v>
      </c>
      <c r="AJ59" s="15">
        <v>43.77</v>
      </c>
      <c r="AK59" s="15">
        <v>48.16</v>
      </c>
      <c r="AL59" s="15">
        <v>53.29</v>
      </c>
      <c r="AM59" s="15">
        <v>59.44</v>
      </c>
      <c r="AN59" s="15">
        <v>65.989999999999995</v>
      </c>
      <c r="AO59" s="15">
        <v>72.56</v>
      </c>
      <c r="AP59" s="15">
        <v>78.790000000000006</v>
      </c>
      <c r="AQ59" s="15">
        <v>84.03</v>
      </c>
      <c r="AR59" s="15">
        <v>88.12</v>
      </c>
      <c r="AS59" s="15">
        <v>90.77</v>
      </c>
      <c r="AT59" s="15">
        <v>92.24</v>
      </c>
      <c r="AU59" s="15">
        <v>92.44</v>
      </c>
      <c r="AV59" s="15">
        <v>91.87</v>
      </c>
      <c r="AW59" s="15">
        <v>91.49</v>
      </c>
      <c r="AX59" s="15">
        <v>92.3</v>
      </c>
      <c r="AY59" s="15">
        <v>95.34</v>
      </c>
      <c r="AZ59" s="15">
        <v>101.45</v>
      </c>
      <c r="BA59" s="15">
        <v>109.88</v>
      </c>
      <c r="BB59" s="15">
        <v>120.53</v>
      </c>
      <c r="BC59" s="15">
        <v>133.29</v>
      </c>
      <c r="BD59" s="15">
        <v>147.22999999999999</v>
      </c>
      <c r="BE59" s="15">
        <v>162.12</v>
      </c>
      <c r="BF59" s="15">
        <v>177.74</v>
      </c>
      <c r="BG59" s="15">
        <v>193.8</v>
      </c>
      <c r="BH59" s="15">
        <v>210.48</v>
      </c>
      <c r="BI59" s="15">
        <v>228.1</v>
      </c>
      <c r="BJ59" s="15">
        <v>247.21</v>
      </c>
      <c r="BK59" s="15">
        <v>267.81</v>
      </c>
      <c r="BL59" s="15">
        <v>289.97000000000003</v>
      </c>
      <c r="BM59" s="15">
        <v>313.81</v>
      </c>
      <c r="BN59" s="15">
        <v>339.37</v>
      </c>
      <c r="BO59" s="15">
        <v>367.07</v>
      </c>
      <c r="BP59" s="15">
        <v>397.33</v>
      </c>
      <c r="BQ59" s="15">
        <v>432.3</v>
      </c>
      <c r="BR59" s="15">
        <v>472.37</v>
      </c>
      <c r="BS59" s="15">
        <v>514.33000000000004</v>
      </c>
      <c r="BT59" s="15">
        <v>556.65</v>
      </c>
      <c r="BU59" s="15">
        <v>601.28</v>
      </c>
      <c r="BV59" s="15">
        <v>651.79</v>
      </c>
      <c r="BW59" s="15">
        <v>708.87</v>
      </c>
      <c r="BX59" s="15">
        <v>771.18</v>
      </c>
      <c r="BY59" s="15">
        <v>839.69</v>
      </c>
      <c r="BZ59" s="15">
        <v>916.02</v>
      </c>
      <c r="CA59" s="15">
        <v>1001.27</v>
      </c>
      <c r="CB59" s="15">
        <v>1095.17</v>
      </c>
      <c r="CC59" s="15">
        <v>1198.79</v>
      </c>
      <c r="CD59" s="15">
        <v>1313.98</v>
      </c>
      <c r="CE59" s="15">
        <v>1442.5</v>
      </c>
      <c r="CF59" s="15">
        <v>1586.04</v>
      </c>
      <c r="CG59" s="15">
        <v>1745.82</v>
      </c>
      <c r="CH59" s="15">
        <v>1922.59</v>
      </c>
      <c r="CI59" s="15">
        <v>2117.88</v>
      </c>
      <c r="CJ59" s="15">
        <v>2333.15</v>
      </c>
      <c r="CK59" s="15">
        <v>2567.66</v>
      </c>
      <c r="CL59" s="15">
        <v>2819.67</v>
      </c>
      <c r="CM59" s="15">
        <v>3090.74</v>
      </c>
      <c r="CN59" s="15">
        <v>3385.23</v>
      </c>
      <c r="CO59" s="15">
        <v>3702.92</v>
      </c>
      <c r="CP59" s="15">
        <v>4042.14</v>
      </c>
      <c r="CQ59" s="15">
        <v>4404.8</v>
      </c>
      <c r="CR59" s="15">
        <v>4795.51</v>
      </c>
      <c r="CS59" s="15">
        <v>5222.6099999999997</v>
      </c>
      <c r="CT59" s="15">
        <v>5692.29</v>
      </c>
      <c r="CU59" s="15">
        <v>6195.73</v>
      </c>
      <c r="CV59" s="15">
        <v>6728.14</v>
      </c>
      <c r="CW59" s="15">
        <v>7299.77</v>
      </c>
      <c r="CX59" s="15">
        <v>7911.33</v>
      </c>
    </row>
    <row r="60" spans="1:102" x14ac:dyDescent="0.25">
      <c r="A60" s="71">
        <v>2038</v>
      </c>
      <c r="B60" s="15">
        <v>293.77</v>
      </c>
      <c r="C60" s="15">
        <v>26.85</v>
      </c>
      <c r="D60" s="15">
        <v>12.39</v>
      </c>
      <c r="E60" s="15">
        <v>6.54</v>
      </c>
      <c r="F60" s="15">
        <v>5.7</v>
      </c>
      <c r="G60" s="15">
        <v>5.34</v>
      </c>
      <c r="H60" s="15">
        <v>5.09</v>
      </c>
      <c r="I60" s="15">
        <v>4.8499999999999996</v>
      </c>
      <c r="J60" s="15">
        <v>4.49</v>
      </c>
      <c r="K60" s="15">
        <v>4.13</v>
      </c>
      <c r="L60" s="15">
        <v>4.13</v>
      </c>
      <c r="M60" s="15">
        <v>4.3600000000000003</v>
      </c>
      <c r="N60" s="15">
        <v>4.82</v>
      </c>
      <c r="O60" s="15">
        <v>5.58</v>
      </c>
      <c r="P60" s="15">
        <v>6.8</v>
      </c>
      <c r="Q60" s="15">
        <v>8.65</v>
      </c>
      <c r="R60" s="15">
        <v>10.94</v>
      </c>
      <c r="S60" s="15">
        <v>13.89</v>
      </c>
      <c r="T60" s="15">
        <v>17.16</v>
      </c>
      <c r="U60" s="15">
        <v>20.350000000000001</v>
      </c>
      <c r="V60" s="15">
        <v>22.58</v>
      </c>
      <c r="W60" s="15">
        <v>23.64</v>
      </c>
      <c r="X60" s="15">
        <v>23.48</v>
      </c>
      <c r="Y60" s="15">
        <v>22.86</v>
      </c>
      <c r="Z60" s="15">
        <v>22.55</v>
      </c>
      <c r="AA60" s="15">
        <v>22.69</v>
      </c>
      <c r="AB60" s="15">
        <v>23.42</v>
      </c>
      <c r="AC60" s="15">
        <v>24.77</v>
      </c>
      <c r="AD60" s="15">
        <v>26.68</v>
      </c>
      <c r="AE60" s="15">
        <v>29.07</v>
      </c>
      <c r="AF60" s="15">
        <v>31.66</v>
      </c>
      <c r="AG60" s="15">
        <v>34.130000000000003</v>
      </c>
      <c r="AH60" s="15">
        <v>36.82</v>
      </c>
      <c r="AI60" s="15">
        <v>39.75</v>
      </c>
      <c r="AJ60" s="15">
        <v>43.34</v>
      </c>
      <c r="AK60" s="15">
        <v>47.65</v>
      </c>
      <c r="AL60" s="15">
        <v>52.76</v>
      </c>
      <c r="AM60" s="15">
        <v>58.77</v>
      </c>
      <c r="AN60" s="15">
        <v>65.13</v>
      </c>
      <c r="AO60" s="15">
        <v>71.709999999999994</v>
      </c>
      <c r="AP60" s="15">
        <v>77.91</v>
      </c>
      <c r="AQ60" s="15">
        <v>83.07</v>
      </c>
      <c r="AR60" s="15">
        <v>87.04</v>
      </c>
      <c r="AS60" s="15">
        <v>89.66</v>
      </c>
      <c r="AT60" s="15">
        <v>91.08</v>
      </c>
      <c r="AU60" s="15">
        <v>91.32</v>
      </c>
      <c r="AV60" s="15">
        <v>90.8</v>
      </c>
      <c r="AW60" s="15">
        <v>90.48</v>
      </c>
      <c r="AX60" s="15">
        <v>91.08</v>
      </c>
      <c r="AY60" s="15">
        <v>94.2</v>
      </c>
      <c r="AZ60" s="15">
        <v>100.22</v>
      </c>
      <c r="BA60" s="15">
        <v>108.61</v>
      </c>
      <c r="BB60" s="15">
        <v>119.09</v>
      </c>
      <c r="BC60" s="15">
        <v>131.63</v>
      </c>
      <c r="BD60" s="15">
        <v>145.49</v>
      </c>
      <c r="BE60" s="15">
        <v>160.24</v>
      </c>
      <c r="BF60" s="15">
        <v>175.62</v>
      </c>
      <c r="BG60" s="15">
        <v>191.42</v>
      </c>
      <c r="BH60" s="15">
        <v>207.85</v>
      </c>
      <c r="BI60" s="15">
        <v>225.41</v>
      </c>
      <c r="BJ60" s="15">
        <v>244.24</v>
      </c>
      <c r="BK60" s="15">
        <v>264.56</v>
      </c>
      <c r="BL60" s="15">
        <v>286.58</v>
      </c>
      <c r="BM60" s="15">
        <v>309.95</v>
      </c>
      <c r="BN60" s="15">
        <v>335.23</v>
      </c>
      <c r="BO60" s="15">
        <v>362.76</v>
      </c>
      <c r="BP60" s="15">
        <v>392.54</v>
      </c>
      <c r="BQ60" s="15">
        <v>427.01</v>
      </c>
      <c r="BR60" s="15">
        <v>466.75</v>
      </c>
      <c r="BS60" s="15">
        <v>508.2</v>
      </c>
      <c r="BT60" s="15">
        <v>549.89</v>
      </c>
      <c r="BU60" s="15">
        <v>593.97</v>
      </c>
      <c r="BV60" s="15">
        <v>643.99</v>
      </c>
      <c r="BW60" s="15">
        <v>700.36</v>
      </c>
      <c r="BX60" s="15">
        <v>761.96</v>
      </c>
      <c r="BY60" s="15">
        <v>829.66</v>
      </c>
      <c r="BZ60" s="15">
        <v>905.08</v>
      </c>
      <c r="CA60" s="15">
        <v>989.32</v>
      </c>
      <c r="CB60" s="15">
        <v>1082.1099999999999</v>
      </c>
      <c r="CC60" s="15">
        <v>1184.5</v>
      </c>
      <c r="CD60" s="15">
        <v>1298.33</v>
      </c>
      <c r="CE60" s="15">
        <v>1425.33</v>
      </c>
      <c r="CF60" s="15">
        <v>1567.18</v>
      </c>
      <c r="CG60" s="15">
        <v>1725.08</v>
      </c>
      <c r="CH60" s="15">
        <v>1899.78</v>
      </c>
      <c r="CI60" s="15">
        <v>2092.7800000000002</v>
      </c>
      <c r="CJ60" s="15">
        <v>2305.5300000000002</v>
      </c>
      <c r="CK60" s="15">
        <v>2537.3000000000002</v>
      </c>
      <c r="CL60" s="15">
        <v>2786.39</v>
      </c>
      <c r="CM60" s="15">
        <v>3054.31</v>
      </c>
      <c r="CN60" s="15">
        <v>3345.39</v>
      </c>
      <c r="CO60" s="15">
        <v>3659.43</v>
      </c>
      <c r="CP60" s="15">
        <v>3994.76</v>
      </c>
      <c r="CQ60" s="15">
        <v>4353.28</v>
      </c>
      <c r="CR60" s="15">
        <v>4739.55</v>
      </c>
      <c r="CS60" s="15">
        <v>5161.8100000000004</v>
      </c>
      <c r="CT60" s="15">
        <v>5626.21</v>
      </c>
      <c r="CU60" s="15">
        <v>6124.03</v>
      </c>
      <c r="CV60" s="15">
        <v>6650.54</v>
      </c>
      <c r="CW60" s="15">
        <v>7215.9</v>
      </c>
      <c r="CX60" s="15">
        <v>7820.81</v>
      </c>
    </row>
    <row r="61" spans="1:102" x14ac:dyDescent="0.25">
      <c r="A61" s="71">
        <v>2039</v>
      </c>
      <c r="B61" s="15">
        <v>290.3</v>
      </c>
      <c r="C61" s="15">
        <v>26.37</v>
      </c>
      <c r="D61" s="15">
        <v>12.24</v>
      </c>
      <c r="E61" s="15">
        <v>6.5</v>
      </c>
      <c r="F61" s="15">
        <v>5.66</v>
      </c>
      <c r="G61" s="15">
        <v>5.3</v>
      </c>
      <c r="H61" s="15">
        <v>5.0599999999999996</v>
      </c>
      <c r="I61" s="15">
        <v>4.82</v>
      </c>
      <c r="J61" s="15">
        <v>4.46</v>
      </c>
      <c r="K61" s="15">
        <v>4.0999999999999996</v>
      </c>
      <c r="L61" s="15">
        <v>4.0999999999999996</v>
      </c>
      <c r="M61" s="15">
        <v>4.33</v>
      </c>
      <c r="N61" s="15">
        <v>4.7300000000000004</v>
      </c>
      <c r="O61" s="15">
        <v>5.48</v>
      </c>
      <c r="P61" s="15">
        <v>6.76</v>
      </c>
      <c r="Q61" s="15">
        <v>8.48</v>
      </c>
      <c r="R61" s="15">
        <v>10.69</v>
      </c>
      <c r="S61" s="15">
        <v>13.62</v>
      </c>
      <c r="T61" s="15">
        <v>16.989999999999998</v>
      </c>
      <c r="U61" s="15">
        <v>20.100000000000001</v>
      </c>
      <c r="V61" s="15">
        <v>22.32</v>
      </c>
      <c r="W61" s="15">
        <v>23.38</v>
      </c>
      <c r="X61" s="15">
        <v>23.22</v>
      </c>
      <c r="Y61" s="15">
        <v>22.56</v>
      </c>
      <c r="Z61" s="15">
        <v>22.3</v>
      </c>
      <c r="AA61" s="15">
        <v>22.45</v>
      </c>
      <c r="AB61" s="15">
        <v>23.08</v>
      </c>
      <c r="AC61" s="15">
        <v>24.52</v>
      </c>
      <c r="AD61" s="15">
        <v>26.37</v>
      </c>
      <c r="AE61" s="15">
        <v>28.7</v>
      </c>
      <c r="AF61" s="15">
        <v>31.22</v>
      </c>
      <c r="AG61" s="15">
        <v>33.64</v>
      </c>
      <c r="AH61" s="15">
        <v>36.450000000000003</v>
      </c>
      <c r="AI61" s="15">
        <v>39.369999999999997</v>
      </c>
      <c r="AJ61" s="15">
        <v>42.89</v>
      </c>
      <c r="AK61" s="15">
        <v>47.08</v>
      </c>
      <c r="AL61" s="15">
        <v>52.15</v>
      </c>
      <c r="AM61" s="15">
        <v>57.98</v>
      </c>
      <c r="AN61" s="15">
        <v>64.36</v>
      </c>
      <c r="AO61" s="15">
        <v>70.900000000000006</v>
      </c>
      <c r="AP61" s="15">
        <v>76.900000000000006</v>
      </c>
      <c r="AQ61" s="15">
        <v>82.08</v>
      </c>
      <c r="AR61" s="15">
        <v>85.93</v>
      </c>
      <c r="AS61" s="15">
        <v>88.58</v>
      </c>
      <c r="AT61" s="15">
        <v>90.04</v>
      </c>
      <c r="AU61" s="15">
        <v>90.28</v>
      </c>
      <c r="AV61" s="15">
        <v>89.86</v>
      </c>
      <c r="AW61" s="15">
        <v>89.39</v>
      </c>
      <c r="AX61" s="15">
        <v>90.03</v>
      </c>
      <c r="AY61" s="15">
        <v>93.04</v>
      </c>
      <c r="AZ61" s="15">
        <v>99.02</v>
      </c>
      <c r="BA61" s="15">
        <v>107.3</v>
      </c>
      <c r="BB61" s="15">
        <v>117.67</v>
      </c>
      <c r="BC61" s="15">
        <v>130.09</v>
      </c>
      <c r="BD61" s="15">
        <v>143.80000000000001</v>
      </c>
      <c r="BE61" s="15">
        <v>158.32</v>
      </c>
      <c r="BF61" s="15">
        <v>173.44</v>
      </c>
      <c r="BG61" s="15">
        <v>189.04</v>
      </c>
      <c r="BH61" s="15">
        <v>205.41</v>
      </c>
      <c r="BI61" s="15">
        <v>222.65</v>
      </c>
      <c r="BJ61" s="15">
        <v>241.2</v>
      </c>
      <c r="BK61" s="15">
        <v>261.27999999999997</v>
      </c>
      <c r="BL61" s="15">
        <v>283.10000000000002</v>
      </c>
      <c r="BM61" s="15">
        <v>306.20999999999998</v>
      </c>
      <c r="BN61" s="15">
        <v>331.32</v>
      </c>
      <c r="BO61" s="15">
        <v>358.39</v>
      </c>
      <c r="BP61" s="15">
        <v>387.86</v>
      </c>
      <c r="BQ61" s="15">
        <v>421.98</v>
      </c>
      <c r="BR61" s="15">
        <v>461.27</v>
      </c>
      <c r="BS61" s="15">
        <v>502.05</v>
      </c>
      <c r="BT61" s="15">
        <v>543.30999999999995</v>
      </c>
      <c r="BU61" s="15">
        <v>586.89</v>
      </c>
      <c r="BV61" s="15">
        <v>636.24</v>
      </c>
      <c r="BW61" s="15">
        <v>691.99</v>
      </c>
      <c r="BX61" s="15">
        <v>752.86</v>
      </c>
      <c r="BY61" s="15">
        <v>819.75</v>
      </c>
      <c r="BZ61" s="15">
        <v>894.27</v>
      </c>
      <c r="CA61" s="15">
        <v>977.51</v>
      </c>
      <c r="CB61" s="15">
        <v>1069.2</v>
      </c>
      <c r="CC61" s="15">
        <v>1170.3800000000001</v>
      </c>
      <c r="CD61" s="15">
        <v>1282.8599999999999</v>
      </c>
      <c r="CE61" s="15">
        <v>1408.36</v>
      </c>
      <c r="CF61" s="15">
        <v>1548.55</v>
      </c>
      <c r="CG61" s="15">
        <v>1704.58</v>
      </c>
      <c r="CH61" s="15">
        <v>1877.23</v>
      </c>
      <c r="CI61" s="15">
        <v>2067.9699999999998</v>
      </c>
      <c r="CJ61" s="15">
        <v>2278.2399999999998</v>
      </c>
      <c r="CK61" s="15">
        <v>2507.31</v>
      </c>
      <c r="CL61" s="15">
        <v>2753.49</v>
      </c>
      <c r="CM61" s="15">
        <v>3018.3</v>
      </c>
      <c r="CN61" s="15">
        <v>3306.02</v>
      </c>
      <c r="CO61" s="15">
        <v>3616.44</v>
      </c>
      <c r="CP61" s="15">
        <v>3947.93</v>
      </c>
      <c r="CQ61" s="15">
        <v>4302.37</v>
      </c>
      <c r="CR61" s="15">
        <v>4684.24</v>
      </c>
      <c r="CS61" s="15">
        <v>5101.7299999999996</v>
      </c>
      <c r="CT61" s="15">
        <v>5560.9</v>
      </c>
      <c r="CU61" s="15">
        <v>6053.15</v>
      </c>
      <c r="CV61" s="15">
        <v>6573.84</v>
      </c>
      <c r="CW61" s="15">
        <v>7133</v>
      </c>
      <c r="CX61" s="15">
        <v>7731.33</v>
      </c>
    </row>
    <row r="62" spans="1:102" x14ac:dyDescent="0.25">
      <c r="A62" s="71">
        <v>2040</v>
      </c>
      <c r="B62" s="15">
        <v>286.86</v>
      </c>
      <c r="C62" s="15">
        <v>26.37</v>
      </c>
      <c r="D62" s="15">
        <v>12.1</v>
      </c>
      <c r="E62" s="15">
        <v>6.45</v>
      </c>
      <c r="F62" s="15">
        <v>5.62</v>
      </c>
      <c r="G62" s="15">
        <v>5.26</v>
      </c>
      <c r="H62" s="15">
        <v>5.0199999999999996</v>
      </c>
      <c r="I62" s="15">
        <v>4.78</v>
      </c>
      <c r="J62" s="15">
        <v>4.43</v>
      </c>
      <c r="K62" s="15">
        <v>4.07</v>
      </c>
      <c r="L62" s="15">
        <v>4.07</v>
      </c>
      <c r="M62" s="15">
        <v>4.3</v>
      </c>
      <c r="N62" s="15">
        <v>4.6399999999999997</v>
      </c>
      <c r="O62" s="15">
        <v>5.44</v>
      </c>
      <c r="P62" s="15">
        <v>6.71</v>
      </c>
      <c r="Q62" s="15">
        <v>8.24</v>
      </c>
      <c r="R62" s="15">
        <v>10.56</v>
      </c>
      <c r="S62" s="15">
        <v>13.47</v>
      </c>
      <c r="T62" s="15">
        <v>16.82</v>
      </c>
      <c r="U62" s="15">
        <v>19.850000000000001</v>
      </c>
      <c r="V62" s="15">
        <v>22.06</v>
      </c>
      <c r="W62" s="15">
        <v>23.17</v>
      </c>
      <c r="X62" s="15">
        <v>22.97</v>
      </c>
      <c r="Y62" s="15">
        <v>22.26</v>
      </c>
      <c r="Z62" s="15">
        <v>22.06</v>
      </c>
      <c r="AA62" s="15">
        <v>22.11</v>
      </c>
      <c r="AB62" s="15">
        <v>22.79</v>
      </c>
      <c r="AC62" s="15">
        <v>24.17</v>
      </c>
      <c r="AD62" s="15">
        <v>26.06</v>
      </c>
      <c r="AE62" s="15">
        <v>28.38</v>
      </c>
      <c r="AF62" s="15">
        <v>30.74</v>
      </c>
      <c r="AG62" s="15">
        <v>33.29</v>
      </c>
      <c r="AH62" s="15">
        <v>36.04</v>
      </c>
      <c r="AI62" s="15">
        <v>38.89</v>
      </c>
      <c r="AJ62" s="15">
        <v>42.29</v>
      </c>
      <c r="AK62" s="15">
        <v>46.41</v>
      </c>
      <c r="AL62" s="15">
        <v>51.45</v>
      </c>
      <c r="AM62" s="15">
        <v>57.29</v>
      </c>
      <c r="AN62" s="15">
        <v>63.58</v>
      </c>
      <c r="AO62" s="15">
        <v>69.98</v>
      </c>
      <c r="AP62" s="15">
        <v>75.900000000000006</v>
      </c>
      <c r="AQ62" s="15">
        <v>81</v>
      </c>
      <c r="AR62" s="15">
        <v>84.87</v>
      </c>
      <c r="AS62" s="15">
        <v>87.55</v>
      </c>
      <c r="AT62" s="15">
        <v>89</v>
      </c>
      <c r="AU62" s="15">
        <v>89.29</v>
      </c>
      <c r="AV62" s="15">
        <v>88.82</v>
      </c>
      <c r="AW62" s="15">
        <v>88.35</v>
      </c>
      <c r="AX62" s="15">
        <v>88.99</v>
      </c>
      <c r="AY62" s="15">
        <v>91.87</v>
      </c>
      <c r="AZ62" s="15">
        <v>97.87</v>
      </c>
      <c r="BA62" s="15">
        <v>106.05</v>
      </c>
      <c r="BB62" s="15">
        <v>116.26</v>
      </c>
      <c r="BC62" s="15">
        <v>128.54</v>
      </c>
      <c r="BD62" s="15">
        <v>142.07</v>
      </c>
      <c r="BE62" s="15">
        <v>156.38999999999999</v>
      </c>
      <c r="BF62" s="15">
        <v>171.26</v>
      </c>
      <c r="BG62" s="15">
        <v>186.81</v>
      </c>
      <c r="BH62" s="15">
        <v>202.92</v>
      </c>
      <c r="BI62" s="15">
        <v>219.99</v>
      </c>
      <c r="BJ62" s="15">
        <v>238.27</v>
      </c>
      <c r="BK62" s="15">
        <v>258.16000000000003</v>
      </c>
      <c r="BL62" s="15">
        <v>279.67</v>
      </c>
      <c r="BM62" s="15">
        <v>302.62</v>
      </c>
      <c r="BN62" s="15">
        <v>327.39999999999998</v>
      </c>
      <c r="BO62" s="15">
        <v>354.12</v>
      </c>
      <c r="BP62" s="15">
        <v>383.22</v>
      </c>
      <c r="BQ62" s="15">
        <v>417.04</v>
      </c>
      <c r="BR62" s="15">
        <v>455.63</v>
      </c>
      <c r="BS62" s="15">
        <v>495.99</v>
      </c>
      <c r="BT62" s="15">
        <v>536.94000000000005</v>
      </c>
      <c r="BU62" s="15">
        <v>579.79999999999995</v>
      </c>
      <c r="BV62" s="15">
        <v>628.63</v>
      </c>
      <c r="BW62" s="15">
        <v>683.71</v>
      </c>
      <c r="BX62" s="15">
        <v>743.86</v>
      </c>
      <c r="BY62" s="15">
        <v>809.95</v>
      </c>
      <c r="BZ62" s="15">
        <v>883.6</v>
      </c>
      <c r="CA62" s="15">
        <v>965.84</v>
      </c>
      <c r="CB62" s="15">
        <v>1056.45</v>
      </c>
      <c r="CC62" s="15">
        <v>1156.43</v>
      </c>
      <c r="CD62" s="15">
        <v>1267.58</v>
      </c>
      <c r="CE62" s="15">
        <v>1391.6</v>
      </c>
      <c r="CF62" s="15">
        <v>1530.13</v>
      </c>
      <c r="CG62" s="15">
        <v>1684.33</v>
      </c>
      <c r="CH62" s="15">
        <v>1854.96</v>
      </c>
      <c r="CI62" s="15">
        <v>2043.46</v>
      </c>
      <c r="CJ62" s="15">
        <v>2251.27</v>
      </c>
      <c r="CK62" s="15">
        <v>2477.67</v>
      </c>
      <c r="CL62" s="15">
        <v>2720.99</v>
      </c>
      <c r="CM62" s="15">
        <v>2982.72</v>
      </c>
      <c r="CN62" s="15">
        <v>3267.11</v>
      </c>
      <c r="CO62" s="15">
        <v>3573.95</v>
      </c>
      <c r="CP62" s="15">
        <v>3901.65</v>
      </c>
      <c r="CQ62" s="15">
        <v>4252.04</v>
      </c>
      <c r="CR62" s="15">
        <v>4629.58</v>
      </c>
      <c r="CS62" s="15">
        <v>5042.34</v>
      </c>
      <c r="CT62" s="15">
        <v>5496.34</v>
      </c>
      <c r="CU62" s="15">
        <v>5983.1</v>
      </c>
      <c r="CV62" s="15">
        <v>6498.02</v>
      </c>
      <c r="CW62" s="15">
        <v>7051.04</v>
      </c>
      <c r="CX62" s="15">
        <v>7642.88</v>
      </c>
    </row>
    <row r="63" spans="1:102" x14ac:dyDescent="0.25">
      <c r="A63" s="71">
        <v>2041</v>
      </c>
      <c r="B63" s="15">
        <v>283.41000000000003</v>
      </c>
      <c r="C63" s="15">
        <v>25.9</v>
      </c>
      <c r="D63" s="15">
        <v>12.01</v>
      </c>
      <c r="E63" s="15">
        <v>6.41</v>
      </c>
      <c r="F63" s="15">
        <v>5.53</v>
      </c>
      <c r="G63" s="15">
        <v>5.23</v>
      </c>
      <c r="H63" s="15">
        <v>4.99</v>
      </c>
      <c r="I63" s="15">
        <v>4.75</v>
      </c>
      <c r="J63" s="15">
        <v>4.4000000000000004</v>
      </c>
      <c r="K63" s="15">
        <v>4.05</v>
      </c>
      <c r="L63" s="15">
        <v>4.04</v>
      </c>
      <c r="M63" s="15">
        <v>4.21</v>
      </c>
      <c r="N63" s="15">
        <v>4.6100000000000003</v>
      </c>
      <c r="O63" s="15">
        <v>5.41</v>
      </c>
      <c r="P63" s="15">
        <v>6.61</v>
      </c>
      <c r="Q63" s="15">
        <v>8.1300000000000008</v>
      </c>
      <c r="R63" s="15">
        <v>10.49</v>
      </c>
      <c r="S63" s="15">
        <v>13.38</v>
      </c>
      <c r="T63" s="15">
        <v>16.59</v>
      </c>
      <c r="U63" s="15">
        <v>19.61</v>
      </c>
      <c r="V63" s="15">
        <v>21.86</v>
      </c>
      <c r="W63" s="15">
        <v>22.97</v>
      </c>
      <c r="X63" s="15">
        <v>22.61</v>
      </c>
      <c r="Y63" s="15">
        <v>22.02</v>
      </c>
      <c r="Z63" s="15">
        <v>21.77</v>
      </c>
      <c r="AA63" s="15">
        <v>21.77</v>
      </c>
      <c r="AB63" s="15">
        <v>22.5</v>
      </c>
      <c r="AC63" s="15">
        <v>23.83</v>
      </c>
      <c r="AD63" s="15">
        <v>25.81</v>
      </c>
      <c r="AE63" s="15">
        <v>28.02</v>
      </c>
      <c r="AF63" s="15">
        <v>30.36</v>
      </c>
      <c r="AG63" s="15">
        <v>32.950000000000003</v>
      </c>
      <c r="AH63" s="15">
        <v>35.54</v>
      </c>
      <c r="AI63" s="15">
        <v>38.33</v>
      </c>
      <c r="AJ63" s="15">
        <v>41.7</v>
      </c>
      <c r="AK63" s="15">
        <v>45.79</v>
      </c>
      <c r="AL63" s="15">
        <v>50.86</v>
      </c>
      <c r="AM63" s="15">
        <v>56.61</v>
      </c>
      <c r="AN63" s="15">
        <v>62.82</v>
      </c>
      <c r="AO63" s="15">
        <v>69.08</v>
      </c>
      <c r="AP63" s="15">
        <v>74.97</v>
      </c>
      <c r="AQ63" s="15">
        <v>79.930000000000007</v>
      </c>
      <c r="AR63" s="15">
        <v>83.92</v>
      </c>
      <c r="AS63" s="15">
        <v>86.54</v>
      </c>
      <c r="AT63" s="15">
        <v>87.93</v>
      </c>
      <c r="AU63" s="15">
        <v>88.21</v>
      </c>
      <c r="AV63" s="15">
        <v>87.8</v>
      </c>
      <c r="AW63" s="15">
        <v>87.33</v>
      </c>
      <c r="AX63" s="15">
        <v>87.86</v>
      </c>
      <c r="AY63" s="15">
        <v>90.83</v>
      </c>
      <c r="AZ63" s="15">
        <v>96.74</v>
      </c>
      <c r="BA63" s="15">
        <v>104.72</v>
      </c>
      <c r="BB63" s="15">
        <v>114.81</v>
      </c>
      <c r="BC63" s="15">
        <v>126.97</v>
      </c>
      <c r="BD63" s="15">
        <v>140.37</v>
      </c>
      <c r="BE63" s="15">
        <v>154.44999999999999</v>
      </c>
      <c r="BF63" s="15">
        <v>169.17</v>
      </c>
      <c r="BG63" s="15">
        <v>184.57</v>
      </c>
      <c r="BH63" s="15">
        <v>200.47</v>
      </c>
      <c r="BI63" s="15">
        <v>217.44</v>
      </c>
      <c r="BJ63" s="15">
        <v>235.39</v>
      </c>
      <c r="BK63" s="15">
        <v>255.1</v>
      </c>
      <c r="BL63" s="15">
        <v>276.31</v>
      </c>
      <c r="BM63" s="15">
        <v>299.05</v>
      </c>
      <c r="BN63" s="15">
        <v>323.39999999999998</v>
      </c>
      <c r="BO63" s="15">
        <v>349.89</v>
      </c>
      <c r="BP63" s="15">
        <v>378.63</v>
      </c>
      <c r="BQ63" s="15">
        <v>411.84</v>
      </c>
      <c r="BR63" s="15">
        <v>450.05</v>
      </c>
      <c r="BS63" s="15">
        <v>490.16</v>
      </c>
      <c r="BT63" s="15">
        <v>530.42999999999995</v>
      </c>
      <c r="BU63" s="15">
        <v>572.86</v>
      </c>
      <c r="BV63" s="15">
        <v>621.11</v>
      </c>
      <c r="BW63" s="15">
        <v>675.54</v>
      </c>
      <c r="BX63" s="15">
        <v>734.97</v>
      </c>
      <c r="BY63" s="15">
        <v>800.28</v>
      </c>
      <c r="BZ63" s="15">
        <v>873.05</v>
      </c>
      <c r="CA63" s="15">
        <v>954.32</v>
      </c>
      <c r="CB63" s="15">
        <v>1043.8499999999999</v>
      </c>
      <c r="CC63" s="15">
        <v>1142.6500000000001</v>
      </c>
      <c r="CD63" s="15">
        <v>1252.48</v>
      </c>
      <c r="CE63" s="15">
        <v>1375.04</v>
      </c>
      <c r="CF63" s="15">
        <v>1511.93</v>
      </c>
      <c r="CG63" s="15">
        <v>1664.32</v>
      </c>
      <c r="CH63" s="15">
        <v>1832.94</v>
      </c>
      <c r="CI63" s="15">
        <v>2019.24</v>
      </c>
      <c r="CJ63" s="15">
        <v>2224.62</v>
      </c>
      <c r="CK63" s="15">
        <v>2448.38</v>
      </c>
      <c r="CL63" s="15">
        <v>2688.86</v>
      </c>
      <c r="CM63" s="15">
        <v>2947.56</v>
      </c>
      <c r="CN63" s="15">
        <v>3228.66</v>
      </c>
      <c r="CO63" s="15">
        <v>3531.97</v>
      </c>
      <c r="CP63" s="15">
        <v>3855.91</v>
      </c>
      <c r="CQ63" s="15">
        <v>4202.3100000000004</v>
      </c>
      <c r="CR63" s="15">
        <v>4575.5600000000004</v>
      </c>
      <c r="CS63" s="15">
        <v>4983.6499999999996</v>
      </c>
      <c r="CT63" s="15">
        <v>5432.54</v>
      </c>
      <c r="CU63" s="15">
        <v>5913.85</v>
      </c>
      <c r="CV63" s="15">
        <v>6423.08</v>
      </c>
      <c r="CW63" s="15">
        <v>6970.03</v>
      </c>
      <c r="CX63" s="15">
        <v>7555.44</v>
      </c>
    </row>
    <row r="64" spans="1:102" x14ac:dyDescent="0.25">
      <c r="A64" s="71">
        <v>2042</v>
      </c>
      <c r="B64" s="15">
        <v>280.14</v>
      </c>
      <c r="C64" s="15">
        <v>25.32</v>
      </c>
      <c r="D64" s="15">
        <v>11.88</v>
      </c>
      <c r="E64" s="15">
        <v>6.25</v>
      </c>
      <c r="F64" s="15">
        <v>5.43</v>
      </c>
      <c r="G64" s="15">
        <v>5.19</v>
      </c>
      <c r="H64" s="15">
        <v>4.9000000000000004</v>
      </c>
      <c r="I64" s="15">
        <v>4.72</v>
      </c>
      <c r="J64" s="15">
        <v>4.37</v>
      </c>
      <c r="K64" s="15">
        <v>4.0199999999999996</v>
      </c>
      <c r="L64" s="15">
        <v>3.96</v>
      </c>
      <c r="M64" s="15">
        <v>4.13</v>
      </c>
      <c r="N64" s="15">
        <v>4.58</v>
      </c>
      <c r="O64" s="15">
        <v>5.37</v>
      </c>
      <c r="P64" s="15">
        <v>6.45</v>
      </c>
      <c r="Q64" s="15">
        <v>8.08</v>
      </c>
      <c r="R64" s="15">
        <v>10.42</v>
      </c>
      <c r="S64" s="15">
        <v>13.24</v>
      </c>
      <c r="T64" s="15">
        <v>16.38</v>
      </c>
      <c r="U64" s="15">
        <v>19.27</v>
      </c>
      <c r="V64" s="15">
        <v>21.57</v>
      </c>
      <c r="W64" s="15">
        <v>22.61</v>
      </c>
      <c r="X64" s="15">
        <v>22.31</v>
      </c>
      <c r="Y64" s="15">
        <v>21.79</v>
      </c>
      <c r="Z64" s="15">
        <v>21.49</v>
      </c>
      <c r="AA64" s="15">
        <v>21.54</v>
      </c>
      <c r="AB64" s="15">
        <v>22.22</v>
      </c>
      <c r="AC64" s="15">
        <v>23.6</v>
      </c>
      <c r="AD64" s="15">
        <v>25.46</v>
      </c>
      <c r="AE64" s="15">
        <v>27.62</v>
      </c>
      <c r="AF64" s="15">
        <v>30</v>
      </c>
      <c r="AG64" s="15">
        <v>32.520000000000003</v>
      </c>
      <c r="AH64" s="15">
        <v>35.049999999999997</v>
      </c>
      <c r="AI64" s="15">
        <v>37.869999999999997</v>
      </c>
      <c r="AJ64" s="15">
        <v>41.23</v>
      </c>
      <c r="AK64" s="15">
        <v>45.3</v>
      </c>
      <c r="AL64" s="15">
        <v>50.29</v>
      </c>
      <c r="AM64" s="15">
        <v>55.91</v>
      </c>
      <c r="AN64" s="15">
        <v>62.08</v>
      </c>
      <c r="AO64" s="15">
        <v>68.260000000000005</v>
      </c>
      <c r="AP64" s="15">
        <v>74.010000000000005</v>
      </c>
      <c r="AQ64" s="15">
        <v>79.099999999999994</v>
      </c>
      <c r="AR64" s="15">
        <v>82.92</v>
      </c>
      <c r="AS64" s="15">
        <v>85.47</v>
      </c>
      <c r="AT64" s="15">
        <v>86.9</v>
      </c>
      <c r="AU64" s="15">
        <v>87.18</v>
      </c>
      <c r="AV64" s="15">
        <v>86.66</v>
      </c>
      <c r="AW64" s="15">
        <v>86.2</v>
      </c>
      <c r="AX64" s="15">
        <v>86.78</v>
      </c>
      <c r="AY64" s="15">
        <v>89.82</v>
      </c>
      <c r="AZ64" s="15">
        <v>95.55</v>
      </c>
      <c r="BA64" s="15">
        <v>103.44</v>
      </c>
      <c r="BB64" s="15">
        <v>113.47</v>
      </c>
      <c r="BC64" s="15">
        <v>125.51</v>
      </c>
      <c r="BD64" s="15">
        <v>138.72</v>
      </c>
      <c r="BE64" s="15">
        <v>152.52000000000001</v>
      </c>
      <c r="BF64" s="15">
        <v>167.16</v>
      </c>
      <c r="BG64" s="15">
        <v>182.26</v>
      </c>
      <c r="BH64" s="15">
        <v>198.17</v>
      </c>
      <c r="BI64" s="15">
        <v>214.77</v>
      </c>
      <c r="BJ64" s="15">
        <v>232.61</v>
      </c>
      <c r="BK64" s="15">
        <v>252.04</v>
      </c>
      <c r="BL64" s="15">
        <v>272.97000000000003</v>
      </c>
      <c r="BM64" s="15">
        <v>295.45999999999998</v>
      </c>
      <c r="BN64" s="15">
        <v>319.45</v>
      </c>
      <c r="BO64" s="15">
        <v>345.6</v>
      </c>
      <c r="BP64" s="15">
        <v>373.99</v>
      </c>
      <c r="BQ64" s="15">
        <v>406.87</v>
      </c>
      <c r="BR64" s="15">
        <v>444.72</v>
      </c>
      <c r="BS64" s="15">
        <v>484.29</v>
      </c>
      <c r="BT64" s="15">
        <v>524.08000000000004</v>
      </c>
      <c r="BU64" s="15">
        <v>566.01</v>
      </c>
      <c r="BV64" s="15">
        <v>613.67999999999995</v>
      </c>
      <c r="BW64" s="15">
        <v>667.46</v>
      </c>
      <c r="BX64" s="15">
        <v>726.19</v>
      </c>
      <c r="BY64" s="15">
        <v>790.72</v>
      </c>
      <c r="BZ64" s="15">
        <v>862.62</v>
      </c>
      <c r="CA64" s="15">
        <v>942.93</v>
      </c>
      <c r="CB64" s="15">
        <v>1031.4000000000001</v>
      </c>
      <c r="CC64" s="15">
        <v>1129.03</v>
      </c>
      <c r="CD64" s="15">
        <v>1237.56</v>
      </c>
      <c r="CE64" s="15">
        <v>1358.67</v>
      </c>
      <c r="CF64" s="15">
        <v>1493.95</v>
      </c>
      <c r="CG64" s="15">
        <v>1644.55</v>
      </c>
      <c r="CH64" s="15">
        <v>1811.19</v>
      </c>
      <c r="CI64" s="15">
        <v>1995.31</v>
      </c>
      <c r="CJ64" s="15">
        <v>2198.29</v>
      </c>
      <c r="CK64" s="15">
        <v>2419.4299999999998</v>
      </c>
      <c r="CL64" s="15">
        <v>2657.12</v>
      </c>
      <c r="CM64" s="15">
        <v>2912.82</v>
      </c>
      <c r="CN64" s="15">
        <v>3190.66</v>
      </c>
      <c r="CO64" s="15">
        <v>3490.48</v>
      </c>
      <c r="CP64" s="15">
        <v>3810.71</v>
      </c>
      <c r="CQ64" s="15">
        <v>4153.16</v>
      </c>
      <c r="CR64" s="15">
        <v>4522.17</v>
      </c>
      <c r="CS64" s="15">
        <v>4925.6400000000003</v>
      </c>
      <c r="CT64" s="15">
        <v>5369.47</v>
      </c>
      <c r="CU64" s="15">
        <v>5845.41</v>
      </c>
      <c r="CV64" s="15">
        <v>6349</v>
      </c>
      <c r="CW64" s="15">
        <v>6889.95</v>
      </c>
      <c r="CX64" s="15">
        <v>7468.99</v>
      </c>
    </row>
    <row r="65" spans="1:102" x14ac:dyDescent="0.25">
      <c r="A65" s="71">
        <v>2043</v>
      </c>
      <c r="B65" s="15">
        <v>276.69</v>
      </c>
      <c r="C65" s="15">
        <v>25.29</v>
      </c>
      <c r="D65" s="15">
        <v>11.7</v>
      </c>
      <c r="E65" s="15">
        <v>6.1</v>
      </c>
      <c r="F65" s="15">
        <v>5.4</v>
      </c>
      <c r="G65" s="15">
        <v>5.05</v>
      </c>
      <c r="H65" s="15">
        <v>4.8099999999999996</v>
      </c>
      <c r="I65" s="15">
        <v>4.6900000000000004</v>
      </c>
      <c r="J65" s="15">
        <v>4.34</v>
      </c>
      <c r="K65" s="15">
        <v>4</v>
      </c>
      <c r="L65" s="15">
        <v>3.88</v>
      </c>
      <c r="M65" s="15">
        <v>4.0999999999999996</v>
      </c>
      <c r="N65" s="15">
        <v>4.55</v>
      </c>
      <c r="O65" s="15">
        <v>5.28</v>
      </c>
      <c r="P65" s="15">
        <v>6.35</v>
      </c>
      <c r="Q65" s="15">
        <v>8.0299999999999994</v>
      </c>
      <c r="R65" s="15">
        <v>10.36</v>
      </c>
      <c r="S65" s="15">
        <v>13.05</v>
      </c>
      <c r="T65" s="15">
        <v>16.059999999999999</v>
      </c>
      <c r="U65" s="15">
        <v>18.940000000000001</v>
      </c>
      <c r="V65" s="15">
        <v>21.28</v>
      </c>
      <c r="W65" s="15">
        <v>22.28</v>
      </c>
      <c r="X65" s="15">
        <v>22.09</v>
      </c>
      <c r="Y65" s="15">
        <v>21.57</v>
      </c>
      <c r="Z65" s="15">
        <v>21.28</v>
      </c>
      <c r="AA65" s="15">
        <v>21.33</v>
      </c>
      <c r="AB65" s="15">
        <v>22.01</v>
      </c>
      <c r="AC65" s="15">
        <v>23.28</v>
      </c>
      <c r="AD65" s="15">
        <v>25.14</v>
      </c>
      <c r="AE65" s="15">
        <v>27.23</v>
      </c>
      <c r="AF65" s="15">
        <v>29.56</v>
      </c>
      <c r="AG65" s="15">
        <v>32.159999999999997</v>
      </c>
      <c r="AH65" s="15">
        <v>34.630000000000003</v>
      </c>
      <c r="AI65" s="15">
        <v>37.49</v>
      </c>
      <c r="AJ65" s="15">
        <v>40.729999999999997</v>
      </c>
      <c r="AK65" s="15">
        <v>44.73</v>
      </c>
      <c r="AL65" s="15">
        <v>49.6</v>
      </c>
      <c r="AM65" s="15">
        <v>55.24</v>
      </c>
      <c r="AN65" s="15">
        <v>61.24</v>
      </c>
      <c r="AO65" s="15">
        <v>67.430000000000007</v>
      </c>
      <c r="AP65" s="15">
        <v>73.209999999999994</v>
      </c>
      <c r="AQ65" s="15">
        <v>78.16</v>
      </c>
      <c r="AR65" s="15">
        <v>81.91</v>
      </c>
      <c r="AS65" s="15">
        <v>84.45</v>
      </c>
      <c r="AT65" s="15">
        <v>85.82</v>
      </c>
      <c r="AU65" s="15">
        <v>86.05</v>
      </c>
      <c r="AV65" s="15">
        <v>85.54</v>
      </c>
      <c r="AW65" s="15">
        <v>85.17</v>
      </c>
      <c r="AX65" s="15">
        <v>85.79</v>
      </c>
      <c r="AY65" s="15">
        <v>88.77</v>
      </c>
      <c r="AZ65" s="15">
        <v>94.43</v>
      </c>
      <c r="BA65" s="15">
        <v>102.22</v>
      </c>
      <c r="BB65" s="15">
        <v>112.15</v>
      </c>
      <c r="BC65" s="15">
        <v>124.02</v>
      </c>
      <c r="BD65" s="15">
        <v>137.02000000000001</v>
      </c>
      <c r="BE65" s="15">
        <v>150.69</v>
      </c>
      <c r="BF65" s="15">
        <v>165.15</v>
      </c>
      <c r="BG65" s="15">
        <v>180.17</v>
      </c>
      <c r="BH65" s="15">
        <v>195.78</v>
      </c>
      <c r="BI65" s="15">
        <v>212.19</v>
      </c>
      <c r="BJ65" s="15">
        <v>229.87</v>
      </c>
      <c r="BK65" s="15">
        <v>249.09</v>
      </c>
      <c r="BL65" s="15">
        <v>269.75</v>
      </c>
      <c r="BM65" s="15">
        <v>291.8</v>
      </c>
      <c r="BN65" s="15">
        <v>315.54000000000002</v>
      </c>
      <c r="BO65" s="15">
        <v>341.48</v>
      </c>
      <c r="BP65" s="15">
        <v>369.54</v>
      </c>
      <c r="BQ65" s="15">
        <v>402.11</v>
      </c>
      <c r="BR65" s="15">
        <v>439.41</v>
      </c>
      <c r="BS65" s="15">
        <v>478.49</v>
      </c>
      <c r="BT65" s="15">
        <v>517.80999999999995</v>
      </c>
      <c r="BU65" s="15">
        <v>559.24</v>
      </c>
      <c r="BV65" s="15">
        <v>606.34</v>
      </c>
      <c r="BW65" s="15">
        <v>659.48</v>
      </c>
      <c r="BX65" s="15">
        <v>717.51</v>
      </c>
      <c r="BY65" s="15">
        <v>781.27</v>
      </c>
      <c r="BZ65" s="15">
        <v>852.32</v>
      </c>
      <c r="CA65" s="15">
        <v>931.67</v>
      </c>
      <c r="CB65" s="15">
        <v>1019.1</v>
      </c>
      <c r="CC65" s="15">
        <v>1115.57</v>
      </c>
      <c r="CD65" s="15">
        <v>1222.82</v>
      </c>
      <c r="CE65" s="15">
        <v>1342.5</v>
      </c>
      <c r="CF65" s="15">
        <v>1476.19</v>
      </c>
      <c r="CG65" s="15">
        <v>1625.02</v>
      </c>
      <c r="CH65" s="15">
        <v>1789.7</v>
      </c>
      <c r="CI65" s="15">
        <v>1971.66</v>
      </c>
      <c r="CJ65" s="15">
        <v>2172.2600000000002</v>
      </c>
      <c r="CK65" s="15">
        <v>2390.83</v>
      </c>
      <c r="CL65" s="15">
        <v>2625.75</v>
      </c>
      <c r="CM65" s="15">
        <v>2878.48</v>
      </c>
      <c r="CN65" s="15">
        <v>3153.11</v>
      </c>
      <c r="CO65" s="15">
        <v>3449.48</v>
      </c>
      <c r="CP65" s="15">
        <v>3766.04</v>
      </c>
      <c r="CQ65" s="15">
        <v>4104.58</v>
      </c>
      <c r="CR65" s="15">
        <v>4469.3999999999996</v>
      </c>
      <c r="CS65" s="15">
        <v>4868.3</v>
      </c>
      <c r="CT65" s="15">
        <v>5307.14</v>
      </c>
      <c r="CU65" s="15">
        <v>5777.76</v>
      </c>
      <c r="CV65" s="15">
        <v>6275.77</v>
      </c>
      <c r="CW65" s="15">
        <v>6810.79</v>
      </c>
      <c r="CX65" s="15">
        <v>7383.54</v>
      </c>
    </row>
    <row r="66" spans="1:102" x14ac:dyDescent="0.25">
      <c r="A66" s="71">
        <v>2044</v>
      </c>
      <c r="B66" s="15">
        <v>273.23</v>
      </c>
      <c r="C66" s="15">
        <v>25.06</v>
      </c>
      <c r="D66" s="15">
        <v>11.58</v>
      </c>
      <c r="E66" s="15">
        <v>6.07</v>
      </c>
      <c r="F66" s="15">
        <v>5.32</v>
      </c>
      <c r="G66" s="15">
        <v>4.91</v>
      </c>
      <c r="H66" s="15">
        <v>4.79</v>
      </c>
      <c r="I66" s="15">
        <v>4.6100000000000003</v>
      </c>
      <c r="J66" s="15">
        <v>4.21</v>
      </c>
      <c r="K66" s="15">
        <v>3.92</v>
      </c>
      <c r="L66" s="15">
        <v>3.86</v>
      </c>
      <c r="M66" s="15">
        <v>4.08</v>
      </c>
      <c r="N66" s="15">
        <v>4.53</v>
      </c>
      <c r="O66" s="15">
        <v>5.2</v>
      </c>
      <c r="P66" s="15">
        <v>6.32</v>
      </c>
      <c r="Q66" s="15">
        <v>7.93</v>
      </c>
      <c r="R66" s="15">
        <v>10.199999999999999</v>
      </c>
      <c r="S66" s="15">
        <v>12.87</v>
      </c>
      <c r="T66" s="15">
        <v>15.76</v>
      </c>
      <c r="U66" s="15">
        <v>18.79</v>
      </c>
      <c r="V66" s="15">
        <v>21.02</v>
      </c>
      <c r="W66" s="15">
        <v>22.01</v>
      </c>
      <c r="X66" s="15">
        <v>21.83</v>
      </c>
      <c r="Y66" s="15">
        <v>21.37</v>
      </c>
      <c r="Z66" s="15">
        <v>21.08</v>
      </c>
      <c r="AA66" s="15">
        <v>21.09</v>
      </c>
      <c r="AB66" s="15">
        <v>21.76</v>
      </c>
      <c r="AC66" s="15">
        <v>23.08</v>
      </c>
      <c r="AD66" s="15">
        <v>24.88</v>
      </c>
      <c r="AE66" s="15">
        <v>26.87</v>
      </c>
      <c r="AF66" s="15">
        <v>29.23</v>
      </c>
      <c r="AG66" s="15">
        <v>31.73</v>
      </c>
      <c r="AH66" s="15">
        <v>34.29</v>
      </c>
      <c r="AI66" s="15">
        <v>37.04</v>
      </c>
      <c r="AJ66" s="15">
        <v>40.17</v>
      </c>
      <c r="AK66" s="15">
        <v>44.11</v>
      </c>
      <c r="AL66" s="15">
        <v>49</v>
      </c>
      <c r="AM66" s="15">
        <v>54.52</v>
      </c>
      <c r="AN66" s="15">
        <v>60.49</v>
      </c>
      <c r="AO66" s="15">
        <v>66.66</v>
      </c>
      <c r="AP66" s="15">
        <v>72.400000000000006</v>
      </c>
      <c r="AQ66" s="15">
        <v>77.239999999999995</v>
      </c>
      <c r="AR66" s="15">
        <v>80.92</v>
      </c>
      <c r="AS66" s="15">
        <v>83.35</v>
      </c>
      <c r="AT66" s="15">
        <v>84.71</v>
      </c>
      <c r="AU66" s="15">
        <v>84.94</v>
      </c>
      <c r="AV66" s="15">
        <v>84.67</v>
      </c>
      <c r="AW66" s="15">
        <v>84.21</v>
      </c>
      <c r="AX66" s="15">
        <v>84.83</v>
      </c>
      <c r="AY66" s="15">
        <v>87.64</v>
      </c>
      <c r="AZ66" s="15">
        <v>93.17</v>
      </c>
      <c r="BA66" s="15">
        <v>100.97</v>
      </c>
      <c r="BB66" s="15">
        <v>110.71</v>
      </c>
      <c r="BC66" s="15">
        <v>122.48</v>
      </c>
      <c r="BD66" s="15">
        <v>135.37</v>
      </c>
      <c r="BE66" s="15">
        <v>148.91999999999999</v>
      </c>
      <c r="BF66" s="15">
        <v>163.26</v>
      </c>
      <c r="BG66" s="15">
        <v>178.01</v>
      </c>
      <c r="BH66" s="15">
        <v>193.34</v>
      </c>
      <c r="BI66" s="15">
        <v>209.67</v>
      </c>
      <c r="BJ66" s="15">
        <v>227.16</v>
      </c>
      <c r="BK66" s="15">
        <v>246.08</v>
      </c>
      <c r="BL66" s="15">
        <v>266.48</v>
      </c>
      <c r="BM66" s="15">
        <v>288.11</v>
      </c>
      <c r="BN66" s="15">
        <v>311.87</v>
      </c>
      <c r="BO66" s="15">
        <v>337.36</v>
      </c>
      <c r="BP66" s="15">
        <v>365.17</v>
      </c>
      <c r="BQ66" s="15">
        <v>397.25</v>
      </c>
      <c r="BR66" s="15">
        <v>434.14</v>
      </c>
      <c r="BS66" s="15">
        <v>472.76</v>
      </c>
      <c r="BT66" s="15">
        <v>511.61</v>
      </c>
      <c r="BU66" s="15">
        <v>552.54999999999995</v>
      </c>
      <c r="BV66" s="15">
        <v>599.09</v>
      </c>
      <c r="BW66" s="15">
        <v>651.6</v>
      </c>
      <c r="BX66" s="15">
        <v>708.93</v>
      </c>
      <c r="BY66" s="15">
        <v>771.94</v>
      </c>
      <c r="BZ66" s="15">
        <v>842.14</v>
      </c>
      <c r="CA66" s="15">
        <v>920.56</v>
      </c>
      <c r="CB66" s="15">
        <v>1006.94</v>
      </c>
      <c r="CC66" s="15">
        <v>1102.27</v>
      </c>
      <c r="CD66" s="15">
        <v>1208.25</v>
      </c>
      <c r="CE66" s="15">
        <v>1326.52</v>
      </c>
      <c r="CF66" s="15">
        <v>1458.63</v>
      </c>
      <c r="CG66" s="15">
        <v>1605.71</v>
      </c>
      <c r="CH66" s="15">
        <v>1768.46</v>
      </c>
      <c r="CI66" s="15">
        <v>1948.29</v>
      </c>
      <c r="CJ66" s="15">
        <v>2146.5500000000002</v>
      </c>
      <c r="CK66" s="15">
        <v>2362.5700000000002</v>
      </c>
      <c r="CL66" s="15">
        <v>2594.75</v>
      </c>
      <c r="CM66" s="15">
        <v>2844.55</v>
      </c>
      <c r="CN66" s="15">
        <v>3116</v>
      </c>
      <c r="CO66" s="15">
        <v>3408.95</v>
      </c>
      <c r="CP66" s="15">
        <v>3721.89</v>
      </c>
      <c r="CQ66" s="15">
        <v>4056.58</v>
      </c>
      <c r="CR66" s="15">
        <v>4417.24</v>
      </c>
      <c r="CS66" s="15">
        <v>4811.63</v>
      </c>
      <c r="CT66" s="15">
        <v>5245.53</v>
      </c>
      <c r="CU66" s="15">
        <v>5710.89</v>
      </c>
      <c r="CV66" s="15">
        <v>6203.39</v>
      </c>
      <c r="CW66" s="15">
        <v>6732.54</v>
      </c>
      <c r="CX66" s="15">
        <v>7299.07</v>
      </c>
    </row>
    <row r="67" spans="1:102" x14ac:dyDescent="0.25">
      <c r="A67" s="71">
        <v>2045</v>
      </c>
      <c r="B67" s="15">
        <v>270.02999999999997</v>
      </c>
      <c r="C67" s="15">
        <v>24.97</v>
      </c>
      <c r="D67" s="15">
        <v>11.42</v>
      </c>
      <c r="E67" s="15">
        <v>6.04</v>
      </c>
      <c r="F67" s="15">
        <v>5.24</v>
      </c>
      <c r="G67" s="15">
        <v>4.8899999999999997</v>
      </c>
      <c r="H67" s="15">
        <v>4.71</v>
      </c>
      <c r="I67" s="15">
        <v>4.42</v>
      </c>
      <c r="J67" s="15">
        <v>4.0199999999999996</v>
      </c>
      <c r="K67" s="15">
        <v>3.85</v>
      </c>
      <c r="L67" s="15">
        <v>3.84</v>
      </c>
      <c r="M67" s="15">
        <v>4.0599999999999996</v>
      </c>
      <c r="N67" s="15">
        <v>4.45</v>
      </c>
      <c r="O67" s="15">
        <v>5.18</v>
      </c>
      <c r="P67" s="15">
        <v>6.24</v>
      </c>
      <c r="Q67" s="15">
        <v>7.79</v>
      </c>
      <c r="R67" s="15">
        <v>10.039999999999999</v>
      </c>
      <c r="S67" s="15">
        <v>12.71</v>
      </c>
      <c r="T67" s="15">
        <v>15.64</v>
      </c>
      <c r="U67" s="15">
        <v>18.61</v>
      </c>
      <c r="V67" s="15">
        <v>20.72</v>
      </c>
      <c r="W67" s="15">
        <v>21.71</v>
      </c>
      <c r="X67" s="15">
        <v>21.64</v>
      </c>
      <c r="Y67" s="15">
        <v>21.08</v>
      </c>
      <c r="Z67" s="15">
        <v>20.8</v>
      </c>
      <c r="AA67" s="15">
        <v>20.91</v>
      </c>
      <c r="AB67" s="15">
        <v>21.53</v>
      </c>
      <c r="AC67" s="15">
        <v>22.84</v>
      </c>
      <c r="AD67" s="15">
        <v>24.64</v>
      </c>
      <c r="AE67" s="15">
        <v>26.58</v>
      </c>
      <c r="AF67" s="15">
        <v>28.89</v>
      </c>
      <c r="AG67" s="15">
        <v>31.33</v>
      </c>
      <c r="AH67" s="15">
        <v>33.869999999999997</v>
      </c>
      <c r="AI67" s="15">
        <v>36.56</v>
      </c>
      <c r="AJ67" s="15">
        <v>39.729999999999997</v>
      </c>
      <c r="AK67" s="15">
        <v>43.61</v>
      </c>
      <c r="AL67" s="15">
        <v>48.43</v>
      </c>
      <c r="AM67" s="15">
        <v>53.84</v>
      </c>
      <c r="AN67" s="15">
        <v>59.83</v>
      </c>
      <c r="AO67" s="15">
        <v>65.88</v>
      </c>
      <c r="AP67" s="15">
        <v>71.510000000000005</v>
      </c>
      <c r="AQ67" s="15">
        <v>76.37</v>
      </c>
      <c r="AR67" s="15">
        <v>79.8</v>
      </c>
      <c r="AS67" s="15">
        <v>82.32</v>
      </c>
      <c r="AT67" s="15">
        <v>83.71</v>
      </c>
      <c r="AU67" s="15">
        <v>84.09</v>
      </c>
      <c r="AV67" s="15">
        <v>83.72</v>
      </c>
      <c r="AW67" s="15">
        <v>83.21</v>
      </c>
      <c r="AX67" s="15">
        <v>83.83</v>
      </c>
      <c r="AY67" s="15">
        <v>86.54</v>
      </c>
      <c r="AZ67" s="15">
        <v>92.04</v>
      </c>
      <c r="BA67" s="15">
        <v>99.66</v>
      </c>
      <c r="BB67" s="15">
        <v>109.31</v>
      </c>
      <c r="BC67" s="15">
        <v>121.04</v>
      </c>
      <c r="BD67" s="15">
        <v>133.72</v>
      </c>
      <c r="BE67" s="15">
        <v>147.22</v>
      </c>
      <c r="BF67" s="15">
        <v>161.30000000000001</v>
      </c>
      <c r="BG67" s="15">
        <v>175.74</v>
      </c>
      <c r="BH67" s="15">
        <v>191.01</v>
      </c>
      <c r="BI67" s="15">
        <v>207.17</v>
      </c>
      <c r="BJ67" s="15">
        <v>224.38</v>
      </c>
      <c r="BK67" s="15">
        <v>243.12</v>
      </c>
      <c r="BL67" s="15">
        <v>263.12</v>
      </c>
      <c r="BM67" s="15">
        <v>284.8</v>
      </c>
      <c r="BN67" s="15">
        <v>308.14999999999998</v>
      </c>
      <c r="BO67" s="15">
        <v>333.27</v>
      </c>
      <c r="BP67" s="15">
        <v>360.73</v>
      </c>
      <c r="BQ67" s="15">
        <v>392.49</v>
      </c>
      <c r="BR67" s="15">
        <v>428.95</v>
      </c>
      <c r="BS67" s="15">
        <v>467.11</v>
      </c>
      <c r="BT67" s="15">
        <v>505.49</v>
      </c>
      <c r="BU67" s="15">
        <v>545.94000000000005</v>
      </c>
      <c r="BV67" s="15">
        <v>591.92999999999995</v>
      </c>
      <c r="BW67" s="15">
        <v>643.80999999999995</v>
      </c>
      <c r="BX67" s="15">
        <v>700.46</v>
      </c>
      <c r="BY67" s="15">
        <v>762.72</v>
      </c>
      <c r="BZ67" s="15">
        <v>832.09</v>
      </c>
      <c r="CA67" s="15">
        <v>909.57</v>
      </c>
      <c r="CB67" s="15">
        <v>994.93</v>
      </c>
      <c r="CC67" s="15">
        <v>1089.1300000000001</v>
      </c>
      <c r="CD67" s="15">
        <v>1193.8599999999999</v>
      </c>
      <c r="CE67" s="15">
        <v>1310.73</v>
      </c>
      <c r="CF67" s="15">
        <v>1441.29</v>
      </c>
      <c r="CG67" s="15">
        <v>1586.63</v>
      </c>
      <c r="CH67" s="15">
        <v>1747.48</v>
      </c>
      <c r="CI67" s="15">
        <v>1925.2</v>
      </c>
      <c r="CJ67" s="15">
        <v>2121.14</v>
      </c>
      <c r="CK67" s="15">
        <v>2334.64</v>
      </c>
      <c r="CL67" s="15">
        <v>2564.12</v>
      </c>
      <c r="CM67" s="15">
        <v>2811.01</v>
      </c>
      <c r="CN67" s="15">
        <v>3079.33</v>
      </c>
      <c r="CO67" s="15">
        <v>3368.91</v>
      </c>
      <c r="CP67" s="15">
        <v>3678.26</v>
      </c>
      <c r="CQ67" s="15">
        <v>4009.13</v>
      </c>
      <c r="CR67" s="15">
        <v>4365.7</v>
      </c>
      <c r="CS67" s="15">
        <v>4755.62</v>
      </c>
      <c r="CT67" s="15">
        <v>5184.6400000000003</v>
      </c>
      <c r="CU67" s="15">
        <v>5644.8</v>
      </c>
      <c r="CV67" s="15">
        <v>6131.84</v>
      </c>
      <c r="CW67" s="15">
        <v>6655.19</v>
      </c>
      <c r="CX67" s="15">
        <v>7215.56</v>
      </c>
    </row>
    <row r="68" spans="1:102" x14ac:dyDescent="0.25">
      <c r="A68" s="71">
        <v>2046</v>
      </c>
      <c r="B68" s="15">
        <v>266.66000000000003</v>
      </c>
      <c r="C68" s="15">
        <v>24.91</v>
      </c>
      <c r="D68" s="15">
        <v>11.21</v>
      </c>
      <c r="E68" s="15">
        <v>6.02</v>
      </c>
      <c r="F68" s="15">
        <v>5.22</v>
      </c>
      <c r="G68" s="15">
        <v>4.87</v>
      </c>
      <c r="H68" s="15">
        <v>4.6399999999999997</v>
      </c>
      <c r="I68" s="15">
        <v>4.29</v>
      </c>
      <c r="J68" s="15">
        <v>3.95</v>
      </c>
      <c r="K68" s="15">
        <v>3.83</v>
      </c>
      <c r="L68" s="15">
        <v>3.77</v>
      </c>
      <c r="M68" s="15">
        <v>3.99</v>
      </c>
      <c r="N68" s="15">
        <v>4.38</v>
      </c>
      <c r="O68" s="15">
        <v>5.16</v>
      </c>
      <c r="P68" s="15">
        <v>6.16</v>
      </c>
      <c r="Q68" s="15">
        <v>7.65</v>
      </c>
      <c r="R68" s="15">
        <v>10.01</v>
      </c>
      <c r="S68" s="15">
        <v>12.55</v>
      </c>
      <c r="T68" s="15">
        <v>15.48</v>
      </c>
      <c r="U68" s="15">
        <v>18.329999999999998</v>
      </c>
      <c r="V68" s="15">
        <v>20.49</v>
      </c>
      <c r="W68" s="15">
        <v>21.48</v>
      </c>
      <c r="X68" s="15">
        <v>21.31</v>
      </c>
      <c r="Y68" s="15">
        <v>20.81</v>
      </c>
      <c r="Z68" s="15">
        <v>20.54</v>
      </c>
      <c r="AA68" s="15">
        <v>20.69</v>
      </c>
      <c r="AB68" s="15">
        <v>21.27</v>
      </c>
      <c r="AC68" s="15">
        <v>22.53</v>
      </c>
      <c r="AD68" s="15">
        <v>24.33</v>
      </c>
      <c r="AE68" s="15">
        <v>26.31</v>
      </c>
      <c r="AF68" s="15">
        <v>28.46</v>
      </c>
      <c r="AG68" s="15">
        <v>30.95</v>
      </c>
      <c r="AH68" s="15">
        <v>33.44</v>
      </c>
      <c r="AI68" s="15">
        <v>36.17</v>
      </c>
      <c r="AJ68" s="15">
        <v>39.229999999999997</v>
      </c>
      <c r="AK68" s="15">
        <v>43.1</v>
      </c>
      <c r="AL68" s="15">
        <v>47.76</v>
      </c>
      <c r="AM68" s="15">
        <v>53.25</v>
      </c>
      <c r="AN68" s="15">
        <v>59.08</v>
      </c>
      <c r="AO68" s="15">
        <v>65.11</v>
      </c>
      <c r="AP68" s="15">
        <v>70.67</v>
      </c>
      <c r="AQ68" s="15">
        <v>75.33</v>
      </c>
      <c r="AR68" s="15">
        <v>78.84</v>
      </c>
      <c r="AS68" s="15">
        <v>81.44</v>
      </c>
      <c r="AT68" s="15">
        <v>82.78</v>
      </c>
      <c r="AU68" s="15">
        <v>83.1</v>
      </c>
      <c r="AV68" s="15">
        <v>82.64</v>
      </c>
      <c r="AW68" s="15">
        <v>82.18</v>
      </c>
      <c r="AX68" s="15">
        <v>82.75</v>
      </c>
      <c r="AY68" s="15">
        <v>85.54</v>
      </c>
      <c r="AZ68" s="15">
        <v>90.93</v>
      </c>
      <c r="BA68" s="15">
        <v>98.38</v>
      </c>
      <c r="BB68" s="15">
        <v>108.05</v>
      </c>
      <c r="BC68" s="15">
        <v>119.54</v>
      </c>
      <c r="BD68" s="15">
        <v>132.13</v>
      </c>
      <c r="BE68" s="15">
        <v>145.49</v>
      </c>
      <c r="BF68" s="15">
        <v>159.22999999999999</v>
      </c>
      <c r="BG68" s="15">
        <v>173.66</v>
      </c>
      <c r="BH68" s="15">
        <v>188.83</v>
      </c>
      <c r="BI68" s="15">
        <v>204.63</v>
      </c>
      <c r="BJ68" s="15">
        <v>221.68</v>
      </c>
      <c r="BK68" s="15">
        <v>240.14</v>
      </c>
      <c r="BL68" s="15">
        <v>260.02</v>
      </c>
      <c r="BM68" s="15">
        <v>281.45999999999998</v>
      </c>
      <c r="BN68" s="15">
        <v>304.42</v>
      </c>
      <c r="BO68" s="15">
        <v>329.28</v>
      </c>
      <c r="BP68" s="15">
        <v>356.41</v>
      </c>
      <c r="BQ68" s="15">
        <v>387.79</v>
      </c>
      <c r="BR68" s="15">
        <v>423.81</v>
      </c>
      <c r="BS68" s="15">
        <v>461.52</v>
      </c>
      <c r="BT68" s="15">
        <v>499.44</v>
      </c>
      <c r="BU68" s="15">
        <v>539.41</v>
      </c>
      <c r="BV68" s="15">
        <v>584.85</v>
      </c>
      <c r="BW68" s="15">
        <v>636.11</v>
      </c>
      <c r="BX68" s="15">
        <v>692.09</v>
      </c>
      <c r="BY68" s="15">
        <v>753.61</v>
      </c>
      <c r="BZ68" s="15">
        <v>822.15</v>
      </c>
      <c r="CA68" s="15">
        <v>898.71</v>
      </c>
      <c r="CB68" s="15">
        <v>983.06</v>
      </c>
      <c r="CC68" s="15">
        <v>1076.1500000000001</v>
      </c>
      <c r="CD68" s="15">
        <v>1179.6400000000001</v>
      </c>
      <c r="CE68" s="15">
        <v>1295.1300000000001</v>
      </c>
      <c r="CF68" s="15">
        <v>1424.15</v>
      </c>
      <c r="CG68" s="15">
        <v>1567.79</v>
      </c>
      <c r="CH68" s="15">
        <v>1726.74</v>
      </c>
      <c r="CI68" s="15">
        <v>1902.38</v>
      </c>
      <c r="CJ68" s="15">
        <v>2096.0300000000002</v>
      </c>
      <c r="CK68" s="15">
        <v>2307.04</v>
      </c>
      <c r="CL68" s="15">
        <v>2533.85</v>
      </c>
      <c r="CM68" s="15">
        <v>2777.88</v>
      </c>
      <c r="CN68" s="15">
        <v>3043.09</v>
      </c>
      <c r="CO68" s="15">
        <v>3329.33</v>
      </c>
      <c r="CP68" s="15">
        <v>3635.14</v>
      </c>
      <c r="CQ68" s="15">
        <v>3962.24</v>
      </c>
      <c r="CR68" s="15">
        <v>4314.76</v>
      </c>
      <c r="CS68" s="15">
        <v>4700.2700000000004</v>
      </c>
      <c r="CT68" s="15">
        <v>5124.45</v>
      </c>
      <c r="CU68" s="15">
        <v>5579.47</v>
      </c>
      <c r="CV68" s="15">
        <v>6061.12</v>
      </c>
      <c r="CW68" s="15">
        <v>6578.72</v>
      </c>
      <c r="CX68" s="15">
        <v>7133</v>
      </c>
    </row>
    <row r="69" spans="1:102" x14ac:dyDescent="0.25">
      <c r="A69" s="71">
        <v>2047</v>
      </c>
      <c r="B69" s="15">
        <v>263.52999999999997</v>
      </c>
      <c r="C69" s="15">
        <v>24.69</v>
      </c>
      <c r="D69" s="15">
        <v>11.13</v>
      </c>
      <c r="E69" s="15">
        <v>5.95</v>
      </c>
      <c r="F69" s="15">
        <v>5.2</v>
      </c>
      <c r="G69" s="15">
        <v>4.8600000000000003</v>
      </c>
      <c r="H69" s="15">
        <v>4.63</v>
      </c>
      <c r="I69" s="15">
        <v>4.28</v>
      </c>
      <c r="J69" s="15">
        <v>3.94</v>
      </c>
      <c r="K69" s="15">
        <v>3.77</v>
      </c>
      <c r="L69" s="15">
        <v>3.65</v>
      </c>
      <c r="M69" s="15">
        <v>3.93</v>
      </c>
      <c r="N69" s="15">
        <v>4.37</v>
      </c>
      <c r="O69" s="15">
        <v>5.09</v>
      </c>
      <c r="P69" s="15">
        <v>6.09</v>
      </c>
      <c r="Q69" s="15">
        <v>7.57</v>
      </c>
      <c r="R69" s="15">
        <v>9.81</v>
      </c>
      <c r="S69" s="15">
        <v>12.36</v>
      </c>
      <c r="T69" s="15">
        <v>15.27</v>
      </c>
      <c r="U69" s="15">
        <v>18.12</v>
      </c>
      <c r="V69" s="15">
        <v>20.23</v>
      </c>
      <c r="W69" s="15">
        <v>21.22</v>
      </c>
      <c r="X69" s="15">
        <v>20.95</v>
      </c>
      <c r="Y69" s="15">
        <v>20.56</v>
      </c>
      <c r="Z69" s="15">
        <v>20.34</v>
      </c>
      <c r="AA69" s="15">
        <v>20.45</v>
      </c>
      <c r="AB69" s="15">
        <v>21.02</v>
      </c>
      <c r="AC69" s="15">
        <v>22.23</v>
      </c>
      <c r="AD69" s="15">
        <v>23.98</v>
      </c>
      <c r="AE69" s="15">
        <v>25.96</v>
      </c>
      <c r="AF69" s="15">
        <v>28.16</v>
      </c>
      <c r="AG69" s="15">
        <v>30.59</v>
      </c>
      <c r="AH69" s="15">
        <v>32.979999999999997</v>
      </c>
      <c r="AI69" s="15">
        <v>35.700000000000003</v>
      </c>
      <c r="AJ69" s="15">
        <v>38.71</v>
      </c>
      <c r="AK69" s="15">
        <v>42.52</v>
      </c>
      <c r="AL69" s="15">
        <v>47.22</v>
      </c>
      <c r="AM69" s="15">
        <v>52.6</v>
      </c>
      <c r="AN69" s="15">
        <v>58.37</v>
      </c>
      <c r="AO69" s="15">
        <v>64.34</v>
      </c>
      <c r="AP69" s="15">
        <v>69.790000000000006</v>
      </c>
      <c r="AQ69" s="15">
        <v>74.34</v>
      </c>
      <c r="AR69" s="15">
        <v>77.98</v>
      </c>
      <c r="AS69" s="15">
        <v>80.430000000000007</v>
      </c>
      <c r="AT69" s="15">
        <v>81.77</v>
      </c>
      <c r="AU69" s="15">
        <v>82.04</v>
      </c>
      <c r="AV69" s="15">
        <v>81.48</v>
      </c>
      <c r="AW69" s="15">
        <v>81.069999999999993</v>
      </c>
      <c r="AX69" s="15">
        <v>81.73</v>
      </c>
      <c r="AY69" s="15">
        <v>84.51</v>
      </c>
      <c r="AZ69" s="15">
        <v>89.79</v>
      </c>
      <c r="BA69" s="15">
        <v>97.27</v>
      </c>
      <c r="BB69" s="15">
        <v>106.81</v>
      </c>
      <c r="BC69" s="15">
        <v>118.13</v>
      </c>
      <c r="BD69" s="15">
        <v>130.54</v>
      </c>
      <c r="BE69" s="15">
        <v>143.66999999999999</v>
      </c>
      <c r="BF69" s="15">
        <v>157.36000000000001</v>
      </c>
      <c r="BG69" s="15">
        <v>171.71</v>
      </c>
      <c r="BH69" s="15">
        <v>186.54</v>
      </c>
      <c r="BI69" s="15">
        <v>202.14</v>
      </c>
      <c r="BJ69" s="15">
        <v>218.99</v>
      </c>
      <c r="BK69" s="15">
        <v>237.2</v>
      </c>
      <c r="BL69" s="15">
        <v>256.95999999999998</v>
      </c>
      <c r="BM69" s="15">
        <v>278.08</v>
      </c>
      <c r="BN69" s="15">
        <v>300.81</v>
      </c>
      <c r="BO69" s="15">
        <v>325.33999999999997</v>
      </c>
      <c r="BP69" s="15">
        <v>352.14</v>
      </c>
      <c r="BQ69" s="15">
        <v>383.15</v>
      </c>
      <c r="BR69" s="15">
        <v>418.74</v>
      </c>
      <c r="BS69" s="15">
        <v>455.99</v>
      </c>
      <c r="BT69" s="15">
        <v>493.47</v>
      </c>
      <c r="BU69" s="15">
        <v>532.95000000000005</v>
      </c>
      <c r="BV69" s="15">
        <v>577.85</v>
      </c>
      <c r="BW69" s="15">
        <v>628.51</v>
      </c>
      <c r="BX69" s="15">
        <v>683.82</v>
      </c>
      <c r="BY69" s="15">
        <v>744.6</v>
      </c>
      <c r="BZ69" s="15">
        <v>812.34</v>
      </c>
      <c r="CA69" s="15">
        <v>887.99</v>
      </c>
      <c r="CB69" s="15">
        <v>971.34</v>
      </c>
      <c r="CC69" s="15">
        <v>1063.32</v>
      </c>
      <c r="CD69" s="15">
        <v>1165.5899999999999</v>
      </c>
      <c r="CE69" s="15">
        <v>1279.72</v>
      </c>
      <c r="CF69" s="15">
        <v>1407.21</v>
      </c>
      <c r="CG69" s="15">
        <v>1549.16</v>
      </c>
      <c r="CH69" s="15">
        <v>1706.25</v>
      </c>
      <c r="CI69" s="15">
        <v>1879.83</v>
      </c>
      <c r="CJ69" s="15">
        <v>2071.2199999999998</v>
      </c>
      <c r="CK69" s="15">
        <v>2279.7600000000002</v>
      </c>
      <c r="CL69" s="15">
        <v>2503.9299999999998</v>
      </c>
      <c r="CM69" s="15">
        <v>2745.13</v>
      </c>
      <c r="CN69" s="15">
        <v>3007.27</v>
      </c>
      <c r="CO69" s="15">
        <v>3290.22</v>
      </c>
      <c r="CP69" s="15">
        <v>3592.53</v>
      </c>
      <c r="CQ69" s="15">
        <v>3915.89</v>
      </c>
      <c r="CR69" s="15">
        <v>4264.41</v>
      </c>
      <c r="CS69" s="15">
        <v>4645.55</v>
      </c>
      <c r="CT69" s="15">
        <v>5064.96</v>
      </c>
      <c r="CU69" s="15">
        <v>5514.9</v>
      </c>
      <c r="CV69" s="15">
        <v>5991.22</v>
      </c>
      <c r="CW69" s="15">
        <v>6503.14</v>
      </c>
      <c r="CX69" s="15">
        <v>7051.39</v>
      </c>
    </row>
    <row r="70" spans="1:102" x14ac:dyDescent="0.25">
      <c r="A70" s="71">
        <v>2048</v>
      </c>
      <c r="B70" s="15">
        <v>260.45</v>
      </c>
      <c r="C70" s="15">
        <v>24.35</v>
      </c>
      <c r="D70" s="15">
        <v>10.94</v>
      </c>
      <c r="E70" s="15">
        <v>5.88</v>
      </c>
      <c r="F70" s="15">
        <v>5.14</v>
      </c>
      <c r="G70" s="15">
        <v>4.8499999999999996</v>
      </c>
      <c r="H70" s="15">
        <v>4.62</v>
      </c>
      <c r="I70" s="15">
        <v>4.2699999999999996</v>
      </c>
      <c r="J70" s="15">
        <v>3.93</v>
      </c>
      <c r="K70" s="15">
        <v>3.65</v>
      </c>
      <c r="L70" s="15">
        <v>3.59</v>
      </c>
      <c r="M70" s="15">
        <v>3.86</v>
      </c>
      <c r="N70" s="15">
        <v>4.3</v>
      </c>
      <c r="O70" s="15">
        <v>5.0199999999999996</v>
      </c>
      <c r="P70" s="15">
        <v>5.97</v>
      </c>
      <c r="Q70" s="15">
        <v>7.45</v>
      </c>
      <c r="R70" s="15">
        <v>9.57</v>
      </c>
      <c r="S70" s="15">
        <v>12.17</v>
      </c>
      <c r="T70" s="15">
        <v>15.08</v>
      </c>
      <c r="U70" s="15">
        <v>17.87</v>
      </c>
      <c r="V70" s="15">
        <v>19.920000000000002</v>
      </c>
      <c r="W70" s="15">
        <v>20.87</v>
      </c>
      <c r="X70" s="15">
        <v>20.7</v>
      </c>
      <c r="Y70" s="15">
        <v>20.32</v>
      </c>
      <c r="Z70" s="15">
        <v>20.149999999999999</v>
      </c>
      <c r="AA70" s="15">
        <v>20.260000000000002</v>
      </c>
      <c r="AB70" s="15">
        <v>20.79</v>
      </c>
      <c r="AC70" s="15">
        <v>21.95</v>
      </c>
      <c r="AD70" s="15">
        <v>23.7</v>
      </c>
      <c r="AE70" s="15">
        <v>25.62</v>
      </c>
      <c r="AF70" s="15">
        <v>27.87</v>
      </c>
      <c r="AG70" s="15">
        <v>30.2</v>
      </c>
      <c r="AH70" s="15">
        <v>32.590000000000003</v>
      </c>
      <c r="AI70" s="15">
        <v>35.26</v>
      </c>
      <c r="AJ70" s="15">
        <v>38.32</v>
      </c>
      <c r="AK70" s="15">
        <v>42.07</v>
      </c>
      <c r="AL70" s="15">
        <v>46.76</v>
      </c>
      <c r="AM70" s="15">
        <v>51.89</v>
      </c>
      <c r="AN70" s="15">
        <v>57.74</v>
      </c>
      <c r="AO70" s="15">
        <v>63.51</v>
      </c>
      <c r="AP70" s="15">
        <v>68.86</v>
      </c>
      <c r="AQ70" s="15">
        <v>73.489999999999995</v>
      </c>
      <c r="AR70" s="15">
        <v>77.03</v>
      </c>
      <c r="AS70" s="15">
        <v>79.47</v>
      </c>
      <c r="AT70" s="15">
        <v>80.760000000000005</v>
      </c>
      <c r="AU70" s="15">
        <v>80.98</v>
      </c>
      <c r="AV70" s="15">
        <v>80.47</v>
      </c>
      <c r="AW70" s="15">
        <v>80.06</v>
      </c>
      <c r="AX70" s="15">
        <v>80.760000000000005</v>
      </c>
      <c r="AY70" s="15">
        <v>83.45</v>
      </c>
      <c r="AZ70" s="15">
        <v>88.76</v>
      </c>
      <c r="BA70" s="15">
        <v>96.23</v>
      </c>
      <c r="BB70" s="15">
        <v>105.55</v>
      </c>
      <c r="BC70" s="15">
        <v>116.7</v>
      </c>
      <c r="BD70" s="15">
        <v>128.99</v>
      </c>
      <c r="BE70" s="15">
        <v>141.94</v>
      </c>
      <c r="BF70" s="15">
        <v>155.56</v>
      </c>
      <c r="BG70" s="15">
        <v>169.63</v>
      </c>
      <c r="BH70" s="15">
        <v>184.22</v>
      </c>
      <c r="BI70" s="15">
        <v>199.69</v>
      </c>
      <c r="BJ70" s="15">
        <v>216.3</v>
      </c>
      <c r="BK70" s="15">
        <v>234.41</v>
      </c>
      <c r="BL70" s="15">
        <v>253.88</v>
      </c>
      <c r="BM70" s="15">
        <v>274.79000000000002</v>
      </c>
      <c r="BN70" s="15">
        <v>297.20999999999998</v>
      </c>
      <c r="BO70" s="15">
        <v>321.44</v>
      </c>
      <c r="BP70" s="15">
        <v>347.93</v>
      </c>
      <c r="BQ70" s="15">
        <v>378.56</v>
      </c>
      <c r="BR70" s="15">
        <v>413.73</v>
      </c>
      <c r="BS70" s="15">
        <v>450.53</v>
      </c>
      <c r="BT70" s="15">
        <v>487.56</v>
      </c>
      <c r="BU70" s="15">
        <v>526.58000000000004</v>
      </c>
      <c r="BV70" s="15">
        <v>570.94000000000005</v>
      </c>
      <c r="BW70" s="15">
        <v>620.99</v>
      </c>
      <c r="BX70" s="15">
        <v>675.65</v>
      </c>
      <c r="BY70" s="15">
        <v>735.71</v>
      </c>
      <c r="BZ70" s="15">
        <v>802.64</v>
      </c>
      <c r="CA70" s="15">
        <v>877.39</v>
      </c>
      <c r="CB70" s="15">
        <v>959.75</v>
      </c>
      <c r="CC70" s="15">
        <v>1050.6500000000001</v>
      </c>
      <c r="CD70" s="15">
        <v>1151.7</v>
      </c>
      <c r="CE70" s="15">
        <v>1264.48</v>
      </c>
      <c r="CF70" s="15">
        <v>1390.48</v>
      </c>
      <c r="CG70" s="15">
        <v>1530.76</v>
      </c>
      <c r="CH70" s="15">
        <v>1686</v>
      </c>
      <c r="CI70" s="15">
        <v>1857.55</v>
      </c>
      <c r="CJ70" s="15">
        <v>2046.7</v>
      </c>
      <c r="CK70" s="15">
        <v>2252.81</v>
      </c>
      <c r="CL70" s="15">
        <v>2474.37</v>
      </c>
      <c r="CM70" s="15">
        <v>2712.77</v>
      </c>
      <c r="CN70" s="15">
        <v>2971.88</v>
      </c>
      <c r="CO70" s="15">
        <v>3251.57</v>
      </c>
      <c r="CP70" s="15">
        <v>3550.42</v>
      </c>
      <c r="CQ70" s="15">
        <v>3870.09</v>
      </c>
      <c r="CR70" s="15">
        <v>4214.6400000000003</v>
      </c>
      <c r="CS70" s="15">
        <v>4591.4799999999996</v>
      </c>
      <c r="CT70" s="15">
        <v>5006.17</v>
      </c>
      <c r="CU70" s="15">
        <v>5451.08</v>
      </c>
      <c r="CV70" s="15">
        <v>5922.12</v>
      </c>
      <c r="CW70" s="15">
        <v>6428.42</v>
      </c>
      <c r="CX70" s="15">
        <v>6970.72</v>
      </c>
    </row>
    <row r="71" spans="1:102" x14ac:dyDescent="0.25">
      <c r="A71" s="71">
        <v>2049</v>
      </c>
      <c r="B71" s="15">
        <v>257.26</v>
      </c>
      <c r="C71" s="15">
        <v>23.58</v>
      </c>
      <c r="D71" s="15">
        <v>10.75</v>
      </c>
      <c r="E71" s="15">
        <v>5.82</v>
      </c>
      <c r="F71" s="15">
        <v>5.08</v>
      </c>
      <c r="G71" s="15">
        <v>4.79</v>
      </c>
      <c r="H71" s="15">
        <v>4.5599999999999996</v>
      </c>
      <c r="I71" s="15">
        <v>4.2699999999999996</v>
      </c>
      <c r="J71" s="15">
        <v>3.93</v>
      </c>
      <c r="K71" s="15">
        <v>3.53</v>
      </c>
      <c r="L71" s="15">
        <v>3.53</v>
      </c>
      <c r="M71" s="15">
        <v>3.75</v>
      </c>
      <c r="N71" s="15">
        <v>4.24</v>
      </c>
      <c r="O71" s="15">
        <v>4.96</v>
      </c>
      <c r="P71" s="15">
        <v>5.9</v>
      </c>
      <c r="Q71" s="15">
        <v>7.33</v>
      </c>
      <c r="R71" s="15">
        <v>9.4499999999999993</v>
      </c>
      <c r="S71" s="15">
        <v>11.99</v>
      </c>
      <c r="T71" s="15">
        <v>14.9</v>
      </c>
      <c r="U71" s="15">
        <v>17.579999999999998</v>
      </c>
      <c r="V71" s="15">
        <v>19.739999999999998</v>
      </c>
      <c r="W71" s="15">
        <v>20.53</v>
      </c>
      <c r="X71" s="15">
        <v>20.47</v>
      </c>
      <c r="Y71" s="15">
        <v>20.14</v>
      </c>
      <c r="Z71" s="15">
        <v>19.93</v>
      </c>
      <c r="AA71" s="15">
        <v>19.989999999999998</v>
      </c>
      <c r="AB71" s="15">
        <v>20.52</v>
      </c>
      <c r="AC71" s="15">
        <v>21.73</v>
      </c>
      <c r="AD71" s="15">
        <v>23.38</v>
      </c>
      <c r="AE71" s="15">
        <v>25.31</v>
      </c>
      <c r="AF71" s="15">
        <v>27.55</v>
      </c>
      <c r="AG71" s="15">
        <v>29.79</v>
      </c>
      <c r="AH71" s="15">
        <v>32.22</v>
      </c>
      <c r="AI71" s="15">
        <v>34.840000000000003</v>
      </c>
      <c r="AJ71" s="15">
        <v>37.94</v>
      </c>
      <c r="AK71" s="15">
        <v>41.69</v>
      </c>
      <c r="AL71" s="15">
        <v>46.14</v>
      </c>
      <c r="AM71" s="15">
        <v>51.31</v>
      </c>
      <c r="AN71" s="15">
        <v>57.01</v>
      </c>
      <c r="AO71" s="15">
        <v>62.68</v>
      </c>
      <c r="AP71" s="15">
        <v>68.06</v>
      </c>
      <c r="AQ71" s="15">
        <v>72.64</v>
      </c>
      <c r="AR71" s="15">
        <v>76.12</v>
      </c>
      <c r="AS71" s="15">
        <v>78.56</v>
      </c>
      <c r="AT71" s="15">
        <v>79.8</v>
      </c>
      <c r="AU71" s="15">
        <v>80.02</v>
      </c>
      <c r="AV71" s="15">
        <v>79.55</v>
      </c>
      <c r="AW71" s="15">
        <v>79.14</v>
      </c>
      <c r="AX71" s="15">
        <v>79.75</v>
      </c>
      <c r="AY71" s="15">
        <v>82.43</v>
      </c>
      <c r="AZ71" s="15">
        <v>87.73</v>
      </c>
      <c r="BA71" s="15">
        <v>95.09</v>
      </c>
      <c r="BB71" s="15">
        <v>104.21</v>
      </c>
      <c r="BC71" s="15">
        <v>115.29</v>
      </c>
      <c r="BD71" s="15">
        <v>127.51</v>
      </c>
      <c r="BE71" s="15">
        <v>140.25</v>
      </c>
      <c r="BF71" s="15">
        <v>153.6</v>
      </c>
      <c r="BG71" s="15">
        <v>167.5</v>
      </c>
      <c r="BH71" s="15">
        <v>182.02</v>
      </c>
      <c r="BI71" s="15">
        <v>197.31</v>
      </c>
      <c r="BJ71" s="15">
        <v>213.79</v>
      </c>
      <c r="BK71" s="15">
        <v>231.57</v>
      </c>
      <c r="BL71" s="15">
        <v>250.89</v>
      </c>
      <c r="BM71" s="15">
        <v>271.5</v>
      </c>
      <c r="BN71" s="15">
        <v>293.64999999999998</v>
      </c>
      <c r="BO71" s="15">
        <v>317.58999999999997</v>
      </c>
      <c r="BP71" s="15">
        <v>343.76</v>
      </c>
      <c r="BQ71" s="15">
        <v>374.03</v>
      </c>
      <c r="BR71" s="15">
        <v>408.77</v>
      </c>
      <c r="BS71" s="15">
        <v>445.14</v>
      </c>
      <c r="BT71" s="15">
        <v>481.73</v>
      </c>
      <c r="BU71" s="15">
        <v>520.28</v>
      </c>
      <c r="BV71" s="15">
        <v>564.12</v>
      </c>
      <c r="BW71" s="15">
        <v>613.57000000000005</v>
      </c>
      <c r="BX71" s="15">
        <v>667.57</v>
      </c>
      <c r="BY71" s="15">
        <v>726.92</v>
      </c>
      <c r="BZ71" s="15">
        <v>793.05</v>
      </c>
      <c r="CA71" s="15">
        <v>866.92</v>
      </c>
      <c r="CB71" s="15">
        <v>948.3</v>
      </c>
      <c r="CC71" s="15">
        <v>1038.1199999999999</v>
      </c>
      <c r="CD71" s="15">
        <v>1137.98</v>
      </c>
      <c r="CE71" s="15">
        <v>1249.43</v>
      </c>
      <c r="CF71" s="15">
        <v>1373.94</v>
      </c>
      <c r="CG71" s="15">
        <v>1512.57</v>
      </c>
      <c r="CH71" s="15">
        <v>1665.99</v>
      </c>
      <c r="CI71" s="15">
        <v>1835.54</v>
      </c>
      <c r="CJ71" s="15">
        <v>2022.47</v>
      </c>
      <c r="CK71" s="15">
        <v>2226.1799999999998</v>
      </c>
      <c r="CL71" s="15">
        <v>2445.16</v>
      </c>
      <c r="CM71" s="15">
        <v>2680.79</v>
      </c>
      <c r="CN71" s="15">
        <v>2936.9</v>
      </c>
      <c r="CO71" s="15">
        <v>3213.37</v>
      </c>
      <c r="CP71" s="15">
        <v>3508.8</v>
      </c>
      <c r="CQ71" s="15">
        <v>3824.83</v>
      </c>
      <c r="CR71" s="15">
        <v>4165.46</v>
      </c>
      <c r="CS71" s="15">
        <v>4538.03</v>
      </c>
      <c r="CT71" s="15">
        <v>4948.05</v>
      </c>
      <c r="CU71" s="15">
        <v>5387.99</v>
      </c>
      <c r="CV71" s="15">
        <v>5853.82</v>
      </c>
      <c r="CW71" s="15">
        <v>6354.56</v>
      </c>
      <c r="CX71" s="15">
        <v>6890.97</v>
      </c>
    </row>
    <row r="72" spans="1:102" x14ac:dyDescent="0.25">
      <c r="A72" s="71">
        <v>2050</v>
      </c>
      <c r="B72" s="15">
        <v>254.2</v>
      </c>
      <c r="C72" s="15">
        <v>23.06</v>
      </c>
      <c r="D72" s="15">
        <v>10.69</v>
      </c>
      <c r="E72" s="15">
        <v>5.76</v>
      </c>
      <c r="F72" s="15">
        <v>5.0199999999999996</v>
      </c>
      <c r="G72" s="15">
        <v>4.67</v>
      </c>
      <c r="H72" s="15">
        <v>4.5</v>
      </c>
      <c r="I72" s="15">
        <v>4.21</v>
      </c>
      <c r="J72" s="15">
        <v>3.81</v>
      </c>
      <c r="K72" s="15">
        <v>3.47</v>
      </c>
      <c r="L72" s="15">
        <v>3.41</v>
      </c>
      <c r="M72" s="15">
        <v>3.69</v>
      </c>
      <c r="N72" s="15">
        <v>4.24</v>
      </c>
      <c r="O72" s="15">
        <v>4.9000000000000004</v>
      </c>
      <c r="P72" s="15">
        <v>5.9</v>
      </c>
      <c r="Q72" s="15">
        <v>7.27</v>
      </c>
      <c r="R72" s="15">
        <v>9.2799999999999994</v>
      </c>
      <c r="S72" s="15">
        <v>11.87</v>
      </c>
      <c r="T72" s="15">
        <v>14.72</v>
      </c>
      <c r="U72" s="15">
        <v>17.46</v>
      </c>
      <c r="V72" s="15">
        <v>19.510000000000002</v>
      </c>
      <c r="W72" s="15">
        <v>20.3</v>
      </c>
      <c r="X72" s="15">
        <v>20.25</v>
      </c>
      <c r="Y72" s="15">
        <v>19.920000000000002</v>
      </c>
      <c r="Z72" s="15">
        <v>19.61</v>
      </c>
      <c r="AA72" s="15">
        <v>19.63</v>
      </c>
      <c r="AB72" s="15">
        <v>20.260000000000002</v>
      </c>
      <c r="AC72" s="15">
        <v>21.47</v>
      </c>
      <c r="AD72" s="15">
        <v>23.07</v>
      </c>
      <c r="AE72" s="15">
        <v>25</v>
      </c>
      <c r="AF72" s="15">
        <v>27.25</v>
      </c>
      <c r="AG72" s="15">
        <v>29.39</v>
      </c>
      <c r="AH72" s="15">
        <v>31.77</v>
      </c>
      <c r="AI72" s="15">
        <v>34.44</v>
      </c>
      <c r="AJ72" s="15">
        <v>37.53</v>
      </c>
      <c r="AK72" s="15">
        <v>41.14</v>
      </c>
      <c r="AL72" s="15">
        <v>45.49</v>
      </c>
      <c r="AM72" s="15">
        <v>50.75</v>
      </c>
      <c r="AN72" s="15">
        <v>56.3</v>
      </c>
      <c r="AO72" s="15">
        <v>61.92</v>
      </c>
      <c r="AP72" s="15">
        <v>67.25</v>
      </c>
      <c r="AQ72" s="15">
        <v>71.77</v>
      </c>
      <c r="AR72" s="15">
        <v>75.25</v>
      </c>
      <c r="AS72" s="15">
        <v>77.59</v>
      </c>
      <c r="AT72" s="15">
        <v>78.87</v>
      </c>
      <c r="AU72" s="15">
        <v>79.09</v>
      </c>
      <c r="AV72" s="15">
        <v>78.63</v>
      </c>
      <c r="AW72" s="15">
        <v>78.260000000000005</v>
      </c>
      <c r="AX72" s="15">
        <v>78.819999999999993</v>
      </c>
      <c r="AY72" s="15">
        <v>81.44</v>
      </c>
      <c r="AZ72" s="15">
        <v>86.7</v>
      </c>
      <c r="BA72" s="15">
        <v>93.8</v>
      </c>
      <c r="BB72" s="15">
        <v>102.92</v>
      </c>
      <c r="BC72" s="15">
        <v>113.93</v>
      </c>
      <c r="BD72" s="15">
        <v>125.95</v>
      </c>
      <c r="BE72" s="15">
        <v>138.53</v>
      </c>
      <c r="BF72" s="15">
        <v>151.72</v>
      </c>
      <c r="BG72" s="15">
        <v>165.55</v>
      </c>
      <c r="BH72" s="15">
        <v>179.8</v>
      </c>
      <c r="BI72" s="15">
        <v>195.02</v>
      </c>
      <c r="BJ72" s="15">
        <v>211.28</v>
      </c>
      <c r="BK72" s="15">
        <v>228.84</v>
      </c>
      <c r="BL72" s="15">
        <v>247.89</v>
      </c>
      <c r="BM72" s="15">
        <v>268.25</v>
      </c>
      <c r="BN72" s="15">
        <v>290.13</v>
      </c>
      <c r="BO72" s="15">
        <v>313.79000000000002</v>
      </c>
      <c r="BP72" s="15">
        <v>339.64</v>
      </c>
      <c r="BQ72" s="15">
        <v>369.55</v>
      </c>
      <c r="BR72" s="15">
        <v>403.88</v>
      </c>
      <c r="BS72" s="15">
        <v>439.81</v>
      </c>
      <c r="BT72" s="15">
        <v>475.96</v>
      </c>
      <c r="BU72" s="15">
        <v>514.04999999999995</v>
      </c>
      <c r="BV72" s="15">
        <v>557.37</v>
      </c>
      <c r="BW72" s="15">
        <v>606.23</v>
      </c>
      <c r="BX72" s="15">
        <v>659.59</v>
      </c>
      <c r="BY72" s="15">
        <v>718.24</v>
      </c>
      <c r="BZ72" s="15">
        <v>783.58</v>
      </c>
      <c r="CA72" s="15">
        <v>856.57</v>
      </c>
      <c r="CB72" s="15">
        <v>936.99</v>
      </c>
      <c r="CC72" s="15">
        <v>1025.75</v>
      </c>
      <c r="CD72" s="15">
        <v>1124.43</v>
      </c>
      <c r="CE72" s="15">
        <v>1234.56</v>
      </c>
      <c r="CF72" s="15">
        <v>1357.6</v>
      </c>
      <c r="CG72" s="15">
        <v>1494.6</v>
      </c>
      <c r="CH72" s="15">
        <v>1646.22</v>
      </c>
      <c r="CI72" s="15">
        <v>1813.78</v>
      </c>
      <c r="CJ72" s="15">
        <v>1998.53</v>
      </c>
      <c r="CK72" s="15">
        <v>2199.86</v>
      </c>
      <c r="CL72" s="15">
        <v>2416.3000000000002</v>
      </c>
      <c r="CM72" s="15">
        <v>2649.19</v>
      </c>
      <c r="CN72" s="15">
        <v>2902.34</v>
      </c>
      <c r="CO72" s="15">
        <v>3175.63</v>
      </c>
      <c r="CP72" s="15">
        <v>3467.66</v>
      </c>
      <c r="CQ72" s="15">
        <v>3780.09</v>
      </c>
      <c r="CR72" s="15">
        <v>4116.8599999999997</v>
      </c>
      <c r="CS72" s="15">
        <v>4485.21</v>
      </c>
      <c r="CT72" s="15">
        <v>4890.6099999999997</v>
      </c>
      <c r="CU72" s="15">
        <v>5325.63</v>
      </c>
      <c r="CV72" s="15">
        <v>5786.3</v>
      </c>
      <c r="CW72" s="15">
        <v>6281.55</v>
      </c>
      <c r="CX72" s="15">
        <v>6812.13</v>
      </c>
    </row>
    <row r="73" spans="1:102" x14ac:dyDescent="0.25">
      <c r="A73" s="71">
        <v>2051</v>
      </c>
      <c r="B73" s="15">
        <v>251.24</v>
      </c>
      <c r="C73" s="15">
        <v>22.86</v>
      </c>
      <c r="D73" s="15">
        <v>10.58</v>
      </c>
      <c r="E73" s="15">
        <v>5.7</v>
      </c>
      <c r="F73" s="15">
        <v>4.96</v>
      </c>
      <c r="G73" s="15">
        <v>4.6100000000000003</v>
      </c>
      <c r="H73" s="15">
        <v>4.4400000000000004</v>
      </c>
      <c r="I73" s="15">
        <v>4.0999999999999996</v>
      </c>
      <c r="J73" s="15">
        <v>3.7</v>
      </c>
      <c r="K73" s="15">
        <v>3.42</v>
      </c>
      <c r="L73" s="15">
        <v>3.36</v>
      </c>
      <c r="M73" s="15">
        <v>3.69</v>
      </c>
      <c r="N73" s="15">
        <v>4.18</v>
      </c>
      <c r="O73" s="15">
        <v>4.9000000000000004</v>
      </c>
      <c r="P73" s="15">
        <v>5.84</v>
      </c>
      <c r="Q73" s="15">
        <v>7.15</v>
      </c>
      <c r="R73" s="15">
        <v>9.16</v>
      </c>
      <c r="S73" s="15">
        <v>11.75</v>
      </c>
      <c r="T73" s="15">
        <v>14.61</v>
      </c>
      <c r="U73" s="15">
        <v>17.34</v>
      </c>
      <c r="V73" s="15">
        <v>19.29</v>
      </c>
      <c r="W73" s="15">
        <v>20.14</v>
      </c>
      <c r="X73" s="15">
        <v>20.04</v>
      </c>
      <c r="Y73" s="15">
        <v>19.66</v>
      </c>
      <c r="Z73" s="15">
        <v>19.260000000000002</v>
      </c>
      <c r="AA73" s="15">
        <v>19.28</v>
      </c>
      <c r="AB73" s="15">
        <v>20.010000000000002</v>
      </c>
      <c r="AC73" s="15">
        <v>21.18</v>
      </c>
      <c r="AD73" s="15">
        <v>22.82</v>
      </c>
      <c r="AE73" s="15">
        <v>24.8</v>
      </c>
      <c r="AF73" s="15">
        <v>26.95</v>
      </c>
      <c r="AG73" s="15">
        <v>28.99</v>
      </c>
      <c r="AH73" s="15">
        <v>31.42</v>
      </c>
      <c r="AI73" s="15">
        <v>34.04</v>
      </c>
      <c r="AJ73" s="15">
        <v>37</v>
      </c>
      <c r="AK73" s="15">
        <v>40.549999999999997</v>
      </c>
      <c r="AL73" s="15">
        <v>45</v>
      </c>
      <c r="AM73" s="15">
        <v>50.11</v>
      </c>
      <c r="AN73" s="15">
        <v>55.66</v>
      </c>
      <c r="AO73" s="15">
        <v>61.18</v>
      </c>
      <c r="AP73" s="15">
        <v>66.459999999999994</v>
      </c>
      <c r="AQ73" s="15">
        <v>70.88</v>
      </c>
      <c r="AR73" s="15">
        <v>74.319999999999993</v>
      </c>
      <c r="AS73" s="15">
        <v>76.650000000000006</v>
      </c>
      <c r="AT73" s="15">
        <v>77.97</v>
      </c>
      <c r="AU73" s="15">
        <v>78.19</v>
      </c>
      <c r="AV73" s="15">
        <v>77.78</v>
      </c>
      <c r="AW73" s="15">
        <v>77.41</v>
      </c>
      <c r="AX73" s="15">
        <v>77.91</v>
      </c>
      <c r="AY73" s="15">
        <v>80.489999999999995</v>
      </c>
      <c r="AZ73" s="15">
        <v>85.6</v>
      </c>
      <c r="BA73" s="15">
        <v>92.7</v>
      </c>
      <c r="BB73" s="15">
        <v>101.66</v>
      </c>
      <c r="BC73" s="15">
        <v>112.57</v>
      </c>
      <c r="BD73" s="15">
        <v>124.44</v>
      </c>
      <c r="BE73" s="15">
        <v>136.81</v>
      </c>
      <c r="BF73" s="15">
        <v>149.99</v>
      </c>
      <c r="BG73" s="15">
        <v>163.51</v>
      </c>
      <c r="BH73" s="15">
        <v>177.7</v>
      </c>
      <c r="BI73" s="15">
        <v>192.81</v>
      </c>
      <c r="BJ73" s="15">
        <v>208.7</v>
      </c>
      <c r="BK73" s="15">
        <v>226.09</v>
      </c>
      <c r="BL73" s="15">
        <v>244.91</v>
      </c>
      <c r="BM73" s="15">
        <v>265.04000000000002</v>
      </c>
      <c r="BN73" s="15">
        <v>286.64999999999998</v>
      </c>
      <c r="BO73" s="15">
        <v>310.02999999999997</v>
      </c>
      <c r="BP73" s="15">
        <v>335.58</v>
      </c>
      <c r="BQ73" s="15">
        <v>365.12</v>
      </c>
      <c r="BR73" s="15">
        <v>399.04</v>
      </c>
      <c r="BS73" s="15">
        <v>434.55</v>
      </c>
      <c r="BT73" s="15">
        <v>470.27</v>
      </c>
      <c r="BU73" s="15">
        <v>507.9</v>
      </c>
      <c r="BV73" s="15">
        <v>550.70000000000005</v>
      </c>
      <c r="BW73" s="15">
        <v>598.99</v>
      </c>
      <c r="BX73" s="15">
        <v>651.71</v>
      </c>
      <c r="BY73" s="15">
        <v>709.66</v>
      </c>
      <c r="BZ73" s="15">
        <v>774.23</v>
      </c>
      <c r="CA73" s="15">
        <v>846.35</v>
      </c>
      <c r="CB73" s="15">
        <v>925.81</v>
      </c>
      <c r="CC73" s="15">
        <v>1013.52</v>
      </c>
      <c r="CD73" s="15">
        <v>1111.04</v>
      </c>
      <c r="CE73" s="15">
        <v>1219.8699999999999</v>
      </c>
      <c r="CF73" s="15">
        <v>1341.46</v>
      </c>
      <c r="CG73" s="15">
        <v>1476.85</v>
      </c>
      <c r="CH73" s="15">
        <v>1626.69</v>
      </c>
      <c r="CI73" s="15">
        <v>1792.28</v>
      </c>
      <c r="CJ73" s="15">
        <v>1974.88</v>
      </c>
      <c r="CK73" s="15">
        <v>2173.85</v>
      </c>
      <c r="CL73" s="15">
        <v>2387.77</v>
      </c>
      <c r="CM73" s="15">
        <v>2617.96</v>
      </c>
      <c r="CN73" s="15">
        <v>2868.18</v>
      </c>
      <c r="CO73" s="15">
        <v>3138.32</v>
      </c>
      <c r="CP73" s="15">
        <v>3427.01</v>
      </c>
      <c r="CQ73" s="15">
        <v>3735.88</v>
      </c>
      <c r="CR73" s="15">
        <v>4068.82</v>
      </c>
      <c r="CS73" s="15">
        <v>4433</v>
      </c>
      <c r="CT73" s="15">
        <v>4833.84</v>
      </c>
      <c r="CU73" s="15">
        <v>5264</v>
      </c>
      <c r="CV73" s="15">
        <v>5719.57</v>
      </c>
      <c r="CW73" s="15">
        <v>6209.38</v>
      </c>
      <c r="CX73" s="15">
        <v>6734.19</v>
      </c>
    </row>
    <row r="74" spans="1:102" x14ac:dyDescent="0.25">
      <c r="A74" s="71">
        <v>2052</v>
      </c>
      <c r="B74" s="15">
        <v>248.08</v>
      </c>
      <c r="C74" s="15">
        <v>22.63</v>
      </c>
      <c r="D74" s="15">
        <v>10.41</v>
      </c>
      <c r="E74" s="15">
        <v>5.64</v>
      </c>
      <c r="F74" s="15">
        <v>4.9000000000000004</v>
      </c>
      <c r="G74" s="15">
        <v>4.6100000000000003</v>
      </c>
      <c r="H74" s="15">
        <v>4.38</v>
      </c>
      <c r="I74" s="15">
        <v>4.04</v>
      </c>
      <c r="J74" s="15">
        <v>3.64</v>
      </c>
      <c r="K74" s="15">
        <v>3.36</v>
      </c>
      <c r="L74" s="15">
        <v>3.36</v>
      </c>
      <c r="M74" s="15">
        <v>3.63</v>
      </c>
      <c r="N74" s="15">
        <v>4.13</v>
      </c>
      <c r="O74" s="15">
        <v>4.8499999999999996</v>
      </c>
      <c r="P74" s="15">
        <v>5.73</v>
      </c>
      <c r="Q74" s="15">
        <v>7.1</v>
      </c>
      <c r="R74" s="15">
        <v>9.11</v>
      </c>
      <c r="S74" s="15">
        <v>11.64</v>
      </c>
      <c r="T74" s="15">
        <v>14.5</v>
      </c>
      <c r="U74" s="15">
        <v>17.13</v>
      </c>
      <c r="V74" s="15">
        <v>19.13</v>
      </c>
      <c r="W74" s="15">
        <v>19.93</v>
      </c>
      <c r="X74" s="15">
        <v>19.829999999999998</v>
      </c>
      <c r="Y74" s="15">
        <v>19.41</v>
      </c>
      <c r="Z74" s="15">
        <v>18.96</v>
      </c>
      <c r="AA74" s="15">
        <v>19.03</v>
      </c>
      <c r="AB74" s="15">
        <v>19.71</v>
      </c>
      <c r="AC74" s="15">
        <v>20.88</v>
      </c>
      <c r="AD74" s="15">
        <v>22.58</v>
      </c>
      <c r="AE74" s="15">
        <v>24.61</v>
      </c>
      <c r="AF74" s="15">
        <v>26.61</v>
      </c>
      <c r="AG74" s="15">
        <v>28.75</v>
      </c>
      <c r="AH74" s="15">
        <v>31.09</v>
      </c>
      <c r="AI74" s="15">
        <v>33.57</v>
      </c>
      <c r="AJ74" s="15">
        <v>36.520000000000003</v>
      </c>
      <c r="AK74" s="15">
        <v>40.07</v>
      </c>
      <c r="AL74" s="15">
        <v>44.42</v>
      </c>
      <c r="AM74" s="15">
        <v>49.54</v>
      </c>
      <c r="AN74" s="15">
        <v>54.94</v>
      </c>
      <c r="AO74" s="15">
        <v>60.46</v>
      </c>
      <c r="AP74" s="15">
        <v>65.64</v>
      </c>
      <c r="AQ74" s="15">
        <v>70.06</v>
      </c>
      <c r="AR74" s="15">
        <v>73.400000000000006</v>
      </c>
      <c r="AS74" s="15">
        <v>75.78</v>
      </c>
      <c r="AT74" s="15">
        <v>77</v>
      </c>
      <c r="AU74" s="15">
        <v>77.22</v>
      </c>
      <c r="AV74" s="15">
        <v>76.8</v>
      </c>
      <c r="AW74" s="15">
        <v>76.48</v>
      </c>
      <c r="AX74" s="15">
        <v>76.989999999999995</v>
      </c>
      <c r="AY74" s="15">
        <v>79.52</v>
      </c>
      <c r="AZ74" s="15">
        <v>84.62</v>
      </c>
      <c r="BA74" s="15">
        <v>91.67</v>
      </c>
      <c r="BB74" s="15">
        <v>100.53</v>
      </c>
      <c r="BC74" s="15">
        <v>111.2</v>
      </c>
      <c r="BD74" s="15">
        <v>122.91</v>
      </c>
      <c r="BE74" s="15">
        <v>135.18</v>
      </c>
      <c r="BF74" s="15">
        <v>148.25</v>
      </c>
      <c r="BG74" s="15">
        <v>161.57</v>
      </c>
      <c r="BH74" s="15">
        <v>175.7</v>
      </c>
      <c r="BI74" s="15">
        <v>190.4</v>
      </c>
      <c r="BJ74" s="15">
        <v>206.2</v>
      </c>
      <c r="BK74" s="15">
        <v>223.38</v>
      </c>
      <c r="BL74" s="15">
        <v>241.98</v>
      </c>
      <c r="BM74" s="15">
        <v>261.86</v>
      </c>
      <c r="BN74" s="15">
        <v>283.22000000000003</v>
      </c>
      <c r="BO74" s="15">
        <v>306.31</v>
      </c>
      <c r="BP74" s="15">
        <v>331.56</v>
      </c>
      <c r="BQ74" s="15">
        <v>360.75</v>
      </c>
      <c r="BR74" s="15">
        <v>394.27</v>
      </c>
      <c r="BS74" s="15">
        <v>429.35</v>
      </c>
      <c r="BT74" s="15">
        <v>464.64</v>
      </c>
      <c r="BU74" s="15">
        <v>501.83</v>
      </c>
      <c r="BV74" s="15">
        <v>544.12</v>
      </c>
      <c r="BW74" s="15">
        <v>591.83000000000004</v>
      </c>
      <c r="BX74" s="15">
        <v>643.91999999999996</v>
      </c>
      <c r="BY74" s="15">
        <v>701.18</v>
      </c>
      <c r="BZ74" s="15">
        <v>764.98</v>
      </c>
      <c r="CA74" s="15">
        <v>836.25</v>
      </c>
      <c r="CB74" s="15">
        <v>914.77</v>
      </c>
      <c r="CC74" s="15">
        <v>1001.44</v>
      </c>
      <c r="CD74" s="15">
        <v>1097.8</v>
      </c>
      <c r="CE74" s="15">
        <v>1205.3499999999999</v>
      </c>
      <c r="CF74" s="15">
        <v>1325.51</v>
      </c>
      <c r="CG74" s="15">
        <v>1459.3</v>
      </c>
      <c r="CH74" s="15">
        <v>1607.38</v>
      </c>
      <c r="CI74" s="15">
        <v>1771.04</v>
      </c>
      <c r="CJ74" s="15">
        <v>1951.5</v>
      </c>
      <c r="CK74" s="15">
        <v>2148.16</v>
      </c>
      <c r="CL74" s="15">
        <v>2359.58</v>
      </c>
      <c r="CM74" s="15">
        <v>2587.1</v>
      </c>
      <c r="CN74" s="15">
        <v>2834.42</v>
      </c>
      <c r="CO74" s="15">
        <v>3101.45</v>
      </c>
      <c r="CP74" s="15">
        <v>3386.84</v>
      </c>
      <c r="CQ74" s="15">
        <v>3692.18</v>
      </c>
      <c r="CR74" s="15">
        <v>4021.34</v>
      </c>
      <c r="CS74" s="15">
        <v>4381.3999999999996</v>
      </c>
      <c r="CT74" s="15">
        <v>4777.72</v>
      </c>
      <c r="CU74" s="15">
        <v>5203.08</v>
      </c>
      <c r="CV74" s="15">
        <v>5653.6</v>
      </c>
      <c r="CW74" s="15">
        <v>6138.04</v>
      </c>
      <c r="CX74" s="15">
        <v>6657.14</v>
      </c>
    </row>
    <row r="75" spans="1:102" x14ac:dyDescent="0.25">
      <c r="A75" s="71">
        <v>2053</v>
      </c>
      <c r="B75" s="15">
        <v>245.1</v>
      </c>
      <c r="C75" s="15">
        <v>22.6</v>
      </c>
      <c r="D75" s="15">
        <v>10.3</v>
      </c>
      <c r="E75" s="15">
        <v>5.59</v>
      </c>
      <c r="F75" s="15">
        <v>4.8499999999999996</v>
      </c>
      <c r="G75" s="15">
        <v>4.6100000000000003</v>
      </c>
      <c r="H75" s="15">
        <v>4.38</v>
      </c>
      <c r="I75" s="15">
        <v>3.99</v>
      </c>
      <c r="J75" s="15">
        <v>3.53</v>
      </c>
      <c r="K75" s="15">
        <v>3.36</v>
      </c>
      <c r="L75" s="15">
        <v>3.36</v>
      </c>
      <c r="M75" s="15">
        <v>3.57</v>
      </c>
      <c r="N75" s="15">
        <v>4.0199999999999996</v>
      </c>
      <c r="O75" s="15">
        <v>4.74</v>
      </c>
      <c r="P75" s="15">
        <v>5.67</v>
      </c>
      <c r="Q75" s="15">
        <v>7.04</v>
      </c>
      <c r="R75" s="15">
        <v>9</v>
      </c>
      <c r="S75" s="15">
        <v>11.54</v>
      </c>
      <c r="T75" s="15">
        <v>14.28</v>
      </c>
      <c r="U75" s="15">
        <v>16.97</v>
      </c>
      <c r="V75" s="15">
        <v>18.920000000000002</v>
      </c>
      <c r="W75" s="15">
        <v>19.72</v>
      </c>
      <c r="X75" s="15">
        <v>19.63</v>
      </c>
      <c r="Y75" s="15">
        <v>19.21</v>
      </c>
      <c r="Z75" s="15">
        <v>18.71</v>
      </c>
      <c r="AA75" s="15">
        <v>18.84</v>
      </c>
      <c r="AB75" s="15">
        <v>19.37</v>
      </c>
      <c r="AC75" s="15">
        <v>20.59</v>
      </c>
      <c r="AD75" s="15">
        <v>22.29</v>
      </c>
      <c r="AE75" s="15">
        <v>24.32</v>
      </c>
      <c r="AF75" s="15">
        <v>26.28</v>
      </c>
      <c r="AG75" s="15">
        <v>28.47</v>
      </c>
      <c r="AH75" s="15">
        <v>30.71</v>
      </c>
      <c r="AI75" s="15">
        <v>33.090000000000003</v>
      </c>
      <c r="AJ75" s="15">
        <v>36.1</v>
      </c>
      <c r="AK75" s="15">
        <v>39.6</v>
      </c>
      <c r="AL75" s="15">
        <v>43.86</v>
      </c>
      <c r="AM75" s="15">
        <v>48.92</v>
      </c>
      <c r="AN75" s="15">
        <v>54.24</v>
      </c>
      <c r="AO75" s="15">
        <v>59.75</v>
      </c>
      <c r="AP75" s="15">
        <v>64.88</v>
      </c>
      <c r="AQ75" s="15">
        <v>69.260000000000005</v>
      </c>
      <c r="AR75" s="15">
        <v>72.540000000000006</v>
      </c>
      <c r="AS75" s="15">
        <v>74.819999999999993</v>
      </c>
      <c r="AT75" s="15">
        <v>75.95</v>
      </c>
      <c r="AU75" s="15">
        <v>76.17</v>
      </c>
      <c r="AV75" s="15">
        <v>75.8</v>
      </c>
      <c r="AW75" s="15">
        <v>75.53</v>
      </c>
      <c r="AX75" s="15">
        <v>76.03</v>
      </c>
      <c r="AY75" s="15">
        <v>78.56</v>
      </c>
      <c r="AZ75" s="15">
        <v>83.66</v>
      </c>
      <c r="BA75" s="15">
        <v>90.61</v>
      </c>
      <c r="BB75" s="15">
        <v>99.32</v>
      </c>
      <c r="BC75" s="15">
        <v>109.84</v>
      </c>
      <c r="BD75" s="15">
        <v>121.41</v>
      </c>
      <c r="BE75" s="15">
        <v>133.72</v>
      </c>
      <c r="BF75" s="15">
        <v>146.4</v>
      </c>
      <c r="BG75" s="15">
        <v>159.72</v>
      </c>
      <c r="BH75" s="15">
        <v>173.5</v>
      </c>
      <c r="BI75" s="15">
        <v>188.12</v>
      </c>
      <c r="BJ75" s="15">
        <v>203.73</v>
      </c>
      <c r="BK75" s="15">
        <v>220.71</v>
      </c>
      <c r="BL75" s="15">
        <v>239.08</v>
      </c>
      <c r="BM75" s="15">
        <v>258.72000000000003</v>
      </c>
      <c r="BN75" s="15">
        <v>279.83</v>
      </c>
      <c r="BO75" s="15">
        <v>302.64999999999998</v>
      </c>
      <c r="BP75" s="15">
        <v>327.58999999999997</v>
      </c>
      <c r="BQ75" s="15">
        <v>356.43</v>
      </c>
      <c r="BR75" s="15">
        <v>389.55</v>
      </c>
      <c r="BS75" s="15">
        <v>424.21</v>
      </c>
      <c r="BT75" s="15">
        <v>459.08</v>
      </c>
      <c r="BU75" s="15">
        <v>495.83</v>
      </c>
      <c r="BV75" s="15">
        <v>537.61</v>
      </c>
      <c r="BW75" s="15">
        <v>584.75</v>
      </c>
      <c r="BX75" s="15">
        <v>636.23</v>
      </c>
      <c r="BY75" s="15">
        <v>692.8</v>
      </c>
      <c r="BZ75" s="15">
        <v>755.85</v>
      </c>
      <c r="CA75" s="15">
        <v>826.27</v>
      </c>
      <c r="CB75" s="15">
        <v>903.86</v>
      </c>
      <c r="CC75" s="15">
        <v>989.5</v>
      </c>
      <c r="CD75" s="15">
        <v>1084.72</v>
      </c>
      <c r="CE75" s="15">
        <v>1191</v>
      </c>
      <c r="CF75" s="15">
        <v>1309.75</v>
      </c>
      <c r="CG75" s="15">
        <v>1441.97</v>
      </c>
      <c r="CH75" s="15">
        <v>1588.31</v>
      </c>
      <c r="CI75" s="15">
        <v>1750.05</v>
      </c>
      <c r="CJ75" s="15">
        <v>1928.4</v>
      </c>
      <c r="CK75" s="15">
        <v>2122.7600000000002</v>
      </c>
      <c r="CL75" s="15">
        <v>2331.7199999999998</v>
      </c>
      <c r="CM75" s="15">
        <v>2556.6</v>
      </c>
      <c r="CN75" s="15">
        <v>2801.07</v>
      </c>
      <c r="CO75" s="15">
        <v>3065.02</v>
      </c>
      <c r="CP75" s="15">
        <v>3347.14</v>
      </c>
      <c r="CQ75" s="15">
        <v>3649</v>
      </c>
      <c r="CR75" s="15">
        <v>3974.41</v>
      </c>
      <c r="CS75" s="15">
        <v>4330.3999999999996</v>
      </c>
      <c r="CT75" s="15">
        <v>4722.26</v>
      </c>
      <c r="CU75" s="15">
        <v>5142.8599999999997</v>
      </c>
      <c r="CV75" s="15">
        <v>5588.39</v>
      </c>
      <c r="CW75" s="15">
        <v>6067.52</v>
      </c>
      <c r="CX75" s="15">
        <v>6580.98</v>
      </c>
    </row>
    <row r="76" spans="1:102" x14ac:dyDescent="0.25">
      <c r="A76" s="71">
        <v>2054</v>
      </c>
      <c r="B76" s="15">
        <v>242.28</v>
      </c>
      <c r="C76" s="15">
        <v>22.62</v>
      </c>
      <c r="D76" s="15">
        <v>10.24</v>
      </c>
      <c r="E76" s="15">
        <v>5.48</v>
      </c>
      <c r="F76" s="15">
        <v>4.8499999999999996</v>
      </c>
      <c r="G76" s="15">
        <v>4.5599999999999996</v>
      </c>
      <c r="H76" s="15">
        <v>4.2699999999999996</v>
      </c>
      <c r="I76" s="15">
        <v>3.87</v>
      </c>
      <c r="J76" s="15">
        <v>3.48</v>
      </c>
      <c r="K76" s="15">
        <v>3.36</v>
      </c>
      <c r="L76" s="15">
        <v>3.3</v>
      </c>
      <c r="M76" s="15">
        <v>3.52</v>
      </c>
      <c r="N76" s="15">
        <v>3.91</v>
      </c>
      <c r="O76" s="15">
        <v>4.68</v>
      </c>
      <c r="P76" s="15">
        <v>5.57</v>
      </c>
      <c r="Q76" s="15">
        <v>6.94</v>
      </c>
      <c r="R76" s="15">
        <v>8.89</v>
      </c>
      <c r="S76" s="15">
        <v>11.37</v>
      </c>
      <c r="T76" s="15">
        <v>14.12</v>
      </c>
      <c r="U76" s="15">
        <v>16.760000000000002</v>
      </c>
      <c r="V76" s="15">
        <v>18.72</v>
      </c>
      <c r="W76" s="15">
        <v>19.47</v>
      </c>
      <c r="X76" s="15">
        <v>19.48</v>
      </c>
      <c r="Y76" s="15">
        <v>18.91</v>
      </c>
      <c r="Z76" s="15">
        <v>18.52</v>
      </c>
      <c r="AA76" s="15">
        <v>18.600000000000001</v>
      </c>
      <c r="AB76" s="15">
        <v>19.13</v>
      </c>
      <c r="AC76" s="15">
        <v>20.309999999999999</v>
      </c>
      <c r="AD76" s="15">
        <v>22.01</v>
      </c>
      <c r="AE76" s="15">
        <v>23.99</v>
      </c>
      <c r="AF76" s="15">
        <v>25.96</v>
      </c>
      <c r="AG76" s="15">
        <v>28.1</v>
      </c>
      <c r="AH76" s="15">
        <v>30.29</v>
      </c>
      <c r="AI76" s="15">
        <v>32.72</v>
      </c>
      <c r="AJ76" s="15">
        <v>35.68</v>
      </c>
      <c r="AK76" s="15">
        <v>39.14</v>
      </c>
      <c r="AL76" s="15">
        <v>43.44</v>
      </c>
      <c r="AM76" s="15">
        <v>48.27</v>
      </c>
      <c r="AN76" s="15">
        <v>53.58</v>
      </c>
      <c r="AO76" s="15">
        <v>59.05</v>
      </c>
      <c r="AP76" s="15">
        <v>64.23</v>
      </c>
      <c r="AQ76" s="15">
        <v>68.42</v>
      </c>
      <c r="AR76" s="15">
        <v>71.650000000000006</v>
      </c>
      <c r="AS76" s="15">
        <v>73.88</v>
      </c>
      <c r="AT76" s="15">
        <v>75.010000000000005</v>
      </c>
      <c r="AU76" s="15">
        <v>75.22</v>
      </c>
      <c r="AV76" s="15">
        <v>74.900000000000006</v>
      </c>
      <c r="AW76" s="15">
        <v>74.63</v>
      </c>
      <c r="AX76" s="15">
        <v>75.13</v>
      </c>
      <c r="AY76" s="15">
        <v>77.61</v>
      </c>
      <c r="AZ76" s="15">
        <v>82.66</v>
      </c>
      <c r="BA76" s="15">
        <v>89.47</v>
      </c>
      <c r="BB76" s="15">
        <v>98.08</v>
      </c>
      <c r="BC76" s="15">
        <v>108.6</v>
      </c>
      <c r="BD76" s="15">
        <v>120.02</v>
      </c>
      <c r="BE76" s="15">
        <v>132.04</v>
      </c>
      <c r="BF76" s="15">
        <v>144.62</v>
      </c>
      <c r="BG76" s="15">
        <v>157.68</v>
      </c>
      <c r="BH76" s="15">
        <v>171.42</v>
      </c>
      <c r="BI76" s="15">
        <v>185.87</v>
      </c>
      <c r="BJ76" s="15">
        <v>201.29</v>
      </c>
      <c r="BK76" s="15">
        <v>218.06</v>
      </c>
      <c r="BL76" s="15">
        <v>236.22</v>
      </c>
      <c r="BM76" s="15">
        <v>255.62</v>
      </c>
      <c r="BN76" s="15">
        <v>276.47000000000003</v>
      </c>
      <c r="BO76" s="15">
        <v>299.02</v>
      </c>
      <c r="BP76" s="15">
        <v>323.66000000000003</v>
      </c>
      <c r="BQ76" s="15">
        <v>352.17</v>
      </c>
      <c r="BR76" s="15">
        <v>384.88</v>
      </c>
      <c r="BS76" s="15">
        <v>419.13</v>
      </c>
      <c r="BT76" s="15">
        <v>453.59</v>
      </c>
      <c r="BU76" s="15">
        <v>489.89</v>
      </c>
      <c r="BV76" s="15">
        <v>531.17999999999995</v>
      </c>
      <c r="BW76" s="15">
        <v>577.76</v>
      </c>
      <c r="BX76" s="15">
        <v>628.62</v>
      </c>
      <c r="BY76" s="15">
        <v>684.53</v>
      </c>
      <c r="BZ76" s="15">
        <v>746.82</v>
      </c>
      <c r="CA76" s="15">
        <v>816.41</v>
      </c>
      <c r="CB76" s="15">
        <v>893.08</v>
      </c>
      <c r="CC76" s="15">
        <v>977.71</v>
      </c>
      <c r="CD76" s="15">
        <v>1071.8</v>
      </c>
      <c r="CE76" s="15">
        <v>1176.83</v>
      </c>
      <c r="CF76" s="15">
        <v>1294.17</v>
      </c>
      <c r="CG76" s="15">
        <v>1424.84</v>
      </c>
      <c r="CH76" s="15">
        <v>1569.46</v>
      </c>
      <c r="CI76" s="15">
        <v>1729.31</v>
      </c>
      <c r="CJ76" s="15">
        <v>1905.57</v>
      </c>
      <c r="CK76" s="15">
        <v>2097.67</v>
      </c>
      <c r="CL76" s="15">
        <v>2304.1999999999998</v>
      </c>
      <c r="CM76" s="15">
        <v>2526.46</v>
      </c>
      <c r="CN76" s="15">
        <v>2768.1</v>
      </c>
      <c r="CO76" s="15">
        <v>3029.01</v>
      </c>
      <c r="CP76" s="15">
        <v>3307.9</v>
      </c>
      <c r="CQ76" s="15">
        <v>3606.32</v>
      </c>
      <c r="CR76" s="15">
        <v>3928.03</v>
      </c>
      <c r="CS76" s="15">
        <v>4279.99</v>
      </c>
      <c r="CT76" s="15">
        <v>4667.4399999999996</v>
      </c>
      <c r="CU76" s="15">
        <v>5083.34</v>
      </c>
      <c r="CV76" s="15">
        <v>5523.94</v>
      </c>
      <c r="CW76" s="15">
        <v>5997.81</v>
      </c>
      <c r="CX76" s="15">
        <v>6505.68</v>
      </c>
    </row>
    <row r="77" spans="1:102" x14ac:dyDescent="0.25">
      <c r="A77" s="71">
        <v>2055</v>
      </c>
      <c r="B77" s="15">
        <v>239.32</v>
      </c>
      <c r="C77" s="15">
        <v>22.42</v>
      </c>
      <c r="D77" s="15">
        <v>10.08</v>
      </c>
      <c r="E77" s="15">
        <v>5.42</v>
      </c>
      <c r="F77" s="15">
        <v>4.79</v>
      </c>
      <c r="G77" s="15">
        <v>4.45</v>
      </c>
      <c r="H77" s="15">
        <v>4.1100000000000003</v>
      </c>
      <c r="I77" s="15">
        <v>3.76</v>
      </c>
      <c r="J77" s="15">
        <v>3.48</v>
      </c>
      <c r="K77" s="15">
        <v>3.31</v>
      </c>
      <c r="L77" s="15">
        <v>3.25</v>
      </c>
      <c r="M77" s="15">
        <v>3.47</v>
      </c>
      <c r="N77" s="15">
        <v>3.91</v>
      </c>
      <c r="O77" s="15">
        <v>4.63</v>
      </c>
      <c r="P77" s="15">
        <v>5.46</v>
      </c>
      <c r="Q77" s="15">
        <v>6.88</v>
      </c>
      <c r="R77" s="15">
        <v>8.84</v>
      </c>
      <c r="S77" s="15">
        <v>11.21</v>
      </c>
      <c r="T77" s="15">
        <v>13.91</v>
      </c>
      <c r="U77" s="15">
        <v>16.5</v>
      </c>
      <c r="V77" s="15">
        <v>18.46</v>
      </c>
      <c r="W77" s="15">
        <v>19.260000000000002</v>
      </c>
      <c r="X77" s="15">
        <v>19.23</v>
      </c>
      <c r="Y77" s="15">
        <v>18.61</v>
      </c>
      <c r="Z77" s="15">
        <v>18.27</v>
      </c>
      <c r="AA77" s="15">
        <v>18.41</v>
      </c>
      <c r="AB77" s="15">
        <v>18.95</v>
      </c>
      <c r="AC77" s="15">
        <v>20.07</v>
      </c>
      <c r="AD77" s="15">
        <v>21.78</v>
      </c>
      <c r="AE77" s="15">
        <v>23.67</v>
      </c>
      <c r="AF77" s="15">
        <v>25.63</v>
      </c>
      <c r="AG77" s="15">
        <v>27.77</v>
      </c>
      <c r="AH77" s="15">
        <v>29.92</v>
      </c>
      <c r="AI77" s="15">
        <v>32.4</v>
      </c>
      <c r="AJ77" s="15">
        <v>35.21</v>
      </c>
      <c r="AK77" s="15">
        <v>38.72</v>
      </c>
      <c r="AL77" s="15">
        <v>42.93</v>
      </c>
      <c r="AM77" s="15">
        <v>47.71</v>
      </c>
      <c r="AN77" s="15">
        <v>52.98</v>
      </c>
      <c r="AO77" s="15">
        <v>58.45</v>
      </c>
      <c r="AP77" s="15">
        <v>63.44</v>
      </c>
      <c r="AQ77" s="15">
        <v>67.48</v>
      </c>
      <c r="AR77" s="15">
        <v>70.81</v>
      </c>
      <c r="AS77" s="15">
        <v>73.040000000000006</v>
      </c>
      <c r="AT77" s="15">
        <v>74.16</v>
      </c>
      <c r="AU77" s="15">
        <v>74.37</v>
      </c>
      <c r="AV77" s="15">
        <v>74.099999999999994</v>
      </c>
      <c r="AW77" s="15">
        <v>73.73</v>
      </c>
      <c r="AX77" s="15">
        <v>74.180000000000007</v>
      </c>
      <c r="AY77" s="15">
        <v>76.709999999999994</v>
      </c>
      <c r="AZ77" s="15">
        <v>81.66</v>
      </c>
      <c r="BA77" s="15">
        <v>88.37</v>
      </c>
      <c r="BB77" s="15">
        <v>96.99</v>
      </c>
      <c r="BC77" s="15">
        <v>107.32</v>
      </c>
      <c r="BD77" s="15">
        <v>118.54</v>
      </c>
      <c r="BE77" s="15">
        <v>130.41</v>
      </c>
      <c r="BF77" s="15">
        <v>142.94</v>
      </c>
      <c r="BG77" s="15">
        <v>155.79</v>
      </c>
      <c r="BH77" s="15">
        <v>169.36</v>
      </c>
      <c r="BI77" s="15">
        <v>183.64</v>
      </c>
      <c r="BJ77" s="15">
        <v>198.88</v>
      </c>
      <c r="BK77" s="15">
        <v>215.45</v>
      </c>
      <c r="BL77" s="15">
        <v>233.38</v>
      </c>
      <c r="BM77" s="15">
        <v>252.56</v>
      </c>
      <c r="BN77" s="15">
        <v>273.16000000000003</v>
      </c>
      <c r="BO77" s="15">
        <v>295.44</v>
      </c>
      <c r="BP77" s="15">
        <v>319.79000000000002</v>
      </c>
      <c r="BQ77" s="15">
        <v>347.95</v>
      </c>
      <c r="BR77" s="15">
        <v>380.28</v>
      </c>
      <c r="BS77" s="15">
        <v>414.12</v>
      </c>
      <c r="BT77" s="15">
        <v>448.16</v>
      </c>
      <c r="BU77" s="15">
        <v>484.03</v>
      </c>
      <c r="BV77" s="15">
        <v>524.83000000000004</v>
      </c>
      <c r="BW77" s="15">
        <v>570.85</v>
      </c>
      <c r="BX77" s="15">
        <v>621.11</v>
      </c>
      <c r="BY77" s="15">
        <v>676.35</v>
      </c>
      <c r="BZ77" s="15">
        <v>737.9</v>
      </c>
      <c r="CA77" s="15">
        <v>806.66</v>
      </c>
      <c r="CB77" s="15">
        <v>882.43</v>
      </c>
      <c r="CC77" s="15">
        <v>966.05</v>
      </c>
      <c r="CD77" s="15">
        <v>1059.04</v>
      </c>
      <c r="CE77" s="15">
        <v>1162.82</v>
      </c>
      <c r="CF77" s="15">
        <v>1278.78</v>
      </c>
      <c r="CG77" s="15">
        <v>1407.91</v>
      </c>
      <c r="CH77" s="15">
        <v>1550.84</v>
      </c>
      <c r="CI77" s="15">
        <v>1708.81</v>
      </c>
      <c r="CJ77" s="15">
        <v>1883.01</v>
      </c>
      <c r="CK77" s="15">
        <v>2072.87</v>
      </c>
      <c r="CL77" s="15">
        <v>2276.9899999999998</v>
      </c>
      <c r="CM77" s="15">
        <v>2496.6799999999998</v>
      </c>
      <c r="CN77" s="15">
        <v>2735.52</v>
      </c>
      <c r="CO77" s="15">
        <v>2993.43</v>
      </c>
      <c r="CP77" s="15">
        <v>3269.12</v>
      </c>
      <c r="CQ77" s="15">
        <v>3564.14</v>
      </c>
      <c r="CR77" s="15">
        <v>3882.2</v>
      </c>
      <c r="CS77" s="15">
        <v>4230.17</v>
      </c>
      <c r="CT77" s="15">
        <v>4613.26</v>
      </c>
      <c r="CU77" s="15">
        <v>5024.51</v>
      </c>
      <c r="CV77" s="15">
        <v>5460.23</v>
      </c>
      <c r="CW77" s="15">
        <v>5928.9</v>
      </c>
      <c r="CX77" s="15">
        <v>6431.25</v>
      </c>
    </row>
    <row r="78" spans="1:102" x14ac:dyDescent="0.25">
      <c r="A78" s="71">
        <v>2056</v>
      </c>
      <c r="B78" s="15">
        <v>236.35</v>
      </c>
      <c r="C78" s="15">
        <v>21.92</v>
      </c>
      <c r="D78" s="15">
        <v>9.9700000000000006</v>
      </c>
      <c r="E78" s="15">
        <v>5.43</v>
      </c>
      <c r="F78" s="15">
        <v>4.74</v>
      </c>
      <c r="G78" s="15">
        <v>4.28</v>
      </c>
      <c r="H78" s="15">
        <v>3.99</v>
      </c>
      <c r="I78" s="15">
        <v>3.65</v>
      </c>
      <c r="J78" s="15">
        <v>3.42</v>
      </c>
      <c r="K78" s="15">
        <v>3.25</v>
      </c>
      <c r="L78" s="15">
        <v>3.25</v>
      </c>
      <c r="M78" s="15">
        <v>3.41</v>
      </c>
      <c r="N78" s="15">
        <v>3.91</v>
      </c>
      <c r="O78" s="15">
        <v>4.57</v>
      </c>
      <c r="P78" s="15">
        <v>5.4</v>
      </c>
      <c r="Q78" s="15">
        <v>6.89</v>
      </c>
      <c r="R78" s="15">
        <v>8.73</v>
      </c>
      <c r="S78" s="15">
        <v>11.05</v>
      </c>
      <c r="T78" s="15">
        <v>13.7</v>
      </c>
      <c r="U78" s="15">
        <v>16.34</v>
      </c>
      <c r="V78" s="15">
        <v>18.2</v>
      </c>
      <c r="W78" s="15">
        <v>19.059999999999999</v>
      </c>
      <c r="X78" s="15">
        <v>18.93</v>
      </c>
      <c r="Y78" s="15">
        <v>18.309999999999999</v>
      </c>
      <c r="Z78" s="15">
        <v>18.03</v>
      </c>
      <c r="AA78" s="15">
        <v>18.22</v>
      </c>
      <c r="AB78" s="15">
        <v>18.71</v>
      </c>
      <c r="AC78" s="15">
        <v>19.93</v>
      </c>
      <c r="AD78" s="15">
        <v>21.54</v>
      </c>
      <c r="AE78" s="15">
        <v>23.38</v>
      </c>
      <c r="AF78" s="15">
        <v>25.35</v>
      </c>
      <c r="AG78" s="15">
        <v>27.49</v>
      </c>
      <c r="AH78" s="15">
        <v>29.59</v>
      </c>
      <c r="AI78" s="15">
        <v>31.98</v>
      </c>
      <c r="AJ78" s="15">
        <v>34.75</v>
      </c>
      <c r="AK78" s="15">
        <v>38.26</v>
      </c>
      <c r="AL78" s="15">
        <v>42.47</v>
      </c>
      <c r="AM78" s="15">
        <v>47.25</v>
      </c>
      <c r="AN78" s="15">
        <v>52.42</v>
      </c>
      <c r="AO78" s="15">
        <v>57.8</v>
      </c>
      <c r="AP78" s="15">
        <v>62.55</v>
      </c>
      <c r="AQ78" s="15">
        <v>66.64</v>
      </c>
      <c r="AR78" s="15">
        <v>70.010000000000005</v>
      </c>
      <c r="AS78" s="15">
        <v>72.14</v>
      </c>
      <c r="AT78" s="15">
        <v>73.319999999999993</v>
      </c>
      <c r="AU78" s="15">
        <v>73.569999999999993</v>
      </c>
      <c r="AV78" s="15">
        <v>73.2</v>
      </c>
      <c r="AW78" s="15">
        <v>72.78</v>
      </c>
      <c r="AX78" s="15">
        <v>73.28</v>
      </c>
      <c r="AY78" s="15">
        <v>75.86</v>
      </c>
      <c r="AZ78" s="15">
        <v>80.62</v>
      </c>
      <c r="BA78" s="15">
        <v>87.38</v>
      </c>
      <c r="BB78" s="15">
        <v>95.85</v>
      </c>
      <c r="BC78" s="15">
        <v>105.98</v>
      </c>
      <c r="BD78" s="15">
        <v>117.11</v>
      </c>
      <c r="BE78" s="15">
        <v>128.97999999999999</v>
      </c>
      <c r="BF78" s="15">
        <v>141.22</v>
      </c>
      <c r="BG78" s="15">
        <v>153.93</v>
      </c>
      <c r="BH78" s="15">
        <v>167.33</v>
      </c>
      <c r="BI78" s="15">
        <v>181.44</v>
      </c>
      <c r="BJ78" s="15">
        <v>196.49</v>
      </c>
      <c r="BK78" s="15">
        <v>212.87</v>
      </c>
      <c r="BL78" s="15">
        <v>230.59</v>
      </c>
      <c r="BM78" s="15">
        <v>249.53</v>
      </c>
      <c r="BN78" s="15">
        <v>269.89</v>
      </c>
      <c r="BO78" s="15">
        <v>291.89999999999998</v>
      </c>
      <c r="BP78" s="15">
        <v>315.95999999999998</v>
      </c>
      <c r="BQ78" s="15">
        <v>343.78</v>
      </c>
      <c r="BR78" s="15">
        <v>375.72</v>
      </c>
      <c r="BS78" s="15">
        <v>409.16</v>
      </c>
      <c r="BT78" s="15">
        <v>442.8</v>
      </c>
      <c r="BU78" s="15">
        <v>478.24</v>
      </c>
      <c r="BV78" s="15">
        <v>518.54999999999995</v>
      </c>
      <c r="BW78" s="15">
        <v>564.03</v>
      </c>
      <c r="BX78" s="15">
        <v>613.69000000000005</v>
      </c>
      <c r="BY78" s="15">
        <v>668.27</v>
      </c>
      <c r="BZ78" s="15">
        <v>729.09</v>
      </c>
      <c r="CA78" s="15">
        <v>797.04</v>
      </c>
      <c r="CB78" s="15">
        <v>871.9</v>
      </c>
      <c r="CC78" s="15">
        <v>954.54</v>
      </c>
      <c r="CD78" s="15">
        <v>1046.42</v>
      </c>
      <c r="CE78" s="15">
        <v>1148.98</v>
      </c>
      <c r="CF78" s="15">
        <v>1263.57</v>
      </c>
      <c r="CG78" s="15">
        <v>1391.18</v>
      </c>
      <c r="CH78" s="15">
        <v>1532.43</v>
      </c>
      <c r="CI78" s="15">
        <v>1688.56</v>
      </c>
      <c r="CJ78" s="15">
        <v>1860.72</v>
      </c>
      <c r="CK78" s="15">
        <v>2048.36</v>
      </c>
      <c r="CL78" s="15">
        <v>2250.11</v>
      </c>
      <c r="CM78" s="15">
        <v>2467.25</v>
      </c>
      <c r="CN78" s="15">
        <v>2703.33</v>
      </c>
      <c r="CO78" s="15">
        <v>2958.27</v>
      </c>
      <c r="CP78" s="15">
        <v>3230.8</v>
      </c>
      <c r="CQ78" s="15">
        <v>3522.45</v>
      </c>
      <c r="CR78" s="15">
        <v>3836.9</v>
      </c>
      <c r="CS78" s="15">
        <v>4180.93</v>
      </c>
      <c r="CT78" s="15">
        <v>4559.7</v>
      </c>
      <c r="CU78" s="15">
        <v>4966.3599999999997</v>
      </c>
      <c r="CV78" s="15">
        <v>5397.25</v>
      </c>
      <c r="CW78" s="15">
        <v>5860.78</v>
      </c>
      <c r="CX78" s="15">
        <v>6357.67</v>
      </c>
    </row>
    <row r="79" spans="1:102" x14ac:dyDescent="0.25">
      <c r="A79" s="71">
        <v>2057</v>
      </c>
      <c r="B79" s="15">
        <v>233.61</v>
      </c>
      <c r="C79" s="15">
        <v>21.61</v>
      </c>
      <c r="D79" s="15">
        <v>9.92</v>
      </c>
      <c r="E79" s="15">
        <v>5.43</v>
      </c>
      <c r="F79" s="15">
        <v>4.57</v>
      </c>
      <c r="G79" s="15">
        <v>4.17</v>
      </c>
      <c r="H79" s="15">
        <v>3.88</v>
      </c>
      <c r="I79" s="15">
        <v>3.54</v>
      </c>
      <c r="J79" s="15">
        <v>3.37</v>
      </c>
      <c r="K79" s="15">
        <v>3.2</v>
      </c>
      <c r="L79" s="15">
        <v>3.19</v>
      </c>
      <c r="M79" s="15">
        <v>3.36</v>
      </c>
      <c r="N79" s="15">
        <v>3.85</v>
      </c>
      <c r="O79" s="15">
        <v>4.46</v>
      </c>
      <c r="P79" s="15">
        <v>5.35</v>
      </c>
      <c r="Q79" s="15">
        <v>6.78</v>
      </c>
      <c r="R79" s="15">
        <v>8.6300000000000008</v>
      </c>
      <c r="S79" s="15">
        <v>10.95</v>
      </c>
      <c r="T79" s="15">
        <v>13.59</v>
      </c>
      <c r="U79" s="15">
        <v>16.18</v>
      </c>
      <c r="V79" s="15">
        <v>17.89</v>
      </c>
      <c r="W79" s="15">
        <v>18.8</v>
      </c>
      <c r="X79" s="15">
        <v>18.62</v>
      </c>
      <c r="Y79" s="15">
        <v>18.010000000000002</v>
      </c>
      <c r="Z79" s="15">
        <v>17.88</v>
      </c>
      <c r="AA79" s="15">
        <v>17.97</v>
      </c>
      <c r="AB79" s="15">
        <v>18.510000000000002</v>
      </c>
      <c r="AC79" s="15">
        <v>19.739999999999998</v>
      </c>
      <c r="AD79" s="15">
        <v>21.31</v>
      </c>
      <c r="AE79" s="15">
        <v>23.1</v>
      </c>
      <c r="AF79" s="15">
        <v>25.02</v>
      </c>
      <c r="AG79" s="15">
        <v>27.12</v>
      </c>
      <c r="AH79" s="15">
        <v>29.22</v>
      </c>
      <c r="AI79" s="15">
        <v>31.56</v>
      </c>
      <c r="AJ79" s="15">
        <v>34.33</v>
      </c>
      <c r="AK79" s="15">
        <v>37.79</v>
      </c>
      <c r="AL79" s="15">
        <v>42.05</v>
      </c>
      <c r="AM79" s="15">
        <v>46.74</v>
      </c>
      <c r="AN79" s="15">
        <v>51.86</v>
      </c>
      <c r="AO79" s="15">
        <v>57.05</v>
      </c>
      <c r="AP79" s="15">
        <v>61.75</v>
      </c>
      <c r="AQ79" s="15">
        <v>65.930000000000007</v>
      </c>
      <c r="AR79" s="15">
        <v>69.16</v>
      </c>
      <c r="AS79" s="15">
        <v>71.239999999999995</v>
      </c>
      <c r="AT79" s="15">
        <v>72.459999999999994</v>
      </c>
      <c r="AU79" s="15">
        <v>72.72</v>
      </c>
      <c r="AV79" s="15">
        <v>72.25</v>
      </c>
      <c r="AW79" s="15">
        <v>71.930000000000007</v>
      </c>
      <c r="AX79" s="15">
        <v>72.47</v>
      </c>
      <c r="AY79" s="15">
        <v>74.900000000000006</v>
      </c>
      <c r="AZ79" s="15">
        <v>79.61</v>
      </c>
      <c r="BA79" s="15">
        <v>86.28</v>
      </c>
      <c r="BB79" s="15">
        <v>94.7</v>
      </c>
      <c r="BC79" s="15">
        <v>104.68</v>
      </c>
      <c r="BD79" s="15">
        <v>115.71</v>
      </c>
      <c r="BE79" s="15">
        <v>127.43</v>
      </c>
      <c r="BF79" s="15">
        <v>139.53</v>
      </c>
      <c r="BG79" s="15">
        <v>152.08000000000001</v>
      </c>
      <c r="BH79" s="15">
        <v>165.32</v>
      </c>
      <c r="BI79" s="15">
        <v>179.26</v>
      </c>
      <c r="BJ79" s="15">
        <v>194.14</v>
      </c>
      <c r="BK79" s="15">
        <v>210.32</v>
      </c>
      <c r="BL79" s="15">
        <v>227.82</v>
      </c>
      <c r="BM79" s="15">
        <v>246.54</v>
      </c>
      <c r="BN79" s="15">
        <v>266.66000000000003</v>
      </c>
      <c r="BO79" s="15">
        <v>288.39999999999998</v>
      </c>
      <c r="BP79" s="15">
        <v>312.17</v>
      </c>
      <c r="BQ79" s="15">
        <v>339.67</v>
      </c>
      <c r="BR79" s="15">
        <v>371.23</v>
      </c>
      <c r="BS79" s="15">
        <v>404.26</v>
      </c>
      <c r="BT79" s="15">
        <v>437.5</v>
      </c>
      <c r="BU79" s="15">
        <v>472.52</v>
      </c>
      <c r="BV79" s="15">
        <v>512.35</v>
      </c>
      <c r="BW79" s="15">
        <v>557.28</v>
      </c>
      <c r="BX79" s="15">
        <v>606.35</v>
      </c>
      <c r="BY79" s="15">
        <v>660.29</v>
      </c>
      <c r="BZ79" s="15">
        <v>720.39</v>
      </c>
      <c r="CA79" s="15">
        <v>787.53</v>
      </c>
      <c r="CB79" s="15">
        <v>861.5</v>
      </c>
      <c r="CC79" s="15">
        <v>943.16</v>
      </c>
      <c r="CD79" s="15">
        <v>1033.96</v>
      </c>
      <c r="CE79" s="15">
        <v>1135.3</v>
      </c>
      <c r="CF79" s="15">
        <v>1248.55</v>
      </c>
      <c r="CG79" s="15">
        <v>1374.66</v>
      </c>
      <c r="CH79" s="15">
        <v>1514.25</v>
      </c>
      <c r="CI79" s="15">
        <v>1668.54</v>
      </c>
      <c r="CJ79" s="15">
        <v>1838.7</v>
      </c>
      <c r="CK79" s="15">
        <v>2024.15</v>
      </c>
      <c r="CL79" s="15">
        <v>2223.5500000000002</v>
      </c>
      <c r="CM79" s="15">
        <v>2438.17</v>
      </c>
      <c r="CN79" s="15">
        <v>2671.51</v>
      </c>
      <c r="CO79" s="15">
        <v>2923.52</v>
      </c>
      <c r="CP79" s="15">
        <v>3192.93</v>
      </c>
      <c r="CQ79" s="15">
        <v>3481.25</v>
      </c>
      <c r="CR79" s="15">
        <v>3792.12</v>
      </c>
      <c r="CS79" s="15">
        <v>4132.26</v>
      </c>
      <c r="CT79" s="15">
        <v>4506.7700000000004</v>
      </c>
      <c r="CU79" s="15">
        <v>4908.8900000000003</v>
      </c>
      <c r="CV79" s="15">
        <v>5335.01</v>
      </c>
      <c r="CW79" s="15">
        <v>5793.44</v>
      </c>
      <c r="CX79" s="15">
        <v>6284.93</v>
      </c>
    </row>
    <row r="80" spans="1:102" x14ac:dyDescent="0.25">
      <c r="A80" s="71">
        <v>2058</v>
      </c>
      <c r="B80" s="15">
        <v>230.96</v>
      </c>
      <c r="C80" s="15">
        <v>21.14</v>
      </c>
      <c r="D80" s="15">
        <v>9.86</v>
      </c>
      <c r="E80" s="15">
        <v>5.26</v>
      </c>
      <c r="F80" s="15">
        <v>4.4000000000000004</v>
      </c>
      <c r="G80" s="15">
        <v>4.17</v>
      </c>
      <c r="H80" s="15">
        <v>3.77</v>
      </c>
      <c r="I80" s="15">
        <v>3.49</v>
      </c>
      <c r="J80" s="15">
        <v>3.31</v>
      </c>
      <c r="K80" s="15">
        <v>3.14</v>
      </c>
      <c r="L80" s="15">
        <v>3.14</v>
      </c>
      <c r="M80" s="15">
        <v>3.3</v>
      </c>
      <c r="N80" s="15">
        <v>3.74</v>
      </c>
      <c r="O80" s="15">
        <v>4.3499999999999996</v>
      </c>
      <c r="P80" s="15">
        <v>5.29</v>
      </c>
      <c r="Q80" s="15">
        <v>6.67</v>
      </c>
      <c r="R80" s="15">
        <v>8.57</v>
      </c>
      <c r="S80" s="15">
        <v>10.84</v>
      </c>
      <c r="T80" s="15">
        <v>13.43</v>
      </c>
      <c r="U80" s="15">
        <v>15.86</v>
      </c>
      <c r="V80" s="15">
        <v>17.57</v>
      </c>
      <c r="W80" s="15">
        <v>18.54</v>
      </c>
      <c r="X80" s="15">
        <v>18.309999999999999</v>
      </c>
      <c r="Y80" s="15">
        <v>17.86</v>
      </c>
      <c r="Z80" s="15">
        <v>17.739999999999998</v>
      </c>
      <c r="AA80" s="15">
        <v>17.68</v>
      </c>
      <c r="AB80" s="15">
        <v>18.32</v>
      </c>
      <c r="AC80" s="15">
        <v>19.5</v>
      </c>
      <c r="AD80" s="15">
        <v>21.02</v>
      </c>
      <c r="AE80" s="15">
        <v>22.62</v>
      </c>
      <c r="AF80" s="15">
        <v>24.64</v>
      </c>
      <c r="AG80" s="15">
        <v>26.74</v>
      </c>
      <c r="AH80" s="15">
        <v>28.89</v>
      </c>
      <c r="AI80" s="15">
        <v>31.23</v>
      </c>
      <c r="AJ80" s="15">
        <v>33.9</v>
      </c>
      <c r="AK80" s="15">
        <v>37.409999999999997</v>
      </c>
      <c r="AL80" s="15">
        <v>41.43</v>
      </c>
      <c r="AM80" s="15">
        <v>46.12</v>
      </c>
      <c r="AN80" s="15">
        <v>51.2</v>
      </c>
      <c r="AO80" s="15">
        <v>56.33</v>
      </c>
      <c r="AP80" s="15">
        <v>61.09</v>
      </c>
      <c r="AQ80" s="15">
        <v>65.22</v>
      </c>
      <c r="AR80" s="15">
        <v>68.3</v>
      </c>
      <c r="AS80" s="15">
        <v>70.430000000000007</v>
      </c>
      <c r="AT80" s="15">
        <v>71.599999999999994</v>
      </c>
      <c r="AU80" s="15">
        <v>71.75</v>
      </c>
      <c r="AV80" s="15">
        <v>71.430000000000007</v>
      </c>
      <c r="AW80" s="15">
        <v>71.11</v>
      </c>
      <c r="AX80" s="15">
        <v>71.61</v>
      </c>
      <c r="AY80" s="15">
        <v>73.94</v>
      </c>
      <c r="AZ80" s="15">
        <v>78.7</v>
      </c>
      <c r="BA80" s="15">
        <v>85.26</v>
      </c>
      <c r="BB80" s="15">
        <v>93.58</v>
      </c>
      <c r="BC80" s="15">
        <v>103.42</v>
      </c>
      <c r="BD80" s="15">
        <v>114.33</v>
      </c>
      <c r="BE80" s="15">
        <v>125.9</v>
      </c>
      <c r="BF80" s="15">
        <v>137.86000000000001</v>
      </c>
      <c r="BG80" s="15">
        <v>150.26</v>
      </c>
      <c r="BH80" s="15">
        <v>163.34</v>
      </c>
      <c r="BI80" s="15">
        <v>177.11</v>
      </c>
      <c r="BJ80" s="15">
        <v>191.81</v>
      </c>
      <c r="BK80" s="15">
        <v>207.79</v>
      </c>
      <c r="BL80" s="15">
        <v>225.09</v>
      </c>
      <c r="BM80" s="15">
        <v>243.59</v>
      </c>
      <c r="BN80" s="15">
        <v>263.45999999999998</v>
      </c>
      <c r="BO80" s="15">
        <v>284.95</v>
      </c>
      <c r="BP80" s="15">
        <v>308.44</v>
      </c>
      <c r="BQ80" s="15">
        <v>335.6</v>
      </c>
      <c r="BR80" s="15">
        <v>366.78</v>
      </c>
      <c r="BS80" s="15">
        <v>399.42</v>
      </c>
      <c r="BT80" s="15">
        <v>432.26</v>
      </c>
      <c r="BU80" s="15">
        <v>466.87</v>
      </c>
      <c r="BV80" s="15">
        <v>506.22</v>
      </c>
      <c r="BW80" s="15">
        <v>550.62</v>
      </c>
      <c r="BX80" s="15">
        <v>599.11</v>
      </c>
      <c r="BY80" s="15">
        <v>652.4</v>
      </c>
      <c r="BZ80" s="15">
        <v>711.79</v>
      </c>
      <c r="CA80" s="15">
        <v>778.13</v>
      </c>
      <c r="CB80" s="15">
        <v>851.23</v>
      </c>
      <c r="CC80" s="15">
        <v>931.91</v>
      </c>
      <c r="CD80" s="15">
        <v>1021.64</v>
      </c>
      <c r="CE80" s="15">
        <v>1121.79</v>
      </c>
      <c r="CF80" s="15">
        <v>1233.7</v>
      </c>
      <c r="CG80" s="15">
        <v>1358.32</v>
      </c>
      <c r="CH80" s="15">
        <v>1496.28</v>
      </c>
      <c r="CI80" s="15">
        <v>1648.77</v>
      </c>
      <c r="CJ80" s="15">
        <v>1816.93</v>
      </c>
      <c r="CK80" s="15">
        <v>2000.22</v>
      </c>
      <c r="CL80" s="15">
        <v>2197.3000000000002</v>
      </c>
      <c r="CM80" s="15">
        <v>2409.42</v>
      </c>
      <c r="CN80" s="15">
        <v>2640.07</v>
      </c>
      <c r="CO80" s="15">
        <v>2889.17</v>
      </c>
      <c r="CP80" s="15">
        <v>3155.5</v>
      </c>
      <c r="CQ80" s="15">
        <v>3440.53</v>
      </c>
      <c r="CR80" s="15">
        <v>3747.87</v>
      </c>
      <c r="CS80" s="15">
        <v>4084.16</v>
      </c>
      <c r="CT80" s="15">
        <v>4454.45</v>
      </c>
      <c r="CU80" s="15">
        <v>4852.07</v>
      </c>
      <c r="CV80" s="15">
        <v>5273.48</v>
      </c>
      <c r="CW80" s="15">
        <v>5726.88</v>
      </c>
      <c r="CX80" s="15">
        <v>6213.03</v>
      </c>
    </row>
    <row r="81" spans="1:102" x14ac:dyDescent="0.25">
      <c r="A81" s="71">
        <v>2059</v>
      </c>
      <c r="B81" s="15">
        <v>227.98</v>
      </c>
      <c r="C81" s="15">
        <v>20.6</v>
      </c>
      <c r="D81" s="15">
        <v>9.75</v>
      </c>
      <c r="E81" s="15">
        <v>5.09</v>
      </c>
      <c r="F81" s="15">
        <v>4.4000000000000004</v>
      </c>
      <c r="G81" s="15">
        <v>4.0599999999999996</v>
      </c>
      <c r="H81" s="15">
        <v>3.71</v>
      </c>
      <c r="I81" s="15">
        <v>3.49</v>
      </c>
      <c r="J81" s="15">
        <v>3.26</v>
      </c>
      <c r="K81" s="15">
        <v>3.14</v>
      </c>
      <c r="L81" s="15">
        <v>3.14</v>
      </c>
      <c r="M81" s="15">
        <v>3.25</v>
      </c>
      <c r="N81" s="15">
        <v>3.69</v>
      </c>
      <c r="O81" s="15">
        <v>4.3499999999999996</v>
      </c>
      <c r="P81" s="15">
        <v>5.24</v>
      </c>
      <c r="Q81" s="15">
        <v>6.67</v>
      </c>
      <c r="R81" s="15">
        <v>8.4600000000000009</v>
      </c>
      <c r="S81" s="15">
        <v>10.73</v>
      </c>
      <c r="T81" s="15">
        <v>13.21</v>
      </c>
      <c r="U81" s="15">
        <v>15.59</v>
      </c>
      <c r="V81" s="15">
        <v>17.41</v>
      </c>
      <c r="W81" s="15">
        <v>18.28</v>
      </c>
      <c r="X81" s="15">
        <v>18.11</v>
      </c>
      <c r="Y81" s="15">
        <v>17.71</v>
      </c>
      <c r="Z81" s="15">
        <v>17.48</v>
      </c>
      <c r="AA81" s="15">
        <v>17.43</v>
      </c>
      <c r="AB81" s="15">
        <v>18.12</v>
      </c>
      <c r="AC81" s="15">
        <v>19.21</v>
      </c>
      <c r="AD81" s="15">
        <v>20.63</v>
      </c>
      <c r="AE81" s="15">
        <v>22.24</v>
      </c>
      <c r="AF81" s="15">
        <v>24.35</v>
      </c>
      <c r="AG81" s="15">
        <v>26.45</v>
      </c>
      <c r="AH81" s="15">
        <v>28.6</v>
      </c>
      <c r="AI81" s="15">
        <v>30.94</v>
      </c>
      <c r="AJ81" s="15">
        <v>33.57</v>
      </c>
      <c r="AK81" s="15">
        <v>36.89</v>
      </c>
      <c r="AL81" s="15">
        <v>40.81</v>
      </c>
      <c r="AM81" s="15">
        <v>45.5</v>
      </c>
      <c r="AN81" s="15">
        <v>50.53</v>
      </c>
      <c r="AO81" s="15">
        <v>55.66</v>
      </c>
      <c r="AP81" s="15">
        <v>60.41</v>
      </c>
      <c r="AQ81" s="15">
        <v>64.489999999999995</v>
      </c>
      <c r="AR81" s="15">
        <v>67.430000000000007</v>
      </c>
      <c r="AS81" s="15">
        <v>69.599999999999994</v>
      </c>
      <c r="AT81" s="15">
        <v>70.67</v>
      </c>
      <c r="AU81" s="15">
        <v>70.88</v>
      </c>
      <c r="AV81" s="15">
        <v>70.55</v>
      </c>
      <c r="AW81" s="15">
        <v>70.23</v>
      </c>
      <c r="AX81" s="15">
        <v>70.72</v>
      </c>
      <c r="AY81" s="15">
        <v>73.099999999999994</v>
      </c>
      <c r="AZ81" s="15">
        <v>77.81</v>
      </c>
      <c r="BA81" s="15">
        <v>84.33</v>
      </c>
      <c r="BB81" s="15">
        <v>92.4</v>
      </c>
      <c r="BC81" s="15">
        <v>102.18</v>
      </c>
      <c r="BD81" s="15">
        <v>112.95</v>
      </c>
      <c r="BE81" s="15">
        <v>124.39</v>
      </c>
      <c r="BF81" s="15">
        <v>136.19999999999999</v>
      </c>
      <c r="BG81" s="15">
        <v>148.46</v>
      </c>
      <c r="BH81" s="15">
        <v>161.38</v>
      </c>
      <c r="BI81" s="15">
        <v>174.99</v>
      </c>
      <c r="BJ81" s="15">
        <v>189.51</v>
      </c>
      <c r="BK81" s="15">
        <v>205.3</v>
      </c>
      <c r="BL81" s="15">
        <v>222.4</v>
      </c>
      <c r="BM81" s="15">
        <v>240.67</v>
      </c>
      <c r="BN81" s="15">
        <v>260.3</v>
      </c>
      <c r="BO81" s="15">
        <v>281.54000000000002</v>
      </c>
      <c r="BP81" s="15">
        <v>304.74</v>
      </c>
      <c r="BQ81" s="15">
        <v>331.58</v>
      </c>
      <c r="BR81" s="15">
        <v>362.39</v>
      </c>
      <c r="BS81" s="15">
        <v>394.64</v>
      </c>
      <c r="BT81" s="15">
        <v>427.09</v>
      </c>
      <c r="BU81" s="15">
        <v>461.28</v>
      </c>
      <c r="BV81" s="15">
        <v>500.17</v>
      </c>
      <c r="BW81" s="15">
        <v>544.04</v>
      </c>
      <c r="BX81" s="15">
        <v>591.95000000000005</v>
      </c>
      <c r="BY81" s="15">
        <v>644.61</v>
      </c>
      <c r="BZ81" s="15">
        <v>703.29</v>
      </c>
      <c r="CA81" s="15">
        <v>768.84</v>
      </c>
      <c r="CB81" s="15">
        <v>841.07</v>
      </c>
      <c r="CC81" s="15">
        <v>920.81</v>
      </c>
      <c r="CD81" s="15">
        <v>1009.47</v>
      </c>
      <c r="CE81" s="15">
        <v>1108.44</v>
      </c>
      <c r="CF81" s="15">
        <v>1219.03</v>
      </c>
      <c r="CG81" s="15">
        <v>1342.19</v>
      </c>
      <c r="CH81" s="15">
        <v>1478.52</v>
      </c>
      <c r="CI81" s="15">
        <v>1629.22</v>
      </c>
      <c r="CJ81" s="15">
        <v>1795.42</v>
      </c>
      <c r="CK81" s="15">
        <v>1976.57</v>
      </c>
      <c r="CL81" s="15">
        <v>2171.36</v>
      </c>
      <c r="CM81" s="15">
        <v>2381.02</v>
      </c>
      <c r="CN81" s="15">
        <v>2609</v>
      </c>
      <c r="CO81" s="15">
        <v>2855.23</v>
      </c>
      <c r="CP81" s="15">
        <v>3118.51</v>
      </c>
      <c r="CQ81" s="15">
        <v>3400.29</v>
      </c>
      <c r="CR81" s="15">
        <v>3704.14</v>
      </c>
      <c r="CS81" s="15">
        <v>4036.62</v>
      </c>
      <c r="CT81" s="15">
        <v>4402.74</v>
      </c>
      <c r="CU81" s="15">
        <v>4795.92</v>
      </c>
      <c r="CV81" s="15">
        <v>5212.6499999999996</v>
      </c>
      <c r="CW81" s="15">
        <v>5661.08</v>
      </c>
      <c r="CX81" s="15">
        <v>6141.94</v>
      </c>
    </row>
    <row r="82" spans="1:102" x14ac:dyDescent="0.25">
      <c r="A82" s="71">
        <v>2060</v>
      </c>
      <c r="B82" s="15">
        <v>225.2</v>
      </c>
      <c r="C82" s="15">
        <v>20.65</v>
      </c>
      <c r="D82" s="15">
        <v>9.57</v>
      </c>
      <c r="E82" s="15">
        <v>5.09</v>
      </c>
      <c r="F82" s="15">
        <v>4.34</v>
      </c>
      <c r="G82" s="15">
        <v>3.94</v>
      </c>
      <c r="H82" s="15">
        <v>3.66</v>
      </c>
      <c r="I82" s="15">
        <v>3.48</v>
      </c>
      <c r="J82" s="15">
        <v>3.26</v>
      </c>
      <c r="K82" s="15">
        <v>3.14</v>
      </c>
      <c r="L82" s="15">
        <v>3.14</v>
      </c>
      <c r="M82" s="15">
        <v>3.24</v>
      </c>
      <c r="N82" s="15">
        <v>3.69</v>
      </c>
      <c r="O82" s="15">
        <v>4.3499999999999996</v>
      </c>
      <c r="P82" s="15">
        <v>5.24</v>
      </c>
      <c r="Q82" s="15">
        <v>6.55</v>
      </c>
      <c r="R82" s="15">
        <v>8.4</v>
      </c>
      <c r="S82" s="15">
        <v>10.56</v>
      </c>
      <c r="T82" s="15">
        <v>13.1</v>
      </c>
      <c r="U82" s="15">
        <v>15.48</v>
      </c>
      <c r="V82" s="15">
        <v>17.239999999999998</v>
      </c>
      <c r="W82" s="15">
        <v>18.07</v>
      </c>
      <c r="X82" s="15">
        <v>17.89</v>
      </c>
      <c r="Y82" s="15">
        <v>17.5</v>
      </c>
      <c r="Z82" s="15">
        <v>17.23</v>
      </c>
      <c r="AA82" s="15">
        <v>17.32</v>
      </c>
      <c r="AB82" s="15">
        <v>17.920000000000002</v>
      </c>
      <c r="AC82" s="15">
        <v>18.91</v>
      </c>
      <c r="AD82" s="15">
        <v>20.329999999999998</v>
      </c>
      <c r="AE82" s="15">
        <v>22.04</v>
      </c>
      <c r="AF82" s="15">
        <v>24.1</v>
      </c>
      <c r="AG82" s="15">
        <v>26.15</v>
      </c>
      <c r="AH82" s="15">
        <v>28.3</v>
      </c>
      <c r="AI82" s="15">
        <v>30.5</v>
      </c>
      <c r="AJ82" s="15">
        <v>33.22</v>
      </c>
      <c r="AK82" s="15">
        <v>36.299999999999997</v>
      </c>
      <c r="AL82" s="15">
        <v>40.32</v>
      </c>
      <c r="AM82" s="15">
        <v>44.91</v>
      </c>
      <c r="AN82" s="15">
        <v>49.94</v>
      </c>
      <c r="AO82" s="15">
        <v>54.93</v>
      </c>
      <c r="AP82" s="15">
        <v>59.72</v>
      </c>
      <c r="AQ82" s="15">
        <v>63.6</v>
      </c>
      <c r="AR82" s="15">
        <v>66.59</v>
      </c>
      <c r="AS82" s="15">
        <v>68.709999999999994</v>
      </c>
      <c r="AT82" s="15">
        <v>69.83</v>
      </c>
      <c r="AU82" s="15">
        <v>70.03</v>
      </c>
      <c r="AV82" s="15">
        <v>69.7</v>
      </c>
      <c r="AW82" s="15">
        <v>69.33</v>
      </c>
      <c r="AX82" s="15">
        <v>69.83</v>
      </c>
      <c r="AY82" s="15">
        <v>72.25</v>
      </c>
      <c r="AZ82" s="15">
        <v>76.86</v>
      </c>
      <c r="BA82" s="15">
        <v>83.23</v>
      </c>
      <c r="BB82" s="15">
        <v>91.3</v>
      </c>
      <c r="BC82" s="15">
        <v>100.96</v>
      </c>
      <c r="BD82" s="15">
        <v>111.6</v>
      </c>
      <c r="BE82" s="15">
        <v>122.9</v>
      </c>
      <c r="BF82" s="15">
        <v>134.57</v>
      </c>
      <c r="BG82" s="15">
        <v>146.68</v>
      </c>
      <c r="BH82" s="15">
        <v>159.44999999999999</v>
      </c>
      <c r="BI82" s="15">
        <v>172.89</v>
      </c>
      <c r="BJ82" s="15">
        <v>187.24</v>
      </c>
      <c r="BK82" s="15">
        <v>202.84</v>
      </c>
      <c r="BL82" s="15">
        <v>219.73</v>
      </c>
      <c r="BM82" s="15">
        <v>237.79</v>
      </c>
      <c r="BN82" s="15">
        <v>257.19</v>
      </c>
      <c r="BO82" s="15">
        <v>278.16000000000003</v>
      </c>
      <c r="BP82" s="15">
        <v>301.08999999999997</v>
      </c>
      <c r="BQ82" s="15">
        <v>327.61</v>
      </c>
      <c r="BR82" s="15">
        <v>358.05</v>
      </c>
      <c r="BS82" s="15">
        <v>389.92</v>
      </c>
      <c r="BT82" s="15">
        <v>421.98</v>
      </c>
      <c r="BU82" s="15">
        <v>455.77</v>
      </c>
      <c r="BV82" s="15">
        <v>494.19</v>
      </c>
      <c r="BW82" s="15">
        <v>537.53</v>
      </c>
      <c r="BX82" s="15">
        <v>584.87</v>
      </c>
      <c r="BY82" s="15">
        <v>636.91</v>
      </c>
      <c r="BZ82" s="15">
        <v>694.89</v>
      </c>
      <c r="CA82" s="15">
        <v>759.66</v>
      </c>
      <c r="CB82" s="15">
        <v>831.04</v>
      </c>
      <c r="CC82" s="15">
        <v>909.83</v>
      </c>
      <c r="CD82" s="15">
        <v>997.45</v>
      </c>
      <c r="CE82" s="15">
        <v>1095.25</v>
      </c>
      <c r="CF82" s="15">
        <v>1204.53</v>
      </c>
      <c r="CG82" s="15">
        <v>1326.24</v>
      </c>
      <c r="CH82" s="15">
        <v>1460.98</v>
      </c>
      <c r="CI82" s="15">
        <v>1609.91</v>
      </c>
      <c r="CJ82" s="15">
        <v>1774.17</v>
      </c>
      <c r="CK82" s="15">
        <v>1953.2</v>
      </c>
      <c r="CL82" s="15">
        <v>2145.7199999999998</v>
      </c>
      <c r="CM82" s="15">
        <v>2352.9499999999998</v>
      </c>
      <c r="CN82" s="15">
        <v>2578.29</v>
      </c>
      <c r="CO82" s="15">
        <v>2821.69</v>
      </c>
      <c r="CP82" s="15">
        <v>3081.95</v>
      </c>
      <c r="CQ82" s="15">
        <v>3360.52</v>
      </c>
      <c r="CR82" s="15">
        <v>3660.91</v>
      </c>
      <c r="CS82" s="15">
        <v>3989.63</v>
      </c>
      <c r="CT82" s="15">
        <v>4351.63</v>
      </c>
      <c r="CU82" s="15">
        <v>4740.42</v>
      </c>
      <c r="CV82" s="15">
        <v>5152.53</v>
      </c>
      <c r="CW82" s="15">
        <v>5596.04</v>
      </c>
      <c r="CX82" s="15">
        <v>6071.67</v>
      </c>
    </row>
    <row r="83" spans="1:102" x14ac:dyDescent="0.25">
      <c r="A83" s="71">
        <v>2061</v>
      </c>
      <c r="B83" s="15">
        <v>222.61</v>
      </c>
      <c r="C83" s="15">
        <v>20.51</v>
      </c>
      <c r="D83" s="15">
        <v>9.51</v>
      </c>
      <c r="E83" s="15">
        <v>5.08</v>
      </c>
      <c r="F83" s="15">
        <v>4.29</v>
      </c>
      <c r="G83" s="15">
        <v>3.83</v>
      </c>
      <c r="H83" s="15">
        <v>3.6</v>
      </c>
      <c r="I83" s="15">
        <v>3.48</v>
      </c>
      <c r="J83" s="15">
        <v>3.25</v>
      </c>
      <c r="K83" s="15">
        <v>3.14</v>
      </c>
      <c r="L83" s="15">
        <v>3.08</v>
      </c>
      <c r="M83" s="15">
        <v>3.24</v>
      </c>
      <c r="N83" s="15">
        <v>3.68</v>
      </c>
      <c r="O83" s="15">
        <v>4.3499999999999996</v>
      </c>
      <c r="P83" s="15">
        <v>5.12</v>
      </c>
      <c r="Q83" s="15">
        <v>6.44</v>
      </c>
      <c r="R83" s="15">
        <v>8.34</v>
      </c>
      <c r="S83" s="15">
        <v>10.44</v>
      </c>
      <c r="T83" s="15">
        <v>12.98</v>
      </c>
      <c r="U83" s="15">
        <v>15.36</v>
      </c>
      <c r="V83" s="15">
        <v>17.02</v>
      </c>
      <c r="W83" s="15">
        <v>17.84</v>
      </c>
      <c r="X83" s="15">
        <v>17.73</v>
      </c>
      <c r="Y83" s="15">
        <v>17.34</v>
      </c>
      <c r="Z83" s="15">
        <v>17.07</v>
      </c>
      <c r="AA83" s="15">
        <v>17.22</v>
      </c>
      <c r="AB83" s="15">
        <v>17.66</v>
      </c>
      <c r="AC83" s="15">
        <v>18.7</v>
      </c>
      <c r="AD83" s="15">
        <v>20.13</v>
      </c>
      <c r="AE83" s="15">
        <v>21.88</v>
      </c>
      <c r="AF83" s="15">
        <v>23.85</v>
      </c>
      <c r="AG83" s="15">
        <v>25.76</v>
      </c>
      <c r="AH83" s="15">
        <v>27.9</v>
      </c>
      <c r="AI83" s="15">
        <v>30.1</v>
      </c>
      <c r="AJ83" s="15">
        <v>32.770000000000003</v>
      </c>
      <c r="AK83" s="15">
        <v>35.9</v>
      </c>
      <c r="AL83" s="15">
        <v>39.869999999999997</v>
      </c>
      <c r="AM83" s="15">
        <v>44.41</v>
      </c>
      <c r="AN83" s="15">
        <v>49.29</v>
      </c>
      <c r="AO83" s="15">
        <v>54.27</v>
      </c>
      <c r="AP83" s="15">
        <v>58.97</v>
      </c>
      <c r="AQ83" s="15">
        <v>62.75</v>
      </c>
      <c r="AR83" s="15">
        <v>65.78</v>
      </c>
      <c r="AS83" s="15">
        <v>67.900000000000006</v>
      </c>
      <c r="AT83" s="15">
        <v>69.010000000000005</v>
      </c>
      <c r="AU83" s="15">
        <v>69.17</v>
      </c>
      <c r="AV83" s="15">
        <v>68.84</v>
      </c>
      <c r="AW83" s="15">
        <v>68.42</v>
      </c>
      <c r="AX83" s="15">
        <v>68.959999999999994</v>
      </c>
      <c r="AY83" s="15">
        <v>71.290000000000006</v>
      </c>
      <c r="AZ83" s="15">
        <v>75.89</v>
      </c>
      <c r="BA83" s="15">
        <v>82.23</v>
      </c>
      <c r="BB83" s="15">
        <v>90.2</v>
      </c>
      <c r="BC83" s="15">
        <v>99.75</v>
      </c>
      <c r="BD83" s="15">
        <v>110.26</v>
      </c>
      <c r="BE83" s="15">
        <v>121.43</v>
      </c>
      <c r="BF83" s="15">
        <v>132.96</v>
      </c>
      <c r="BG83" s="15">
        <v>144.91999999999999</v>
      </c>
      <c r="BH83" s="15">
        <v>157.54</v>
      </c>
      <c r="BI83" s="15">
        <v>170.82</v>
      </c>
      <c r="BJ83" s="15">
        <v>185</v>
      </c>
      <c r="BK83" s="15">
        <v>200.41</v>
      </c>
      <c r="BL83" s="15">
        <v>217.1</v>
      </c>
      <c r="BM83" s="15">
        <v>234.94</v>
      </c>
      <c r="BN83" s="15">
        <v>254.11</v>
      </c>
      <c r="BO83" s="15">
        <v>274.83</v>
      </c>
      <c r="BP83" s="15">
        <v>297.49</v>
      </c>
      <c r="BQ83" s="15">
        <v>323.69</v>
      </c>
      <c r="BR83" s="15">
        <v>353.77</v>
      </c>
      <c r="BS83" s="15">
        <v>385.25</v>
      </c>
      <c r="BT83" s="15">
        <v>416.93</v>
      </c>
      <c r="BU83" s="15">
        <v>450.31</v>
      </c>
      <c r="BV83" s="15">
        <v>488.28</v>
      </c>
      <c r="BW83" s="15">
        <v>531.11</v>
      </c>
      <c r="BX83" s="15">
        <v>577.88</v>
      </c>
      <c r="BY83" s="15">
        <v>629.29999999999995</v>
      </c>
      <c r="BZ83" s="15">
        <v>686.59</v>
      </c>
      <c r="CA83" s="15">
        <v>750.6</v>
      </c>
      <c r="CB83" s="15">
        <v>821.13</v>
      </c>
      <c r="CC83" s="15">
        <v>898.98</v>
      </c>
      <c r="CD83" s="15">
        <v>985.56</v>
      </c>
      <c r="CE83" s="15">
        <v>1082.21</v>
      </c>
      <c r="CF83" s="15">
        <v>1190.21</v>
      </c>
      <c r="CG83" s="15">
        <v>1310.49</v>
      </c>
      <c r="CH83" s="15">
        <v>1443.64</v>
      </c>
      <c r="CI83" s="15">
        <v>1590.83</v>
      </c>
      <c r="CJ83" s="15">
        <v>1753.17</v>
      </c>
      <c r="CK83" s="15">
        <v>1930.11</v>
      </c>
      <c r="CL83" s="15">
        <v>2120.39</v>
      </c>
      <c r="CM83" s="15">
        <v>2325.2199999999998</v>
      </c>
      <c r="CN83" s="15">
        <v>2547.9499999999998</v>
      </c>
      <c r="CO83" s="15">
        <v>2788.54</v>
      </c>
      <c r="CP83" s="15">
        <v>3045.82</v>
      </c>
      <c r="CQ83" s="15">
        <v>3321.22</v>
      </c>
      <c r="CR83" s="15">
        <v>3618.19</v>
      </c>
      <c r="CS83" s="15">
        <v>3943.19</v>
      </c>
      <c r="CT83" s="15">
        <v>4301.12</v>
      </c>
      <c r="CU83" s="15">
        <v>4685.55</v>
      </c>
      <c r="CV83" s="15">
        <v>5093.1099999999997</v>
      </c>
      <c r="CW83" s="15">
        <v>5531.74</v>
      </c>
      <c r="CX83" s="15">
        <v>6002.21</v>
      </c>
    </row>
    <row r="84" spans="1:102" s="12" customFormat="1" ht="15.75" thickBot="1" x14ac:dyDescent="0.3">
      <c r="A84" s="72">
        <v>2062</v>
      </c>
      <c r="B84" s="73">
        <v>219.81</v>
      </c>
      <c r="C84" s="73">
        <v>20.09</v>
      </c>
      <c r="D84" s="73">
        <v>9.44</v>
      </c>
      <c r="E84" s="73">
        <v>5.0199999999999996</v>
      </c>
      <c r="F84" s="73">
        <v>4.17</v>
      </c>
      <c r="G84" s="73">
        <v>3.71</v>
      </c>
      <c r="H84" s="73">
        <v>3.59</v>
      </c>
      <c r="I84" s="73">
        <v>3.42</v>
      </c>
      <c r="J84" s="73">
        <v>3.25</v>
      </c>
      <c r="K84" s="73">
        <v>3.08</v>
      </c>
      <c r="L84" s="73">
        <v>3.02</v>
      </c>
      <c r="M84" s="73">
        <v>3.24</v>
      </c>
      <c r="N84" s="73">
        <v>3.68</v>
      </c>
      <c r="O84" s="73">
        <v>4.29</v>
      </c>
      <c r="P84" s="73">
        <v>5.01</v>
      </c>
      <c r="Q84" s="73">
        <v>6.43</v>
      </c>
      <c r="R84" s="73">
        <v>8.2200000000000006</v>
      </c>
      <c r="S84" s="73">
        <v>10.32</v>
      </c>
      <c r="T84" s="73">
        <v>12.86</v>
      </c>
      <c r="U84" s="73">
        <v>15.13</v>
      </c>
      <c r="V84" s="73">
        <v>16.84</v>
      </c>
      <c r="W84" s="73">
        <v>17.72</v>
      </c>
      <c r="X84" s="73">
        <v>17.55</v>
      </c>
      <c r="Y84" s="73">
        <v>17.170000000000002</v>
      </c>
      <c r="Z84" s="73">
        <v>16.95</v>
      </c>
      <c r="AA84" s="73">
        <v>17</v>
      </c>
      <c r="AB84" s="73">
        <v>17.45</v>
      </c>
      <c r="AC84" s="73">
        <v>18.489999999999998</v>
      </c>
      <c r="AD84" s="73">
        <v>19.96</v>
      </c>
      <c r="AE84" s="73">
        <v>21.71</v>
      </c>
      <c r="AF84" s="73">
        <v>23.49</v>
      </c>
      <c r="AG84" s="73">
        <v>25.4</v>
      </c>
      <c r="AH84" s="73">
        <v>27.5</v>
      </c>
      <c r="AI84" s="73">
        <v>29.84</v>
      </c>
      <c r="AJ84" s="73">
        <v>32.409999999999997</v>
      </c>
      <c r="AK84" s="73">
        <v>35.49</v>
      </c>
      <c r="AL84" s="73">
        <v>39.4</v>
      </c>
      <c r="AM84" s="73">
        <v>43.84</v>
      </c>
      <c r="AN84" s="73">
        <v>48.67</v>
      </c>
      <c r="AO84" s="73">
        <v>53.6</v>
      </c>
      <c r="AP84" s="73">
        <v>58.2</v>
      </c>
      <c r="AQ84" s="73">
        <v>61.98</v>
      </c>
      <c r="AR84" s="73">
        <v>65</v>
      </c>
      <c r="AS84" s="73">
        <v>67.11</v>
      </c>
      <c r="AT84" s="73">
        <v>68.13</v>
      </c>
      <c r="AU84" s="73">
        <v>68.33</v>
      </c>
      <c r="AV84" s="73">
        <v>67.95</v>
      </c>
      <c r="AW84" s="73">
        <v>67.63</v>
      </c>
      <c r="AX84" s="73">
        <v>68.12</v>
      </c>
      <c r="AY84" s="73">
        <v>70.45</v>
      </c>
      <c r="AZ84" s="73">
        <v>74.98</v>
      </c>
      <c r="BA84" s="73">
        <v>81.239999999999995</v>
      </c>
      <c r="BB84" s="73">
        <v>89.12</v>
      </c>
      <c r="BC84" s="73">
        <v>98.55</v>
      </c>
      <c r="BD84" s="73">
        <v>108.94</v>
      </c>
      <c r="BE84" s="73">
        <v>119.97</v>
      </c>
      <c r="BF84" s="73">
        <v>131.36000000000001</v>
      </c>
      <c r="BG84" s="73">
        <v>143.18</v>
      </c>
      <c r="BH84" s="73">
        <v>155.65</v>
      </c>
      <c r="BI84" s="73">
        <v>168.77</v>
      </c>
      <c r="BJ84" s="73">
        <v>182.78</v>
      </c>
      <c r="BK84" s="73">
        <v>198.01</v>
      </c>
      <c r="BL84" s="73">
        <v>214.5</v>
      </c>
      <c r="BM84" s="73">
        <v>232.12</v>
      </c>
      <c r="BN84" s="73">
        <v>251.06</v>
      </c>
      <c r="BO84" s="73">
        <v>271.54000000000002</v>
      </c>
      <c r="BP84" s="73">
        <v>293.92</v>
      </c>
      <c r="BQ84" s="73">
        <v>319.81</v>
      </c>
      <c r="BR84" s="73">
        <v>349.53</v>
      </c>
      <c r="BS84" s="73">
        <v>380.64</v>
      </c>
      <c r="BT84" s="73">
        <v>411.94</v>
      </c>
      <c r="BU84" s="73">
        <v>444.93</v>
      </c>
      <c r="BV84" s="73">
        <v>482.44</v>
      </c>
      <c r="BW84" s="73">
        <v>524.76</v>
      </c>
      <c r="BX84" s="73">
        <v>570.98</v>
      </c>
      <c r="BY84" s="73">
        <v>621.78</v>
      </c>
      <c r="BZ84" s="73">
        <v>678.39</v>
      </c>
      <c r="CA84" s="73">
        <v>741.64</v>
      </c>
      <c r="CB84" s="73">
        <v>811.33</v>
      </c>
      <c r="CC84" s="73">
        <v>888.27</v>
      </c>
      <c r="CD84" s="73">
        <v>973.82</v>
      </c>
      <c r="CE84" s="73">
        <v>1069.33</v>
      </c>
      <c r="CF84" s="73">
        <v>1176.05</v>
      </c>
      <c r="CG84" s="73">
        <v>1294.92</v>
      </c>
      <c r="CH84" s="73">
        <v>1426.51</v>
      </c>
      <c r="CI84" s="73">
        <v>1571.98</v>
      </c>
      <c r="CJ84" s="73">
        <v>1732.42</v>
      </c>
      <c r="CK84" s="73">
        <v>1907.3</v>
      </c>
      <c r="CL84" s="73">
        <v>2095.36</v>
      </c>
      <c r="CM84" s="73">
        <v>2297.81</v>
      </c>
      <c r="CN84" s="73">
        <v>2517.96</v>
      </c>
      <c r="CO84" s="73">
        <v>2755.79</v>
      </c>
      <c r="CP84" s="73">
        <v>3010.12</v>
      </c>
      <c r="CQ84" s="73">
        <v>3282.37</v>
      </c>
      <c r="CR84" s="73">
        <v>3575.97</v>
      </c>
      <c r="CS84" s="73">
        <v>3897.29</v>
      </c>
      <c r="CT84" s="73">
        <v>4251.1899999999996</v>
      </c>
      <c r="CU84" s="73">
        <v>4631.33</v>
      </c>
      <c r="CV84" s="73">
        <v>5034.37</v>
      </c>
      <c r="CW84" s="73">
        <v>5468.19</v>
      </c>
      <c r="CX84" s="73">
        <v>5933.54</v>
      </c>
    </row>
    <row r="85" spans="1:102" x14ac:dyDescent="0.25">
      <c r="A85" s="70" t="s">
        <v>79</v>
      </c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</row>
    <row r="86" spans="1:102" x14ac:dyDescent="0.25">
      <c r="B86" s="618" t="s">
        <v>54</v>
      </c>
      <c r="C86" s="618"/>
      <c r="D86" s="618"/>
      <c r="E86" s="618"/>
      <c r="F86" s="618"/>
      <c r="G86" s="618"/>
      <c r="H86" s="618"/>
      <c r="I86" s="618"/>
      <c r="J86" s="618"/>
      <c r="K86" s="618"/>
      <c r="L86" s="618"/>
      <c r="M86" s="618"/>
      <c r="N86" s="618"/>
      <c r="O86" s="618"/>
      <c r="P86" s="618"/>
      <c r="Q86" s="618"/>
      <c r="R86" s="618"/>
      <c r="S86" s="618"/>
      <c r="T86" s="618"/>
      <c r="U86" s="618"/>
      <c r="V86" s="618"/>
      <c r="W86" s="618"/>
      <c r="X86" s="618"/>
      <c r="Y86" s="618"/>
      <c r="Z86" s="618"/>
      <c r="AA86" s="618"/>
      <c r="AB86" s="618"/>
      <c r="AC86" s="618"/>
      <c r="AD86" s="618"/>
      <c r="AE86" s="618"/>
      <c r="AF86" s="618"/>
      <c r="AG86" s="618"/>
      <c r="AH86" s="618"/>
      <c r="AI86" s="618"/>
      <c r="AJ86" s="618"/>
      <c r="AK86" s="618"/>
      <c r="AL86" s="618"/>
      <c r="AM86" s="618"/>
      <c r="AN86" s="618"/>
      <c r="AO86" s="618"/>
      <c r="AP86" s="618"/>
      <c r="AQ86" s="618"/>
      <c r="AR86" s="618"/>
      <c r="AS86" s="618"/>
      <c r="AT86" s="618"/>
      <c r="AU86" s="618"/>
      <c r="AV86" s="618"/>
      <c r="AW86" s="618"/>
      <c r="AX86" s="618"/>
      <c r="AY86" s="618"/>
      <c r="AZ86" s="618"/>
      <c r="BA86" s="618"/>
      <c r="BB86" s="618"/>
      <c r="BC86" s="618"/>
      <c r="BD86" s="618"/>
      <c r="BE86" s="618"/>
      <c r="BF86" s="618"/>
      <c r="BG86" s="618"/>
      <c r="BH86" s="618"/>
      <c r="BI86" s="618"/>
      <c r="BJ86" s="618"/>
      <c r="BK86" s="618"/>
      <c r="BL86" s="618"/>
      <c r="BM86" s="618"/>
      <c r="BN86" s="618"/>
      <c r="BO86" s="618"/>
      <c r="BP86" s="618"/>
      <c r="BQ86" s="618"/>
      <c r="BR86" s="618"/>
      <c r="BS86" s="618"/>
      <c r="BT86" s="618"/>
      <c r="BU86" s="618"/>
      <c r="BV86" s="618"/>
      <c r="BW86" s="618"/>
      <c r="BX86" s="618"/>
      <c r="BY86" s="618"/>
      <c r="BZ86" s="618"/>
      <c r="CA86" s="618"/>
      <c r="CB86" s="618"/>
      <c r="CC86" s="618"/>
      <c r="CD86" s="618"/>
      <c r="CE86" s="618"/>
      <c r="CF86" s="618"/>
      <c r="CG86" s="618"/>
      <c r="CH86" s="618"/>
      <c r="CI86" s="618"/>
      <c r="CJ86" s="618"/>
      <c r="CK86" s="618"/>
      <c r="CL86" s="618"/>
      <c r="CM86" s="618"/>
      <c r="CN86" s="618"/>
      <c r="CO86" s="618"/>
      <c r="CP86" s="618"/>
      <c r="CQ86" s="618"/>
      <c r="CR86" s="618"/>
      <c r="CS86" s="618"/>
      <c r="CT86" s="618"/>
      <c r="CU86" s="618"/>
      <c r="CV86" s="618"/>
      <c r="CW86" s="618"/>
      <c r="CX86" s="618"/>
    </row>
    <row r="87" spans="1:102" x14ac:dyDescent="0.25">
      <c r="A87" s="68" t="s">
        <v>47</v>
      </c>
      <c r="B87" s="69">
        <v>0</v>
      </c>
      <c r="C87" s="70">
        <v>1</v>
      </c>
      <c r="D87" s="70">
        <v>2</v>
      </c>
      <c r="E87" s="70">
        <v>3</v>
      </c>
      <c r="F87" s="70">
        <v>4</v>
      </c>
      <c r="G87" s="70">
        <v>5</v>
      </c>
      <c r="H87" s="70">
        <v>6</v>
      </c>
      <c r="I87" s="70">
        <v>7</v>
      </c>
      <c r="J87" s="70">
        <v>8</v>
      </c>
      <c r="K87" s="70">
        <v>9</v>
      </c>
      <c r="L87" s="70">
        <v>10</v>
      </c>
      <c r="M87" s="70">
        <v>11</v>
      </c>
      <c r="N87" s="70">
        <v>12</v>
      </c>
      <c r="O87" s="70">
        <v>13</v>
      </c>
      <c r="P87" s="70">
        <v>14</v>
      </c>
      <c r="Q87" s="70">
        <v>15</v>
      </c>
      <c r="R87" s="70">
        <v>16</v>
      </c>
      <c r="S87" s="70">
        <v>17</v>
      </c>
      <c r="T87" s="70">
        <v>18</v>
      </c>
      <c r="U87" s="70">
        <v>19</v>
      </c>
      <c r="V87" s="70">
        <v>20</v>
      </c>
      <c r="W87" s="70">
        <v>21</v>
      </c>
      <c r="X87" s="70">
        <v>22</v>
      </c>
      <c r="Y87" s="70">
        <v>23</v>
      </c>
      <c r="Z87" s="70">
        <v>24</v>
      </c>
      <c r="AA87" s="70">
        <v>25</v>
      </c>
      <c r="AB87" s="70">
        <v>26</v>
      </c>
      <c r="AC87" s="70">
        <v>27</v>
      </c>
      <c r="AD87" s="70">
        <v>28</v>
      </c>
      <c r="AE87" s="70">
        <v>29</v>
      </c>
      <c r="AF87" s="70">
        <v>30</v>
      </c>
      <c r="AG87" s="70">
        <v>31</v>
      </c>
      <c r="AH87" s="70">
        <v>32</v>
      </c>
      <c r="AI87" s="70">
        <v>33</v>
      </c>
      <c r="AJ87" s="70">
        <v>34</v>
      </c>
      <c r="AK87" s="70">
        <v>35</v>
      </c>
      <c r="AL87" s="70">
        <v>36</v>
      </c>
      <c r="AM87" s="70">
        <v>37</v>
      </c>
      <c r="AN87" s="70">
        <v>38</v>
      </c>
      <c r="AO87" s="70">
        <v>39</v>
      </c>
      <c r="AP87" s="70">
        <v>40</v>
      </c>
      <c r="AQ87" s="70">
        <v>41</v>
      </c>
      <c r="AR87" s="70">
        <v>42</v>
      </c>
      <c r="AS87" s="70">
        <v>43</v>
      </c>
      <c r="AT87" s="70">
        <v>44</v>
      </c>
      <c r="AU87" s="70">
        <v>45</v>
      </c>
      <c r="AV87" s="70">
        <v>46</v>
      </c>
      <c r="AW87" s="70">
        <v>47</v>
      </c>
      <c r="AX87" s="70">
        <v>48</v>
      </c>
      <c r="AY87" s="70">
        <v>49</v>
      </c>
      <c r="AZ87" s="70">
        <v>50</v>
      </c>
      <c r="BA87" s="70">
        <v>51</v>
      </c>
      <c r="BB87" s="70">
        <v>52</v>
      </c>
      <c r="BC87" s="70">
        <v>53</v>
      </c>
      <c r="BD87" s="70">
        <v>54</v>
      </c>
      <c r="BE87" s="70">
        <v>55</v>
      </c>
      <c r="BF87" s="70">
        <v>56</v>
      </c>
      <c r="BG87" s="70">
        <v>57</v>
      </c>
      <c r="BH87" s="70">
        <v>58</v>
      </c>
      <c r="BI87" s="70">
        <v>59</v>
      </c>
      <c r="BJ87" s="70">
        <v>60</v>
      </c>
      <c r="BK87" s="70">
        <v>61</v>
      </c>
      <c r="BL87" s="70">
        <v>62</v>
      </c>
      <c r="BM87" s="70">
        <v>63</v>
      </c>
      <c r="BN87" s="70">
        <v>64</v>
      </c>
      <c r="BO87" s="70">
        <v>65</v>
      </c>
      <c r="BP87" s="70">
        <v>66</v>
      </c>
      <c r="BQ87" s="70">
        <v>67</v>
      </c>
      <c r="BR87" s="70">
        <v>68</v>
      </c>
      <c r="BS87" s="70">
        <v>69</v>
      </c>
      <c r="BT87" s="70">
        <v>70</v>
      </c>
      <c r="BU87" s="70">
        <v>71</v>
      </c>
      <c r="BV87" s="70">
        <v>72</v>
      </c>
      <c r="BW87" s="70">
        <v>73</v>
      </c>
      <c r="BX87" s="70">
        <v>74</v>
      </c>
      <c r="BY87" s="70">
        <v>75</v>
      </c>
      <c r="BZ87" s="70">
        <v>76</v>
      </c>
      <c r="CA87" s="70">
        <v>77</v>
      </c>
      <c r="CB87" s="70">
        <v>78</v>
      </c>
      <c r="CC87" s="70">
        <v>79</v>
      </c>
      <c r="CD87" s="70">
        <v>80</v>
      </c>
      <c r="CE87" s="70">
        <v>81</v>
      </c>
      <c r="CF87" s="70">
        <v>82</v>
      </c>
      <c r="CG87" s="70">
        <v>83</v>
      </c>
      <c r="CH87" s="70">
        <v>84</v>
      </c>
      <c r="CI87" s="70">
        <v>85</v>
      </c>
      <c r="CJ87" s="70">
        <v>86</v>
      </c>
      <c r="CK87" s="70">
        <v>87</v>
      </c>
      <c r="CL87" s="70">
        <v>88</v>
      </c>
      <c r="CM87" s="70">
        <v>89</v>
      </c>
      <c r="CN87" s="70">
        <v>90</v>
      </c>
      <c r="CO87" s="70">
        <v>91</v>
      </c>
      <c r="CP87" s="70">
        <v>92</v>
      </c>
      <c r="CQ87" s="70">
        <v>93</v>
      </c>
      <c r="CR87" s="70">
        <v>94</v>
      </c>
      <c r="CS87" s="70">
        <v>95</v>
      </c>
      <c r="CT87" s="70">
        <v>96</v>
      </c>
      <c r="CU87" s="70">
        <v>97</v>
      </c>
      <c r="CV87" s="70">
        <v>98</v>
      </c>
      <c r="CW87" s="70">
        <v>99</v>
      </c>
      <c r="CX87" s="70">
        <v>100</v>
      </c>
    </row>
    <row r="88" spans="1:102" x14ac:dyDescent="0.25">
      <c r="A88" s="71">
        <v>1981</v>
      </c>
      <c r="B88" s="15">
        <v>951.01</v>
      </c>
      <c r="C88" s="15">
        <v>67.400000000000006</v>
      </c>
      <c r="D88" s="15">
        <v>41.14</v>
      </c>
      <c r="E88" s="15">
        <v>25.79</v>
      </c>
      <c r="F88" s="15">
        <v>19.79</v>
      </c>
      <c r="G88" s="15">
        <v>17.739999999999998</v>
      </c>
      <c r="H88" s="15">
        <v>16.03</v>
      </c>
      <c r="I88" s="15">
        <v>16.57</v>
      </c>
      <c r="J88" s="15">
        <v>12.61</v>
      </c>
      <c r="K88" s="15">
        <v>13.44</v>
      </c>
      <c r="L88" s="15">
        <v>13.97</v>
      </c>
      <c r="M88" s="15">
        <v>9.2100000000000009</v>
      </c>
      <c r="N88" s="15">
        <v>13.66</v>
      </c>
      <c r="O88" s="15">
        <v>13.92</v>
      </c>
      <c r="P88" s="15">
        <v>18.07</v>
      </c>
      <c r="Q88" s="15">
        <v>22.21</v>
      </c>
      <c r="R88" s="15">
        <v>23.57</v>
      </c>
      <c r="S88" s="15">
        <v>32.17</v>
      </c>
      <c r="T88" s="15">
        <v>30.35</v>
      </c>
      <c r="U88" s="15">
        <v>34.46</v>
      </c>
      <c r="V88" s="15">
        <v>31.29</v>
      </c>
      <c r="W88" s="15">
        <v>29.91</v>
      </c>
      <c r="X88" s="15">
        <v>33.26</v>
      </c>
      <c r="Y88" s="15">
        <v>32.71</v>
      </c>
      <c r="Z88" s="15">
        <v>25.94</v>
      </c>
      <c r="AA88" s="15">
        <v>30.06</v>
      </c>
      <c r="AB88" s="15">
        <v>31.36</v>
      </c>
      <c r="AC88" s="15">
        <v>32.200000000000003</v>
      </c>
      <c r="AD88" s="15">
        <v>35.6</v>
      </c>
      <c r="AE88" s="15">
        <v>30.13</v>
      </c>
      <c r="AF88" s="15">
        <v>37.15</v>
      </c>
      <c r="AG88" s="15">
        <v>40.03</v>
      </c>
      <c r="AH88" s="15">
        <v>46.8</v>
      </c>
      <c r="AI88" s="15">
        <v>48.72</v>
      </c>
      <c r="AJ88" s="15">
        <v>52.4</v>
      </c>
      <c r="AK88" s="15">
        <v>56.4</v>
      </c>
      <c r="AL88" s="15">
        <v>61.23</v>
      </c>
      <c r="AM88" s="15">
        <v>66.64</v>
      </c>
      <c r="AN88" s="15">
        <v>72.39</v>
      </c>
      <c r="AO88" s="15">
        <v>78.209999999999994</v>
      </c>
      <c r="AP88" s="15">
        <v>83.89</v>
      </c>
      <c r="AQ88" s="15">
        <v>88.84</v>
      </c>
      <c r="AR88" s="15">
        <v>93.17</v>
      </c>
      <c r="AS88" s="15">
        <v>97.35</v>
      </c>
      <c r="AT88" s="15">
        <v>101.48</v>
      </c>
      <c r="AU88" s="15">
        <v>106.17</v>
      </c>
      <c r="AV88" s="15">
        <v>112.07</v>
      </c>
      <c r="AW88" s="15">
        <v>119.47</v>
      </c>
      <c r="AX88" s="15">
        <v>128.66999999999999</v>
      </c>
      <c r="AY88" s="15">
        <v>139.61000000000001</v>
      </c>
      <c r="AZ88" s="15">
        <v>152.30000000000001</v>
      </c>
      <c r="BA88" s="15">
        <v>166.17</v>
      </c>
      <c r="BB88" s="15">
        <v>181.18</v>
      </c>
      <c r="BC88" s="15">
        <v>197.36</v>
      </c>
      <c r="BD88" s="15">
        <v>214.48</v>
      </c>
      <c r="BE88" s="15">
        <v>232.53</v>
      </c>
      <c r="BF88" s="15">
        <v>251.76</v>
      </c>
      <c r="BG88" s="15">
        <v>272.23</v>
      </c>
      <c r="BH88" s="15">
        <v>293.95999999999998</v>
      </c>
      <c r="BI88" s="15">
        <v>316.91000000000003</v>
      </c>
      <c r="BJ88" s="15">
        <v>341.81</v>
      </c>
      <c r="BK88" s="15">
        <v>368.68</v>
      </c>
      <c r="BL88" s="15">
        <v>397.32</v>
      </c>
      <c r="BM88" s="15">
        <v>427.99</v>
      </c>
      <c r="BN88" s="15">
        <v>461.53</v>
      </c>
      <c r="BO88" s="15">
        <v>497.83</v>
      </c>
      <c r="BP88" s="15">
        <v>537.54999999999995</v>
      </c>
      <c r="BQ88" s="15">
        <v>583.70000000000005</v>
      </c>
      <c r="BR88" s="15">
        <v>636.99</v>
      </c>
      <c r="BS88" s="15">
        <v>693.51</v>
      </c>
      <c r="BT88" s="15">
        <v>750.91</v>
      </c>
      <c r="BU88" s="15">
        <v>811.76</v>
      </c>
      <c r="BV88" s="15">
        <v>881.08</v>
      </c>
      <c r="BW88" s="15">
        <v>959.27</v>
      </c>
      <c r="BX88" s="15">
        <v>1046.05</v>
      </c>
      <c r="BY88" s="15">
        <v>1143.0999999999999</v>
      </c>
      <c r="BZ88" s="15">
        <v>1253.55</v>
      </c>
      <c r="CA88" s="15">
        <v>1379.06</v>
      </c>
      <c r="CB88" s="15">
        <v>1521.03</v>
      </c>
      <c r="CC88" s="15">
        <v>1680.68</v>
      </c>
      <c r="CD88" s="15">
        <v>1859.04</v>
      </c>
      <c r="CE88" s="15">
        <v>2057.77</v>
      </c>
      <c r="CF88" s="15">
        <v>2279.2199999999998</v>
      </c>
      <c r="CG88" s="15">
        <v>2526.92</v>
      </c>
      <c r="CH88" s="15">
        <v>2804.7</v>
      </c>
      <c r="CI88" s="15">
        <v>3114.01</v>
      </c>
      <c r="CJ88" s="15">
        <v>3457.4</v>
      </c>
      <c r="CK88" s="15">
        <v>3838.24</v>
      </c>
      <c r="CL88" s="15">
        <v>4258.72</v>
      </c>
      <c r="CM88" s="15">
        <v>4721.8100000000004</v>
      </c>
      <c r="CN88" s="15">
        <v>5230.97</v>
      </c>
      <c r="CO88" s="15">
        <v>5792.53</v>
      </c>
      <c r="CP88" s="15">
        <v>6410.58</v>
      </c>
      <c r="CQ88" s="15">
        <v>7084.1</v>
      </c>
      <c r="CR88" s="15">
        <v>7804.41</v>
      </c>
      <c r="CS88" s="15">
        <v>8556.24</v>
      </c>
      <c r="CT88" s="15">
        <v>9322.7900000000009</v>
      </c>
      <c r="CU88" s="15">
        <v>10101.129999999999</v>
      </c>
      <c r="CV88" s="15">
        <v>10908.66</v>
      </c>
      <c r="CW88" s="15">
        <v>11774.27</v>
      </c>
      <c r="CX88" s="15">
        <v>12733.39</v>
      </c>
    </row>
    <row r="89" spans="1:102" x14ac:dyDescent="0.25">
      <c r="A89" s="71">
        <v>1982</v>
      </c>
      <c r="B89" s="15">
        <v>953.39</v>
      </c>
      <c r="C89" s="15">
        <v>65.59</v>
      </c>
      <c r="D89" s="15">
        <v>36.520000000000003</v>
      </c>
      <c r="E89" s="15">
        <v>29.56</v>
      </c>
      <c r="F89" s="15">
        <v>24.84</v>
      </c>
      <c r="G89" s="15">
        <v>18.82</v>
      </c>
      <c r="H89" s="15">
        <v>16.25</v>
      </c>
      <c r="I89" s="15">
        <v>13.66</v>
      </c>
      <c r="J89" s="15">
        <v>13.35</v>
      </c>
      <c r="K89" s="15">
        <v>15.59</v>
      </c>
      <c r="L89" s="15">
        <v>10.78</v>
      </c>
      <c r="M89" s="15">
        <v>11.33</v>
      </c>
      <c r="N89" s="15">
        <v>12.74</v>
      </c>
      <c r="O89" s="15">
        <v>15.55</v>
      </c>
      <c r="P89" s="15">
        <v>20.9</v>
      </c>
      <c r="Q89" s="15">
        <v>26.5</v>
      </c>
      <c r="R89" s="15">
        <v>31.27</v>
      </c>
      <c r="S89" s="15">
        <v>30.71</v>
      </c>
      <c r="T89" s="15">
        <v>38.54</v>
      </c>
      <c r="U89" s="15">
        <v>24.25</v>
      </c>
      <c r="V89" s="15">
        <v>29.94</v>
      </c>
      <c r="W89" s="15">
        <v>28.29</v>
      </c>
      <c r="X89" s="15">
        <v>29.11</v>
      </c>
      <c r="Y89" s="15">
        <v>30.34</v>
      </c>
      <c r="Z89" s="15">
        <v>28.35</v>
      </c>
      <c r="AA89" s="15">
        <v>25.07</v>
      </c>
      <c r="AB89" s="15">
        <v>31.9</v>
      </c>
      <c r="AC89" s="15">
        <v>31.57</v>
      </c>
      <c r="AD89" s="15">
        <v>37.18</v>
      </c>
      <c r="AE89" s="15">
        <v>33.46</v>
      </c>
      <c r="AF89" s="15">
        <v>34.53</v>
      </c>
      <c r="AG89" s="15">
        <v>43.22</v>
      </c>
      <c r="AH89" s="15">
        <v>44.86</v>
      </c>
      <c r="AI89" s="15">
        <v>48.2</v>
      </c>
      <c r="AJ89" s="15">
        <v>51.83</v>
      </c>
      <c r="AK89" s="15">
        <v>55.89</v>
      </c>
      <c r="AL89" s="15">
        <v>60.74</v>
      </c>
      <c r="AM89" s="15">
        <v>66.16</v>
      </c>
      <c r="AN89" s="15">
        <v>71.7</v>
      </c>
      <c r="AO89" s="15">
        <v>77.59</v>
      </c>
      <c r="AP89" s="15">
        <v>83.16</v>
      </c>
      <c r="AQ89" s="15">
        <v>87.95</v>
      </c>
      <c r="AR89" s="15">
        <v>92.07</v>
      </c>
      <c r="AS89" s="15">
        <v>96.02</v>
      </c>
      <c r="AT89" s="15">
        <v>99.98</v>
      </c>
      <c r="AU89" s="15">
        <v>104.52</v>
      </c>
      <c r="AV89" s="15">
        <v>110.37</v>
      </c>
      <c r="AW89" s="15">
        <v>117.72</v>
      </c>
      <c r="AX89" s="15">
        <v>126.76</v>
      </c>
      <c r="AY89" s="15">
        <v>137.72</v>
      </c>
      <c r="AZ89" s="15">
        <v>150.32</v>
      </c>
      <c r="BA89" s="15">
        <v>164.04</v>
      </c>
      <c r="BB89" s="15">
        <v>178.84</v>
      </c>
      <c r="BC89" s="15">
        <v>194.93</v>
      </c>
      <c r="BD89" s="15">
        <v>211.96</v>
      </c>
      <c r="BE89" s="15">
        <v>229.8</v>
      </c>
      <c r="BF89" s="15">
        <v>248.71</v>
      </c>
      <c r="BG89" s="15">
        <v>269.02999999999997</v>
      </c>
      <c r="BH89" s="15">
        <v>290.37</v>
      </c>
      <c r="BI89" s="15">
        <v>313.22000000000003</v>
      </c>
      <c r="BJ89" s="15">
        <v>337.91</v>
      </c>
      <c r="BK89" s="15">
        <v>364.33</v>
      </c>
      <c r="BL89" s="15">
        <v>392.52</v>
      </c>
      <c r="BM89" s="15">
        <v>422.96</v>
      </c>
      <c r="BN89" s="15">
        <v>456.04</v>
      </c>
      <c r="BO89" s="15">
        <v>491.92</v>
      </c>
      <c r="BP89" s="15">
        <v>531.28</v>
      </c>
      <c r="BQ89" s="15">
        <v>576.88</v>
      </c>
      <c r="BR89" s="15">
        <v>629.67999999999995</v>
      </c>
      <c r="BS89" s="15">
        <v>685.38</v>
      </c>
      <c r="BT89" s="15">
        <v>742</v>
      </c>
      <c r="BU89" s="15">
        <v>802.35</v>
      </c>
      <c r="BV89" s="15">
        <v>870.7</v>
      </c>
      <c r="BW89" s="15">
        <v>948.08</v>
      </c>
      <c r="BX89" s="15">
        <v>1033.6300000000001</v>
      </c>
      <c r="BY89" s="15">
        <v>1129.58</v>
      </c>
      <c r="BZ89" s="15">
        <v>1238.8</v>
      </c>
      <c r="CA89" s="15">
        <v>1362.87</v>
      </c>
      <c r="CB89" s="15">
        <v>1503.14</v>
      </c>
      <c r="CC89" s="15">
        <v>1661.03</v>
      </c>
      <c r="CD89" s="15">
        <v>1837.12</v>
      </c>
      <c r="CE89" s="15">
        <v>2033.62</v>
      </c>
      <c r="CF89" s="15">
        <v>2252.44</v>
      </c>
      <c r="CG89" s="15">
        <v>2497.2399999999998</v>
      </c>
      <c r="CH89" s="15">
        <v>2771.8</v>
      </c>
      <c r="CI89" s="15">
        <v>3077.61</v>
      </c>
      <c r="CJ89" s="15">
        <v>3417.14</v>
      </c>
      <c r="CK89" s="15">
        <v>3793.38</v>
      </c>
      <c r="CL89" s="15">
        <v>4209.0600000000004</v>
      </c>
      <c r="CM89" s="15">
        <v>4666.8500000000004</v>
      </c>
      <c r="CN89" s="15">
        <v>5170.33</v>
      </c>
      <c r="CO89" s="15">
        <v>5725.29</v>
      </c>
      <c r="CP89" s="15">
        <v>6336.46</v>
      </c>
      <c r="CQ89" s="15">
        <v>7002.4</v>
      </c>
      <c r="CR89" s="15">
        <v>7714.68</v>
      </c>
      <c r="CS89" s="15">
        <v>8458.36</v>
      </c>
      <c r="CT89" s="15">
        <v>9216.64</v>
      </c>
      <c r="CU89" s="15">
        <v>9986.4500000000007</v>
      </c>
      <c r="CV89" s="15">
        <v>10785.55</v>
      </c>
      <c r="CW89" s="15">
        <v>11641.82</v>
      </c>
      <c r="CX89" s="15">
        <v>12590.79</v>
      </c>
    </row>
    <row r="90" spans="1:102" x14ac:dyDescent="0.25">
      <c r="A90" s="71">
        <v>1983</v>
      </c>
      <c r="B90" s="15">
        <v>891.08</v>
      </c>
      <c r="C90" s="15">
        <v>66.92</v>
      </c>
      <c r="D90" s="15">
        <v>37.35</v>
      </c>
      <c r="E90" s="15">
        <v>27.49</v>
      </c>
      <c r="F90" s="15">
        <v>21.73</v>
      </c>
      <c r="G90" s="15">
        <v>16.579999999999998</v>
      </c>
      <c r="H90" s="15">
        <v>16.260000000000002</v>
      </c>
      <c r="I90" s="15">
        <v>13.39</v>
      </c>
      <c r="J90" s="15">
        <v>14.21</v>
      </c>
      <c r="K90" s="15">
        <v>14.21</v>
      </c>
      <c r="L90" s="15">
        <v>14.49</v>
      </c>
      <c r="M90" s="15">
        <v>9.93</v>
      </c>
      <c r="N90" s="15">
        <v>13.05</v>
      </c>
      <c r="O90" s="15">
        <v>13.31</v>
      </c>
      <c r="P90" s="15">
        <v>16.14</v>
      </c>
      <c r="Q90" s="15">
        <v>17.260000000000002</v>
      </c>
      <c r="R90" s="15">
        <v>22.9</v>
      </c>
      <c r="S90" s="15">
        <v>23.57</v>
      </c>
      <c r="T90" s="15">
        <v>29.55</v>
      </c>
      <c r="U90" s="15">
        <v>31.46</v>
      </c>
      <c r="V90" s="15">
        <v>29.26</v>
      </c>
      <c r="W90" s="15">
        <v>30.47</v>
      </c>
      <c r="X90" s="15">
        <v>28.22</v>
      </c>
      <c r="Y90" s="15">
        <v>24.7</v>
      </c>
      <c r="Z90" s="15">
        <v>30.34</v>
      </c>
      <c r="AA90" s="15">
        <v>27.77</v>
      </c>
      <c r="AB90" s="15">
        <v>28.67</v>
      </c>
      <c r="AC90" s="15">
        <v>34.590000000000003</v>
      </c>
      <c r="AD90" s="15">
        <v>31.84</v>
      </c>
      <c r="AE90" s="15">
        <v>32.89</v>
      </c>
      <c r="AF90" s="15">
        <v>39.83</v>
      </c>
      <c r="AG90" s="15">
        <v>41.42</v>
      </c>
      <c r="AH90" s="15">
        <v>44.37</v>
      </c>
      <c r="AI90" s="15">
        <v>47.72</v>
      </c>
      <c r="AJ90" s="15">
        <v>51.37</v>
      </c>
      <c r="AK90" s="15">
        <v>55.45</v>
      </c>
      <c r="AL90" s="15">
        <v>60.26</v>
      </c>
      <c r="AM90" s="15">
        <v>65.540000000000006</v>
      </c>
      <c r="AN90" s="15">
        <v>71.099999999999994</v>
      </c>
      <c r="AO90" s="15">
        <v>76.959999999999994</v>
      </c>
      <c r="AP90" s="15">
        <v>82.33</v>
      </c>
      <c r="AQ90" s="15">
        <v>86.85</v>
      </c>
      <c r="AR90" s="15">
        <v>90.87</v>
      </c>
      <c r="AS90" s="15">
        <v>94.67</v>
      </c>
      <c r="AT90" s="15">
        <v>98.47</v>
      </c>
      <c r="AU90" s="15">
        <v>102.96</v>
      </c>
      <c r="AV90" s="15">
        <v>108.78</v>
      </c>
      <c r="AW90" s="15">
        <v>115.99</v>
      </c>
      <c r="AX90" s="15">
        <v>124.95</v>
      </c>
      <c r="AY90" s="15">
        <v>135.88999999999999</v>
      </c>
      <c r="AZ90" s="15">
        <v>148.30000000000001</v>
      </c>
      <c r="BA90" s="15">
        <v>161.84</v>
      </c>
      <c r="BB90" s="15">
        <v>176.59</v>
      </c>
      <c r="BC90" s="15">
        <v>192.56</v>
      </c>
      <c r="BD90" s="15">
        <v>209.42</v>
      </c>
      <c r="BE90" s="15">
        <v>226.91</v>
      </c>
      <c r="BF90" s="15">
        <v>245.65</v>
      </c>
      <c r="BG90" s="15">
        <v>265.75</v>
      </c>
      <c r="BH90" s="15">
        <v>286.86</v>
      </c>
      <c r="BI90" s="15">
        <v>309.49</v>
      </c>
      <c r="BJ90" s="15">
        <v>333.84</v>
      </c>
      <c r="BK90" s="15">
        <v>359.91</v>
      </c>
      <c r="BL90" s="15">
        <v>387.82</v>
      </c>
      <c r="BM90" s="15">
        <v>417.98</v>
      </c>
      <c r="BN90" s="15">
        <v>450.48</v>
      </c>
      <c r="BO90" s="15">
        <v>486.02</v>
      </c>
      <c r="BP90" s="15">
        <v>524.91</v>
      </c>
      <c r="BQ90" s="15">
        <v>570</v>
      </c>
      <c r="BR90" s="15">
        <v>622.04</v>
      </c>
      <c r="BS90" s="15">
        <v>677.03</v>
      </c>
      <c r="BT90" s="15">
        <v>733.09</v>
      </c>
      <c r="BU90" s="15">
        <v>792.75</v>
      </c>
      <c r="BV90" s="15">
        <v>860.2</v>
      </c>
      <c r="BW90" s="15">
        <v>936.67</v>
      </c>
      <c r="BX90" s="15">
        <v>1021.02</v>
      </c>
      <c r="BY90" s="15">
        <v>1116.04</v>
      </c>
      <c r="BZ90" s="15">
        <v>1223.9000000000001</v>
      </c>
      <c r="CA90" s="15">
        <v>1346.42</v>
      </c>
      <c r="CB90" s="15">
        <v>1485.2</v>
      </c>
      <c r="CC90" s="15">
        <v>1640.99</v>
      </c>
      <c r="CD90" s="15">
        <v>1815.12</v>
      </c>
      <c r="CE90" s="15">
        <v>2009.25</v>
      </c>
      <c r="CF90" s="15">
        <v>2225.5300000000002</v>
      </c>
      <c r="CG90" s="15">
        <v>2467.4899999999998</v>
      </c>
      <c r="CH90" s="15">
        <v>2738.83</v>
      </c>
      <c r="CI90" s="15">
        <v>3041.11</v>
      </c>
      <c r="CJ90" s="15">
        <v>3376.59</v>
      </c>
      <c r="CK90" s="15">
        <v>3748.41</v>
      </c>
      <c r="CL90" s="15">
        <v>4159.38</v>
      </c>
      <c r="CM90" s="15">
        <v>4611.8900000000003</v>
      </c>
      <c r="CN90" s="15">
        <v>5109.8</v>
      </c>
      <c r="CO90" s="15">
        <v>5658.47</v>
      </c>
      <c r="CP90" s="15">
        <v>6262.74</v>
      </c>
      <c r="CQ90" s="15">
        <v>6921.02</v>
      </c>
      <c r="CR90" s="15">
        <v>7625.38</v>
      </c>
      <c r="CS90" s="15">
        <v>8361.08</v>
      </c>
      <c r="CT90" s="15">
        <v>9110.9</v>
      </c>
      <c r="CU90" s="15">
        <v>9872.3799999999992</v>
      </c>
      <c r="CV90" s="15">
        <v>10663.09</v>
      </c>
      <c r="CW90" s="15">
        <v>11510.19</v>
      </c>
      <c r="CX90" s="15">
        <v>12449.02</v>
      </c>
    </row>
    <row r="91" spans="1:102" x14ac:dyDescent="0.25">
      <c r="A91" s="71">
        <v>1984</v>
      </c>
      <c r="B91" s="15">
        <v>847.51</v>
      </c>
      <c r="C91" s="15">
        <v>77.48</v>
      </c>
      <c r="D91" s="15">
        <v>38.869999999999997</v>
      </c>
      <c r="E91" s="15">
        <v>28.51</v>
      </c>
      <c r="F91" s="15">
        <v>22.8</v>
      </c>
      <c r="G91" s="15">
        <v>19.36</v>
      </c>
      <c r="H91" s="15">
        <v>15.34</v>
      </c>
      <c r="I91" s="15">
        <v>15.88</v>
      </c>
      <c r="J91" s="15">
        <v>13.31</v>
      </c>
      <c r="K91" s="15">
        <v>11.32</v>
      </c>
      <c r="L91" s="15">
        <v>11.31</v>
      </c>
      <c r="M91" s="15">
        <v>14.11</v>
      </c>
      <c r="N91" s="15">
        <v>9.58</v>
      </c>
      <c r="O91" s="15">
        <v>14.63</v>
      </c>
      <c r="P91" s="15">
        <v>13.49</v>
      </c>
      <c r="Q91" s="15">
        <v>21.33</v>
      </c>
      <c r="R91" s="15">
        <v>20.52</v>
      </c>
      <c r="S91" s="15">
        <v>26.57</v>
      </c>
      <c r="T91" s="15">
        <v>26.47</v>
      </c>
      <c r="U91" s="15">
        <v>29.29</v>
      </c>
      <c r="V91" s="15">
        <v>29.31</v>
      </c>
      <c r="W91" s="15">
        <v>27.87</v>
      </c>
      <c r="X91" s="15">
        <v>25.62</v>
      </c>
      <c r="Y91" s="15">
        <v>23.75</v>
      </c>
      <c r="Z91" s="15">
        <v>27.07</v>
      </c>
      <c r="AA91" s="15">
        <v>30.17</v>
      </c>
      <c r="AB91" s="15">
        <v>28.19</v>
      </c>
      <c r="AC91" s="15">
        <v>34.03</v>
      </c>
      <c r="AD91" s="15">
        <v>33.67</v>
      </c>
      <c r="AE91" s="15">
        <v>36.24</v>
      </c>
      <c r="AF91" s="15">
        <v>38.090000000000003</v>
      </c>
      <c r="AG91" s="15">
        <v>40.880000000000003</v>
      </c>
      <c r="AH91" s="15">
        <v>44</v>
      </c>
      <c r="AI91" s="15">
        <v>47.3</v>
      </c>
      <c r="AJ91" s="15">
        <v>50.95</v>
      </c>
      <c r="AK91" s="15">
        <v>54.98</v>
      </c>
      <c r="AL91" s="15">
        <v>59.8</v>
      </c>
      <c r="AM91" s="15">
        <v>64.959999999999994</v>
      </c>
      <c r="AN91" s="15">
        <v>70.53</v>
      </c>
      <c r="AO91" s="15">
        <v>76.17</v>
      </c>
      <c r="AP91" s="15">
        <v>81.42</v>
      </c>
      <c r="AQ91" s="15">
        <v>85.83</v>
      </c>
      <c r="AR91" s="15">
        <v>89.73</v>
      </c>
      <c r="AS91" s="15">
        <v>93.47</v>
      </c>
      <c r="AT91" s="15">
        <v>97.05</v>
      </c>
      <c r="AU91" s="15">
        <v>101.66</v>
      </c>
      <c r="AV91" s="15">
        <v>107.19</v>
      </c>
      <c r="AW91" s="15">
        <v>114.35</v>
      </c>
      <c r="AX91" s="15">
        <v>123.25</v>
      </c>
      <c r="AY91" s="15">
        <v>134.13999999999999</v>
      </c>
      <c r="AZ91" s="15">
        <v>146.33000000000001</v>
      </c>
      <c r="BA91" s="15">
        <v>159.76</v>
      </c>
      <c r="BB91" s="15">
        <v>174.4</v>
      </c>
      <c r="BC91" s="15">
        <v>190.31</v>
      </c>
      <c r="BD91" s="15">
        <v>206.88</v>
      </c>
      <c r="BE91" s="15">
        <v>224.14</v>
      </c>
      <c r="BF91" s="15">
        <v>242.82</v>
      </c>
      <c r="BG91" s="15">
        <v>262.5</v>
      </c>
      <c r="BH91" s="15">
        <v>283.32</v>
      </c>
      <c r="BI91" s="15">
        <v>305.76</v>
      </c>
      <c r="BJ91" s="15">
        <v>329.8</v>
      </c>
      <c r="BK91" s="15">
        <v>355.62</v>
      </c>
      <c r="BL91" s="15">
        <v>383.27</v>
      </c>
      <c r="BM91" s="15">
        <v>412.93</v>
      </c>
      <c r="BN91" s="15">
        <v>445.1</v>
      </c>
      <c r="BO91" s="15">
        <v>480.29</v>
      </c>
      <c r="BP91" s="15">
        <v>518.6</v>
      </c>
      <c r="BQ91" s="15">
        <v>563.09</v>
      </c>
      <c r="BR91" s="15">
        <v>614.44000000000005</v>
      </c>
      <c r="BS91" s="15">
        <v>668.78</v>
      </c>
      <c r="BT91" s="15">
        <v>724.4</v>
      </c>
      <c r="BU91" s="15">
        <v>783.11</v>
      </c>
      <c r="BV91" s="15">
        <v>849.84</v>
      </c>
      <c r="BW91" s="15">
        <v>925.28</v>
      </c>
      <c r="BX91" s="15">
        <v>1008.8</v>
      </c>
      <c r="BY91" s="15">
        <v>1102.68</v>
      </c>
      <c r="BZ91" s="15">
        <v>1209.2</v>
      </c>
      <c r="CA91" s="15">
        <v>1330.34</v>
      </c>
      <c r="CB91" s="15">
        <v>1467.41</v>
      </c>
      <c r="CC91" s="15">
        <v>1621.35</v>
      </c>
      <c r="CD91" s="15">
        <v>1793.42</v>
      </c>
      <c r="CE91" s="15">
        <v>1985.34</v>
      </c>
      <c r="CF91" s="15">
        <v>2199.06</v>
      </c>
      <c r="CG91" s="15">
        <v>2438.12</v>
      </c>
      <c r="CH91" s="15">
        <v>2706.29</v>
      </c>
      <c r="CI91" s="15">
        <v>3005.11</v>
      </c>
      <c r="CJ91" s="15">
        <v>3336.7</v>
      </c>
      <c r="CK91" s="15">
        <v>3704.21</v>
      </c>
      <c r="CL91" s="15">
        <v>4110.43</v>
      </c>
      <c r="CM91" s="15">
        <v>4557.71</v>
      </c>
      <c r="CN91" s="15">
        <v>5049.9399999999996</v>
      </c>
      <c r="CO91" s="15">
        <v>5592.46</v>
      </c>
      <c r="CP91" s="15">
        <v>6189.73</v>
      </c>
      <c r="CQ91" s="15">
        <v>6840.78</v>
      </c>
      <c r="CR91" s="15">
        <v>7537.32</v>
      </c>
      <c r="CS91" s="15">
        <v>8264.6200000000008</v>
      </c>
      <c r="CT91" s="15">
        <v>9006.2800000000007</v>
      </c>
      <c r="CU91" s="15">
        <v>9759.75</v>
      </c>
      <c r="CV91" s="15">
        <v>10541.98</v>
      </c>
      <c r="CW91" s="15">
        <v>11379.83</v>
      </c>
      <c r="CX91" s="15">
        <v>12308.86</v>
      </c>
    </row>
    <row r="92" spans="1:102" x14ac:dyDescent="0.25">
      <c r="A92" s="71">
        <v>1985</v>
      </c>
      <c r="B92" s="15">
        <v>829.68</v>
      </c>
      <c r="C92" s="15">
        <v>67.010000000000005</v>
      </c>
      <c r="D92" s="15">
        <v>37.94</v>
      </c>
      <c r="E92" s="15">
        <v>32.619999999999997</v>
      </c>
      <c r="F92" s="15">
        <v>25.68</v>
      </c>
      <c r="G92" s="15">
        <v>14.62</v>
      </c>
      <c r="H92" s="15">
        <v>15.69</v>
      </c>
      <c r="I92" s="15">
        <v>12.93</v>
      </c>
      <c r="J92" s="15">
        <v>10.17</v>
      </c>
      <c r="K92" s="15">
        <v>10.98</v>
      </c>
      <c r="L92" s="15">
        <v>13.71</v>
      </c>
      <c r="M92" s="15">
        <v>7.94</v>
      </c>
      <c r="N92" s="15">
        <v>11.21</v>
      </c>
      <c r="O92" s="15">
        <v>13.65</v>
      </c>
      <c r="P92" s="15">
        <v>13.9</v>
      </c>
      <c r="Q92" s="15">
        <v>14.48</v>
      </c>
      <c r="R92" s="15">
        <v>25.27</v>
      </c>
      <c r="S92" s="15">
        <v>28.25</v>
      </c>
      <c r="T92" s="15">
        <v>26.32</v>
      </c>
      <c r="U92" s="15">
        <v>33.93</v>
      </c>
      <c r="V92" s="15">
        <v>30.04</v>
      </c>
      <c r="W92" s="15">
        <v>25.17</v>
      </c>
      <c r="X92" s="15">
        <v>25.99</v>
      </c>
      <c r="Y92" s="15">
        <v>24.69</v>
      </c>
      <c r="Z92" s="15">
        <v>22.77</v>
      </c>
      <c r="AA92" s="15">
        <v>24.61</v>
      </c>
      <c r="AB92" s="15">
        <v>28.86</v>
      </c>
      <c r="AC92" s="15">
        <v>29.2</v>
      </c>
      <c r="AD92" s="15">
        <v>32.85</v>
      </c>
      <c r="AE92" s="15">
        <v>34.56</v>
      </c>
      <c r="AF92" s="15">
        <v>37.479999999999997</v>
      </c>
      <c r="AG92" s="15">
        <v>40.47</v>
      </c>
      <c r="AH92" s="15">
        <v>43.51</v>
      </c>
      <c r="AI92" s="15">
        <v>46.79</v>
      </c>
      <c r="AJ92" s="15">
        <v>50.42</v>
      </c>
      <c r="AK92" s="15">
        <v>54.49</v>
      </c>
      <c r="AL92" s="15">
        <v>59.22</v>
      </c>
      <c r="AM92" s="15">
        <v>64.349999999999994</v>
      </c>
      <c r="AN92" s="15">
        <v>69.88</v>
      </c>
      <c r="AO92" s="15">
        <v>75.42</v>
      </c>
      <c r="AP92" s="15">
        <v>80.569999999999993</v>
      </c>
      <c r="AQ92" s="15">
        <v>84.9</v>
      </c>
      <c r="AR92" s="15">
        <v>88.71</v>
      </c>
      <c r="AS92" s="15">
        <v>92.14</v>
      </c>
      <c r="AT92" s="15">
        <v>95.86</v>
      </c>
      <c r="AU92" s="15">
        <v>100.21</v>
      </c>
      <c r="AV92" s="15">
        <v>105.64</v>
      </c>
      <c r="AW92" s="15">
        <v>112.81</v>
      </c>
      <c r="AX92" s="15">
        <v>121.71</v>
      </c>
      <c r="AY92" s="15">
        <v>132.35</v>
      </c>
      <c r="AZ92" s="15">
        <v>144.5</v>
      </c>
      <c r="BA92" s="15">
        <v>157.78</v>
      </c>
      <c r="BB92" s="15">
        <v>172.36</v>
      </c>
      <c r="BC92" s="15">
        <v>188.11</v>
      </c>
      <c r="BD92" s="15">
        <v>204.38</v>
      </c>
      <c r="BE92" s="15">
        <v>221.63</v>
      </c>
      <c r="BF92" s="15">
        <v>239.93</v>
      </c>
      <c r="BG92" s="15">
        <v>259.29000000000002</v>
      </c>
      <c r="BH92" s="15">
        <v>280</v>
      </c>
      <c r="BI92" s="15">
        <v>302.14999999999998</v>
      </c>
      <c r="BJ92" s="15">
        <v>325.89</v>
      </c>
      <c r="BK92" s="15">
        <v>351.39</v>
      </c>
      <c r="BL92" s="15">
        <v>378.64</v>
      </c>
      <c r="BM92" s="15">
        <v>408.05</v>
      </c>
      <c r="BN92" s="15">
        <v>439.9</v>
      </c>
      <c r="BO92" s="15">
        <v>474.62</v>
      </c>
      <c r="BP92" s="15">
        <v>512.37</v>
      </c>
      <c r="BQ92" s="15">
        <v>556.29999999999995</v>
      </c>
      <c r="BR92" s="15">
        <v>607.09</v>
      </c>
      <c r="BS92" s="15">
        <v>660.94</v>
      </c>
      <c r="BT92" s="15">
        <v>715.76</v>
      </c>
      <c r="BU92" s="15">
        <v>773.8</v>
      </c>
      <c r="BV92" s="15">
        <v>839.78</v>
      </c>
      <c r="BW92" s="15">
        <v>914.31</v>
      </c>
      <c r="BX92" s="15">
        <v>997.02</v>
      </c>
      <c r="BY92" s="15">
        <v>1089.5899999999999</v>
      </c>
      <c r="BZ92" s="15">
        <v>1195.03</v>
      </c>
      <c r="CA92" s="15">
        <v>1314.59</v>
      </c>
      <c r="CB92" s="15">
        <v>1450.06</v>
      </c>
      <c r="CC92" s="15">
        <v>1602.1</v>
      </c>
      <c r="CD92" s="15">
        <v>1772.35</v>
      </c>
      <c r="CE92" s="15">
        <v>1961.95</v>
      </c>
      <c r="CF92" s="15">
        <v>2173.12</v>
      </c>
      <c r="CG92" s="15">
        <v>2409.44</v>
      </c>
      <c r="CH92" s="15">
        <v>2674.44</v>
      </c>
      <c r="CI92" s="15">
        <v>2969.97</v>
      </c>
      <c r="CJ92" s="15">
        <v>3297.55</v>
      </c>
      <c r="CK92" s="15">
        <v>3661.02</v>
      </c>
      <c r="CL92" s="15">
        <v>4062.37</v>
      </c>
      <c r="CM92" s="15">
        <v>4504.6899999999996</v>
      </c>
      <c r="CN92" s="15">
        <v>4991.1899999999996</v>
      </c>
      <c r="CO92" s="15">
        <v>5527.32</v>
      </c>
      <c r="CP92" s="15">
        <v>6118.02</v>
      </c>
      <c r="CQ92" s="15">
        <v>6761.81</v>
      </c>
      <c r="CR92" s="15">
        <v>7450.52</v>
      </c>
      <c r="CS92" s="15">
        <v>8169.68</v>
      </c>
      <c r="CT92" s="15">
        <v>8903.4</v>
      </c>
      <c r="CU92" s="15">
        <v>9648.51</v>
      </c>
      <c r="CV92" s="15">
        <v>10422.25</v>
      </c>
      <c r="CW92" s="15">
        <v>11251.39</v>
      </c>
      <c r="CX92" s="15">
        <v>12170.34</v>
      </c>
    </row>
    <row r="93" spans="1:102" x14ac:dyDescent="0.25">
      <c r="A93" s="71">
        <v>1986</v>
      </c>
      <c r="B93" s="15">
        <v>808.11</v>
      </c>
      <c r="C93" s="15">
        <v>64.989999999999995</v>
      </c>
      <c r="D93" s="15">
        <v>39.24</v>
      </c>
      <c r="E93" s="15">
        <v>29.27</v>
      </c>
      <c r="F93" s="15">
        <v>17.48</v>
      </c>
      <c r="G93" s="15">
        <v>16.899999999999999</v>
      </c>
      <c r="H93" s="15">
        <v>15.8</v>
      </c>
      <c r="I93" s="15">
        <v>11.99</v>
      </c>
      <c r="J93" s="15">
        <v>10.08</v>
      </c>
      <c r="K93" s="15">
        <v>9.5299999999999994</v>
      </c>
      <c r="L93" s="15">
        <v>8.98</v>
      </c>
      <c r="M93" s="15">
        <v>9.52</v>
      </c>
      <c r="N93" s="15">
        <v>15.49</v>
      </c>
      <c r="O93" s="15">
        <v>11.93</v>
      </c>
      <c r="P93" s="15">
        <v>13.57</v>
      </c>
      <c r="Q93" s="15">
        <v>18.68</v>
      </c>
      <c r="R93" s="15">
        <v>24.64</v>
      </c>
      <c r="S93" s="15">
        <v>26.33</v>
      </c>
      <c r="T93" s="15">
        <v>27.85</v>
      </c>
      <c r="U93" s="15">
        <v>27.88</v>
      </c>
      <c r="V93" s="15">
        <v>26</v>
      </c>
      <c r="W93" s="15">
        <v>26.66</v>
      </c>
      <c r="X93" s="15">
        <v>27.18</v>
      </c>
      <c r="Y93" s="15">
        <v>26.37</v>
      </c>
      <c r="Z93" s="15">
        <v>26.18</v>
      </c>
      <c r="AA93" s="15">
        <v>27.82</v>
      </c>
      <c r="AB93" s="15">
        <v>23.54</v>
      </c>
      <c r="AC93" s="15">
        <v>29.94</v>
      </c>
      <c r="AD93" s="15">
        <v>31.25</v>
      </c>
      <c r="AE93" s="15">
        <v>34.04</v>
      </c>
      <c r="AF93" s="15">
        <v>36.94</v>
      </c>
      <c r="AG93" s="15">
        <v>39.97</v>
      </c>
      <c r="AH93" s="15">
        <v>43.06</v>
      </c>
      <c r="AI93" s="15">
        <v>46.38</v>
      </c>
      <c r="AJ93" s="15">
        <v>49.89</v>
      </c>
      <c r="AK93" s="15">
        <v>53.93</v>
      </c>
      <c r="AL93" s="15">
        <v>58.63</v>
      </c>
      <c r="AM93" s="15">
        <v>63.79</v>
      </c>
      <c r="AN93" s="15">
        <v>69.239999999999995</v>
      </c>
      <c r="AO93" s="15">
        <v>74.7</v>
      </c>
      <c r="AP93" s="15">
        <v>79.66</v>
      </c>
      <c r="AQ93" s="15">
        <v>83.9</v>
      </c>
      <c r="AR93" s="15">
        <v>87.64</v>
      </c>
      <c r="AS93" s="15">
        <v>90.99</v>
      </c>
      <c r="AT93" s="15">
        <v>94.64</v>
      </c>
      <c r="AU93" s="15">
        <v>98.73</v>
      </c>
      <c r="AV93" s="15">
        <v>104.31</v>
      </c>
      <c r="AW93" s="15">
        <v>111.26</v>
      </c>
      <c r="AX93" s="15">
        <v>120.05</v>
      </c>
      <c r="AY93" s="15">
        <v>130.63999999999999</v>
      </c>
      <c r="AZ93" s="15">
        <v>142.78</v>
      </c>
      <c r="BA93" s="15">
        <v>155.93</v>
      </c>
      <c r="BB93" s="15">
        <v>170.32</v>
      </c>
      <c r="BC93" s="15">
        <v>185.8</v>
      </c>
      <c r="BD93" s="15">
        <v>201.99</v>
      </c>
      <c r="BE93" s="15">
        <v>219.02</v>
      </c>
      <c r="BF93" s="15">
        <v>237.05</v>
      </c>
      <c r="BG93" s="15">
        <v>256.3</v>
      </c>
      <c r="BH93" s="15">
        <v>276.83</v>
      </c>
      <c r="BI93" s="15">
        <v>298.55</v>
      </c>
      <c r="BJ93" s="15">
        <v>321.97000000000003</v>
      </c>
      <c r="BK93" s="15">
        <v>347.14</v>
      </c>
      <c r="BL93" s="15">
        <v>374.16</v>
      </c>
      <c r="BM93" s="15">
        <v>403.27</v>
      </c>
      <c r="BN93" s="15">
        <v>434.67</v>
      </c>
      <c r="BO93" s="15">
        <v>468.81</v>
      </c>
      <c r="BP93" s="15">
        <v>506.24</v>
      </c>
      <c r="BQ93" s="15">
        <v>549.74</v>
      </c>
      <c r="BR93" s="15">
        <v>600</v>
      </c>
      <c r="BS93" s="15">
        <v>653.17999999999995</v>
      </c>
      <c r="BT93" s="15">
        <v>707.24</v>
      </c>
      <c r="BU93" s="15">
        <v>764.71</v>
      </c>
      <c r="BV93" s="15">
        <v>829.93</v>
      </c>
      <c r="BW93" s="15">
        <v>903.56</v>
      </c>
      <c r="BX93" s="15">
        <v>985.16</v>
      </c>
      <c r="BY93" s="15">
        <v>1076.8900000000001</v>
      </c>
      <c r="BZ93" s="15">
        <v>1180.8599999999999</v>
      </c>
      <c r="CA93" s="15">
        <v>1299.04</v>
      </c>
      <c r="CB93" s="15">
        <v>1432.82</v>
      </c>
      <c r="CC93" s="15">
        <v>1583.36</v>
      </c>
      <c r="CD93" s="15">
        <v>1751.48</v>
      </c>
      <c r="CE93" s="15">
        <v>1938.8</v>
      </c>
      <c r="CF93" s="15">
        <v>2147.66</v>
      </c>
      <c r="CG93" s="15">
        <v>2381.1999999999998</v>
      </c>
      <c r="CH93" s="15">
        <v>2643.18</v>
      </c>
      <c r="CI93" s="15">
        <v>2935.02</v>
      </c>
      <c r="CJ93" s="15">
        <v>3258.98</v>
      </c>
      <c r="CK93" s="15">
        <v>3618.3</v>
      </c>
      <c r="CL93" s="15">
        <v>4015.11</v>
      </c>
      <c r="CM93" s="15">
        <v>4452.13</v>
      </c>
      <c r="CN93" s="15">
        <v>4932.88</v>
      </c>
      <c r="CO93" s="15">
        <v>5463.08</v>
      </c>
      <c r="CP93" s="15">
        <v>6047.34</v>
      </c>
      <c r="CQ93" s="15">
        <v>6683.66</v>
      </c>
      <c r="CR93" s="15">
        <v>7364.67</v>
      </c>
      <c r="CS93" s="15">
        <v>8076.19</v>
      </c>
      <c r="CT93" s="15">
        <v>8801.66</v>
      </c>
      <c r="CU93" s="15">
        <v>9538.4</v>
      </c>
      <c r="CV93" s="15">
        <v>10304</v>
      </c>
      <c r="CW93" s="15">
        <v>11124.56</v>
      </c>
      <c r="CX93" s="15">
        <v>12033.72</v>
      </c>
    </row>
    <row r="94" spans="1:102" x14ac:dyDescent="0.25">
      <c r="A94" s="71">
        <v>1987</v>
      </c>
      <c r="B94" s="15">
        <v>790.89</v>
      </c>
      <c r="C94" s="15">
        <v>57.05</v>
      </c>
      <c r="D94" s="15">
        <v>35.94</v>
      </c>
      <c r="E94" s="15">
        <v>26.42</v>
      </c>
      <c r="F94" s="15">
        <v>21.25</v>
      </c>
      <c r="G94" s="15">
        <v>12.65</v>
      </c>
      <c r="H94" s="15">
        <v>14.8</v>
      </c>
      <c r="I94" s="15">
        <v>9.41</v>
      </c>
      <c r="J94" s="15">
        <v>9.1300000000000008</v>
      </c>
      <c r="K94" s="15">
        <v>12.08</v>
      </c>
      <c r="L94" s="15">
        <v>13.69</v>
      </c>
      <c r="M94" s="15">
        <v>12.87</v>
      </c>
      <c r="N94" s="15">
        <v>13.38</v>
      </c>
      <c r="O94" s="15">
        <v>11.77</v>
      </c>
      <c r="P94" s="15">
        <v>12.31</v>
      </c>
      <c r="Q94" s="15">
        <v>14.44</v>
      </c>
      <c r="R94" s="15">
        <v>20.190000000000001</v>
      </c>
      <c r="S94" s="15">
        <v>22.94</v>
      </c>
      <c r="T94" s="15">
        <v>27.47</v>
      </c>
      <c r="U94" s="15">
        <v>25.57</v>
      </c>
      <c r="V94" s="15">
        <v>21.31</v>
      </c>
      <c r="W94" s="15">
        <v>27.41</v>
      </c>
      <c r="X94" s="15">
        <v>21.45</v>
      </c>
      <c r="Y94" s="15">
        <v>26</v>
      </c>
      <c r="Z94" s="15">
        <v>24.61</v>
      </c>
      <c r="AA94" s="15">
        <v>25.86</v>
      </c>
      <c r="AB94" s="15">
        <v>27.55</v>
      </c>
      <c r="AC94" s="15">
        <v>28.5</v>
      </c>
      <c r="AD94" s="15">
        <v>30.77</v>
      </c>
      <c r="AE94" s="15">
        <v>33.479999999999997</v>
      </c>
      <c r="AF94" s="15">
        <v>36.479999999999997</v>
      </c>
      <c r="AG94" s="15">
        <v>39.549999999999997</v>
      </c>
      <c r="AH94" s="15">
        <v>42.68</v>
      </c>
      <c r="AI94" s="15">
        <v>45.93</v>
      </c>
      <c r="AJ94" s="15">
        <v>49.36</v>
      </c>
      <c r="AK94" s="15">
        <v>53.44</v>
      </c>
      <c r="AL94" s="15">
        <v>58.16</v>
      </c>
      <c r="AM94" s="15">
        <v>63.29</v>
      </c>
      <c r="AN94" s="15">
        <v>68.540000000000006</v>
      </c>
      <c r="AO94" s="15">
        <v>73.900000000000006</v>
      </c>
      <c r="AP94" s="15">
        <v>78.709999999999994</v>
      </c>
      <c r="AQ94" s="15">
        <v>83.04</v>
      </c>
      <c r="AR94" s="15">
        <v>86.64</v>
      </c>
      <c r="AS94" s="15">
        <v>89.92</v>
      </c>
      <c r="AT94" s="15">
        <v>93.31</v>
      </c>
      <c r="AU94" s="15">
        <v>97.49</v>
      </c>
      <c r="AV94" s="15">
        <v>102.98</v>
      </c>
      <c r="AW94" s="15">
        <v>109.78</v>
      </c>
      <c r="AX94" s="15">
        <v>118.46</v>
      </c>
      <c r="AY94" s="15">
        <v>129.15</v>
      </c>
      <c r="AZ94" s="15">
        <v>141.1</v>
      </c>
      <c r="BA94" s="15">
        <v>153.99</v>
      </c>
      <c r="BB94" s="15">
        <v>168.23</v>
      </c>
      <c r="BC94" s="15">
        <v>183.61</v>
      </c>
      <c r="BD94" s="15">
        <v>199.57</v>
      </c>
      <c r="BE94" s="15">
        <v>216.38</v>
      </c>
      <c r="BF94" s="15">
        <v>234.28</v>
      </c>
      <c r="BG94" s="15">
        <v>253.34</v>
      </c>
      <c r="BH94" s="15">
        <v>273.55</v>
      </c>
      <c r="BI94" s="15">
        <v>294.95</v>
      </c>
      <c r="BJ94" s="15">
        <v>318.14</v>
      </c>
      <c r="BK94" s="15">
        <v>343.01</v>
      </c>
      <c r="BL94" s="15">
        <v>369.83</v>
      </c>
      <c r="BM94" s="15">
        <v>398.44</v>
      </c>
      <c r="BN94" s="15">
        <v>429.37</v>
      </c>
      <c r="BO94" s="15">
        <v>463.3</v>
      </c>
      <c r="BP94" s="15">
        <v>500.33</v>
      </c>
      <c r="BQ94" s="15">
        <v>543.39</v>
      </c>
      <c r="BR94" s="15">
        <v>593.02</v>
      </c>
      <c r="BS94" s="15">
        <v>645.4</v>
      </c>
      <c r="BT94" s="15">
        <v>699.06</v>
      </c>
      <c r="BU94" s="15">
        <v>755.8</v>
      </c>
      <c r="BV94" s="15">
        <v>820.1</v>
      </c>
      <c r="BW94" s="15">
        <v>892.9</v>
      </c>
      <c r="BX94" s="15">
        <v>973.58</v>
      </c>
      <c r="BY94" s="15">
        <v>1064.22</v>
      </c>
      <c r="BZ94" s="15">
        <v>1166.8900000000001</v>
      </c>
      <c r="CA94" s="15">
        <v>1283.74</v>
      </c>
      <c r="CB94" s="15">
        <v>1416.07</v>
      </c>
      <c r="CC94" s="15">
        <v>1564.81</v>
      </c>
      <c r="CD94" s="15">
        <v>1730.81</v>
      </c>
      <c r="CE94" s="15">
        <v>1916.19</v>
      </c>
      <c r="CF94" s="15">
        <v>2122.52</v>
      </c>
      <c r="CG94" s="15">
        <v>2353.41</v>
      </c>
      <c r="CH94" s="15">
        <v>2612.2600000000002</v>
      </c>
      <c r="CI94" s="15">
        <v>2900.64</v>
      </c>
      <c r="CJ94" s="15">
        <v>3221.05</v>
      </c>
      <c r="CK94" s="15">
        <v>3575.95</v>
      </c>
      <c r="CL94" s="15">
        <v>3968.14</v>
      </c>
      <c r="CM94" s="15">
        <v>4400.03</v>
      </c>
      <c r="CN94" s="15">
        <v>4875.38</v>
      </c>
      <c r="CO94" s="15">
        <v>5399.75</v>
      </c>
      <c r="CP94" s="15">
        <v>5977.24</v>
      </c>
      <c r="CQ94" s="15">
        <v>6606.53</v>
      </c>
      <c r="CR94" s="15">
        <v>7279.98</v>
      </c>
      <c r="CS94" s="15">
        <v>7983.75</v>
      </c>
      <c r="CT94" s="15">
        <v>8700.7800000000007</v>
      </c>
      <c r="CU94" s="15">
        <v>9429.81</v>
      </c>
      <c r="CV94" s="15">
        <v>10187.31</v>
      </c>
      <c r="CW94" s="15">
        <v>10998.77</v>
      </c>
      <c r="CX94" s="15">
        <v>11898.68</v>
      </c>
    </row>
    <row r="95" spans="1:102" x14ac:dyDescent="0.25">
      <c r="A95" s="71">
        <v>1988</v>
      </c>
      <c r="B95" s="15">
        <v>767.52</v>
      </c>
      <c r="C95" s="15">
        <v>57.65</v>
      </c>
      <c r="D95" s="15">
        <v>26.46</v>
      </c>
      <c r="E95" s="15">
        <v>20.84</v>
      </c>
      <c r="F95" s="15">
        <v>14.78</v>
      </c>
      <c r="G95" s="15">
        <v>16.899999999999999</v>
      </c>
      <c r="H95" s="15">
        <v>12.67</v>
      </c>
      <c r="I95" s="15">
        <v>11.08</v>
      </c>
      <c r="J95" s="15">
        <v>8.9700000000000006</v>
      </c>
      <c r="K95" s="15">
        <v>11.61</v>
      </c>
      <c r="L95" s="15">
        <v>7.91</v>
      </c>
      <c r="M95" s="15">
        <v>12.9</v>
      </c>
      <c r="N95" s="15">
        <v>9.49</v>
      </c>
      <c r="O95" s="15">
        <v>10.53</v>
      </c>
      <c r="P95" s="15">
        <v>17.63</v>
      </c>
      <c r="Q95" s="15">
        <v>16.239999999999998</v>
      </c>
      <c r="R95" s="15">
        <v>23.97</v>
      </c>
      <c r="S95" s="15">
        <v>24.78</v>
      </c>
      <c r="T95" s="15">
        <v>25.89</v>
      </c>
      <c r="U95" s="15">
        <v>24.32</v>
      </c>
      <c r="V95" s="15">
        <v>25.04</v>
      </c>
      <c r="W95" s="15">
        <v>26.88</v>
      </c>
      <c r="X95" s="15">
        <v>20.12</v>
      </c>
      <c r="Y95" s="15">
        <v>25.22</v>
      </c>
      <c r="Z95" s="15">
        <v>22.95</v>
      </c>
      <c r="AA95" s="15">
        <v>25.6</v>
      </c>
      <c r="AB95" s="15">
        <v>26.14</v>
      </c>
      <c r="AC95" s="15">
        <v>27.99</v>
      </c>
      <c r="AD95" s="15">
        <v>30.29</v>
      </c>
      <c r="AE95" s="15">
        <v>33.03</v>
      </c>
      <c r="AF95" s="15">
        <v>36.119999999999997</v>
      </c>
      <c r="AG95" s="15">
        <v>39.049999999999997</v>
      </c>
      <c r="AH95" s="15">
        <v>42.16</v>
      </c>
      <c r="AI95" s="15">
        <v>45.37</v>
      </c>
      <c r="AJ95" s="15">
        <v>48.88</v>
      </c>
      <c r="AK95" s="15">
        <v>52.97</v>
      </c>
      <c r="AL95" s="15">
        <v>57.6</v>
      </c>
      <c r="AM95" s="15">
        <v>62.57</v>
      </c>
      <c r="AN95" s="15">
        <v>67.81</v>
      </c>
      <c r="AO95" s="15">
        <v>73.069999999999993</v>
      </c>
      <c r="AP95" s="15">
        <v>77.89</v>
      </c>
      <c r="AQ95" s="15">
        <v>82.12</v>
      </c>
      <c r="AR95" s="15">
        <v>85.52</v>
      </c>
      <c r="AS95" s="15">
        <v>88.71</v>
      </c>
      <c r="AT95" s="15">
        <v>92.07</v>
      </c>
      <c r="AU95" s="15">
        <v>96.26</v>
      </c>
      <c r="AV95" s="15">
        <v>101.58</v>
      </c>
      <c r="AW95" s="15">
        <v>108.42</v>
      </c>
      <c r="AX95" s="15">
        <v>117.13</v>
      </c>
      <c r="AY95" s="15">
        <v>127.54</v>
      </c>
      <c r="AZ95" s="15">
        <v>139.26</v>
      </c>
      <c r="BA95" s="15">
        <v>152.13</v>
      </c>
      <c r="BB95" s="15">
        <v>166.28</v>
      </c>
      <c r="BC95" s="15">
        <v>181.4</v>
      </c>
      <c r="BD95" s="15">
        <v>197.14</v>
      </c>
      <c r="BE95" s="15">
        <v>213.83</v>
      </c>
      <c r="BF95" s="15">
        <v>231.44</v>
      </c>
      <c r="BG95" s="15">
        <v>250.35</v>
      </c>
      <c r="BH95" s="15">
        <v>270.24</v>
      </c>
      <c r="BI95" s="15">
        <v>291.48</v>
      </c>
      <c r="BJ95" s="15">
        <v>314.47000000000003</v>
      </c>
      <c r="BK95" s="15">
        <v>339.03</v>
      </c>
      <c r="BL95" s="15">
        <v>365.39</v>
      </c>
      <c r="BM95" s="15">
        <v>393.57</v>
      </c>
      <c r="BN95" s="15">
        <v>424.4</v>
      </c>
      <c r="BO95" s="15">
        <v>457.96</v>
      </c>
      <c r="BP95" s="15">
        <v>494.46</v>
      </c>
      <c r="BQ95" s="15">
        <v>536.98</v>
      </c>
      <c r="BR95" s="15">
        <v>585.94000000000005</v>
      </c>
      <c r="BS95" s="15">
        <v>637.9</v>
      </c>
      <c r="BT95" s="15">
        <v>690.89</v>
      </c>
      <c r="BU95" s="15">
        <v>746.9</v>
      </c>
      <c r="BV95" s="15">
        <v>810.37</v>
      </c>
      <c r="BW95" s="15">
        <v>882.35</v>
      </c>
      <c r="BX95" s="15">
        <v>962.11</v>
      </c>
      <c r="BY95" s="15">
        <v>1051.5</v>
      </c>
      <c r="BZ95" s="15">
        <v>1153.2</v>
      </c>
      <c r="CA95" s="15">
        <v>1268.68</v>
      </c>
      <c r="CB95" s="15">
        <v>1399.55</v>
      </c>
      <c r="CC95" s="15">
        <v>1546.38</v>
      </c>
      <c r="CD95" s="15">
        <v>1710.59</v>
      </c>
      <c r="CE95" s="15">
        <v>1893.74</v>
      </c>
      <c r="CF95" s="15">
        <v>2097.6</v>
      </c>
      <c r="CG95" s="15">
        <v>2325.79</v>
      </c>
      <c r="CH95" s="15">
        <v>2581.59</v>
      </c>
      <c r="CI95" s="15">
        <v>2866.72</v>
      </c>
      <c r="CJ95" s="15">
        <v>3183.24</v>
      </c>
      <c r="CK95" s="15">
        <v>3533.99</v>
      </c>
      <c r="CL95" s="15">
        <v>3921.62</v>
      </c>
      <c r="CM95" s="15">
        <v>4348.66</v>
      </c>
      <c r="CN95" s="15">
        <v>4818.72</v>
      </c>
      <c r="CO95" s="15">
        <v>5337.05</v>
      </c>
      <c r="CP95" s="15">
        <v>5907.95</v>
      </c>
      <c r="CQ95" s="15">
        <v>6530.15</v>
      </c>
      <c r="CR95" s="15">
        <v>7196.16</v>
      </c>
      <c r="CS95" s="15">
        <v>7891.81</v>
      </c>
      <c r="CT95" s="15">
        <v>8601.2800000000007</v>
      </c>
      <c r="CU95" s="15">
        <v>9322.41</v>
      </c>
      <c r="CV95" s="15">
        <v>10071.56</v>
      </c>
      <c r="CW95" s="15">
        <v>10874.46</v>
      </c>
      <c r="CX95" s="15">
        <v>11764.59</v>
      </c>
    </row>
    <row r="96" spans="1:102" x14ac:dyDescent="0.25">
      <c r="A96" s="71">
        <v>1989</v>
      </c>
      <c r="B96" s="15">
        <v>723.75</v>
      </c>
      <c r="C96" s="15">
        <v>60.32</v>
      </c>
      <c r="D96" s="15">
        <v>35.31</v>
      </c>
      <c r="E96" s="15">
        <v>22.56</v>
      </c>
      <c r="F96" s="15">
        <v>17</v>
      </c>
      <c r="G96" s="15">
        <v>14.08</v>
      </c>
      <c r="H96" s="15">
        <v>13</v>
      </c>
      <c r="I96" s="15">
        <v>8.49</v>
      </c>
      <c r="J96" s="15">
        <v>10.08</v>
      </c>
      <c r="K96" s="15">
        <v>11.66</v>
      </c>
      <c r="L96" s="15">
        <v>13.24</v>
      </c>
      <c r="M96" s="15">
        <v>11.13</v>
      </c>
      <c r="N96" s="15">
        <v>10.86</v>
      </c>
      <c r="O96" s="15">
        <v>12.97</v>
      </c>
      <c r="P96" s="15">
        <v>15.32</v>
      </c>
      <c r="Q96" s="15">
        <v>17.649999999999999</v>
      </c>
      <c r="R96" s="15">
        <v>23.55</v>
      </c>
      <c r="S96" s="15">
        <v>24.78</v>
      </c>
      <c r="T96" s="15">
        <v>26.49</v>
      </c>
      <c r="U96" s="15">
        <v>27.34</v>
      </c>
      <c r="V96" s="15">
        <v>25.01</v>
      </c>
      <c r="W96" s="15">
        <v>18.43</v>
      </c>
      <c r="X96" s="15">
        <v>22.65</v>
      </c>
      <c r="Y96" s="15">
        <v>23.29</v>
      </c>
      <c r="Z96" s="15">
        <v>24.29</v>
      </c>
      <c r="AA96" s="15">
        <v>24.18</v>
      </c>
      <c r="AB96" s="15">
        <v>25.63</v>
      </c>
      <c r="AC96" s="15">
        <v>27.47</v>
      </c>
      <c r="AD96" s="15">
        <v>29.81</v>
      </c>
      <c r="AE96" s="15">
        <v>32.71</v>
      </c>
      <c r="AF96" s="15">
        <v>35.68</v>
      </c>
      <c r="AG96" s="15">
        <v>38.549999999999997</v>
      </c>
      <c r="AH96" s="15">
        <v>41.64</v>
      </c>
      <c r="AI96" s="15">
        <v>44.9</v>
      </c>
      <c r="AJ96" s="15">
        <v>48.45</v>
      </c>
      <c r="AK96" s="15">
        <v>52.47</v>
      </c>
      <c r="AL96" s="15">
        <v>56.91</v>
      </c>
      <c r="AM96" s="15">
        <v>61.86</v>
      </c>
      <c r="AN96" s="15">
        <v>67.08</v>
      </c>
      <c r="AO96" s="15">
        <v>72.31</v>
      </c>
      <c r="AP96" s="15">
        <v>77.06</v>
      </c>
      <c r="AQ96" s="15">
        <v>81.11</v>
      </c>
      <c r="AR96" s="15">
        <v>84.44</v>
      </c>
      <c r="AS96" s="15">
        <v>87.61</v>
      </c>
      <c r="AT96" s="15">
        <v>90.9</v>
      </c>
      <c r="AU96" s="15">
        <v>95.07</v>
      </c>
      <c r="AV96" s="15">
        <v>100.31</v>
      </c>
      <c r="AW96" s="15">
        <v>107.23</v>
      </c>
      <c r="AX96" s="15">
        <v>115.72</v>
      </c>
      <c r="AY96" s="15">
        <v>125.97</v>
      </c>
      <c r="AZ96" s="15">
        <v>137.58000000000001</v>
      </c>
      <c r="BA96" s="15">
        <v>150.44999999999999</v>
      </c>
      <c r="BB96" s="15">
        <v>164.32</v>
      </c>
      <c r="BC96" s="15">
        <v>179.19</v>
      </c>
      <c r="BD96" s="15">
        <v>194.92</v>
      </c>
      <c r="BE96" s="15">
        <v>211.3</v>
      </c>
      <c r="BF96" s="15">
        <v>228.76</v>
      </c>
      <c r="BG96" s="15">
        <v>247.42</v>
      </c>
      <c r="BH96" s="15">
        <v>266.98</v>
      </c>
      <c r="BI96" s="15">
        <v>288.16000000000003</v>
      </c>
      <c r="BJ96" s="15">
        <v>310.81</v>
      </c>
      <c r="BK96" s="15">
        <v>335</v>
      </c>
      <c r="BL96" s="15">
        <v>360.94</v>
      </c>
      <c r="BM96" s="15">
        <v>388.96</v>
      </c>
      <c r="BN96" s="15">
        <v>419.5</v>
      </c>
      <c r="BO96" s="15">
        <v>452.47</v>
      </c>
      <c r="BP96" s="15">
        <v>488.57</v>
      </c>
      <c r="BQ96" s="15">
        <v>530.6</v>
      </c>
      <c r="BR96" s="15">
        <v>578.96</v>
      </c>
      <c r="BS96" s="15">
        <v>630.42999999999995</v>
      </c>
      <c r="BT96" s="15">
        <v>682.66</v>
      </c>
      <c r="BU96" s="15">
        <v>738.06</v>
      </c>
      <c r="BV96" s="15">
        <v>800.9</v>
      </c>
      <c r="BW96" s="15">
        <v>872.02</v>
      </c>
      <c r="BX96" s="15">
        <v>950.64</v>
      </c>
      <c r="BY96" s="15">
        <v>1039.18</v>
      </c>
      <c r="BZ96" s="15">
        <v>1139.5899999999999</v>
      </c>
      <c r="CA96" s="15">
        <v>1253.9000000000001</v>
      </c>
      <c r="CB96" s="15">
        <v>1383.06</v>
      </c>
      <c r="CC96" s="15">
        <v>1528.25</v>
      </c>
      <c r="CD96" s="15">
        <v>1690.67</v>
      </c>
      <c r="CE96" s="15">
        <v>1871.51</v>
      </c>
      <c r="CF96" s="15">
        <v>2072.9699999999998</v>
      </c>
      <c r="CG96" s="15">
        <v>2298.6</v>
      </c>
      <c r="CH96" s="15">
        <v>2551.21</v>
      </c>
      <c r="CI96" s="15">
        <v>2833.08</v>
      </c>
      <c r="CJ96" s="15">
        <v>3145.84</v>
      </c>
      <c r="CK96" s="15">
        <v>3492.62</v>
      </c>
      <c r="CL96" s="15">
        <v>3875.92</v>
      </c>
      <c r="CM96" s="15">
        <v>4298.09</v>
      </c>
      <c r="CN96" s="15">
        <v>4762.6099999999997</v>
      </c>
      <c r="CO96" s="15">
        <v>5275.13</v>
      </c>
      <c r="CP96" s="15">
        <v>5839.52</v>
      </c>
      <c r="CQ96" s="15">
        <v>6454.62</v>
      </c>
      <c r="CR96" s="15">
        <v>7113.26</v>
      </c>
      <c r="CS96" s="15">
        <v>7801.25</v>
      </c>
      <c r="CT96" s="15">
        <v>8502.9</v>
      </c>
      <c r="CU96" s="15">
        <v>9216.18</v>
      </c>
      <c r="CV96" s="15">
        <v>9957.0400000000009</v>
      </c>
      <c r="CW96" s="15">
        <v>10751.53</v>
      </c>
      <c r="CX96" s="15">
        <v>11631.83</v>
      </c>
    </row>
    <row r="97" spans="1:102" x14ac:dyDescent="0.25">
      <c r="A97" s="71">
        <v>1990</v>
      </c>
      <c r="B97" s="15">
        <v>686.43</v>
      </c>
      <c r="C97" s="15">
        <v>58.32</v>
      </c>
      <c r="D97" s="15">
        <v>31.43</v>
      </c>
      <c r="E97" s="15">
        <v>23.77</v>
      </c>
      <c r="F97" s="15">
        <v>14.26</v>
      </c>
      <c r="G97" s="15">
        <v>15.84</v>
      </c>
      <c r="H97" s="15">
        <v>13.45</v>
      </c>
      <c r="I97" s="15">
        <v>11.34</v>
      </c>
      <c r="J97" s="15">
        <v>8.6999999999999993</v>
      </c>
      <c r="K97" s="15">
        <v>8.41</v>
      </c>
      <c r="L97" s="15">
        <v>11.32</v>
      </c>
      <c r="M97" s="15">
        <v>12.1</v>
      </c>
      <c r="N97" s="15">
        <v>11.04</v>
      </c>
      <c r="O97" s="15">
        <v>9.4499999999999993</v>
      </c>
      <c r="P97" s="15">
        <v>12.09</v>
      </c>
      <c r="Q97" s="15">
        <v>13.09</v>
      </c>
      <c r="R97" s="15">
        <v>18.27</v>
      </c>
      <c r="S97" s="15">
        <v>25.39</v>
      </c>
      <c r="T97" s="15">
        <v>28.8</v>
      </c>
      <c r="U97" s="15">
        <v>24.63</v>
      </c>
      <c r="V97" s="15">
        <v>23.97</v>
      </c>
      <c r="W97" s="15">
        <v>24.06</v>
      </c>
      <c r="X97" s="15">
        <v>19.48</v>
      </c>
      <c r="Y97" s="15">
        <v>23.67</v>
      </c>
      <c r="Z97" s="15">
        <v>22.94</v>
      </c>
      <c r="AA97" s="15">
        <v>23.74</v>
      </c>
      <c r="AB97" s="15">
        <v>25.07</v>
      </c>
      <c r="AC97" s="15">
        <v>26.96</v>
      </c>
      <c r="AD97" s="15">
        <v>29.39</v>
      </c>
      <c r="AE97" s="15">
        <v>32.39</v>
      </c>
      <c r="AF97" s="15">
        <v>35.28</v>
      </c>
      <c r="AG97" s="15">
        <v>38.18</v>
      </c>
      <c r="AH97" s="15">
        <v>41.19</v>
      </c>
      <c r="AI97" s="15">
        <v>44.53</v>
      </c>
      <c r="AJ97" s="15">
        <v>48.1</v>
      </c>
      <c r="AK97" s="15">
        <v>51.98</v>
      </c>
      <c r="AL97" s="15">
        <v>56.33</v>
      </c>
      <c r="AM97" s="15">
        <v>61.23</v>
      </c>
      <c r="AN97" s="15">
        <v>66.47</v>
      </c>
      <c r="AO97" s="15">
        <v>71.599999999999994</v>
      </c>
      <c r="AP97" s="15">
        <v>76.25</v>
      </c>
      <c r="AQ97" s="15">
        <v>80.150000000000006</v>
      </c>
      <c r="AR97" s="15">
        <v>83.51</v>
      </c>
      <c r="AS97" s="15">
        <v>86.59</v>
      </c>
      <c r="AT97" s="15">
        <v>89.91</v>
      </c>
      <c r="AU97" s="15">
        <v>93.94</v>
      </c>
      <c r="AV97" s="15">
        <v>99.19</v>
      </c>
      <c r="AW97" s="15">
        <v>106</v>
      </c>
      <c r="AX97" s="15">
        <v>114.37</v>
      </c>
      <c r="AY97" s="15">
        <v>124.48</v>
      </c>
      <c r="AZ97" s="15">
        <v>136.05000000000001</v>
      </c>
      <c r="BA97" s="15">
        <v>148.69999999999999</v>
      </c>
      <c r="BB97" s="15">
        <v>162.33000000000001</v>
      </c>
      <c r="BC97" s="15">
        <v>177.19</v>
      </c>
      <c r="BD97" s="15">
        <v>192.72</v>
      </c>
      <c r="BE97" s="15">
        <v>208.85</v>
      </c>
      <c r="BF97" s="15">
        <v>226.16</v>
      </c>
      <c r="BG97" s="15">
        <v>244.42</v>
      </c>
      <c r="BH97" s="15">
        <v>263.86</v>
      </c>
      <c r="BI97" s="15">
        <v>284.79000000000002</v>
      </c>
      <c r="BJ97" s="15">
        <v>307.12</v>
      </c>
      <c r="BK97" s="15">
        <v>331.09</v>
      </c>
      <c r="BL97" s="15">
        <v>356.73</v>
      </c>
      <c r="BM97" s="15">
        <v>384.49</v>
      </c>
      <c r="BN97" s="15">
        <v>414.56</v>
      </c>
      <c r="BO97" s="15">
        <v>447.16</v>
      </c>
      <c r="BP97" s="15">
        <v>482.92</v>
      </c>
      <c r="BQ97" s="15">
        <v>524.32000000000005</v>
      </c>
      <c r="BR97" s="15">
        <v>572.22</v>
      </c>
      <c r="BS97" s="15">
        <v>622.92999999999995</v>
      </c>
      <c r="BT97" s="15">
        <v>674.67</v>
      </c>
      <c r="BU97" s="15">
        <v>729.5</v>
      </c>
      <c r="BV97" s="15">
        <v>791.64</v>
      </c>
      <c r="BW97" s="15">
        <v>861.88</v>
      </c>
      <c r="BX97" s="15">
        <v>939.72</v>
      </c>
      <c r="BY97" s="15">
        <v>1027.1099999999999</v>
      </c>
      <c r="BZ97" s="15">
        <v>1126.3499999999999</v>
      </c>
      <c r="CA97" s="15">
        <v>1239.25</v>
      </c>
      <c r="CB97" s="15">
        <v>1366.92</v>
      </c>
      <c r="CC97" s="15">
        <v>1510.45</v>
      </c>
      <c r="CD97" s="15">
        <v>1671.08</v>
      </c>
      <c r="CE97" s="15">
        <v>1849.78</v>
      </c>
      <c r="CF97" s="15">
        <v>2049.02</v>
      </c>
      <c r="CG97" s="15">
        <v>2271.77</v>
      </c>
      <c r="CH97" s="15">
        <v>2521.4299999999998</v>
      </c>
      <c r="CI97" s="15">
        <v>2800.14</v>
      </c>
      <c r="CJ97" s="15">
        <v>3109.16</v>
      </c>
      <c r="CK97" s="15">
        <v>3451.94</v>
      </c>
      <c r="CL97" s="15">
        <v>3830.82</v>
      </c>
      <c r="CM97" s="15">
        <v>4248.26</v>
      </c>
      <c r="CN97" s="15">
        <v>4707.51</v>
      </c>
      <c r="CO97" s="15">
        <v>5213.9799999999996</v>
      </c>
      <c r="CP97" s="15">
        <v>5771.88</v>
      </c>
      <c r="CQ97" s="15">
        <v>6380.36</v>
      </c>
      <c r="CR97" s="15">
        <v>7031.56</v>
      </c>
      <c r="CS97" s="15">
        <v>7712</v>
      </c>
      <c r="CT97" s="15">
        <v>8405.8700000000008</v>
      </c>
      <c r="CU97" s="15">
        <v>9111.18</v>
      </c>
      <c r="CV97" s="15">
        <v>9844.18</v>
      </c>
      <c r="CW97" s="15">
        <v>10629.78</v>
      </c>
      <c r="CX97" s="15">
        <v>11501.14</v>
      </c>
    </row>
    <row r="98" spans="1:102" x14ac:dyDescent="0.25">
      <c r="A98" s="71">
        <v>1991</v>
      </c>
      <c r="B98" s="15">
        <v>631.97</v>
      </c>
      <c r="C98" s="15">
        <v>50.67</v>
      </c>
      <c r="D98" s="15">
        <v>27.31</v>
      </c>
      <c r="E98" s="15">
        <v>18.47</v>
      </c>
      <c r="F98" s="15">
        <v>14.04</v>
      </c>
      <c r="G98" s="15">
        <v>15.08</v>
      </c>
      <c r="H98" s="15">
        <v>11.7</v>
      </c>
      <c r="I98" s="15">
        <v>11.7</v>
      </c>
      <c r="J98" s="15">
        <v>10.130000000000001</v>
      </c>
      <c r="K98" s="15">
        <v>8.58</v>
      </c>
      <c r="L98" s="15">
        <v>7.02</v>
      </c>
      <c r="M98" s="15">
        <v>6.48</v>
      </c>
      <c r="N98" s="15">
        <v>15.23</v>
      </c>
      <c r="O98" s="15">
        <v>12.4</v>
      </c>
      <c r="P98" s="15">
        <v>14.17</v>
      </c>
      <c r="Q98" s="15">
        <v>18.23</v>
      </c>
      <c r="R98" s="15">
        <v>18.86</v>
      </c>
      <c r="S98" s="15">
        <v>23.2</v>
      </c>
      <c r="T98" s="15">
        <v>23.02</v>
      </c>
      <c r="U98" s="15">
        <v>25.52</v>
      </c>
      <c r="V98" s="15">
        <v>18.71</v>
      </c>
      <c r="W98" s="15">
        <v>19.649999999999999</v>
      </c>
      <c r="X98" s="15">
        <v>23.28</v>
      </c>
      <c r="Y98" s="15">
        <v>22.27</v>
      </c>
      <c r="Z98" s="15">
        <v>22.46</v>
      </c>
      <c r="AA98" s="15">
        <v>23.2</v>
      </c>
      <c r="AB98" s="15">
        <v>24.56</v>
      </c>
      <c r="AC98" s="15">
        <v>26.54</v>
      </c>
      <c r="AD98" s="15">
        <v>29.01</v>
      </c>
      <c r="AE98" s="15">
        <v>32.020000000000003</v>
      </c>
      <c r="AF98" s="15">
        <v>34.869999999999997</v>
      </c>
      <c r="AG98" s="15">
        <v>37.79</v>
      </c>
      <c r="AH98" s="15">
        <v>40.82</v>
      </c>
      <c r="AI98" s="15">
        <v>44.17</v>
      </c>
      <c r="AJ98" s="15">
        <v>47.75</v>
      </c>
      <c r="AK98" s="15">
        <v>51.47</v>
      </c>
      <c r="AL98" s="15">
        <v>55.87</v>
      </c>
      <c r="AM98" s="15">
        <v>60.71</v>
      </c>
      <c r="AN98" s="15">
        <v>65.88</v>
      </c>
      <c r="AO98" s="15">
        <v>70.84</v>
      </c>
      <c r="AP98" s="15">
        <v>75.430000000000007</v>
      </c>
      <c r="AQ98" s="15">
        <v>79.28</v>
      </c>
      <c r="AR98" s="15">
        <v>82.59</v>
      </c>
      <c r="AS98" s="15">
        <v>85.63</v>
      </c>
      <c r="AT98" s="15">
        <v>88.91</v>
      </c>
      <c r="AU98" s="15">
        <v>92.77</v>
      </c>
      <c r="AV98" s="15">
        <v>98.12</v>
      </c>
      <c r="AW98" s="15">
        <v>104.73</v>
      </c>
      <c r="AX98" s="15">
        <v>112.99</v>
      </c>
      <c r="AY98" s="15">
        <v>122.97</v>
      </c>
      <c r="AZ98" s="15">
        <v>134.49</v>
      </c>
      <c r="BA98" s="15">
        <v>146.91</v>
      </c>
      <c r="BB98" s="15">
        <v>160.47999999999999</v>
      </c>
      <c r="BC98" s="15">
        <v>175.19</v>
      </c>
      <c r="BD98" s="15">
        <v>190.35</v>
      </c>
      <c r="BE98" s="15">
        <v>206.38</v>
      </c>
      <c r="BF98" s="15">
        <v>223.4</v>
      </c>
      <c r="BG98" s="15">
        <v>241.47</v>
      </c>
      <c r="BH98" s="15">
        <v>260.82</v>
      </c>
      <c r="BI98" s="15">
        <v>281.41000000000003</v>
      </c>
      <c r="BJ98" s="15">
        <v>303.55</v>
      </c>
      <c r="BK98" s="15">
        <v>327.25</v>
      </c>
      <c r="BL98" s="15">
        <v>352.7</v>
      </c>
      <c r="BM98" s="15">
        <v>380.08</v>
      </c>
      <c r="BN98" s="15">
        <v>409.79</v>
      </c>
      <c r="BO98" s="15">
        <v>442.05</v>
      </c>
      <c r="BP98" s="15">
        <v>477.37</v>
      </c>
      <c r="BQ98" s="15">
        <v>518.29</v>
      </c>
      <c r="BR98" s="15">
        <v>565.57000000000005</v>
      </c>
      <c r="BS98" s="15">
        <v>615.67999999999995</v>
      </c>
      <c r="BT98" s="15">
        <v>666.91</v>
      </c>
      <c r="BU98" s="15">
        <v>721.06</v>
      </c>
      <c r="BV98" s="15">
        <v>782.46</v>
      </c>
      <c r="BW98" s="15">
        <v>852.01</v>
      </c>
      <c r="BX98" s="15">
        <v>928.99</v>
      </c>
      <c r="BY98" s="15">
        <v>1015.25</v>
      </c>
      <c r="BZ98" s="15">
        <v>1113.27</v>
      </c>
      <c r="CA98" s="15">
        <v>1224.8599999999999</v>
      </c>
      <c r="CB98" s="15">
        <v>1351.09</v>
      </c>
      <c r="CC98" s="15">
        <v>1493.04</v>
      </c>
      <c r="CD98" s="15">
        <v>1651.73</v>
      </c>
      <c r="CE98" s="15">
        <v>1828.35</v>
      </c>
      <c r="CF98" s="15">
        <v>2025.33</v>
      </c>
      <c r="CG98" s="15">
        <v>2245.17</v>
      </c>
      <c r="CH98" s="15">
        <v>2492.35</v>
      </c>
      <c r="CI98" s="15">
        <v>2767.63</v>
      </c>
      <c r="CJ98" s="15">
        <v>3072.92</v>
      </c>
      <c r="CK98" s="15">
        <v>3411.77</v>
      </c>
      <c r="CL98" s="15">
        <v>3786.36</v>
      </c>
      <c r="CM98" s="15">
        <v>4199.07</v>
      </c>
      <c r="CN98" s="15">
        <v>4652.91</v>
      </c>
      <c r="CO98" s="15">
        <v>5153.45</v>
      </c>
      <c r="CP98" s="15">
        <v>5705.19</v>
      </c>
      <c r="CQ98" s="15">
        <v>6306.89</v>
      </c>
      <c r="CR98" s="15">
        <v>6950.78</v>
      </c>
      <c r="CS98" s="15">
        <v>7623.45</v>
      </c>
      <c r="CT98" s="15">
        <v>8310.02</v>
      </c>
      <c r="CU98" s="15">
        <v>9007.33</v>
      </c>
      <c r="CV98" s="15">
        <v>9732.68</v>
      </c>
      <c r="CW98" s="15">
        <v>10509.63</v>
      </c>
      <c r="CX98" s="15">
        <v>11371.99</v>
      </c>
    </row>
    <row r="99" spans="1:102" x14ac:dyDescent="0.25">
      <c r="A99" s="71">
        <v>1992</v>
      </c>
      <c r="B99" s="15">
        <v>571.65</v>
      </c>
      <c r="C99" s="15">
        <v>44.7</v>
      </c>
      <c r="D99" s="15">
        <v>28.67</v>
      </c>
      <c r="E99" s="15">
        <v>18.940000000000001</v>
      </c>
      <c r="F99" s="15">
        <v>13.15</v>
      </c>
      <c r="G99" s="15">
        <v>13.42</v>
      </c>
      <c r="H99" s="15">
        <v>13.94</v>
      </c>
      <c r="I99" s="15">
        <v>9.4600000000000009</v>
      </c>
      <c r="J99" s="15">
        <v>10</v>
      </c>
      <c r="K99" s="15">
        <v>9.99</v>
      </c>
      <c r="L99" s="15">
        <v>12.05</v>
      </c>
      <c r="M99" s="15">
        <v>10.96</v>
      </c>
      <c r="N99" s="15">
        <v>12.78</v>
      </c>
      <c r="O99" s="15">
        <v>12.49</v>
      </c>
      <c r="P99" s="15">
        <v>13.22</v>
      </c>
      <c r="Q99" s="15">
        <v>13.14</v>
      </c>
      <c r="R99" s="15">
        <v>14.55</v>
      </c>
      <c r="S99" s="15">
        <v>19.43</v>
      </c>
      <c r="T99" s="15">
        <v>22.17</v>
      </c>
      <c r="U99" s="15">
        <v>21.74</v>
      </c>
      <c r="V99" s="15">
        <v>21.25</v>
      </c>
      <c r="W99" s="15">
        <v>22.76</v>
      </c>
      <c r="X99" s="15">
        <v>21.81</v>
      </c>
      <c r="Y99" s="15">
        <v>21.73</v>
      </c>
      <c r="Z99" s="15">
        <v>21.87</v>
      </c>
      <c r="AA99" s="15">
        <v>22.67</v>
      </c>
      <c r="AB99" s="15">
        <v>24.15</v>
      </c>
      <c r="AC99" s="15">
        <v>26.08</v>
      </c>
      <c r="AD99" s="15">
        <v>28.61</v>
      </c>
      <c r="AE99" s="15">
        <v>31.53</v>
      </c>
      <c r="AF99" s="15">
        <v>34.450000000000003</v>
      </c>
      <c r="AG99" s="15">
        <v>37.380000000000003</v>
      </c>
      <c r="AH99" s="15">
        <v>40.42</v>
      </c>
      <c r="AI99" s="15">
        <v>43.73</v>
      </c>
      <c r="AJ99" s="15">
        <v>47.22</v>
      </c>
      <c r="AK99" s="15">
        <v>50.89</v>
      </c>
      <c r="AL99" s="15">
        <v>55.31</v>
      </c>
      <c r="AM99" s="15">
        <v>60.17</v>
      </c>
      <c r="AN99" s="15">
        <v>65.14</v>
      </c>
      <c r="AO99" s="15">
        <v>70.06</v>
      </c>
      <c r="AP99" s="15">
        <v>74.569999999999993</v>
      </c>
      <c r="AQ99" s="15">
        <v>78.430000000000007</v>
      </c>
      <c r="AR99" s="15">
        <v>81.650000000000006</v>
      </c>
      <c r="AS99" s="15">
        <v>84.6</v>
      </c>
      <c r="AT99" s="15">
        <v>87.77</v>
      </c>
      <c r="AU99" s="15">
        <v>91.75</v>
      </c>
      <c r="AV99" s="15">
        <v>97</v>
      </c>
      <c r="AW99" s="15">
        <v>103.51</v>
      </c>
      <c r="AX99" s="15">
        <v>111.63</v>
      </c>
      <c r="AY99" s="15">
        <v>121.52</v>
      </c>
      <c r="AZ99" s="15">
        <v>132.91</v>
      </c>
      <c r="BA99" s="15">
        <v>145.21</v>
      </c>
      <c r="BB99" s="15">
        <v>158.65</v>
      </c>
      <c r="BC99" s="15">
        <v>172.97</v>
      </c>
      <c r="BD99" s="15">
        <v>188.07</v>
      </c>
      <c r="BE99" s="15">
        <v>203.87</v>
      </c>
      <c r="BF99" s="15">
        <v>220.66</v>
      </c>
      <c r="BG99" s="15">
        <v>238.61</v>
      </c>
      <c r="BH99" s="15">
        <v>257.73</v>
      </c>
      <c r="BI99" s="15">
        <v>278.04000000000002</v>
      </c>
      <c r="BJ99" s="15">
        <v>299.95</v>
      </c>
      <c r="BK99" s="15">
        <v>323.42</v>
      </c>
      <c r="BL99" s="15">
        <v>348.48</v>
      </c>
      <c r="BM99" s="15">
        <v>375.58</v>
      </c>
      <c r="BN99" s="15">
        <v>404.95</v>
      </c>
      <c r="BO99" s="15">
        <v>436.86</v>
      </c>
      <c r="BP99" s="15">
        <v>471.77</v>
      </c>
      <c r="BQ99" s="15">
        <v>512.27</v>
      </c>
      <c r="BR99" s="15">
        <v>558.80999999999995</v>
      </c>
      <c r="BS99" s="15">
        <v>608.47</v>
      </c>
      <c r="BT99" s="15">
        <v>659.01</v>
      </c>
      <c r="BU99" s="15">
        <v>712.48</v>
      </c>
      <c r="BV99" s="15">
        <v>773.23</v>
      </c>
      <c r="BW99" s="15">
        <v>841.96</v>
      </c>
      <c r="BX99" s="15">
        <v>918.09</v>
      </c>
      <c r="BY99" s="15">
        <v>1003.27</v>
      </c>
      <c r="BZ99" s="15">
        <v>1100.24</v>
      </c>
      <c r="CA99" s="15">
        <v>1210.47</v>
      </c>
      <c r="CB99" s="15">
        <v>1335.28</v>
      </c>
      <c r="CC99" s="15">
        <v>1475.48</v>
      </c>
      <c r="CD99" s="15">
        <v>1632.23</v>
      </c>
      <c r="CE99" s="15">
        <v>1806.83</v>
      </c>
      <c r="CF99" s="15">
        <v>2001.33</v>
      </c>
      <c r="CG99" s="15">
        <v>2218.85</v>
      </c>
      <c r="CH99" s="15">
        <v>2463.13</v>
      </c>
      <c r="CI99" s="15">
        <v>2735.03</v>
      </c>
      <c r="CJ99" s="15">
        <v>3036.96</v>
      </c>
      <c r="CK99" s="15">
        <v>3371.77</v>
      </c>
      <c r="CL99" s="15">
        <v>3742.17</v>
      </c>
      <c r="CM99" s="15">
        <v>4149.97</v>
      </c>
      <c r="CN99" s="15">
        <v>4598.49</v>
      </c>
      <c r="CO99" s="15">
        <v>5093.49</v>
      </c>
      <c r="CP99" s="15">
        <v>5639.04</v>
      </c>
      <c r="CQ99" s="15">
        <v>6233.64</v>
      </c>
      <c r="CR99" s="15">
        <v>6870.44</v>
      </c>
      <c r="CS99" s="15">
        <v>7535.76</v>
      </c>
      <c r="CT99" s="15">
        <v>8214.7900000000009</v>
      </c>
      <c r="CU99" s="15">
        <v>8904.7000000000007</v>
      </c>
      <c r="CV99" s="15">
        <v>9621.7999999999993</v>
      </c>
      <c r="CW99" s="15">
        <v>10390.540000000001</v>
      </c>
      <c r="CX99" s="15">
        <v>11243.34</v>
      </c>
    </row>
    <row r="100" spans="1:102" x14ac:dyDescent="0.25">
      <c r="A100" s="71">
        <v>1993</v>
      </c>
      <c r="B100" s="15">
        <v>563.29999999999995</v>
      </c>
      <c r="C100" s="15">
        <v>47.9</v>
      </c>
      <c r="D100" s="15">
        <v>22.45</v>
      </c>
      <c r="E100" s="15">
        <v>16.23</v>
      </c>
      <c r="F100" s="15">
        <v>12.72</v>
      </c>
      <c r="G100" s="15">
        <v>12.45</v>
      </c>
      <c r="H100" s="15">
        <v>12.16</v>
      </c>
      <c r="I100" s="15">
        <v>8.39</v>
      </c>
      <c r="J100" s="15">
        <v>13.25</v>
      </c>
      <c r="K100" s="15">
        <v>8.08</v>
      </c>
      <c r="L100" s="15">
        <v>11.27</v>
      </c>
      <c r="M100" s="15">
        <v>7.51</v>
      </c>
      <c r="N100" s="15">
        <v>12.84</v>
      </c>
      <c r="O100" s="15">
        <v>12.78</v>
      </c>
      <c r="P100" s="15">
        <v>13.25</v>
      </c>
      <c r="Q100" s="15">
        <v>15.52</v>
      </c>
      <c r="R100" s="15">
        <v>19.8</v>
      </c>
      <c r="S100" s="15">
        <v>23.52</v>
      </c>
      <c r="T100" s="15">
        <v>18.96</v>
      </c>
      <c r="U100" s="15">
        <v>19.7</v>
      </c>
      <c r="V100" s="15">
        <v>22.1</v>
      </c>
      <c r="W100" s="15">
        <v>21.36</v>
      </c>
      <c r="X100" s="15">
        <v>21.11</v>
      </c>
      <c r="Y100" s="15">
        <v>21.1</v>
      </c>
      <c r="Z100" s="15">
        <v>21.31</v>
      </c>
      <c r="AA100" s="15">
        <v>22.19</v>
      </c>
      <c r="AB100" s="15">
        <v>23.65</v>
      </c>
      <c r="AC100" s="15">
        <v>25.51</v>
      </c>
      <c r="AD100" s="15">
        <v>28.2</v>
      </c>
      <c r="AE100" s="15">
        <v>31.06</v>
      </c>
      <c r="AF100" s="15">
        <v>34.03</v>
      </c>
      <c r="AG100" s="15">
        <v>36.97</v>
      </c>
      <c r="AH100" s="15">
        <v>40.01</v>
      </c>
      <c r="AI100" s="15">
        <v>43.21</v>
      </c>
      <c r="AJ100" s="15">
        <v>46.54</v>
      </c>
      <c r="AK100" s="15">
        <v>50.29</v>
      </c>
      <c r="AL100" s="15">
        <v>54.67</v>
      </c>
      <c r="AM100" s="15">
        <v>59.45</v>
      </c>
      <c r="AN100" s="15">
        <v>64.400000000000006</v>
      </c>
      <c r="AO100" s="15">
        <v>69.19</v>
      </c>
      <c r="AP100" s="15">
        <v>73.73</v>
      </c>
      <c r="AQ100" s="15">
        <v>77.5</v>
      </c>
      <c r="AR100" s="15">
        <v>80.55</v>
      </c>
      <c r="AS100" s="15">
        <v>83.55</v>
      </c>
      <c r="AT100" s="15">
        <v>86.66</v>
      </c>
      <c r="AU100" s="15">
        <v>90.66</v>
      </c>
      <c r="AV100" s="15">
        <v>95.77</v>
      </c>
      <c r="AW100" s="15">
        <v>102.24</v>
      </c>
      <c r="AX100" s="15">
        <v>110.27</v>
      </c>
      <c r="AY100" s="15">
        <v>120.12</v>
      </c>
      <c r="AZ100" s="15">
        <v>131.27000000000001</v>
      </c>
      <c r="BA100" s="15">
        <v>143.4</v>
      </c>
      <c r="BB100" s="15">
        <v>156.57</v>
      </c>
      <c r="BC100" s="15">
        <v>170.81</v>
      </c>
      <c r="BD100" s="15">
        <v>185.83</v>
      </c>
      <c r="BE100" s="15">
        <v>201.34</v>
      </c>
      <c r="BF100" s="15">
        <v>217.91</v>
      </c>
      <c r="BG100" s="15">
        <v>235.77</v>
      </c>
      <c r="BH100" s="15">
        <v>254.54</v>
      </c>
      <c r="BI100" s="15">
        <v>274.67</v>
      </c>
      <c r="BJ100" s="15">
        <v>296.32</v>
      </c>
      <c r="BK100" s="15">
        <v>319.38</v>
      </c>
      <c r="BL100" s="15">
        <v>344.1</v>
      </c>
      <c r="BM100" s="15">
        <v>370.89</v>
      </c>
      <c r="BN100" s="15">
        <v>399.92</v>
      </c>
      <c r="BO100" s="15">
        <v>431.58</v>
      </c>
      <c r="BP100" s="15">
        <v>466.04</v>
      </c>
      <c r="BQ100" s="15">
        <v>505.83</v>
      </c>
      <c r="BR100" s="15">
        <v>551.96</v>
      </c>
      <c r="BS100" s="15">
        <v>600.95000000000005</v>
      </c>
      <c r="BT100" s="15">
        <v>650.91999999999996</v>
      </c>
      <c r="BU100" s="15">
        <v>703.7</v>
      </c>
      <c r="BV100" s="15">
        <v>763.6</v>
      </c>
      <c r="BW100" s="15">
        <v>831.63</v>
      </c>
      <c r="BX100" s="15">
        <v>906.81</v>
      </c>
      <c r="BY100" s="15">
        <v>991.05</v>
      </c>
      <c r="BZ100" s="15">
        <v>1086.8699999999999</v>
      </c>
      <c r="CA100" s="15">
        <v>1195.68</v>
      </c>
      <c r="CB100" s="15">
        <v>1319.03</v>
      </c>
      <c r="CC100" s="15">
        <v>1457.56</v>
      </c>
      <c r="CD100" s="15">
        <v>1612.36</v>
      </c>
      <c r="CE100" s="15">
        <v>1785</v>
      </c>
      <c r="CF100" s="15">
        <v>1977.03</v>
      </c>
      <c r="CG100" s="15">
        <v>2192.21</v>
      </c>
      <c r="CH100" s="15">
        <v>2433.4299999999998</v>
      </c>
      <c r="CI100" s="15">
        <v>2702.3</v>
      </c>
      <c r="CJ100" s="15">
        <v>3000.67</v>
      </c>
      <c r="CK100" s="15">
        <v>3331.59</v>
      </c>
      <c r="CL100" s="15">
        <v>3697.71</v>
      </c>
      <c r="CM100" s="15">
        <v>4100.7</v>
      </c>
      <c r="CN100" s="15">
        <v>4544.28</v>
      </c>
      <c r="CO100" s="15">
        <v>5033.58</v>
      </c>
      <c r="CP100" s="15">
        <v>5572.94</v>
      </c>
      <c r="CQ100" s="15">
        <v>6160.64</v>
      </c>
      <c r="CR100" s="15">
        <v>6790.34</v>
      </c>
      <c r="CS100" s="15">
        <v>7448.41</v>
      </c>
      <c r="CT100" s="15">
        <v>8119.83</v>
      </c>
      <c r="CU100" s="15">
        <v>8802.31</v>
      </c>
      <c r="CV100" s="15">
        <v>9511.41</v>
      </c>
      <c r="CW100" s="15">
        <v>10271.64</v>
      </c>
      <c r="CX100" s="15">
        <v>11115.37</v>
      </c>
    </row>
    <row r="101" spans="1:102" x14ac:dyDescent="0.25">
      <c r="A101" s="71">
        <v>1994</v>
      </c>
      <c r="B101" s="15">
        <v>539.63</v>
      </c>
      <c r="C101" s="15">
        <v>45.65</v>
      </c>
      <c r="D101" s="15">
        <v>28.74</v>
      </c>
      <c r="E101" s="15">
        <v>16.989999999999998</v>
      </c>
      <c r="F101" s="15">
        <v>10.43</v>
      </c>
      <c r="G101" s="15">
        <v>11.8</v>
      </c>
      <c r="H101" s="15">
        <v>9.6300000000000008</v>
      </c>
      <c r="I101" s="15">
        <v>11.28</v>
      </c>
      <c r="J101" s="15">
        <v>9.59</v>
      </c>
      <c r="K101" s="15">
        <v>10.36</v>
      </c>
      <c r="L101" s="15">
        <v>8.16</v>
      </c>
      <c r="M101" s="15">
        <v>9.2100000000000009</v>
      </c>
      <c r="N101" s="15">
        <v>9.6999999999999993</v>
      </c>
      <c r="O101" s="15">
        <v>11.25</v>
      </c>
      <c r="P101" s="15">
        <v>8.5399999999999991</v>
      </c>
      <c r="Q101" s="15">
        <v>14.82</v>
      </c>
      <c r="R101" s="15">
        <v>18.12</v>
      </c>
      <c r="S101" s="15">
        <v>17.350000000000001</v>
      </c>
      <c r="T101" s="15">
        <v>15.65</v>
      </c>
      <c r="U101" s="15">
        <v>21.15</v>
      </c>
      <c r="V101" s="15">
        <v>20.74</v>
      </c>
      <c r="W101" s="15">
        <v>20.61</v>
      </c>
      <c r="X101" s="15">
        <v>20.55</v>
      </c>
      <c r="Y101" s="15">
        <v>20.49</v>
      </c>
      <c r="Z101" s="15">
        <v>20.71</v>
      </c>
      <c r="AA101" s="15">
        <v>21.61</v>
      </c>
      <c r="AB101" s="15">
        <v>23.05</v>
      </c>
      <c r="AC101" s="15">
        <v>25.11</v>
      </c>
      <c r="AD101" s="15">
        <v>27.8</v>
      </c>
      <c r="AE101" s="15">
        <v>30.59</v>
      </c>
      <c r="AF101" s="15">
        <v>33.57</v>
      </c>
      <c r="AG101" s="15">
        <v>36.61</v>
      </c>
      <c r="AH101" s="15">
        <v>39.6</v>
      </c>
      <c r="AI101" s="15">
        <v>42.69</v>
      </c>
      <c r="AJ101" s="15">
        <v>45.91</v>
      </c>
      <c r="AK101" s="15">
        <v>49.72</v>
      </c>
      <c r="AL101" s="15">
        <v>53.96</v>
      </c>
      <c r="AM101" s="15">
        <v>58.77</v>
      </c>
      <c r="AN101" s="15">
        <v>63.58</v>
      </c>
      <c r="AO101" s="15">
        <v>68.45</v>
      </c>
      <c r="AP101" s="15">
        <v>72.84</v>
      </c>
      <c r="AQ101" s="15">
        <v>76.44</v>
      </c>
      <c r="AR101" s="15">
        <v>79.55</v>
      </c>
      <c r="AS101" s="15">
        <v>82.48</v>
      </c>
      <c r="AT101" s="15">
        <v>85.54</v>
      </c>
      <c r="AU101" s="15">
        <v>89.38</v>
      </c>
      <c r="AV101" s="15">
        <v>94.52</v>
      </c>
      <c r="AW101" s="15">
        <v>100.93</v>
      </c>
      <c r="AX101" s="15">
        <v>108.99</v>
      </c>
      <c r="AY101" s="15">
        <v>118.66</v>
      </c>
      <c r="AZ101" s="15">
        <v>129.61000000000001</v>
      </c>
      <c r="BA101" s="15">
        <v>141.54</v>
      </c>
      <c r="BB101" s="15">
        <v>154.54</v>
      </c>
      <c r="BC101" s="15">
        <v>168.85</v>
      </c>
      <c r="BD101" s="15">
        <v>183.49</v>
      </c>
      <c r="BE101" s="15">
        <v>198.8</v>
      </c>
      <c r="BF101" s="15">
        <v>215.3</v>
      </c>
      <c r="BG101" s="15">
        <v>232.88</v>
      </c>
      <c r="BH101" s="15">
        <v>251.43</v>
      </c>
      <c r="BI101" s="15">
        <v>271.43</v>
      </c>
      <c r="BJ101" s="15">
        <v>292.62</v>
      </c>
      <c r="BK101" s="15">
        <v>315.33999999999997</v>
      </c>
      <c r="BL101" s="15">
        <v>339.87</v>
      </c>
      <c r="BM101" s="15">
        <v>366.25</v>
      </c>
      <c r="BN101" s="15">
        <v>395.02</v>
      </c>
      <c r="BO101" s="15">
        <v>426.21</v>
      </c>
      <c r="BP101" s="15">
        <v>460.13</v>
      </c>
      <c r="BQ101" s="15">
        <v>499.55</v>
      </c>
      <c r="BR101" s="15">
        <v>545.16999999999996</v>
      </c>
      <c r="BS101" s="15">
        <v>593.54</v>
      </c>
      <c r="BT101" s="15">
        <v>642.80999999999995</v>
      </c>
      <c r="BU101" s="15">
        <v>694.84</v>
      </c>
      <c r="BV101" s="15">
        <v>754.07</v>
      </c>
      <c r="BW101" s="15">
        <v>821.31</v>
      </c>
      <c r="BX101" s="15">
        <v>895.52</v>
      </c>
      <c r="BY101" s="15">
        <v>978.86</v>
      </c>
      <c r="BZ101" s="15">
        <v>1073.23</v>
      </c>
      <c r="CA101" s="15">
        <v>1180.8699999999999</v>
      </c>
      <c r="CB101" s="15">
        <v>1302.74</v>
      </c>
      <c r="CC101" s="15">
        <v>1439.66</v>
      </c>
      <c r="CD101" s="15">
        <v>1592.6</v>
      </c>
      <c r="CE101" s="15">
        <v>1762.98</v>
      </c>
      <c r="CF101" s="15">
        <v>1952.9</v>
      </c>
      <c r="CG101" s="15">
        <v>2165.56</v>
      </c>
      <c r="CH101" s="15">
        <v>2403.77</v>
      </c>
      <c r="CI101" s="15">
        <v>2669.48</v>
      </c>
      <c r="CJ101" s="15">
        <v>2964.35</v>
      </c>
      <c r="CK101" s="15">
        <v>3291.61</v>
      </c>
      <c r="CL101" s="15">
        <v>3653.38</v>
      </c>
      <c r="CM101" s="15">
        <v>4051.77</v>
      </c>
      <c r="CN101" s="15">
        <v>4490.21</v>
      </c>
      <c r="CO101" s="15">
        <v>4974.01</v>
      </c>
      <c r="CP101" s="15">
        <v>5507.24</v>
      </c>
      <c r="CQ101" s="15">
        <v>6088.17</v>
      </c>
      <c r="CR101" s="15">
        <v>6710.69</v>
      </c>
      <c r="CS101" s="15">
        <v>7361.5</v>
      </c>
      <c r="CT101" s="15">
        <v>8025.34</v>
      </c>
      <c r="CU101" s="15">
        <v>8700.39</v>
      </c>
      <c r="CV101" s="15">
        <v>9401.74</v>
      </c>
      <c r="CW101" s="15">
        <v>10153.56</v>
      </c>
      <c r="CX101" s="15">
        <v>10988.54</v>
      </c>
    </row>
    <row r="102" spans="1:102" x14ac:dyDescent="0.25">
      <c r="A102" s="71">
        <v>1995</v>
      </c>
      <c r="B102" s="15">
        <v>541.28</v>
      </c>
      <c r="C102" s="15">
        <v>42.42</v>
      </c>
      <c r="D102" s="15">
        <v>24.75</v>
      </c>
      <c r="E102" s="15">
        <v>16.88</v>
      </c>
      <c r="F102" s="15">
        <v>11.52</v>
      </c>
      <c r="G102" s="15">
        <v>12.39</v>
      </c>
      <c r="H102" s="15">
        <v>12.94</v>
      </c>
      <c r="I102" s="15">
        <v>9.25</v>
      </c>
      <c r="J102" s="15">
        <v>9.4700000000000006</v>
      </c>
      <c r="K102" s="15">
        <v>7.21</v>
      </c>
      <c r="L102" s="15">
        <v>8.57</v>
      </c>
      <c r="M102" s="15">
        <v>9.9</v>
      </c>
      <c r="N102" s="15">
        <v>12.03</v>
      </c>
      <c r="O102" s="15">
        <v>10.62</v>
      </c>
      <c r="P102" s="15">
        <v>13.29</v>
      </c>
      <c r="Q102" s="15">
        <v>15.63</v>
      </c>
      <c r="R102" s="15">
        <v>13.33</v>
      </c>
      <c r="S102" s="15">
        <v>17.25</v>
      </c>
      <c r="T102" s="15">
        <v>19.64</v>
      </c>
      <c r="U102" s="15">
        <v>19.73</v>
      </c>
      <c r="V102" s="15">
        <v>19.96</v>
      </c>
      <c r="W102" s="15">
        <v>20.03</v>
      </c>
      <c r="X102" s="15">
        <v>19.98</v>
      </c>
      <c r="Y102" s="15">
        <v>19.93</v>
      </c>
      <c r="Z102" s="15">
        <v>20.170000000000002</v>
      </c>
      <c r="AA102" s="15">
        <v>21.09</v>
      </c>
      <c r="AB102" s="15">
        <v>22.61</v>
      </c>
      <c r="AC102" s="15">
        <v>24.82</v>
      </c>
      <c r="AD102" s="15">
        <v>27.32</v>
      </c>
      <c r="AE102" s="15">
        <v>30.17</v>
      </c>
      <c r="AF102" s="15">
        <v>33.130000000000003</v>
      </c>
      <c r="AG102" s="15">
        <v>36.159999999999997</v>
      </c>
      <c r="AH102" s="15">
        <v>39.14</v>
      </c>
      <c r="AI102" s="15">
        <v>42.11</v>
      </c>
      <c r="AJ102" s="15">
        <v>45.32</v>
      </c>
      <c r="AK102" s="15">
        <v>49.08</v>
      </c>
      <c r="AL102" s="15">
        <v>53.33</v>
      </c>
      <c r="AM102" s="15">
        <v>57.98</v>
      </c>
      <c r="AN102" s="15">
        <v>62.87</v>
      </c>
      <c r="AO102" s="15">
        <v>67.709999999999994</v>
      </c>
      <c r="AP102" s="15">
        <v>71.930000000000007</v>
      </c>
      <c r="AQ102" s="15">
        <v>75.42</v>
      </c>
      <c r="AR102" s="15">
        <v>78.569999999999993</v>
      </c>
      <c r="AS102" s="15">
        <v>81.430000000000007</v>
      </c>
      <c r="AT102" s="15">
        <v>84.48</v>
      </c>
      <c r="AU102" s="15">
        <v>88.26</v>
      </c>
      <c r="AV102" s="15">
        <v>93.25</v>
      </c>
      <c r="AW102" s="15">
        <v>99.7</v>
      </c>
      <c r="AX102" s="15">
        <v>107.71</v>
      </c>
      <c r="AY102" s="15">
        <v>117.19</v>
      </c>
      <c r="AZ102" s="15">
        <v>128.01</v>
      </c>
      <c r="BA102" s="15">
        <v>139.84</v>
      </c>
      <c r="BB102" s="15">
        <v>152.86000000000001</v>
      </c>
      <c r="BC102" s="15">
        <v>166.74</v>
      </c>
      <c r="BD102" s="15">
        <v>181.26</v>
      </c>
      <c r="BE102" s="15">
        <v>196.44</v>
      </c>
      <c r="BF102" s="15">
        <v>212.78</v>
      </c>
      <c r="BG102" s="15">
        <v>230.03</v>
      </c>
      <c r="BH102" s="15">
        <v>248.5</v>
      </c>
      <c r="BI102" s="15">
        <v>268.02</v>
      </c>
      <c r="BJ102" s="15">
        <v>288.98</v>
      </c>
      <c r="BK102" s="15">
        <v>311.49</v>
      </c>
      <c r="BL102" s="15">
        <v>335.7</v>
      </c>
      <c r="BM102" s="15">
        <v>361.79</v>
      </c>
      <c r="BN102" s="15">
        <v>390.18</v>
      </c>
      <c r="BO102" s="15">
        <v>420.89</v>
      </c>
      <c r="BP102" s="15">
        <v>454.41</v>
      </c>
      <c r="BQ102" s="15">
        <v>493.51</v>
      </c>
      <c r="BR102" s="15">
        <v>538.51</v>
      </c>
      <c r="BS102" s="15">
        <v>586.27</v>
      </c>
      <c r="BT102" s="15">
        <v>634.85</v>
      </c>
      <c r="BU102" s="15">
        <v>686.26</v>
      </c>
      <c r="BV102" s="15">
        <v>744.99</v>
      </c>
      <c r="BW102" s="15">
        <v>811.14</v>
      </c>
      <c r="BX102" s="15">
        <v>884.58</v>
      </c>
      <c r="BY102" s="15">
        <v>966.78</v>
      </c>
      <c r="BZ102" s="15">
        <v>1060.02</v>
      </c>
      <c r="CA102" s="15">
        <v>1166.53</v>
      </c>
      <c r="CB102" s="15">
        <v>1286.81</v>
      </c>
      <c r="CC102" s="15">
        <v>1422.12</v>
      </c>
      <c r="CD102" s="15">
        <v>1573.18</v>
      </c>
      <c r="CE102" s="15">
        <v>1741.45</v>
      </c>
      <c r="CF102" s="15">
        <v>1929.35</v>
      </c>
      <c r="CG102" s="15">
        <v>2139.1999999999998</v>
      </c>
      <c r="CH102" s="15">
        <v>2374.67</v>
      </c>
      <c r="CI102" s="15">
        <v>2637.33</v>
      </c>
      <c r="CJ102" s="15">
        <v>2928.73</v>
      </c>
      <c r="CK102" s="15">
        <v>3252.23</v>
      </c>
      <c r="CL102" s="15">
        <v>3609.78</v>
      </c>
      <c r="CM102" s="15">
        <v>4003.47</v>
      </c>
      <c r="CN102" s="15">
        <v>4436.82</v>
      </c>
      <c r="CO102" s="15">
        <v>4915.29</v>
      </c>
      <c r="CP102" s="15">
        <v>5442.19</v>
      </c>
      <c r="CQ102" s="15">
        <v>6016.69</v>
      </c>
      <c r="CR102" s="15">
        <v>6632.06</v>
      </c>
      <c r="CS102" s="15">
        <v>7275.55</v>
      </c>
      <c r="CT102" s="15">
        <v>7932.12</v>
      </c>
      <c r="CU102" s="15">
        <v>8599.7000000000007</v>
      </c>
      <c r="CV102" s="15">
        <v>9293.11</v>
      </c>
      <c r="CW102" s="15">
        <v>10037.06</v>
      </c>
      <c r="CX102" s="15">
        <v>10862.99</v>
      </c>
    </row>
    <row r="103" spans="1:102" x14ac:dyDescent="0.25">
      <c r="A103" s="71">
        <v>1996</v>
      </c>
      <c r="B103" s="15">
        <v>540.70000000000005</v>
      </c>
      <c r="C103" s="15">
        <v>39.26</v>
      </c>
      <c r="D103" s="15">
        <v>25.87</v>
      </c>
      <c r="E103" s="15">
        <v>17.86</v>
      </c>
      <c r="F103" s="15">
        <v>15.01</v>
      </c>
      <c r="G103" s="15">
        <v>12.45</v>
      </c>
      <c r="H103" s="15">
        <v>11.83</v>
      </c>
      <c r="I103" s="15">
        <v>8.1199999999999992</v>
      </c>
      <c r="J103" s="15">
        <v>8.08</v>
      </c>
      <c r="K103" s="15">
        <v>8.0500000000000007</v>
      </c>
      <c r="L103" s="15">
        <v>8.01</v>
      </c>
      <c r="M103" s="15">
        <v>9.34</v>
      </c>
      <c r="N103" s="15">
        <v>7.66</v>
      </c>
      <c r="O103" s="15">
        <v>10.91</v>
      </c>
      <c r="P103" s="15">
        <v>14.92</v>
      </c>
      <c r="Q103" s="15">
        <v>9.14</v>
      </c>
      <c r="R103" s="15">
        <v>10.98</v>
      </c>
      <c r="S103" s="15">
        <v>17.829999999999998</v>
      </c>
      <c r="T103" s="15">
        <v>18.34</v>
      </c>
      <c r="U103" s="15">
        <v>18.95</v>
      </c>
      <c r="V103" s="15">
        <v>19.329999999999998</v>
      </c>
      <c r="W103" s="15">
        <v>19.52</v>
      </c>
      <c r="X103" s="15">
        <v>19.48</v>
      </c>
      <c r="Y103" s="15">
        <v>19.5</v>
      </c>
      <c r="Z103" s="15">
        <v>19.75</v>
      </c>
      <c r="AA103" s="15">
        <v>20.63</v>
      </c>
      <c r="AB103" s="15">
        <v>22.28</v>
      </c>
      <c r="AC103" s="15">
        <v>24.39</v>
      </c>
      <c r="AD103" s="15">
        <v>26.97</v>
      </c>
      <c r="AE103" s="15">
        <v>29.77</v>
      </c>
      <c r="AF103" s="15">
        <v>32.64</v>
      </c>
      <c r="AG103" s="15">
        <v>35.799999999999997</v>
      </c>
      <c r="AH103" s="15">
        <v>38.68</v>
      </c>
      <c r="AI103" s="15">
        <v>41.44</v>
      </c>
      <c r="AJ103" s="15">
        <v>44.79</v>
      </c>
      <c r="AK103" s="15">
        <v>48.45</v>
      </c>
      <c r="AL103" s="15">
        <v>52.67</v>
      </c>
      <c r="AM103" s="15">
        <v>57.29</v>
      </c>
      <c r="AN103" s="15">
        <v>62.26</v>
      </c>
      <c r="AO103" s="15">
        <v>66.89</v>
      </c>
      <c r="AP103" s="15">
        <v>70.959999999999994</v>
      </c>
      <c r="AQ103" s="15">
        <v>74.52</v>
      </c>
      <c r="AR103" s="15">
        <v>77.63</v>
      </c>
      <c r="AS103" s="15">
        <v>80.45</v>
      </c>
      <c r="AT103" s="15">
        <v>83.51</v>
      </c>
      <c r="AU103" s="15">
        <v>87.2</v>
      </c>
      <c r="AV103" s="15">
        <v>92.05</v>
      </c>
      <c r="AW103" s="15">
        <v>98.48</v>
      </c>
      <c r="AX103" s="15">
        <v>106.31</v>
      </c>
      <c r="AY103" s="15">
        <v>115.78</v>
      </c>
      <c r="AZ103" s="15">
        <v>126.49</v>
      </c>
      <c r="BA103" s="15">
        <v>138.27000000000001</v>
      </c>
      <c r="BB103" s="15">
        <v>151.06</v>
      </c>
      <c r="BC103" s="15">
        <v>164.67</v>
      </c>
      <c r="BD103" s="15">
        <v>179.09</v>
      </c>
      <c r="BE103" s="15">
        <v>194.05</v>
      </c>
      <c r="BF103" s="15">
        <v>210.12</v>
      </c>
      <c r="BG103" s="15">
        <v>227.22</v>
      </c>
      <c r="BH103" s="15">
        <v>245.42</v>
      </c>
      <c r="BI103" s="15">
        <v>264.62</v>
      </c>
      <c r="BJ103" s="15">
        <v>285.43</v>
      </c>
      <c r="BK103" s="15">
        <v>307.74</v>
      </c>
      <c r="BL103" s="15">
        <v>331.64</v>
      </c>
      <c r="BM103" s="15">
        <v>357.48</v>
      </c>
      <c r="BN103" s="15">
        <v>385.39</v>
      </c>
      <c r="BO103" s="15">
        <v>415.74</v>
      </c>
      <c r="BP103" s="15">
        <v>448.9</v>
      </c>
      <c r="BQ103" s="15">
        <v>487.44</v>
      </c>
      <c r="BR103" s="15">
        <v>531.92999999999995</v>
      </c>
      <c r="BS103" s="15">
        <v>579.04</v>
      </c>
      <c r="BT103" s="15">
        <v>627.13</v>
      </c>
      <c r="BU103" s="15">
        <v>678.06</v>
      </c>
      <c r="BV103" s="15">
        <v>735.9</v>
      </c>
      <c r="BW103" s="15">
        <v>801.25</v>
      </c>
      <c r="BX103" s="15">
        <v>873.84</v>
      </c>
      <c r="BY103" s="15">
        <v>954.92</v>
      </c>
      <c r="BZ103" s="15">
        <v>1047.3499999999999</v>
      </c>
      <c r="CA103" s="15">
        <v>1152.3800000000001</v>
      </c>
      <c r="CB103" s="15">
        <v>1271.27</v>
      </c>
      <c r="CC103" s="15">
        <v>1404.97</v>
      </c>
      <c r="CD103" s="15">
        <v>1554.08</v>
      </c>
      <c r="CE103" s="15">
        <v>1720.67</v>
      </c>
      <c r="CF103" s="15">
        <v>1906.11</v>
      </c>
      <c r="CG103" s="15">
        <v>2113.5</v>
      </c>
      <c r="CH103" s="15">
        <v>2346.4</v>
      </c>
      <c r="CI103" s="15">
        <v>2605.86</v>
      </c>
      <c r="CJ103" s="15">
        <v>2893.92</v>
      </c>
      <c r="CK103" s="15">
        <v>3213.54</v>
      </c>
      <c r="CL103" s="15">
        <v>3566.94</v>
      </c>
      <c r="CM103" s="15">
        <v>3956.01</v>
      </c>
      <c r="CN103" s="15">
        <v>4384.4399999999996</v>
      </c>
      <c r="CO103" s="15">
        <v>4857.42</v>
      </c>
      <c r="CP103" s="15">
        <v>5378.11</v>
      </c>
      <c r="CQ103" s="15">
        <v>5946.23</v>
      </c>
      <c r="CR103" s="15">
        <v>6554.83</v>
      </c>
      <c r="CS103" s="15">
        <v>7191.01</v>
      </c>
      <c r="CT103" s="15">
        <v>7840.35</v>
      </c>
      <c r="CU103" s="15">
        <v>8500.17</v>
      </c>
      <c r="CV103" s="15">
        <v>9186.2099999999991</v>
      </c>
      <c r="CW103" s="15">
        <v>9922.14</v>
      </c>
      <c r="CX103" s="15">
        <v>10739.16</v>
      </c>
    </row>
    <row r="104" spans="1:102" x14ac:dyDescent="0.25">
      <c r="A104" s="71">
        <v>1997</v>
      </c>
      <c r="B104" s="15">
        <v>523.91</v>
      </c>
      <c r="C104" s="15">
        <v>42.29</v>
      </c>
      <c r="D104" s="15">
        <v>29.84</v>
      </c>
      <c r="E104" s="15">
        <v>18.86</v>
      </c>
      <c r="F104" s="15">
        <v>14.66</v>
      </c>
      <c r="G104" s="15">
        <v>11.51</v>
      </c>
      <c r="H104" s="15">
        <v>10.33</v>
      </c>
      <c r="I104" s="15">
        <v>8.0500000000000007</v>
      </c>
      <c r="J104" s="15">
        <v>6.64</v>
      </c>
      <c r="K104" s="15">
        <v>5.24</v>
      </c>
      <c r="L104" s="15">
        <v>11.5</v>
      </c>
      <c r="M104" s="15">
        <v>9.27</v>
      </c>
      <c r="N104" s="15">
        <v>10.33</v>
      </c>
      <c r="O104" s="15">
        <v>8.11</v>
      </c>
      <c r="P104" s="15">
        <v>9.1300000000000008</v>
      </c>
      <c r="Q104" s="15">
        <v>12.04</v>
      </c>
      <c r="R104" s="15">
        <v>15.79</v>
      </c>
      <c r="S104" s="15">
        <v>16.64</v>
      </c>
      <c r="T104" s="15">
        <v>17.690000000000001</v>
      </c>
      <c r="U104" s="15">
        <v>18.38</v>
      </c>
      <c r="V104" s="15">
        <v>18.829999999999998</v>
      </c>
      <c r="W104" s="15">
        <v>18.91</v>
      </c>
      <c r="X104" s="15">
        <v>19.13</v>
      </c>
      <c r="Y104" s="15">
        <v>19.100000000000001</v>
      </c>
      <c r="Z104" s="15">
        <v>19.29</v>
      </c>
      <c r="AA104" s="15">
        <v>20.23</v>
      </c>
      <c r="AB104" s="15">
        <v>21.82</v>
      </c>
      <c r="AC104" s="15">
        <v>24.06</v>
      </c>
      <c r="AD104" s="15">
        <v>26.64</v>
      </c>
      <c r="AE104" s="15">
        <v>29.27</v>
      </c>
      <c r="AF104" s="15">
        <v>32.369999999999997</v>
      </c>
      <c r="AG104" s="15">
        <v>35.42</v>
      </c>
      <c r="AH104" s="15">
        <v>38.07</v>
      </c>
      <c r="AI104" s="15">
        <v>40.950000000000003</v>
      </c>
      <c r="AJ104" s="15">
        <v>44.24</v>
      </c>
      <c r="AK104" s="15">
        <v>47.91</v>
      </c>
      <c r="AL104" s="15">
        <v>52.01</v>
      </c>
      <c r="AM104" s="15">
        <v>56.75</v>
      </c>
      <c r="AN104" s="15">
        <v>61.5</v>
      </c>
      <c r="AO104" s="15">
        <v>66.069999999999993</v>
      </c>
      <c r="AP104" s="15">
        <v>70.150000000000006</v>
      </c>
      <c r="AQ104" s="15">
        <v>73.709999999999994</v>
      </c>
      <c r="AR104" s="15">
        <v>76.7</v>
      </c>
      <c r="AS104" s="15">
        <v>79.47</v>
      </c>
      <c r="AT104" s="15">
        <v>82.53</v>
      </c>
      <c r="AU104" s="15">
        <v>86.16</v>
      </c>
      <c r="AV104" s="15">
        <v>91.01</v>
      </c>
      <c r="AW104" s="15">
        <v>97.21</v>
      </c>
      <c r="AX104" s="15">
        <v>105.09</v>
      </c>
      <c r="AY104" s="15">
        <v>114.39</v>
      </c>
      <c r="AZ104" s="15">
        <v>124.99</v>
      </c>
      <c r="BA104" s="15">
        <v>136.65</v>
      </c>
      <c r="BB104" s="15">
        <v>149.05000000000001</v>
      </c>
      <c r="BC104" s="15">
        <v>162.71</v>
      </c>
      <c r="BD104" s="15">
        <v>176.78</v>
      </c>
      <c r="BE104" s="15">
        <v>191.63</v>
      </c>
      <c r="BF104" s="15">
        <v>207.46</v>
      </c>
      <c r="BG104" s="15">
        <v>224.44</v>
      </c>
      <c r="BH104" s="15">
        <v>242.34</v>
      </c>
      <c r="BI104" s="15">
        <v>261.42</v>
      </c>
      <c r="BJ104" s="15">
        <v>281.98</v>
      </c>
      <c r="BK104" s="15">
        <v>304.05</v>
      </c>
      <c r="BL104" s="15">
        <v>327.7</v>
      </c>
      <c r="BM104" s="15">
        <v>353.22</v>
      </c>
      <c r="BN104" s="15">
        <v>380.8</v>
      </c>
      <c r="BO104" s="15">
        <v>410.71</v>
      </c>
      <c r="BP104" s="15">
        <v>443.53</v>
      </c>
      <c r="BQ104" s="15">
        <v>481.58</v>
      </c>
      <c r="BR104" s="15">
        <v>525.47</v>
      </c>
      <c r="BS104" s="15">
        <v>572.16</v>
      </c>
      <c r="BT104" s="15">
        <v>619.62</v>
      </c>
      <c r="BU104" s="15">
        <v>669.95</v>
      </c>
      <c r="BV104" s="15">
        <v>727.03</v>
      </c>
      <c r="BW104" s="15">
        <v>791.73</v>
      </c>
      <c r="BX104" s="15">
        <v>863.25</v>
      </c>
      <c r="BY104" s="15">
        <v>943.52</v>
      </c>
      <c r="BZ104" s="15">
        <v>1034.82</v>
      </c>
      <c r="CA104" s="15">
        <v>1138.53</v>
      </c>
      <c r="CB104" s="15">
        <v>1256.1300000000001</v>
      </c>
      <c r="CC104" s="15">
        <v>1388.05</v>
      </c>
      <c r="CD104" s="15">
        <v>1535.56</v>
      </c>
      <c r="CE104" s="15">
        <v>1700.19</v>
      </c>
      <c r="CF104" s="15">
        <v>1883.32</v>
      </c>
      <c r="CG104" s="15">
        <v>2088.5100000000002</v>
      </c>
      <c r="CH104" s="15">
        <v>2318.54</v>
      </c>
      <c r="CI104" s="15">
        <v>2574.9699999999998</v>
      </c>
      <c r="CJ104" s="15">
        <v>2859.71</v>
      </c>
      <c r="CK104" s="15">
        <v>3175.63</v>
      </c>
      <c r="CL104" s="15">
        <v>3524.68</v>
      </c>
      <c r="CM104" s="15">
        <v>3909.44</v>
      </c>
      <c r="CN104" s="15">
        <v>4333.04</v>
      </c>
      <c r="CO104" s="15">
        <v>4800.3</v>
      </c>
      <c r="CP104" s="15">
        <v>5315.35</v>
      </c>
      <c r="CQ104" s="15">
        <v>5877.12</v>
      </c>
      <c r="CR104" s="15">
        <v>6478.89</v>
      </c>
      <c r="CS104" s="15">
        <v>7107.97</v>
      </c>
      <c r="CT104" s="15">
        <v>7749.87</v>
      </c>
      <c r="CU104" s="15">
        <v>8402.4500000000007</v>
      </c>
      <c r="CV104" s="15">
        <v>9080.93</v>
      </c>
      <c r="CW104" s="15">
        <v>9808.89</v>
      </c>
      <c r="CX104" s="15">
        <v>10617.44</v>
      </c>
    </row>
    <row r="105" spans="1:102" x14ac:dyDescent="0.25">
      <c r="A105" s="71">
        <v>1998</v>
      </c>
      <c r="B105" s="15">
        <v>497.92</v>
      </c>
      <c r="C105" s="15">
        <v>39.049999999999997</v>
      </c>
      <c r="D105" s="15">
        <v>16.66</v>
      </c>
      <c r="E105" s="15">
        <v>18.14</v>
      </c>
      <c r="F105" s="15">
        <v>15.74</v>
      </c>
      <c r="G105" s="15">
        <v>12.52</v>
      </c>
      <c r="H105" s="15">
        <v>11.6</v>
      </c>
      <c r="I105" s="15">
        <v>10.16</v>
      </c>
      <c r="J105" s="15">
        <v>10.97</v>
      </c>
      <c r="K105" s="15">
        <v>7.55</v>
      </c>
      <c r="L105" s="15">
        <v>7.8</v>
      </c>
      <c r="M105" s="15">
        <v>9.43</v>
      </c>
      <c r="N105" s="15">
        <v>9.39</v>
      </c>
      <c r="O105" s="15">
        <v>8.23</v>
      </c>
      <c r="P105" s="15">
        <v>8.75</v>
      </c>
      <c r="Q105" s="15">
        <v>13.6</v>
      </c>
      <c r="R105" s="15">
        <v>14.56</v>
      </c>
      <c r="S105" s="15">
        <v>15.98</v>
      </c>
      <c r="T105" s="15">
        <v>17.100000000000001</v>
      </c>
      <c r="U105" s="15">
        <v>17.95</v>
      </c>
      <c r="V105" s="15">
        <v>18.29</v>
      </c>
      <c r="W105" s="15">
        <v>18.440000000000001</v>
      </c>
      <c r="X105" s="15">
        <v>18.61</v>
      </c>
      <c r="Y105" s="15">
        <v>18.579999999999998</v>
      </c>
      <c r="Z105" s="15">
        <v>18.91</v>
      </c>
      <c r="AA105" s="15">
        <v>19.86</v>
      </c>
      <c r="AB105" s="15">
        <v>21.47</v>
      </c>
      <c r="AC105" s="15">
        <v>23.79</v>
      </c>
      <c r="AD105" s="15">
        <v>26.22</v>
      </c>
      <c r="AE105" s="15">
        <v>28.94</v>
      </c>
      <c r="AF105" s="15">
        <v>32.020000000000003</v>
      </c>
      <c r="AG105" s="15">
        <v>34.76</v>
      </c>
      <c r="AH105" s="15">
        <v>37.56</v>
      </c>
      <c r="AI105" s="15">
        <v>40.590000000000003</v>
      </c>
      <c r="AJ105" s="15">
        <v>43.74</v>
      </c>
      <c r="AK105" s="15">
        <v>47.33</v>
      </c>
      <c r="AL105" s="15">
        <v>51.47</v>
      </c>
      <c r="AM105" s="15">
        <v>56.03</v>
      </c>
      <c r="AN105" s="15">
        <v>60.77</v>
      </c>
      <c r="AO105" s="15">
        <v>65.28</v>
      </c>
      <c r="AP105" s="15">
        <v>69.400000000000006</v>
      </c>
      <c r="AQ105" s="15">
        <v>72.89</v>
      </c>
      <c r="AR105" s="15">
        <v>75.680000000000007</v>
      </c>
      <c r="AS105" s="15">
        <v>78.53</v>
      </c>
      <c r="AT105" s="15">
        <v>81.5</v>
      </c>
      <c r="AU105" s="15">
        <v>85.17</v>
      </c>
      <c r="AV105" s="15">
        <v>89.95</v>
      </c>
      <c r="AW105" s="15">
        <v>96.09</v>
      </c>
      <c r="AX105" s="15">
        <v>103.82</v>
      </c>
      <c r="AY105" s="15">
        <v>112.98</v>
      </c>
      <c r="AZ105" s="15">
        <v>123.45</v>
      </c>
      <c r="BA105" s="15">
        <v>134.88</v>
      </c>
      <c r="BB105" s="15">
        <v>147.22999999999999</v>
      </c>
      <c r="BC105" s="15">
        <v>160.68</v>
      </c>
      <c r="BD105" s="15">
        <v>174.6</v>
      </c>
      <c r="BE105" s="15">
        <v>189.3</v>
      </c>
      <c r="BF105" s="15">
        <v>204.93</v>
      </c>
      <c r="BG105" s="15">
        <v>221.78</v>
      </c>
      <c r="BH105" s="15">
        <v>239.38</v>
      </c>
      <c r="BI105" s="15">
        <v>258.27999999999997</v>
      </c>
      <c r="BJ105" s="15">
        <v>278.68</v>
      </c>
      <c r="BK105" s="15">
        <v>300.35000000000002</v>
      </c>
      <c r="BL105" s="15">
        <v>323.79000000000002</v>
      </c>
      <c r="BM105" s="15">
        <v>349.01</v>
      </c>
      <c r="BN105" s="15">
        <v>376.17</v>
      </c>
      <c r="BO105" s="15">
        <v>405.84</v>
      </c>
      <c r="BP105" s="15">
        <v>438.22</v>
      </c>
      <c r="BQ105" s="15">
        <v>475.79</v>
      </c>
      <c r="BR105" s="15">
        <v>519.24</v>
      </c>
      <c r="BS105" s="15">
        <v>565.26</v>
      </c>
      <c r="BT105" s="15">
        <v>612.1</v>
      </c>
      <c r="BU105" s="15">
        <v>661.93</v>
      </c>
      <c r="BV105" s="15">
        <v>718.41</v>
      </c>
      <c r="BW105" s="15">
        <v>782.23</v>
      </c>
      <c r="BX105" s="15">
        <v>852.83</v>
      </c>
      <c r="BY105" s="15">
        <v>932.25</v>
      </c>
      <c r="BZ105" s="15">
        <v>1022.42</v>
      </c>
      <c r="CA105" s="15">
        <v>1124.96</v>
      </c>
      <c r="CB105" s="15">
        <v>1241.08</v>
      </c>
      <c r="CC105" s="15">
        <v>1371.44</v>
      </c>
      <c r="CD105" s="15">
        <v>1517.29</v>
      </c>
      <c r="CE105" s="15">
        <v>1679.8</v>
      </c>
      <c r="CF105" s="15">
        <v>1861</v>
      </c>
      <c r="CG105" s="15">
        <v>2063.56</v>
      </c>
      <c r="CH105" s="15">
        <v>2290.9299999999998</v>
      </c>
      <c r="CI105" s="15">
        <v>2544.4499999999998</v>
      </c>
      <c r="CJ105" s="15">
        <v>2825.8</v>
      </c>
      <c r="CK105" s="15">
        <v>3138.02</v>
      </c>
      <c r="CL105" s="15">
        <v>3482.97</v>
      </c>
      <c r="CM105" s="15">
        <v>3863.49</v>
      </c>
      <c r="CN105" s="15">
        <v>4282.04</v>
      </c>
      <c r="CO105" s="15">
        <v>4743.96</v>
      </c>
      <c r="CP105" s="15">
        <v>5253.41</v>
      </c>
      <c r="CQ105" s="15">
        <v>5808.93</v>
      </c>
      <c r="CR105" s="15">
        <v>6403.8</v>
      </c>
      <c r="CS105" s="15">
        <v>7025.77</v>
      </c>
      <c r="CT105" s="15">
        <v>7660.27</v>
      </c>
      <c r="CU105" s="15">
        <v>8305.89</v>
      </c>
      <c r="CV105" s="15">
        <v>8976.84</v>
      </c>
      <c r="CW105" s="15">
        <v>9697.1299999999992</v>
      </c>
      <c r="CX105" s="15">
        <v>10497.13</v>
      </c>
    </row>
    <row r="106" spans="1:102" x14ac:dyDescent="0.25">
      <c r="A106" s="71">
        <v>1999</v>
      </c>
      <c r="B106" s="15">
        <v>508.2</v>
      </c>
      <c r="C106" s="15">
        <v>32.22</v>
      </c>
      <c r="D106" s="15">
        <v>20.88</v>
      </c>
      <c r="E106" s="15">
        <v>12.57</v>
      </c>
      <c r="F106" s="15">
        <v>14.24</v>
      </c>
      <c r="G106" s="15">
        <v>10.11</v>
      </c>
      <c r="H106" s="15">
        <v>10.37</v>
      </c>
      <c r="I106" s="15">
        <v>6.6</v>
      </c>
      <c r="J106" s="15">
        <v>6.56</v>
      </c>
      <c r="K106" s="15">
        <v>10.220000000000001</v>
      </c>
      <c r="L106" s="15">
        <v>7.63</v>
      </c>
      <c r="M106" s="15">
        <v>6.75</v>
      </c>
      <c r="N106" s="15">
        <v>8.67</v>
      </c>
      <c r="O106" s="15">
        <v>8.07</v>
      </c>
      <c r="P106" s="15">
        <v>11.62</v>
      </c>
      <c r="Q106" s="15">
        <v>12.64</v>
      </c>
      <c r="R106" s="15">
        <v>14.11</v>
      </c>
      <c r="S106" s="15">
        <v>15.48</v>
      </c>
      <c r="T106" s="15">
        <v>16.63</v>
      </c>
      <c r="U106" s="15">
        <v>17.43</v>
      </c>
      <c r="V106" s="15">
        <v>17.79</v>
      </c>
      <c r="W106" s="15">
        <v>17.96</v>
      </c>
      <c r="X106" s="15">
        <v>18.010000000000002</v>
      </c>
      <c r="Y106" s="15">
        <v>18.12</v>
      </c>
      <c r="Z106" s="15">
        <v>18.64</v>
      </c>
      <c r="AA106" s="15">
        <v>19.55</v>
      </c>
      <c r="AB106" s="15">
        <v>21.25</v>
      </c>
      <c r="AC106" s="15">
        <v>23.37</v>
      </c>
      <c r="AD106" s="15">
        <v>25.85</v>
      </c>
      <c r="AE106" s="15">
        <v>28.62</v>
      </c>
      <c r="AF106" s="15">
        <v>31.4</v>
      </c>
      <c r="AG106" s="15">
        <v>34.31</v>
      </c>
      <c r="AH106" s="15">
        <v>37.15</v>
      </c>
      <c r="AI106" s="15">
        <v>40.119999999999997</v>
      </c>
      <c r="AJ106" s="15">
        <v>43.26</v>
      </c>
      <c r="AK106" s="15">
        <v>46.74</v>
      </c>
      <c r="AL106" s="15">
        <v>50.9</v>
      </c>
      <c r="AM106" s="15">
        <v>55.3</v>
      </c>
      <c r="AN106" s="15">
        <v>60</v>
      </c>
      <c r="AO106" s="15">
        <v>64.47</v>
      </c>
      <c r="AP106" s="15">
        <v>68.540000000000006</v>
      </c>
      <c r="AQ106" s="15">
        <v>71.91</v>
      </c>
      <c r="AR106" s="15">
        <v>74.75</v>
      </c>
      <c r="AS106" s="15">
        <v>77.47</v>
      </c>
      <c r="AT106" s="15">
        <v>80.489999999999995</v>
      </c>
      <c r="AU106" s="15">
        <v>84.16</v>
      </c>
      <c r="AV106" s="15">
        <v>88.9</v>
      </c>
      <c r="AW106" s="15">
        <v>94.96</v>
      </c>
      <c r="AX106" s="15">
        <v>102.47</v>
      </c>
      <c r="AY106" s="15">
        <v>111.61</v>
      </c>
      <c r="AZ106" s="15">
        <v>121.89</v>
      </c>
      <c r="BA106" s="15">
        <v>133.22</v>
      </c>
      <c r="BB106" s="15">
        <v>145.53</v>
      </c>
      <c r="BC106" s="15">
        <v>158.66999999999999</v>
      </c>
      <c r="BD106" s="15">
        <v>172.52</v>
      </c>
      <c r="BE106" s="15">
        <v>186.98</v>
      </c>
      <c r="BF106" s="15">
        <v>202.51</v>
      </c>
      <c r="BG106" s="15">
        <v>219.03</v>
      </c>
      <c r="BH106" s="15">
        <v>236.49</v>
      </c>
      <c r="BI106" s="15">
        <v>255.26</v>
      </c>
      <c r="BJ106" s="15">
        <v>275.38</v>
      </c>
      <c r="BK106" s="15">
        <v>296.73</v>
      </c>
      <c r="BL106" s="15">
        <v>319.86</v>
      </c>
      <c r="BM106" s="15">
        <v>344.66</v>
      </c>
      <c r="BN106" s="15">
        <v>371.56</v>
      </c>
      <c r="BO106" s="15">
        <v>400.88</v>
      </c>
      <c r="BP106" s="15">
        <v>432.81</v>
      </c>
      <c r="BQ106" s="15">
        <v>469.93</v>
      </c>
      <c r="BR106" s="15">
        <v>512.96</v>
      </c>
      <c r="BS106" s="15">
        <v>558.39</v>
      </c>
      <c r="BT106" s="15">
        <v>604.69000000000005</v>
      </c>
      <c r="BU106" s="15">
        <v>653.98</v>
      </c>
      <c r="BV106" s="15">
        <v>709.61</v>
      </c>
      <c r="BW106" s="15">
        <v>772.66</v>
      </c>
      <c r="BX106" s="15">
        <v>842.53</v>
      </c>
      <c r="BY106" s="15">
        <v>920.98</v>
      </c>
      <c r="BZ106" s="15">
        <v>1010.07</v>
      </c>
      <c r="CA106" s="15">
        <v>1111.42</v>
      </c>
      <c r="CB106" s="15">
        <v>1226.0999999999999</v>
      </c>
      <c r="CC106" s="15">
        <v>1354.94</v>
      </c>
      <c r="CD106" s="15">
        <v>1499.04</v>
      </c>
      <c r="CE106" s="15">
        <v>1659.6</v>
      </c>
      <c r="CF106" s="15">
        <v>1838.69</v>
      </c>
      <c r="CG106" s="15">
        <v>2038.73</v>
      </c>
      <c r="CH106" s="15">
        <v>2263.41</v>
      </c>
      <c r="CI106" s="15">
        <v>2514.08</v>
      </c>
      <c r="CJ106" s="15">
        <v>2792.07</v>
      </c>
      <c r="CK106" s="15">
        <v>3100.63</v>
      </c>
      <c r="CL106" s="15">
        <v>3441.71</v>
      </c>
      <c r="CM106" s="15">
        <v>3817.76</v>
      </c>
      <c r="CN106" s="15">
        <v>4231.37</v>
      </c>
      <c r="CO106" s="15">
        <v>4688.3100000000004</v>
      </c>
      <c r="CP106" s="15">
        <v>5191.8500000000004</v>
      </c>
      <c r="CQ106" s="15">
        <v>5740.81</v>
      </c>
      <c r="CR106" s="15">
        <v>6329.19</v>
      </c>
      <c r="CS106" s="15">
        <v>6943.88</v>
      </c>
      <c r="CT106" s="15">
        <v>7571.55</v>
      </c>
      <c r="CU106" s="15">
        <v>8210.07</v>
      </c>
      <c r="CV106" s="15">
        <v>8873.76</v>
      </c>
      <c r="CW106" s="15">
        <v>9586.52</v>
      </c>
      <c r="CX106" s="15">
        <v>10377.42</v>
      </c>
    </row>
    <row r="107" spans="1:102" x14ac:dyDescent="0.25">
      <c r="A107" s="71">
        <v>2000</v>
      </c>
      <c r="B107" s="15">
        <v>504.22</v>
      </c>
      <c r="C107" s="15">
        <v>34.15</v>
      </c>
      <c r="D107" s="15">
        <v>18.93</v>
      </c>
      <c r="E107" s="15">
        <v>17.05</v>
      </c>
      <c r="F107" s="15">
        <v>13.7</v>
      </c>
      <c r="G107" s="15">
        <v>8.31</v>
      </c>
      <c r="H107" s="15">
        <v>10.65</v>
      </c>
      <c r="I107" s="15">
        <v>7.94</v>
      </c>
      <c r="J107" s="15">
        <v>8.7799999999999994</v>
      </c>
      <c r="K107" s="15">
        <v>11.07</v>
      </c>
      <c r="L107" s="15">
        <v>7.53</v>
      </c>
      <c r="M107" s="15">
        <v>8.64</v>
      </c>
      <c r="N107" s="15">
        <v>8.6</v>
      </c>
      <c r="O107" s="15">
        <v>9.84</v>
      </c>
      <c r="P107" s="15">
        <v>10.84</v>
      </c>
      <c r="Q107" s="15">
        <v>12.38</v>
      </c>
      <c r="R107" s="15">
        <v>13.81</v>
      </c>
      <c r="S107" s="15">
        <v>15</v>
      </c>
      <c r="T107" s="15">
        <v>16.12</v>
      </c>
      <c r="U107" s="15">
        <v>16.95</v>
      </c>
      <c r="V107" s="15">
        <v>17.399999999999999</v>
      </c>
      <c r="W107" s="15">
        <v>17.440000000000001</v>
      </c>
      <c r="X107" s="15">
        <v>17.559999999999999</v>
      </c>
      <c r="Y107" s="15">
        <v>17.809999999999999</v>
      </c>
      <c r="Z107" s="15">
        <v>18.29</v>
      </c>
      <c r="AA107" s="15">
        <v>19.350000000000001</v>
      </c>
      <c r="AB107" s="15">
        <v>20.83</v>
      </c>
      <c r="AC107" s="15">
        <v>22.94</v>
      </c>
      <c r="AD107" s="15">
        <v>25.47</v>
      </c>
      <c r="AE107" s="15">
        <v>28.18</v>
      </c>
      <c r="AF107" s="15">
        <v>31.08</v>
      </c>
      <c r="AG107" s="15">
        <v>33.86</v>
      </c>
      <c r="AH107" s="15">
        <v>36.71</v>
      </c>
      <c r="AI107" s="15">
        <v>39.68</v>
      </c>
      <c r="AJ107" s="15">
        <v>42.77</v>
      </c>
      <c r="AK107" s="15">
        <v>46.19</v>
      </c>
      <c r="AL107" s="15">
        <v>50.25</v>
      </c>
      <c r="AM107" s="15">
        <v>54.62</v>
      </c>
      <c r="AN107" s="15">
        <v>59.18</v>
      </c>
      <c r="AO107" s="15">
        <v>63.56</v>
      </c>
      <c r="AP107" s="15">
        <v>67.650000000000006</v>
      </c>
      <c r="AQ107" s="15">
        <v>71.03</v>
      </c>
      <c r="AR107" s="15">
        <v>73.86</v>
      </c>
      <c r="AS107" s="15">
        <v>76.510000000000005</v>
      </c>
      <c r="AT107" s="15">
        <v>79.53</v>
      </c>
      <c r="AU107" s="15">
        <v>83.22</v>
      </c>
      <c r="AV107" s="15">
        <v>87.81</v>
      </c>
      <c r="AW107" s="15">
        <v>93.75</v>
      </c>
      <c r="AX107" s="15">
        <v>101.28</v>
      </c>
      <c r="AY107" s="15">
        <v>110.18</v>
      </c>
      <c r="AZ107" s="15">
        <v>120.42</v>
      </c>
      <c r="BA107" s="15">
        <v>131.66999999999999</v>
      </c>
      <c r="BB107" s="15">
        <v>143.74</v>
      </c>
      <c r="BC107" s="15">
        <v>156.77000000000001</v>
      </c>
      <c r="BD107" s="15">
        <v>170.46</v>
      </c>
      <c r="BE107" s="15">
        <v>184.78</v>
      </c>
      <c r="BF107" s="15">
        <v>200.11</v>
      </c>
      <c r="BG107" s="15">
        <v>216.33</v>
      </c>
      <c r="BH107" s="15">
        <v>233.63</v>
      </c>
      <c r="BI107" s="15">
        <v>252.2</v>
      </c>
      <c r="BJ107" s="15">
        <v>272.02</v>
      </c>
      <c r="BK107" s="15">
        <v>293.08</v>
      </c>
      <c r="BL107" s="15">
        <v>315.95999999999998</v>
      </c>
      <c r="BM107" s="15">
        <v>340.4</v>
      </c>
      <c r="BN107" s="15">
        <v>367.1</v>
      </c>
      <c r="BO107" s="15">
        <v>395.88</v>
      </c>
      <c r="BP107" s="15">
        <v>427.48</v>
      </c>
      <c r="BQ107" s="15">
        <v>464.31</v>
      </c>
      <c r="BR107" s="15">
        <v>506.76</v>
      </c>
      <c r="BS107" s="15">
        <v>551.69000000000005</v>
      </c>
      <c r="BT107" s="15">
        <v>597.48</v>
      </c>
      <c r="BU107" s="15">
        <v>646.02</v>
      </c>
      <c r="BV107" s="15">
        <v>700.86</v>
      </c>
      <c r="BW107" s="15">
        <v>763.26</v>
      </c>
      <c r="BX107" s="15">
        <v>832.24</v>
      </c>
      <c r="BY107" s="15">
        <v>909.96</v>
      </c>
      <c r="BZ107" s="15">
        <v>997.83</v>
      </c>
      <c r="CA107" s="15">
        <v>1098.07</v>
      </c>
      <c r="CB107" s="15">
        <v>1211.3499999999999</v>
      </c>
      <c r="CC107" s="15">
        <v>1338.68</v>
      </c>
      <c r="CD107" s="15">
        <v>1481.06</v>
      </c>
      <c r="CE107" s="15">
        <v>1639.87</v>
      </c>
      <c r="CF107" s="15">
        <v>1816.52</v>
      </c>
      <c r="CG107" s="15">
        <v>2014.24</v>
      </c>
      <c r="CH107" s="15">
        <v>2236.35</v>
      </c>
      <c r="CI107" s="15">
        <v>2484.02</v>
      </c>
      <c r="CJ107" s="15">
        <v>2758.84</v>
      </c>
      <c r="CK107" s="15">
        <v>3063.74</v>
      </c>
      <c r="CL107" s="15">
        <v>3400.91</v>
      </c>
      <c r="CM107" s="15">
        <v>3772.46</v>
      </c>
      <c r="CN107" s="15">
        <v>4181.58</v>
      </c>
      <c r="CO107" s="15">
        <v>4633.1499999999996</v>
      </c>
      <c r="CP107" s="15">
        <v>5130.8</v>
      </c>
      <c r="CQ107" s="15">
        <v>5673.55</v>
      </c>
      <c r="CR107" s="15">
        <v>6255.22</v>
      </c>
      <c r="CS107" s="15">
        <v>6863.05</v>
      </c>
      <c r="CT107" s="15">
        <v>7484.17</v>
      </c>
      <c r="CU107" s="15">
        <v>8115.45</v>
      </c>
      <c r="CV107" s="15">
        <v>8771.73</v>
      </c>
      <c r="CW107" s="15">
        <v>9476.5</v>
      </c>
      <c r="CX107" s="15">
        <v>10258.82</v>
      </c>
    </row>
    <row r="108" spans="1:102" x14ac:dyDescent="0.25">
      <c r="A108" s="71">
        <v>2001</v>
      </c>
      <c r="B108" s="15">
        <v>500.78</v>
      </c>
      <c r="C108" s="15">
        <v>36.51</v>
      </c>
      <c r="D108" s="15">
        <v>23.23</v>
      </c>
      <c r="E108" s="15">
        <v>15.24</v>
      </c>
      <c r="F108" s="15">
        <v>8.7899999999999991</v>
      </c>
      <c r="G108" s="15">
        <v>10.28</v>
      </c>
      <c r="H108" s="15">
        <v>9.32</v>
      </c>
      <c r="I108" s="15">
        <v>9.58</v>
      </c>
      <c r="J108" s="15">
        <v>6.85</v>
      </c>
      <c r="K108" s="15">
        <v>7.71</v>
      </c>
      <c r="L108" s="15">
        <v>4.43</v>
      </c>
      <c r="M108" s="15">
        <v>6.46</v>
      </c>
      <c r="N108" s="15">
        <v>8.2799999999999994</v>
      </c>
      <c r="O108" s="15">
        <v>9.08</v>
      </c>
      <c r="P108" s="15">
        <v>10.61</v>
      </c>
      <c r="Q108" s="15">
        <v>12.04</v>
      </c>
      <c r="R108" s="15">
        <v>13.37</v>
      </c>
      <c r="S108" s="15">
        <v>14.6</v>
      </c>
      <c r="T108" s="15">
        <v>15.68</v>
      </c>
      <c r="U108" s="15">
        <v>16.600000000000001</v>
      </c>
      <c r="V108" s="15">
        <v>16.920000000000002</v>
      </c>
      <c r="W108" s="15">
        <v>17.05</v>
      </c>
      <c r="X108" s="15">
        <v>17.18</v>
      </c>
      <c r="Y108" s="15">
        <v>17.38</v>
      </c>
      <c r="Z108" s="15">
        <v>18</v>
      </c>
      <c r="AA108" s="15">
        <v>18.95</v>
      </c>
      <c r="AB108" s="15">
        <v>20.49</v>
      </c>
      <c r="AC108" s="15">
        <v>22.64</v>
      </c>
      <c r="AD108" s="15">
        <v>25.04</v>
      </c>
      <c r="AE108" s="15">
        <v>27.87</v>
      </c>
      <c r="AF108" s="15">
        <v>30.71</v>
      </c>
      <c r="AG108" s="15">
        <v>33.369999999999997</v>
      </c>
      <c r="AH108" s="15">
        <v>36.340000000000003</v>
      </c>
      <c r="AI108" s="15">
        <v>39.31</v>
      </c>
      <c r="AJ108" s="15">
        <v>42.22</v>
      </c>
      <c r="AK108" s="15">
        <v>45.72</v>
      </c>
      <c r="AL108" s="15">
        <v>49.63</v>
      </c>
      <c r="AM108" s="15">
        <v>53.9</v>
      </c>
      <c r="AN108" s="15">
        <v>58.43</v>
      </c>
      <c r="AO108" s="15">
        <v>62.72</v>
      </c>
      <c r="AP108" s="15">
        <v>66.900000000000006</v>
      </c>
      <c r="AQ108" s="15">
        <v>70.23</v>
      </c>
      <c r="AR108" s="15">
        <v>73</v>
      </c>
      <c r="AS108" s="15">
        <v>75.64</v>
      </c>
      <c r="AT108" s="15">
        <v>78.599999999999994</v>
      </c>
      <c r="AU108" s="15">
        <v>82.11</v>
      </c>
      <c r="AV108" s="15">
        <v>86.74</v>
      </c>
      <c r="AW108" s="15">
        <v>92.69</v>
      </c>
      <c r="AX108" s="15">
        <v>100.01</v>
      </c>
      <c r="AY108" s="15">
        <v>108.78</v>
      </c>
      <c r="AZ108" s="15">
        <v>119</v>
      </c>
      <c r="BA108" s="15">
        <v>130.04</v>
      </c>
      <c r="BB108" s="15">
        <v>141.99</v>
      </c>
      <c r="BC108" s="15">
        <v>154.91999999999999</v>
      </c>
      <c r="BD108" s="15">
        <v>168.46</v>
      </c>
      <c r="BE108" s="15">
        <v>182.63</v>
      </c>
      <c r="BF108" s="15">
        <v>197.66</v>
      </c>
      <c r="BG108" s="15">
        <v>213.71</v>
      </c>
      <c r="BH108" s="15">
        <v>230.79</v>
      </c>
      <c r="BI108" s="15">
        <v>249.11</v>
      </c>
      <c r="BJ108" s="15">
        <v>268.63</v>
      </c>
      <c r="BK108" s="15">
        <v>289.60000000000002</v>
      </c>
      <c r="BL108" s="15">
        <v>312.17</v>
      </c>
      <c r="BM108" s="15">
        <v>336.38</v>
      </c>
      <c r="BN108" s="15">
        <v>362.64</v>
      </c>
      <c r="BO108" s="15">
        <v>391.13</v>
      </c>
      <c r="BP108" s="15">
        <v>422.44</v>
      </c>
      <c r="BQ108" s="15">
        <v>458.74</v>
      </c>
      <c r="BR108" s="15">
        <v>500.68</v>
      </c>
      <c r="BS108" s="15">
        <v>545.01</v>
      </c>
      <c r="BT108" s="15">
        <v>590.29999999999995</v>
      </c>
      <c r="BU108" s="15">
        <v>638.12</v>
      </c>
      <c r="BV108" s="15">
        <v>692.44</v>
      </c>
      <c r="BW108" s="15">
        <v>754.05</v>
      </c>
      <c r="BX108" s="15">
        <v>822.37</v>
      </c>
      <c r="BY108" s="15">
        <v>899</v>
      </c>
      <c r="BZ108" s="15">
        <v>985.95</v>
      </c>
      <c r="CA108" s="15">
        <v>1084.94</v>
      </c>
      <c r="CB108" s="15">
        <v>1196.82</v>
      </c>
      <c r="CC108" s="15">
        <v>1322.85</v>
      </c>
      <c r="CD108" s="15">
        <v>1463.39</v>
      </c>
      <c r="CE108" s="15">
        <v>1620.34</v>
      </c>
      <c r="CF108" s="15">
        <v>1794.86</v>
      </c>
      <c r="CG108" s="15">
        <v>1990.24</v>
      </c>
      <c r="CH108" s="15">
        <v>2209.9299999999998</v>
      </c>
      <c r="CI108" s="15">
        <v>2454.38</v>
      </c>
      <c r="CJ108" s="15">
        <v>2726.22</v>
      </c>
      <c r="CK108" s="15">
        <v>3027.35</v>
      </c>
      <c r="CL108" s="15">
        <v>3360.86</v>
      </c>
      <c r="CM108" s="15">
        <v>3727.93</v>
      </c>
      <c r="CN108" s="15">
        <v>4132.51</v>
      </c>
      <c r="CO108" s="15">
        <v>4578.87</v>
      </c>
      <c r="CP108" s="15">
        <v>5070.55</v>
      </c>
      <c r="CQ108" s="15">
        <v>5607.38</v>
      </c>
      <c r="CR108" s="15">
        <v>6182.38</v>
      </c>
      <c r="CS108" s="15">
        <v>6783.82</v>
      </c>
      <c r="CT108" s="15">
        <v>7397.65</v>
      </c>
      <c r="CU108" s="15">
        <v>8021.79</v>
      </c>
      <c r="CV108" s="15">
        <v>8670.9</v>
      </c>
      <c r="CW108" s="15">
        <v>9367.9500000000007</v>
      </c>
      <c r="CX108" s="15">
        <v>10141.65</v>
      </c>
    </row>
    <row r="109" spans="1:102" x14ac:dyDescent="0.25">
      <c r="A109" s="14">
        <v>2002</v>
      </c>
      <c r="B109" s="15">
        <v>458.21</v>
      </c>
      <c r="C109" s="15">
        <v>39.090000000000003</v>
      </c>
      <c r="D109" s="15">
        <v>19.079999999999998</v>
      </c>
      <c r="E109" s="15">
        <v>13.18</v>
      </c>
      <c r="F109" s="15">
        <v>12.24</v>
      </c>
      <c r="G109" s="15">
        <v>8.84</v>
      </c>
      <c r="H109" s="15">
        <v>8.82</v>
      </c>
      <c r="I109" s="15">
        <v>7.28</v>
      </c>
      <c r="J109" s="15">
        <v>10.28</v>
      </c>
      <c r="K109" s="15">
        <v>5.74</v>
      </c>
      <c r="L109" s="15">
        <v>7.22</v>
      </c>
      <c r="M109" s="15">
        <v>7.31</v>
      </c>
      <c r="N109" s="15">
        <v>7.75</v>
      </c>
      <c r="O109" s="15">
        <v>8.86</v>
      </c>
      <c r="P109" s="15">
        <v>10.34</v>
      </c>
      <c r="Q109" s="15">
        <v>11.57</v>
      </c>
      <c r="R109" s="15">
        <v>12.99</v>
      </c>
      <c r="S109" s="15">
        <v>14.24</v>
      </c>
      <c r="T109" s="15">
        <v>15.27</v>
      </c>
      <c r="U109" s="15">
        <v>16</v>
      </c>
      <c r="V109" s="15">
        <v>16.41</v>
      </c>
      <c r="W109" s="15">
        <v>16.61</v>
      </c>
      <c r="X109" s="15">
        <v>16.75</v>
      </c>
      <c r="Y109" s="15">
        <v>16.96</v>
      </c>
      <c r="Z109" s="15">
        <v>17.66</v>
      </c>
      <c r="AA109" s="15">
        <v>18.57</v>
      </c>
      <c r="AB109" s="15">
        <v>20.32</v>
      </c>
      <c r="AC109" s="15">
        <v>22.25</v>
      </c>
      <c r="AD109" s="15">
        <v>24.62</v>
      </c>
      <c r="AE109" s="15">
        <v>27.5</v>
      </c>
      <c r="AF109" s="15">
        <v>30.25</v>
      </c>
      <c r="AG109" s="15">
        <v>33.07</v>
      </c>
      <c r="AH109" s="15">
        <v>36.020000000000003</v>
      </c>
      <c r="AI109" s="15">
        <v>38.770000000000003</v>
      </c>
      <c r="AJ109" s="15">
        <v>41.73</v>
      </c>
      <c r="AK109" s="15">
        <v>45.21</v>
      </c>
      <c r="AL109" s="15">
        <v>48.98</v>
      </c>
      <c r="AM109" s="15">
        <v>53.25</v>
      </c>
      <c r="AN109" s="15">
        <v>57.59</v>
      </c>
      <c r="AO109" s="15">
        <v>61.99</v>
      </c>
      <c r="AP109" s="15">
        <v>66.099999999999994</v>
      </c>
      <c r="AQ109" s="15">
        <v>69.34</v>
      </c>
      <c r="AR109" s="15">
        <v>72.08</v>
      </c>
      <c r="AS109" s="15">
        <v>74.69</v>
      </c>
      <c r="AT109" s="15">
        <v>77.56</v>
      </c>
      <c r="AU109" s="15">
        <v>81.06</v>
      </c>
      <c r="AV109" s="15">
        <v>85.75</v>
      </c>
      <c r="AW109" s="15">
        <v>91.46</v>
      </c>
      <c r="AX109" s="15">
        <v>98.69</v>
      </c>
      <c r="AY109" s="15">
        <v>107.52</v>
      </c>
      <c r="AZ109" s="15">
        <v>117.55</v>
      </c>
      <c r="BA109" s="15">
        <v>128.41999999999999</v>
      </c>
      <c r="BB109" s="15">
        <v>140.33000000000001</v>
      </c>
      <c r="BC109" s="15">
        <v>153.05000000000001</v>
      </c>
      <c r="BD109" s="15">
        <v>166.37</v>
      </c>
      <c r="BE109" s="15">
        <v>180.41</v>
      </c>
      <c r="BF109" s="15">
        <v>195.23</v>
      </c>
      <c r="BG109" s="15">
        <v>211.23</v>
      </c>
      <c r="BH109" s="15">
        <v>228</v>
      </c>
      <c r="BI109" s="15">
        <v>246.03</v>
      </c>
      <c r="BJ109" s="15">
        <v>265.27</v>
      </c>
      <c r="BK109" s="15">
        <v>286.08999999999997</v>
      </c>
      <c r="BL109" s="15">
        <v>308.33999999999997</v>
      </c>
      <c r="BM109" s="15">
        <v>332.32</v>
      </c>
      <c r="BN109" s="15">
        <v>358.22</v>
      </c>
      <c r="BO109" s="15">
        <v>386.45</v>
      </c>
      <c r="BP109" s="15">
        <v>417.32</v>
      </c>
      <c r="BQ109" s="15">
        <v>453.11</v>
      </c>
      <c r="BR109" s="15">
        <v>494.53</v>
      </c>
      <c r="BS109" s="15">
        <v>538.32000000000005</v>
      </c>
      <c r="BT109" s="15">
        <v>583.19000000000005</v>
      </c>
      <c r="BU109" s="15">
        <v>630.34</v>
      </c>
      <c r="BV109" s="15">
        <v>684.19</v>
      </c>
      <c r="BW109" s="15">
        <v>745.03</v>
      </c>
      <c r="BX109" s="15">
        <v>812.48</v>
      </c>
      <c r="BY109" s="15">
        <v>888.08</v>
      </c>
      <c r="BZ109" s="15">
        <v>974.13</v>
      </c>
      <c r="CA109" s="15">
        <v>1071.78</v>
      </c>
      <c r="CB109" s="15">
        <v>1182.42</v>
      </c>
      <c r="CC109" s="15">
        <v>1306.82</v>
      </c>
      <c r="CD109" s="15">
        <v>1445.85</v>
      </c>
      <c r="CE109" s="15">
        <v>1600.78</v>
      </c>
      <c r="CF109" s="15">
        <v>1773.42</v>
      </c>
      <c r="CG109" s="15">
        <v>1966.57</v>
      </c>
      <c r="CH109" s="15">
        <v>2183.4299999999998</v>
      </c>
      <c r="CI109" s="15">
        <v>2425.23</v>
      </c>
      <c r="CJ109" s="15">
        <v>2693.66</v>
      </c>
      <c r="CK109" s="15">
        <v>2991.54</v>
      </c>
      <c r="CL109" s="15">
        <v>3321.03</v>
      </c>
      <c r="CM109" s="15">
        <v>3683.93</v>
      </c>
      <c r="CN109" s="15">
        <v>4083.87</v>
      </c>
      <c r="CO109" s="15">
        <v>4524.8500000000004</v>
      </c>
      <c r="CP109" s="15">
        <v>5011.12</v>
      </c>
      <c r="CQ109" s="15">
        <v>5541.73</v>
      </c>
      <c r="CR109" s="15">
        <v>6110.42</v>
      </c>
      <c r="CS109" s="15">
        <v>6704.88</v>
      </c>
      <c r="CT109" s="15">
        <v>7311.57</v>
      </c>
      <c r="CU109" s="15">
        <v>7928.97</v>
      </c>
      <c r="CV109" s="15">
        <v>8571.3799999999992</v>
      </c>
      <c r="CW109" s="15">
        <v>9260.52</v>
      </c>
      <c r="CX109" s="15">
        <v>10025.69</v>
      </c>
    </row>
    <row r="110" spans="1:102" x14ac:dyDescent="0.25">
      <c r="A110" s="14">
        <v>2003</v>
      </c>
      <c r="B110" s="15">
        <v>486.28</v>
      </c>
      <c r="C110" s="15">
        <v>36.5</v>
      </c>
      <c r="D110" s="15">
        <v>16.25</v>
      </c>
      <c r="E110" s="15">
        <v>15.32</v>
      </c>
      <c r="F110" s="15">
        <v>10.199999999999999</v>
      </c>
      <c r="G110" s="15">
        <v>9.2899999999999991</v>
      </c>
      <c r="H110" s="15">
        <v>7.77</v>
      </c>
      <c r="I110" s="15">
        <v>8.0500000000000007</v>
      </c>
      <c r="J110" s="15">
        <v>6.57</v>
      </c>
      <c r="K110" s="15">
        <v>6.24</v>
      </c>
      <c r="L110" s="15">
        <v>6.96</v>
      </c>
      <c r="M110" s="15">
        <v>6.96</v>
      </c>
      <c r="N110" s="15">
        <v>7.54</v>
      </c>
      <c r="O110" s="15">
        <v>8.7200000000000006</v>
      </c>
      <c r="P110" s="15">
        <v>9.9600000000000009</v>
      </c>
      <c r="Q110" s="15">
        <v>11.18</v>
      </c>
      <c r="R110" s="15">
        <v>12.67</v>
      </c>
      <c r="S110" s="15">
        <v>13.77</v>
      </c>
      <c r="T110" s="15">
        <v>14.78</v>
      </c>
      <c r="U110" s="15">
        <v>15.38</v>
      </c>
      <c r="V110" s="15">
        <v>15.92</v>
      </c>
      <c r="W110" s="15">
        <v>16.2</v>
      </c>
      <c r="X110" s="15">
        <v>16.420000000000002</v>
      </c>
      <c r="Y110" s="15">
        <v>16.760000000000002</v>
      </c>
      <c r="Z110" s="15">
        <v>17.21</v>
      </c>
      <c r="AA110" s="15">
        <v>18.37</v>
      </c>
      <c r="AB110" s="15">
        <v>20.04</v>
      </c>
      <c r="AC110" s="15">
        <v>21.84</v>
      </c>
      <c r="AD110" s="15">
        <v>24.32</v>
      </c>
      <c r="AE110" s="15">
        <v>27.17</v>
      </c>
      <c r="AF110" s="15">
        <v>29.91</v>
      </c>
      <c r="AG110" s="15">
        <v>32.71</v>
      </c>
      <c r="AH110" s="15">
        <v>35.51</v>
      </c>
      <c r="AI110" s="15">
        <v>38.24</v>
      </c>
      <c r="AJ110" s="15">
        <v>41.24</v>
      </c>
      <c r="AK110" s="15">
        <v>44.58</v>
      </c>
      <c r="AL110" s="15">
        <v>48.25</v>
      </c>
      <c r="AM110" s="15">
        <v>52.56</v>
      </c>
      <c r="AN110" s="15">
        <v>56.86</v>
      </c>
      <c r="AO110" s="15">
        <v>61.23</v>
      </c>
      <c r="AP110" s="15">
        <v>65.17</v>
      </c>
      <c r="AQ110" s="15">
        <v>68.39</v>
      </c>
      <c r="AR110" s="15">
        <v>71.16</v>
      </c>
      <c r="AS110" s="15">
        <v>73.760000000000005</v>
      </c>
      <c r="AT110" s="15">
        <v>76.48</v>
      </c>
      <c r="AU110" s="15">
        <v>80.150000000000006</v>
      </c>
      <c r="AV110" s="15">
        <v>84.56</v>
      </c>
      <c r="AW110" s="15">
        <v>90.23</v>
      </c>
      <c r="AX110" s="15">
        <v>97.47</v>
      </c>
      <c r="AY110" s="15">
        <v>106.18</v>
      </c>
      <c r="AZ110" s="15">
        <v>116.07</v>
      </c>
      <c r="BA110" s="15">
        <v>126.92</v>
      </c>
      <c r="BB110" s="15">
        <v>138.62</v>
      </c>
      <c r="BC110" s="15">
        <v>151.16999999999999</v>
      </c>
      <c r="BD110" s="15">
        <v>164.27</v>
      </c>
      <c r="BE110" s="15">
        <v>178.19</v>
      </c>
      <c r="BF110" s="15">
        <v>192.96</v>
      </c>
      <c r="BG110" s="15">
        <v>208.64</v>
      </c>
      <c r="BH110" s="15">
        <v>225.22</v>
      </c>
      <c r="BI110" s="15">
        <v>242.97</v>
      </c>
      <c r="BJ110" s="15">
        <v>262.05</v>
      </c>
      <c r="BK110" s="15">
        <v>282.52</v>
      </c>
      <c r="BL110" s="15">
        <v>304.52</v>
      </c>
      <c r="BM110" s="15">
        <v>328.24</v>
      </c>
      <c r="BN110" s="15">
        <v>353.86</v>
      </c>
      <c r="BO110" s="15">
        <v>381.66</v>
      </c>
      <c r="BP110" s="15">
        <v>412.07</v>
      </c>
      <c r="BQ110" s="15">
        <v>447.52</v>
      </c>
      <c r="BR110" s="15">
        <v>488.38</v>
      </c>
      <c r="BS110" s="15">
        <v>531.83000000000004</v>
      </c>
      <c r="BT110" s="15">
        <v>576.02</v>
      </c>
      <c r="BU110" s="15">
        <v>622.66999999999996</v>
      </c>
      <c r="BV110" s="15">
        <v>675.84</v>
      </c>
      <c r="BW110" s="15">
        <v>735.97</v>
      </c>
      <c r="BX110" s="15">
        <v>802.44</v>
      </c>
      <c r="BY110" s="15">
        <v>877.31</v>
      </c>
      <c r="BZ110" s="15">
        <v>962.17</v>
      </c>
      <c r="CA110" s="15">
        <v>1058.71</v>
      </c>
      <c r="CB110" s="15">
        <v>1168.01</v>
      </c>
      <c r="CC110" s="15">
        <v>1290.94</v>
      </c>
      <c r="CD110" s="15">
        <v>1428.31</v>
      </c>
      <c r="CE110" s="15">
        <v>1581.33</v>
      </c>
      <c r="CF110" s="15">
        <v>1751.95</v>
      </c>
      <c r="CG110" s="15">
        <v>1942.98</v>
      </c>
      <c r="CH110" s="15">
        <v>2157.0500000000002</v>
      </c>
      <c r="CI110" s="15">
        <v>2396.21</v>
      </c>
      <c r="CJ110" s="15">
        <v>2661.28</v>
      </c>
      <c r="CK110" s="15">
        <v>2955.95</v>
      </c>
      <c r="CL110" s="15">
        <v>3281.4</v>
      </c>
      <c r="CM110" s="15">
        <v>3640.3</v>
      </c>
      <c r="CN110" s="15">
        <v>4035.32</v>
      </c>
      <c r="CO110" s="15">
        <v>4471.1400000000003</v>
      </c>
      <c r="CP110" s="15">
        <v>4952.2</v>
      </c>
      <c r="CQ110" s="15">
        <v>5476.57</v>
      </c>
      <c r="CR110" s="15">
        <v>6038.68</v>
      </c>
      <c r="CS110" s="15">
        <v>6626.22</v>
      </c>
      <c r="CT110" s="15">
        <v>7226.4</v>
      </c>
      <c r="CU110" s="15">
        <v>7837.17</v>
      </c>
      <c r="CV110" s="15">
        <v>8472.41</v>
      </c>
      <c r="CW110" s="15">
        <v>9153.84</v>
      </c>
      <c r="CX110" s="15">
        <v>9911.16</v>
      </c>
    </row>
    <row r="111" spans="1:102" x14ac:dyDescent="0.25">
      <c r="A111" s="14">
        <v>2004</v>
      </c>
      <c r="B111" s="15">
        <v>468.5</v>
      </c>
      <c r="C111" s="15">
        <v>37.880000000000003</v>
      </c>
      <c r="D111" s="15">
        <v>20.39</v>
      </c>
      <c r="E111" s="15">
        <v>15.42</v>
      </c>
      <c r="F111" s="15">
        <v>12.51</v>
      </c>
      <c r="G111" s="15">
        <v>11.33</v>
      </c>
      <c r="H111" s="15">
        <v>8.4</v>
      </c>
      <c r="I111" s="15">
        <v>4.3499999999999996</v>
      </c>
      <c r="J111" s="15">
        <v>7.23</v>
      </c>
      <c r="K111" s="15">
        <v>6.94</v>
      </c>
      <c r="L111" s="15">
        <v>6.64</v>
      </c>
      <c r="M111" s="15">
        <v>6.78</v>
      </c>
      <c r="N111" s="15">
        <v>7.35</v>
      </c>
      <c r="O111" s="15">
        <v>8.5</v>
      </c>
      <c r="P111" s="15">
        <v>9.64</v>
      </c>
      <c r="Q111" s="15">
        <v>10.91</v>
      </c>
      <c r="R111" s="15">
        <v>12.29</v>
      </c>
      <c r="S111" s="15">
        <v>13.43</v>
      </c>
      <c r="T111" s="15">
        <v>14.28</v>
      </c>
      <c r="U111" s="15">
        <v>14.94</v>
      </c>
      <c r="V111" s="15">
        <v>15.55</v>
      </c>
      <c r="W111" s="15">
        <v>15.96</v>
      </c>
      <c r="X111" s="15">
        <v>16.18</v>
      </c>
      <c r="Y111" s="15">
        <v>16.46</v>
      </c>
      <c r="Z111" s="15">
        <v>16.89</v>
      </c>
      <c r="AA111" s="15">
        <v>18.100000000000001</v>
      </c>
      <c r="AB111" s="15">
        <v>19.739999999999998</v>
      </c>
      <c r="AC111" s="15">
        <v>21.56</v>
      </c>
      <c r="AD111" s="15">
        <v>24.05</v>
      </c>
      <c r="AE111" s="15">
        <v>26.91</v>
      </c>
      <c r="AF111" s="15">
        <v>29.58</v>
      </c>
      <c r="AG111" s="15">
        <v>32.33</v>
      </c>
      <c r="AH111" s="15">
        <v>35</v>
      </c>
      <c r="AI111" s="15">
        <v>37.81</v>
      </c>
      <c r="AJ111" s="15">
        <v>40.74</v>
      </c>
      <c r="AK111" s="15">
        <v>43.95</v>
      </c>
      <c r="AL111" s="15">
        <v>47.67</v>
      </c>
      <c r="AM111" s="15">
        <v>51.82</v>
      </c>
      <c r="AN111" s="15">
        <v>56.22</v>
      </c>
      <c r="AO111" s="15">
        <v>60.44</v>
      </c>
      <c r="AP111" s="15">
        <v>64.349999999999994</v>
      </c>
      <c r="AQ111" s="15">
        <v>67.44</v>
      </c>
      <c r="AR111" s="15">
        <v>70.34</v>
      </c>
      <c r="AS111" s="15">
        <v>72.760000000000005</v>
      </c>
      <c r="AT111" s="15">
        <v>75.61</v>
      </c>
      <c r="AU111" s="15">
        <v>79.069999999999993</v>
      </c>
      <c r="AV111" s="15">
        <v>83.51</v>
      </c>
      <c r="AW111" s="15">
        <v>89.19</v>
      </c>
      <c r="AX111" s="15">
        <v>96.22</v>
      </c>
      <c r="AY111" s="15">
        <v>104.86</v>
      </c>
      <c r="AZ111" s="15">
        <v>114.62</v>
      </c>
      <c r="BA111" s="15">
        <v>125.42</v>
      </c>
      <c r="BB111" s="15">
        <v>136.88</v>
      </c>
      <c r="BC111" s="15">
        <v>149.28</v>
      </c>
      <c r="BD111" s="15">
        <v>162.35</v>
      </c>
      <c r="BE111" s="15">
        <v>176.04</v>
      </c>
      <c r="BF111" s="15">
        <v>190.63</v>
      </c>
      <c r="BG111" s="15">
        <v>206.03</v>
      </c>
      <c r="BH111" s="15">
        <v>222.45</v>
      </c>
      <c r="BI111" s="15">
        <v>240.01</v>
      </c>
      <c r="BJ111" s="15">
        <v>258.87</v>
      </c>
      <c r="BK111" s="15">
        <v>279.14999999999998</v>
      </c>
      <c r="BL111" s="15">
        <v>300.88</v>
      </c>
      <c r="BM111" s="15">
        <v>324.22000000000003</v>
      </c>
      <c r="BN111" s="15">
        <v>349.48</v>
      </c>
      <c r="BO111" s="15">
        <v>376.93</v>
      </c>
      <c r="BP111" s="15">
        <v>407.07</v>
      </c>
      <c r="BQ111" s="15">
        <v>441.95</v>
      </c>
      <c r="BR111" s="15">
        <v>482.44</v>
      </c>
      <c r="BS111" s="15">
        <v>525.4</v>
      </c>
      <c r="BT111" s="15">
        <v>568.88</v>
      </c>
      <c r="BU111" s="15">
        <v>615.1</v>
      </c>
      <c r="BV111" s="15">
        <v>667.63</v>
      </c>
      <c r="BW111" s="15">
        <v>726.9</v>
      </c>
      <c r="BX111" s="15">
        <v>792.77</v>
      </c>
      <c r="BY111" s="15">
        <v>866.72</v>
      </c>
      <c r="BZ111" s="15">
        <v>950.5</v>
      </c>
      <c r="CA111" s="15">
        <v>1045.9000000000001</v>
      </c>
      <c r="CB111" s="15">
        <v>1153.8399999999999</v>
      </c>
      <c r="CC111" s="15">
        <v>1275.45</v>
      </c>
      <c r="CD111" s="15">
        <v>1410.95</v>
      </c>
      <c r="CE111" s="15">
        <v>1562.24</v>
      </c>
      <c r="CF111" s="15">
        <v>1730.87</v>
      </c>
      <c r="CG111" s="15">
        <v>1919.58</v>
      </c>
      <c r="CH111" s="15">
        <v>2131.3200000000002</v>
      </c>
      <c r="CI111" s="15">
        <v>2367.41</v>
      </c>
      <c r="CJ111" s="15">
        <v>2629.51</v>
      </c>
      <c r="CK111" s="15">
        <v>2920.75</v>
      </c>
      <c r="CL111" s="15">
        <v>3242.41</v>
      </c>
      <c r="CM111" s="15">
        <v>3597.07</v>
      </c>
      <c r="CN111" s="15">
        <v>3987.39</v>
      </c>
      <c r="CO111" s="15">
        <v>4418.62</v>
      </c>
      <c r="CP111" s="15">
        <v>4893.8900000000003</v>
      </c>
      <c r="CQ111" s="15">
        <v>5412.19</v>
      </c>
      <c r="CR111" s="15">
        <v>5967.84</v>
      </c>
      <c r="CS111" s="15">
        <v>6548.84</v>
      </c>
      <c r="CT111" s="15">
        <v>7142.48</v>
      </c>
      <c r="CU111" s="15">
        <v>7746.35</v>
      </c>
      <c r="CV111" s="15">
        <v>8374.4</v>
      </c>
      <c r="CW111" s="15">
        <v>9048.7099999999991</v>
      </c>
      <c r="CX111" s="15">
        <v>9798.01</v>
      </c>
    </row>
    <row r="112" spans="1:102" x14ac:dyDescent="0.25">
      <c r="A112" s="14">
        <v>2005</v>
      </c>
      <c r="B112" s="15">
        <v>441.73</v>
      </c>
      <c r="C112" s="15">
        <v>40.51</v>
      </c>
      <c r="D112" s="15">
        <v>17.38</v>
      </c>
      <c r="E112" s="15">
        <v>17.350000000000001</v>
      </c>
      <c r="F112" s="15">
        <v>13.36</v>
      </c>
      <c r="G112" s="15">
        <v>8.2200000000000006</v>
      </c>
      <c r="H112" s="15">
        <v>7.66</v>
      </c>
      <c r="I112" s="15">
        <v>8.1999999999999993</v>
      </c>
      <c r="J112" s="15">
        <v>7.32</v>
      </c>
      <c r="K112" s="15">
        <v>6.6</v>
      </c>
      <c r="L112" s="15">
        <v>6.46</v>
      </c>
      <c r="M112" s="15">
        <v>6.59</v>
      </c>
      <c r="N112" s="15">
        <v>7.22</v>
      </c>
      <c r="O112" s="15">
        <v>8.26</v>
      </c>
      <c r="P112" s="15">
        <v>9.3699999999999992</v>
      </c>
      <c r="Q112" s="15">
        <v>10.67</v>
      </c>
      <c r="R112" s="15">
        <v>11.95</v>
      </c>
      <c r="S112" s="15">
        <v>13.13</v>
      </c>
      <c r="T112" s="15">
        <v>13.89</v>
      </c>
      <c r="U112" s="15">
        <v>14.6</v>
      </c>
      <c r="V112" s="15">
        <v>15.27</v>
      </c>
      <c r="W112" s="15">
        <v>15.67</v>
      </c>
      <c r="X112" s="15">
        <v>15.89</v>
      </c>
      <c r="Y112" s="15">
        <v>16.100000000000001</v>
      </c>
      <c r="Z112" s="15">
        <v>16.66</v>
      </c>
      <c r="AA112" s="15">
        <v>17.78</v>
      </c>
      <c r="AB112" s="15">
        <v>19.440000000000001</v>
      </c>
      <c r="AC112" s="15">
        <v>21.28</v>
      </c>
      <c r="AD112" s="15">
        <v>23.78</v>
      </c>
      <c r="AE112" s="15">
        <v>26.68</v>
      </c>
      <c r="AF112" s="15">
        <v>29.29</v>
      </c>
      <c r="AG112" s="15">
        <v>31.97</v>
      </c>
      <c r="AH112" s="15">
        <v>34.65</v>
      </c>
      <c r="AI112" s="15">
        <v>37.380000000000003</v>
      </c>
      <c r="AJ112" s="15">
        <v>40.25</v>
      </c>
      <c r="AK112" s="15">
        <v>43.38</v>
      </c>
      <c r="AL112" s="15">
        <v>47.07</v>
      </c>
      <c r="AM112" s="15">
        <v>51.25</v>
      </c>
      <c r="AN112" s="15">
        <v>55.54</v>
      </c>
      <c r="AO112" s="15">
        <v>59.77</v>
      </c>
      <c r="AP112" s="15">
        <v>63.48</v>
      </c>
      <c r="AQ112" s="15">
        <v>66.73</v>
      </c>
      <c r="AR112" s="15">
        <v>69.44</v>
      </c>
      <c r="AS112" s="15">
        <v>71.92</v>
      </c>
      <c r="AT112" s="15">
        <v>74.760000000000005</v>
      </c>
      <c r="AU112" s="15">
        <v>78.150000000000006</v>
      </c>
      <c r="AV112" s="15">
        <v>82.66</v>
      </c>
      <c r="AW112" s="15">
        <v>88.14</v>
      </c>
      <c r="AX112" s="15">
        <v>95.07</v>
      </c>
      <c r="AY112" s="15">
        <v>103.68</v>
      </c>
      <c r="AZ112" s="15">
        <v>113.33</v>
      </c>
      <c r="BA112" s="15">
        <v>123.82</v>
      </c>
      <c r="BB112" s="15">
        <v>135.24</v>
      </c>
      <c r="BC112" s="15">
        <v>147.41999999999999</v>
      </c>
      <c r="BD112" s="15">
        <v>160.47</v>
      </c>
      <c r="BE112" s="15">
        <v>173.9</v>
      </c>
      <c r="BF112" s="15">
        <v>188.31</v>
      </c>
      <c r="BG112" s="15">
        <v>203.53</v>
      </c>
      <c r="BH112" s="15">
        <v>219.62</v>
      </c>
      <c r="BI112" s="15">
        <v>237.13</v>
      </c>
      <c r="BJ112" s="15">
        <v>255.84</v>
      </c>
      <c r="BK112" s="15">
        <v>275.88</v>
      </c>
      <c r="BL112" s="15">
        <v>297.2</v>
      </c>
      <c r="BM112" s="15">
        <v>320.23</v>
      </c>
      <c r="BN112" s="15">
        <v>345.13</v>
      </c>
      <c r="BO112" s="15">
        <v>372.47</v>
      </c>
      <c r="BP112" s="15">
        <v>402.14</v>
      </c>
      <c r="BQ112" s="15">
        <v>436.55</v>
      </c>
      <c r="BR112" s="15">
        <v>476.63</v>
      </c>
      <c r="BS112" s="15">
        <v>518.98</v>
      </c>
      <c r="BT112" s="15">
        <v>562.04</v>
      </c>
      <c r="BU112" s="15">
        <v>607.70000000000005</v>
      </c>
      <c r="BV112" s="15">
        <v>659.53</v>
      </c>
      <c r="BW112" s="15">
        <v>718.12</v>
      </c>
      <c r="BX112" s="15">
        <v>783.21</v>
      </c>
      <c r="BY112" s="15">
        <v>856.12</v>
      </c>
      <c r="BZ112" s="15">
        <v>939.02</v>
      </c>
      <c r="CA112" s="15">
        <v>1033.23</v>
      </c>
      <c r="CB112" s="15">
        <v>1139.96</v>
      </c>
      <c r="CC112" s="15">
        <v>1260.02</v>
      </c>
      <c r="CD112" s="15">
        <v>1393.89</v>
      </c>
      <c r="CE112" s="15">
        <v>1543.5</v>
      </c>
      <c r="CF112" s="15">
        <v>1710.18</v>
      </c>
      <c r="CG112" s="15">
        <v>1896.51</v>
      </c>
      <c r="CH112" s="15">
        <v>2105.87</v>
      </c>
      <c r="CI112" s="15">
        <v>2338.91</v>
      </c>
      <c r="CJ112" s="15">
        <v>2598.21</v>
      </c>
      <c r="CK112" s="15">
        <v>2885.88</v>
      </c>
      <c r="CL112" s="15">
        <v>3203.88</v>
      </c>
      <c r="CM112" s="15">
        <v>3554.45</v>
      </c>
      <c r="CN112" s="15">
        <v>3940.39</v>
      </c>
      <c r="CO112" s="15">
        <v>4366.62</v>
      </c>
      <c r="CP112" s="15">
        <v>4836.33</v>
      </c>
      <c r="CQ112" s="15">
        <v>5348.74</v>
      </c>
      <c r="CR112" s="15">
        <v>5898.19</v>
      </c>
      <c r="CS112" s="15">
        <v>6472.65</v>
      </c>
      <c r="CT112" s="15">
        <v>7059.56</v>
      </c>
      <c r="CU112" s="15">
        <v>7656.54</v>
      </c>
      <c r="CV112" s="15">
        <v>8277.81</v>
      </c>
      <c r="CW112" s="15">
        <v>8944.7199999999993</v>
      </c>
      <c r="CX112" s="15">
        <v>9685.6</v>
      </c>
    </row>
    <row r="113" spans="1:102" x14ac:dyDescent="0.25">
      <c r="A113" s="14">
        <v>2006</v>
      </c>
      <c r="B113" s="15">
        <v>456.12</v>
      </c>
      <c r="C113" s="15">
        <v>32.71</v>
      </c>
      <c r="D113" s="15">
        <v>19.89</v>
      </c>
      <c r="E113" s="15">
        <v>15.41</v>
      </c>
      <c r="F113" s="15">
        <v>9.8800000000000008</v>
      </c>
      <c r="G113" s="15">
        <v>7.94</v>
      </c>
      <c r="H113" s="15">
        <v>8.73</v>
      </c>
      <c r="I113" s="15">
        <v>7.99</v>
      </c>
      <c r="J113" s="15">
        <v>6.89</v>
      </c>
      <c r="K113" s="15">
        <v>6.4</v>
      </c>
      <c r="L113" s="15">
        <v>6.26</v>
      </c>
      <c r="M113" s="15">
        <v>6.46</v>
      </c>
      <c r="N113" s="15">
        <v>7.06</v>
      </c>
      <c r="O113" s="15">
        <v>8.01</v>
      </c>
      <c r="P113" s="15">
        <v>9.15</v>
      </c>
      <c r="Q113" s="15">
        <v>10.35</v>
      </c>
      <c r="R113" s="15">
        <v>11.65</v>
      </c>
      <c r="S113" s="15">
        <v>12.8</v>
      </c>
      <c r="T113" s="15">
        <v>13.61</v>
      </c>
      <c r="U113" s="15">
        <v>14.37</v>
      </c>
      <c r="V113" s="15">
        <v>15.02</v>
      </c>
      <c r="W113" s="15">
        <v>15.35</v>
      </c>
      <c r="X113" s="15">
        <v>15.57</v>
      </c>
      <c r="Y113" s="15">
        <v>15.84</v>
      </c>
      <c r="Z113" s="15">
        <v>16.39</v>
      </c>
      <c r="AA113" s="15">
        <v>17.54</v>
      </c>
      <c r="AB113" s="15">
        <v>19.16</v>
      </c>
      <c r="AC113" s="15">
        <v>20.95</v>
      </c>
      <c r="AD113" s="15">
        <v>23.56</v>
      </c>
      <c r="AE113" s="15">
        <v>26.39</v>
      </c>
      <c r="AF113" s="15">
        <v>28.99</v>
      </c>
      <c r="AG113" s="15">
        <v>31.54</v>
      </c>
      <c r="AH113" s="15">
        <v>34.15</v>
      </c>
      <c r="AI113" s="15">
        <v>36.880000000000003</v>
      </c>
      <c r="AJ113" s="15">
        <v>39.72</v>
      </c>
      <c r="AK113" s="15">
        <v>42.83</v>
      </c>
      <c r="AL113" s="15">
        <v>46.54</v>
      </c>
      <c r="AM113" s="15">
        <v>50.73</v>
      </c>
      <c r="AN113" s="15">
        <v>54.9</v>
      </c>
      <c r="AO113" s="15">
        <v>59.09</v>
      </c>
      <c r="AP113" s="15">
        <v>62.7</v>
      </c>
      <c r="AQ113" s="15">
        <v>65.98</v>
      </c>
      <c r="AR113" s="15">
        <v>68.56</v>
      </c>
      <c r="AS113" s="15">
        <v>71.209999999999994</v>
      </c>
      <c r="AT113" s="15">
        <v>73.92</v>
      </c>
      <c r="AU113" s="15">
        <v>77.34</v>
      </c>
      <c r="AV113" s="15">
        <v>81.680000000000007</v>
      </c>
      <c r="AW113" s="15">
        <v>87.07</v>
      </c>
      <c r="AX113" s="15">
        <v>94.11</v>
      </c>
      <c r="AY113" s="15">
        <v>102.5</v>
      </c>
      <c r="AZ113" s="15">
        <v>111.95</v>
      </c>
      <c r="BA113" s="15">
        <v>122.29</v>
      </c>
      <c r="BB113" s="15">
        <v>133.59</v>
      </c>
      <c r="BC113" s="15">
        <v>145.74</v>
      </c>
      <c r="BD113" s="15">
        <v>158.4</v>
      </c>
      <c r="BE113" s="15">
        <v>171.83</v>
      </c>
      <c r="BF113" s="15">
        <v>186.05</v>
      </c>
      <c r="BG113" s="15">
        <v>200.98</v>
      </c>
      <c r="BH113" s="15">
        <v>217.06</v>
      </c>
      <c r="BI113" s="15">
        <v>234.35</v>
      </c>
      <c r="BJ113" s="15">
        <v>252.82</v>
      </c>
      <c r="BK113" s="15">
        <v>272.51</v>
      </c>
      <c r="BL113" s="15">
        <v>293.52</v>
      </c>
      <c r="BM113" s="15">
        <v>316.24</v>
      </c>
      <c r="BN113" s="15">
        <v>340.97</v>
      </c>
      <c r="BO113" s="15">
        <v>368.02</v>
      </c>
      <c r="BP113" s="15">
        <v>397.2</v>
      </c>
      <c r="BQ113" s="15">
        <v>431.32</v>
      </c>
      <c r="BR113" s="15">
        <v>470.77</v>
      </c>
      <c r="BS113" s="15">
        <v>512.67999999999995</v>
      </c>
      <c r="BT113" s="15">
        <v>555.21</v>
      </c>
      <c r="BU113" s="15">
        <v>600.28</v>
      </c>
      <c r="BV113" s="15">
        <v>651.41999999999996</v>
      </c>
      <c r="BW113" s="15">
        <v>709.39</v>
      </c>
      <c r="BX113" s="15">
        <v>773.57</v>
      </c>
      <c r="BY113" s="15">
        <v>845.67</v>
      </c>
      <c r="BZ113" s="15">
        <v>927.62</v>
      </c>
      <c r="CA113" s="15">
        <v>1020.73</v>
      </c>
      <c r="CB113" s="15">
        <v>1126.1500000000001</v>
      </c>
      <c r="CC113" s="15">
        <v>1244.67</v>
      </c>
      <c r="CD113" s="15">
        <v>1377.18</v>
      </c>
      <c r="CE113" s="15">
        <v>1524.95</v>
      </c>
      <c r="CF113" s="15">
        <v>1689.54</v>
      </c>
      <c r="CG113" s="15">
        <v>1873.76</v>
      </c>
      <c r="CH113" s="15">
        <v>2080.33</v>
      </c>
      <c r="CI113" s="15">
        <v>2310.83</v>
      </c>
      <c r="CJ113" s="15">
        <v>2567.15</v>
      </c>
      <c r="CK113" s="15">
        <v>2851.37</v>
      </c>
      <c r="CL113" s="15">
        <v>3165.79</v>
      </c>
      <c r="CM113" s="15">
        <v>3512.27</v>
      </c>
      <c r="CN113" s="15">
        <v>3893.72</v>
      </c>
      <c r="CO113" s="15">
        <v>4315.09</v>
      </c>
      <c r="CP113" s="15">
        <v>4779.42</v>
      </c>
      <c r="CQ113" s="15">
        <v>5286.26</v>
      </c>
      <c r="CR113" s="15">
        <v>5829.29</v>
      </c>
      <c r="CS113" s="15">
        <v>6397.33</v>
      </c>
      <c r="CT113" s="15">
        <v>6977.4</v>
      </c>
      <c r="CU113" s="15">
        <v>7567.89</v>
      </c>
      <c r="CV113" s="15">
        <v>8182.05</v>
      </c>
      <c r="CW113" s="15">
        <v>8841.66</v>
      </c>
      <c r="CX113" s="15">
        <v>9574.48</v>
      </c>
    </row>
    <row r="114" spans="1:102" x14ac:dyDescent="0.25">
      <c r="A114" s="14">
        <v>2007</v>
      </c>
      <c r="B114" s="15">
        <v>435.31</v>
      </c>
      <c r="C114" s="15">
        <v>32.299999999999997</v>
      </c>
      <c r="D114" s="15">
        <v>19.88</v>
      </c>
      <c r="E114" s="15">
        <v>13.41</v>
      </c>
      <c r="F114" s="15">
        <v>10.17</v>
      </c>
      <c r="G114" s="15">
        <v>10.93</v>
      </c>
      <c r="H114" s="15">
        <v>8.6300000000000008</v>
      </c>
      <c r="I114" s="15">
        <v>7.49</v>
      </c>
      <c r="J114" s="15">
        <v>6.62</v>
      </c>
      <c r="K114" s="15">
        <v>6.21</v>
      </c>
      <c r="L114" s="15">
        <v>6.08</v>
      </c>
      <c r="M114" s="15">
        <v>6.34</v>
      </c>
      <c r="N114" s="15">
        <v>6.86</v>
      </c>
      <c r="O114" s="15">
        <v>7.78</v>
      </c>
      <c r="P114" s="15">
        <v>8.89</v>
      </c>
      <c r="Q114" s="15">
        <v>10.050000000000001</v>
      </c>
      <c r="R114" s="15">
        <v>11.38</v>
      </c>
      <c r="S114" s="15">
        <v>12.5</v>
      </c>
      <c r="T114" s="15">
        <v>13.35</v>
      </c>
      <c r="U114" s="15">
        <v>14.22</v>
      </c>
      <c r="V114" s="15">
        <v>14.73</v>
      </c>
      <c r="W114" s="15">
        <v>15.06</v>
      </c>
      <c r="X114" s="15">
        <v>15.28</v>
      </c>
      <c r="Y114" s="15">
        <v>15.61</v>
      </c>
      <c r="Z114" s="15">
        <v>16.14</v>
      </c>
      <c r="AA114" s="15">
        <v>17.39</v>
      </c>
      <c r="AB114" s="15">
        <v>18.850000000000001</v>
      </c>
      <c r="AC114" s="15">
        <v>20.71</v>
      </c>
      <c r="AD114" s="15">
        <v>23.31</v>
      </c>
      <c r="AE114" s="15">
        <v>26.01</v>
      </c>
      <c r="AF114" s="15">
        <v>28.55</v>
      </c>
      <c r="AG114" s="15">
        <v>31.1</v>
      </c>
      <c r="AH114" s="15">
        <v>33.64</v>
      </c>
      <c r="AI114" s="15">
        <v>36.36</v>
      </c>
      <c r="AJ114" s="15">
        <v>39.19</v>
      </c>
      <c r="AK114" s="15">
        <v>42.39</v>
      </c>
      <c r="AL114" s="15">
        <v>46.01</v>
      </c>
      <c r="AM114" s="15">
        <v>50.15</v>
      </c>
      <c r="AN114" s="15">
        <v>54.22</v>
      </c>
      <c r="AO114" s="15">
        <v>58.36</v>
      </c>
      <c r="AP114" s="15">
        <v>62</v>
      </c>
      <c r="AQ114" s="15">
        <v>65.08</v>
      </c>
      <c r="AR114" s="15">
        <v>67.819999999999993</v>
      </c>
      <c r="AS114" s="15">
        <v>70.41</v>
      </c>
      <c r="AT114" s="15">
        <v>73.05</v>
      </c>
      <c r="AU114" s="15">
        <v>76.319999999999993</v>
      </c>
      <c r="AV114" s="15">
        <v>80.67</v>
      </c>
      <c r="AW114" s="15">
        <v>85.99</v>
      </c>
      <c r="AX114" s="15">
        <v>93.03</v>
      </c>
      <c r="AY114" s="15">
        <v>101.21</v>
      </c>
      <c r="AZ114" s="15">
        <v>110.59</v>
      </c>
      <c r="BA114" s="15">
        <v>120.9</v>
      </c>
      <c r="BB114" s="15">
        <v>132.03</v>
      </c>
      <c r="BC114" s="15">
        <v>144</v>
      </c>
      <c r="BD114" s="15">
        <v>156.46</v>
      </c>
      <c r="BE114" s="15">
        <v>169.78</v>
      </c>
      <c r="BF114" s="15">
        <v>183.76</v>
      </c>
      <c r="BG114" s="15">
        <v>198.67</v>
      </c>
      <c r="BH114" s="15">
        <v>214.64</v>
      </c>
      <c r="BI114" s="15">
        <v>231.5</v>
      </c>
      <c r="BJ114" s="15">
        <v>249.67</v>
      </c>
      <c r="BK114" s="15">
        <v>269.11</v>
      </c>
      <c r="BL114" s="15">
        <v>289.94</v>
      </c>
      <c r="BM114" s="15">
        <v>312.44</v>
      </c>
      <c r="BN114" s="15">
        <v>336.96</v>
      </c>
      <c r="BO114" s="15">
        <v>363.51</v>
      </c>
      <c r="BP114" s="15">
        <v>392.49</v>
      </c>
      <c r="BQ114" s="15">
        <v>426.16</v>
      </c>
      <c r="BR114" s="15">
        <v>465.15</v>
      </c>
      <c r="BS114" s="15">
        <v>506.36</v>
      </c>
      <c r="BT114" s="15">
        <v>548.47</v>
      </c>
      <c r="BU114" s="15">
        <v>593.01</v>
      </c>
      <c r="BV114" s="15">
        <v>643.57000000000005</v>
      </c>
      <c r="BW114" s="15">
        <v>700.74</v>
      </c>
      <c r="BX114" s="15">
        <v>764.31</v>
      </c>
      <c r="BY114" s="15">
        <v>835.56</v>
      </c>
      <c r="BZ114" s="15">
        <v>916.47</v>
      </c>
      <c r="CA114" s="15">
        <v>1008.5</v>
      </c>
      <c r="CB114" s="15">
        <v>1112.6400000000001</v>
      </c>
      <c r="CC114" s="15">
        <v>1229.76</v>
      </c>
      <c r="CD114" s="15">
        <v>1360.76</v>
      </c>
      <c r="CE114" s="15">
        <v>1506.71</v>
      </c>
      <c r="CF114" s="15">
        <v>1669.31</v>
      </c>
      <c r="CG114" s="15">
        <v>1851.37</v>
      </c>
      <c r="CH114" s="15">
        <v>2055.5100000000002</v>
      </c>
      <c r="CI114" s="15">
        <v>2283.46</v>
      </c>
      <c r="CJ114" s="15">
        <v>2536.6799999999998</v>
      </c>
      <c r="CK114" s="15">
        <v>2817.55</v>
      </c>
      <c r="CL114" s="15">
        <v>3128.34</v>
      </c>
      <c r="CM114" s="15">
        <v>3470.68</v>
      </c>
      <c r="CN114" s="15">
        <v>3847.92</v>
      </c>
      <c r="CO114" s="15">
        <v>4264.5600000000004</v>
      </c>
      <c r="CP114" s="15">
        <v>4723.45</v>
      </c>
      <c r="CQ114" s="15">
        <v>5224.72</v>
      </c>
      <c r="CR114" s="15">
        <v>5761.37</v>
      </c>
      <c r="CS114" s="15">
        <v>6322.97</v>
      </c>
      <c r="CT114" s="15">
        <v>6896.76</v>
      </c>
      <c r="CU114" s="15">
        <v>7480.46</v>
      </c>
      <c r="CV114" s="15">
        <v>8088.16</v>
      </c>
      <c r="CW114" s="15">
        <v>8740.2099999999991</v>
      </c>
      <c r="CX114" s="15">
        <v>9465.43</v>
      </c>
    </row>
    <row r="115" spans="1:102" x14ac:dyDescent="0.25">
      <c r="A115" s="14">
        <v>2008</v>
      </c>
      <c r="B115" s="15">
        <v>419.44</v>
      </c>
      <c r="C115" s="15">
        <v>25.04</v>
      </c>
      <c r="D115" s="15">
        <v>13.82</v>
      </c>
      <c r="E115" s="15">
        <v>10.94</v>
      </c>
      <c r="F115" s="15">
        <v>9.08</v>
      </c>
      <c r="G115" s="15">
        <v>9.24</v>
      </c>
      <c r="H115" s="15">
        <v>8.1300000000000008</v>
      </c>
      <c r="I115" s="15">
        <v>7.2</v>
      </c>
      <c r="J115" s="15">
        <v>6.48</v>
      </c>
      <c r="K115" s="15">
        <v>6.08</v>
      </c>
      <c r="L115" s="15">
        <v>5.88</v>
      </c>
      <c r="M115" s="15">
        <v>6.2</v>
      </c>
      <c r="N115" s="15">
        <v>6.65</v>
      </c>
      <c r="O115" s="15">
        <v>7.55</v>
      </c>
      <c r="P115" s="15">
        <v>8.6300000000000008</v>
      </c>
      <c r="Q115" s="15">
        <v>9.83</v>
      </c>
      <c r="R115" s="15">
        <v>11.08</v>
      </c>
      <c r="S115" s="15">
        <v>12.17</v>
      </c>
      <c r="T115" s="15">
        <v>13.14</v>
      </c>
      <c r="U115" s="15">
        <v>13.93</v>
      </c>
      <c r="V115" s="15">
        <v>14.44</v>
      </c>
      <c r="W115" s="15">
        <v>14.76</v>
      </c>
      <c r="X115" s="15">
        <v>14.98</v>
      </c>
      <c r="Y115" s="15">
        <v>15.37</v>
      </c>
      <c r="Z115" s="15">
        <v>15.96</v>
      </c>
      <c r="AA115" s="15">
        <v>17.059999999999999</v>
      </c>
      <c r="AB115" s="15">
        <v>18.61</v>
      </c>
      <c r="AC115" s="15">
        <v>20.5</v>
      </c>
      <c r="AD115" s="15">
        <v>23.05</v>
      </c>
      <c r="AE115" s="15">
        <v>25.65</v>
      </c>
      <c r="AF115" s="15">
        <v>28.14</v>
      </c>
      <c r="AG115" s="15">
        <v>30.7</v>
      </c>
      <c r="AH115" s="15">
        <v>33.25</v>
      </c>
      <c r="AI115" s="15">
        <v>35.97</v>
      </c>
      <c r="AJ115" s="15">
        <v>38.76</v>
      </c>
      <c r="AK115" s="15">
        <v>41.84</v>
      </c>
      <c r="AL115" s="15">
        <v>45.46</v>
      </c>
      <c r="AM115" s="15">
        <v>49.51</v>
      </c>
      <c r="AN115" s="15">
        <v>53.57</v>
      </c>
      <c r="AO115" s="15">
        <v>57.63</v>
      </c>
      <c r="AP115" s="15">
        <v>61.26</v>
      </c>
      <c r="AQ115" s="15">
        <v>64.290000000000006</v>
      </c>
      <c r="AR115" s="15">
        <v>67.05</v>
      </c>
      <c r="AS115" s="15">
        <v>69.53</v>
      </c>
      <c r="AT115" s="15">
        <v>72.069999999999993</v>
      </c>
      <c r="AU115" s="15">
        <v>75.33</v>
      </c>
      <c r="AV115" s="15">
        <v>79.650000000000006</v>
      </c>
      <c r="AW115" s="15">
        <v>85.04</v>
      </c>
      <c r="AX115" s="15">
        <v>91.83</v>
      </c>
      <c r="AY115" s="15">
        <v>99.98</v>
      </c>
      <c r="AZ115" s="15">
        <v>109.36</v>
      </c>
      <c r="BA115" s="15">
        <v>119.48</v>
      </c>
      <c r="BB115" s="15">
        <v>130.52000000000001</v>
      </c>
      <c r="BC115" s="15">
        <v>142.27000000000001</v>
      </c>
      <c r="BD115" s="15">
        <v>154.66999999999999</v>
      </c>
      <c r="BE115" s="15">
        <v>167.69</v>
      </c>
      <c r="BF115" s="15">
        <v>181.64</v>
      </c>
      <c r="BG115" s="15">
        <v>196.4</v>
      </c>
      <c r="BH115" s="15">
        <v>212.01</v>
      </c>
      <c r="BI115" s="15">
        <v>228.73</v>
      </c>
      <c r="BJ115" s="15">
        <v>246.68</v>
      </c>
      <c r="BK115" s="15">
        <v>265.87</v>
      </c>
      <c r="BL115" s="15">
        <v>286.54000000000002</v>
      </c>
      <c r="BM115" s="15">
        <v>308.8</v>
      </c>
      <c r="BN115" s="15">
        <v>332.98</v>
      </c>
      <c r="BO115" s="15">
        <v>359.26</v>
      </c>
      <c r="BP115" s="15">
        <v>387.87</v>
      </c>
      <c r="BQ115" s="15">
        <v>421.19</v>
      </c>
      <c r="BR115" s="15">
        <v>459.62</v>
      </c>
      <c r="BS115" s="15">
        <v>500.41</v>
      </c>
      <c r="BT115" s="15">
        <v>541.97</v>
      </c>
      <c r="BU115" s="15">
        <v>586</v>
      </c>
      <c r="BV115" s="15">
        <v>635.95000000000005</v>
      </c>
      <c r="BW115" s="15">
        <v>692.49</v>
      </c>
      <c r="BX115" s="15">
        <v>755.37</v>
      </c>
      <c r="BY115" s="15">
        <v>825.65</v>
      </c>
      <c r="BZ115" s="15">
        <v>905.58</v>
      </c>
      <c r="CA115" s="15">
        <v>996.59</v>
      </c>
      <c r="CB115" s="15">
        <v>1099.54</v>
      </c>
      <c r="CC115" s="15">
        <v>1215.2</v>
      </c>
      <c r="CD115" s="15">
        <v>1344.65</v>
      </c>
      <c r="CE115" s="15">
        <v>1488.86</v>
      </c>
      <c r="CF115" s="15">
        <v>1649.69</v>
      </c>
      <c r="CG115" s="15">
        <v>1829.58</v>
      </c>
      <c r="CH115" s="15">
        <v>2031.41</v>
      </c>
      <c r="CI115" s="15">
        <v>2256.6799999999998</v>
      </c>
      <c r="CJ115" s="15">
        <v>2506.81</v>
      </c>
      <c r="CK115" s="15">
        <v>2784.49</v>
      </c>
      <c r="CL115" s="15">
        <v>3091.58</v>
      </c>
      <c r="CM115" s="15">
        <v>3430.05</v>
      </c>
      <c r="CN115" s="15">
        <v>3803.07</v>
      </c>
      <c r="CO115" s="15">
        <v>4214.71</v>
      </c>
      <c r="CP115" s="15">
        <v>4668.5600000000004</v>
      </c>
      <c r="CQ115" s="15">
        <v>5163.76</v>
      </c>
      <c r="CR115" s="15">
        <v>5694.65</v>
      </c>
      <c r="CS115" s="15">
        <v>6249.98</v>
      </c>
      <c r="CT115" s="15">
        <v>6817.39</v>
      </c>
      <c r="CU115" s="15">
        <v>7394.74</v>
      </c>
      <c r="CV115" s="15">
        <v>7995.65</v>
      </c>
      <c r="CW115" s="15">
        <v>8640.64</v>
      </c>
      <c r="CX115" s="15">
        <v>9357.9500000000007</v>
      </c>
    </row>
    <row r="116" spans="1:102" x14ac:dyDescent="0.25">
      <c r="A116" s="14">
        <v>2009</v>
      </c>
      <c r="B116" s="15">
        <v>418.69</v>
      </c>
      <c r="C116" s="15">
        <v>30.29</v>
      </c>
      <c r="D116" s="15">
        <v>15.4</v>
      </c>
      <c r="E116" s="15">
        <v>11.68</v>
      </c>
      <c r="F116" s="15">
        <v>9.9600000000000009</v>
      </c>
      <c r="G116" s="15">
        <v>8.65</v>
      </c>
      <c r="H116" s="15">
        <v>7.93</v>
      </c>
      <c r="I116" s="15">
        <v>7.02</v>
      </c>
      <c r="J116" s="15">
        <v>6.36</v>
      </c>
      <c r="K116" s="15">
        <v>5.91</v>
      </c>
      <c r="L116" s="15">
        <v>5.71</v>
      </c>
      <c r="M116" s="15">
        <v>6.08</v>
      </c>
      <c r="N116" s="15">
        <v>6.46</v>
      </c>
      <c r="O116" s="15">
        <v>7.35</v>
      </c>
      <c r="P116" s="15">
        <v>8.5</v>
      </c>
      <c r="Q116" s="15">
        <v>9.6199999999999992</v>
      </c>
      <c r="R116" s="15">
        <v>10.86</v>
      </c>
      <c r="S116" s="15">
        <v>11.94</v>
      </c>
      <c r="T116" s="15">
        <v>12.84</v>
      </c>
      <c r="U116" s="15">
        <v>13.64</v>
      </c>
      <c r="V116" s="15">
        <v>14.2</v>
      </c>
      <c r="W116" s="15">
        <v>14.47</v>
      </c>
      <c r="X116" s="15">
        <v>14.75</v>
      </c>
      <c r="Y116" s="15">
        <v>15.14</v>
      </c>
      <c r="Z116" s="15">
        <v>15.67</v>
      </c>
      <c r="AA116" s="15">
        <v>16.77</v>
      </c>
      <c r="AB116" s="15">
        <v>18.420000000000002</v>
      </c>
      <c r="AC116" s="15">
        <v>20.23</v>
      </c>
      <c r="AD116" s="15">
        <v>22.77</v>
      </c>
      <c r="AE116" s="15">
        <v>25.24</v>
      </c>
      <c r="AF116" s="15">
        <v>27.77</v>
      </c>
      <c r="AG116" s="15">
        <v>30.31</v>
      </c>
      <c r="AH116" s="15">
        <v>32.9</v>
      </c>
      <c r="AI116" s="15">
        <v>35.5</v>
      </c>
      <c r="AJ116" s="15">
        <v>38.26</v>
      </c>
      <c r="AK116" s="15">
        <v>41.27</v>
      </c>
      <c r="AL116" s="15">
        <v>44.97</v>
      </c>
      <c r="AM116" s="15">
        <v>48.83</v>
      </c>
      <c r="AN116" s="15">
        <v>52.91</v>
      </c>
      <c r="AO116" s="15">
        <v>56.95</v>
      </c>
      <c r="AP116" s="15">
        <v>60.5</v>
      </c>
      <c r="AQ116" s="15">
        <v>63.56</v>
      </c>
      <c r="AR116" s="15">
        <v>66.239999999999995</v>
      </c>
      <c r="AS116" s="15">
        <v>68.650000000000006</v>
      </c>
      <c r="AT116" s="15">
        <v>71.17</v>
      </c>
      <c r="AU116" s="15">
        <v>74.459999999999994</v>
      </c>
      <c r="AV116" s="15">
        <v>78.7</v>
      </c>
      <c r="AW116" s="15">
        <v>84.04</v>
      </c>
      <c r="AX116" s="15">
        <v>90.73</v>
      </c>
      <c r="AY116" s="15">
        <v>98.81</v>
      </c>
      <c r="AZ116" s="15">
        <v>107.95</v>
      </c>
      <c r="BA116" s="15">
        <v>118</v>
      </c>
      <c r="BB116" s="15">
        <v>128.96</v>
      </c>
      <c r="BC116" s="15">
        <v>140.56</v>
      </c>
      <c r="BD116" s="15">
        <v>152.76</v>
      </c>
      <c r="BE116" s="15">
        <v>165.69</v>
      </c>
      <c r="BF116" s="15">
        <v>179.48</v>
      </c>
      <c r="BG116" s="15">
        <v>193.95</v>
      </c>
      <c r="BH116" s="15">
        <v>209.44</v>
      </c>
      <c r="BI116" s="15">
        <v>226.09</v>
      </c>
      <c r="BJ116" s="15">
        <v>243.73</v>
      </c>
      <c r="BK116" s="15">
        <v>262.70999999999998</v>
      </c>
      <c r="BL116" s="15">
        <v>283.11</v>
      </c>
      <c r="BM116" s="15">
        <v>305.07</v>
      </c>
      <c r="BN116" s="15">
        <v>329.05</v>
      </c>
      <c r="BO116" s="15">
        <v>354.84</v>
      </c>
      <c r="BP116" s="15">
        <v>383.27</v>
      </c>
      <c r="BQ116" s="15">
        <v>416.18</v>
      </c>
      <c r="BR116" s="15">
        <v>454.12</v>
      </c>
      <c r="BS116" s="15">
        <v>494.45</v>
      </c>
      <c r="BT116" s="15">
        <v>535.53</v>
      </c>
      <c r="BU116" s="15">
        <v>579.05999999999995</v>
      </c>
      <c r="BV116" s="15">
        <v>628.30999999999995</v>
      </c>
      <c r="BW116" s="15">
        <v>684.27</v>
      </c>
      <c r="BX116" s="15">
        <v>746.33</v>
      </c>
      <c r="BY116" s="15">
        <v>815.77</v>
      </c>
      <c r="BZ116" s="15">
        <v>894.8</v>
      </c>
      <c r="CA116" s="15">
        <v>984.67</v>
      </c>
      <c r="CB116" s="15">
        <v>1086.3399999999999</v>
      </c>
      <c r="CC116" s="15">
        <v>1200.74</v>
      </c>
      <c r="CD116" s="15">
        <v>1328.64</v>
      </c>
      <c r="CE116" s="15">
        <v>1471.09</v>
      </c>
      <c r="CF116" s="15">
        <v>1630.07</v>
      </c>
      <c r="CG116" s="15">
        <v>1807.81</v>
      </c>
      <c r="CH116" s="15">
        <v>2007.3</v>
      </c>
      <c r="CI116" s="15">
        <v>2229.9899999999998</v>
      </c>
      <c r="CJ116" s="15">
        <v>2477.19</v>
      </c>
      <c r="CK116" s="15">
        <v>2751.65</v>
      </c>
      <c r="CL116" s="15">
        <v>3055.11</v>
      </c>
      <c r="CM116" s="15">
        <v>3389.77</v>
      </c>
      <c r="CN116" s="15">
        <v>3758.33</v>
      </c>
      <c r="CO116" s="15">
        <v>4165.13</v>
      </c>
      <c r="CP116" s="15">
        <v>4613.6899999999996</v>
      </c>
      <c r="CQ116" s="15">
        <v>5103.4799999999996</v>
      </c>
      <c r="CR116" s="15">
        <v>5628.31</v>
      </c>
      <c r="CS116" s="15">
        <v>6177.56</v>
      </c>
      <c r="CT116" s="15">
        <v>6738.29</v>
      </c>
      <c r="CU116" s="15">
        <v>7309.47</v>
      </c>
      <c r="CV116" s="15">
        <v>7903.38</v>
      </c>
      <c r="CW116" s="15">
        <v>8541.64</v>
      </c>
      <c r="CX116" s="15">
        <v>9250.85</v>
      </c>
    </row>
    <row r="117" spans="1:102" x14ac:dyDescent="0.25">
      <c r="A117" s="14">
        <v>2010</v>
      </c>
      <c r="B117" s="15">
        <v>410.09</v>
      </c>
      <c r="C117" s="15">
        <v>30.58</v>
      </c>
      <c r="D117" s="15">
        <v>11.08</v>
      </c>
      <c r="E117" s="15">
        <v>11.05</v>
      </c>
      <c r="F117" s="15">
        <v>9.3000000000000007</v>
      </c>
      <c r="G117" s="15">
        <v>8.4600000000000009</v>
      </c>
      <c r="H117" s="15">
        <v>7.68</v>
      </c>
      <c r="I117" s="15">
        <v>6.83</v>
      </c>
      <c r="J117" s="15">
        <v>6.19</v>
      </c>
      <c r="K117" s="15">
        <v>5.67</v>
      </c>
      <c r="L117" s="15">
        <v>5.66</v>
      </c>
      <c r="M117" s="15">
        <v>5.91</v>
      </c>
      <c r="N117" s="15">
        <v>6.35</v>
      </c>
      <c r="O117" s="15">
        <v>7.24</v>
      </c>
      <c r="P117" s="15">
        <v>8.3699999999999992</v>
      </c>
      <c r="Q117" s="15">
        <v>9.43</v>
      </c>
      <c r="R117" s="15">
        <v>10.71</v>
      </c>
      <c r="S117" s="15">
        <v>11.73</v>
      </c>
      <c r="T117" s="15">
        <v>12.56</v>
      </c>
      <c r="U117" s="15">
        <v>13.48</v>
      </c>
      <c r="V117" s="15">
        <v>13.98</v>
      </c>
      <c r="W117" s="15">
        <v>14.25</v>
      </c>
      <c r="X117" s="15">
        <v>14.59</v>
      </c>
      <c r="Y117" s="15">
        <v>14.92</v>
      </c>
      <c r="Z117" s="15">
        <v>15.39</v>
      </c>
      <c r="AA117" s="15">
        <v>16.600000000000001</v>
      </c>
      <c r="AB117" s="15">
        <v>18.13</v>
      </c>
      <c r="AC117" s="15">
        <v>19.989999999999998</v>
      </c>
      <c r="AD117" s="15">
        <v>22.46</v>
      </c>
      <c r="AE117" s="15">
        <v>24.91</v>
      </c>
      <c r="AF117" s="15">
        <v>27.37</v>
      </c>
      <c r="AG117" s="15">
        <v>29.95</v>
      </c>
      <c r="AH117" s="15">
        <v>32.47</v>
      </c>
      <c r="AI117" s="15">
        <v>35</v>
      </c>
      <c r="AJ117" s="15">
        <v>37.74</v>
      </c>
      <c r="AK117" s="15">
        <v>40.79</v>
      </c>
      <c r="AL117" s="15">
        <v>44.4</v>
      </c>
      <c r="AM117" s="15">
        <v>48.24</v>
      </c>
      <c r="AN117" s="15">
        <v>52.25</v>
      </c>
      <c r="AO117" s="15">
        <v>56.25</v>
      </c>
      <c r="AP117" s="15">
        <v>59.72</v>
      </c>
      <c r="AQ117" s="15">
        <v>62.87</v>
      </c>
      <c r="AR117" s="15">
        <v>65.48</v>
      </c>
      <c r="AS117" s="15">
        <v>67.819999999999993</v>
      </c>
      <c r="AT117" s="15">
        <v>70.38</v>
      </c>
      <c r="AU117" s="15">
        <v>73.59</v>
      </c>
      <c r="AV117" s="15">
        <v>77.75</v>
      </c>
      <c r="AW117" s="15">
        <v>83</v>
      </c>
      <c r="AX117" s="15">
        <v>89.54</v>
      </c>
      <c r="AY117" s="15">
        <v>97.57</v>
      </c>
      <c r="AZ117" s="15">
        <v>106.54</v>
      </c>
      <c r="BA117" s="15">
        <v>116.52</v>
      </c>
      <c r="BB117" s="15">
        <v>127.35</v>
      </c>
      <c r="BC117" s="15">
        <v>138.82</v>
      </c>
      <c r="BD117" s="15">
        <v>150.88</v>
      </c>
      <c r="BE117" s="15">
        <v>163.72</v>
      </c>
      <c r="BF117" s="15">
        <v>177.18</v>
      </c>
      <c r="BG117" s="15">
        <v>191.56</v>
      </c>
      <c r="BH117" s="15">
        <v>206.89</v>
      </c>
      <c r="BI117" s="15">
        <v>223.24</v>
      </c>
      <c r="BJ117" s="15">
        <v>240.76</v>
      </c>
      <c r="BK117" s="15">
        <v>259.44</v>
      </c>
      <c r="BL117" s="15">
        <v>279.63</v>
      </c>
      <c r="BM117" s="15">
        <v>301.48</v>
      </c>
      <c r="BN117" s="15">
        <v>324.89</v>
      </c>
      <c r="BO117" s="15">
        <v>350.48</v>
      </c>
      <c r="BP117" s="15">
        <v>378.64</v>
      </c>
      <c r="BQ117" s="15">
        <v>411.02</v>
      </c>
      <c r="BR117" s="15">
        <v>448.66</v>
      </c>
      <c r="BS117" s="15">
        <v>488.39</v>
      </c>
      <c r="BT117" s="15">
        <v>529.07000000000005</v>
      </c>
      <c r="BU117" s="15">
        <v>572.05999999999995</v>
      </c>
      <c r="BV117" s="15">
        <v>620.67999999999995</v>
      </c>
      <c r="BW117" s="15">
        <v>676.05</v>
      </c>
      <c r="BX117" s="15">
        <v>737.34</v>
      </c>
      <c r="BY117" s="15">
        <v>805.93</v>
      </c>
      <c r="BZ117" s="15">
        <v>883.96</v>
      </c>
      <c r="CA117" s="15">
        <v>972.78</v>
      </c>
      <c r="CB117" s="15">
        <v>1073.31</v>
      </c>
      <c r="CC117" s="15">
        <v>1186.3699999999999</v>
      </c>
      <c r="CD117" s="15">
        <v>1312.63</v>
      </c>
      <c r="CE117" s="15">
        <v>1453.43</v>
      </c>
      <c r="CF117" s="15">
        <v>1610.34</v>
      </c>
      <c r="CG117" s="15">
        <v>1786</v>
      </c>
      <c r="CH117" s="15">
        <v>1983.4</v>
      </c>
      <c r="CI117" s="15">
        <v>2203.38</v>
      </c>
      <c r="CJ117" s="15">
        <v>2447.7800000000002</v>
      </c>
      <c r="CK117" s="15">
        <v>2718.88</v>
      </c>
      <c r="CL117" s="15">
        <v>3018.92</v>
      </c>
      <c r="CM117" s="15">
        <v>3349.51</v>
      </c>
      <c r="CN117" s="15">
        <v>3713.87</v>
      </c>
      <c r="CO117" s="15">
        <v>4115.79</v>
      </c>
      <c r="CP117" s="15">
        <v>4559.37</v>
      </c>
      <c r="CQ117" s="15">
        <v>5043.6000000000004</v>
      </c>
      <c r="CR117" s="15">
        <v>5562.47</v>
      </c>
      <c r="CS117" s="15">
        <v>6105.28</v>
      </c>
      <c r="CT117" s="15">
        <v>6659.76</v>
      </c>
      <c r="CU117" s="15">
        <v>7224.6</v>
      </c>
      <c r="CV117" s="15">
        <v>7811.99</v>
      </c>
      <c r="CW117" s="15">
        <v>8443.08</v>
      </c>
      <c r="CX117" s="15">
        <v>9144.43</v>
      </c>
    </row>
    <row r="118" spans="1:102" x14ac:dyDescent="0.25">
      <c r="A118" s="71">
        <v>2011</v>
      </c>
      <c r="B118" s="15">
        <v>378.97</v>
      </c>
      <c r="C118" s="15">
        <v>26.41</v>
      </c>
      <c r="D118" s="15">
        <v>18.62</v>
      </c>
      <c r="E118" s="15">
        <v>10.39</v>
      </c>
      <c r="F118" s="15">
        <v>9.11</v>
      </c>
      <c r="G118" s="15">
        <v>8.2100000000000009</v>
      </c>
      <c r="H118" s="15">
        <v>7.44</v>
      </c>
      <c r="I118" s="15">
        <v>6.67</v>
      </c>
      <c r="J118" s="15">
        <v>6.04</v>
      </c>
      <c r="K118" s="15">
        <v>5.53</v>
      </c>
      <c r="L118" s="15">
        <v>5.52</v>
      </c>
      <c r="M118" s="15">
        <v>5.77</v>
      </c>
      <c r="N118" s="15">
        <v>6.26</v>
      </c>
      <c r="O118" s="15">
        <v>7.14</v>
      </c>
      <c r="P118" s="15">
        <v>8.1300000000000008</v>
      </c>
      <c r="Q118" s="15">
        <v>9.23</v>
      </c>
      <c r="R118" s="15">
        <v>10.57</v>
      </c>
      <c r="S118" s="15">
        <v>11.45</v>
      </c>
      <c r="T118" s="15">
        <v>12.39</v>
      </c>
      <c r="U118" s="15">
        <v>13.24</v>
      </c>
      <c r="V118" s="15">
        <v>13.68</v>
      </c>
      <c r="W118" s="15">
        <v>14.07</v>
      </c>
      <c r="X118" s="15">
        <v>14.41</v>
      </c>
      <c r="Y118" s="15">
        <v>14.74</v>
      </c>
      <c r="Z118" s="15">
        <v>15.26</v>
      </c>
      <c r="AA118" s="15">
        <v>16.45</v>
      </c>
      <c r="AB118" s="15">
        <v>17.850000000000001</v>
      </c>
      <c r="AC118" s="15">
        <v>19.8</v>
      </c>
      <c r="AD118" s="15">
        <v>22.18</v>
      </c>
      <c r="AE118" s="15">
        <v>24.61</v>
      </c>
      <c r="AF118" s="15">
        <v>27.1</v>
      </c>
      <c r="AG118" s="15">
        <v>29.59</v>
      </c>
      <c r="AH118" s="15">
        <v>32.03</v>
      </c>
      <c r="AI118" s="15">
        <v>34.630000000000003</v>
      </c>
      <c r="AJ118" s="15">
        <v>37.29</v>
      </c>
      <c r="AK118" s="15">
        <v>40.25</v>
      </c>
      <c r="AL118" s="15">
        <v>43.93</v>
      </c>
      <c r="AM118" s="15">
        <v>47.66</v>
      </c>
      <c r="AN118" s="15">
        <v>51.67</v>
      </c>
      <c r="AO118" s="15">
        <v>55.52</v>
      </c>
      <c r="AP118" s="15">
        <v>59.11</v>
      </c>
      <c r="AQ118" s="15">
        <v>62.17</v>
      </c>
      <c r="AR118" s="15">
        <v>64.58</v>
      </c>
      <c r="AS118" s="15">
        <v>67</v>
      </c>
      <c r="AT118" s="15">
        <v>69.58</v>
      </c>
      <c r="AU118" s="15">
        <v>72.709999999999994</v>
      </c>
      <c r="AV118" s="15">
        <v>76.75</v>
      </c>
      <c r="AW118" s="15">
        <v>81.95</v>
      </c>
      <c r="AX118" s="15">
        <v>88.46</v>
      </c>
      <c r="AY118" s="15">
        <v>96.33</v>
      </c>
      <c r="AZ118" s="15">
        <v>105.2</v>
      </c>
      <c r="BA118" s="15">
        <v>115.11</v>
      </c>
      <c r="BB118" s="15">
        <v>125.75</v>
      </c>
      <c r="BC118" s="15">
        <v>137.19</v>
      </c>
      <c r="BD118" s="15">
        <v>149</v>
      </c>
      <c r="BE118" s="15">
        <v>161.72999999999999</v>
      </c>
      <c r="BF118" s="15">
        <v>175.03</v>
      </c>
      <c r="BG118" s="15">
        <v>189.22</v>
      </c>
      <c r="BH118" s="15">
        <v>204.31</v>
      </c>
      <c r="BI118" s="15">
        <v>220.46</v>
      </c>
      <c r="BJ118" s="15">
        <v>237.76</v>
      </c>
      <c r="BK118" s="15">
        <v>256.31</v>
      </c>
      <c r="BL118" s="15">
        <v>276.3</v>
      </c>
      <c r="BM118" s="15">
        <v>297.77</v>
      </c>
      <c r="BN118" s="15">
        <v>320.88</v>
      </c>
      <c r="BO118" s="15">
        <v>346.36</v>
      </c>
      <c r="BP118" s="15">
        <v>373.99</v>
      </c>
      <c r="BQ118" s="15">
        <v>406.01</v>
      </c>
      <c r="BR118" s="15">
        <v>443.16</v>
      </c>
      <c r="BS118" s="15">
        <v>482.53</v>
      </c>
      <c r="BT118" s="15">
        <v>522.67999999999995</v>
      </c>
      <c r="BU118" s="15">
        <v>565.04</v>
      </c>
      <c r="BV118" s="15">
        <v>613.22</v>
      </c>
      <c r="BW118" s="15">
        <v>667.9</v>
      </c>
      <c r="BX118" s="15">
        <v>728.41</v>
      </c>
      <c r="BY118" s="15">
        <v>796.22</v>
      </c>
      <c r="BZ118" s="15">
        <v>873.22</v>
      </c>
      <c r="CA118" s="15">
        <v>961.14</v>
      </c>
      <c r="CB118" s="15">
        <v>1060.48</v>
      </c>
      <c r="CC118" s="15">
        <v>1172.08</v>
      </c>
      <c r="CD118" s="15">
        <v>1296.8399999999999</v>
      </c>
      <c r="CE118" s="15">
        <v>1435.85</v>
      </c>
      <c r="CF118" s="15">
        <v>1590.85</v>
      </c>
      <c r="CG118" s="15">
        <v>1764.67</v>
      </c>
      <c r="CH118" s="15">
        <v>1959.65</v>
      </c>
      <c r="CI118" s="15">
        <v>2177.12</v>
      </c>
      <c r="CJ118" s="15">
        <v>2418.6</v>
      </c>
      <c r="CK118" s="15">
        <v>2686.53</v>
      </c>
      <c r="CL118" s="15">
        <v>2983</v>
      </c>
      <c r="CM118" s="15">
        <v>3309.74</v>
      </c>
      <c r="CN118" s="15">
        <v>3669.81</v>
      </c>
      <c r="CO118" s="15">
        <v>4067.15</v>
      </c>
      <c r="CP118" s="15">
        <v>4505.8900000000003</v>
      </c>
      <c r="CQ118" s="15">
        <v>4984.2700000000004</v>
      </c>
      <c r="CR118" s="15">
        <v>5497.31</v>
      </c>
      <c r="CS118" s="15">
        <v>6033.87</v>
      </c>
      <c r="CT118" s="15">
        <v>6582.41</v>
      </c>
      <c r="CU118" s="15">
        <v>7140.86</v>
      </c>
      <c r="CV118" s="15">
        <v>7721.6</v>
      </c>
      <c r="CW118" s="15">
        <v>8345.73</v>
      </c>
      <c r="CX118" s="15">
        <v>9039.51</v>
      </c>
    </row>
    <row r="119" spans="1:102" x14ac:dyDescent="0.25">
      <c r="A119" s="71">
        <v>2012</v>
      </c>
      <c r="B119" s="15">
        <v>361.93</v>
      </c>
      <c r="C119" s="15">
        <v>38.380000000000003</v>
      </c>
      <c r="D119" s="15">
        <v>17.64</v>
      </c>
      <c r="E119" s="15">
        <v>10.220000000000001</v>
      </c>
      <c r="F119" s="15">
        <v>8.81</v>
      </c>
      <c r="G119" s="15">
        <v>7.98</v>
      </c>
      <c r="H119" s="15">
        <v>7.34</v>
      </c>
      <c r="I119" s="15">
        <v>6.58</v>
      </c>
      <c r="J119" s="15">
        <v>5.82</v>
      </c>
      <c r="K119" s="15">
        <v>5.38</v>
      </c>
      <c r="L119" s="15">
        <v>5.31</v>
      </c>
      <c r="M119" s="15">
        <v>5.68</v>
      </c>
      <c r="N119" s="15">
        <v>6.17</v>
      </c>
      <c r="O119" s="15">
        <v>6.97</v>
      </c>
      <c r="P119" s="15">
        <v>7.84</v>
      </c>
      <c r="Q119" s="15">
        <v>9.1199999999999992</v>
      </c>
      <c r="R119" s="15">
        <v>10.39</v>
      </c>
      <c r="S119" s="15">
        <v>11.2</v>
      </c>
      <c r="T119" s="15">
        <v>12.15</v>
      </c>
      <c r="U119" s="15">
        <v>12.87</v>
      </c>
      <c r="V119" s="15">
        <v>13.38</v>
      </c>
      <c r="W119" s="15">
        <v>13.82</v>
      </c>
      <c r="X119" s="15">
        <v>14.23</v>
      </c>
      <c r="Y119" s="15">
        <v>14.56</v>
      </c>
      <c r="Z119" s="15">
        <v>15.19</v>
      </c>
      <c r="AA119" s="15">
        <v>16.27</v>
      </c>
      <c r="AB119" s="15">
        <v>17.66</v>
      </c>
      <c r="AC119" s="15">
        <v>19.55</v>
      </c>
      <c r="AD119" s="15">
        <v>21.86</v>
      </c>
      <c r="AE119" s="15">
        <v>24.34</v>
      </c>
      <c r="AF119" s="15">
        <v>26.81</v>
      </c>
      <c r="AG119" s="15">
        <v>29.24</v>
      </c>
      <c r="AH119" s="15">
        <v>31.67</v>
      </c>
      <c r="AI119" s="15">
        <v>34.21</v>
      </c>
      <c r="AJ119" s="15">
        <v>36.75</v>
      </c>
      <c r="AK119" s="15">
        <v>39.85</v>
      </c>
      <c r="AL119" s="15">
        <v>43.41</v>
      </c>
      <c r="AM119" s="15">
        <v>47.07</v>
      </c>
      <c r="AN119" s="15">
        <v>51.01</v>
      </c>
      <c r="AO119" s="15">
        <v>54.84</v>
      </c>
      <c r="AP119" s="15">
        <v>58.42</v>
      </c>
      <c r="AQ119" s="15">
        <v>61.36</v>
      </c>
      <c r="AR119" s="15">
        <v>63.66</v>
      </c>
      <c r="AS119" s="15">
        <v>66.17</v>
      </c>
      <c r="AT119" s="15">
        <v>68.739999999999995</v>
      </c>
      <c r="AU119" s="15">
        <v>71.739999999999995</v>
      </c>
      <c r="AV119" s="15">
        <v>75.819999999999993</v>
      </c>
      <c r="AW119" s="15">
        <v>80.98</v>
      </c>
      <c r="AX119" s="15">
        <v>87.4</v>
      </c>
      <c r="AY119" s="15">
        <v>95.13</v>
      </c>
      <c r="AZ119" s="15">
        <v>104.01</v>
      </c>
      <c r="BA119" s="15">
        <v>113.71</v>
      </c>
      <c r="BB119" s="15">
        <v>124.19</v>
      </c>
      <c r="BC119" s="15">
        <v>135.41999999999999</v>
      </c>
      <c r="BD119" s="15">
        <v>147.22</v>
      </c>
      <c r="BE119" s="15">
        <v>159.72</v>
      </c>
      <c r="BF119" s="15">
        <v>172.96</v>
      </c>
      <c r="BG119" s="15">
        <v>186.92</v>
      </c>
      <c r="BH119" s="15">
        <v>201.82</v>
      </c>
      <c r="BI119" s="15">
        <v>217.78</v>
      </c>
      <c r="BJ119" s="15">
        <v>234.82</v>
      </c>
      <c r="BK119" s="15">
        <v>253.22</v>
      </c>
      <c r="BL119" s="15">
        <v>272.88</v>
      </c>
      <c r="BM119" s="15">
        <v>294.01</v>
      </c>
      <c r="BN119" s="15">
        <v>317.10000000000002</v>
      </c>
      <c r="BO119" s="15">
        <v>342.1</v>
      </c>
      <c r="BP119" s="15">
        <v>369.23</v>
      </c>
      <c r="BQ119" s="15">
        <v>401.06</v>
      </c>
      <c r="BR119" s="15">
        <v>437.76</v>
      </c>
      <c r="BS119" s="15">
        <v>476.56</v>
      </c>
      <c r="BT119" s="15">
        <v>516.13</v>
      </c>
      <c r="BU119" s="15">
        <v>558.1</v>
      </c>
      <c r="BV119" s="15">
        <v>605.73</v>
      </c>
      <c r="BW119" s="15">
        <v>659.63</v>
      </c>
      <c r="BX119" s="15">
        <v>719.44</v>
      </c>
      <c r="BY119" s="15">
        <v>786.36</v>
      </c>
      <c r="BZ119" s="15">
        <v>862.61</v>
      </c>
      <c r="CA119" s="15">
        <v>949.39</v>
      </c>
      <c r="CB119" s="15">
        <v>1047.43</v>
      </c>
      <c r="CC119" s="15">
        <v>1157.73</v>
      </c>
      <c r="CD119" s="15">
        <v>1280.98</v>
      </c>
      <c r="CE119" s="15">
        <v>1418.3</v>
      </c>
      <c r="CF119" s="15">
        <v>1571.61</v>
      </c>
      <c r="CG119" s="15">
        <v>1743.36</v>
      </c>
      <c r="CH119" s="15">
        <v>1935.87</v>
      </c>
      <c r="CI119" s="15">
        <v>2150.87</v>
      </c>
      <c r="CJ119" s="15">
        <v>2389.36</v>
      </c>
      <c r="CK119" s="15">
        <v>2654.19</v>
      </c>
      <c r="CL119" s="15">
        <v>2947.05</v>
      </c>
      <c r="CM119" s="15">
        <v>3270.24</v>
      </c>
      <c r="CN119" s="15">
        <v>3625.94</v>
      </c>
      <c r="CO119" s="15">
        <v>4019.11</v>
      </c>
      <c r="CP119" s="15">
        <v>4452.3900000000003</v>
      </c>
      <c r="CQ119" s="15">
        <v>4925.41</v>
      </c>
      <c r="CR119" s="15">
        <v>5432.56</v>
      </c>
      <c r="CS119" s="15">
        <v>5963.09</v>
      </c>
      <c r="CT119" s="15">
        <v>6505.51</v>
      </c>
      <c r="CU119" s="15">
        <v>7057.4</v>
      </c>
      <c r="CV119" s="15">
        <v>7632.03</v>
      </c>
      <c r="CW119" s="15">
        <v>8249.08</v>
      </c>
      <c r="CX119" s="15">
        <v>8935.81</v>
      </c>
    </row>
    <row r="120" spans="1:102" x14ac:dyDescent="0.25">
      <c r="A120" s="71">
        <v>2013</v>
      </c>
      <c r="B120" s="15">
        <v>378.75</v>
      </c>
      <c r="C120" s="15">
        <v>35.85</v>
      </c>
      <c r="D120" s="15">
        <v>17.239999999999998</v>
      </c>
      <c r="E120" s="15">
        <v>9.9499999999999993</v>
      </c>
      <c r="F120" s="15">
        <v>8.48</v>
      </c>
      <c r="G120" s="15">
        <v>7.84</v>
      </c>
      <c r="H120" s="15">
        <v>7.2</v>
      </c>
      <c r="I120" s="15">
        <v>6.37</v>
      </c>
      <c r="J120" s="15">
        <v>5.6</v>
      </c>
      <c r="K120" s="15">
        <v>5.22</v>
      </c>
      <c r="L120" s="15">
        <v>5.21</v>
      </c>
      <c r="M120" s="15">
        <v>5.52</v>
      </c>
      <c r="N120" s="15">
        <v>6.08</v>
      </c>
      <c r="O120" s="15">
        <v>6.76</v>
      </c>
      <c r="P120" s="15">
        <v>7.69</v>
      </c>
      <c r="Q120" s="15">
        <v>8.98</v>
      </c>
      <c r="R120" s="15">
        <v>10.130000000000001</v>
      </c>
      <c r="S120" s="15">
        <v>11.01</v>
      </c>
      <c r="T120" s="15">
        <v>11.91</v>
      </c>
      <c r="U120" s="15">
        <v>12.58</v>
      </c>
      <c r="V120" s="15">
        <v>13.15</v>
      </c>
      <c r="W120" s="15">
        <v>13.54</v>
      </c>
      <c r="X120" s="15">
        <v>14.01</v>
      </c>
      <c r="Y120" s="15">
        <v>14.4</v>
      </c>
      <c r="Z120" s="15">
        <v>15.04</v>
      </c>
      <c r="AA120" s="15">
        <v>16.07</v>
      </c>
      <c r="AB120" s="15">
        <v>17.420000000000002</v>
      </c>
      <c r="AC120" s="15">
        <v>19.260000000000002</v>
      </c>
      <c r="AD120" s="15">
        <v>21.59</v>
      </c>
      <c r="AE120" s="15">
        <v>24.07</v>
      </c>
      <c r="AF120" s="15">
        <v>26.56</v>
      </c>
      <c r="AG120" s="15">
        <v>28.95</v>
      </c>
      <c r="AH120" s="15">
        <v>31.33</v>
      </c>
      <c r="AI120" s="15">
        <v>33.659999999999997</v>
      </c>
      <c r="AJ120" s="15">
        <v>36.33</v>
      </c>
      <c r="AK120" s="15">
        <v>39.44</v>
      </c>
      <c r="AL120" s="15">
        <v>42.8</v>
      </c>
      <c r="AM120" s="15">
        <v>46.48</v>
      </c>
      <c r="AN120" s="15">
        <v>50.33</v>
      </c>
      <c r="AO120" s="15">
        <v>54.18</v>
      </c>
      <c r="AP120" s="15">
        <v>57.72</v>
      </c>
      <c r="AQ120" s="15">
        <v>60.57</v>
      </c>
      <c r="AR120" s="15">
        <v>62.87</v>
      </c>
      <c r="AS120" s="15">
        <v>65.34</v>
      </c>
      <c r="AT120" s="15">
        <v>67.81</v>
      </c>
      <c r="AU120" s="15">
        <v>70.819999999999993</v>
      </c>
      <c r="AV120" s="15">
        <v>74.98</v>
      </c>
      <c r="AW120" s="15">
        <v>80.05</v>
      </c>
      <c r="AX120" s="15">
        <v>86.28</v>
      </c>
      <c r="AY120" s="15">
        <v>93.99</v>
      </c>
      <c r="AZ120" s="15">
        <v>102.85</v>
      </c>
      <c r="BA120" s="15">
        <v>112.27</v>
      </c>
      <c r="BB120" s="15">
        <v>122.64</v>
      </c>
      <c r="BC120" s="15">
        <v>133.74</v>
      </c>
      <c r="BD120" s="15">
        <v>145.47999999999999</v>
      </c>
      <c r="BE120" s="15">
        <v>157.77000000000001</v>
      </c>
      <c r="BF120" s="15">
        <v>170.84</v>
      </c>
      <c r="BG120" s="15">
        <v>184.63</v>
      </c>
      <c r="BH120" s="15">
        <v>199.42</v>
      </c>
      <c r="BI120" s="15">
        <v>215.06</v>
      </c>
      <c r="BJ120" s="15">
        <v>231.99</v>
      </c>
      <c r="BK120" s="15">
        <v>250.07</v>
      </c>
      <c r="BL120" s="15">
        <v>269.47000000000003</v>
      </c>
      <c r="BM120" s="15">
        <v>290.5</v>
      </c>
      <c r="BN120" s="15">
        <v>313.17</v>
      </c>
      <c r="BO120" s="15">
        <v>337.8</v>
      </c>
      <c r="BP120" s="15">
        <v>364.68</v>
      </c>
      <c r="BQ120" s="15">
        <v>396.2</v>
      </c>
      <c r="BR120" s="15">
        <v>432.39</v>
      </c>
      <c r="BS120" s="15">
        <v>470.62</v>
      </c>
      <c r="BT120" s="15">
        <v>509.88</v>
      </c>
      <c r="BU120" s="15">
        <v>551.30999999999995</v>
      </c>
      <c r="BV120" s="15">
        <v>598.29</v>
      </c>
      <c r="BW120" s="15">
        <v>651.6</v>
      </c>
      <c r="BX120" s="15">
        <v>710.57</v>
      </c>
      <c r="BY120" s="15">
        <v>776.76</v>
      </c>
      <c r="BZ120" s="15">
        <v>852.11</v>
      </c>
      <c r="CA120" s="15">
        <v>937.67</v>
      </c>
      <c r="CB120" s="15">
        <v>1034.6300000000001</v>
      </c>
      <c r="CC120" s="15">
        <v>1143.56</v>
      </c>
      <c r="CD120" s="15">
        <v>1265.46</v>
      </c>
      <c r="CE120" s="15">
        <v>1401.23</v>
      </c>
      <c r="CF120" s="15">
        <v>1552.69</v>
      </c>
      <c r="CG120" s="15">
        <v>1722.22</v>
      </c>
      <c r="CH120" s="15">
        <v>1912.51</v>
      </c>
      <c r="CI120" s="15">
        <v>2124.8000000000002</v>
      </c>
      <c r="CJ120" s="15">
        <v>2360.44</v>
      </c>
      <c r="CK120" s="15">
        <v>2622.33</v>
      </c>
      <c r="CL120" s="15">
        <v>2911.84</v>
      </c>
      <c r="CM120" s="15">
        <v>3231.2</v>
      </c>
      <c r="CN120" s="15">
        <v>3582.95</v>
      </c>
      <c r="CO120" s="15">
        <v>3971.4</v>
      </c>
      <c r="CP120" s="15">
        <v>4399.7299999999996</v>
      </c>
      <c r="CQ120" s="15">
        <v>4867.37</v>
      </c>
      <c r="CR120" s="15">
        <v>5368.68</v>
      </c>
      <c r="CS120" s="15">
        <v>5893.21</v>
      </c>
      <c r="CT120" s="15">
        <v>6429.21</v>
      </c>
      <c r="CU120" s="15">
        <v>6975.25</v>
      </c>
      <c r="CV120" s="15">
        <v>7543.49</v>
      </c>
      <c r="CW120" s="15">
        <v>8154.09</v>
      </c>
      <c r="CX120" s="15">
        <v>8833.31</v>
      </c>
    </row>
    <row r="121" spans="1:102" x14ac:dyDescent="0.25">
      <c r="A121" s="71">
        <v>2014</v>
      </c>
      <c r="B121" s="15">
        <v>357.52</v>
      </c>
      <c r="C121" s="15">
        <v>35.19</v>
      </c>
      <c r="D121" s="15">
        <v>16.87</v>
      </c>
      <c r="E121" s="15">
        <v>9.6300000000000008</v>
      </c>
      <c r="F121" s="15">
        <v>8.2899999999999991</v>
      </c>
      <c r="G121" s="15">
        <v>7.64</v>
      </c>
      <c r="H121" s="15">
        <v>7</v>
      </c>
      <c r="I121" s="15">
        <v>6.17</v>
      </c>
      <c r="J121" s="15">
        <v>5.54</v>
      </c>
      <c r="K121" s="15">
        <v>5.15</v>
      </c>
      <c r="L121" s="15">
        <v>5.08</v>
      </c>
      <c r="M121" s="15">
        <v>5.39</v>
      </c>
      <c r="N121" s="15">
        <v>5.95</v>
      </c>
      <c r="O121" s="15">
        <v>6.64</v>
      </c>
      <c r="P121" s="15">
        <v>7.51</v>
      </c>
      <c r="Q121" s="15">
        <v>8.74</v>
      </c>
      <c r="R121" s="15">
        <v>9.89</v>
      </c>
      <c r="S121" s="15">
        <v>10.83</v>
      </c>
      <c r="T121" s="15">
        <v>11.78</v>
      </c>
      <c r="U121" s="15">
        <v>12.46</v>
      </c>
      <c r="V121" s="15">
        <v>12.91</v>
      </c>
      <c r="W121" s="15">
        <v>13.37</v>
      </c>
      <c r="X121" s="15">
        <v>13.78</v>
      </c>
      <c r="Y121" s="15">
        <v>14.23</v>
      </c>
      <c r="Z121" s="15">
        <v>14.82</v>
      </c>
      <c r="AA121" s="15">
        <v>15.85</v>
      </c>
      <c r="AB121" s="15">
        <v>17.14</v>
      </c>
      <c r="AC121" s="15">
        <v>19.100000000000001</v>
      </c>
      <c r="AD121" s="15">
        <v>21.32</v>
      </c>
      <c r="AE121" s="15">
        <v>23.86</v>
      </c>
      <c r="AF121" s="15">
        <v>26.34</v>
      </c>
      <c r="AG121" s="15">
        <v>28.62</v>
      </c>
      <c r="AH121" s="15">
        <v>30.9</v>
      </c>
      <c r="AI121" s="15">
        <v>33.18</v>
      </c>
      <c r="AJ121" s="15">
        <v>35.950000000000003</v>
      </c>
      <c r="AK121" s="15">
        <v>38.9</v>
      </c>
      <c r="AL121" s="15">
        <v>42.21</v>
      </c>
      <c r="AM121" s="15">
        <v>45.94</v>
      </c>
      <c r="AN121" s="15">
        <v>49.79</v>
      </c>
      <c r="AO121" s="15">
        <v>53.59</v>
      </c>
      <c r="AP121" s="15">
        <v>57.12</v>
      </c>
      <c r="AQ121" s="15">
        <v>59.8</v>
      </c>
      <c r="AR121" s="15">
        <v>62.16</v>
      </c>
      <c r="AS121" s="15">
        <v>64.569999999999993</v>
      </c>
      <c r="AT121" s="15">
        <v>66.989999999999995</v>
      </c>
      <c r="AU121" s="15">
        <v>70.06</v>
      </c>
      <c r="AV121" s="15">
        <v>74.209999999999994</v>
      </c>
      <c r="AW121" s="15">
        <v>78.959999999999994</v>
      </c>
      <c r="AX121" s="15">
        <v>85.25</v>
      </c>
      <c r="AY121" s="15">
        <v>92.9</v>
      </c>
      <c r="AZ121" s="15">
        <v>101.6</v>
      </c>
      <c r="BA121" s="15">
        <v>110.9</v>
      </c>
      <c r="BB121" s="15">
        <v>121.21</v>
      </c>
      <c r="BC121" s="15">
        <v>132.19999999999999</v>
      </c>
      <c r="BD121" s="15">
        <v>143.72</v>
      </c>
      <c r="BE121" s="15">
        <v>155.88999999999999</v>
      </c>
      <c r="BF121" s="15">
        <v>168.73</v>
      </c>
      <c r="BG121" s="15">
        <v>182.45</v>
      </c>
      <c r="BH121" s="15">
        <v>196.96</v>
      </c>
      <c r="BI121" s="15">
        <v>212.47</v>
      </c>
      <c r="BJ121" s="15">
        <v>229.17</v>
      </c>
      <c r="BK121" s="15">
        <v>247.01</v>
      </c>
      <c r="BL121" s="15">
        <v>266.27</v>
      </c>
      <c r="BM121" s="15">
        <v>286.95</v>
      </c>
      <c r="BN121" s="15">
        <v>309.36</v>
      </c>
      <c r="BO121" s="15">
        <v>333.69</v>
      </c>
      <c r="BP121" s="15">
        <v>360.36</v>
      </c>
      <c r="BQ121" s="15">
        <v>391.45</v>
      </c>
      <c r="BR121" s="15">
        <v>427.13</v>
      </c>
      <c r="BS121" s="15">
        <v>465.12</v>
      </c>
      <c r="BT121" s="15">
        <v>503.84</v>
      </c>
      <c r="BU121" s="15">
        <v>544.66999999999996</v>
      </c>
      <c r="BV121" s="15">
        <v>591.03</v>
      </c>
      <c r="BW121" s="15">
        <v>643.80999999999995</v>
      </c>
      <c r="BX121" s="15">
        <v>701.99</v>
      </c>
      <c r="BY121" s="15">
        <v>767.53</v>
      </c>
      <c r="BZ121" s="15">
        <v>841.78</v>
      </c>
      <c r="CA121" s="15">
        <v>926.47</v>
      </c>
      <c r="CB121" s="15">
        <v>1022.21</v>
      </c>
      <c r="CC121" s="15">
        <v>1130.02</v>
      </c>
      <c r="CD121" s="15">
        <v>1250.44</v>
      </c>
      <c r="CE121" s="15">
        <v>1384.49</v>
      </c>
      <c r="CF121" s="15">
        <v>1534.22</v>
      </c>
      <c r="CG121" s="15">
        <v>1701.63</v>
      </c>
      <c r="CH121" s="15">
        <v>1889.71</v>
      </c>
      <c r="CI121" s="15">
        <v>2099.39</v>
      </c>
      <c r="CJ121" s="15">
        <v>2332.48</v>
      </c>
      <c r="CK121" s="15">
        <v>2591.3000000000002</v>
      </c>
      <c r="CL121" s="15">
        <v>2877.48</v>
      </c>
      <c r="CM121" s="15">
        <v>3192.96</v>
      </c>
      <c r="CN121" s="15">
        <v>3540.73</v>
      </c>
      <c r="CO121" s="15">
        <v>3924.59</v>
      </c>
      <c r="CP121" s="15">
        <v>4348.2</v>
      </c>
      <c r="CQ121" s="15">
        <v>4810.34</v>
      </c>
      <c r="CR121" s="15">
        <v>5306.01</v>
      </c>
      <c r="CS121" s="15">
        <v>5824.47</v>
      </c>
      <c r="CT121" s="15">
        <v>6354.63</v>
      </c>
      <c r="CU121" s="15">
        <v>6894.5</v>
      </c>
      <c r="CV121" s="15">
        <v>7456.33</v>
      </c>
      <c r="CW121" s="15">
        <v>8060.19</v>
      </c>
      <c r="CX121" s="15">
        <v>8731.9699999999993</v>
      </c>
    </row>
    <row r="122" spans="1:102" x14ac:dyDescent="0.25">
      <c r="A122" s="71">
        <v>2015</v>
      </c>
      <c r="B122" s="15">
        <v>348.8</v>
      </c>
      <c r="C122" s="15">
        <v>34.85</v>
      </c>
      <c r="D122" s="15">
        <v>16.54</v>
      </c>
      <c r="E122" s="15">
        <v>9.39</v>
      </c>
      <c r="F122" s="15">
        <v>8.1199999999999992</v>
      </c>
      <c r="G122" s="15">
        <v>7.48</v>
      </c>
      <c r="H122" s="15">
        <v>6.84</v>
      </c>
      <c r="I122" s="15">
        <v>6.14</v>
      </c>
      <c r="J122" s="15">
        <v>5.45</v>
      </c>
      <c r="K122" s="15">
        <v>5.0599999999999996</v>
      </c>
      <c r="L122" s="15">
        <v>5</v>
      </c>
      <c r="M122" s="15">
        <v>5.3</v>
      </c>
      <c r="N122" s="15">
        <v>5.86</v>
      </c>
      <c r="O122" s="15">
        <v>6.48</v>
      </c>
      <c r="P122" s="15">
        <v>7.28</v>
      </c>
      <c r="Q122" s="15">
        <v>8.51</v>
      </c>
      <c r="R122" s="15">
        <v>9.65</v>
      </c>
      <c r="S122" s="15">
        <v>10.71</v>
      </c>
      <c r="T122" s="15">
        <v>11.66</v>
      </c>
      <c r="U122" s="15">
        <v>12.33</v>
      </c>
      <c r="V122" s="15">
        <v>12.73</v>
      </c>
      <c r="W122" s="15">
        <v>13.19</v>
      </c>
      <c r="X122" s="15">
        <v>13.66</v>
      </c>
      <c r="Y122" s="15">
        <v>14</v>
      </c>
      <c r="Z122" s="15">
        <v>14.64</v>
      </c>
      <c r="AA122" s="15">
        <v>15.61</v>
      </c>
      <c r="AB122" s="15">
        <v>17.010000000000002</v>
      </c>
      <c r="AC122" s="15">
        <v>18.899999999999999</v>
      </c>
      <c r="AD122" s="15">
        <v>21.05</v>
      </c>
      <c r="AE122" s="15">
        <v>23.64</v>
      </c>
      <c r="AF122" s="15">
        <v>26.01</v>
      </c>
      <c r="AG122" s="15">
        <v>28.28</v>
      </c>
      <c r="AH122" s="15">
        <v>30.44</v>
      </c>
      <c r="AI122" s="15">
        <v>32.81</v>
      </c>
      <c r="AJ122" s="15">
        <v>35.520000000000003</v>
      </c>
      <c r="AK122" s="15">
        <v>38.35</v>
      </c>
      <c r="AL122" s="15">
        <v>41.7</v>
      </c>
      <c r="AM122" s="15">
        <v>45.47</v>
      </c>
      <c r="AN122" s="15">
        <v>49.25</v>
      </c>
      <c r="AO122" s="15">
        <v>53.02</v>
      </c>
      <c r="AP122" s="15">
        <v>56.38</v>
      </c>
      <c r="AQ122" s="15">
        <v>59.1</v>
      </c>
      <c r="AR122" s="15">
        <v>61.5</v>
      </c>
      <c r="AS122" s="15">
        <v>63.85</v>
      </c>
      <c r="AT122" s="15">
        <v>66.260000000000005</v>
      </c>
      <c r="AU122" s="15">
        <v>69.25</v>
      </c>
      <c r="AV122" s="15">
        <v>73.22</v>
      </c>
      <c r="AW122" s="15">
        <v>77.959999999999994</v>
      </c>
      <c r="AX122" s="15">
        <v>84.21</v>
      </c>
      <c r="AY122" s="15">
        <v>91.77</v>
      </c>
      <c r="AZ122" s="15">
        <v>100.32</v>
      </c>
      <c r="BA122" s="15">
        <v>109.58</v>
      </c>
      <c r="BB122" s="15">
        <v>119.78</v>
      </c>
      <c r="BC122" s="15">
        <v>130.61000000000001</v>
      </c>
      <c r="BD122" s="15">
        <v>142.07</v>
      </c>
      <c r="BE122" s="15">
        <v>154.02000000000001</v>
      </c>
      <c r="BF122" s="15">
        <v>166.74</v>
      </c>
      <c r="BG122" s="15">
        <v>180.29</v>
      </c>
      <c r="BH122" s="15">
        <v>194.56</v>
      </c>
      <c r="BI122" s="15">
        <v>209.94</v>
      </c>
      <c r="BJ122" s="15">
        <v>226.44</v>
      </c>
      <c r="BK122" s="15">
        <v>244.13</v>
      </c>
      <c r="BL122" s="15">
        <v>263.13</v>
      </c>
      <c r="BM122" s="15">
        <v>283.52999999999997</v>
      </c>
      <c r="BN122" s="15">
        <v>305.76</v>
      </c>
      <c r="BO122" s="15">
        <v>329.73</v>
      </c>
      <c r="BP122" s="15">
        <v>356.13</v>
      </c>
      <c r="BQ122" s="15">
        <v>386.76</v>
      </c>
      <c r="BR122" s="15">
        <v>422.07</v>
      </c>
      <c r="BS122" s="15">
        <v>459.67</v>
      </c>
      <c r="BT122" s="15">
        <v>497.76</v>
      </c>
      <c r="BU122" s="15">
        <v>538.1</v>
      </c>
      <c r="BV122" s="15">
        <v>584.1</v>
      </c>
      <c r="BW122" s="15">
        <v>636.08000000000004</v>
      </c>
      <c r="BX122" s="15">
        <v>693.64</v>
      </c>
      <c r="BY122" s="15">
        <v>758.32</v>
      </c>
      <c r="BZ122" s="15">
        <v>831.81</v>
      </c>
      <c r="CA122" s="15">
        <v>915.49</v>
      </c>
      <c r="CB122" s="15">
        <v>1010.09</v>
      </c>
      <c r="CC122" s="15">
        <v>1116.5999999999999</v>
      </c>
      <c r="CD122" s="15">
        <v>1235.51</v>
      </c>
      <c r="CE122" s="15">
        <v>1368.15</v>
      </c>
      <c r="CF122" s="15">
        <v>1516.02</v>
      </c>
      <c r="CG122" s="15">
        <v>1681.42</v>
      </c>
      <c r="CH122" s="15">
        <v>1867.29</v>
      </c>
      <c r="CI122" s="15">
        <v>2074.5</v>
      </c>
      <c r="CJ122" s="15">
        <v>2305.0300000000002</v>
      </c>
      <c r="CK122" s="15">
        <v>2560.67</v>
      </c>
      <c r="CL122" s="15">
        <v>2843.44</v>
      </c>
      <c r="CM122" s="15">
        <v>3155.37</v>
      </c>
      <c r="CN122" s="15">
        <v>3499.11</v>
      </c>
      <c r="CO122" s="15">
        <v>3878.7</v>
      </c>
      <c r="CP122" s="15">
        <v>4297.18</v>
      </c>
      <c r="CQ122" s="15">
        <v>4754.18</v>
      </c>
      <c r="CR122" s="15">
        <v>5244.2</v>
      </c>
      <c r="CS122" s="15">
        <v>5756.81</v>
      </c>
      <c r="CT122" s="15">
        <v>6281.02</v>
      </c>
      <c r="CU122" s="15">
        <v>6814.59</v>
      </c>
      <c r="CV122" s="15">
        <v>7370.18</v>
      </c>
      <c r="CW122" s="15">
        <v>7967.38</v>
      </c>
      <c r="CX122" s="15">
        <v>8631.7999999999993</v>
      </c>
    </row>
    <row r="123" spans="1:102" x14ac:dyDescent="0.25">
      <c r="A123" s="71">
        <v>2016</v>
      </c>
      <c r="B123" s="15">
        <v>340.56</v>
      </c>
      <c r="C123" s="15">
        <v>34.29</v>
      </c>
      <c r="D123" s="15">
        <v>16.100000000000001</v>
      </c>
      <c r="E123" s="15">
        <v>9.11</v>
      </c>
      <c r="F123" s="15">
        <v>7.9</v>
      </c>
      <c r="G123" s="15">
        <v>7.33</v>
      </c>
      <c r="H123" s="15">
        <v>6.69</v>
      </c>
      <c r="I123" s="15">
        <v>5.94</v>
      </c>
      <c r="J123" s="15">
        <v>5.3</v>
      </c>
      <c r="K123" s="15">
        <v>4.99</v>
      </c>
      <c r="L123" s="15">
        <v>4.92</v>
      </c>
      <c r="M123" s="15">
        <v>5.22</v>
      </c>
      <c r="N123" s="15">
        <v>5.78</v>
      </c>
      <c r="O123" s="15">
        <v>6.33</v>
      </c>
      <c r="P123" s="15">
        <v>7.2</v>
      </c>
      <c r="Q123" s="15">
        <v>8.35</v>
      </c>
      <c r="R123" s="15">
        <v>9.43</v>
      </c>
      <c r="S123" s="15">
        <v>10.62</v>
      </c>
      <c r="T123" s="15">
        <v>11.5</v>
      </c>
      <c r="U123" s="15">
        <v>12.18</v>
      </c>
      <c r="V123" s="15">
        <v>12.57</v>
      </c>
      <c r="W123" s="15">
        <v>13.03</v>
      </c>
      <c r="X123" s="15">
        <v>13.5</v>
      </c>
      <c r="Y123" s="15">
        <v>13.84</v>
      </c>
      <c r="Z123" s="15">
        <v>14.48</v>
      </c>
      <c r="AA123" s="15">
        <v>15.45</v>
      </c>
      <c r="AB123" s="15">
        <v>16.850000000000001</v>
      </c>
      <c r="AC123" s="15">
        <v>18.63</v>
      </c>
      <c r="AD123" s="15">
        <v>20.83</v>
      </c>
      <c r="AE123" s="15">
        <v>23.36</v>
      </c>
      <c r="AF123" s="15">
        <v>25.67</v>
      </c>
      <c r="AG123" s="15">
        <v>27.93</v>
      </c>
      <c r="AH123" s="15">
        <v>30.08</v>
      </c>
      <c r="AI123" s="15">
        <v>32.51</v>
      </c>
      <c r="AJ123" s="15">
        <v>35.15</v>
      </c>
      <c r="AK123" s="15">
        <v>37.92</v>
      </c>
      <c r="AL123" s="15">
        <v>41.26</v>
      </c>
      <c r="AM123" s="15">
        <v>44.91</v>
      </c>
      <c r="AN123" s="15">
        <v>48.73</v>
      </c>
      <c r="AO123" s="15">
        <v>52.39</v>
      </c>
      <c r="AP123" s="15">
        <v>55.68</v>
      </c>
      <c r="AQ123" s="15">
        <v>58.45</v>
      </c>
      <c r="AR123" s="15">
        <v>60.79</v>
      </c>
      <c r="AS123" s="15">
        <v>63.13</v>
      </c>
      <c r="AT123" s="15">
        <v>65.37</v>
      </c>
      <c r="AU123" s="15">
        <v>68.41</v>
      </c>
      <c r="AV123" s="15">
        <v>72.099999999999994</v>
      </c>
      <c r="AW123" s="15">
        <v>77.03</v>
      </c>
      <c r="AX123" s="15">
        <v>83.26</v>
      </c>
      <c r="AY123" s="15">
        <v>90.7</v>
      </c>
      <c r="AZ123" s="15">
        <v>99.05</v>
      </c>
      <c r="BA123" s="15">
        <v>108.23</v>
      </c>
      <c r="BB123" s="15">
        <v>118.35</v>
      </c>
      <c r="BC123" s="15">
        <v>129.09</v>
      </c>
      <c r="BD123" s="15">
        <v>140.35</v>
      </c>
      <c r="BE123" s="15">
        <v>152.26</v>
      </c>
      <c r="BF123" s="15">
        <v>164.83</v>
      </c>
      <c r="BG123" s="15">
        <v>178.12</v>
      </c>
      <c r="BH123" s="15">
        <v>192.33</v>
      </c>
      <c r="BI123" s="15">
        <v>207.55</v>
      </c>
      <c r="BJ123" s="15">
        <v>223.83</v>
      </c>
      <c r="BK123" s="15">
        <v>241.34</v>
      </c>
      <c r="BL123" s="15">
        <v>259.99</v>
      </c>
      <c r="BM123" s="15">
        <v>280.26</v>
      </c>
      <c r="BN123" s="15">
        <v>302.13</v>
      </c>
      <c r="BO123" s="15">
        <v>325.83999999999997</v>
      </c>
      <c r="BP123" s="15">
        <v>351.97</v>
      </c>
      <c r="BQ123" s="15">
        <v>382.08</v>
      </c>
      <c r="BR123" s="15">
        <v>417.13</v>
      </c>
      <c r="BS123" s="15">
        <v>454.11</v>
      </c>
      <c r="BT123" s="15">
        <v>491.92</v>
      </c>
      <c r="BU123" s="15">
        <v>531.73</v>
      </c>
      <c r="BV123" s="15">
        <v>577.23</v>
      </c>
      <c r="BW123" s="15">
        <v>628.49</v>
      </c>
      <c r="BX123" s="15">
        <v>685.4</v>
      </c>
      <c r="BY123" s="15">
        <v>749.34</v>
      </c>
      <c r="BZ123" s="15">
        <v>822.02</v>
      </c>
      <c r="CA123" s="15">
        <v>904.64</v>
      </c>
      <c r="CB123" s="15">
        <v>998.21</v>
      </c>
      <c r="CC123" s="15">
        <v>1103.3499999999999</v>
      </c>
      <c r="CD123" s="15">
        <v>1220.96</v>
      </c>
      <c r="CE123" s="15">
        <v>1352.09</v>
      </c>
      <c r="CF123" s="15">
        <v>1498.1</v>
      </c>
      <c r="CG123" s="15">
        <v>1661.62</v>
      </c>
      <c r="CH123" s="15">
        <v>1845.24</v>
      </c>
      <c r="CI123" s="15">
        <v>2050.11</v>
      </c>
      <c r="CJ123" s="15">
        <v>2277.83</v>
      </c>
      <c r="CK123" s="15">
        <v>2530.4699999999998</v>
      </c>
      <c r="CL123" s="15">
        <v>2810.11</v>
      </c>
      <c r="CM123" s="15">
        <v>3118.45</v>
      </c>
      <c r="CN123" s="15">
        <v>3458.18</v>
      </c>
      <c r="CO123" s="15">
        <v>3833.24</v>
      </c>
      <c r="CP123" s="15">
        <v>4246.8599999999997</v>
      </c>
      <c r="CQ123" s="15">
        <v>4698.7700000000004</v>
      </c>
      <c r="CR123" s="15">
        <v>5183.04</v>
      </c>
      <c r="CS123" s="15">
        <v>5690.08</v>
      </c>
      <c r="CT123" s="15">
        <v>6207.99</v>
      </c>
      <c r="CU123" s="15">
        <v>6735.6</v>
      </c>
      <c r="CV123" s="15">
        <v>7285.02</v>
      </c>
      <c r="CW123" s="15">
        <v>7875.63</v>
      </c>
      <c r="CX123" s="15">
        <v>8532.7800000000007</v>
      </c>
    </row>
    <row r="124" spans="1:102" x14ac:dyDescent="0.25">
      <c r="A124" s="71">
        <v>2017</v>
      </c>
      <c r="B124" s="15">
        <v>332.55</v>
      </c>
      <c r="C124" s="15">
        <v>32.950000000000003</v>
      </c>
      <c r="D124" s="15">
        <v>15.63</v>
      </c>
      <c r="E124" s="15">
        <v>8.83</v>
      </c>
      <c r="F124" s="15">
        <v>7.76</v>
      </c>
      <c r="G124" s="15">
        <v>7.12</v>
      </c>
      <c r="H124" s="15">
        <v>6.49</v>
      </c>
      <c r="I124" s="15">
        <v>5.73</v>
      </c>
      <c r="J124" s="15">
        <v>5.17</v>
      </c>
      <c r="K124" s="15">
        <v>4.91</v>
      </c>
      <c r="L124" s="15">
        <v>4.84</v>
      </c>
      <c r="M124" s="15">
        <v>5.15</v>
      </c>
      <c r="N124" s="15">
        <v>5.7</v>
      </c>
      <c r="O124" s="15">
        <v>6.32</v>
      </c>
      <c r="P124" s="15">
        <v>7.11</v>
      </c>
      <c r="Q124" s="15">
        <v>8.15</v>
      </c>
      <c r="R124" s="15">
        <v>9.35</v>
      </c>
      <c r="S124" s="15">
        <v>10.47</v>
      </c>
      <c r="T124" s="15">
        <v>11.35</v>
      </c>
      <c r="U124" s="15">
        <v>12.03</v>
      </c>
      <c r="V124" s="15">
        <v>12.42</v>
      </c>
      <c r="W124" s="15">
        <v>12.94</v>
      </c>
      <c r="X124" s="15">
        <v>13.35</v>
      </c>
      <c r="Y124" s="15">
        <v>13.7</v>
      </c>
      <c r="Z124" s="15">
        <v>14.34</v>
      </c>
      <c r="AA124" s="15">
        <v>15.25</v>
      </c>
      <c r="AB124" s="15">
        <v>16.600000000000001</v>
      </c>
      <c r="AC124" s="15">
        <v>18.37</v>
      </c>
      <c r="AD124" s="15">
        <v>20.62</v>
      </c>
      <c r="AE124" s="15">
        <v>23.09</v>
      </c>
      <c r="AF124" s="15">
        <v>25.34</v>
      </c>
      <c r="AG124" s="15">
        <v>27.6</v>
      </c>
      <c r="AH124" s="15">
        <v>29.8</v>
      </c>
      <c r="AI124" s="15">
        <v>32.22</v>
      </c>
      <c r="AJ124" s="15">
        <v>34.75</v>
      </c>
      <c r="AK124" s="15">
        <v>37.520000000000003</v>
      </c>
      <c r="AL124" s="15">
        <v>40.74</v>
      </c>
      <c r="AM124" s="15">
        <v>44.44</v>
      </c>
      <c r="AN124" s="15">
        <v>48.19</v>
      </c>
      <c r="AO124" s="15">
        <v>51.68</v>
      </c>
      <c r="AP124" s="15">
        <v>55.02</v>
      </c>
      <c r="AQ124" s="15">
        <v>57.68</v>
      </c>
      <c r="AR124" s="15">
        <v>60.12</v>
      </c>
      <c r="AS124" s="15">
        <v>62.34</v>
      </c>
      <c r="AT124" s="15">
        <v>64.52</v>
      </c>
      <c r="AU124" s="15">
        <v>67.5</v>
      </c>
      <c r="AV124" s="15">
        <v>71.13</v>
      </c>
      <c r="AW124" s="15">
        <v>76.150000000000006</v>
      </c>
      <c r="AX124" s="15">
        <v>82.37</v>
      </c>
      <c r="AY124" s="15">
        <v>89.68</v>
      </c>
      <c r="AZ124" s="15">
        <v>97.8</v>
      </c>
      <c r="BA124" s="15">
        <v>106.95</v>
      </c>
      <c r="BB124" s="15">
        <v>116.88</v>
      </c>
      <c r="BC124" s="15">
        <v>127.49</v>
      </c>
      <c r="BD124" s="15">
        <v>138.72</v>
      </c>
      <c r="BE124" s="15">
        <v>150.49</v>
      </c>
      <c r="BF124" s="15">
        <v>162.81</v>
      </c>
      <c r="BG124" s="15">
        <v>176.06</v>
      </c>
      <c r="BH124" s="15">
        <v>190.12</v>
      </c>
      <c r="BI124" s="15">
        <v>205.13</v>
      </c>
      <c r="BJ124" s="15">
        <v>221.14</v>
      </c>
      <c r="BK124" s="15">
        <v>238.44</v>
      </c>
      <c r="BL124" s="15">
        <v>256.87</v>
      </c>
      <c r="BM124" s="15">
        <v>276.89999999999998</v>
      </c>
      <c r="BN124" s="15">
        <v>298.48</v>
      </c>
      <c r="BO124" s="15">
        <v>322.05</v>
      </c>
      <c r="BP124" s="15">
        <v>347.76</v>
      </c>
      <c r="BQ124" s="15">
        <v>377.6</v>
      </c>
      <c r="BR124" s="15">
        <v>412.19</v>
      </c>
      <c r="BS124" s="15">
        <v>448.75</v>
      </c>
      <c r="BT124" s="15">
        <v>486.02</v>
      </c>
      <c r="BU124" s="15">
        <v>525.42999999999995</v>
      </c>
      <c r="BV124" s="15">
        <v>570.22</v>
      </c>
      <c r="BW124" s="15">
        <v>621.08000000000004</v>
      </c>
      <c r="BX124" s="15">
        <v>677.34</v>
      </c>
      <c r="BY124" s="15">
        <v>740.52</v>
      </c>
      <c r="BZ124" s="15">
        <v>812.32</v>
      </c>
      <c r="CA124" s="15">
        <v>894.04</v>
      </c>
      <c r="CB124" s="15">
        <v>986.42</v>
      </c>
      <c r="CC124" s="15">
        <v>1090.31</v>
      </c>
      <c r="CD124" s="15">
        <v>1206.57</v>
      </c>
      <c r="CE124" s="15">
        <v>1336.1</v>
      </c>
      <c r="CF124" s="15">
        <v>1480.53</v>
      </c>
      <c r="CG124" s="15">
        <v>1642.17</v>
      </c>
      <c r="CH124" s="15">
        <v>1823.53</v>
      </c>
      <c r="CI124" s="15">
        <v>2026.14</v>
      </c>
      <c r="CJ124" s="15">
        <v>2251.02</v>
      </c>
      <c r="CK124" s="15">
        <v>2500.75</v>
      </c>
      <c r="CL124" s="15">
        <v>2777.17</v>
      </c>
      <c r="CM124" s="15">
        <v>3081.84</v>
      </c>
      <c r="CN124" s="15">
        <v>3417.63</v>
      </c>
      <c r="CO124" s="15">
        <v>3788.31</v>
      </c>
      <c r="CP124" s="15">
        <v>4197.17</v>
      </c>
      <c r="CQ124" s="15">
        <v>4643.7700000000004</v>
      </c>
      <c r="CR124" s="15">
        <v>5122.7299999999996</v>
      </c>
      <c r="CS124" s="15">
        <v>5623.72</v>
      </c>
      <c r="CT124" s="15">
        <v>6135.81</v>
      </c>
      <c r="CU124" s="15">
        <v>6657.53</v>
      </c>
      <c r="CV124" s="15">
        <v>7200.85</v>
      </c>
      <c r="CW124" s="15">
        <v>7784.94</v>
      </c>
      <c r="CX124" s="15">
        <v>8434.89</v>
      </c>
    </row>
    <row r="125" spans="1:102" x14ac:dyDescent="0.25">
      <c r="A125" s="71">
        <v>2018</v>
      </c>
      <c r="B125" s="15">
        <v>325.12</v>
      </c>
      <c r="C125" s="15">
        <v>31.91</v>
      </c>
      <c r="D125" s="15">
        <v>15.29</v>
      </c>
      <c r="E125" s="15">
        <v>8.6300000000000008</v>
      </c>
      <c r="F125" s="15">
        <v>7.62</v>
      </c>
      <c r="G125" s="15">
        <v>6.93</v>
      </c>
      <c r="H125" s="15">
        <v>6.29</v>
      </c>
      <c r="I125" s="15">
        <v>5.6</v>
      </c>
      <c r="J125" s="15">
        <v>5.0999999999999996</v>
      </c>
      <c r="K125" s="15">
        <v>4.84</v>
      </c>
      <c r="L125" s="15">
        <v>4.7699999999999996</v>
      </c>
      <c r="M125" s="15">
        <v>5.08</v>
      </c>
      <c r="N125" s="15">
        <v>5.63</v>
      </c>
      <c r="O125" s="15">
        <v>6.18</v>
      </c>
      <c r="P125" s="15">
        <v>6.98</v>
      </c>
      <c r="Q125" s="15">
        <v>8.01</v>
      </c>
      <c r="R125" s="15">
        <v>9.2100000000000009</v>
      </c>
      <c r="S125" s="15">
        <v>10.33</v>
      </c>
      <c r="T125" s="15">
        <v>11.22</v>
      </c>
      <c r="U125" s="15">
        <v>11.89</v>
      </c>
      <c r="V125" s="15">
        <v>12.35</v>
      </c>
      <c r="W125" s="15">
        <v>12.81</v>
      </c>
      <c r="X125" s="15">
        <v>13.22</v>
      </c>
      <c r="Y125" s="15">
        <v>13.51</v>
      </c>
      <c r="Z125" s="15">
        <v>14.15</v>
      </c>
      <c r="AA125" s="15">
        <v>15.07</v>
      </c>
      <c r="AB125" s="15">
        <v>16.41</v>
      </c>
      <c r="AC125" s="15">
        <v>18.23</v>
      </c>
      <c r="AD125" s="15">
        <v>20.43</v>
      </c>
      <c r="AE125" s="15">
        <v>22.79</v>
      </c>
      <c r="AF125" s="15">
        <v>25.04</v>
      </c>
      <c r="AG125" s="15">
        <v>27.29</v>
      </c>
      <c r="AH125" s="15">
        <v>29.49</v>
      </c>
      <c r="AI125" s="15">
        <v>31.8</v>
      </c>
      <c r="AJ125" s="15">
        <v>34.33</v>
      </c>
      <c r="AK125" s="15">
        <v>37.04</v>
      </c>
      <c r="AL125" s="15">
        <v>40.25</v>
      </c>
      <c r="AM125" s="15">
        <v>43.95</v>
      </c>
      <c r="AN125" s="15">
        <v>47.43</v>
      </c>
      <c r="AO125" s="15">
        <v>51.03</v>
      </c>
      <c r="AP125" s="15">
        <v>54.25</v>
      </c>
      <c r="AQ125" s="15">
        <v>57.01</v>
      </c>
      <c r="AR125" s="15">
        <v>59.44</v>
      </c>
      <c r="AS125" s="15">
        <v>61.45</v>
      </c>
      <c r="AT125" s="15">
        <v>63.84</v>
      </c>
      <c r="AU125" s="15">
        <v>66.650000000000006</v>
      </c>
      <c r="AV125" s="15">
        <v>70.33</v>
      </c>
      <c r="AW125" s="15">
        <v>75.349999999999994</v>
      </c>
      <c r="AX125" s="15">
        <v>81.39</v>
      </c>
      <c r="AY125" s="15">
        <v>88.58</v>
      </c>
      <c r="AZ125" s="15">
        <v>96.69</v>
      </c>
      <c r="BA125" s="15">
        <v>105.72</v>
      </c>
      <c r="BB125" s="15">
        <v>115.42</v>
      </c>
      <c r="BC125" s="15">
        <v>126.01</v>
      </c>
      <c r="BD125" s="15">
        <v>137.11000000000001</v>
      </c>
      <c r="BE125" s="15">
        <v>148.58000000000001</v>
      </c>
      <c r="BF125" s="15">
        <v>160.88</v>
      </c>
      <c r="BG125" s="15">
        <v>173.99</v>
      </c>
      <c r="BH125" s="15">
        <v>187.81</v>
      </c>
      <c r="BI125" s="15">
        <v>202.57</v>
      </c>
      <c r="BJ125" s="15">
        <v>218.49</v>
      </c>
      <c r="BK125" s="15">
        <v>235.53</v>
      </c>
      <c r="BL125" s="15">
        <v>253.81</v>
      </c>
      <c r="BM125" s="15">
        <v>273.63</v>
      </c>
      <c r="BN125" s="15">
        <v>294.99</v>
      </c>
      <c r="BO125" s="15">
        <v>318.23</v>
      </c>
      <c r="BP125" s="15">
        <v>343.65</v>
      </c>
      <c r="BQ125" s="15">
        <v>373.24</v>
      </c>
      <c r="BR125" s="15">
        <v>407.29</v>
      </c>
      <c r="BS125" s="15">
        <v>443.41</v>
      </c>
      <c r="BT125" s="15">
        <v>480.16</v>
      </c>
      <c r="BU125" s="15">
        <v>519.11</v>
      </c>
      <c r="BV125" s="15">
        <v>563.52</v>
      </c>
      <c r="BW125" s="15">
        <v>613.74</v>
      </c>
      <c r="BX125" s="15">
        <v>669.33</v>
      </c>
      <c r="BY125" s="15">
        <v>731.8</v>
      </c>
      <c r="BZ125" s="15">
        <v>802.73</v>
      </c>
      <c r="CA125" s="15">
        <v>883.47</v>
      </c>
      <c r="CB125" s="15">
        <v>974.66</v>
      </c>
      <c r="CC125" s="15">
        <v>1077.4000000000001</v>
      </c>
      <c r="CD125" s="15">
        <v>1192.23</v>
      </c>
      <c r="CE125" s="15">
        <v>1320.33</v>
      </c>
      <c r="CF125" s="15">
        <v>1463.13</v>
      </c>
      <c r="CG125" s="15">
        <v>1622.76</v>
      </c>
      <c r="CH125" s="15">
        <v>1802.1</v>
      </c>
      <c r="CI125" s="15">
        <v>2002.23</v>
      </c>
      <c r="CJ125" s="15">
        <v>2224.31</v>
      </c>
      <c r="CK125" s="15">
        <v>2471.2800000000002</v>
      </c>
      <c r="CL125" s="15">
        <v>2744.37</v>
      </c>
      <c r="CM125" s="15">
        <v>3045.53</v>
      </c>
      <c r="CN125" s="15">
        <v>3377.51</v>
      </c>
      <c r="CO125" s="15">
        <v>3743.81</v>
      </c>
      <c r="CP125" s="15">
        <v>4147.8999999999996</v>
      </c>
      <c r="CQ125" s="15">
        <v>4589.6000000000004</v>
      </c>
      <c r="CR125" s="15">
        <v>5062.8100000000004</v>
      </c>
      <c r="CS125" s="15">
        <v>5558.14</v>
      </c>
      <c r="CT125" s="15">
        <v>6064.48</v>
      </c>
      <c r="CU125" s="15">
        <v>6580.37</v>
      </c>
      <c r="CV125" s="15">
        <v>7117.65</v>
      </c>
      <c r="CW125" s="15">
        <v>7695.29</v>
      </c>
      <c r="CX125" s="15">
        <v>8338.1299999999992</v>
      </c>
    </row>
    <row r="126" spans="1:102" x14ac:dyDescent="0.25">
      <c r="A126" s="71">
        <v>2019</v>
      </c>
      <c r="B126" s="15">
        <v>318.10000000000002</v>
      </c>
      <c r="C126" s="15">
        <v>31.69</v>
      </c>
      <c r="D126" s="15">
        <v>14.98</v>
      </c>
      <c r="E126" s="15">
        <v>8.3800000000000008</v>
      </c>
      <c r="F126" s="15">
        <v>7.37</v>
      </c>
      <c r="G126" s="15">
        <v>6.8</v>
      </c>
      <c r="H126" s="15">
        <v>6.17</v>
      </c>
      <c r="I126" s="15">
        <v>5.47</v>
      </c>
      <c r="J126" s="15">
        <v>5.09</v>
      </c>
      <c r="K126" s="15">
        <v>4.78</v>
      </c>
      <c r="L126" s="15">
        <v>4.71</v>
      </c>
      <c r="M126" s="15">
        <v>5.01</v>
      </c>
      <c r="N126" s="15">
        <v>5.5</v>
      </c>
      <c r="O126" s="15">
        <v>6.06</v>
      </c>
      <c r="P126" s="15">
        <v>6.92</v>
      </c>
      <c r="Q126" s="15">
        <v>7.95</v>
      </c>
      <c r="R126" s="15">
        <v>9.02</v>
      </c>
      <c r="S126" s="15">
        <v>10.199999999999999</v>
      </c>
      <c r="T126" s="15">
        <v>11.15</v>
      </c>
      <c r="U126" s="15">
        <v>11.76</v>
      </c>
      <c r="V126" s="15">
        <v>12.22</v>
      </c>
      <c r="W126" s="15">
        <v>12.63</v>
      </c>
      <c r="X126" s="15">
        <v>13.05</v>
      </c>
      <c r="Y126" s="15">
        <v>13.39</v>
      </c>
      <c r="Z126" s="15">
        <v>13.98</v>
      </c>
      <c r="AA126" s="15">
        <v>14.95</v>
      </c>
      <c r="AB126" s="15">
        <v>16.29</v>
      </c>
      <c r="AC126" s="15">
        <v>18.12</v>
      </c>
      <c r="AD126" s="15">
        <v>20.149999999999999</v>
      </c>
      <c r="AE126" s="15">
        <v>22.4</v>
      </c>
      <c r="AF126" s="15">
        <v>24.76</v>
      </c>
      <c r="AG126" s="15">
        <v>26.96</v>
      </c>
      <c r="AH126" s="15">
        <v>29.16</v>
      </c>
      <c r="AI126" s="15">
        <v>31.42</v>
      </c>
      <c r="AJ126" s="15">
        <v>33.89</v>
      </c>
      <c r="AK126" s="15">
        <v>36.6</v>
      </c>
      <c r="AL126" s="15">
        <v>39.81</v>
      </c>
      <c r="AM126" s="15">
        <v>43.34</v>
      </c>
      <c r="AN126" s="15">
        <v>46.77</v>
      </c>
      <c r="AO126" s="15">
        <v>50.42</v>
      </c>
      <c r="AP126" s="15">
        <v>53.59</v>
      </c>
      <c r="AQ126" s="15">
        <v>56.4</v>
      </c>
      <c r="AR126" s="15">
        <v>58.62</v>
      </c>
      <c r="AS126" s="15">
        <v>60.62</v>
      </c>
      <c r="AT126" s="15">
        <v>63.17</v>
      </c>
      <c r="AU126" s="15">
        <v>65.930000000000007</v>
      </c>
      <c r="AV126" s="15">
        <v>69.650000000000006</v>
      </c>
      <c r="AW126" s="15">
        <v>74.45</v>
      </c>
      <c r="AX126" s="15">
        <v>80.39</v>
      </c>
      <c r="AY126" s="15">
        <v>87.46</v>
      </c>
      <c r="AZ126" s="15">
        <v>95.62</v>
      </c>
      <c r="BA126" s="15">
        <v>104.48</v>
      </c>
      <c r="BB126" s="15">
        <v>114.12</v>
      </c>
      <c r="BC126" s="15">
        <v>124.59</v>
      </c>
      <c r="BD126" s="15">
        <v>135.36000000000001</v>
      </c>
      <c r="BE126" s="15">
        <v>146.77000000000001</v>
      </c>
      <c r="BF126" s="15">
        <v>159</v>
      </c>
      <c r="BG126" s="15">
        <v>171.83</v>
      </c>
      <c r="BH126" s="15">
        <v>185.53</v>
      </c>
      <c r="BI126" s="15">
        <v>200.16</v>
      </c>
      <c r="BJ126" s="15">
        <v>215.95</v>
      </c>
      <c r="BK126" s="15">
        <v>232.7</v>
      </c>
      <c r="BL126" s="15">
        <v>250.9</v>
      </c>
      <c r="BM126" s="15">
        <v>270.42</v>
      </c>
      <c r="BN126" s="15">
        <v>291.47000000000003</v>
      </c>
      <c r="BO126" s="15">
        <v>314.44</v>
      </c>
      <c r="BP126" s="15">
        <v>339.54</v>
      </c>
      <c r="BQ126" s="15">
        <v>368.75</v>
      </c>
      <c r="BR126" s="15">
        <v>402.4</v>
      </c>
      <c r="BS126" s="15">
        <v>438.12</v>
      </c>
      <c r="BT126" s="15">
        <v>474.45</v>
      </c>
      <c r="BU126" s="15">
        <v>512.97</v>
      </c>
      <c r="BV126" s="15">
        <v>556.91999999999996</v>
      </c>
      <c r="BW126" s="15">
        <v>606.39</v>
      </c>
      <c r="BX126" s="15">
        <v>661.48</v>
      </c>
      <c r="BY126" s="15">
        <v>723.13</v>
      </c>
      <c r="BZ126" s="15">
        <v>793.26</v>
      </c>
      <c r="CA126" s="15">
        <v>872.97</v>
      </c>
      <c r="CB126" s="15">
        <v>963.13</v>
      </c>
      <c r="CC126" s="15">
        <v>1064.6400000000001</v>
      </c>
      <c r="CD126" s="15">
        <v>1178.0999999999999</v>
      </c>
      <c r="CE126" s="15">
        <v>1304.7</v>
      </c>
      <c r="CF126" s="15">
        <v>1445.76</v>
      </c>
      <c r="CG126" s="15">
        <v>1603.48</v>
      </c>
      <c r="CH126" s="15">
        <v>1780.83</v>
      </c>
      <c r="CI126" s="15">
        <v>1978.41</v>
      </c>
      <c r="CJ126" s="15">
        <v>2198.04</v>
      </c>
      <c r="CK126" s="15">
        <v>2442.1999999999998</v>
      </c>
      <c r="CL126" s="15">
        <v>2712.01</v>
      </c>
      <c r="CM126" s="15">
        <v>3009.67</v>
      </c>
      <c r="CN126" s="15">
        <v>3337.69</v>
      </c>
      <c r="CO126" s="15">
        <v>3699.69</v>
      </c>
      <c r="CP126" s="15">
        <v>4099.3599999999997</v>
      </c>
      <c r="CQ126" s="15">
        <v>4535.7700000000004</v>
      </c>
      <c r="CR126" s="15">
        <v>5003.6000000000004</v>
      </c>
      <c r="CS126" s="15">
        <v>5493.32</v>
      </c>
      <c r="CT126" s="15">
        <v>5993.97</v>
      </c>
      <c r="CU126" s="15">
        <v>6504.09</v>
      </c>
      <c r="CV126" s="15">
        <v>7035.41</v>
      </c>
      <c r="CW126" s="15">
        <v>7606.67</v>
      </c>
      <c r="CX126" s="15">
        <v>8242.48</v>
      </c>
    </row>
    <row r="127" spans="1:102" x14ac:dyDescent="0.25">
      <c r="A127" s="71">
        <v>2020</v>
      </c>
      <c r="B127" s="15">
        <v>311.38</v>
      </c>
      <c r="C127" s="15">
        <v>31.28</v>
      </c>
      <c r="D127" s="15">
        <v>14.55</v>
      </c>
      <c r="E127" s="15">
        <v>8.1999999999999993</v>
      </c>
      <c r="F127" s="15">
        <v>7.25</v>
      </c>
      <c r="G127" s="15">
        <v>6.68</v>
      </c>
      <c r="H127" s="15">
        <v>6.05</v>
      </c>
      <c r="I127" s="15">
        <v>5.42</v>
      </c>
      <c r="J127" s="15">
        <v>4.97</v>
      </c>
      <c r="K127" s="15">
        <v>4.72</v>
      </c>
      <c r="L127" s="15">
        <v>4.6500000000000004</v>
      </c>
      <c r="M127" s="15">
        <v>4.96</v>
      </c>
      <c r="N127" s="15">
        <v>5.45</v>
      </c>
      <c r="O127" s="15">
        <v>6.06</v>
      </c>
      <c r="P127" s="15">
        <v>6.86</v>
      </c>
      <c r="Q127" s="15">
        <v>7.77</v>
      </c>
      <c r="R127" s="15">
        <v>8.9</v>
      </c>
      <c r="S127" s="15">
        <v>10.15</v>
      </c>
      <c r="T127" s="15">
        <v>11.04</v>
      </c>
      <c r="U127" s="15">
        <v>11.59</v>
      </c>
      <c r="V127" s="15">
        <v>12.06</v>
      </c>
      <c r="W127" s="15">
        <v>12.52</v>
      </c>
      <c r="X127" s="15">
        <v>12.88</v>
      </c>
      <c r="Y127" s="15">
        <v>13.23</v>
      </c>
      <c r="Z127" s="15">
        <v>13.88</v>
      </c>
      <c r="AA127" s="15">
        <v>14.74</v>
      </c>
      <c r="AB127" s="15">
        <v>16.14</v>
      </c>
      <c r="AC127" s="15">
        <v>17.86</v>
      </c>
      <c r="AD127" s="15">
        <v>19.79</v>
      </c>
      <c r="AE127" s="15">
        <v>22.09</v>
      </c>
      <c r="AF127" s="15">
        <v>24.45</v>
      </c>
      <c r="AG127" s="15">
        <v>26.71</v>
      </c>
      <c r="AH127" s="15">
        <v>28.8</v>
      </c>
      <c r="AI127" s="15">
        <v>31.06</v>
      </c>
      <c r="AJ127" s="15">
        <v>33.479999999999997</v>
      </c>
      <c r="AK127" s="15">
        <v>36.19</v>
      </c>
      <c r="AL127" s="15">
        <v>39.4</v>
      </c>
      <c r="AM127" s="15">
        <v>42.72</v>
      </c>
      <c r="AN127" s="15">
        <v>46.31</v>
      </c>
      <c r="AO127" s="15">
        <v>49.85</v>
      </c>
      <c r="AP127" s="15">
        <v>53.02</v>
      </c>
      <c r="AQ127" s="15">
        <v>55.73</v>
      </c>
      <c r="AR127" s="15">
        <v>57.79</v>
      </c>
      <c r="AS127" s="15">
        <v>59.95</v>
      </c>
      <c r="AT127" s="15">
        <v>62.45</v>
      </c>
      <c r="AU127" s="15">
        <v>65.209999999999994</v>
      </c>
      <c r="AV127" s="15">
        <v>68.88</v>
      </c>
      <c r="AW127" s="15">
        <v>73.569999999999993</v>
      </c>
      <c r="AX127" s="15">
        <v>79.349999999999994</v>
      </c>
      <c r="AY127" s="15">
        <v>86.42</v>
      </c>
      <c r="AZ127" s="15">
        <v>94.53</v>
      </c>
      <c r="BA127" s="15">
        <v>103.28</v>
      </c>
      <c r="BB127" s="15">
        <v>112.87</v>
      </c>
      <c r="BC127" s="15">
        <v>123.02</v>
      </c>
      <c r="BD127" s="15">
        <v>133.79</v>
      </c>
      <c r="BE127" s="15">
        <v>145.04</v>
      </c>
      <c r="BF127" s="15">
        <v>157.05000000000001</v>
      </c>
      <c r="BG127" s="15">
        <v>169.72</v>
      </c>
      <c r="BH127" s="15">
        <v>183.35</v>
      </c>
      <c r="BI127" s="15">
        <v>197.87</v>
      </c>
      <c r="BJ127" s="15">
        <v>213.39</v>
      </c>
      <c r="BK127" s="15">
        <v>230.02</v>
      </c>
      <c r="BL127" s="15">
        <v>247.88</v>
      </c>
      <c r="BM127" s="15">
        <v>267.17</v>
      </c>
      <c r="BN127" s="15">
        <v>287.99</v>
      </c>
      <c r="BO127" s="15">
        <v>310.67</v>
      </c>
      <c r="BP127" s="15">
        <v>335.42</v>
      </c>
      <c r="BQ127" s="15">
        <v>364.32</v>
      </c>
      <c r="BR127" s="15">
        <v>397.66</v>
      </c>
      <c r="BS127" s="15">
        <v>432.89</v>
      </c>
      <c r="BT127" s="15">
        <v>468.84</v>
      </c>
      <c r="BU127" s="15">
        <v>506.96</v>
      </c>
      <c r="BV127" s="15">
        <v>550.27</v>
      </c>
      <c r="BW127" s="15">
        <v>599.26</v>
      </c>
      <c r="BX127" s="15">
        <v>653.66999999999996</v>
      </c>
      <c r="BY127" s="15">
        <v>714.55</v>
      </c>
      <c r="BZ127" s="15">
        <v>783.88</v>
      </c>
      <c r="CA127" s="15">
        <v>862.69</v>
      </c>
      <c r="CB127" s="15">
        <v>951.78</v>
      </c>
      <c r="CC127" s="15">
        <v>1051.98</v>
      </c>
      <c r="CD127" s="15">
        <v>1164.0999999999999</v>
      </c>
      <c r="CE127" s="15">
        <v>1289.2</v>
      </c>
      <c r="CF127" s="15">
        <v>1428.52</v>
      </c>
      <c r="CG127" s="15">
        <v>1584.59</v>
      </c>
      <c r="CH127" s="15">
        <v>1759.74</v>
      </c>
      <c r="CI127" s="15">
        <v>1955.07</v>
      </c>
      <c r="CJ127" s="15">
        <v>2172.31</v>
      </c>
      <c r="CK127" s="15">
        <v>2413.36</v>
      </c>
      <c r="CL127" s="15">
        <v>2679.98</v>
      </c>
      <c r="CM127" s="15">
        <v>2974.1</v>
      </c>
      <c r="CN127" s="15">
        <v>3298.29</v>
      </c>
      <c r="CO127" s="15">
        <v>3656.15</v>
      </c>
      <c r="CP127" s="15">
        <v>4051.17</v>
      </c>
      <c r="CQ127" s="15">
        <v>4482.58</v>
      </c>
      <c r="CR127" s="15">
        <v>4945.07</v>
      </c>
      <c r="CS127" s="15">
        <v>5429.26</v>
      </c>
      <c r="CT127" s="15">
        <v>5924.28</v>
      </c>
      <c r="CU127" s="15">
        <v>6428.71</v>
      </c>
      <c r="CV127" s="15">
        <v>6954.12</v>
      </c>
      <c r="CW127" s="15">
        <v>7519.08</v>
      </c>
      <c r="CX127" s="15">
        <v>8147.92</v>
      </c>
    </row>
    <row r="128" spans="1:102" x14ac:dyDescent="0.25">
      <c r="A128" s="71">
        <v>2021</v>
      </c>
      <c r="B128" s="15">
        <v>304.81</v>
      </c>
      <c r="C128" s="15">
        <v>30.07</v>
      </c>
      <c r="D128" s="15">
        <v>14.19</v>
      </c>
      <c r="E128" s="15">
        <v>8.08</v>
      </c>
      <c r="F128" s="15">
        <v>7.13</v>
      </c>
      <c r="G128" s="15">
        <v>6.56</v>
      </c>
      <c r="H128" s="15">
        <v>5.87</v>
      </c>
      <c r="I128" s="15">
        <v>5.3</v>
      </c>
      <c r="J128" s="15">
        <v>4.8600000000000003</v>
      </c>
      <c r="K128" s="15">
        <v>4.66</v>
      </c>
      <c r="L128" s="15">
        <v>4.59</v>
      </c>
      <c r="M128" s="15">
        <v>4.9000000000000004</v>
      </c>
      <c r="N128" s="15">
        <v>5.39</v>
      </c>
      <c r="O128" s="15">
        <v>5.94</v>
      </c>
      <c r="P128" s="15">
        <v>6.74</v>
      </c>
      <c r="Q128" s="15">
        <v>7.65</v>
      </c>
      <c r="R128" s="15">
        <v>8.7899999999999991</v>
      </c>
      <c r="S128" s="15">
        <v>10.039999999999999</v>
      </c>
      <c r="T128" s="15">
        <v>10.87</v>
      </c>
      <c r="U128" s="15">
        <v>11.43</v>
      </c>
      <c r="V128" s="15">
        <v>11.95</v>
      </c>
      <c r="W128" s="15">
        <v>12.36</v>
      </c>
      <c r="X128" s="15">
        <v>12.67</v>
      </c>
      <c r="Y128" s="15">
        <v>13.14</v>
      </c>
      <c r="Z128" s="15">
        <v>13.68</v>
      </c>
      <c r="AA128" s="15">
        <v>14.54</v>
      </c>
      <c r="AB128" s="15">
        <v>15.94</v>
      </c>
      <c r="AC128" s="15">
        <v>17.55</v>
      </c>
      <c r="AD128" s="15">
        <v>19.48</v>
      </c>
      <c r="AE128" s="15">
        <v>21.84</v>
      </c>
      <c r="AF128" s="15">
        <v>24.15</v>
      </c>
      <c r="AG128" s="15">
        <v>26.41</v>
      </c>
      <c r="AH128" s="15">
        <v>28.46</v>
      </c>
      <c r="AI128" s="15">
        <v>30.72</v>
      </c>
      <c r="AJ128" s="15">
        <v>33.14</v>
      </c>
      <c r="AK128" s="15">
        <v>35.75</v>
      </c>
      <c r="AL128" s="15">
        <v>38.909999999999997</v>
      </c>
      <c r="AM128" s="15">
        <v>42.24</v>
      </c>
      <c r="AN128" s="15">
        <v>45.88</v>
      </c>
      <c r="AO128" s="15">
        <v>49.32</v>
      </c>
      <c r="AP128" s="15">
        <v>52.39</v>
      </c>
      <c r="AQ128" s="15">
        <v>55.04</v>
      </c>
      <c r="AR128" s="15">
        <v>57.04</v>
      </c>
      <c r="AS128" s="15">
        <v>59.32</v>
      </c>
      <c r="AT128" s="15">
        <v>61.66</v>
      </c>
      <c r="AU128" s="15">
        <v>64.42</v>
      </c>
      <c r="AV128" s="15">
        <v>68.09</v>
      </c>
      <c r="AW128" s="15">
        <v>72.680000000000007</v>
      </c>
      <c r="AX128" s="15">
        <v>78.349999999999994</v>
      </c>
      <c r="AY128" s="15">
        <v>85.44</v>
      </c>
      <c r="AZ128" s="15">
        <v>93.38</v>
      </c>
      <c r="BA128" s="15">
        <v>102.04</v>
      </c>
      <c r="BB128" s="15">
        <v>111.53</v>
      </c>
      <c r="BC128" s="15">
        <v>121.58</v>
      </c>
      <c r="BD128" s="15">
        <v>132.19</v>
      </c>
      <c r="BE128" s="15">
        <v>143.29</v>
      </c>
      <c r="BF128" s="15">
        <v>155.13999999999999</v>
      </c>
      <c r="BG128" s="15">
        <v>167.76</v>
      </c>
      <c r="BH128" s="15">
        <v>181.19</v>
      </c>
      <c r="BI128" s="15">
        <v>195.54</v>
      </c>
      <c r="BJ128" s="15">
        <v>210.79</v>
      </c>
      <c r="BK128" s="15">
        <v>227.32</v>
      </c>
      <c r="BL128" s="15">
        <v>244.85</v>
      </c>
      <c r="BM128" s="15">
        <v>264.02999999999997</v>
      </c>
      <c r="BN128" s="15">
        <v>284.58</v>
      </c>
      <c r="BO128" s="15">
        <v>306.92</v>
      </c>
      <c r="BP128" s="15">
        <v>331.5</v>
      </c>
      <c r="BQ128" s="15">
        <v>360.06</v>
      </c>
      <c r="BR128" s="15">
        <v>392.94</v>
      </c>
      <c r="BS128" s="15">
        <v>427.71</v>
      </c>
      <c r="BT128" s="15">
        <v>463.3</v>
      </c>
      <c r="BU128" s="15">
        <v>500.98</v>
      </c>
      <c r="BV128" s="15">
        <v>543.69000000000005</v>
      </c>
      <c r="BW128" s="15">
        <v>592.16</v>
      </c>
      <c r="BX128" s="15">
        <v>645.80999999999995</v>
      </c>
      <c r="BY128" s="15">
        <v>706.09</v>
      </c>
      <c r="BZ128" s="15">
        <v>774.54</v>
      </c>
      <c r="CA128" s="15">
        <v>852.44</v>
      </c>
      <c r="CB128" s="15">
        <v>940.41</v>
      </c>
      <c r="CC128" s="15">
        <v>1039.48</v>
      </c>
      <c r="CD128" s="15">
        <v>1150.27</v>
      </c>
      <c r="CE128" s="15">
        <v>1273.8900000000001</v>
      </c>
      <c r="CF128" s="15">
        <v>1411.62</v>
      </c>
      <c r="CG128" s="15">
        <v>1565.84</v>
      </c>
      <c r="CH128" s="15">
        <v>1738.83</v>
      </c>
      <c r="CI128" s="15">
        <v>1932.05</v>
      </c>
      <c r="CJ128" s="15">
        <v>2146.58</v>
      </c>
      <c r="CK128" s="15">
        <v>2384.73</v>
      </c>
      <c r="CL128" s="15">
        <v>2648.26</v>
      </c>
      <c r="CM128" s="15">
        <v>2939.03</v>
      </c>
      <c r="CN128" s="15">
        <v>3259.39</v>
      </c>
      <c r="CO128" s="15">
        <v>3613.07</v>
      </c>
      <c r="CP128" s="15">
        <v>4003.53</v>
      </c>
      <c r="CQ128" s="15">
        <v>4430</v>
      </c>
      <c r="CR128" s="15">
        <v>4887.24</v>
      </c>
      <c r="CS128" s="15">
        <v>5365.95</v>
      </c>
      <c r="CT128" s="15">
        <v>5855.4</v>
      </c>
      <c r="CU128" s="15">
        <v>6354.19</v>
      </c>
      <c r="CV128" s="15">
        <v>6873.77</v>
      </c>
      <c r="CW128" s="15">
        <v>7432.49</v>
      </c>
      <c r="CX128" s="15">
        <v>8054.45</v>
      </c>
    </row>
    <row r="129" spans="1:102" x14ac:dyDescent="0.25">
      <c r="A129" s="71">
        <v>2022</v>
      </c>
      <c r="B129" s="15">
        <v>298.62</v>
      </c>
      <c r="C129" s="15">
        <v>29.24</v>
      </c>
      <c r="D129" s="15">
        <v>13.91</v>
      </c>
      <c r="E129" s="15">
        <v>7.91</v>
      </c>
      <c r="F129" s="15">
        <v>7.02</v>
      </c>
      <c r="G129" s="15">
        <v>6.39</v>
      </c>
      <c r="H129" s="15">
        <v>5.75</v>
      </c>
      <c r="I129" s="15">
        <v>5.25</v>
      </c>
      <c r="J129" s="15">
        <v>4.8600000000000003</v>
      </c>
      <c r="K129" s="15">
        <v>4.55</v>
      </c>
      <c r="L129" s="15">
        <v>4.54</v>
      </c>
      <c r="M129" s="15">
        <v>4.78</v>
      </c>
      <c r="N129" s="15">
        <v>5.21</v>
      </c>
      <c r="O129" s="15">
        <v>5.83</v>
      </c>
      <c r="P129" s="15">
        <v>6.69</v>
      </c>
      <c r="Q129" s="15">
        <v>7.61</v>
      </c>
      <c r="R129" s="15">
        <v>8.69</v>
      </c>
      <c r="S129" s="15">
        <v>9.8699999999999992</v>
      </c>
      <c r="T129" s="15">
        <v>10.71</v>
      </c>
      <c r="U129" s="15">
        <v>11.33</v>
      </c>
      <c r="V129" s="15">
        <v>11.86</v>
      </c>
      <c r="W129" s="15">
        <v>12.15</v>
      </c>
      <c r="X129" s="15">
        <v>12.57</v>
      </c>
      <c r="Y129" s="15">
        <v>13.05</v>
      </c>
      <c r="Z129" s="15">
        <v>13.42</v>
      </c>
      <c r="AA129" s="15">
        <v>14.4</v>
      </c>
      <c r="AB129" s="15">
        <v>15.69</v>
      </c>
      <c r="AC129" s="15">
        <v>17.309999999999999</v>
      </c>
      <c r="AD129" s="15">
        <v>19.3</v>
      </c>
      <c r="AE129" s="15">
        <v>21.55</v>
      </c>
      <c r="AF129" s="15">
        <v>23.87</v>
      </c>
      <c r="AG129" s="15">
        <v>26.08</v>
      </c>
      <c r="AH129" s="15">
        <v>28.18</v>
      </c>
      <c r="AI129" s="15">
        <v>30.39</v>
      </c>
      <c r="AJ129" s="15">
        <v>32.71</v>
      </c>
      <c r="AK129" s="15">
        <v>35.369999999999997</v>
      </c>
      <c r="AL129" s="15">
        <v>38.380000000000003</v>
      </c>
      <c r="AM129" s="15">
        <v>41.76</v>
      </c>
      <c r="AN129" s="15">
        <v>45.36</v>
      </c>
      <c r="AO129" s="15">
        <v>48.64</v>
      </c>
      <c r="AP129" s="15">
        <v>51.71</v>
      </c>
      <c r="AQ129" s="15">
        <v>54.26</v>
      </c>
      <c r="AR129" s="15">
        <v>56.43</v>
      </c>
      <c r="AS129" s="15">
        <v>58.6</v>
      </c>
      <c r="AT129" s="15">
        <v>60.94</v>
      </c>
      <c r="AU129" s="15">
        <v>63.65</v>
      </c>
      <c r="AV129" s="15">
        <v>67.27</v>
      </c>
      <c r="AW129" s="15">
        <v>71.709999999999994</v>
      </c>
      <c r="AX129" s="15">
        <v>77.5</v>
      </c>
      <c r="AY129" s="15">
        <v>84.42</v>
      </c>
      <c r="AZ129" s="15">
        <v>92.17</v>
      </c>
      <c r="BA129" s="15">
        <v>100.84</v>
      </c>
      <c r="BB129" s="15">
        <v>110.11</v>
      </c>
      <c r="BC129" s="15">
        <v>120.17</v>
      </c>
      <c r="BD129" s="15">
        <v>130.53</v>
      </c>
      <c r="BE129" s="15">
        <v>141.63999999999999</v>
      </c>
      <c r="BF129" s="15">
        <v>153.34</v>
      </c>
      <c r="BG129" s="15">
        <v>165.81</v>
      </c>
      <c r="BH129" s="15">
        <v>179.03</v>
      </c>
      <c r="BI129" s="15">
        <v>193.12</v>
      </c>
      <c r="BJ129" s="15">
        <v>208.33</v>
      </c>
      <c r="BK129" s="15">
        <v>224.53</v>
      </c>
      <c r="BL129" s="15">
        <v>242.08</v>
      </c>
      <c r="BM129" s="15">
        <v>260.83</v>
      </c>
      <c r="BN129" s="15">
        <v>281.10000000000002</v>
      </c>
      <c r="BO129" s="15">
        <v>303.33999999999997</v>
      </c>
      <c r="BP129" s="15">
        <v>327.64</v>
      </c>
      <c r="BQ129" s="15">
        <v>355.82</v>
      </c>
      <c r="BR129" s="15">
        <v>388.15</v>
      </c>
      <c r="BS129" s="15">
        <v>422.63</v>
      </c>
      <c r="BT129" s="15">
        <v>457.81</v>
      </c>
      <c r="BU129" s="15">
        <v>495.03</v>
      </c>
      <c r="BV129" s="15">
        <v>537.14</v>
      </c>
      <c r="BW129" s="15">
        <v>585.11</v>
      </c>
      <c r="BX129" s="15">
        <v>638.20000000000005</v>
      </c>
      <c r="BY129" s="15">
        <v>697.6</v>
      </c>
      <c r="BZ129" s="15">
        <v>765.27</v>
      </c>
      <c r="CA129" s="15">
        <v>842.29</v>
      </c>
      <c r="CB129" s="15">
        <v>929.21</v>
      </c>
      <c r="CC129" s="15">
        <v>1027.19</v>
      </c>
      <c r="CD129" s="15">
        <v>1136.6400000000001</v>
      </c>
      <c r="CE129" s="15">
        <v>1258.79</v>
      </c>
      <c r="CF129" s="15">
        <v>1394.86</v>
      </c>
      <c r="CG129" s="15">
        <v>1547.1</v>
      </c>
      <c r="CH129" s="15">
        <v>1718.19</v>
      </c>
      <c r="CI129" s="15">
        <v>1909.12</v>
      </c>
      <c r="CJ129" s="15">
        <v>2121.04</v>
      </c>
      <c r="CK129" s="15">
        <v>2356.46</v>
      </c>
      <c r="CL129" s="15">
        <v>2617.02</v>
      </c>
      <c r="CM129" s="15">
        <v>2904.45</v>
      </c>
      <c r="CN129" s="15">
        <v>3220.91</v>
      </c>
      <c r="CO129" s="15">
        <v>3570.49</v>
      </c>
      <c r="CP129" s="15">
        <v>3956.46</v>
      </c>
      <c r="CQ129" s="15">
        <v>4378.05</v>
      </c>
      <c r="CR129" s="15">
        <v>4830.08</v>
      </c>
      <c r="CS129" s="15">
        <v>5303.37</v>
      </c>
      <c r="CT129" s="15">
        <v>5787.32</v>
      </c>
      <c r="CU129" s="15">
        <v>6280.54</v>
      </c>
      <c r="CV129" s="15">
        <v>6794.34</v>
      </c>
      <c r="CW129" s="15">
        <v>7346.91</v>
      </c>
      <c r="CX129" s="15">
        <v>7962.05</v>
      </c>
    </row>
    <row r="130" spans="1:102" x14ac:dyDescent="0.25">
      <c r="A130" s="71">
        <v>2023</v>
      </c>
      <c r="B130" s="15">
        <v>292.95</v>
      </c>
      <c r="C130" s="15">
        <v>28.92</v>
      </c>
      <c r="D130" s="15">
        <v>13.62</v>
      </c>
      <c r="E130" s="15">
        <v>7.8</v>
      </c>
      <c r="F130" s="15">
        <v>6.91</v>
      </c>
      <c r="G130" s="15">
        <v>6.27</v>
      </c>
      <c r="H130" s="15">
        <v>5.7</v>
      </c>
      <c r="I130" s="15">
        <v>5.19</v>
      </c>
      <c r="J130" s="15">
        <v>4.8099999999999996</v>
      </c>
      <c r="K130" s="15">
        <v>4.49</v>
      </c>
      <c r="L130" s="15">
        <v>4.49</v>
      </c>
      <c r="M130" s="15">
        <v>4.67</v>
      </c>
      <c r="N130" s="15">
        <v>5.0999999999999996</v>
      </c>
      <c r="O130" s="15">
        <v>5.84</v>
      </c>
      <c r="P130" s="15">
        <v>6.65</v>
      </c>
      <c r="Q130" s="15">
        <v>7.5</v>
      </c>
      <c r="R130" s="15">
        <v>8.52</v>
      </c>
      <c r="S130" s="15">
        <v>9.77</v>
      </c>
      <c r="T130" s="15">
        <v>10.55</v>
      </c>
      <c r="U130" s="15">
        <v>11.23</v>
      </c>
      <c r="V130" s="15">
        <v>11.76</v>
      </c>
      <c r="W130" s="15">
        <v>12.06</v>
      </c>
      <c r="X130" s="15">
        <v>12.48</v>
      </c>
      <c r="Y130" s="15">
        <v>12.79</v>
      </c>
      <c r="Z130" s="15">
        <v>13.28</v>
      </c>
      <c r="AA130" s="15">
        <v>14.15</v>
      </c>
      <c r="AB130" s="15">
        <v>15.5</v>
      </c>
      <c r="AC130" s="15">
        <v>17.07</v>
      </c>
      <c r="AD130" s="15">
        <v>19.12</v>
      </c>
      <c r="AE130" s="15">
        <v>21.27</v>
      </c>
      <c r="AF130" s="15">
        <v>23.59</v>
      </c>
      <c r="AG130" s="15">
        <v>25.69</v>
      </c>
      <c r="AH130" s="15">
        <v>27.85</v>
      </c>
      <c r="AI130" s="15">
        <v>30.01</v>
      </c>
      <c r="AJ130" s="15">
        <v>32.340000000000003</v>
      </c>
      <c r="AK130" s="15">
        <v>34.950000000000003</v>
      </c>
      <c r="AL130" s="15">
        <v>37.909999999999997</v>
      </c>
      <c r="AM130" s="15">
        <v>41.19</v>
      </c>
      <c r="AN130" s="15">
        <v>44.69</v>
      </c>
      <c r="AO130" s="15">
        <v>47.98</v>
      </c>
      <c r="AP130" s="15">
        <v>51.05</v>
      </c>
      <c r="AQ130" s="15">
        <v>53.66</v>
      </c>
      <c r="AR130" s="15">
        <v>55.83</v>
      </c>
      <c r="AS130" s="15">
        <v>57.95</v>
      </c>
      <c r="AT130" s="15">
        <v>60.19</v>
      </c>
      <c r="AU130" s="15">
        <v>62.9</v>
      </c>
      <c r="AV130" s="15">
        <v>66.31</v>
      </c>
      <c r="AW130" s="15">
        <v>70.86</v>
      </c>
      <c r="AX130" s="15">
        <v>76.599999999999994</v>
      </c>
      <c r="AY130" s="15">
        <v>83.38</v>
      </c>
      <c r="AZ130" s="15">
        <v>91.14</v>
      </c>
      <c r="BA130" s="15">
        <v>99.55</v>
      </c>
      <c r="BB130" s="15">
        <v>108.79</v>
      </c>
      <c r="BC130" s="15">
        <v>118.7</v>
      </c>
      <c r="BD130" s="15">
        <v>129.07</v>
      </c>
      <c r="BE130" s="15">
        <v>139.97</v>
      </c>
      <c r="BF130" s="15">
        <v>151.53</v>
      </c>
      <c r="BG130" s="15">
        <v>163.84</v>
      </c>
      <c r="BH130" s="15">
        <v>176.91</v>
      </c>
      <c r="BI130" s="15">
        <v>190.81</v>
      </c>
      <c r="BJ130" s="15">
        <v>205.86</v>
      </c>
      <c r="BK130" s="15">
        <v>221.92</v>
      </c>
      <c r="BL130" s="15">
        <v>239.2</v>
      </c>
      <c r="BM130" s="15">
        <v>257.52999999999997</v>
      </c>
      <c r="BN130" s="15">
        <v>277.81</v>
      </c>
      <c r="BO130" s="15">
        <v>299.73</v>
      </c>
      <c r="BP130" s="15">
        <v>323.70999999999998</v>
      </c>
      <c r="BQ130" s="15">
        <v>351.51</v>
      </c>
      <c r="BR130" s="15">
        <v>383.4</v>
      </c>
      <c r="BS130" s="15">
        <v>417.61</v>
      </c>
      <c r="BT130" s="15">
        <v>452.4</v>
      </c>
      <c r="BU130" s="15">
        <v>489.09</v>
      </c>
      <c r="BV130" s="15">
        <v>530.79</v>
      </c>
      <c r="BW130" s="15">
        <v>578.23</v>
      </c>
      <c r="BX130" s="15">
        <v>630.54</v>
      </c>
      <c r="BY130" s="15">
        <v>689.2</v>
      </c>
      <c r="BZ130" s="15">
        <v>756.22</v>
      </c>
      <c r="CA130" s="15">
        <v>832.27</v>
      </c>
      <c r="CB130" s="15">
        <v>918.25</v>
      </c>
      <c r="CC130" s="15">
        <v>1014.99</v>
      </c>
      <c r="CD130" s="15">
        <v>1123.1400000000001</v>
      </c>
      <c r="CE130" s="15">
        <v>1243.78</v>
      </c>
      <c r="CF130" s="15">
        <v>1378.23</v>
      </c>
      <c r="CG130" s="15">
        <v>1528.68</v>
      </c>
      <c r="CH130" s="15">
        <v>1697.87</v>
      </c>
      <c r="CI130" s="15">
        <v>1886.46</v>
      </c>
      <c r="CJ130" s="15">
        <v>2095.85</v>
      </c>
      <c r="CK130" s="15">
        <v>2328.64</v>
      </c>
      <c r="CL130" s="15">
        <v>2586.1999999999998</v>
      </c>
      <c r="CM130" s="15">
        <v>2870.09</v>
      </c>
      <c r="CN130" s="15">
        <v>3182.88</v>
      </c>
      <c r="CO130" s="15">
        <v>3528.41</v>
      </c>
      <c r="CP130" s="15">
        <v>3909.94</v>
      </c>
      <c r="CQ130" s="15">
        <v>4326.7</v>
      </c>
      <c r="CR130" s="15">
        <v>4773.58</v>
      </c>
      <c r="CS130" s="15">
        <v>5241.5200000000004</v>
      </c>
      <c r="CT130" s="15">
        <v>5720.03</v>
      </c>
      <c r="CU130" s="15">
        <v>6207.74</v>
      </c>
      <c r="CV130" s="15">
        <v>6715.84</v>
      </c>
      <c r="CW130" s="15">
        <v>7262.3</v>
      </c>
      <c r="CX130" s="15">
        <v>7870.71</v>
      </c>
    </row>
    <row r="131" spans="1:102" x14ac:dyDescent="0.25">
      <c r="A131" s="71">
        <v>2024</v>
      </c>
      <c r="B131" s="15">
        <v>287.33999999999997</v>
      </c>
      <c r="C131" s="15">
        <v>28.55</v>
      </c>
      <c r="D131" s="15">
        <v>13.47</v>
      </c>
      <c r="E131" s="15">
        <v>7.7</v>
      </c>
      <c r="F131" s="15">
        <v>6.8</v>
      </c>
      <c r="G131" s="15">
        <v>6.16</v>
      </c>
      <c r="H131" s="15">
        <v>5.59</v>
      </c>
      <c r="I131" s="15">
        <v>5.14</v>
      </c>
      <c r="J131" s="15">
        <v>4.7</v>
      </c>
      <c r="K131" s="15">
        <v>4.5</v>
      </c>
      <c r="L131" s="15">
        <v>4.4400000000000004</v>
      </c>
      <c r="M131" s="15">
        <v>4.62</v>
      </c>
      <c r="N131" s="15">
        <v>5.1100000000000003</v>
      </c>
      <c r="O131" s="15">
        <v>5.8</v>
      </c>
      <c r="P131" s="15">
        <v>6.54</v>
      </c>
      <c r="Q131" s="15">
        <v>7.39</v>
      </c>
      <c r="R131" s="15">
        <v>8.42</v>
      </c>
      <c r="S131" s="15">
        <v>9.61</v>
      </c>
      <c r="T131" s="15">
        <v>10.39</v>
      </c>
      <c r="U131" s="15">
        <v>11.14</v>
      </c>
      <c r="V131" s="15">
        <v>11.67</v>
      </c>
      <c r="W131" s="15">
        <v>11.97</v>
      </c>
      <c r="X131" s="15">
        <v>12.34</v>
      </c>
      <c r="Y131" s="15">
        <v>12.59</v>
      </c>
      <c r="Z131" s="15">
        <v>13.08</v>
      </c>
      <c r="AA131" s="15">
        <v>13.96</v>
      </c>
      <c r="AB131" s="15">
        <v>15.31</v>
      </c>
      <c r="AC131" s="15">
        <v>16.88</v>
      </c>
      <c r="AD131" s="15">
        <v>18.940000000000001</v>
      </c>
      <c r="AE131" s="15">
        <v>21.04</v>
      </c>
      <c r="AF131" s="15">
        <v>23.26</v>
      </c>
      <c r="AG131" s="15">
        <v>25.37</v>
      </c>
      <c r="AH131" s="15">
        <v>27.53</v>
      </c>
      <c r="AI131" s="15">
        <v>29.7</v>
      </c>
      <c r="AJ131" s="15">
        <v>31.92</v>
      </c>
      <c r="AK131" s="15">
        <v>34.54</v>
      </c>
      <c r="AL131" s="15">
        <v>37.51</v>
      </c>
      <c r="AM131" s="15">
        <v>40.69</v>
      </c>
      <c r="AN131" s="15">
        <v>44.14</v>
      </c>
      <c r="AO131" s="15">
        <v>47.48</v>
      </c>
      <c r="AP131" s="15">
        <v>50.57</v>
      </c>
      <c r="AQ131" s="15">
        <v>53.07</v>
      </c>
      <c r="AR131" s="15">
        <v>55.24</v>
      </c>
      <c r="AS131" s="15">
        <v>57.32</v>
      </c>
      <c r="AT131" s="15">
        <v>59.39</v>
      </c>
      <c r="AU131" s="15">
        <v>62.06</v>
      </c>
      <c r="AV131" s="15">
        <v>65.53</v>
      </c>
      <c r="AW131" s="15">
        <v>70.09</v>
      </c>
      <c r="AX131" s="15">
        <v>75.73</v>
      </c>
      <c r="AY131" s="15">
        <v>82.41</v>
      </c>
      <c r="AZ131" s="15">
        <v>90.02</v>
      </c>
      <c r="BA131" s="15">
        <v>98.28</v>
      </c>
      <c r="BB131" s="15">
        <v>107.54</v>
      </c>
      <c r="BC131" s="15">
        <v>117.3</v>
      </c>
      <c r="BD131" s="15">
        <v>127.53</v>
      </c>
      <c r="BE131" s="15">
        <v>138.29</v>
      </c>
      <c r="BF131" s="15">
        <v>149.75</v>
      </c>
      <c r="BG131" s="15">
        <v>161.91999999999999</v>
      </c>
      <c r="BH131" s="15">
        <v>174.9</v>
      </c>
      <c r="BI131" s="15">
        <v>188.54</v>
      </c>
      <c r="BJ131" s="15">
        <v>203.34</v>
      </c>
      <c r="BK131" s="15">
        <v>219.25</v>
      </c>
      <c r="BL131" s="15">
        <v>236.17</v>
      </c>
      <c r="BM131" s="15">
        <v>254.62</v>
      </c>
      <c r="BN131" s="15">
        <v>274.54000000000002</v>
      </c>
      <c r="BO131" s="15">
        <v>296.14</v>
      </c>
      <c r="BP131" s="15">
        <v>319.87</v>
      </c>
      <c r="BQ131" s="15">
        <v>347.18</v>
      </c>
      <c r="BR131" s="15">
        <v>378.82</v>
      </c>
      <c r="BS131" s="15">
        <v>412.64</v>
      </c>
      <c r="BT131" s="15">
        <v>446.99</v>
      </c>
      <c r="BU131" s="15">
        <v>483.29</v>
      </c>
      <c r="BV131" s="15">
        <v>524.53</v>
      </c>
      <c r="BW131" s="15">
        <v>571.28</v>
      </c>
      <c r="BX131" s="15">
        <v>622.94000000000005</v>
      </c>
      <c r="BY131" s="15">
        <v>681.05</v>
      </c>
      <c r="BZ131" s="15">
        <v>747.2</v>
      </c>
      <c r="CA131" s="15">
        <v>822.25</v>
      </c>
      <c r="CB131" s="15">
        <v>907.25</v>
      </c>
      <c r="CC131" s="15">
        <v>1002.84</v>
      </c>
      <c r="CD131" s="15">
        <v>1109.78</v>
      </c>
      <c r="CE131" s="15">
        <v>1229.01</v>
      </c>
      <c r="CF131" s="15">
        <v>1361.78</v>
      </c>
      <c r="CG131" s="15">
        <v>1510.67</v>
      </c>
      <c r="CH131" s="15">
        <v>1677.72</v>
      </c>
      <c r="CI131" s="15">
        <v>1864.02</v>
      </c>
      <c r="CJ131" s="15">
        <v>2071.09</v>
      </c>
      <c r="CK131" s="15">
        <v>2301.27</v>
      </c>
      <c r="CL131" s="15">
        <v>2555.5700000000002</v>
      </c>
      <c r="CM131" s="15">
        <v>2836.15</v>
      </c>
      <c r="CN131" s="15">
        <v>3145.29</v>
      </c>
      <c r="CO131" s="15">
        <v>3486.84</v>
      </c>
      <c r="CP131" s="15">
        <v>3863.97</v>
      </c>
      <c r="CQ131" s="15">
        <v>4275.96</v>
      </c>
      <c r="CR131" s="15">
        <v>4717.75</v>
      </c>
      <c r="CS131" s="15">
        <v>5180.3999999999996</v>
      </c>
      <c r="CT131" s="15">
        <v>5653.53</v>
      </c>
      <c r="CU131" s="15">
        <v>6135.79</v>
      </c>
      <c r="CV131" s="15">
        <v>6638.24</v>
      </c>
      <c r="CW131" s="15">
        <v>7178.67</v>
      </c>
      <c r="CX131" s="15">
        <v>7780.42</v>
      </c>
    </row>
    <row r="132" spans="1:102" x14ac:dyDescent="0.25">
      <c r="A132" s="71">
        <v>2025</v>
      </c>
      <c r="B132" s="15">
        <v>282.02</v>
      </c>
      <c r="C132" s="15">
        <v>28.21</v>
      </c>
      <c r="D132" s="15">
        <v>13.31</v>
      </c>
      <c r="E132" s="15">
        <v>7.53</v>
      </c>
      <c r="F132" s="15">
        <v>6.69</v>
      </c>
      <c r="G132" s="15">
        <v>5.99</v>
      </c>
      <c r="H132" s="15">
        <v>5.48</v>
      </c>
      <c r="I132" s="15">
        <v>5.0999999999999996</v>
      </c>
      <c r="J132" s="15">
        <v>4.6500000000000004</v>
      </c>
      <c r="K132" s="15">
        <v>4.45</v>
      </c>
      <c r="L132" s="15">
        <v>4.3899999999999997</v>
      </c>
      <c r="M132" s="15">
        <v>4.57</v>
      </c>
      <c r="N132" s="15">
        <v>5.13</v>
      </c>
      <c r="O132" s="15">
        <v>5.69</v>
      </c>
      <c r="P132" s="15">
        <v>6.49</v>
      </c>
      <c r="Q132" s="15">
        <v>7.35</v>
      </c>
      <c r="R132" s="15">
        <v>8.3800000000000008</v>
      </c>
      <c r="S132" s="15">
        <v>9.39</v>
      </c>
      <c r="T132" s="15">
        <v>10.23</v>
      </c>
      <c r="U132" s="15">
        <v>11.04</v>
      </c>
      <c r="V132" s="15">
        <v>11.58</v>
      </c>
      <c r="W132" s="15">
        <v>11.88</v>
      </c>
      <c r="X132" s="15">
        <v>12.2</v>
      </c>
      <c r="Y132" s="15">
        <v>12.45</v>
      </c>
      <c r="Z132" s="15">
        <v>12.84</v>
      </c>
      <c r="AA132" s="15">
        <v>13.88</v>
      </c>
      <c r="AB132" s="15">
        <v>15.08</v>
      </c>
      <c r="AC132" s="15">
        <v>16.760000000000002</v>
      </c>
      <c r="AD132" s="15">
        <v>18.760000000000002</v>
      </c>
      <c r="AE132" s="15">
        <v>20.87</v>
      </c>
      <c r="AF132" s="15">
        <v>22.93</v>
      </c>
      <c r="AG132" s="15">
        <v>25.1</v>
      </c>
      <c r="AH132" s="15">
        <v>27.16</v>
      </c>
      <c r="AI132" s="15">
        <v>29.34</v>
      </c>
      <c r="AJ132" s="15">
        <v>31.51</v>
      </c>
      <c r="AK132" s="15">
        <v>34.19</v>
      </c>
      <c r="AL132" s="15">
        <v>37.11</v>
      </c>
      <c r="AM132" s="15">
        <v>40.29</v>
      </c>
      <c r="AN132" s="15">
        <v>43.7</v>
      </c>
      <c r="AO132" s="15">
        <v>46.94</v>
      </c>
      <c r="AP132" s="15">
        <v>49.98</v>
      </c>
      <c r="AQ132" s="15">
        <v>52.43</v>
      </c>
      <c r="AR132" s="15">
        <v>54.67</v>
      </c>
      <c r="AS132" s="15">
        <v>56.53</v>
      </c>
      <c r="AT132" s="15">
        <v>58.71</v>
      </c>
      <c r="AU132" s="15">
        <v>61.33</v>
      </c>
      <c r="AV132" s="15">
        <v>64.86</v>
      </c>
      <c r="AW132" s="15">
        <v>69.319999999999993</v>
      </c>
      <c r="AX132" s="15">
        <v>74.81</v>
      </c>
      <c r="AY132" s="15">
        <v>81.400000000000006</v>
      </c>
      <c r="AZ132" s="15">
        <v>88.86</v>
      </c>
      <c r="BA132" s="15">
        <v>97.14</v>
      </c>
      <c r="BB132" s="15">
        <v>106.19</v>
      </c>
      <c r="BC132" s="15">
        <v>115.87</v>
      </c>
      <c r="BD132" s="15">
        <v>125.95</v>
      </c>
      <c r="BE132" s="15">
        <v>136.62</v>
      </c>
      <c r="BF132" s="15">
        <v>147.94</v>
      </c>
      <c r="BG132" s="15">
        <v>160.02000000000001</v>
      </c>
      <c r="BH132" s="15">
        <v>172.74</v>
      </c>
      <c r="BI132" s="15">
        <v>186.29</v>
      </c>
      <c r="BJ132" s="15">
        <v>200.84</v>
      </c>
      <c r="BK132" s="15">
        <v>216.6</v>
      </c>
      <c r="BL132" s="15">
        <v>233.43</v>
      </c>
      <c r="BM132" s="15">
        <v>251.69</v>
      </c>
      <c r="BN132" s="15">
        <v>271.24</v>
      </c>
      <c r="BO132" s="15">
        <v>292.60000000000002</v>
      </c>
      <c r="BP132" s="15">
        <v>316</v>
      </c>
      <c r="BQ132" s="15">
        <v>343.01</v>
      </c>
      <c r="BR132" s="15">
        <v>374.39</v>
      </c>
      <c r="BS132" s="15">
        <v>407.73</v>
      </c>
      <c r="BT132" s="15">
        <v>441.64</v>
      </c>
      <c r="BU132" s="15">
        <v>477.5</v>
      </c>
      <c r="BV132" s="15">
        <v>518.29</v>
      </c>
      <c r="BW132" s="15">
        <v>564.41</v>
      </c>
      <c r="BX132" s="15">
        <v>615.54</v>
      </c>
      <c r="BY132" s="15">
        <v>672.94</v>
      </c>
      <c r="BZ132" s="15">
        <v>738.25</v>
      </c>
      <c r="CA132" s="15">
        <v>812.31</v>
      </c>
      <c r="CB132" s="15">
        <v>896.33</v>
      </c>
      <c r="CC132" s="15">
        <v>990.92</v>
      </c>
      <c r="CD132" s="15">
        <v>1096.6099999999999</v>
      </c>
      <c r="CE132" s="15">
        <v>1214.28</v>
      </c>
      <c r="CF132" s="15">
        <v>1345.64</v>
      </c>
      <c r="CG132" s="15">
        <v>1492.75</v>
      </c>
      <c r="CH132" s="15">
        <v>1657.76</v>
      </c>
      <c r="CI132" s="15">
        <v>1841.89</v>
      </c>
      <c r="CJ132" s="15">
        <v>2046.76</v>
      </c>
      <c r="CK132" s="15">
        <v>2273.9699999999998</v>
      </c>
      <c r="CL132" s="15">
        <v>2525.29</v>
      </c>
      <c r="CM132" s="15">
        <v>2802.6</v>
      </c>
      <c r="CN132" s="15">
        <v>3108.16</v>
      </c>
      <c r="CO132" s="15">
        <v>3445.75</v>
      </c>
      <c r="CP132" s="15">
        <v>3818.54</v>
      </c>
      <c r="CQ132" s="15">
        <v>4225.8100000000004</v>
      </c>
      <c r="CR132" s="15">
        <v>4662.57</v>
      </c>
      <c r="CS132" s="15">
        <v>5119.9799999999996</v>
      </c>
      <c r="CT132" s="15">
        <v>5587.8</v>
      </c>
      <c r="CU132" s="15">
        <v>6064.67</v>
      </c>
      <c r="CV132" s="15">
        <v>6561.54</v>
      </c>
      <c r="CW132" s="15">
        <v>7096.01</v>
      </c>
      <c r="CX132" s="15">
        <v>7691.17</v>
      </c>
    </row>
    <row r="133" spans="1:102" x14ac:dyDescent="0.25">
      <c r="A133" s="71">
        <v>2026</v>
      </c>
      <c r="B133" s="15">
        <v>277.41000000000003</v>
      </c>
      <c r="C133" s="15">
        <v>27.83</v>
      </c>
      <c r="D133" s="15">
        <v>13.03</v>
      </c>
      <c r="E133" s="15">
        <v>7.42</v>
      </c>
      <c r="F133" s="15">
        <v>6.52</v>
      </c>
      <c r="G133" s="15">
        <v>5.88</v>
      </c>
      <c r="H133" s="15">
        <v>5.43</v>
      </c>
      <c r="I133" s="15">
        <v>4.9800000000000004</v>
      </c>
      <c r="J133" s="15">
        <v>4.66</v>
      </c>
      <c r="K133" s="15">
        <v>4.4000000000000004</v>
      </c>
      <c r="L133" s="15">
        <v>4.2699999999999996</v>
      </c>
      <c r="M133" s="15">
        <v>4.5199999999999996</v>
      </c>
      <c r="N133" s="15">
        <v>5.0199999999999996</v>
      </c>
      <c r="O133" s="15">
        <v>5.64</v>
      </c>
      <c r="P133" s="15">
        <v>6.51</v>
      </c>
      <c r="Q133" s="15">
        <v>7.31</v>
      </c>
      <c r="R133" s="15">
        <v>8.2100000000000009</v>
      </c>
      <c r="S133" s="15">
        <v>9.17</v>
      </c>
      <c r="T133" s="15">
        <v>10.07</v>
      </c>
      <c r="U133" s="15">
        <v>10.95</v>
      </c>
      <c r="V133" s="15">
        <v>11.43</v>
      </c>
      <c r="W133" s="15">
        <v>11.73</v>
      </c>
      <c r="X133" s="15">
        <v>12</v>
      </c>
      <c r="Y133" s="15">
        <v>12.26</v>
      </c>
      <c r="Z133" s="15">
        <v>12.76</v>
      </c>
      <c r="AA133" s="15">
        <v>13.69</v>
      </c>
      <c r="AB133" s="15">
        <v>14.89</v>
      </c>
      <c r="AC133" s="15">
        <v>16.579999999999998</v>
      </c>
      <c r="AD133" s="15">
        <v>18.53</v>
      </c>
      <c r="AE133" s="15">
        <v>20.59</v>
      </c>
      <c r="AF133" s="15">
        <v>22.66</v>
      </c>
      <c r="AG133" s="15">
        <v>24.67</v>
      </c>
      <c r="AH133" s="15">
        <v>26.85</v>
      </c>
      <c r="AI133" s="15">
        <v>28.97</v>
      </c>
      <c r="AJ133" s="15">
        <v>31.15</v>
      </c>
      <c r="AK133" s="15">
        <v>33.78</v>
      </c>
      <c r="AL133" s="15">
        <v>36.65</v>
      </c>
      <c r="AM133" s="15">
        <v>39.85</v>
      </c>
      <c r="AN133" s="15">
        <v>43.09</v>
      </c>
      <c r="AO133" s="15">
        <v>46.35</v>
      </c>
      <c r="AP133" s="15">
        <v>49.28</v>
      </c>
      <c r="AQ133" s="15">
        <v>51.85</v>
      </c>
      <c r="AR133" s="15">
        <v>53.92</v>
      </c>
      <c r="AS133" s="15">
        <v>55.79</v>
      </c>
      <c r="AT133" s="15">
        <v>58.03</v>
      </c>
      <c r="AU133" s="15">
        <v>60.71</v>
      </c>
      <c r="AV133" s="15">
        <v>64.14</v>
      </c>
      <c r="AW133" s="15">
        <v>68.55</v>
      </c>
      <c r="AX133" s="15">
        <v>73.84</v>
      </c>
      <c r="AY133" s="15">
        <v>80.44</v>
      </c>
      <c r="AZ133" s="15">
        <v>87.81</v>
      </c>
      <c r="BA133" s="15">
        <v>96.05</v>
      </c>
      <c r="BB133" s="15">
        <v>104.96</v>
      </c>
      <c r="BC133" s="15">
        <v>114.43</v>
      </c>
      <c r="BD133" s="15">
        <v>124.48</v>
      </c>
      <c r="BE133" s="15">
        <v>134.94999999999999</v>
      </c>
      <c r="BF133" s="15">
        <v>146.07</v>
      </c>
      <c r="BG133" s="15">
        <v>158</v>
      </c>
      <c r="BH133" s="15">
        <v>170.69</v>
      </c>
      <c r="BI133" s="15">
        <v>184.1</v>
      </c>
      <c r="BJ133" s="15">
        <v>198.5</v>
      </c>
      <c r="BK133" s="15">
        <v>214.07</v>
      </c>
      <c r="BL133" s="15">
        <v>230.7</v>
      </c>
      <c r="BM133" s="15">
        <v>248.59</v>
      </c>
      <c r="BN133" s="15">
        <v>267.94</v>
      </c>
      <c r="BO133" s="15">
        <v>289.04000000000002</v>
      </c>
      <c r="BP133" s="15">
        <v>312.19</v>
      </c>
      <c r="BQ133" s="15">
        <v>339</v>
      </c>
      <c r="BR133" s="15">
        <v>369.96</v>
      </c>
      <c r="BS133" s="15">
        <v>402.82</v>
      </c>
      <c r="BT133" s="15">
        <v>436.35</v>
      </c>
      <c r="BU133" s="15">
        <v>471.82</v>
      </c>
      <c r="BV133" s="15">
        <v>512.04999999999995</v>
      </c>
      <c r="BW133" s="15">
        <v>557.66</v>
      </c>
      <c r="BX133" s="15">
        <v>608.15</v>
      </c>
      <c r="BY133" s="15">
        <v>664.95</v>
      </c>
      <c r="BZ133" s="15">
        <v>729.41</v>
      </c>
      <c r="CA133" s="15">
        <v>802.54</v>
      </c>
      <c r="CB133" s="15">
        <v>885.67</v>
      </c>
      <c r="CC133" s="15">
        <v>979.13</v>
      </c>
      <c r="CD133" s="15">
        <v>1083.46</v>
      </c>
      <c r="CE133" s="15">
        <v>1199.77</v>
      </c>
      <c r="CF133" s="15">
        <v>1329.73</v>
      </c>
      <c r="CG133" s="15">
        <v>1474.89</v>
      </c>
      <c r="CH133" s="15">
        <v>1638</v>
      </c>
      <c r="CI133" s="15">
        <v>1820.11</v>
      </c>
      <c r="CJ133" s="15">
        <v>2022.45</v>
      </c>
      <c r="CK133" s="15">
        <v>2246.9899999999998</v>
      </c>
      <c r="CL133" s="15">
        <v>2495.37</v>
      </c>
      <c r="CM133" s="15">
        <v>2769.45</v>
      </c>
      <c r="CN133" s="15">
        <v>3071.46</v>
      </c>
      <c r="CO133" s="15">
        <v>3405.14</v>
      </c>
      <c r="CP133" s="15">
        <v>3773.64</v>
      </c>
      <c r="CQ133" s="15">
        <v>4176.25</v>
      </c>
      <c r="CR133" s="15">
        <v>4608.04</v>
      </c>
      <c r="CS133" s="15">
        <v>5060.28</v>
      </c>
      <c r="CT133" s="15">
        <v>5522.83</v>
      </c>
      <c r="CU133" s="15">
        <v>5994.38</v>
      </c>
      <c r="CV133" s="15">
        <v>6485.73</v>
      </c>
      <c r="CW133" s="15">
        <v>7014.29</v>
      </c>
      <c r="CX133" s="15">
        <v>7602.94</v>
      </c>
    </row>
    <row r="134" spans="1:102" x14ac:dyDescent="0.25">
      <c r="A134" s="71">
        <v>2027</v>
      </c>
      <c r="B134" s="15">
        <v>272.89999999999998</v>
      </c>
      <c r="C134" s="15">
        <v>27.21</v>
      </c>
      <c r="D134" s="15">
        <v>12.81</v>
      </c>
      <c r="E134" s="15">
        <v>7.31</v>
      </c>
      <c r="F134" s="15">
        <v>6.41</v>
      </c>
      <c r="G134" s="15">
        <v>5.77</v>
      </c>
      <c r="H134" s="15">
        <v>5.38</v>
      </c>
      <c r="I134" s="15">
        <v>4.93</v>
      </c>
      <c r="J134" s="15">
        <v>4.67</v>
      </c>
      <c r="K134" s="15">
        <v>4.2300000000000004</v>
      </c>
      <c r="L134" s="15">
        <v>4.16</v>
      </c>
      <c r="M134" s="15">
        <v>4.47</v>
      </c>
      <c r="N134" s="15">
        <v>4.9000000000000004</v>
      </c>
      <c r="O134" s="15">
        <v>5.65</v>
      </c>
      <c r="P134" s="15">
        <v>6.4</v>
      </c>
      <c r="Q134" s="15">
        <v>7.2</v>
      </c>
      <c r="R134" s="15">
        <v>8.0500000000000007</v>
      </c>
      <c r="S134" s="15">
        <v>9</v>
      </c>
      <c r="T134" s="15">
        <v>9.98</v>
      </c>
      <c r="U134" s="15">
        <v>10.8</v>
      </c>
      <c r="V134" s="15">
        <v>11.22</v>
      </c>
      <c r="W134" s="15">
        <v>11.59</v>
      </c>
      <c r="X134" s="15">
        <v>11.86</v>
      </c>
      <c r="Y134" s="15">
        <v>12.11</v>
      </c>
      <c r="Z134" s="15">
        <v>12.67</v>
      </c>
      <c r="AA134" s="15">
        <v>13.45</v>
      </c>
      <c r="AB134" s="15">
        <v>14.7</v>
      </c>
      <c r="AC134" s="15">
        <v>16.34</v>
      </c>
      <c r="AD134" s="15">
        <v>18.25</v>
      </c>
      <c r="AE134" s="15">
        <v>20.309999999999999</v>
      </c>
      <c r="AF134" s="15">
        <v>22.33</v>
      </c>
      <c r="AG134" s="15">
        <v>24.35</v>
      </c>
      <c r="AH134" s="15">
        <v>26.58</v>
      </c>
      <c r="AI134" s="15">
        <v>28.6</v>
      </c>
      <c r="AJ134" s="15">
        <v>30.84</v>
      </c>
      <c r="AK134" s="15">
        <v>33.369999999999997</v>
      </c>
      <c r="AL134" s="15">
        <v>36.19</v>
      </c>
      <c r="AM134" s="15">
        <v>39.340000000000003</v>
      </c>
      <c r="AN134" s="15">
        <v>42.49</v>
      </c>
      <c r="AO134" s="15">
        <v>45.85</v>
      </c>
      <c r="AP134" s="15">
        <v>48.74</v>
      </c>
      <c r="AQ134" s="15">
        <v>51.2</v>
      </c>
      <c r="AR134" s="15">
        <v>53.12</v>
      </c>
      <c r="AS134" s="15">
        <v>55.15</v>
      </c>
      <c r="AT134" s="15">
        <v>57.34</v>
      </c>
      <c r="AU134" s="15">
        <v>60.02</v>
      </c>
      <c r="AV134" s="15">
        <v>63.41</v>
      </c>
      <c r="AW134" s="15">
        <v>67.61</v>
      </c>
      <c r="AX134" s="15">
        <v>72.97</v>
      </c>
      <c r="AY134" s="15">
        <v>79.52</v>
      </c>
      <c r="AZ134" s="15">
        <v>86.9</v>
      </c>
      <c r="BA134" s="15">
        <v>95</v>
      </c>
      <c r="BB134" s="15">
        <v>103.76</v>
      </c>
      <c r="BC134" s="15">
        <v>113.15</v>
      </c>
      <c r="BD134" s="15">
        <v>123.05</v>
      </c>
      <c r="BE134" s="15">
        <v>133.37</v>
      </c>
      <c r="BF134" s="15">
        <v>144.29</v>
      </c>
      <c r="BG134" s="15">
        <v>156.08000000000001</v>
      </c>
      <c r="BH134" s="15">
        <v>168.62</v>
      </c>
      <c r="BI134" s="15">
        <v>181.88</v>
      </c>
      <c r="BJ134" s="15">
        <v>196.2</v>
      </c>
      <c r="BK134" s="15">
        <v>211.45</v>
      </c>
      <c r="BL134" s="15">
        <v>227.89</v>
      </c>
      <c r="BM134" s="15">
        <v>245.58</v>
      </c>
      <c r="BN134" s="15">
        <v>264.73</v>
      </c>
      <c r="BO134" s="15">
        <v>285.57</v>
      </c>
      <c r="BP134" s="15">
        <v>308.45999999999998</v>
      </c>
      <c r="BQ134" s="15">
        <v>334.9</v>
      </c>
      <c r="BR134" s="15">
        <v>365.49</v>
      </c>
      <c r="BS134" s="15">
        <v>398.04</v>
      </c>
      <c r="BT134" s="15">
        <v>431.07</v>
      </c>
      <c r="BU134" s="15">
        <v>466.21</v>
      </c>
      <c r="BV134" s="15">
        <v>505.76</v>
      </c>
      <c r="BW134" s="15">
        <v>550.91</v>
      </c>
      <c r="BX134" s="15">
        <v>600.82000000000005</v>
      </c>
      <c r="BY134" s="15">
        <v>657.02</v>
      </c>
      <c r="BZ134" s="15">
        <v>720.64</v>
      </c>
      <c r="CA134" s="15">
        <v>793.01</v>
      </c>
      <c r="CB134" s="15">
        <v>875.17</v>
      </c>
      <c r="CC134" s="15">
        <v>967.4</v>
      </c>
      <c r="CD134" s="15">
        <v>1070.49</v>
      </c>
      <c r="CE134" s="15">
        <v>1185.55</v>
      </c>
      <c r="CF134" s="15">
        <v>1313.81</v>
      </c>
      <c r="CG134" s="15">
        <v>1457.34</v>
      </c>
      <c r="CH134" s="15">
        <v>1618.49</v>
      </c>
      <c r="CI134" s="15">
        <v>1798.47</v>
      </c>
      <c r="CJ134" s="15">
        <v>1998.43</v>
      </c>
      <c r="CK134" s="15">
        <v>2220.34</v>
      </c>
      <c r="CL134" s="15">
        <v>2465.81</v>
      </c>
      <c r="CM134" s="15">
        <v>2736.69</v>
      </c>
      <c r="CN134" s="15">
        <v>3035.19</v>
      </c>
      <c r="CO134" s="15">
        <v>3365.02</v>
      </c>
      <c r="CP134" s="15">
        <v>3729.27</v>
      </c>
      <c r="CQ134" s="15">
        <v>4127.2700000000004</v>
      </c>
      <c r="CR134" s="15">
        <v>4554.1400000000003</v>
      </c>
      <c r="CS134" s="15">
        <v>5001.26</v>
      </c>
      <c r="CT134" s="15">
        <v>5458.62</v>
      </c>
      <c r="CU134" s="15">
        <v>5924.9</v>
      </c>
      <c r="CV134" s="15">
        <v>6410.79</v>
      </c>
      <c r="CW134" s="15">
        <v>6933.52</v>
      </c>
      <c r="CX134" s="15">
        <v>7515.72</v>
      </c>
    </row>
    <row r="135" spans="1:102" x14ac:dyDescent="0.25">
      <c r="A135" s="71">
        <v>2028</v>
      </c>
      <c r="B135" s="15">
        <v>268.27</v>
      </c>
      <c r="C135" s="15">
        <v>26.71</v>
      </c>
      <c r="D135" s="15">
        <v>12.65</v>
      </c>
      <c r="E135" s="15">
        <v>7.2</v>
      </c>
      <c r="F135" s="15">
        <v>6.3</v>
      </c>
      <c r="G135" s="15">
        <v>5.72</v>
      </c>
      <c r="H135" s="15">
        <v>5.33</v>
      </c>
      <c r="I135" s="15">
        <v>4.95</v>
      </c>
      <c r="J135" s="15">
        <v>4.5</v>
      </c>
      <c r="K135" s="15">
        <v>4.05</v>
      </c>
      <c r="L135" s="15">
        <v>4.17</v>
      </c>
      <c r="M135" s="15">
        <v>4.3499999999999996</v>
      </c>
      <c r="N135" s="15">
        <v>4.92</v>
      </c>
      <c r="O135" s="15">
        <v>5.6</v>
      </c>
      <c r="P135" s="15">
        <v>6.29</v>
      </c>
      <c r="Q135" s="15">
        <v>7.09</v>
      </c>
      <c r="R135" s="15">
        <v>8</v>
      </c>
      <c r="S135" s="15">
        <v>8.9600000000000009</v>
      </c>
      <c r="T135" s="15">
        <v>9.8800000000000008</v>
      </c>
      <c r="U135" s="15">
        <v>10.64</v>
      </c>
      <c r="V135" s="15">
        <v>11.13</v>
      </c>
      <c r="W135" s="15">
        <v>11.5</v>
      </c>
      <c r="X135" s="15">
        <v>11.71</v>
      </c>
      <c r="Y135" s="15">
        <v>11.97</v>
      </c>
      <c r="Z135" s="15">
        <v>12.48</v>
      </c>
      <c r="AA135" s="15">
        <v>13.31</v>
      </c>
      <c r="AB135" s="15">
        <v>14.51</v>
      </c>
      <c r="AC135" s="15">
        <v>16.100000000000001</v>
      </c>
      <c r="AD135" s="15">
        <v>18.010000000000002</v>
      </c>
      <c r="AE135" s="15">
        <v>20.079999999999998</v>
      </c>
      <c r="AF135" s="15">
        <v>22.05</v>
      </c>
      <c r="AG135" s="15">
        <v>24.13</v>
      </c>
      <c r="AH135" s="15">
        <v>26.2</v>
      </c>
      <c r="AI135" s="15">
        <v>28.28</v>
      </c>
      <c r="AJ135" s="15">
        <v>30.53</v>
      </c>
      <c r="AK135" s="15">
        <v>32.9</v>
      </c>
      <c r="AL135" s="15">
        <v>35.72</v>
      </c>
      <c r="AM135" s="15">
        <v>38.82</v>
      </c>
      <c r="AN135" s="15">
        <v>42.03</v>
      </c>
      <c r="AO135" s="15">
        <v>45.35</v>
      </c>
      <c r="AP135" s="15">
        <v>48.13</v>
      </c>
      <c r="AQ135" s="15">
        <v>50.54</v>
      </c>
      <c r="AR135" s="15">
        <v>52.47</v>
      </c>
      <c r="AS135" s="15">
        <v>54.5</v>
      </c>
      <c r="AT135" s="15">
        <v>56.7</v>
      </c>
      <c r="AU135" s="15">
        <v>59.22</v>
      </c>
      <c r="AV135" s="15">
        <v>62.56</v>
      </c>
      <c r="AW135" s="15">
        <v>66.66</v>
      </c>
      <c r="AX135" s="15">
        <v>72.13</v>
      </c>
      <c r="AY135" s="15">
        <v>78.59</v>
      </c>
      <c r="AZ135" s="15">
        <v>85.98</v>
      </c>
      <c r="BA135" s="15">
        <v>93.82</v>
      </c>
      <c r="BB135" s="15">
        <v>102.43</v>
      </c>
      <c r="BC135" s="15">
        <v>111.83</v>
      </c>
      <c r="BD135" s="15">
        <v>121.59</v>
      </c>
      <c r="BE135" s="15">
        <v>131.76</v>
      </c>
      <c r="BF135" s="15">
        <v>142.53</v>
      </c>
      <c r="BG135" s="15">
        <v>154.16999999999999</v>
      </c>
      <c r="BH135" s="15">
        <v>166.52</v>
      </c>
      <c r="BI135" s="15">
        <v>179.63</v>
      </c>
      <c r="BJ135" s="15">
        <v>193.8</v>
      </c>
      <c r="BK135" s="15">
        <v>208.9</v>
      </c>
      <c r="BL135" s="15">
        <v>225.13</v>
      </c>
      <c r="BM135" s="15">
        <v>242.67</v>
      </c>
      <c r="BN135" s="15">
        <v>261.57</v>
      </c>
      <c r="BO135" s="15">
        <v>282.2</v>
      </c>
      <c r="BP135" s="15">
        <v>304.72000000000003</v>
      </c>
      <c r="BQ135" s="15">
        <v>330.85</v>
      </c>
      <c r="BR135" s="15">
        <v>361.12</v>
      </c>
      <c r="BS135" s="15">
        <v>393.23</v>
      </c>
      <c r="BT135" s="15">
        <v>425.93</v>
      </c>
      <c r="BU135" s="15">
        <v>460.51</v>
      </c>
      <c r="BV135" s="15">
        <v>499.77</v>
      </c>
      <c r="BW135" s="15">
        <v>544.34</v>
      </c>
      <c r="BX135" s="15">
        <v>593.66</v>
      </c>
      <c r="BY135" s="15">
        <v>649.08000000000004</v>
      </c>
      <c r="BZ135" s="15">
        <v>712.02</v>
      </c>
      <c r="CA135" s="15">
        <v>783.57</v>
      </c>
      <c r="CB135" s="15">
        <v>864.64</v>
      </c>
      <c r="CC135" s="15">
        <v>955.85</v>
      </c>
      <c r="CD135" s="15">
        <v>1057.82</v>
      </c>
      <c r="CE135" s="15">
        <v>1171.43</v>
      </c>
      <c r="CF135" s="15">
        <v>1298.0999999999999</v>
      </c>
      <c r="CG135" s="15">
        <v>1439.87</v>
      </c>
      <c r="CH135" s="15">
        <v>1599.22</v>
      </c>
      <c r="CI135" s="15">
        <v>1777.09</v>
      </c>
      <c r="CJ135" s="15">
        <v>1974.69</v>
      </c>
      <c r="CK135" s="15">
        <v>2194</v>
      </c>
      <c r="CL135" s="15">
        <v>2436.6</v>
      </c>
      <c r="CM135" s="15">
        <v>2704.32</v>
      </c>
      <c r="CN135" s="15">
        <v>2999.35</v>
      </c>
      <c r="CO135" s="15">
        <v>3325.36</v>
      </c>
      <c r="CP135" s="15">
        <v>3685.43</v>
      </c>
      <c r="CQ135" s="15">
        <v>4078.86</v>
      </c>
      <c r="CR135" s="15">
        <v>4500.88</v>
      </c>
      <c r="CS135" s="15">
        <v>4942.9399999999996</v>
      </c>
      <c r="CT135" s="15">
        <v>5395.16</v>
      </c>
      <c r="CU135" s="15">
        <v>5856.22</v>
      </c>
      <c r="CV135" s="15">
        <v>6336.72</v>
      </c>
      <c r="CW135" s="15">
        <v>6853.68</v>
      </c>
      <c r="CX135" s="15">
        <v>7429.5</v>
      </c>
    </row>
    <row r="136" spans="1:102" x14ac:dyDescent="0.25">
      <c r="A136" s="71">
        <v>2029</v>
      </c>
      <c r="B136" s="15">
        <v>263.94</v>
      </c>
      <c r="C136" s="15">
        <v>26.54</v>
      </c>
      <c r="D136" s="15">
        <v>12.49</v>
      </c>
      <c r="E136" s="15">
        <v>7.16</v>
      </c>
      <c r="F136" s="15">
        <v>6.25</v>
      </c>
      <c r="G136" s="15">
        <v>5.73</v>
      </c>
      <c r="H136" s="15">
        <v>5.28</v>
      </c>
      <c r="I136" s="15">
        <v>4.8899999999999997</v>
      </c>
      <c r="J136" s="15">
        <v>4.3099999999999996</v>
      </c>
      <c r="K136" s="15">
        <v>4.05</v>
      </c>
      <c r="L136" s="15">
        <v>4.05</v>
      </c>
      <c r="M136" s="15">
        <v>4.3</v>
      </c>
      <c r="N136" s="15">
        <v>4.93</v>
      </c>
      <c r="O136" s="15">
        <v>5.49</v>
      </c>
      <c r="P136" s="15">
        <v>6.24</v>
      </c>
      <c r="Q136" s="15">
        <v>6.98</v>
      </c>
      <c r="R136" s="15">
        <v>7.96</v>
      </c>
      <c r="S136" s="15">
        <v>8.86</v>
      </c>
      <c r="T136" s="15">
        <v>9.77</v>
      </c>
      <c r="U136" s="15">
        <v>10.6</v>
      </c>
      <c r="V136" s="15">
        <v>11.03</v>
      </c>
      <c r="W136" s="15">
        <v>11.34</v>
      </c>
      <c r="X136" s="15">
        <v>11.5</v>
      </c>
      <c r="Y136" s="15">
        <v>11.76</v>
      </c>
      <c r="Z136" s="15">
        <v>12.33</v>
      </c>
      <c r="AA136" s="15">
        <v>13.17</v>
      </c>
      <c r="AB136" s="15">
        <v>14.32</v>
      </c>
      <c r="AC136" s="15">
        <v>15.96</v>
      </c>
      <c r="AD136" s="15">
        <v>17.82</v>
      </c>
      <c r="AE136" s="15">
        <v>19.84</v>
      </c>
      <c r="AF136" s="15">
        <v>21.81</v>
      </c>
      <c r="AG136" s="15">
        <v>23.84</v>
      </c>
      <c r="AH136" s="15">
        <v>25.87</v>
      </c>
      <c r="AI136" s="15">
        <v>27.9</v>
      </c>
      <c r="AJ136" s="15">
        <v>30.09</v>
      </c>
      <c r="AK136" s="15">
        <v>32.409999999999997</v>
      </c>
      <c r="AL136" s="15">
        <v>35.24</v>
      </c>
      <c r="AM136" s="15">
        <v>38.29</v>
      </c>
      <c r="AN136" s="15">
        <v>41.56</v>
      </c>
      <c r="AO136" s="15">
        <v>44.72</v>
      </c>
      <c r="AP136" s="15">
        <v>47.56</v>
      </c>
      <c r="AQ136" s="15">
        <v>49.98</v>
      </c>
      <c r="AR136" s="15">
        <v>51.9</v>
      </c>
      <c r="AS136" s="15">
        <v>53.88</v>
      </c>
      <c r="AT136" s="15">
        <v>55.92</v>
      </c>
      <c r="AU136" s="15">
        <v>58.45</v>
      </c>
      <c r="AV136" s="15">
        <v>61.73</v>
      </c>
      <c r="AW136" s="15">
        <v>65.900000000000006</v>
      </c>
      <c r="AX136" s="15">
        <v>71.319999999999993</v>
      </c>
      <c r="AY136" s="15">
        <v>77.63</v>
      </c>
      <c r="AZ136" s="15">
        <v>84.76</v>
      </c>
      <c r="BA136" s="15">
        <v>92.61</v>
      </c>
      <c r="BB136" s="15">
        <v>101.12</v>
      </c>
      <c r="BC136" s="15">
        <v>110.37</v>
      </c>
      <c r="BD136" s="15">
        <v>120.03</v>
      </c>
      <c r="BE136" s="15">
        <v>130.1</v>
      </c>
      <c r="BF136" s="15">
        <v>140.83000000000001</v>
      </c>
      <c r="BG136" s="15">
        <v>152.27000000000001</v>
      </c>
      <c r="BH136" s="15">
        <v>164.46</v>
      </c>
      <c r="BI136" s="15">
        <v>177.42</v>
      </c>
      <c r="BJ136" s="15">
        <v>191.49</v>
      </c>
      <c r="BK136" s="15">
        <v>206.33</v>
      </c>
      <c r="BL136" s="15">
        <v>222.41</v>
      </c>
      <c r="BM136" s="15">
        <v>239.79</v>
      </c>
      <c r="BN136" s="15">
        <v>258.42</v>
      </c>
      <c r="BO136" s="15">
        <v>278.79000000000002</v>
      </c>
      <c r="BP136" s="15">
        <v>300.99</v>
      </c>
      <c r="BQ136" s="15">
        <v>326.89</v>
      </c>
      <c r="BR136" s="15">
        <v>356.78</v>
      </c>
      <c r="BS136" s="15">
        <v>388.39</v>
      </c>
      <c r="BT136" s="15">
        <v>420.81</v>
      </c>
      <c r="BU136" s="15">
        <v>454.98</v>
      </c>
      <c r="BV136" s="15">
        <v>493.89</v>
      </c>
      <c r="BW136" s="15">
        <v>537.87</v>
      </c>
      <c r="BX136" s="15">
        <v>586.46</v>
      </c>
      <c r="BY136" s="15">
        <v>641.32000000000005</v>
      </c>
      <c r="BZ136" s="15">
        <v>703.39</v>
      </c>
      <c r="CA136" s="15">
        <v>774.21</v>
      </c>
      <c r="CB136" s="15">
        <v>854.23</v>
      </c>
      <c r="CC136" s="15">
        <v>944.52</v>
      </c>
      <c r="CD136" s="15">
        <v>1045.1600000000001</v>
      </c>
      <c r="CE136" s="15">
        <v>1157.3699999999999</v>
      </c>
      <c r="CF136" s="15">
        <v>1282.54</v>
      </c>
      <c r="CG136" s="15">
        <v>1422.72</v>
      </c>
      <c r="CH136" s="15">
        <v>1580.19</v>
      </c>
      <c r="CI136" s="15">
        <v>1755.96</v>
      </c>
      <c r="CJ136" s="15">
        <v>1951.24</v>
      </c>
      <c r="CK136" s="15">
        <v>2167.9699999999998</v>
      </c>
      <c r="CL136" s="15">
        <v>2407.7399999999998</v>
      </c>
      <c r="CM136" s="15">
        <v>2672.34</v>
      </c>
      <c r="CN136" s="15">
        <v>2963.94</v>
      </c>
      <c r="CO136" s="15">
        <v>3286.18</v>
      </c>
      <c r="CP136" s="15">
        <v>3642.09</v>
      </c>
      <c r="CQ136" s="15">
        <v>4031.03</v>
      </c>
      <c r="CR136" s="15">
        <v>4448.24</v>
      </c>
      <c r="CS136" s="15">
        <v>4885.3</v>
      </c>
      <c r="CT136" s="15">
        <v>5332.43</v>
      </c>
      <c r="CU136" s="15">
        <v>5788.34</v>
      </c>
      <c r="CV136" s="15">
        <v>6263.5</v>
      </c>
      <c r="CW136" s="15">
        <v>6774.75</v>
      </c>
      <c r="CX136" s="15">
        <v>7344.27</v>
      </c>
    </row>
    <row r="137" spans="1:102" x14ac:dyDescent="0.25">
      <c r="A137" s="71">
        <v>2030</v>
      </c>
      <c r="B137" s="15">
        <v>260.02999999999997</v>
      </c>
      <c r="C137" s="15">
        <v>25.96</v>
      </c>
      <c r="D137" s="15">
        <v>12.44</v>
      </c>
      <c r="E137" s="15">
        <v>7.1</v>
      </c>
      <c r="F137" s="15">
        <v>6.2</v>
      </c>
      <c r="G137" s="15">
        <v>5.61</v>
      </c>
      <c r="H137" s="15">
        <v>5.22</v>
      </c>
      <c r="I137" s="15">
        <v>4.84</v>
      </c>
      <c r="J137" s="15">
        <v>4.32</v>
      </c>
      <c r="K137" s="15">
        <v>4</v>
      </c>
      <c r="L137" s="15">
        <v>3.93</v>
      </c>
      <c r="M137" s="15">
        <v>4.3099999999999996</v>
      </c>
      <c r="N137" s="15">
        <v>4.87</v>
      </c>
      <c r="O137" s="15">
        <v>5.43</v>
      </c>
      <c r="P137" s="15">
        <v>6.12</v>
      </c>
      <c r="Q137" s="15">
        <v>6.87</v>
      </c>
      <c r="R137" s="15">
        <v>7.84</v>
      </c>
      <c r="S137" s="15">
        <v>8.68</v>
      </c>
      <c r="T137" s="15">
        <v>9.7899999999999991</v>
      </c>
      <c r="U137" s="15">
        <v>10.43</v>
      </c>
      <c r="V137" s="15">
        <v>10.87</v>
      </c>
      <c r="W137" s="15">
        <v>11.12</v>
      </c>
      <c r="X137" s="15">
        <v>11.28</v>
      </c>
      <c r="Y137" s="15">
        <v>11.55</v>
      </c>
      <c r="Z137" s="15">
        <v>12.12</v>
      </c>
      <c r="AA137" s="15">
        <v>13.02</v>
      </c>
      <c r="AB137" s="15">
        <v>14.22</v>
      </c>
      <c r="AC137" s="15">
        <v>15.82</v>
      </c>
      <c r="AD137" s="15">
        <v>17.63</v>
      </c>
      <c r="AE137" s="15">
        <v>19.649999999999999</v>
      </c>
      <c r="AF137" s="15">
        <v>21.51</v>
      </c>
      <c r="AG137" s="15">
        <v>23.6</v>
      </c>
      <c r="AH137" s="15">
        <v>25.52</v>
      </c>
      <c r="AI137" s="15">
        <v>27.49</v>
      </c>
      <c r="AJ137" s="15">
        <v>29.69</v>
      </c>
      <c r="AK137" s="15">
        <v>32.020000000000003</v>
      </c>
      <c r="AL137" s="15">
        <v>34.799999999999997</v>
      </c>
      <c r="AM137" s="15">
        <v>37.85</v>
      </c>
      <c r="AN137" s="15">
        <v>41.07</v>
      </c>
      <c r="AO137" s="15">
        <v>44.23</v>
      </c>
      <c r="AP137" s="15">
        <v>47.02</v>
      </c>
      <c r="AQ137" s="15">
        <v>49.38</v>
      </c>
      <c r="AR137" s="15">
        <v>51.36</v>
      </c>
      <c r="AS137" s="15">
        <v>53.24</v>
      </c>
      <c r="AT137" s="15">
        <v>55.17</v>
      </c>
      <c r="AU137" s="15">
        <v>57.81</v>
      </c>
      <c r="AV137" s="15">
        <v>61.04</v>
      </c>
      <c r="AW137" s="15">
        <v>65.260000000000005</v>
      </c>
      <c r="AX137" s="15">
        <v>70.42</v>
      </c>
      <c r="AY137" s="15">
        <v>76.569999999999993</v>
      </c>
      <c r="AZ137" s="15">
        <v>83.65</v>
      </c>
      <c r="BA137" s="15">
        <v>91.4</v>
      </c>
      <c r="BB137" s="15">
        <v>99.92</v>
      </c>
      <c r="BC137" s="15">
        <v>109.02</v>
      </c>
      <c r="BD137" s="15">
        <v>118.51</v>
      </c>
      <c r="BE137" s="15">
        <v>128.54</v>
      </c>
      <c r="BF137" s="15">
        <v>139.12</v>
      </c>
      <c r="BG137" s="15">
        <v>150.44999999999999</v>
      </c>
      <c r="BH137" s="15">
        <v>162.37</v>
      </c>
      <c r="BI137" s="15">
        <v>175.34</v>
      </c>
      <c r="BJ137" s="15">
        <v>189.08</v>
      </c>
      <c r="BK137" s="15">
        <v>203.82</v>
      </c>
      <c r="BL137" s="15">
        <v>219.73</v>
      </c>
      <c r="BM137" s="15">
        <v>236.79</v>
      </c>
      <c r="BN137" s="15">
        <v>255.31</v>
      </c>
      <c r="BO137" s="15">
        <v>275.39999999999998</v>
      </c>
      <c r="BP137" s="15">
        <v>297.43</v>
      </c>
      <c r="BQ137" s="15">
        <v>322.94</v>
      </c>
      <c r="BR137" s="15">
        <v>352.43</v>
      </c>
      <c r="BS137" s="15">
        <v>383.7</v>
      </c>
      <c r="BT137" s="15">
        <v>415.7</v>
      </c>
      <c r="BU137" s="15">
        <v>449.45</v>
      </c>
      <c r="BV137" s="15">
        <v>487.93</v>
      </c>
      <c r="BW137" s="15">
        <v>531.29999999999995</v>
      </c>
      <c r="BX137" s="15">
        <v>579.44000000000005</v>
      </c>
      <c r="BY137" s="15">
        <v>633.6</v>
      </c>
      <c r="BZ137" s="15">
        <v>694.99</v>
      </c>
      <c r="CA137" s="15">
        <v>764.89</v>
      </c>
      <c r="CB137" s="15">
        <v>844.06</v>
      </c>
      <c r="CC137" s="15">
        <v>933.1</v>
      </c>
      <c r="CD137" s="15">
        <v>1032.54</v>
      </c>
      <c r="CE137" s="15">
        <v>1143.54</v>
      </c>
      <c r="CF137" s="15">
        <v>1267.25</v>
      </c>
      <c r="CG137" s="15">
        <v>1405.77</v>
      </c>
      <c r="CH137" s="15">
        <v>1561.38</v>
      </c>
      <c r="CI137" s="15">
        <v>1735.08</v>
      </c>
      <c r="CJ137" s="15">
        <v>1928.06</v>
      </c>
      <c r="CK137" s="15">
        <v>2142.25</v>
      </c>
      <c r="CL137" s="15">
        <v>2379.21</v>
      </c>
      <c r="CM137" s="15">
        <v>2640.73</v>
      </c>
      <c r="CN137" s="15">
        <v>2928.94</v>
      </c>
      <c r="CO137" s="15">
        <v>3247.45</v>
      </c>
      <c r="CP137" s="15">
        <v>3599.27</v>
      </c>
      <c r="CQ137" s="15">
        <v>3983.75</v>
      </c>
      <c r="CR137" s="15">
        <v>4396.21</v>
      </c>
      <c r="CS137" s="15">
        <v>4828.33</v>
      </c>
      <c r="CT137" s="15">
        <v>5270.43</v>
      </c>
      <c r="CU137" s="15">
        <v>5721.25</v>
      </c>
      <c r="CV137" s="15">
        <v>6191.13</v>
      </c>
      <c r="CW137" s="15">
        <v>6696.74</v>
      </c>
      <c r="CX137" s="15">
        <v>7260.02</v>
      </c>
    </row>
    <row r="138" spans="1:102" x14ac:dyDescent="0.25">
      <c r="A138" s="71">
        <v>2031</v>
      </c>
      <c r="B138" s="15">
        <v>256.36</v>
      </c>
      <c r="C138" s="15">
        <v>25.49</v>
      </c>
      <c r="D138" s="15">
        <v>12.32</v>
      </c>
      <c r="E138" s="15">
        <v>6.98</v>
      </c>
      <c r="F138" s="15">
        <v>6.07</v>
      </c>
      <c r="G138" s="15">
        <v>5.49</v>
      </c>
      <c r="H138" s="15">
        <v>5.23</v>
      </c>
      <c r="I138" s="15">
        <v>4.78</v>
      </c>
      <c r="J138" s="15">
        <v>4.26</v>
      </c>
      <c r="K138" s="15">
        <v>3.94</v>
      </c>
      <c r="L138" s="15">
        <v>3.93</v>
      </c>
      <c r="M138" s="15">
        <v>4.25</v>
      </c>
      <c r="N138" s="15">
        <v>4.75</v>
      </c>
      <c r="O138" s="15">
        <v>5.38</v>
      </c>
      <c r="P138" s="15">
        <v>6</v>
      </c>
      <c r="Q138" s="15">
        <v>6.81</v>
      </c>
      <c r="R138" s="15">
        <v>7.72</v>
      </c>
      <c r="S138" s="15">
        <v>8.6300000000000008</v>
      </c>
      <c r="T138" s="15">
        <v>9.61</v>
      </c>
      <c r="U138" s="15">
        <v>10.26</v>
      </c>
      <c r="V138" s="15">
        <v>10.69</v>
      </c>
      <c r="W138" s="15">
        <v>10.95</v>
      </c>
      <c r="X138" s="15">
        <v>11.11</v>
      </c>
      <c r="Y138" s="15">
        <v>11.33</v>
      </c>
      <c r="Z138" s="15">
        <v>11.96</v>
      </c>
      <c r="AA138" s="15">
        <v>12.91</v>
      </c>
      <c r="AB138" s="15">
        <v>14.12</v>
      </c>
      <c r="AC138" s="15">
        <v>15.61</v>
      </c>
      <c r="AD138" s="15">
        <v>17.420000000000002</v>
      </c>
      <c r="AE138" s="15">
        <v>19.329999999999998</v>
      </c>
      <c r="AF138" s="15">
        <v>21.31</v>
      </c>
      <c r="AG138" s="15">
        <v>23.34</v>
      </c>
      <c r="AH138" s="15">
        <v>25.15</v>
      </c>
      <c r="AI138" s="15">
        <v>27.18</v>
      </c>
      <c r="AJ138" s="15">
        <v>29.33</v>
      </c>
      <c r="AK138" s="15">
        <v>31.66</v>
      </c>
      <c r="AL138" s="15">
        <v>34.44</v>
      </c>
      <c r="AM138" s="15">
        <v>37.44</v>
      </c>
      <c r="AN138" s="15">
        <v>40.6</v>
      </c>
      <c r="AO138" s="15">
        <v>43.71</v>
      </c>
      <c r="AP138" s="15">
        <v>46.45</v>
      </c>
      <c r="AQ138" s="15">
        <v>48.76</v>
      </c>
      <c r="AR138" s="15">
        <v>50.79</v>
      </c>
      <c r="AS138" s="15">
        <v>52.56</v>
      </c>
      <c r="AT138" s="15">
        <v>54.55</v>
      </c>
      <c r="AU138" s="15">
        <v>57.13</v>
      </c>
      <c r="AV138" s="15">
        <v>60.37</v>
      </c>
      <c r="AW138" s="15">
        <v>64.540000000000006</v>
      </c>
      <c r="AX138" s="15">
        <v>69.48</v>
      </c>
      <c r="AY138" s="15">
        <v>75.63</v>
      </c>
      <c r="AZ138" s="15">
        <v>82.66</v>
      </c>
      <c r="BA138" s="15">
        <v>90.3</v>
      </c>
      <c r="BB138" s="15">
        <v>98.77</v>
      </c>
      <c r="BC138" s="15">
        <v>107.76</v>
      </c>
      <c r="BD138" s="15">
        <v>117.09</v>
      </c>
      <c r="BE138" s="15">
        <v>126.96</v>
      </c>
      <c r="BF138" s="15">
        <v>137.47999999999999</v>
      </c>
      <c r="BG138" s="15">
        <v>148.63999999999999</v>
      </c>
      <c r="BH138" s="15">
        <v>160.46</v>
      </c>
      <c r="BI138" s="15">
        <v>173.15</v>
      </c>
      <c r="BJ138" s="15">
        <v>186.78</v>
      </c>
      <c r="BK138" s="15">
        <v>201.4</v>
      </c>
      <c r="BL138" s="15">
        <v>217.09</v>
      </c>
      <c r="BM138" s="15">
        <v>233.92</v>
      </c>
      <c r="BN138" s="15">
        <v>252.21</v>
      </c>
      <c r="BO138" s="15">
        <v>272.12</v>
      </c>
      <c r="BP138" s="15">
        <v>293.86</v>
      </c>
      <c r="BQ138" s="15">
        <v>319.02</v>
      </c>
      <c r="BR138" s="15">
        <v>348.27</v>
      </c>
      <c r="BS138" s="15">
        <v>379.11</v>
      </c>
      <c r="BT138" s="15">
        <v>410.69</v>
      </c>
      <c r="BU138" s="15">
        <v>444</v>
      </c>
      <c r="BV138" s="15">
        <v>481.97</v>
      </c>
      <c r="BW138" s="15">
        <v>524.87</v>
      </c>
      <c r="BX138" s="15">
        <v>572.53</v>
      </c>
      <c r="BY138" s="15">
        <v>625.9</v>
      </c>
      <c r="BZ138" s="15">
        <v>686.66</v>
      </c>
      <c r="CA138" s="15">
        <v>755.65</v>
      </c>
      <c r="CB138" s="15">
        <v>833.94</v>
      </c>
      <c r="CC138" s="15">
        <v>921.86</v>
      </c>
      <c r="CD138" s="15">
        <v>1020.24</v>
      </c>
      <c r="CE138" s="15">
        <v>1129.9000000000001</v>
      </c>
      <c r="CF138" s="15">
        <v>1252.1400000000001</v>
      </c>
      <c r="CG138" s="15">
        <v>1389.03</v>
      </c>
      <c r="CH138" s="15">
        <v>1542.8</v>
      </c>
      <c r="CI138" s="15">
        <v>1714.44</v>
      </c>
      <c r="CJ138" s="15">
        <v>1905.16</v>
      </c>
      <c r="CK138" s="15">
        <v>2116.84</v>
      </c>
      <c r="CL138" s="15">
        <v>2351.0300000000002</v>
      </c>
      <c r="CM138" s="15">
        <v>2609.4899999999998</v>
      </c>
      <c r="CN138" s="15">
        <v>2894.36</v>
      </c>
      <c r="CO138" s="15">
        <v>3209.18</v>
      </c>
      <c r="CP138" s="15">
        <v>3556.95</v>
      </c>
      <c r="CQ138" s="15">
        <v>3937.03</v>
      </c>
      <c r="CR138" s="15">
        <v>4344.79</v>
      </c>
      <c r="CS138" s="15">
        <v>4772.0200000000004</v>
      </c>
      <c r="CT138" s="15">
        <v>5209.1499999999996</v>
      </c>
      <c r="CU138" s="15">
        <v>5654.94</v>
      </c>
      <c r="CV138" s="15">
        <v>6119.6</v>
      </c>
      <c r="CW138" s="15">
        <v>6619.62</v>
      </c>
      <c r="CX138" s="15">
        <v>7176.73</v>
      </c>
    </row>
    <row r="139" spans="1:102" x14ac:dyDescent="0.25">
      <c r="A139" s="71">
        <v>2032</v>
      </c>
      <c r="B139" s="15">
        <v>252.9</v>
      </c>
      <c r="C139" s="15">
        <v>25.49</v>
      </c>
      <c r="D139" s="15">
        <v>12.06</v>
      </c>
      <c r="E139" s="15">
        <v>6.91</v>
      </c>
      <c r="F139" s="15">
        <v>5.95</v>
      </c>
      <c r="G139" s="15">
        <v>5.49</v>
      </c>
      <c r="H139" s="15">
        <v>5.16</v>
      </c>
      <c r="I139" s="15">
        <v>4.6500000000000004</v>
      </c>
      <c r="J139" s="15">
        <v>4.2</v>
      </c>
      <c r="K139" s="15">
        <v>3.87</v>
      </c>
      <c r="L139" s="15">
        <v>3.87</v>
      </c>
      <c r="M139" s="15">
        <v>4.12</v>
      </c>
      <c r="N139" s="15">
        <v>4.62</v>
      </c>
      <c r="O139" s="15">
        <v>5.25</v>
      </c>
      <c r="P139" s="15">
        <v>5.94</v>
      </c>
      <c r="Q139" s="15">
        <v>6.81</v>
      </c>
      <c r="R139" s="15">
        <v>7.66</v>
      </c>
      <c r="S139" s="15">
        <v>8.5</v>
      </c>
      <c r="T139" s="15">
        <v>9.42</v>
      </c>
      <c r="U139" s="15">
        <v>10.199999999999999</v>
      </c>
      <c r="V139" s="15">
        <v>10.57</v>
      </c>
      <c r="W139" s="15">
        <v>10.89</v>
      </c>
      <c r="X139" s="15">
        <v>11</v>
      </c>
      <c r="Y139" s="15">
        <v>11.16</v>
      </c>
      <c r="Z139" s="15">
        <v>11.9</v>
      </c>
      <c r="AA139" s="15">
        <v>12.74</v>
      </c>
      <c r="AB139" s="15">
        <v>13.95</v>
      </c>
      <c r="AC139" s="15">
        <v>15.44</v>
      </c>
      <c r="AD139" s="15">
        <v>17.2</v>
      </c>
      <c r="AE139" s="15">
        <v>19.11</v>
      </c>
      <c r="AF139" s="15">
        <v>21.14</v>
      </c>
      <c r="AG139" s="15">
        <v>23.07</v>
      </c>
      <c r="AH139" s="15">
        <v>24.82</v>
      </c>
      <c r="AI139" s="15">
        <v>26.86</v>
      </c>
      <c r="AJ139" s="15">
        <v>29</v>
      </c>
      <c r="AK139" s="15">
        <v>31.27</v>
      </c>
      <c r="AL139" s="15">
        <v>34.049999999999997</v>
      </c>
      <c r="AM139" s="15">
        <v>36.94</v>
      </c>
      <c r="AN139" s="15">
        <v>40.159999999999997</v>
      </c>
      <c r="AO139" s="15">
        <v>43.16</v>
      </c>
      <c r="AP139" s="15">
        <v>45.9</v>
      </c>
      <c r="AQ139" s="15">
        <v>48.15</v>
      </c>
      <c r="AR139" s="15">
        <v>50.19</v>
      </c>
      <c r="AS139" s="15">
        <v>51.95</v>
      </c>
      <c r="AT139" s="15">
        <v>53.94</v>
      </c>
      <c r="AU139" s="15">
        <v>56.47</v>
      </c>
      <c r="AV139" s="15">
        <v>59.59</v>
      </c>
      <c r="AW139" s="15">
        <v>63.6</v>
      </c>
      <c r="AX139" s="15">
        <v>68.59</v>
      </c>
      <c r="AY139" s="15">
        <v>74.739999999999995</v>
      </c>
      <c r="AZ139" s="15">
        <v>81.66</v>
      </c>
      <c r="BA139" s="15">
        <v>89.3</v>
      </c>
      <c r="BB139" s="15">
        <v>97.6</v>
      </c>
      <c r="BC139" s="15">
        <v>106.36</v>
      </c>
      <c r="BD139" s="15">
        <v>115.7</v>
      </c>
      <c r="BE139" s="15">
        <v>125.39</v>
      </c>
      <c r="BF139" s="15">
        <v>135.85</v>
      </c>
      <c r="BG139" s="15">
        <v>146.85</v>
      </c>
      <c r="BH139" s="15">
        <v>158.54</v>
      </c>
      <c r="BI139" s="15">
        <v>171.05</v>
      </c>
      <c r="BJ139" s="15">
        <v>184.56</v>
      </c>
      <c r="BK139" s="15">
        <v>198.95</v>
      </c>
      <c r="BL139" s="15">
        <v>214.41</v>
      </c>
      <c r="BM139" s="15">
        <v>231.05</v>
      </c>
      <c r="BN139" s="15">
        <v>249.15</v>
      </c>
      <c r="BO139" s="15">
        <v>268.76</v>
      </c>
      <c r="BP139" s="15">
        <v>290.25</v>
      </c>
      <c r="BQ139" s="15">
        <v>315.20999999999998</v>
      </c>
      <c r="BR139" s="15">
        <v>344.03</v>
      </c>
      <c r="BS139" s="15">
        <v>374.65</v>
      </c>
      <c r="BT139" s="15">
        <v>405.67</v>
      </c>
      <c r="BU139" s="15">
        <v>438.69</v>
      </c>
      <c r="BV139" s="15">
        <v>476.07</v>
      </c>
      <c r="BW139" s="15">
        <v>518.54</v>
      </c>
      <c r="BX139" s="15">
        <v>565.52</v>
      </c>
      <c r="BY139" s="15">
        <v>618.36</v>
      </c>
      <c r="BZ139" s="15">
        <v>678.33</v>
      </c>
      <c r="CA139" s="15">
        <v>746.61</v>
      </c>
      <c r="CB139" s="15">
        <v>823.96</v>
      </c>
      <c r="CC139" s="15">
        <v>910.77</v>
      </c>
      <c r="CD139" s="15">
        <v>1008.06</v>
      </c>
      <c r="CE139" s="15">
        <v>1116.42</v>
      </c>
      <c r="CF139" s="15">
        <v>1237.21</v>
      </c>
      <c r="CG139" s="15">
        <v>1372.48</v>
      </c>
      <c r="CH139" s="15">
        <v>1524.43</v>
      </c>
      <c r="CI139" s="15">
        <v>1694.06</v>
      </c>
      <c r="CJ139" s="15">
        <v>1882.53</v>
      </c>
      <c r="CK139" s="15">
        <v>2091.7199999999998</v>
      </c>
      <c r="CL139" s="15">
        <v>2323.17</v>
      </c>
      <c r="CM139" s="15">
        <v>2578.63</v>
      </c>
      <c r="CN139" s="15">
        <v>2860.18</v>
      </c>
      <c r="CO139" s="15">
        <v>3171.37</v>
      </c>
      <c r="CP139" s="15">
        <v>3515.13</v>
      </c>
      <c r="CQ139" s="15">
        <v>3890.85</v>
      </c>
      <c r="CR139" s="15">
        <v>4293.9799999999996</v>
      </c>
      <c r="CS139" s="15">
        <v>4716.37</v>
      </c>
      <c r="CT139" s="15">
        <v>5148.59</v>
      </c>
      <c r="CU139" s="15">
        <v>5589.39</v>
      </c>
      <c r="CV139" s="15">
        <v>6048.89</v>
      </c>
      <c r="CW139" s="15">
        <v>6543.4</v>
      </c>
      <c r="CX139" s="15">
        <v>7094.4</v>
      </c>
    </row>
    <row r="140" spans="1:102" x14ac:dyDescent="0.25">
      <c r="A140" s="71">
        <v>2033</v>
      </c>
      <c r="B140" s="15">
        <v>249.31</v>
      </c>
      <c r="C140" s="15">
        <v>25.07</v>
      </c>
      <c r="D140" s="15">
        <v>11.85</v>
      </c>
      <c r="E140" s="15">
        <v>6.78</v>
      </c>
      <c r="F140" s="15">
        <v>5.87</v>
      </c>
      <c r="G140" s="15">
        <v>5.48</v>
      </c>
      <c r="H140" s="15">
        <v>5.09</v>
      </c>
      <c r="I140" s="15">
        <v>4.58</v>
      </c>
      <c r="J140" s="15">
        <v>4.0599999999999996</v>
      </c>
      <c r="K140" s="15">
        <v>3.81</v>
      </c>
      <c r="L140" s="15">
        <v>3.8</v>
      </c>
      <c r="M140" s="15">
        <v>4.05</v>
      </c>
      <c r="N140" s="15">
        <v>4.55</v>
      </c>
      <c r="O140" s="15">
        <v>5.18</v>
      </c>
      <c r="P140" s="15">
        <v>5.93</v>
      </c>
      <c r="Q140" s="15">
        <v>6.8</v>
      </c>
      <c r="R140" s="15">
        <v>7.53</v>
      </c>
      <c r="S140" s="15">
        <v>8.3699999999999992</v>
      </c>
      <c r="T140" s="15">
        <v>9.41</v>
      </c>
      <c r="U140" s="15">
        <v>10.06</v>
      </c>
      <c r="V140" s="15">
        <v>10.56</v>
      </c>
      <c r="W140" s="15">
        <v>10.76</v>
      </c>
      <c r="X140" s="15">
        <v>10.81</v>
      </c>
      <c r="Y140" s="15">
        <v>11.09</v>
      </c>
      <c r="Z140" s="15">
        <v>11.72</v>
      </c>
      <c r="AA140" s="15">
        <v>12.51</v>
      </c>
      <c r="AB140" s="15">
        <v>13.83</v>
      </c>
      <c r="AC140" s="15">
        <v>15.26</v>
      </c>
      <c r="AD140" s="15">
        <v>17.010000000000002</v>
      </c>
      <c r="AE140" s="15">
        <v>18.93</v>
      </c>
      <c r="AF140" s="15">
        <v>20.9</v>
      </c>
      <c r="AG140" s="15">
        <v>22.72</v>
      </c>
      <c r="AH140" s="15">
        <v>24.53</v>
      </c>
      <c r="AI140" s="15">
        <v>26.56</v>
      </c>
      <c r="AJ140" s="15">
        <v>28.65</v>
      </c>
      <c r="AK140" s="15">
        <v>30.92</v>
      </c>
      <c r="AL140" s="15">
        <v>33.64</v>
      </c>
      <c r="AM140" s="15">
        <v>36.53</v>
      </c>
      <c r="AN140" s="15">
        <v>39.69</v>
      </c>
      <c r="AO140" s="15">
        <v>42.69</v>
      </c>
      <c r="AP140" s="15">
        <v>45.26</v>
      </c>
      <c r="AQ140" s="15">
        <v>47.56</v>
      </c>
      <c r="AR140" s="15">
        <v>49.65</v>
      </c>
      <c r="AS140" s="15">
        <v>51.36</v>
      </c>
      <c r="AT140" s="15">
        <v>53.39</v>
      </c>
      <c r="AU140" s="15">
        <v>55.7</v>
      </c>
      <c r="AV140" s="15">
        <v>58.71</v>
      </c>
      <c r="AW140" s="15">
        <v>62.71</v>
      </c>
      <c r="AX140" s="15">
        <v>67.760000000000005</v>
      </c>
      <c r="AY140" s="15">
        <v>73.900000000000006</v>
      </c>
      <c r="AZ140" s="15">
        <v>80.7</v>
      </c>
      <c r="BA140" s="15">
        <v>88.22</v>
      </c>
      <c r="BB140" s="15">
        <v>96.4</v>
      </c>
      <c r="BC140" s="15">
        <v>104.99</v>
      </c>
      <c r="BD140" s="15">
        <v>114.2</v>
      </c>
      <c r="BE140" s="15">
        <v>123.88</v>
      </c>
      <c r="BF140" s="15">
        <v>134.11000000000001</v>
      </c>
      <c r="BG140" s="15">
        <v>145.03</v>
      </c>
      <c r="BH140" s="15">
        <v>156.65</v>
      </c>
      <c r="BI140" s="15">
        <v>169.04</v>
      </c>
      <c r="BJ140" s="15">
        <v>182.25</v>
      </c>
      <c r="BK140" s="15">
        <v>196.5</v>
      </c>
      <c r="BL140" s="15">
        <v>211.76</v>
      </c>
      <c r="BM140" s="15">
        <v>228.21</v>
      </c>
      <c r="BN140" s="15">
        <v>246.11</v>
      </c>
      <c r="BO140" s="15">
        <v>265.57</v>
      </c>
      <c r="BP140" s="15">
        <v>286.67</v>
      </c>
      <c r="BQ140" s="15">
        <v>311.3</v>
      </c>
      <c r="BR140" s="15">
        <v>339.83</v>
      </c>
      <c r="BS140" s="15">
        <v>370.1</v>
      </c>
      <c r="BT140" s="15">
        <v>400.82</v>
      </c>
      <c r="BU140" s="15">
        <v>433.35</v>
      </c>
      <c r="BV140" s="15">
        <v>470.35</v>
      </c>
      <c r="BW140" s="15">
        <v>512.29999999999995</v>
      </c>
      <c r="BX140" s="15">
        <v>558.74</v>
      </c>
      <c r="BY140" s="15">
        <v>610.89</v>
      </c>
      <c r="BZ140" s="15">
        <v>670.08</v>
      </c>
      <c r="CA140" s="15">
        <v>737.71</v>
      </c>
      <c r="CB140" s="15">
        <v>813.96</v>
      </c>
      <c r="CC140" s="15">
        <v>899.9</v>
      </c>
      <c r="CD140" s="15">
        <v>996.03</v>
      </c>
      <c r="CE140" s="15">
        <v>1103.0999999999999</v>
      </c>
      <c r="CF140" s="15">
        <v>1222.46</v>
      </c>
      <c r="CG140" s="15">
        <v>1356.13</v>
      </c>
      <c r="CH140" s="15">
        <v>1506.29</v>
      </c>
      <c r="CI140" s="15">
        <v>1673.92</v>
      </c>
      <c r="CJ140" s="15">
        <v>1860.17</v>
      </c>
      <c r="CK140" s="15">
        <v>2066.91</v>
      </c>
      <c r="CL140" s="15">
        <v>2295.65</v>
      </c>
      <c r="CM140" s="15">
        <v>2548.13</v>
      </c>
      <c r="CN140" s="15">
        <v>2826.41</v>
      </c>
      <c r="CO140" s="15">
        <v>3133.99</v>
      </c>
      <c r="CP140" s="15">
        <v>3473.8</v>
      </c>
      <c r="CQ140" s="15">
        <v>3845.22</v>
      </c>
      <c r="CR140" s="15">
        <v>4243.75</v>
      </c>
      <c r="CS140" s="15">
        <v>4661.37</v>
      </c>
      <c r="CT140" s="15">
        <v>5088.7299999999996</v>
      </c>
      <c r="CU140" s="15">
        <v>5524.61</v>
      </c>
      <c r="CV140" s="15">
        <v>5979</v>
      </c>
      <c r="CW140" s="15">
        <v>6468.04</v>
      </c>
      <c r="CX140" s="15">
        <v>7013.02</v>
      </c>
    </row>
    <row r="141" spans="1:102" x14ac:dyDescent="0.25">
      <c r="A141" s="71">
        <v>2034</v>
      </c>
      <c r="B141" s="15">
        <v>245.87</v>
      </c>
      <c r="C141" s="15">
        <v>24.69</v>
      </c>
      <c r="D141" s="15">
        <v>11.63</v>
      </c>
      <c r="E141" s="15">
        <v>6.64</v>
      </c>
      <c r="F141" s="15">
        <v>5.86</v>
      </c>
      <c r="G141" s="15">
        <v>5.47</v>
      </c>
      <c r="H141" s="15">
        <v>5.0199999999999996</v>
      </c>
      <c r="I141" s="15">
        <v>4.5</v>
      </c>
      <c r="J141" s="15">
        <v>3.93</v>
      </c>
      <c r="K141" s="15">
        <v>3.8</v>
      </c>
      <c r="L141" s="15">
        <v>3.79</v>
      </c>
      <c r="M141" s="15">
        <v>4.04</v>
      </c>
      <c r="N141" s="15">
        <v>4.54</v>
      </c>
      <c r="O141" s="15">
        <v>5.17</v>
      </c>
      <c r="P141" s="15">
        <v>5.92</v>
      </c>
      <c r="Q141" s="15">
        <v>6.66</v>
      </c>
      <c r="R141" s="15">
        <v>7.39</v>
      </c>
      <c r="S141" s="15">
        <v>8.35</v>
      </c>
      <c r="T141" s="15">
        <v>9.33</v>
      </c>
      <c r="U141" s="15">
        <v>9.92</v>
      </c>
      <c r="V141" s="15">
        <v>10.42</v>
      </c>
      <c r="W141" s="15">
        <v>10.56</v>
      </c>
      <c r="X141" s="15">
        <v>10.67</v>
      </c>
      <c r="Y141" s="15">
        <v>11.01</v>
      </c>
      <c r="Z141" s="15">
        <v>11.47</v>
      </c>
      <c r="AA141" s="15">
        <v>12.32</v>
      </c>
      <c r="AB141" s="15">
        <v>13.64</v>
      </c>
      <c r="AC141" s="15">
        <v>15.06</v>
      </c>
      <c r="AD141" s="15">
        <v>16.82</v>
      </c>
      <c r="AE141" s="15">
        <v>18.62</v>
      </c>
      <c r="AF141" s="15">
        <v>20.64</v>
      </c>
      <c r="AG141" s="15">
        <v>22.4</v>
      </c>
      <c r="AH141" s="15">
        <v>24.21</v>
      </c>
      <c r="AI141" s="15">
        <v>26.29</v>
      </c>
      <c r="AJ141" s="15">
        <v>28.26</v>
      </c>
      <c r="AK141" s="15">
        <v>30.58</v>
      </c>
      <c r="AL141" s="15">
        <v>33.25</v>
      </c>
      <c r="AM141" s="15">
        <v>36.18</v>
      </c>
      <c r="AN141" s="15">
        <v>39.18</v>
      </c>
      <c r="AO141" s="15">
        <v>42.01</v>
      </c>
      <c r="AP141" s="15">
        <v>44.68</v>
      </c>
      <c r="AQ141" s="15">
        <v>47.09</v>
      </c>
      <c r="AR141" s="15">
        <v>49.01</v>
      </c>
      <c r="AS141" s="15">
        <v>50.76</v>
      </c>
      <c r="AT141" s="15">
        <v>52.69</v>
      </c>
      <c r="AU141" s="15">
        <v>54.88</v>
      </c>
      <c r="AV141" s="15">
        <v>58</v>
      </c>
      <c r="AW141" s="15">
        <v>61.99</v>
      </c>
      <c r="AX141" s="15">
        <v>66.97</v>
      </c>
      <c r="AY141" s="15">
        <v>72.989999999999995</v>
      </c>
      <c r="AZ141" s="15">
        <v>79.77</v>
      </c>
      <c r="BA141" s="15">
        <v>87.16</v>
      </c>
      <c r="BB141" s="15">
        <v>95.11</v>
      </c>
      <c r="BC141" s="15">
        <v>103.74</v>
      </c>
      <c r="BD141" s="15">
        <v>112.81</v>
      </c>
      <c r="BE141" s="15">
        <v>122.31</v>
      </c>
      <c r="BF141" s="15">
        <v>132.44999999999999</v>
      </c>
      <c r="BG141" s="15">
        <v>143.35</v>
      </c>
      <c r="BH141" s="15">
        <v>154.83000000000001</v>
      </c>
      <c r="BI141" s="15">
        <v>166.96</v>
      </c>
      <c r="BJ141" s="15">
        <v>180.08</v>
      </c>
      <c r="BK141" s="15">
        <v>194.08</v>
      </c>
      <c r="BL141" s="15">
        <v>209.24</v>
      </c>
      <c r="BM141" s="15">
        <v>225.54</v>
      </c>
      <c r="BN141" s="15">
        <v>243.16</v>
      </c>
      <c r="BO141" s="15">
        <v>262.33999999999997</v>
      </c>
      <c r="BP141" s="15">
        <v>283.16000000000003</v>
      </c>
      <c r="BQ141" s="15">
        <v>307.55</v>
      </c>
      <c r="BR141" s="15">
        <v>335.82</v>
      </c>
      <c r="BS141" s="15">
        <v>365.6</v>
      </c>
      <c r="BT141" s="15">
        <v>396.03</v>
      </c>
      <c r="BU141" s="15">
        <v>428.17</v>
      </c>
      <c r="BV141" s="15">
        <v>464.69</v>
      </c>
      <c r="BW141" s="15">
        <v>506.14</v>
      </c>
      <c r="BX141" s="15">
        <v>551.94000000000005</v>
      </c>
      <c r="BY141" s="15">
        <v>603.36</v>
      </c>
      <c r="BZ141" s="15">
        <v>662.07</v>
      </c>
      <c r="CA141" s="15">
        <v>728.82</v>
      </c>
      <c r="CB141" s="15">
        <v>804.23</v>
      </c>
      <c r="CC141" s="15">
        <v>889.15</v>
      </c>
      <c r="CD141" s="15">
        <v>984.14</v>
      </c>
      <c r="CE141" s="15">
        <v>1089.94</v>
      </c>
      <c r="CF141" s="15">
        <v>1207.8900000000001</v>
      </c>
      <c r="CG141" s="15">
        <v>1339.97</v>
      </c>
      <c r="CH141" s="15">
        <v>1488.36</v>
      </c>
      <c r="CI141" s="15">
        <v>1654.01</v>
      </c>
      <c r="CJ141" s="15">
        <v>1838.08</v>
      </c>
      <c r="CK141" s="15">
        <v>2042.39</v>
      </c>
      <c r="CL141" s="15">
        <v>2268.46</v>
      </c>
      <c r="CM141" s="15">
        <v>2517.9899999999998</v>
      </c>
      <c r="CN141" s="15">
        <v>2793.04</v>
      </c>
      <c r="CO141" s="15">
        <v>3097.06</v>
      </c>
      <c r="CP141" s="15">
        <v>3432.96</v>
      </c>
      <c r="CQ141" s="15">
        <v>3800.12</v>
      </c>
      <c r="CR141" s="15">
        <v>4194.12</v>
      </c>
      <c r="CS141" s="15">
        <v>4607.01</v>
      </c>
      <c r="CT141" s="15">
        <v>5029.57</v>
      </c>
      <c r="CU141" s="15">
        <v>5460.57</v>
      </c>
      <c r="CV141" s="15">
        <v>5909.91</v>
      </c>
      <c r="CW141" s="15">
        <v>6393.56</v>
      </c>
      <c r="CX141" s="15">
        <v>6932.57</v>
      </c>
    </row>
    <row r="142" spans="1:102" x14ac:dyDescent="0.25">
      <c r="A142" s="71">
        <v>2035</v>
      </c>
      <c r="B142" s="15">
        <v>242.76</v>
      </c>
      <c r="C142" s="15">
        <v>24.39</v>
      </c>
      <c r="D142" s="15">
        <v>11.46</v>
      </c>
      <c r="E142" s="15">
        <v>6.61</v>
      </c>
      <c r="F142" s="15">
        <v>5.78</v>
      </c>
      <c r="G142" s="15">
        <v>5.39</v>
      </c>
      <c r="H142" s="15">
        <v>4.9400000000000004</v>
      </c>
      <c r="I142" s="15">
        <v>4.43</v>
      </c>
      <c r="J142" s="15">
        <v>3.91</v>
      </c>
      <c r="K142" s="15">
        <v>3.72</v>
      </c>
      <c r="L142" s="15">
        <v>3.78</v>
      </c>
      <c r="M142" s="15">
        <v>4.03</v>
      </c>
      <c r="N142" s="15">
        <v>4.46</v>
      </c>
      <c r="O142" s="15">
        <v>5.15</v>
      </c>
      <c r="P142" s="15">
        <v>5.84</v>
      </c>
      <c r="Q142" s="15">
        <v>6.51</v>
      </c>
      <c r="R142" s="15">
        <v>7.36</v>
      </c>
      <c r="S142" s="15">
        <v>8.32</v>
      </c>
      <c r="T142" s="15">
        <v>9.0500000000000007</v>
      </c>
      <c r="U142" s="15">
        <v>9.76</v>
      </c>
      <c r="V142" s="15">
        <v>10.26</v>
      </c>
      <c r="W142" s="15">
        <v>10.47</v>
      </c>
      <c r="X142" s="15">
        <v>10.64</v>
      </c>
      <c r="Y142" s="15">
        <v>10.86</v>
      </c>
      <c r="Z142" s="15">
        <v>11.33</v>
      </c>
      <c r="AA142" s="15">
        <v>12.17</v>
      </c>
      <c r="AB142" s="15">
        <v>13.43</v>
      </c>
      <c r="AC142" s="15">
        <v>14.91</v>
      </c>
      <c r="AD142" s="15">
        <v>16.55</v>
      </c>
      <c r="AE142" s="15">
        <v>18.45</v>
      </c>
      <c r="AF142" s="15">
        <v>20.420000000000002</v>
      </c>
      <c r="AG142" s="15">
        <v>22.11</v>
      </c>
      <c r="AH142" s="15">
        <v>23.92</v>
      </c>
      <c r="AI142" s="15">
        <v>25.94</v>
      </c>
      <c r="AJ142" s="15">
        <v>27.91</v>
      </c>
      <c r="AK142" s="15">
        <v>30.22</v>
      </c>
      <c r="AL142" s="15">
        <v>32.880000000000003</v>
      </c>
      <c r="AM142" s="15">
        <v>35.799999999999997</v>
      </c>
      <c r="AN142" s="15">
        <v>38.57</v>
      </c>
      <c r="AO142" s="15">
        <v>41.44</v>
      </c>
      <c r="AP142" s="15">
        <v>44.27</v>
      </c>
      <c r="AQ142" s="15">
        <v>46.51</v>
      </c>
      <c r="AR142" s="15">
        <v>48.26</v>
      </c>
      <c r="AS142" s="15">
        <v>50.17</v>
      </c>
      <c r="AT142" s="15">
        <v>51.98</v>
      </c>
      <c r="AU142" s="15">
        <v>54.28</v>
      </c>
      <c r="AV142" s="15">
        <v>57.38</v>
      </c>
      <c r="AW142" s="15">
        <v>61.31</v>
      </c>
      <c r="AX142" s="15">
        <v>66.16</v>
      </c>
      <c r="AY142" s="15">
        <v>72.11</v>
      </c>
      <c r="AZ142" s="15">
        <v>78.819999999999993</v>
      </c>
      <c r="BA142" s="15">
        <v>86.08</v>
      </c>
      <c r="BB142" s="15">
        <v>93.95</v>
      </c>
      <c r="BC142" s="15">
        <v>102.49</v>
      </c>
      <c r="BD142" s="15">
        <v>111.54</v>
      </c>
      <c r="BE142" s="15">
        <v>120.84</v>
      </c>
      <c r="BF142" s="15">
        <v>131</v>
      </c>
      <c r="BG142" s="15">
        <v>141.63999999999999</v>
      </c>
      <c r="BH142" s="15">
        <v>152.97</v>
      </c>
      <c r="BI142" s="15">
        <v>165</v>
      </c>
      <c r="BJ142" s="15">
        <v>177.91</v>
      </c>
      <c r="BK142" s="15">
        <v>191.75</v>
      </c>
      <c r="BL142" s="15">
        <v>206.74</v>
      </c>
      <c r="BM142" s="15">
        <v>222.75</v>
      </c>
      <c r="BN142" s="15">
        <v>240.2</v>
      </c>
      <c r="BO142" s="15">
        <v>259.08</v>
      </c>
      <c r="BP142" s="15">
        <v>279.82</v>
      </c>
      <c r="BQ142" s="15">
        <v>303.94</v>
      </c>
      <c r="BR142" s="15">
        <v>331.71</v>
      </c>
      <c r="BS142" s="15">
        <v>361.19</v>
      </c>
      <c r="BT142" s="15">
        <v>391.21</v>
      </c>
      <c r="BU142" s="15">
        <v>422.92</v>
      </c>
      <c r="BV142" s="15">
        <v>459.05</v>
      </c>
      <c r="BW142" s="15">
        <v>499.95</v>
      </c>
      <c r="BX142" s="15">
        <v>545.19000000000005</v>
      </c>
      <c r="BY142" s="15">
        <v>596.12</v>
      </c>
      <c r="BZ142" s="15">
        <v>654.24</v>
      </c>
      <c r="CA142" s="15">
        <v>720.11</v>
      </c>
      <c r="CB142" s="15">
        <v>794.62</v>
      </c>
      <c r="CC142" s="15">
        <v>878.53</v>
      </c>
      <c r="CD142" s="15">
        <v>972.39</v>
      </c>
      <c r="CE142" s="15">
        <v>1076.94</v>
      </c>
      <c r="CF142" s="15">
        <v>1193.49</v>
      </c>
      <c r="CG142" s="15">
        <v>1324.01</v>
      </c>
      <c r="CH142" s="15">
        <v>1470.65</v>
      </c>
      <c r="CI142" s="15">
        <v>1634.34</v>
      </c>
      <c r="CJ142" s="15">
        <v>1816.25</v>
      </c>
      <c r="CK142" s="15">
        <v>2018.16</v>
      </c>
      <c r="CL142" s="15">
        <v>2241.58</v>
      </c>
      <c r="CM142" s="15">
        <v>2488.1999999999998</v>
      </c>
      <c r="CN142" s="15">
        <v>2760.06</v>
      </c>
      <c r="CO142" s="15">
        <v>3060.57</v>
      </c>
      <c r="CP142" s="15">
        <v>3392.6</v>
      </c>
      <c r="CQ142" s="15">
        <v>3755.55</v>
      </c>
      <c r="CR142" s="15">
        <v>4145.0600000000004</v>
      </c>
      <c r="CS142" s="15">
        <v>4553.28</v>
      </c>
      <c r="CT142" s="15">
        <v>4971.09</v>
      </c>
      <c r="CU142" s="15">
        <v>5397.28</v>
      </c>
      <c r="CV142" s="15">
        <v>5841.63</v>
      </c>
      <c r="CW142" s="15">
        <v>6319.94</v>
      </c>
      <c r="CX142" s="15">
        <v>6853.04</v>
      </c>
    </row>
    <row r="143" spans="1:102" x14ac:dyDescent="0.25">
      <c r="A143" s="71">
        <v>2036</v>
      </c>
      <c r="B143" s="15">
        <v>239.85</v>
      </c>
      <c r="C143" s="15">
        <v>23.97</v>
      </c>
      <c r="D143" s="15">
        <v>11.4</v>
      </c>
      <c r="E143" s="15">
        <v>6.52</v>
      </c>
      <c r="F143" s="15">
        <v>5.69</v>
      </c>
      <c r="G143" s="15">
        <v>5.24</v>
      </c>
      <c r="H143" s="15">
        <v>4.91</v>
      </c>
      <c r="I143" s="15">
        <v>4.4000000000000004</v>
      </c>
      <c r="J143" s="15">
        <v>3.83</v>
      </c>
      <c r="K143" s="15">
        <v>3.64</v>
      </c>
      <c r="L143" s="15">
        <v>3.76</v>
      </c>
      <c r="M143" s="15">
        <v>3.95</v>
      </c>
      <c r="N143" s="15">
        <v>4.38</v>
      </c>
      <c r="O143" s="15">
        <v>5.0599999999999996</v>
      </c>
      <c r="P143" s="15">
        <v>5.75</v>
      </c>
      <c r="Q143" s="15">
        <v>6.48</v>
      </c>
      <c r="R143" s="15">
        <v>7.33</v>
      </c>
      <c r="S143" s="15">
        <v>8.16</v>
      </c>
      <c r="T143" s="15">
        <v>8.83</v>
      </c>
      <c r="U143" s="15">
        <v>9.66</v>
      </c>
      <c r="V143" s="15">
        <v>10.220000000000001</v>
      </c>
      <c r="W143" s="15">
        <v>10.42</v>
      </c>
      <c r="X143" s="15">
        <v>10.48</v>
      </c>
      <c r="Y143" s="15">
        <v>10.76</v>
      </c>
      <c r="Z143" s="15">
        <v>11.17</v>
      </c>
      <c r="AA143" s="15">
        <v>12.01</v>
      </c>
      <c r="AB143" s="15">
        <v>13.21</v>
      </c>
      <c r="AC143" s="15">
        <v>14.68</v>
      </c>
      <c r="AD143" s="15">
        <v>16.32</v>
      </c>
      <c r="AE143" s="15">
        <v>18.27</v>
      </c>
      <c r="AF143" s="15">
        <v>20.23</v>
      </c>
      <c r="AG143" s="15">
        <v>21.86</v>
      </c>
      <c r="AH143" s="15">
        <v>23.66</v>
      </c>
      <c r="AI143" s="15">
        <v>25.57</v>
      </c>
      <c r="AJ143" s="15">
        <v>27.53</v>
      </c>
      <c r="AK143" s="15">
        <v>29.83</v>
      </c>
      <c r="AL143" s="15">
        <v>32.479999999999997</v>
      </c>
      <c r="AM143" s="15">
        <v>35.28</v>
      </c>
      <c r="AN143" s="15">
        <v>38.04</v>
      </c>
      <c r="AO143" s="15">
        <v>41.06</v>
      </c>
      <c r="AP143" s="15">
        <v>43.77</v>
      </c>
      <c r="AQ143" s="15">
        <v>45.78</v>
      </c>
      <c r="AR143" s="15">
        <v>47.69</v>
      </c>
      <c r="AS143" s="15">
        <v>49.59</v>
      </c>
      <c r="AT143" s="15">
        <v>51.4</v>
      </c>
      <c r="AU143" s="15">
        <v>53.68</v>
      </c>
      <c r="AV143" s="15">
        <v>56.72</v>
      </c>
      <c r="AW143" s="15">
        <v>60.63</v>
      </c>
      <c r="AX143" s="15">
        <v>65.41</v>
      </c>
      <c r="AY143" s="15">
        <v>71.33</v>
      </c>
      <c r="AZ143" s="15">
        <v>77.849999999999994</v>
      </c>
      <c r="BA143" s="15">
        <v>84.97</v>
      </c>
      <c r="BB143" s="15">
        <v>92.81</v>
      </c>
      <c r="BC143" s="15">
        <v>101.36</v>
      </c>
      <c r="BD143" s="15">
        <v>110.16</v>
      </c>
      <c r="BE143" s="15">
        <v>119.52</v>
      </c>
      <c r="BF143" s="15">
        <v>129.43</v>
      </c>
      <c r="BG143" s="15">
        <v>139.91</v>
      </c>
      <c r="BH143" s="15">
        <v>151.13999999999999</v>
      </c>
      <c r="BI143" s="15">
        <v>163.01</v>
      </c>
      <c r="BJ143" s="15">
        <v>175.75</v>
      </c>
      <c r="BK143" s="15">
        <v>189.46</v>
      </c>
      <c r="BL143" s="15">
        <v>204.22</v>
      </c>
      <c r="BM143" s="15">
        <v>219.99</v>
      </c>
      <c r="BN143" s="15">
        <v>237.24</v>
      </c>
      <c r="BO143" s="15">
        <v>255.98</v>
      </c>
      <c r="BP143" s="15">
        <v>276.45</v>
      </c>
      <c r="BQ143" s="15">
        <v>300.23</v>
      </c>
      <c r="BR143" s="15">
        <v>327.69</v>
      </c>
      <c r="BS143" s="15">
        <v>356.8</v>
      </c>
      <c r="BT143" s="15">
        <v>386.43</v>
      </c>
      <c r="BU143" s="15">
        <v>417.69</v>
      </c>
      <c r="BV143" s="15">
        <v>453.55</v>
      </c>
      <c r="BW143" s="15">
        <v>493.89</v>
      </c>
      <c r="BX143" s="15">
        <v>538.70000000000005</v>
      </c>
      <c r="BY143" s="15">
        <v>589.11</v>
      </c>
      <c r="BZ143" s="15">
        <v>646.41</v>
      </c>
      <c r="CA143" s="15">
        <v>711.5</v>
      </c>
      <c r="CB143" s="15">
        <v>785.12</v>
      </c>
      <c r="CC143" s="15">
        <v>868.03</v>
      </c>
      <c r="CD143" s="15">
        <v>960.78</v>
      </c>
      <c r="CE143" s="15">
        <v>1064.0899999999999</v>
      </c>
      <c r="CF143" s="15">
        <v>1179.26</v>
      </c>
      <c r="CG143" s="15">
        <v>1308.24</v>
      </c>
      <c r="CH143" s="15">
        <v>1453.14</v>
      </c>
      <c r="CI143" s="15">
        <v>1614.91</v>
      </c>
      <c r="CJ143" s="15">
        <v>1794.67</v>
      </c>
      <c r="CK143" s="15">
        <v>1994.22</v>
      </c>
      <c r="CL143" s="15">
        <v>2215.0300000000002</v>
      </c>
      <c r="CM143" s="15">
        <v>2458.77</v>
      </c>
      <c r="CN143" s="15">
        <v>2727.47</v>
      </c>
      <c r="CO143" s="15">
        <v>3024.5</v>
      </c>
      <c r="CP143" s="15">
        <v>3352.71</v>
      </c>
      <c r="CQ143" s="15">
        <v>3711.51</v>
      </c>
      <c r="CR143" s="15">
        <v>4096.58</v>
      </c>
      <c r="CS143" s="15">
        <v>4500.18</v>
      </c>
      <c r="CT143" s="15">
        <v>4913.29</v>
      </c>
      <c r="CU143" s="15">
        <v>5334.72</v>
      </c>
      <c r="CV143" s="15">
        <v>5774.13</v>
      </c>
      <c r="CW143" s="15">
        <v>6247.16</v>
      </c>
      <c r="CX143" s="15">
        <v>6774.42</v>
      </c>
    </row>
    <row r="144" spans="1:102" x14ac:dyDescent="0.25">
      <c r="A144" s="71">
        <v>2037</v>
      </c>
      <c r="B144" s="15">
        <v>237.03</v>
      </c>
      <c r="C144" s="15">
        <v>23.51</v>
      </c>
      <c r="D144" s="15">
        <v>11.27</v>
      </c>
      <c r="E144" s="15">
        <v>6.42</v>
      </c>
      <c r="F144" s="15">
        <v>5.59</v>
      </c>
      <c r="G144" s="15">
        <v>5.14</v>
      </c>
      <c r="H144" s="15">
        <v>4.8899999999999997</v>
      </c>
      <c r="I144" s="15">
        <v>4.38</v>
      </c>
      <c r="J144" s="15">
        <v>3.75</v>
      </c>
      <c r="K144" s="15">
        <v>3.62</v>
      </c>
      <c r="L144" s="15">
        <v>3.74</v>
      </c>
      <c r="M144" s="15">
        <v>3.86</v>
      </c>
      <c r="N144" s="15">
        <v>4.29</v>
      </c>
      <c r="O144" s="15">
        <v>4.97</v>
      </c>
      <c r="P144" s="15">
        <v>5.71</v>
      </c>
      <c r="Q144" s="15">
        <v>6.45</v>
      </c>
      <c r="R144" s="15">
        <v>7.29</v>
      </c>
      <c r="S144" s="15">
        <v>7.93</v>
      </c>
      <c r="T144" s="15">
        <v>8.7799999999999994</v>
      </c>
      <c r="U144" s="15">
        <v>9.5500000000000007</v>
      </c>
      <c r="V144" s="15">
        <v>10.16</v>
      </c>
      <c r="W144" s="15">
        <v>10.25</v>
      </c>
      <c r="X144" s="15">
        <v>10.31</v>
      </c>
      <c r="Y144" s="15">
        <v>10.65</v>
      </c>
      <c r="Z144" s="15">
        <v>11</v>
      </c>
      <c r="AA144" s="15">
        <v>11.84</v>
      </c>
      <c r="AB144" s="15">
        <v>12.98</v>
      </c>
      <c r="AC144" s="15">
        <v>14.45</v>
      </c>
      <c r="AD144" s="15">
        <v>16.07</v>
      </c>
      <c r="AE144" s="15">
        <v>18.07</v>
      </c>
      <c r="AF144" s="15">
        <v>19.91</v>
      </c>
      <c r="AG144" s="15">
        <v>21.65</v>
      </c>
      <c r="AH144" s="15">
        <v>23.38</v>
      </c>
      <c r="AI144" s="15">
        <v>25.17</v>
      </c>
      <c r="AJ144" s="15">
        <v>27.13</v>
      </c>
      <c r="AK144" s="15">
        <v>29.42</v>
      </c>
      <c r="AL144" s="15">
        <v>31.94</v>
      </c>
      <c r="AM144" s="15">
        <v>34.74</v>
      </c>
      <c r="AN144" s="15">
        <v>37.64</v>
      </c>
      <c r="AO144" s="15">
        <v>40.590000000000003</v>
      </c>
      <c r="AP144" s="15">
        <v>43.13</v>
      </c>
      <c r="AQ144" s="15">
        <v>45.18</v>
      </c>
      <c r="AR144" s="15">
        <v>47.19</v>
      </c>
      <c r="AS144" s="15">
        <v>48.92</v>
      </c>
      <c r="AT144" s="15">
        <v>50.71</v>
      </c>
      <c r="AU144" s="15">
        <v>52.99</v>
      </c>
      <c r="AV144" s="15">
        <v>56.06</v>
      </c>
      <c r="AW144" s="15">
        <v>59.9</v>
      </c>
      <c r="AX144" s="15">
        <v>64.709999999999994</v>
      </c>
      <c r="AY144" s="15">
        <v>70.489999999999995</v>
      </c>
      <c r="AZ144" s="15">
        <v>76.930000000000007</v>
      </c>
      <c r="BA144" s="15">
        <v>83.9</v>
      </c>
      <c r="BB144" s="15">
        <v>91.7</v>
      </c>
      <c r="BC144" s="15">
        <v>100.21</v>
      </c>
      <c r="BD144" s="15">
        <v>108.91</v>
      </c>
      <c r="BE144" s="15">
        <v>118.12</v>
      </c>
      <c r="BF144" s="15">
        <v>127.75</v>
      </c>
      <c r="BG144" s="15">
        <v>138.22999999999999</v>
      </c>
      <c r="BH144" s="15">
        <v>149.24</v>
      </c>
      <c r="BI144" s="15">
        <v>160.99</v>
      </c>
      <c r="BJ144" s="15">
        <v>173.66</v>
      </c>
      <c r="BK144" s="15">
        <v>187.19</v>
      </c>
      <c r="BL144" s="15">
        <v>201.71</v>
      </c>
      <c r="BM144" s="15">
        <v>217.44</v>
      </c>
      <c r="BN144" s="15">
        <v>234.38</v>
      </c>
      <c r="BO144" s="15">
        <v>252.95</v>
      </c>
      <c r="BP144" s="15">
        <v>273.14</v>
      </c>
      <c r="BQ144" s="15">
        <v>296.67</v>
      </c>
      <c r="BR144" s="15">
        <v>323.8</v>
      </c>
      <c r="BS144" s="15">
        <v>352.52</v>
      </c>
      <c r="BT144" s="15">
        <v>381.69</v>
      </c>
      <c r="BU144" s="15">
        <v>412.81</v>
      </c>
      <c r="BV144" s="15">
        <v>448.06</v>
      </c>
      <c r="BW144" s="15">
        <v>487.92</v>
      </c>
      <c r="BX144" s="15">
        <v>532.30999999999995</v>
      </c>
      <c r="BY144" s="15">
        <v>582.05999999999995</v>
      </c>
      <c r="BZ144" s="15">
        <v>638.67999999999995</v>
      </c>
      <c r="CA144" s="15">
        <v>702.99</v>
      </c>
      <c r="CB144" s="15">
        <v>775.74</v>
      </c>
      <c r="CC144" s="15">
        <v>857.67</v>
      </c>
      <c r="CD144" s="15">
        <v>949.31</v>
      </c>
      <c r="CE144" s="15">
        <v>1051.3900000000001</v>
      </c>
      <c r="CF144" s="15">
        <v>1165.2</v>
      </c>
      <c r="CG144" s="15">
        <v>1292.6500000000001</v>
      </c>
      <c r="CH144" s="15">
        <v>1435.85</v>
      </c>
      <c r="CI144" s="15">
        <v>1595.71</v>
      </c>
      <c r="CJ144" s="15">
        <v>1773.36</v>
      </c>
      <c r="CK144" s="15">
        <v>1970.56</v>
      </c>
      <c r="CL144" s="15">
        <v>2188.79</v>
      </c>
      <c r="CM144" s="15">
        <v>2429.69</v>
      </c>
      <c r="CN144" s="15">
        <v>2695.27</v>
      </c>
      <c r="CO144" s="15">
        <v>2988.86</v>
      </c>
      <c r="CP144" s="15">
        <v>3313.29</v>
      </c>
      <c r="CQ144" s="15">
        <v>3667.98</v>
      </c>
      <c r="CR144" s="15">
        <v>4048.67</v>
      </c>
      <c r="CS144" s="15">
        <v>4447.7</v>
      </c>
      <c r="CT144" s="15">
        <v>4856.17</v>
      </c>
      <c r="CU144" s="15">
        <v>5272.89</v>
      </c>
      <c r="CV144" s="15">
        <v>5707.42</v>
      </c>
      <c r="CW144" s="15">
        <v>6175.22</v>
      </c>
      <c r="CX144" s="15">
        <v>6696.71</v>
      </c>
    </row>
    <row r="145" spans="1:102" x14ac:dyDescent="0.25">
      <c r="A145" s="71">
        <v>2038</v>
      </c>
      <c r="B145" s="15">
        <v>234.1</v>
      </c>
      <c r="C145" s="15">
        <v>22.97</v>
      </c>
      <c r="D145" s="15">
        <v>11.13</v>
      </c>
      <c r="E145" s="15">
        <v>6.37</v>
      </c>
      <c r="F145" s="15">
        <v>5.49</v>
      </c>
      <c r="G145" s="15">
        <v>5.1100000000000003</v>
      </c>
      <c r="H145" s="15">
        <v>4.8600000000000003</v>
      </c>
      <c r="I145" s="15">
        <v>4.3499999999999996</v>
      </c>
      <c r="J145" s="15">
        <v>3.72</v>
      </c>
      <c r="K145" s="15">
        <v>3.6</v>
      </c>
      <c r="L145" s="15">
        <v>3.65</v>
      </c>
      <c r="M145" s="15">
        <v>3.84</v>
      </c>
      <c r="N145" s="15">
        <v>4.2</v>
      </c>
      <c r="O145" s="15">
        <v>4.9400000000000004</v>
      </c>
      <c r="P145" s="15">
        <v>5.62</v>
      </c>
      <c r="Q145" s="15">
        <v>6.4</v>
      </c>
      <c r="R145" s="15">
        <v>7.18</v>
      </c>
      <c r="S145" s="15">
        <v>7.82</v>
      </c>
      <c r="T145" s="15">
        <v>8.66</v>
      </c>
      <c r="U145" s="15">
        <v>9.43</v>
      </c>
      <c r="V145" s="15">
        <v>10.039999999999999</v>
      </c>
      <c r="W145" s="15">
        <v>10.07</v>
      </c>
      <c r="X145" s="15">
        <v>10.25</v>
      </c>
      <c r="Y145" s="15">
        <v>10.53</v>
      </c>
      <c r="Z145" s="15">
        <v>10.94</v>
      </c>
      <c r="AA145" s="15">
        <v>11.71</v>
      </c>
      <c r="AB145" s="15">
        <v>12.85</v>
      </c>
      <c r="AC145" s="15">
        <v>14.2</v>
      </c>
      <c r="AD145" s="15">
        <v>15.87</v>
      </c>
      <c r="AE145" s="15">
        <v>17.809999999999999</v>
      </c>
      <c r="AF145" s="15">
        <v>19.59</v>
      </c>
      <c r="AG145" s="15">
        <v>21.42</v>
      </c>
      <c r="AH145" s="15">
        <v>23.09</v>
      </c>
      <c r="AI145" s="15">
        <v>24.82</v>
      </c>
      <c r="AJ145" s="15">
        <v>26.82</v>
      </c>
      <c r="AK145" s="15">
        <v>28.99</v>
      </c>
      <c r="AL145" s="15">
        <v>31.5</v>
      </c>
      <c r="AM145" s="15">
        <v>34.33</v>
      </c>
      <c r="AN145" s="15">
        <v>37.22</v>
      </c>
      <c r="AO145" s="15">
        <v>40.049999999999997</v>
      </c>
      <c r="AP145" s="15">
        <v>42.57</v>
      </c>
      <c r="AQ145" s="15">
        <v>44.72</v>
      </c>
      <c r="AR145" s="15">
        <v>46.55</v>
      </c>
      <c r="AS145" s="15">
        <v>48.27</v>
      </c>
      <c r="AT145" s="15">
        <v>50.06</v>
      </c>
      <c r="AU145" s="15">
        <v>52.37</v>
      </c>
      <c r="AV145" s="15">
        <v>55.43</v>
      </c>
      <c r="AW145" s="15">
        <v>59.19</v>
      </c>
      <c r="AX145" s="15">
        <v>63.92</v>
      </c>
      <c r="AY145" s="15">
        <v>69.67</v>
      </c>
      <c r="AZ145" s="15">
        <v>75.959999999999994</v>
      </c>
      <c r="BA145" s="15">
        <v>82.85</v>
      </c>
      <c r="BB145" s="15">
        <v>90.7</v>
      </c>
      <c r="BC145" s="15">
        <v>99.01</v>
      </c>
      <c r="BD145" s="15">
        <v>107.65</v>
      </c>
      <c r="BE145" s="15">
        <v>116.65</v>
      </c>
      <c r="BF145" s="15">
        <v>126.28</v>
      </c>
      <c r="BG145" s="15">
        <v>136.54</v>
      </c>
      <c r="BH145" s="15">
        <v>147.37</v>
      </c>
      <c r="BI145" s="15">
        <v>159.05000000000001</v>
      </c>
      <c r="BJ145" s="15">
        <v>171.59</v>
      </c>
      <c r="BK145" s="15">
        <v>184.93</v>
      </c>
      <c r="BL145" s="15">
        <v>199.36</v>
      </c>
      <c r="BM145" s="15">
        <v>214.83</v>
      </c>
      <c r="BN145" s="15">
        <v>231.61</v>
      </c>
      <c r="BO145" s="15">
        <v>249.95</v>
      </c>
      <c r="BP145" s="15">
        <v>269.89999999999998</v>
      </c>
      <c r="BQ145" s="15">
        <v>293.17</v>
      </c>
      <c r="BR145" s="15">
        <v>319.91000000000003</v>
      </c>
      <c r="BS145" s="15">
        <v>348.27</v>
      </c>
      <c r="BT145" s="15">
        <v>377.25</v>
      </c>
      <c r="BU145" s="15">
        <v>407.88</v>
      </c>
      <c r="BV145" s="15">
        <v>442.55</v>
      </c>
      <c r="BW145" s="15">
        <v>482.12</v>
      </c>
      <c r="BX145" s="15">
        <v>525.94000000000005</v>
      </c>
      <c r="BY145" s="15">
        <v>575.09</v>
      </c>
      <c r="BZ145" s="15">
        <v>631.04</v>
      </c>
      <c r="CA145" s="15">
        <v>694.59</v>
      </c>
      <c r="CB145" s="15">
        <v>766.47</v>
      </c>
      <c r="CC145" s="15">
        <v>847.42</v>
      </c>
      <c r="CD145" s="15">
        <v>937.98</v>
      </c>
      <c r="CE145" s="15">
        <v>1038.8499999999999</v>
      </c>
      <c r="CF145" s="15">
        <v>1151.31</v>
      </c>
      <c r="CG145" s="15">
        <v>1277.26</v>
      </c>
      <c r="CH145" s="15">
        <v>1418.76</v>
      </c>
      <c r="CI145" s="15">
        <v>1576.73</v>
      </c>
      <c r="CJ145" s="15">
        <v>1752.29</v>
      </c>
      <c r="CK145" s="15">
        <v>1947.18</v>
      </c>
      <c r="CL145" s="15">
        <v>2162.86</v>
      </c>
      <c r="CM145" s="15">
        <v>2400.9499999999998</v>
      </c>
      <c r="CN145" s="15">
        <v>2663.44</v>
      </c>
      <c r="CO145" s="15">
        <v>2953.64</v>
      </c>
      <c r="CP145" s="15">
        <v>3274.33</v>
      </c>
      <c r="CQ145" s="15">
        <v>3624.96</v>
      </c>
      <c r="CR145" s="15">
        <v>4001.32</v>
      </c>
      <c r="CS145" s="15">
        <v>4395.83</v>
      </c>
      <c r="CT145" s="15">
        <v>4799.71</v>
      </c>
      <c r="CU145" s="15">
        <v>5211.7700000000004</v>
      </c>
      <c r="CV145" s="15">
        <v>5641.47</v>
      </c>
      <c r="CW145" s="15">
        <v>6104.11</v>
      </c>
      <c r="CX145" s="15">
        <v>6619.88</v>
      </c>
    </row>
    <row r="146" spans="1:102" x14ac:dyDescent="0.25">
      <c r="A146" s="71">
        <v>2039</v>
      </c>
      <c r="B146" s="15">
        <v>231.28</v>
      </c>
      <c r="C146" s="15">
        <v>22.9</v>
      </c>
      <c r="D146" s="15">
        <v>11.06</v>
      </c>
      <c r="E146" s="15">
        <v>6.33</v>
      </c>
      <c r="F146" s="15">
        <v>5.45</v>
      </c>
      <c r="G146" s="15">
        <v>5.08</v>
      </c>
      <c r="H146" s="15">
        <v>4.82</v>
      </c>
      <c r="I146" s="15">
        <v>4.26</v>
      </c>
      <c r="J146" s="15">
        <v>3.7</v>
      </c>
      <c r="K146" s="15">
        <v>3.51</v>
      </c>
      <c r="L146" s="15">
        <v>3.57</v>
      </c>
      <c r="M146" s="15">
        <v>3.81</v>
      </c>
      <c r="N146" s="15">
        <v>4.18</v>
      </c>
      <c r="O146" s="15">
        <v>4.8499999999999996</v>
      </c>
      <c r="P146" s="15">
        <v>5.52</v>
      </c>
      <c r="Q146" s="15">
        <v>6.36</v>
      </c>
      <c r="R146" s="15">
        <v>7.07</v>
      </c>
      <c r="S146" s="15">
        <v>7.76</v>
      </c>
      <c r="T146" s="15">
        <v>8.5399999999999991</v>
      </c>
      <c r="U146" s="15">
        <v>9.3699999999999992</v>
      </c>
      <c r="V146" s="15">
        <v>9.86</v>
      </c>
      <c r="W146" s="15">
        <v>10.01</v>
      </c>
      <c r="X146" s="15">
        <v>10.18</v>
      </c>
      <c r="Y146" s="15">
        <v>10.46</v>
      </c>
      <c r="Z146" s="15">
        <v>10.87</v>
      </c>
      <c r="AA146" s="15">
        <v>11.59</v>
      </c>
      <c r="AB146" s="15">
        <v>12.67</v>
      </c>
      <c r="AC146" s="15">
        <v>14.01</v>
      </c>
      <c r="AD146" s="15">
        <v>15.78</v>
      </c>
      <c r="AE146" s="15">
        <v>17.489999999999998</v>
      </c>
      <c r="AF146" s="15">
        <v>19.36</v>
      </c>
      <c r="AG146" s="15">
        <v>21.19</v>
      </c>
      <c r="AH146" s="15">
        <v>22.85</v>
      </c>
      <c r="AI146" s="15">
        <v>24.57</v>
      </c>
      <c r="AJ146" s="15">
        <v>26.5</v>
      </c>
      <c r="AK146" s="15">
        <v>28.71</v>
      </c>
      <c r="AL146" s="15">
        <v>31.16</v>
      </c>
      <c r="AM146" s="15">
        <v>33.97</v>
      </c>
      <c r="AN146" s="15">
        <v>36.840000000000003</v>
      </c>
      <c r="AO146" s="15">
        <v>39.549999999999997</v>
      </c>
      <c r="AP146" s="15">
        <v>42.1</v>
      </c>
      <c r="AQ146" s="15">
        <v>44.19</v>
      </c>
      <c r="AR146" s="15">
        <v>45.96</v>
      </c>
      <c r="AS146" s="15">
        <v>47.72</v>
      </c>
      <c r="AT146" s="15">
        <v>49.49</v>
      </c>
      <c r="AU146" s="15">
        <v>51.85</v>
      </c>
      <c r="AV146" s="15">
        <v>54.78</v>
      </c>
      <c r="AW146" s="15">
        <v>58.36</v>
      </c>
      <c r="AX146" s="15">
        <v>63.06</v>
      </c>
      <c r="AY146" s="15">
        <v>68.73</v>
      </c>
      <c r="AZ146" s="15">
        <v>74.92</v>
      </c>
      <c r="BA146" s="15">
        <v>81.92</v>
      </c>
      <c r="BB146" s="15">
        <v>89.58</v>
      </c>
      <c r="BC146" s="15">
        <v>97.83</v>
      </c>
      <c r="BD146" s="15">
        <v>106.31</v>
      </c>
      <c r="BE146" s="15">
        <v>115.31</v>
      </c>
      <c r="BF146" s="15">
        <v>124.82</v>
      </c>
      <c r="BG146" s="15">
        <v>134.96</v>
      </c>
      <c r="BH146" s="15">
        <v>145.56</v>
      </c>
      <c r="BI146" s="15">
        <v>157.22</v>
      </c>
      <c r="BJ146" s="15">
        <v>169.47</v>
      </c>
      <c r="BK146" s="15">
        <v>182.72</v>
      </c>
      <c r="BL146" s="15">
        <v>196.95</v>
      </c>
      <c r="BM146" s="15">
        <v>212.16</v>
      </c>
      <c r="BN146" s="15">
        <v>228.93</v>
      </c>
      <c r="BO146" s="15">
        <v>246.89</v>
      </c>
      <c r="BP146" s="15">
        <v>266.58999999999997</v>
      </c>
      <c r="BQ146" s="15">
        <v>289.60000000000002</v>
      </c>
      <c r="BR146" s="15">
        <v>315.99</v>
      </c>
      <c r="BS146" s="15">
        <v>344.15</v>
      </c>
      <c r="BT146" s="15">
        <v>372.76</v>
      </c>
      <c r="BU146" s="15">
        <v>402.89</v>
      </c>
      <c r="BV146" s="15">
        <v>437.31</v>
      </c>
      <c r="BW146" s="15">
        <v>476.35</v>
      </c>
      <c r="BX146" s="15">
        <v>519.65</v>
      </c>
      <c r="BY146" s="15">
        <v>568.21</v>
      </c>
      <c r="BZ146" s="15">
        <v>623.5</v>
      </c>
      <c r="CA146" s="15">
        <v>686.29</v>
      </c>
      <c r="CB146" s="15">
        <v>757.31</v>
      </c>
      <c r="CC146" s="15">
        <v>837.3</v>
      </c>
      <c r="CD146" s="15">
        <v>926.78</v>
      </c>
      <c r="CE146" s="15">
        <v>1026.46</v>
      </c>
      <c r="CF146" s="15">
        <v>1137.58</v>
      </c>
      <c r="CG146" s="15">
        <v>1262.04</v>
      </c>
      <c r="CH146" s="15">
        <v>1401.87</v>
      </c>
      <c r="CI146" s="15">
        <v>1557.99</v>
      </c>
      <c r="CJ146" s="15">
        <v>1731.48</v>
      </c>
      <c r="CK146" s="15">
        <v>1924.08</v>
      </c>
      <c r="CL146" s="15">
        <v>2137.2399999999998</v>
      </c>
      <c r="CM146" s="15">
        <v>2372.5500000000002</v>
      </c>
      <c r="CN146" s="15">
        <v>2631.99</v>
      </c>
      <c r="CO146" s="15">
        <v>2918.83</v>
      </c>
      <c r="CP146" s="15">
        <v>3235.83</v>
      </c>
      <c r="CQ146" s="15">
        <v>3582.45</v>
      </c>
      <c r="CR146" s="15">
        <v>3954.52</v>
      </c>
      <c r="CS146" s="15">
        <v>4344.57</v>
      </c>
      <c r="CT146" s="15">
        <v>4743.8999999999996</v>
      </c>
      <c r="CU146" s="15">
        <v>5151.3599999999997</v>
      </c>
      <c r="CV146" s="15">
        <v>5576.29</v>
      </c>
      <c r="CW146" s="15">
        <v>6033.82</v>
      </c>
      <c r="CX146" s="15">
        <v>6543.94</v>
      </c>
    </row>
    <row r="147" spans="1:102" x14ac:dyDescent="0.25">
      <c r="A147" s="71">
        <v>2040</v>
      </c>
      <c r="B147" s="15">
        <v>228.48</v>
      </c>
      <c r="C147" s="15">
        <v>22.82</v>
      </c>
      <c r="D147" s="15">
        <v>10.98</v>
      </c>
      <c r="E147" s="15">
        <v>6.29</v>
      </c>
      <c r="F147" s="15">
        <v>5.42</v>
      </c>
      <c r="G147" s="15">
        <v>5.04</v>
      </c>
      <c r="H147" s="15">
        <v>4.7300000000000004</v>
      </c>
      <c r="I147" s="15">
        <v>4.17</v>
      </c>
      <c r="J147" s="15">
        <v>3.67</v>
      </c>
      <c r="K147" s="15">
        <v>3.42</v>
      </c>
      <c r="L147" s="15">
        <v>3.54</v>
      </c>
      <c r="M147" s="15">
        <v>3.78</v>
      </c>
      <c r="N147" s="15">
        <v>4.1500000000000004</v>
      </c>
      <c r="O147" s="15">
        <v>4.75</v>
      </c>
      <c r="P147" s="15">
        <v>5.48</v>
      </c>
      <c r="Q147" s="15">
        <v>6.32</v>
      </c>
      <c r="R147" s="15">
        <v>6.96</v>
      </c>
      <c r="S147" s="15">
        <v>7.71</v>
      </c>
      <c r="T147" s="15">
        <v>8.49</v>
      </c>
      <c r="U147" s="15">
        <v>9.24</v>
      </c>
      <c r="V147" s="15">
        <v>9.74</v>
      </c>
      <c r="W147" s="15">
        <v>9.94</v>
      </c>
      <c r="X147" s="15">
        <v>10.119999999999999</v>
      </c>
      <c r="Y147" s="15">
        <v>10.34</v>
      </c>
      <c r="Z147" s="15">
        <v>10.69</v>
      </c>
      <c r="AA147" s="15">
        <v>11.41</v>
      </c>
      <c r="AB147" s="15">
        <v>12.48</v>
      </c>
      <c r="AC147" s="15">
        <v>13.93</v>
      </c>
      <c r="AD147" s="15">
        <v>15.63</v>
      </c>
      <c r="AE147" s="15">
        <v>17.28</v>
      </c>
      <c r="AF147" s="15">
        <v>19.14</v>
      </c>
      <c r="AG147" s="15">
        <v>20.95</v>
      </c>
      <c r="AH147" s="15">
        <v>22.61</v>
      </c>
      <c r="AI147" s="15">
        <v>24.31</v>
      </c>
      <c r="AJ147" s="15">
        <v>26.23</v>
      </c>
      <c r="AK147" s="15">
        <v>28.43</v>
      </c>
      <c r="AL147" s="15">
        <v>30.81</v>
      </c>
      <c r="AM147" s="15">
        <v>33.61</v>
      </c>
      <c r="AN147" s="15">
        <v>36.4</v>
      </c>
      <c r="AO147" s="15">
        <v>39.1</v>
      </c>
      <c r="AP147" s="15">
        <v>41.64</v>
      </c>
      <c r="AQ147" s="15">
        <v>43.66</v>
      </c>
      <c r="AR147" s="15">
        <v>45.47</v>
      </c>
      <c r="AS147" s="15">
        <v>47.12</v>
      </c>
      <c r="AT147" s="15">
        <v>48.98</v>
      </c>
      <c r="AU147" s="15">
        <v>51.32</v>
      </c>
      <c r="AV147" s="15">
        <v>54.08</v>
      </c>
      <c r="AW147" s="15">
        <v>57.53</v>
      </c>
      <c r="AX147" s="15">
        <v>62.25</v>
      </c>
      <c r="AY147" s="15">
        <v>67.78</v>
      </c>
      <c r="AZ147" s="15">
        <v>73.989999999999995</v>
      </c>
      <c r="BA147" s="15">
        <v>81</v>
      </c>
      <c r="BB147" s="15">
        <v>88.5</v>
      </c>
      <c r="BC147" s="15">
        <v>96.59</v>
      </c>
      <c r="BD147" s="15">
        <v>105.08</v>
      </c>
      <c r="BE147" s="15">
        <v>113.91</v>
      </c>
      <c r="BF147" s="15">
        <v>123.42</v>
      </c>
      <c r="BG147" s="15">
        <v>133.28</v>
      </c>
      <c r="BH147" s="15">
        <v>143.87</v>
      </c>
      <c r="BI147" s="15">
        <v>155.29</v>
      </c>
      <c r="BJ147" s="15">
        <v>167.45</v>
      </c>
      <c r="BK147" s="15">
        <v>180.52</v>
      </c>
      <c r="BL147" s="15">
        <v>194.49</v>
      </c>
      <c r="BM147" s="15">
        <v>209.7</v>
      </c>
      <c r="BN147" s="15">
        <v>226.09</v>
      </c>
      <c r="BO147" s="15">
        <v>243.76</v>
      </c>
      <c r="BP147" s="15">
        <v>263.33</v>
      </c>
      <c r="BQ147" s="15">
        <v>286.01</v>
      </c>
      <c r="BR147" s="15">
        <v>312.17</v>
      </c>
      <c r="BS147" s="15">
        <v>340.03</v>
      </c>
      <c r="BT147" s="15">
        <v>368.16</v>
      </c>
      <c r="BU147" s="15">
        <v>398.12</v>
      </c>
      <c r="BV147" s="15">
        <v>432.07</v>
      </c>
      <c r="BW147" s="15">
        <v>470.65</v>
      </c>
      <c r="BX147" s="15">
        <v>513.42999999999995</v>
      </c>
      <c r="BY147" s="15">
        <v>561.41999999999996</v>
      </c>
      <c r="BZ147" s="15">
        <v>616.04</v>
      </c>
      <c r="CA147" s="15">
        <v>678.08</v>
      </c>
      <c r="CB147" s="15">
        <v>748.26</v>
      </c>
      <c r="CC147" s="15">
        <v>827.3</v>
      </c>
      <c r="CD147" s="15">
        <v>915.72</v>
      </c>
      <c r="CE147" s="15">
        <v>1014.21</v>
      </c>
      <c r="CF147" s="15">
        <v>1124.02</v>
      </c>
      <c r="CG147" s="15">
        <v>1247.01</v>
      </c>
      <c r="CH147" s="15">
        <v>1385.18</v>
      </c>
      <c r="CI147" s="15">
        <v>1539.46</v>
      </c>
      <c r="CJ147" s="15">
        <v>1710.91</v>
      </c>
      <c r="CK147" s="15">
        <v>1901.26</v>
      </c>
      <c r="CL147" s="15">
        <v>2111.92</v>
      </c>
      <c r="CM147" s="15">
        <v>2344.4899999999998</v>
      </c>
      <c r="CN147" s="15">
        <v>2600.92</v>
      </c>
      <c r="CO147" s="15">
        <v>2884.44</v>
      </c>
      <c r="CP147" s="15">
        <v>3197.79</v>
      </c>
      <c r="CQ147" s="15">
        <v>3540.43</v>
      </c>
      <c r="CR147" s="15">
        <v>3908.27</v>
      </c>
      <c r="CS147" s="15">
        <v>4293.8999999999996</v>
      </c>
      <c r="CT147" s="15">
        <v>4688.75</v>
      </c>
      <c r="CU147" s="15">
        <v>5091.6499999999996</v>
      </c>
      <c r="CV147" s="15">
        <v>5511.86</v>
      </c>
      <c r="CW147" s="15">
        <v>5964.34</v>
      </c>
      <c r="CX147" s="15">
        <v>6468.87</v>
      </c>
    </row>
    <row r="148" spans="1:102" x14ac:dyDescent="0.25">
      <c r="A148" s="71">
        <v>2041</v>
      </c>
      <c r="B148" s="15">
        <v>225.78</v>
      </c>
      <c r="C148" s="15">
        <v>22.48</v>
      </c>
      <c r="D148" s="15">
        <v>10.84</v>
      </c>
      <c r="E148" s="15">
        <v>6.18</v>
      </c>
      <c r="F148" s="15">
        <v>5.38</v>
      </c>
      <c r="G148" s="15">
        <v>5.01</v>
      </c>
      <c r="H148" s="15">
        <v>4.63</v>
      </c>
      <c r="I148" s="15">
        <v>4.1399999999999997</v>
      </c>
      <c r="J148" s="15">
        <v>3.65</v>
      </c>
      <c r="K148" s="15">
        <v>3.4</v>
      </c>
      <c r="L148" s="15">
        <v>3.52</v>
      </c>
      <c r="M148" s="15">
        <v>3.76</v>
      </c>
      <c r="N148" s="15">
        <v>4.12</v>
      </c>
      <c r="O148" s="15">
        <v>4.72</v>
      </c>
      <c r="P148" s="15">
        <v>5.44</v>
      </c>
      <c r="Q148" s="15">
        <v>6.21</v>
      </c>
      <c r="R148" s="15">
        <v>6.85</v>
      </c>
      <c r="S148" s="15">
        <v>7.66</v>
      </c>
      <c r="T148" s="15">
        <v>8.3699999999999992</v>
      </c>
      <c r="U148" s="15">
        <v>9.1199999999999992</v>
      </c>
      <c r="V148" s="15">
        <v>9.68</v>
      </c>
      <c r="W148" s="15">
        <v>9.82</v>
      </c>
      <c r="X148" s="15">
        <v>9.94</v>
      </c>
      <c r="Y148" s="15">
        <v>10.17</v>
      </c>
      <c r="Z148" s="15">
        <v>10.52</v>
      </c>
      <c r="AA148" s="15">
        <v>11.29</v>
      </c>
      <c r="AB148" s="15">
        <v>12.35</v>
      </c>
      <c r="AC148" s="15">
        <v>13.84</v>
      </c>
      <c r="AD148" s="15">
        <v>15.43</v>
      </c>
      <c r="AE148" s="15">
        <v>17.12</v>
      </c>
      <c r="AF148" s="15">
        <v>18.920000000000002</v>
      </c>
      <c r="AG148" s="15">
        <v>20.67</v>
      </c>
      <c r="AH148" s="15">
        <v>22.37</v>
      </c>
      <c r="AI148" s="15">
        <v>24.06</v>
      </c>
      <c r="AJ148" s="15">
        <v>25.97</v>
      </c>
      <c r="AK148" s="15">
        <v>28.11</v>
      </c>
      <c r="AL148" s="15">
        <v>30.47</v>
      </c>
      <c r="AM148" s="15">
        <v>33.15</v>
      </c>
      <c r="AN148" s="15">
        <v>35.93</v>
      </c>
      <c r="AO148" s="15">
        <v>38.659999999999997</v>
      </c>
      <c r="AP148" s="15">
        <v>41.18</v>
      </c>
      <c r="AQ148" s="15">
        <v>43.14</v>
      </c>
      <c r="AR148" s="15">
        <v>44.93</v>
      </c>
      <c r="AS148" s="15">
        <v>46.47</v>
      </c>
      <c r="AT148" s="15">
        <v>48.48</v>
      </c>
      <c r="AU148" s="15">
        <v>50.75</v>
      </c>
      <c r="AV148" s="15">
        <v>53.29</v>
      </c>
      <c r="AW148" s="15">
        <v>56.93</v>
      </c>
      <c r="AX148" s="15">
        <v>61.51</v>
      </c>
      <c r="AY148" s="15">
        <v>66.95</v>
      </c>
      <c r="AZ148" s="15">
        <v>73.180000000000007</v>
      </c>
      <c r="BA148" s="15">
        <v>79.989999999999995</v>
      </c>
      <c r="BB148" s="15">
        <v>87.49</v>
      </c>
      <c r="BC148" s="15">
        <v>95.43</v>
      </c>
      <c r="BD148" s="15">
        <v>103.76</v>
      </c>
      <c r="BE148" s="15">
        <v>112.59</v>
      </c>
      <c r="BF148" s="15">
        <v>121.88</v>
      </c>
      <c r="BG148" s="15">
        <v>131.63</v>
      </c>
      <c r="BH148" s="15">
        <v>142.19999999999999</v>
      </c>
      <c r="BI148" s="15">
        <v>153.38999999999999</v>
      </c>
      <c r="BJ148" s="15">
        <v>165.48</v>
      </c>
      <c r="BK148" s="15">
        <v>178.3</v>
      </c>
      <c r="BL148" s="15">
        <v>192.23</v>
      </c>
      <c r="BM148" s="15">
        <v>207.13</v>
      </c>
      <c r="BN148" s="15">
        <v>223.2</v>
      </c>
      <c r="BO148" s="15">
        <v>240.81</v>
      </c>
      <c r="BP148" s="15">
        <v>260.19</v>
      </c>
      <c r="BQ148" s="15">
        <v>282.5</v>
      </c>
      <c r="BR148" s="15">
        <v>308.43</v>
      </c>
      <c r="BS148" s="15">
        <v>335.87</v>
      </c>
      <c r="BT148" s="15">
        <v>363.75</v>
      </c>
      <c r="BU148" s="15">
        <v>393.35</v>
      </c>
      <c r="BV148" s="15">
        <v>426.9</v>
      </c>
      <c r="BW148" s="15">
        <v>465.02</v>
      </c>
      <c r="BX148" s="15">
        <v>507.28</v>
      </c>
      <c r="BY148" s="15">
        <v>554.70000000000005</v>
      </c>
      <c r="BZ148" s="15">
        <v>608.66999999999996</v>
      </c>
      <c r="CA148" s="15">
        <v>669.98</v>
      </c>
      <c r="CB148" s="15">
        <v>739.32</v>
      </c>
      <c r="CC148" s="15">
        <v>817.42</v>
      </c>
      <c r="CD148" s="15">
        <v>904.79</v>
      </c>
      <c r="CE148" s="15">
        <v>1002.11</v>
      </c>
      <c r="CF148" s="15">
        <v>1110.6199999999999</v>
      </c>
      <c r="CG148" s="15">
        <v>1232.1500000000001</v>
      </c>
      <c r="CH148" s="15">
        <v>1368.7</v>
      </c>
      <c r="CI148" s="15">
        <v>1521.15</v>
      </c>
      <c r="CJ148" s="15">
        <v>1690.59</v>
      </c>
      <c r="CK148" s="15">
        <v>1878.7</v>
      </c>
      <c r="CL148" s="15">
        <v>2086.9</v>
      </c>
      <c r="CM148" s="15">
        <v>2316.7600000000002</v>
      </c>
      <c r="CN148" s="15">
        <v>2570.21</v>
      </c>
      <c r="CO148" s="15">
        <v>2850.45</v>
      </c>
      <c r="CP148" s="15">
        <v>3160.19</v>
      </c>
      <c r="CQ148" s="15">
        <v>3498.91</v>
      </c>
      <c r="CR148" s="15">
        <v>3862.55</v>
      </c>
      <c r="CS148" s="15">
        <v>4243.83</v>
      </c>
      <c r="CT148" s="15">
        <v>4634.2299999999996</v>
      </c>
      <c r="CU148" s="15">
        <v>5032.63</v>
      </c>
      <c r="CV148" s="15">
        <v>5448.17</v>
      </c>
      <c r="CW148" s="15">
        <v>5895.65</v>
      </c>
      <c r="CX148" s="15">
        <v>6394.66</v>
      </c>
    </row>
    <row r="149" spans="1:102" x14ac:dyDescent="0.25">
      <c r="A149" s="71">
        <v>2042</v>
      </c>
      <c r="B149" s="15">
        <v>223.22</v>
      </c>
      <c r="C149" s="15">
        <v>22.23</v>
      </c>
      <c r="D149" s="15">
        <v>10.65</v>
      </c>
      <c r="E149" s="15">
        <v>6.08</v>
      </c>
      <c r="F149" s="15">
        <v>5.34</v>
      </c>
      <c r="G149" s="15">
        <v>4.97</v>
      </c>
      <c r="H149" s="15">
        <v>4.5999999999999996</v>
      </c>
      <c r="I149" s="15">
        <v>4.05</v>
      </c>
      <c r="J149" s="15">
        <v>3.62</v>
      </c>
      <c r="K149" s="15">
        <v>3.38</v>
      </c>
      <c r="L149" s="15">
        <v>3.5</v>
      </c>
      <c r="M149" s="15">
        <v>3.67</v>
      </c>
      <c r="N149" s="15">
        <v>4.03</v>
      </c>
      <c r="O149" s="15">
        <v>4.6900000000000004</v>
      </c>
      <c r="P149" s="15">
        <v>5.41</v>
      </c>
      <c r="Q149" s="15">
        <v>6.05</v>
      </c>
      <c r="R149" s="15">
        <v>6.81</v>
      </c>
      <c r="S149" s="15">
        <v>7.55</v>
      </c>
      <c r="T149" s="15">
        <v>8.26</v>
      </c>
      <c r="U149" s="15">
        <v>9.07</v>
      </c>
      <c r="V149" s="15">
        <v>9.44</v>
      </c>
      <c r="W149" s="15">
        <v>9.65</v>
      </c>
      <c r="X149" s="15">
        <v>9.77</v>
      </c>
      <c r="Y149" s="15">
        <v>10.050000000000001</v>
      </c>
      <c r="Z149" s="15">
        <v>10.46</v>
      </c>
      <c r="AA149" s="15">
        <v>11.17</v>
      </c>
      <c r="AB149" s="15">
        <v>12.18</v>
      </c>
      <c r="AC149" s="15">
        <v>13.66</v>
      </c>
      <c r="AD149" s="15">
        <v>15.29</v>
      </c>
      <c r="AE149" s="15">
        <v>16.920000000000002</v>
      </c>
      <c r="AF149" s="15">
        <v>18.66</v>
      </c>
      <c r="AG149" s="15">
        <v>20.399999999999999</v>
      </c>
      <c r="AH149" s="15">
        <v>22.09</v>
      </c>
      <c r="AI149" s="15">
        <v>23.77</v>
      </c>
      <c r="AJ149" s="15">
        <v>25.67</v>
      </c>
      <c r="AK149" s="15">
        <v>27.85</v>
      </c>
      <c r="AL149" s="15">
        <v>30.09</v>
      </c>
      <c r="AM149" s="15">
        <v>32.65</v>
      </c>
      <c r="AN149" s="15">
        <v>35.520000000000003</v>
      </c>
      <c r="AO149" s="15">
        <v>38.229999999999997</v>
      </c>
      <c r="AP149" s="15">
        <v>40.69</v>
      </c>
      <c r="AQ149" s="15">
        <v>42.63</v>
      </c>
      <c r="AR149" s="15">
        <v>44.26</v>
      </c>
      <c r="AS149" s="15">
        <v>45.9</v>
      </c>
      <c r="AT149" s="15">
        <v>47.9</v>
      </c>
      <c r="AU149" s="15">
        <v>50</v>
      </c>
      <c r="AV149" s="15">
        <v>52.62</v>
      </c>
      <c r="AW149" s="15">
        <v>56.29</v>
      </c>
      <c r="AX149" s="15">
        <v>60.8</v>
      </c>
      <c r="AY149" s="15">
        <v>66.209999999999994</v>
      </c>
      <c r="AZ149" s="15">
        <v>72.290000000000006</v>
      </c>
      <c r="BA149" s="15">
        <v>79.010000000000005</v>
      </c>
      <c r="BB149" s="15">
        <v>86.37</v>
      </c>
      <c r="BC149" s="15">
        <v>94.32</v>
      </c>
      <c r="BD149" s="15">
        <v>102.54</v>
      </c>
      <c r="BE149" s="15">
        <v>111.21</v>
      </c>
      <c r="BF149" s="15">
        <v>120.34</v>
      </c>
      <c r="BG149" s="15">
        <v>130.19</v>
      </c>
      <c r="BH149" s="15">
        <v>140.49</v>
      </c>
      <c r="BI149" s="15">
        <v>151.56</v>
      </c>
      <c r="BJ149" s="15">
        <v>163.47</v>
      </c>
      <c r="BK149" s="15">
        <v>176.21</v>
      </c>
      <c r="BL149" s="15">
        <v>189.89</v>
      </c>
      <c r="BM149" s="15">
        <v>204.49</v>
      </c>
      <c r="BN149" s="15">
        <v>220.57</v>
      </c>
      <c r="BO149" s="15">
        <v>238.01</v>
      </c>
      <c r="BP149" s="15">
        <v>257</v>
      </c>
      <c r="BQ149" s="15">
        <v>279.12</v>
      </c>
      <c r="BR149" s="15">
        <v>304.76</v>
      </c>
      <c r="BS149" s="15">
        <v>331.81</v>
      </c>
      <c r="BT149" s="15">
        <v>359.39</v>
      </c>
      <c r="BU149" s="15">
        <v>388.64</v>
      </c>
      <c r="BV149" s="15">
        <v>421.79</v>
      </c>
      <c r="BW149" s="15">
        <v>459.45</v>
      </c>
      <c r="BX149" s="15">
        <v>501.21</v>
      </c>
      <c r="BY149" s="15">
        <v>548.05999999999995</v>
      </c>
      <c r="BZ149" s="15">
        <v>601.39</v>
      </c>
      <c r="CA149" s="15">
        <v>661.97</v>
      </c>
      <c r="CB149" s="15">
        <v>730.49</v>
      </c>
      <c r="CC149" s="15">
        <v>807.66</v>
      </c>
      <c r="CD149" s="15">
        <v>893.99</v>
      </c>
      <c r="CE149" s="15">
        <v>990.16</v>
      </c>
      <c r="CF149" s="15">
        <v>1097.3800000000001</v>
      </c>
      <c r="CG149" s="15">
        <v>1217.47</v>
      </c>
      <c r="CH149" s="15">
        <v>1352.41</v>
      </c>
      <c r="CI149" s="15">
        <v>1503.07</v>
      </c>
      <c r="CJ149" s="15">
        <v>1670.51</v>
      </c>
      <c r="CK149" s="15">
        <v>1856.42</v>
      </c>
      <c r="CL149" s="15">
        <v>2062.17</v>
      </c>
      <c r="CM149" s="15">
        <v>2289.35</v>
      </c>
      <c r="CN149" s="15">
        <v>2539.86</v>
      </c>
      <c r="CO149" s="15">
        <v>2816.86</v>
      </c>
      <c r="CP149" s="15">
        <v>3123.03</v>
      </c>
      <c r="CQ149" s="15">
        <v>3457.87</v>
      </c>
      <c r="CR149" s="15">
        <v>3817.38</v>
      </c>
      <c r="CS149" s="15">
        <v>4194.34</v>
      </c>
      <c r="CT149" s="15">
        <v>4580.3500000000004</v>
      </c>
      <c r="CU149" s="15">
        <v>4974.3</v>
      </c>
      <c r="CV149" s="15">
        <v>5385.22</v>
      </c>
      <c r="CW149" s="15">
        <v>5827.76</v>
      </c>
      <c r="CX149" s="15">
        <v>6321.3</v>
      </c>
    </row>
    <row r="150" spans="1:102" x14ac:dyDescent="0.25">
      <c r="A150" s="71">
        <v>2043</v>
      </c>
      <c r="B150" s="15">
        <v>220.56</v>
      </c>
      <c r="C150" s="15">
        <v>22.08</v>
      </c>
      <c r="D150" s="15">
        <v>10.53</v>
      </c>
      <c r="E150" s="15">
        <v>6.05</v>
      </c>
      <c r="F150" s="15">
        <v>5.31</v>
      </c>
      <c r="G150" s="15">
        <v>4.9400000000000004</v>
      </c>
      <c r="H150" s="15">
        <v>4.5199999999999996</v>
      </c>
      <c r="I150" s="15">
        <v>3.97</v>
      </c>
      <c r="J150" s="15">
        <v>3.6</v>
      </c>
      <c r="K150" s="15">
        <v>3.36</v>
      </c>
      <c r="L150" s="15">
        <v>3.36</v>
      </c>
      <c r="M150" s="15">
        <v>3.53</v>
      </c>
      <c r="N150" s="15">
        <v>3.95</v>
      </c>
      <c r="O150" s="15">
        <v>4.66</v>
      </c>
      <c r="P150" s="15">
        <v>5.32</v>
      </c>
      <c r="Q150" s="15">
        <v>5.96</v>
      </c>
      <c r="R150" s="15">
        <v>6.77</v>
      </c>
      <c r="S150" s="15">
        <v>7.45</v>
      </c>
      <c r="T150" s="15">
        <v>8.2100000000000009</v>
      </c>
      <c r="U150" s="15">
        <v>8.84</v>
      </c>
      <c r="V150" s="15">
        <v>9.16</v>
      </c>
      <c r="W150" s="15">
        <v>9.49</v>
      </c>
      <c r="X150" s="15">
        <v>9.7200000000000006</v>
      </c>
      <c r="Y150" s="15">
        <v>10</v>
      </c>
      <c r="Z150" s="15">
        <v>10.4</v>
      </c>
      <c r="AA150" s="15">
        <v>10.95</v>
      </c>
      <c r="AB150" s="15">
        <v>12.01</v>
      </c>
      <c r="AC150" s="15">
        <v>13.48</v>
      </c>
      <c r="AD150" s="15">
        <v>15.11</v>
      </c>
      <c r="AE150" s="15">
        <v>16.73</v>
      </c>
      <c r="AF150" s="15">
        <v>18.46</v>
      </c>
      <c r="AG150" s="15">
        <v>20.14</v>
      </c>
      <c r="AH150" s="15">
        <v>21.77</v>
      </c>
      <c r="AI150" s="15">
        <v>23.45</v>
      </c>
      <c r="AJ150" s="15">
        <v>25.39</v>
      </c>
      <c r="AK150" s="15">
        <v>27.5</v>
      </c>
      <c r="AL150" s="15">
        <v>29.63</v>
      </c>
      <c r="AM150" s="15">
        <v>32.28</v>
      </c>
      <c r="AN150" s="15">
        <v>35.130000000000003</v>
      </c>
      <c r="AO150" s="15">
        <v>37.83</v>
      </c>
      <c r="AP150" s="15">
        <v>40.17</v>
      </c>
      <c r="AQ150" s="15">
        <v>42.16</v>
      </c>
      <c r="AR150" s="15">
        <v>43.68</v>
      </c>
      <c r="AS150" s="15">
        <v>45.4</v>
      </c>
      <c r="AT150" s="15">
        <v>47.24</v>
      </c>
      <c r="AU150" s="15">
        <v>49.27</v>
      </c>
      <c r="AV150" s="15">
        <v>52.04</v>
      </c>
      <c r="AW150" s="15">
        <v>55.59</v>
      </c>
      <c r="AX150" s="15">
        <v>60.13</v>
      </c>
      <c r="AY150" s="15">
        <v>65.400000000000006</v>
      </c>
      <c r="AZ150" s="15">
        <v>71.400000000000006</v>
      </c>
      <c r="BA150" s="15">
        <v>78.03</v>
      </c>
      <c r="BB150" s="15">
        <v>85.35</v>
      </c>
      <c r="BC150" s="15">
        <v>93.15</v>
      </c>
      <c r="BD150" s="15">
        <v>101.33</v>
      </c>
      <c r="BE150" s="15">
        <v>109.8</v>
      </c>
      <c r="BF150" s="15">
        <v>118.94</v>
      </c>
      <c r="BG150" s="15">
        <v>128.62</v>
      </c>
      <c r="BH150" s="15">
        <v>138.81</v>
      </c>
      <c r="BI150" s="15">
        <v>149.72</v>
      </c>
      <c r="BJ150" s="15">
        <v>161.51</v>
      </c>
      <c r="BK150" s="15">
        <v>174.12</v>
      </c>
      <c r="BL150" s="15">
        <v>187.52</v>
      </c>
      <c r="BM150" s="15">
        <v>202.14</v>
      </c>
      <c r="BN150" s="15">
        <v>217.96</v>
      </c>
      <c r="BO150" s="15">
        <v>235.14</v>
      </c>
      <c r="BP150" s="15">
        <v>253.97</v>
      </c>
      <c r="BQ150" s="15">
        <v>275.85000000000002</v>
      </c>
      <c r="BR150" s="15">
        <v>301.08</v>
      </c>
      <c r="BS150" s="15">
        <v>327.84</v>
      </c>
      <c r="BT150" s="15">
        <v>355.09</v>
      </c>
      <c r="BU150" s="15">
        <v>383.99</v>
      </c>
      <c r="BV150" s="15">
        <v>416.74</v>
      </c>
      <c r="BW150" s="15">
        <v>453.95</v>
      </c>
      <c r="BX150" s="15">
        <v>495.21</v>
      </c>
      <c r="BY150" s="15">
        <v>541.51</v>
      </c>
      <c r="BZ150" s="15">
        <v>594.20000000000005</v>
      </c>
      <c r="CA150" s="15">
        <v>654.04999999999995</v>
      </c>
      <c r="CB150" s="15">
        <v>721.76</v>
      </c>
      <c r="CC150" s="15">
        <v>798.01</v>
      </c>
      <c r="CD150" s="15">
        <v>883.31</v>
      </c>
      <c r="CE150" s="15">
        <v>978.34</v>
      </c>
      <c r="CF150" s="15">
        <v>1084.3</v>
      </c>
      <c r="CG150" s="15">
        <v>1202.97</v>
      </c>
      <c r="CH150" s="15">
        <v>1336.31</v>
      </c>
      <c r="CI150" s="15">
        <v>1485.19</v>
      </c>
      <c r="CJ150" s="15">
        <v>1650.67</v>
      </c>
      <c r="CK150" s="15">
        <v>1834.39</v>
      </c>
      <c r="CL150" s="15">
        <v>2037.75</v>
      </c>
      <c r="CM150" s="15">
        <v>2262.27</v>
      </c>
      <c r="CN150" s="15">
        <v>2509.87</v>
      </c>
      <c r="CO150" s="15">
        <v>2783.66</v>
      </c>
      <c r="CP150" s="15">
        <v>3086.31</v>
      </c>
      <c r="CQ150" s="15">
        <v>3417.32</v>
      </c>
      <c r="CR150" s="15">
        <v>3772.73</v>
      </c>
      <c r="CS150" s="15">
        <v>4145.43</v>
      </c>
      <c r="CT150" s="15">
        <v>4527.1000000000004</v>
      </c>
      <c r="CU150" s="15">
        <v>4916.6499999999996</v>
      </c>
      <c r="CV150" s="15">
        <v>5323</v>
      </c>
      <c r="CW150" s="15">
        <v>5760.65</v>
      </c>
      <c r="CX150" s="15">
        <v>6248.79</v>
      </c>
    </row>
    <row r="151" spans="1:102" x14ac:dyDescent="0.25">
      <c r="A151" s="71">
        <v>2044</v>
      </c>
      <c r="B151" s="15">
        <v>217.83</v>
      </c>
      <c r="C151" s="15">
        <v>21.95</v>
      </c>
      <c r="D151" s="15">
        <v>10.42</v>
      </c>
      <c r="E151" s="15">
        <v>6.01</v>
      </c>
      <c r="F151" s="15">
        <v>5.23</v>
      </c>
      <c r="G151" s="15">
        <v>4.92</v>
      </c>
      <c r="H151" s="15">
        <v>4.37</v>
      </c>
      <c r="I151" s="15">
        <v>3.95</v>
      </c>
      <c r="J151" s="15">
        <v>3.53</v>
      </c>
      <c r="K151" s="15">
        <v>3.28</v>
      </c>
      <c r="L151" s="15">
        <v>3.22</v>
      </c>
      <c r="M151" s="15">
        <v>3.46</v>
      </c>
      <c r="N151" s="15">
        <v>3.93</v>
      </c>
      <c r="O151" s="15">
        <v>4.6399999999999997</v>
      </c>
      <c r="P151" s="15">
        <v>5.23</v>
      </c>
      <c r="Q151" s="15">
        <v>5.93</v>
      </c>
      <c r="R151" s="15">
        <v>6.68</v>
      </c>
      <c r="S151" s="15">
        <v>7.35</v>
      </c>
      <c r="T151" s="15">
        <v>8.11</v>
      </c>
      <c r="U151" s="15">
        <v>8.51</v>
      </c>
      <c r="V151" s="15">
        <v>8.9499999999999993</v>
      </c>
      <c r="W151" s="15">
        <v>9.3800000000000008</v>
      </c>
      <c r="X151" s="15">
        <v>9.67</v>
      </c>
      <c r="Y151" s="15">
        <v>9.9</v>
      </c>
      <c r="Z151" s="15">
        <v>10.25</v>
      </c>
      <c r="AA151" s="15">
        <v>10.8</v>
      </c>
      <c r="AB151" s="15">
        <v>11.9</v>
      </c>
      <c r="AC151" s="15">
        <v>13.37</v>
      </c>
      <c r="AD151" s="15">
        <v>14.94</v>
      </c>
      <c r="AE151" s="15">
        <v>16.55</v>
      </c>
      <c r="AF151" s="15">
        <v>18.27</v>
      </c>
      <c r="AG151" s="15">
        <v>19.89</v>
      </c>
      <c r="AH151" s="15">
        <v>21.51</v>
      </c>
      <c r="AI151" s="15">
        <v>23.08</v>
      </c>
      <c r="AJ151" s="15">
        <v>25.02</v>
      </c>
      <c r="AK151" s="15">
        <v>27.02</v>
      </c>
      <c r="AL151" s="15">
        <v>29.24</v>
      </c>
      <c r="AM151" s="15">
        <v>31.98</v>
      </c>
      <c r="AN151" s="15">
        <v>34.72</v>
      </c>
      <c r="AO151" s="15">
        <v>37.4</v>
      </c>
      <c r="AP151" s="15">
        <v>39.630000000000003</v>
      </c>
      <c r="AQ151" s="15">
        <v>41.61</v>
      </c>
      <c r="AR151" s="15">
        <v>43.22</v>
      </c>
      <c r="AS151" s="15">
        <v>44.84</v>
      </c>
      <c r="AT151" s="15">
        <v>46.61</v>
      </c>
      <c r="AU151" s="15">
        <v>48.64</v>
      </c>
      <c r="AV151" s="15">
        <v>51.44</v>
      </c>
      <c r="AW151" s="15">
        <v>54.92</v>
      </c>
      <c r="AX151" s="15">
        <v>59.39</v>
      </c>
      <c r="AY151" s="15">
        <v>64.59</v>
      </c>
      <c r="AZ151" s="15">
        <v>70.56</v>
      </c>
      <c r="BA151" s="15">
        <v>77.16</v>
      </c>
      <c r="BB151" s="15">
        <v>84.35</v>
      </c>
      <c r="BC151" s="15">
        <v>91.95</v>
      </c>
      <c r="BD151" s="15">
        <v>99.99</v>
      </c>
      <c r="BE151" s="15">
        <v>108.47</v>
      </c>
      <c r="BF151" s="15">
        <v>117.46</v>
      </c>
      <c r="BG151" s="15">
        <v>127.05</v>
      </c>
      <c r="BH151" s="15">
        <v>137.09</v>
      </c>
      <c r="BI151" s="15">
        <v>147.99</v>
      </c>
      <c r="BJ151" s="15">
        <v>159.51</v>
      </c>
      <c r="BK151" s="15">
        <v>171.96</v>
      </c>
      <c r="BL151" s="15">
        <v>185.29</v>
      </c>
      <c r="BM151" s="15">
        <v>199.73</v>
      </c>
      <c r="BN151" s="15">
        <v>215.37</v>
      </c>
      <c r="BO151" s="15">
        <v>232.4</v>
      </c>
      <c r="BP151" s="15">
        <v>251.03</v>
      </c>
      <c r="BQ151" s="15">
        <v>272.52999999999997</v>
      </c>
      <c r="BR151" s="15">
        <v>297.47000000000003</v>
      </c>
      <c r="BS151" s="15">
        <v>323.91000000000003</v>
      </c>
      <c r="BT151" s="15">
        <v>350.84</v>
      </c>
      <c r="BU151" s="15">
        <v>379.39</v>
      </c>
      <c r="BV151" s="15">
        <v>411.75</v>
      </c>
      <c r="BW151" s="15">
        <v>448.52</v>
      </c>
      <c r="BX151" s="15">
        <v>489.29</v>
      </c>
      <c r="BY151" s="15">
        <v>535.03</v>
      </c>
      <c r="BZ151" s="15">
        <v>587.1</v>
      </c>
      <c r="CA151" s="15">
        <v>646.23</v>
      </c>
      <c r="CB151" s="15">
        <v>713.13</v>
      </c>
      <c r="CC151" s="15">
        <v>788.48</v>
      </c>
      <c r="CD151" s="15">
        <v>872.77</v>
      </c>
      <c r="CE151" s="15">
        <v>966.67</v>
      </c>
      <c r="CF151" s="15">
        <v>1071.3699999999999</v>
      </c>
      <c r="CG151" s="15">
        <v>1188.6400000000001</v>
      </c>
      <c r="CH151" s="15">
        <v>1320.41</v>
      </c>
      <c r="CI151" s="15">
        <v>1467.53</v>
      </c>
      <c r="CJ151" s="15">
        <v>1631.06</v>
      </c>
      <c r="CK151" s="15">
        <v>1812.63</v>
      </c>
      <c r="CL151" s="15">
        <v>2013.6</v>
      </c>
      <c r="CM151" s="15">
        <v>2235.52</v>
      </c>
      <c r="CN151" s="15">
        <v>2480.23</v>
      </c>
      <c r="CO151" s="15">
        <v>2750.86</v>
      </c>
      <c r="CP151" s="15">
        <v>3050.02</v>
      </c>
      <c r="CQ151" s="15">
        <v>3377.24</v>
      </c>
      <c r="CR151" s="15">
        <v>3728.6</v>
      </c>
      <c r="CS151" s="15">
        <v>4097.08</v>
      </c>
      <c r="CT151" s="15">
        <v>4474.47</v>
      </c>
      <c r="CU151" s="15">
        <v>4859.66</v>
      </c>
      <c r="CV151" s="15">
        <v>5261.49</v>
      </c>
      <c r="CW151" s="15">
        <v>5694.32</v>
      </c>
      <c r="CX151" s="15">
        <v>6177.1</v>
      </c>
    </row>
    <row r="152" spans="1:102" x14ac:dyDescent="0.25">
      <c r="A152" s="71">
        <v>2045</v>
      </c>
      <c r="B152" s="15">
        <v>215.3</v>
      </c>
      <c r="C152" s="15">
        <v>21.68</v>
      </c>
      <c r="D152" s="15">
        <v>10.31</v>
      </c>
      <c r="E152" s="15">
        <v>5.93</v>
      </c>
      <c r="F152" s="15">
        <v>5.14</v>
      </c>
      <c r="G152" s="15">
        <v>4.78</v>
      </c>
      <c r="H152" s="15">
        <v>4.3</v>
      </c>
      <c r="I152" s="15">
        <v>3.87</v>
      </c>
      <c r="J152" s="15">
        <v>3.39</v>
      </c>
      <c r="K152" s="15">
        <v>3.15</v>
      </c>
      <c r="L152" s="15">
        <v>3.21</v>
      </c>
      <c r="M152" s="15">
        <v>3.44</v>
      </c>
      <c r="N152" s="15">
        <v>3.91</v>
      </c>
      <c r="O152" s="15">
        <v>4.62</v>
      </c>
      <c r="P152" s="15">
        <v>5.21</v>
      </c>
      <c r="Q152" s="15">
        <v>5.84</v>
      </c>
      <c r="R152" s="15">
        <v>6.53</v>
      </c>
      <c r="S152" s="15">
        <v>7.26</v>
      </c>
      <c r="T152" s="15">
        <v>7.9</v>
      </c>
      <c r="U152" s="15">
        <v>8.31</v>
      </c>
      <c r="V152" s="15">
        <v>8.8000000000000007</v>
      </c>
      <c r="W152" s="15">
        <v>9.35</v>
      </c>
      <c r="X152" s="15">
        <v>9.5299999999999994</v>
      </c>
      <c r="Y152" s="15">
        <v>9.75</v>
      </c>
      <c r="Z152" s="15">
        <v>10.1</v>
      </c>
      <c r="AA152" s="15">
        <v>10.75</v>
      </c>
      <c r="AB152" s="15">
        <v>11.8</v>
      </c>
      <c r="AC152" s="15">
        <v>13.21</v>
      </c>
      <c r="AD152" s="15">
        <v>14.72</v>
      </c>
      <c r="AE152" s="15">
        <v>16.329999999999998</v>
      </c>
      <c r="AF152" s="15">
        <v>18.05</v>
      </c>
      <c r="AG152" s="15">
        <v>19.72</v>
      </c>
      <c r="AH152" s="15">
        <v>21.18</v>
      </c>
      <c r="AI152" s="15">
        <v>22.79</v>
      </c>
      <c r="AJ152" s="15">
        <v>24.62</v>
      </c>
      <c r="AK152" s="15">
        <v>26.61</v>
      </c>
      <c r="AL152" s="15">
        <v>28.98</v>
      </c>
      <c r="AM152" s="15">
        <v>31.55</v>
      </c>
      <c r="AN152" s="15">
        <v>34.33</v>
      </c>
      <c r="AO152" s="15">
        <v>36.799999999999997</v>
      </c>
      <c r="AP152" s="15">
        <v>39.08</v>
      </c>
      <c r="AQ152" s="15">
        <v>41.09</v>
      </c>
      <c r="AR152" s="15">
        <v>42.7</v>
      </c>
      <c r="AS152" s="15">
        <v>44.31</v>
      </c>
      <c r="AT152" s="15">
        <v>45.98</v>
      </c>
      <c r="AU152" s="15">
        <v>48.1</v>
      </c>
      <c r="AV152" s="15">
        <v>50.89</v>
      </c>
      <c r="AW152" s="15">
        <v>54.31</v>
      </c>
      <c r="AX152" s="15">
        <v>58.65</v>
      </c>
      <c r="AY152" s="15">
        <v>63.83</v>
      </c>
      <c r="AZ152" s="15">
        <v>69.78</v>
      </c>
      <c r="BA152" s="15">
        <v>76.31</v>
      </c>
      <c r="BB152" s="15">
        <v>83.2</v>
      </c>
      <c r="BC152" s="15">
        <v>90.78</v>
      </c>
      <c r="BD152" s="15">
        <v>98.79</v>
      </c>
      <c r="BE152" s="15">
        <v>107.13</v>
      </c>
      <c r="BF152" s="15">
        <v>116.13</v>
      </c>
      <c r="BG152" s="15">
        <v>125.47</v>
      </c>
      <c r="BH152" s="15">
        <v>135.47</v>
      </c>
      <c r="BI152" s="15">
        <v>146.07</v>
      </c>
      <c r="BJ152" s="15">
        <v>157.59</v>
      </c>
      <c r="BK152" s="15">
        <v>169.83</v>
      </c>
      <c r="BL152" s="15">
        <v>183.05</v>
      </c>
      <c r="BM152" s="15">
        <v>197.32</v>
      </c>
      <c r="BN152" s="15">
        <v>212.78</v>
      </c>
      <c r="BO152" s="15">
        <v>229.64</v>
      </c>
      <c r="BP152" s="15">
        <v>247.97</v>
      </c>
      <c r="BQ152" s="15">
        <v>269.26</v>
      </c>
      <c r="BR152" s="15">
        <v>293.89999999999998</v>
      </c>
      <c r="BS152" s="15">
        <v>320.02999999999997</v>
      </c>
      <c r="BT152" s="15">
        <v>346.63</v>
      </c>
      <c r="BU152" s="15">
        <v>374.84</v>
      </c>
      <c r="BV152" s="15">
        <v>406.82</v>
      </c>
      <c r="BW152" s="15">
        <v>443.15</v>
      </c>
      <c r="BX152" s="15">
        <v>483.43</v>
      </c>
      <c r="BY152" s="15">
        <v>528.63</v>
      </c>
      <c r="BZ152" s="15">
        <v>580.07000000000005</v>
      </c>
      <c r="CA152" s="15">
        <v>638.51</v>
      </c>
      <c r="CB152" s="15">
        <v>704.61</v>
      </c>
      <c r="CC152" s="15">
        <v>779.06</v>
      </c>
      <c r="CD152" s="15">
        <v>862.35</v>
      </c>
      <c r="CE152" s="15">
        <v>955.14</v>
      </c>
      <c r="CF152" s="15">
        <v>1058.5999999999999</v>
      </c>
      <c r="CG152" s="15">
        <v>1174.48</v>
      </c>
      <c r="CH152" s="15">
        <v>1304.69</v>
      </c>
      <c r="CI152" s="15">
        <v>1450.08</v>
      </c>
      <c r="CJ152" s="15">
        <v>1611.69</v>
      </c>
      <c r="CK152" s="15">
        <v>1791.13</v>
      </c>
      <c r="CL152" s="15">
        <v>1989.75</v>
      </c>
      <c r="CM152" s="15">
        <v>2209.0700000000002</v>
      </c>
      <c r="CN152" s="15">
        <v>2450.9499999999998</v>
      </c>
      <c r="CO152" s="15">
        <v>2718.45</v>
      </c>
      <c r="CP152" s="15">
        <v>3014.16</v>
      </c>
      <c r="CQ152" s="15">
        <v>3337.63</v>
      </c>
      <c r="CR152" s="15">
        <v>3684.99</v>
      </c>
      <c r="CS152" s="15">
        <v>4049.3</v>
      </c>
      <c r="CT152" s="15">
        <v>4422.4399999999996</v>
      </c>
      <c r="CU152" s="15">
        <v>4803.33</v>
      </c>
      <c r="CV152" s="15">
        <v>5200.7</v>
      </c>
      <c r="CW152" s="15">
        <v>5628.74</v>
      </c>
      <c r="CX152" s="15">
        <v>6106.24</v>
      </c>
    </row>
    <row r="153" spans="1:102" x14ac:dyDescent="0.25">
      <c r="A153" s="71">
        <v>2046</v>
      </c>
      <c r="B153" s="15">
        <v>212.67</v>
      </c>
      <c r="C153" s="15">
        <v>21.28</v>
      </c>
      <c r="D153" s="15">
        <v>10.220000000000001</v>
      </c>
      <c r="E153" s="15">
        <v>5.85</v>
      </c>
      <c r="F153" s="15">
        <v>5.07</v>
      </c>
      <c r="G153" s="15">
        <v>4.6399999999999997</v>
      </c>
      <c r="H153" s="15">
        <v>4.28</v>
      </c>
      <c r="I153" s="15">
        <v>3.74</v>
      </c>
      <c r="J153" s="15">
        <v>3.26</v>
      </c>
      <c r="K153" s="15">
        <v>3.08</v>
      </c>
      <c r="L153" s="15">
        <v>3.2</v>
      </c>
      <c r="M153" s="15">
        <v>3.43</v>
      </c>
      <c r="N153" s="15">
        <v>3.9</v>
      </c>
      <c r="O153" s="15">
        <v>4.5999999999999996</v>
      </c>
      <c r="P153" s="15">
        <v>5.19</v>
      </c>
      <c r="Q153" s="15">
        <v>5.77</v>
      </c>
      <c r="R153" s="15">
        <v>6.39</v>
      </c>
      <c r="S153" s="15">
        <v>7.18</v>
      </c>
      <c r="T153" s="15">
        <v>7.7</v>
      </c>
      <c r="U153" s="15">
        <v>8.2200000000000006</v>
      </c>
      <c r="V153" s="15">
        <v>8.77</v>
      </c>
      <c r="W153" s="15">
        <v>9.15</v>
      </c>
      <c r="X153" s="15">
        <v>9.39</v>
      </c>
      <c r="Y153" s="15">
        <v>9.67</v>
      </c>
      <c r="Z153" s="15">
        <v>10.07</v>
      </c>
      <c r="AA153" s="15">
        <v>10.62</v>
      </c>
      <c r="AB153" s="15">
        <v>11.66</v>
      </c>
      <c r="AC153" s="15">
        <v>13.07</v>
      </c>
      <c r="AD153" s="15">
        <v>14.52</v>
      </c>
      <c r="AE153" s="15">
        <v>16.13</v>
      </c>
      <c r="AF153" s="15">
        <v>17.89</v>
      </c>
      <c r="AG153" s="15">
        <v>19.399999999999999</v>
      </c>
      <c r="AH153" s="15">
        <v>20.91</v>
      </c>
      <c r="AI153" s="15">
        <v>22.57</v>
      </c>
      <c r="AJ153" s="15">
        <v>24.29</v>
      </c>
      <c r="AK153" s="15">
        <v>26.33</v>
      </c>
      <c r="AL153" s="15">
        <v>28.63</v>
      </c>
      <c r="AM153" s="15">
        <v>31.15</v>
      </c>
      <c r="AN153" s="15">
        <v>33.92</v>
      </c>
      <c r="AO153" s="15">
        <v>36.28</v>
      </c>
      <c r="AP153" s="15">
        <v>38.6</v>
      </c>
      <c r="AQ153" s="15">
        <v>40.56</v>
      </c>
      <c r="AR153" s="15">
        <v>42.27</v>
      </c>
      <c r="AS153" s="15">
        <v>43.82</v>
      </c>
      <c r="AT153" s="15">
        <v>45.43</v>
      </c>
      <c r="AU153" s="15">
        <v>47.59</v>
      </c>
      <c r="AV153" s="15">
        <v>50.28</v>
      </c>
      <c r="AW153" s="15">
        <v>53.73</v>
      </c>
      <c r="AX153" s="15">
        <v>57.96</v>
      </c>
      <c r="AY153" s="15">
        <v>63.02</v>
      </c>
      <c r="AZ153" s="15">
        <v>68.95</v>
      </c>
      <c r="BA153" s="15">
        <v>75.349999999999994</v>
      </c>
      <c r="BB153" s="15">
        <v>82.17</v>
      </c>
      <c r="BC153" s="15">
        <v>89.68</v>
      </c>
      <c r="BD153" s="15">
        <v>97.6</v>
      </c>
      <c r="BE153" s="15">
        <v>105.97</v>
      </c>
      <c r="BF153" s="15">
        <v>114.69</v>
      </c>
      <c r="BG153" s="15">
        <v>123.94</v>
      </c>
      <c r="BH153" s="15">
        <v>133.80000000000001</v>
      </c>
      <c r="BI153" s="15">
        <v>144.31</v>
      </c>
      <c r="BJ153" s="15">
        <v>155.69</v>
      </c>
      <c r="BK153" s="15">
        <v>167.88</v>
      </c>
      <c r="BL153" s="15">
        <v>180.9</v>
      </c>
      <c r="BM153" s="15">
        <v>194.92</v>
      </c>
      <c r="BN153" s="15">
        <v>210.21</v>
      </c>
      <c r="BO153" s="15">
        <v>226.85</v>
      </c>
      <c r="BP153" s="15">
        <v>245</v>
      </c>
      <c r="BQ153" s="15">
        <v>266.02999999999997</v>
      </c>
      <c r="BR153" s="15">
        <v>290.38</v>
      </c>
      <c r="BS153" s="15">
        <v>316.2</v>
      </c>
      <c r="BT153" s="15">
        <v>342.48</v>
      </c>
      <c r="BU153" s="15">
        <v>370.36</v>
      </c>
      <c r="BV153" s="15">
        <v>401.95</v>
      </c>
      <c r="BW153" s="15">
        <v>437.84</v>
      </c>
      <c r="BX153" s="15">
        <v>477.65</v>
      </c>
      <c r="BY153" s="15">
        <v>522.29999999999995</v>
      </c>
      <c r="BZ153" s="15">
        <v>573.14</v>
      </c>
      <c r="CA153" s="15">
        <v>630.87</v>
      </c>
      <c r="CB153" s="15">
        <v>696.19</v>
      </c>
      <c r="CC153" s="15">
        <v>769.76</v>
      </c>
      <c r="CD153" s="15">
        <v>852.06</v>
      </c>
      <c r="CE153" s="15">
        <v>943.74</v>
      </c>
      <c r="CF153" s="15">
        <v>1045.98</v>
      </c>
      <c r="CG153" s="15">
        <v>1160.49</v>
      </c>
      <c r="CH153" s="15">
        <v>1289.1600000000001</v>
      </c>
      <c r="CI153" s="15">
        <v>1432.84</v>
      </c>
      <c r="CJ153" s="15">
        <v>1592.55</v>
      </c>
      <c r="CK153" s="15">
        <v>1769.88</v>
      </c>
      <c r="CL153" s="15">
        <v>1966.18</v>
      </c>
      <c r="CM153" s="15">
        <v>2182.94</v>
      </c>
      <c r="CN153" s="15">
        <v>2422.0100000000002</v>
      </c>
      <c r="CO153" s="15">
        <v>2686.41</v>
      </c>
      <c r="CP153" s="15">
        <v>2978.72</v>
      </c>
      <c r="CQ153" s="15">
        <v>3298.49</v>
      </c>
      <c r="CR153" s="15">
        <v>3641.9</v>
      </c>
      <c r="CS153" s="15">
        <v>4002.08</v>
      </c>
      <c r="CT153" s="15">
        <v>4371.03</v>
      </c>
      <c r="CU153" s="15">
        <v>4747.66</v>
      </c>
      <c r="CV153" s="15">
        <v>5140.6099999999997</v>
      </c>
      <c r="CW153" s="15">
        <v>5563.93</v>
      </c>
      <c r="CX153" s="15">
        <v>6036.19</v>
      </c>
    </row>
    <row r="154" spans="1:102" x14ac:dyDescent="0.25">
      <c r="A154" s="71">
        <v>2047</v>
      </c>
      <c r="B154" s="15">
        <v>209.95</v>
      </c>
      <c r="C154" s="15">
        <v>21.1</v>
      </c>
      <c r="D154" s="15">
        <v>10.14</v>
      </c>
      <c r="E154" s="15">
        <v>5.77</v>
      </c>
      <c r="F154" s="15">
        <v>4.99</v>
      </c>
      <c r="G154" s="15">
        <v>4.63</v>
      </c>
      <c r="H154" s="15">
        <v>4.2699999999999996</v>
      </c>
      <c r="I154" s="15">
        <v>3.67</v>
      </c>
      <c r="J154" s="15">
        <v>3.19</v>
      </c>
      <c r="K154" s="15">
        <v>3.07</v>
      </c>
      <c r="L154" s="15">
        <v>3.19</v>
      </c>
      <c r="M154" s="15">
        <v>3.42</v>
      </c>
      <c r="N154" s="15">
        <v>3.89</v>
      </c>
      <c r="O154" s="15">
        <v>4.53</v>
      </c>
      <c r="P154" s="15">
        <v>5.12</v>
      </c>
      <c r="Q154" s="15">
        <v>5.69</v>
      </c>
      <c r="R154" s="15">
        <v>6.31</v>
      </c>
      <c r="S154" s="15">
        <v>7.04</v>
      </c>
      <c r="T154" s="15">
        <v>7.62</v>
      </c>
      <c r="U154" s="15">
        <v>8.14</v>
      </c>
      <c r="V154" s="15">
        <v>8.64</v>
      </c>
      <c r="W154" s="15">
        <v>8.9600000000000009</v>
      </c>
      <c r="X154" s="15">
        <v>9.31</v>
      </c>
      <c r="Y154" s="15">
        <v>9.5399999999999991</v>
      </c>
      <c r="Z154" s="15">
        <v>9.94</v>
      </c>
      <c r="AA154" s="15">
        <v>10.49</v>
      </c>
      <c r="AB154" s="15">
        <v>11.58</v>
      </c>
      <c r="AC154" s="15">
        <v>12.94</v>
      </c>
      <c r="AD154" s="15">
        <v>14.39</v>
      </c>
      <c r="AE154" s="15">
        <v>15.94</v>
      </c>
      <c r="AF154" s="15">
        <v>17.64</v>
      </c>
      <c r="AG154" s="15">
        <v>19.100000000000001</v>
      </c>
      <c r="AH154" s="15">
        <v>20.76</v>
      </c>
      <c r="AI154" s="15">
        <v>22.31</v>
      </c>
      <c r="AJ154" s="15">
        <v>24.03</v>
      </c>
      <c r="AK154" s="15">
        <v>26.06</v>
      </c>
      <c r="AL154" s="15">
        <v>28.31</v>
      </c>
      <c r="AM154" s="15">
        <v>30.87</v>
      </c>
      <c r="AN154" s="15">
        <v>33.43</v>
      </c>
      <c r="AO154" s="15">
        <v>35.89</v>
      </c>
      <c r="AP154" s="15">
        <v>38.15</v>
      </c>
      <c r="AQ154" s="15">
        <v>40.11</v>
      </c>
      <c r="AR154" s="15">
        <v>41.86</v>
      </c>
      <c r="AS154" s="15">
        <v>43.26</v>
      </c>
      <c r="AT154" s="15">
        <v>44.96</v>
      </c>
      <c r="AU154" s="15">
        <v>46.97</v>
      </c>
      <c r="AV154" s="15">
        <v>49.64</v>
      </c>
      <c r="AW154" s="15">
        <v>53.09</v>
      </c>
      <c r="AX154" s="15">
        <v>57.16</v>
      </c>
      <c r="AY154" s="15">
        <v>62.25</v>
      </c>
      <c r="AZ154" s="15">
        <v>68.12</v>
      </c>
      <c r="BA154" s="15">
        <v>74.45</v>
      </c>
      <c r="BB154" s="15">
        <v>81.260000000000005</v>
      </c>
      <c r="BC154" s="15">
        <v>88.64</v>
      </c>
      <c r="BD154" s="15">
        <v>96.5</v>
      </c>
      <c r="BE154" s="15">
        <v>104.69</v>
      </c>
      <c r="BF154" s="15">
        <v>113.27</v>
      </c>
      <c r="BG154" s="15">
        <v>122.51</v>
      </c>
      <c r="BH154" s="15">
        <v>132.18</v>
      </c>
      <c r="BI154" s="15">
        <v>142.71</v>
      </c>
      <c r="BJ154" s="15">
        <v>153.85</v>
      </c>
      <c r="BK154" s="15">
        <v>165.91</v>
      </c>
      <c r="BL154" s="15">
        <v>178.78</v>
      </c>
      <c r="BM154" s="15">
        <v>192.6</v>
      </c>
      <c r="BN154" s="15">
        <v>207.8</v>
      </c>
      <c r="BO154" s="15">
        <v>224.13</v>
      </c>
      <c r="BP154" s="15">
        <v>242.06</v>
      </c>
      <c r="BQ154" s="15">
        <v>262.85000000000002</v>
      </c>
      <c r="BR154" s="15">
        <v>286.89999999999998</v>
      </c>
      <c r="BS154" s="15">
        <v>312.41000000000003</v>
      </c>
      <c r="BT154" s="15">
        <v>338.38</v>
      </c>
      <c r="BU154" s="15">
        <v>365.92</v>
      </c>
      <c r="BV154" s="15">
        <v>397.14</v>
      </c>
      <c r="BW154" s="15">
        <v>432.6</v>
      </c>
      <c r="BX154" s="15">
        <v>471.93</v>
      </c>
      <c r="BY154" s="15">
        <v>516.05999999999995</v>
      </c>
      <c r="BZ154" s="15">
        <v>566.28</v>
      </c>
      <c r="CA154" s="15">
        <v>623.33000000000004</v>
      </c>
      <c r="CB154" s="15">
        <v>687.87</v>
      </c>
      <c r="CC154" s="15">
        <v>760.56</v>
      </c>
      <c r="CD154" s="15">
        <v>841.89</v>
      </c>
      <c r="CE154" s="15">
        <v>932.49</v>
      </c>
      <c r="CF154" s="15">
        <v>1033.51</v>
      </c>
      <c r="CG154" s="15">
        <v>1146.6600000000001</v>
      </c>
      <c r="CH154" s="15">
        <v>1273.82</v>
      </c>
      <c r="CI154" s="15">
        <v>1415.8</v>
      </c>
      <c r="CJ154" s="15">
        <v>1573.63</v>
      </c>
      <c r="CK154" s="15">
        <v>1748.88</v>
      </c>
      <c r="CL154" s="15">
        <v>1942.89</v>
      </c>
      <c r="CM154" s="15">
        <v>2157.12</v>
      </c>
      <c r="CN154" s="15">
        <v>2393.41</v>
      </c>
      <c r="CO154" s="15">
        <v>2654.75</v>
      </c>
      <c r="CP154" s="15">
        <v>2943.7</v>
      </c>
      <c r="CQ154" s="15">
        <v>3259.8</v>
      </c>
      <c r="CR154" s="15">
        <v>3599.3</v>
      </c>
      <c r="CS154" s="15">
        <v>3955.41</v>
      </c>
      <c r="CT154" s="15">
        <v>4320.21</v>
      </c>
      <c r="CU154" s="15">
        <v>4692.63</v>
      </c>
      <c r="CV154" s="15">
        <v>5081.21</v>
      </c>
      <c r="CW154" s="15">
        <v>5499.85</v>
      </c>
      <c r="CX154" s="15">
        <v>5966.95</v>
      </c>
    </row>
    <row r="155" spans="1:102" x14ac:dyDescent="0.25">
      <c r="A155" s="71">
        <v>2048</v>
      </c>
      <c r="B155" s="15">
        <v>207.52</v>
      </c>
      <c r="C155" s="15">
        <v>20.75</v>
      </c>
      <c r="D155" s="15">
        <v>10</v>
      </c>
      <c r="E155" s="15">
        <v>5.7</v>
      </c>
      <c r="F155" s="15">
        <v>4.9800000000000004</v>
      </c>
      <c r="G155" s="15">
        <v>4.62</v>
      </c>
      <c r="H155" s="15">
        <v>4.2</v>
      </c>
      <c r="I155" s="15">
        <v>3.61</v>
      </c>
      <c r="J155" s="15">
        <v>3.19</v>
      </c>
      <c r="K155" s="15">
        <v>3.07</v>
      </c>
      <c r="L155" s="15">
        <v>3.18</v>
      </c>
      <c r="M155" s="15">
        <v>3.41</v>
      </c>
      <c r="N155" s="15">
        <v>3.82</v>
      </c>
      <c r="O155" s="15">
        <v>4.41</v>
      </c>
      <c r="P155" s="15">
        <v>5.05</v>
      </c>
      <c r="Q155" s="15">
        <v>5.56</v>
      </c>
      <c r="R155" s="15">
        <v>6.3</v>
      </c>
      <c r="S155" s="15">
        <v>6.97</v>
      </c>
      <c r="T155" s="15">
        <v>7.55</v>
      </c>
      <c r="U155" s="15">
        <v>8.07</v>
      </c>
      <c r="V155" s="15">
        <v>8.4499999999999993</v>
      </c>
      <c r="W155" s="15">
        <v>8.89</v>
      </c>
      <c r="X155" s="15">
        <v>9.08</v>
      </c>
      <c r="Y155" s="15">
        <v>9.36</v>
      </c>
      <c r="Z155" s="15">
        <v>9.77</v>
      </c>
      <c r="AA155" s="15">
        <v>10.42</v>
      </c>
      <c r="AB155" s="15">
        <v>11.46</v>
      </c>
      <c r="AC155" s="15">
        <v>12.76</v>
      </c>
      <c r="AD155" s="15">
        <v>14.16</v>
      </c>
      <c r="AE155" s="15">
        <v>15.81</v>
      </c>
      <c r="AF155" s="15">
        <v>17.309999999999999</v>
      </c>
      <c r="AG155" s="15">
        <v>18.96</v>
      </c>
      <c r="AH155" s="15">
        <v>20.57</v>
      </c>
      <c r="AI155" s="15">
        <v>22.07</v>
      </c>
      <c r="AJ155" s="15">
        <v>23.78</v>
      </c>
      <c r="AK155" s="15">
        <v>25.76</v>
      </c>
      <c r="AL155" s="15">
        <v>28.06</v>
      </c>
      <c r="AM155" s="15">
        <v>30.46</v>
      </c>
      <c r="AN155" s="15">
        <v>33.020000000000003</v>
      </c>
      <c r="AO155" s="15">
        <v>35.47</v>
      </c>
      <c r="AP155" s="15">
        <v>37.729999999999997</v>
      </c>
      <c r="AQ155" s="15">
        <v>39.729999999999997</v>
      </c>
      <c r="AR155" s="15">
        <v>41.28</v>
      </c>
      <c r="AS155" s="15">
        <v>42.77</v>
      </c>
      <c r="AT155" s="15">
        <v>44.42</v>
      </c>
      <c r="AU155" s="15">
        <v>46.38</v>
      </c>
      <c r="AV155" s="15">
        <v>49.05</v>
      </c>
      <c r="AW155" s="15">
        <v>52.33</v>
      </c>
      <c r="AX155" s="15">
        <v>56.44</v>
      </c>
      <c r="AY155" s="15">
        <v>61.53</v>
      </c>
      <c r="AZ155" s="15">
        <v>67.39</v>
      </c>
      <c r="BA155" s="15">
        <v>73.5</v>
      </c>
      <c r="BB155" s="15">
        <v>80.290000000000006</v>
      </c>
      <c r="BC155" s="15">
        <v>87.66</v>
      </c>
      <c r="BD155" s="15">
        <v>95.45</v>
      </c>
      <c r="BE155" s="15">
        <v>103.42</v>
      </c>
      <c r="BF155" s="15">
        <v>111.99</v>
      </c>
      <c r="BG155" s="15">
        <v>121.1</v>
      </c>
      <c r="BH155" s="15">
        <v>130.76</v>
      </c>
      <c r="BI155" s="15">
        <v>140.96</v>
      </c>
      <c r="BJ155" s="15">
        <v>152.02000000000001</v>
      </c>
      <c r="BK155" s="15">
        <v>163.89</v>
      </c>
      <c r="BL155" s="15">
        <v>176.58</v>
      </c>
      <c r="BM155" s="15">
        <v>190.47</v>
      </c>
      <c r="BN155" s="15">
        <v>205.31</v>
      </c>
      <c r="BO155" s="15">
        <v>221.44</v>
      </c>
      <c r="BP155" s="15">
        <v>239.16</v>
      </c>
      <c r="BQ155" s="15">
        <v>259.7</v>
      </c>
      <c r="BR155" s="15">
        <v>283.47000000000003</v>
      </c>
      <c r="BS155" s="15">
        <v>308.67</v>
      </c>
      <c r="BT155" s="15">
        <v>334.33</v>
      </c>
      <c r="BU155" s="15">
        <v>361.54</v>
      </c>
      <c r="BV155" s="15">
        <v>392.38</v>
      </c>
      <c r="BW155" s="15">
        <v>427.43</v>
      </c>
      <c r="BX155" s="15">
        <v>466.28</v>
      </c>
      <c r="BY155" s="15">
        <v>509.88</v>
      </c>
      <c r="BZ155" s="15">
        <v>559.51</v>
      </c>
      <c r="CA155" s="15">
        <v>615.88</v>
      </c>
      <c r="CB155" s="15">
        <v>679.65</v>
      </c>
      <c r="CC155" s="15">
        <v>751.48</v>
      </c>
      <c r="CD155" s="15">
        <v>831.84</v>
      </c>
      <c r="CE155" s="15">
        <v>921.36</v>
      </c>
      <c r="CF155" s="15">
        <v>1021.18</v>
      </c>
      <c r="CG155" s="15">
        <v>1133</v>
      </c>
      <c r="CH155" s="15">
        <v>1258.6500000000001</v>
      </c>
      <c r="CI155" s="15">
        <v>1398.97</v>
      </c>
      <c r="CJ155" s="15">
        <v>1554.94</v>
      </c>
      <c r="CK155" s="15">
        <v>1728.14</v>
      </c>
      <c r="CL155" s="15">
        <v>1919.87</v>
      </c>
      <c r="CM155" s="15">
        <v>2131.61</v>
      </c>
      <c r="CN155" s="15">
        <v>2365.15</v>
      </c>
      <c r="CO155" s="15">
        <v>2623.47</v>
      </c>
      <c r="CP155" s="15">
        <v>2909.09</v>
      </c>
      <c r="CQ155" s="15">
        <v>3221.57</v>
      </c>
      <c r="CR155" s="15">
        <v>3557.2</v>
      </c>
      <c r="CS155" s="15">
        <v>3909.28</v>
      </c>
      <c r="CT155" s="15">
        <v>4269.9799999999996</v>
      </c>
      <c r="CU155" s="15">
        <v>4638.2299999999996</v>
      </c>
      <c r="CV155" s="15">
        <v>5022.5</v>
      </c>
      <c r="CW155" s="15">
        <v>5436.52</v>
      </c>
      <c r="CX155" s="15">
        <v>5898.5</v>
      </c>
    </row>
    <row r="156" spans="1:102" x14ac:dyDescent="0.25">
      <c r="A156" s="71">
        <v>2049</v>
      </c>
      <c r="B156" s="15">
        <v>205.08</v>
      </c>
      <c r="C156" s="15">
        <v>20.46</v>
      </c>
      <c r="D156" s="15">
        <v>9.8699999999999992</v>
      </c>
      <c r="E156" s="15">
        <v>5.7</v>
      </c>
      <c r="F156" s="15">
        <v>4.9800000000000004</v>
      </c>
      <c r="G156" s="15">
        <v>4.5599999999999996</v>
      </c>
      <c r="H156" s="15">
        <v>4.08</v>
      </c>
      <c r="I156" s="15">
        <v>3.54</v>
      </c>
      <c r="J156" s="15">
        <v>3.18</v>
      </c>
      <c r="K156" s="15">
        <v>3.06</v>
      </c>
      <c r="L156" s="15">
        <v>3.12</v>
      </c>
      <c r="M156" s="15">
        <v>3.41</v>
      </c>
      <c r="N156" s="15">
        <v>3.76</v>
      </c>
      <c r="O156" s="15">
        <v>4.34</v>
      </c>
      <c r="P156" s="15">
        <v>4.9800000000000004</v>
      </c>
      <c r="Q156" s="15">
        <v>5.5</v>
      </c>
      <c r="R156" s="15">
        <v>6.29</v>
      </c>
      <c r="S156" s="15">
        <v>6.91</v>
      </c>
      <c r="T156" s="15">
        <v>7.49</v>
      </c>
      <c r="U156" s="15">
        <v>8.01</v>
      </c>
      <c r="V156" s="15">
        <v>8.39</v>
      </c>
      <c r="W156" s="15">
        <v>8.7100000000000009</v>
      </c>
      <c r="X156" s="15">
        <v>8.9</v>
      </c>
      <c r="Y156" s="15">
        <v>9.25</v>
      </c>
      <c r="Z156" s="15">
        <v>9.6</v>
      </c>
      <c r="AA156" s="15">
        <v>10.3</v>
      </c>
      <c r="AB156" s="15">
        <v>11.29</v>
      </c>
      <c r="AC156" s="15">
        <v>12.48</v>
      </c>
      <c r="AD156" s="15">
        <v>13.98</v>
      </c>
      <c r="AE156" s="15">
        <v>15.58</v>
      </c>
      <c r="AF156" s="15">
        <v>17.13</v>
      </c>
      <c r="AG156" s="15">
        <v>18.84</v>
      </c>
      <c r="AH156" s="15">
        <v>20.34</v>
      </c>
      <c r="AI156" s="15">
        <v>21.84</v>
      </c>
      <c r="AJ156" s="15">
        <v>23.5</v>
      </c>
      <c r="AK156" s="15">
        <v>25.48</v>
      </c>
      <c r="AL156" s="15">
        <v>27.77</v>
      </c>
      <c r="AM156" s="15">
        <v>30.07</v>
      </c>
      <c r="AN156" s="15">
        <v>32.57</v>
      </c>
      <c r="AO156" s="15">
        <v>35.08</v>
      </c>
      <c r="AP156" s="15">
        <v>37.33</v>
      </c>
      <c r="AQ156" s="15">
        <v>39.18</v>
      </c>
      <c r="AR156" s="15">
        <v>40.67</v>
      </c>
      <c r="AS156" s="15">
        <v>42.32</v>
      </c>
      <c r="AT156" s="15">
        <v>43.86</v>
      </c>
      <c r="AU156" s="15">
        <v>45.86</v>
      </c>
      <c r="AV156" s="15">
        <v>48.48</v>
      </c>
      <c r="AW156" s="15">
        <v>51.66</v>
      </c>
      <c r="AX156" s="15">
        <v>55.81</v>
      </c>
      <c r="AY156" s="15">
        <v>60.84</v>
      </c>
      <c r="AZ156" s="15">
        <v>66.489999999999995</v>
      </c>
      <c r="BA156" s="15">
        <v>72.540000000000006</v>
      </c>
      <c r="BB156" s="15">
        <v>79.33</v>
      </c>
      <c r="BC156" s="15">
        <v>86.68</v>
      </c>
      <c r="BD156" s="15">
        <v>94.31</v>
      </c>
      <c r="BE156" s="15">
        <v>102.17</v>
      </c>
      <c r="BF156" s="15">
        <v>110.67</v>
      </c>
      <c r="BG156" s="15">
        <v>119.67</v>
      </c>
      <c r="BH156" s="15">
        <v>129.19999999999999</v>
      </c>
      <c r="BI156" s="15">
        <v>139.28</v>
      </c>
      <c r="BJ156" s="15">
        <v>150.12</v>
      </c>
      <c r="BK156" s="15">
        <v>161.87</v>
      </c>
      <c r="BL156" s="15">
        <v>174.54</v>
      </c>
      <c r="BM156" s="15">
        <v>188.19</v>
      </c>
      <c r="BN156" s="15">
        <v>202.85</v>
      </c>
      <c r="BO156" s="15">
        <v>218.79</v>
      </c>
      <c r="BP156" s="15">
        <v>236.29</v>
      </c>
      <c r="BQ156" s="15">
        <v>256.58</v>
      </c>
      <c r="BR156" s="15">
        <v>280.07</v>
      </c>
      <c r="BS156" s="15">
        <v>304.97000000000003</v>
      </c>
      <c r="BT156" s="15">
        <v>330.32</v>
      </c>
      <c r="BU156" s="15">
        <v>357.21</v>
      </c>
      <c r="BV156" s="15">
        <v>387.68</v>
      </c>
      <c r="BW156" s="15">
        <v>422.31</v>
      </c>
      <c r="BX156" s="15">
        <v>460.7</v>
      </c>
      <c r="BY156" s="15">
        <v>503.78</v>
      </c>
      <c r="BZ156" s="15">
        <v>552.82000000000005</v>
      </c>
      <c r="CA156" s="15">
        <v>608.52</v>
      </c>
      <c r="CB156" s="15">
        <v>671.53</v>
      </c>
      <c r="CC156" s="15">
        <v>742.5</v>
      </c>
      <c r="CD156" s="15">
        <v>821.91</v>
      </c>
      <c r="CE156" s="15">
        <v>910.37</v>
      </c>
      <c r="CF156" s="15">
        <v>1009.01</v>
      </c>
      <c r="CG156" s="15">
        <v>1119.51</v>
      </c>
      <c r="CH156" s="15">
        <v>1243.67</v>
      </c>
      <c r="CI156" s="15">
        <v>1382.33</v>
      </c>
      <c r="CJ156" s="15">
        <v>1536.47</v>
      </c>
      <c r="CK156" s="15">
        <v>1707.64</v>
      </c>
      <c r="CL156" s="15">
        <v>1897.13</v>
      </c>
      <c r="CM156" s="15">
        <v>2106.4</v>
      </c>
      <c r="CN156" s="15">
        <v>2337.2199999999998</v>
      </c>
      <c r="CO156" s="15">
        <v>2592.56</v>
      </c>
      <c r="CP156" s="15">
        <v>2874.89</v>
      </c>
      <c r="CQ156" s="15">
        <v>3183.79</v>
      </c>
      <c r="CR156" s="15">
        <v>3515.6</v>
      </c>
      <c r="CS156" s="15">
        <v>3863.69</v>
      </c>
      <c r="CT156" s="15">
        <v>4220.33</v>
      </c>
      <c r="CU156" s="15">
        <v>4584.47</v>
      </c>
      <c r="CV156" s="15">
        <v>4964.47</v>
      </c>
      <c r="CW156" s="15">
        <v>5373.92</v>
      </c>
      <c r="CX156" s="15">
        <v>5830.83</v>
      </c>
    </row>
    <row r="157" spans="1:102" x14ac:dyDescent="0.25">
      <c r="A157" s="71">
        <v>2050</v>
      </c>
      <c r="B157" s="15">
        <v>202.6</v>
      </c>
      <c r="C157" s="15">
        <v>20.43</v>
      </c>
      <c r="D157" s="15">
        <v>9.8000000000000007</v>
      </c>
      <c r="E157" s="15">
        <v>5.69</v>
      </c>
      <c r="F157" s="15">
        <v>4.92</v>
      </c>
      <c r="G157" s="15">
        <v>4.49</v>
      </c>
      <c r="H157" s="15">
        <v>3.96</v>
      </c>
      <c r="I157" s="15">
        <v>3.54</v>
      </c>
      <c r="J157" s="15">
        <v>3.18</v>
      </c>
      <c r="K157" s="15">
        <v>3</v>
      </c>
      <c r="L157" s="15">
        <v>3.06</v>
      </c>
      <c r="M157" s="15">
        <v>3.41</v>
      </c>
      <c r="N157" s="15">
        <v>3.7</v>
      </c>
      <c r="O157" s="15">
        <v>4.28</v>
      </c>
      <c r="P157" s="15">
        <v>4.92</v>
      </c>
      <c r="Q157" s="15">
        <v>5.49</v>
      </c>
      <c r="R157" s="15">
        <v>6.23</v>
      </c>
      <c r="S157" s="15">
        <v>6.84</v>
      </c>
      <c r="T157" s="15">
        <v>7.42</v>
      </c>
      <c r="U157" s="15">
        <v>7.89</v>
      </c>
      <c r="V157" s="15">
        <v>8.33</v>
      </c>
      <c r="W157" s="15">
        <v>8.6</v>
      </c>
      <c r="X157" s="15">
        <v>8.9</v>
      </c>
      <c r="Y157" s="15">
        <v>9.08</v>
      </c>
      <c r="Z157" s="15">
        <v>9.49</v>
      </c>
      <c r="AA157" s="15">
        <v>10.24</v>
      </c>
      <c r="AB157" s="15">
        <v>11.07</v>
      </c>
      <c r="AC157" s="15">
        <v>12.27</v>
      </c>
      <c r="AD157" s="15">
        <v>13.87</v>
      </c>
      <c r="AE157" s="15">
        <v>15.37</v>
      </c>
      <c r="AF157" s="15">
        <v>17.02</v>
      </c>
      <c r="AG157" s="15">
        <v>18.57</v>
      </c>
      <c r="AH157" s="15">
        <v>20.12</v>
      </c>
      <c r="AI157" s="15">
        <v>21.57</v>
      </c>
      <c r="AJ157" s="15">
        <v>23.18</v>
      </c>
      <c r="AK157" s="15">
        <v>25.21</v>
      </c>
      <c r="AL157" s="15">
        <v>27.35</v>
      </c>
      <c r="AM157" s="15">
        <v>29.69</v>
      </c>
      <c r="AN157" s="15">
        <v>32.14</v>
      </c>
      <c r="AO157" s="15">
        <v>34.64</v>
      </c>
      <c r="AP157" s="15">
        <v>36.840000000000003</v>
      </c>
      <c r="AQ157" s="15">
        <v>38.64</v>
      </c>
      <c r="AR157" s="15">
        <v>40.18</v>
      </c>
      <c r="AS157" s="15">
        <v>41.78</v>
      </c>
      <c r="AT157" s="15">
        <v>43.37</v>
      </c>
      <c r="AU157" s="15">
        <v>45.42</v>
      </c>
      <c r="AV157" s="15">
        <v>47.83</v>
      </c>
      <c r="AW157" s="15">
        <v>51.11</v>
      </c>
      <c r="AX157" s="15">
        <v>55.16</v>
      </c>
      <c r="AY157" s="15">
        <v>60.13</v>
      </c>
      <c r="AZ157" s="15">
        <v>65.569999999999993</v>
      </c>
      <c r="BA157" s="15">
        <v>71.72</v>
      </c>
      <c r="BB157" s="15">
        <v>78.45</v>
      </c>
      <c r="BC157" s="15">
        <v>85.64</v>
      </c>
      <c r="BD157" s="15">
        <v>93.06</v>
      </c>
      <c r="BE157" s="15">
        <v>100.85</v>
      </c>
      <c r="BF157" s="15">
        <v>109.25</v>
      </c>
      <c r="BG157" s="15">
        <v>118.08</v>
      </c>
      <c r="BH157" s="15">
        <v>127.6</v>
      </c>
      <c r="BI157" s="15">
        <v>137.57</v>
      </c>
      <c r="BJ157" s="15">
        <v>148.29</v>
      </c>
      <c r="BK157" s="15">
        <v>159.91999999999999</v>
      </c>
      <c r="BL157" s="15">
        <v>172.44</v>
      </c>
      <c r="BM157" s="15">
        <v>185.93</v>
      </c>
      <c r="BN157" s="15">
        <v>200.42</v>
      </c>
      <c r="BO157" s="15">
        <v>216.17</v>
      </c>
      <c r="BP157" s="15">
        <v>233.46</v>
      </c>
      <c r="BQ157" s="15">
        <v>253.51</v>
      </c>
      <c r="BR157" s="15">
        <v>276.70999999999998</v>
      </c>
      <c r="BS157" s="15">
        <v>301.32</v>
      </c>
      <c r="BT157" s="15">
        <v>326.36</v>
      </c>
      <c r="BU157" s="15">
        <v>352.93</v>
      </c>
      <c r="BV157" s="15">
        <v>383.04</v>
      </c>
      <c r="BW157" s="15">
        <v>417.25</v>
      </c>
      <c r="BX157" s="15">
        <v>455.19</v>
      </c>
      <c r="BY157" s="15">
        <v>497.75</v>
      </c>
      <c r="BZ157" s="15">
        <v>546.21</v>
      </c>
      <c r="CA157" s="15">
        <v>601.24</v>
      </c>
      <c r="CB157" s="15">
        <v>663.5</v>
      </c>
      <c r="CC157" s="15">
        <v>733.63</v>
      </c>
      <c r="CD157" s="15">
        <v>812.09</v>
      </c>
      <c r="CE157" s="15">
        <v>899.51</v>
      </c>
      <c r="CF157" s="15">
        <v>996.98</v>
      </c>
      <c r="CG157" s="15">
        <v>1106.17</v>
      </c>
      <c r="CH157" s="15">
        <v>1228.8699999999999</v>
      </c>
      <c r="CI157" s="15">
        <v>1365.9</v>
      </c>
      <c r="CJ157" s="15">
        <v>1518.22</v>
      </c>
      <c r="CK157" s="15">
        <v>1687.38</v>
      </c>
      <c r="CL157" s="15">
        <v>1874.65</v>
      </c>
      <c r="CM157" s="15">
        <v>2081.48</v>
      </c>
      <c r="CN157" s="15">
        <v>2309.63</v>
      </c>
      <c r="CO157" s="15">
        <v>2562</v>
      </c>
      <c r="CP157" s="15">
        <v>2841.08</v>
      </c>
      <c r="CQ157" s="15">
        <v>3146.45</v>
      </c>
      <c r="CR157" s="15">
        <v>3474.48</v>
      </c>
      <c r="CS157" s="15">
        <v>3818.64</v>
      </c>
      <c r="CT157" s="15">
        <v>4171.26</v>
      </c>
      <c r="CU157" s="15">
        <v>4531.34</v>
      </c>
      <c r="CV157" s="15">
        <v>4907.1099999999997</v>
      </c>
      <c r="CW157" s="15">
        <v>5312.03</v>
      </c>
      <c r="CX157" s="15">
        <v>5763.94</v>
      </c>
    </row>
    <row r="158" spans="1:102" x14ac:dyDescent="0.25">
      <c r="A158" s="71">
        <v>2051</v>
      </c>
      <c r="B158" s="15">
        <v>200.19</v>
      </c>
      <c r="C158" s="15">
        <v>20.170000000000002</v>
      </c>
      <c r="D158" s="15">
        <v>9.74</v>
      </c>
      <c r="E158" s="15">
        <v>5.57</v>
      </c>
      <c r="F158" s="15">
        <v>4.8499999999999996</v>
      </c>
      <c r="G158" s="15">
        <v>4.38</v>
      </c>
      <c r="H158" s="15">
        <v>3.9</v>
      </c>
      <c r="I158" s="15">
        <v>3.54</v>
      </c>
      <c r="J158" s="15">
        <v>3.18</v>
      </c>
      <c r="K158" s="15">
        <v>2.94</v>
      </c>
      <c r="L158" s="15">
        <v>3.06</v>
      </c>
      <c r="M158" s="15">
        <v>3.29</v>
      </c>
      <c r="N158" s="15">
        <v>3.58</v>
      </c>
      <c r="O158" s="15">
        <v>4.22</v>
      </c>
      <c r="P158" s="15">
        <v>4.92</v>
      </c>
      <c r="Q158" s="15">
        <v>5.49</v>
      </c>
      <c r="R158" s="15">
        <v>6.11</v>
      </c>
      <c r="S158" s="15">
        <v>6.78</v>
      </c>
      <c r="T158" s="15">
        <v>7.31</v>
      </c>
      <c r="U158" s="15">
        <v>7.83</v>
      </c>
      <c r="V158" s="15">
        <v>8.2100000000000009</v>
      </c>
      <c r="W158" s="15">
        <v>8.6</v>
      </c>
      <c r="X158" s="15">
        <v>8.7899999999999991</v>
      </c>
      <c r="Y158" s="15">
        <v>8.9700000000000006</v>
      </c>
      <c r="Z158" s="15">
        <v>9.48</v>
      </c>
      <c r="AA158" s="15">
        <v>10.08</v>
      </c>
      <c r="AB158" s="15">
        <v>10.92</v>
      </c>
      <c r="AC158" s="15">
        <v>12.16</v>
      </c>
      <c r="AD158" s="15">
        <v>13.71</v>
      </c>
      <c r="AE158" s="15">
        <v>15.26</v>
      </c>
      <c r="AF158" s="15">
        <v>16.760000000000002</v>
      </c>
      <c r="AG158" s="15">
        <v>18.309999999999999</v>
      </c>
      <c r="AH158" s="15">
        <v>19.809999999999999</v>
      </c>
      <c r="AI158" s="15">
        <v>21.26</v>
      </c>
      <c r="AJ158" s="15">
        <v>22.87</v>
      </c>
      <c r="AK158" s="15">
        <v>24.79</v>
      </c>
      <c r="AL158" s="15">
        <v>26.93</v>
      </c>
      <c r="AM158" s="15">
        <v>29.33</v>
      </c>
      <c r="AN158" s="15">
        <v>31.78</v>
      </c>
      <c r="AO158" s="15">
        <v>34.229999999999997</v>
      </c>
      <c r="AP158" s="15">
        <v>36.42</v>
      </c>
      <c r="AQ158" s="15">
        <v>38.17</v>
      </c>
      <c r="AR158" s="15">
        <v>39.81</v>
      </c>
      <c r="AS158" s="15">
        <v>41.25</v>
      </c>
      <c r="AT158" s="15">
        <v>42.95</v>
      </c>
      <c r="AU158" s="15">
        <v>44.85</v>
      </c>
      <c r="AV158" s="15">
        <v>47.2</v>
      </c>
      <c r="AW158" s="15">
        <v>50.53</v>
      </c>
      <c r="AX158" s="15">
        <v>54.53</v>
      </c>
      <c r="AY158" s="15">
        <v>59.4</v>
      </c>
      <c r="AZ158" s="15">
        <v>64.88</v>
      </c>
      <c r="BA158" s="15">
        <v>70.930000000000007</v>
      </c>
      <c r="BB158" s="15">
        <v>77.55</v>
      </c>
      <c r="BC158" s="15">
        <v>84.53</v>
      </c>
      <c r="BD158" s="15">
        <v>91.84</v>
      </c>
      <c r="BE158" s="15">
        <v>99.58</v>
      </c>
      <c r="BF158" s="15">
        <v>107.81</v>
      </c>
      <c r="BG158" s="15">
        <v>116.69</v>
      </c>
      <c r="BH158" s="15">
        <v>126.05</v>
      </c>
      <c r="BI158" s="15">
        <v>135.85</v>
      </c>
      <c r="BJ158" s="15">
        <v>146.57</v>
      </c>
      <c r="BK158" s="15">
        <v>158</v>
      </c>
      <c r="BL158" s="15">
        <v>170.38</v>
      </c>
      <c r="BM158" s="15">
        <v>183.7</v>
      </c>
      <c r="BN158" s="15">
        <v>198.02</v>
      </c>
      <c r="BO158" s="15">
        <v>213.58</v>
      </c>
      <c r="BP158" s="15">
        <v>230.66</v>
      </c>
      <c r="BQ158" s="15">
        <v>250.47</v>
      </c>
      <c r="BR158" s="15">
        <v>273.39999999999998</v>
      </c>
      <c r="BS158" s="15">
        <v>297.70999999999998</v>
      </c>
      <c r="BT158" s="15">
        <v>322.45999999999998</v>
      </c>
      <c r="BU158" s="15">
        <v>348.7</v>
      </c>
      <c r="BV158" s="15">
        <v>378.45</v>
      </c>
      <c r="BW158" s="15">
        <v>412.26</v>
      </c>
      <c r="BX158" s="15">
        <v>449.74</v>
      </c>
      <c r="BY158" s="15">
        <v>491.8</v>
      </c>
      <c r="BZ158" s="15">
        <v>539.67999999999995</v>
      </c>
      <c r="CA158" s="15">
        <v>594.05999999999995</v>
      </c>
      <c r="CB158" s="15">
        <v>655.58</v>
      </c>
      <c r="CC158" s="15">
        <v>724.87</v>
      </c>
      <c r="CD158" s="15">
        <v>802.4</v>
      </c>
      <c r="CE158" s="15">
        <v>888.78</v>
      </c>
      <c r="CF158" s="15">
        <v>985.09</v>
      </c>
      <c r="CG158" s="15">
        <v>1092.99</v>
      </c>
      <c r="CH158" s="15">
        <v>1214.24</v>
      </c>
      <c r="CI158" s="15">
        <v>1349.66</v>
      </c>
      <c r="CJ158" s="15">
        <v>1500.19</v>
      </c>
      <c r="CK158" s="15">
        <v>1667.36</v>
      </c>
      <c r="CL158" s="15">
        <v>1852.44</v>
      </c>
      <c r="CM158" s="15">
        <v>2056.86</v>
      </c>
      <c r="CN158" s="15">
        <v>2282.36</v>
      </c>
      <c r="CO158" s="15">
        <v>2531.81</v>
      </c>
      <c r="CP158" s="15">
        <v>2807.68</v>
      </c>
      <c r="CQ158" s="15">
        <v>3109.54</v>
      </c>
      <c r="CR158" s="15">
        <v>3433.84</v>
      </c>
      <c r="CS158" s="15">
        <v>3774.1</v>
      </c>
      <c r="CT158" s="15">
        <v>4122.7700000000004</v>
      </c>
      <c r="CU158" s="15">
        <v>4478.8100000000004</v>
      </c>
      <c r="CV158" s="15">
        <v>4850.41</v>
      </c>
      <c r="CW158" s="15">
        <v>5250.86</v>
      </c>
      <c r="CX158" s="15">
        <v>5697.82</v>
      </c>
    </row>
    <row r="159" spans="1:102" x14ac:dyDescent="0.25">
      <c r="A159" s="71">
        <v>2052</v>
      </c>
      <c r="B159" s="15">
        <v>197.85</v>
      </c>
      <c r="C159" s="15">
        <v>19.96</v>
      </c>
      <c r="D159" s="15">
        <v>9.56</v>
      </c>
      <c r="E159" s="15">
        <v>5.45</v>
      </c>
      <c r="F159" s="15">
        <v>4.8</v>
      </c>
      <c r="G159" s="15">
        <v>4.2</v>
      </c>
      <c r="H159" s="15">
        <v>3.9</v>
      </c>
      <c r="I159" s="15">
        <v>3.54</v>
      </c>
      <c r="J159" s="15">
        <v>3.12</v>
      </c>
      <c r="K159" s="15">
        <v>2.88</v>
      </c>
      <c r="L159" s="15">
        <v>3</v>
      </c>
      <c r="M159" s="15">
        <v>3.17</v>
      </c>
      <c r="N159" s="15">
        <v>3.52</v>
      </c>
      <c r="O159" s="15">
        <v>4.22</v>
      </c>
      <c r="P159" s="15">
        <v>4.8600000000000003</v>
      </c>
      <c r="Q159" s="15">
        <v>5.43</v>
      </c>
      <c r="R159" s="15">
        <v>6.05</v>
      </c>
      <c r="S159" s="15">
        <v>6.67</v>
      </c>
      <c r="T159" s="15">
        <v>7.25</v>
      </c>
      <c r="U159" s="15">
        <v>7.77</v>
      </c>
      <c r="V159" s="15">
        <v>8.16</v>
      </c>
      <c r="W159" s="15">
        <v>8.49</v>
      </c>
      <c r="X159" s="15">
        <v>8.68</v>
      </c>
      <c r="Y159" s="15">
        <v>8.92</v>
      </c>
      <c r="Z159" s="15">
        <v>9.33</v>
      </c>
      <c r="AA159" s="15">
        <v>9.92</v>
      </c>
      <c r="AB159" s="15">
        <v>10.81</v>
      </c>
      <c r="AC159" s="15">
        <v>12.01</v>
      </c>
      <c r="AD159" s="15">
        <v>13.51</v>
      </c>
      <c r="AE159" s="15">
        <v>15.11</v>
      </c>
      <c r="AF159" s="15">
        <v>16.5</v>
      </c>
      <c r="AG159" s="15">
        <v>18.05</v>
      </c>
      <c r="AH159" s="15">
        <v>19.5</v>
      </c>
      <c r="AI159" s="15">
        <v>21</v>
      </c>
      <c r="AJ159" s="15">
        <v>22.61</v>
      </c>
      <c r="AK159" s="15">
        <v>24.43</v>
      </c>
      <c r="AL159" s="15">
        <v>26.68</v>
      </c>
      <c r="AM159" s="15">
        <v>29.07</v>
      </c>
      <c r="AN159" s="15">
        <v>31.37</v>
      </c>
      <c r="AO159" s="15">
        <v>33.869999999999997</v>
      </c>
      <c r="AP159" s="15">
        <v>35.96</v>
      </c>
      <c r="AQ159" s="15">
        <v>37.76</v>
      </c>
      <c r="AR159" s="15">
        <v>39.4</v>
      </c>
      <c r="AS159" s="15">
        <v>40.74</v>
      </c>
      <c r="AT159" s="15">
        <v>42.49</v>
      </c>
      <c r="AU159" s="15">
        <v>44.23</v>
      </c>
      <c r="AV159" s="15">
        <v>46.69</v>
      </c>
      <c r="AW159" s="15">
        <v>49.86</v>
      </c>
      <c r="AX159" s="15">
        <v>53.91</v>
      </c>
      <c r="AY159" s="15">
        <v>58.67</v>
      </c>
      <c r="AZ159" s="15">
        <v>64.11</v>
      </c>
      <c r="BA159" s="15">
        <v>70.099999999999994</v>
      </c>
      <c r="BB159" s="15">
        <v>76.56</v>
      </c>
      <c r="BC159" s="15">
        <v>83.45</v>
      </c>
      <c r="BD159" s="15">
        <v>90.75</v>
      </c>
      <c r="BE159" s="15">
        <v>98.44</v>
      </c>
      <c r="BF159" s="15">
        <v>106.62</v>
      </c>
      <c r="BG159" s="15">
        <v>115.44</v>
      </c>
      <c r="BH159" s="15">
        <v>124.54</v>
      </c>
      <c r="BI159" s="15">
        <v>134.33000000000001</v>
      </c>
      <c r="BJ159" s="15">
        <v>144.81</v>
      </c>
      <c r="BK159" s="15">
        <v>156.11000000000001</v>
      </c>
      <c r="BL159" s="15">
        <v>168.33</v>
      </c>
      <c r="BM159" s="15">
        <v>181.5</v>
      </c>
      <c r="BN159" s="15">
        <v>195.64</v>
      </c>
      <c r="BO159" s="15">
        <v>211.02</v>
      </c>
      <c r="BP159" s="15">
        <v>227.9</v>
      </c>
      <c r="BQ159" s="15">
        <v>247.47</v>
      </c>
      <c r="BR159" s="15">
        <v>270.12</v>
      </c>
      <c r="BS159" s="15">
        <v>294.14</v>
      </c>
      <c r="BT159" s="15">
        <v>318.58999999999997</v>
      </c>
      <c r="BU159" s="15">
        <v>344.53</v>
      </c>
      <c r="BV159" s="15">
        <v>373.92</v>
      </c>
      <c r="BW159" s="15">
        <v>407.32</v>
      </c>
      <c r="BX159" s="15">
        <v>444.36</v>
      </c>
      <c r="BY159" s="15">
        <v>485.92</v>
      </c>
      <c r="BZ159" s="15">
        <v>533.22</v>
      </c>
      <c r="CA159" s="15">
        <v>586.95000000000005</v>
      </c>
      <c r="CB159" s="15">
        <v>647.74</v>
      </c>
      <c r="CC159" s="15">
        <v>716.21</v>
      </c>
      <c r="CD159" s="15">
        <v>792.82</v>
      </c>
      <c r="CE159" s="15">
        <v>878.17</v>
      </c>
      <c r="CF159" s="15">
        <v>973.35</v>
      </c>
      <c r="CG159" s="15">
        <v>1079.97</v>
      </c>
      <c r="CH159" s="15">
        <v>1199.79</v>
      </c>
      <c r="CI159" s="15">
        <v>1333.61</v>
      </c>
      <c r="CJ159" s="15">
        <v>1482.37</v>
      </c>
      <c r="CK159" s="15">
        <v>1647.58</v>
      </c>
      <c r="CL159" s="15">
        <v>1830.5</v>
      </c>
      <c r="CM159" s="15">
        <v>2032.53</v>
      </c>
      <c r="CN159" s="15">
        <v>2255.41</v>
      </c>
      <c r="CO159" s="15">
        <v>2501.98</v>
      </c>
      <c r="CP159" s="15">
        <v>2774.67</v>
      </c>
      <c r="CQ159" s="15">
        <v>3073.08</v>
      </c>
      <c r="CR159" s="15">
        <v>3393.68</v>
      </c>
      <c r="CS159" s="15">
        <v>3730.09</v>
      </c>
      <c r="CT159" s="15">
        <v>4074.83</v>
      </c>
      <c r="CU159" s="15">
        <v>4426.8999999999996</v>
      </c>
      <c r="CV159" s="15">
        <v>4794.37</v>
      </c>
      <c r="CW159" s="15">
        <v>5190.3999999999996</v>
      </c>
      <c r="CX159" s="15">
        <v>5632.45</v>
      </c>
    </row>
    <row r="160" spans="1:102" x14ac:dyDescent="0.25">
      <c r="A160" s="71">
        <v>2053</v>
      </c>
      <c r="B160" s="15">
        <v>195.4</v>
      </c>
      <c r="C160" s="15">
        <v>19.96</v>
      </c>
      <c r="D160" s="15">
        <v>9.39</v>
      </c>
      <c r="E160" s="15">
        <v>5.46</v>
      </c>
      <c r="F160" s="15">
        <v>4.68</v>
      </c>
      <c r="G160" s="15">
        <v>4.1399999999999997</v>
      </c>
      <c r="H160" s="15">
        <v>3.9</v>
      </c>
      <c r="I160" s="15">
        <v>3.48</v>
      </c>
      <c r="J160" s="15">
        <v>3</v>
      </c>
      <c r="K160" s="15">
        <v>2.82</v>
      </c>
      <c r="L160" s="15">
        <v>2.94</v>
      </c>
      <c r="M160" s="15">
        <v>3.17</v>
      </c>
      <c r="N160" s="15">
        <v>3.52</v>
      </c>
      <c r="O160" s="15">
        <v>4.0999999999999996</v>
      </c>
      <c r="P160" s="15">
        <v>4.74</v>
      </c>
      <c r="Q160" s="15">
        <v>5.32</v>
      </c>
      <c r="R160" s="15">
        <v>6</v>
      </c>
      <c r="S160" s="15">
        <v>6.61</v>
      </c>
      <c r="T160" s="15">
        <v>7.19</v>
      </c>
      <c r="U160" s="15">
        <v>7.66</v>
      </c>
      <c r="V160" s="15">
        <v>8.1</v>
      </c>
      <c r="W160" s="15">
        <v>8.3800000000000008</v>
      </c>
      <c r="X160" s="15">
        <v>8.57</v>
      </c>
      <c r="Y160" s="15">
        <v>8.81</v>
      </c>
      <c r="Z160" s="15">
        <v>9.17</v>
      </c>
      <c r="AA160" s="15">
        <v>9.82</v>
      </c>
      <c r="AB160" s="15">
        <v>10.66</v>
      </c>
      <c r="AC160" s="15">
        <v>11.8</v>
      </c>
      <c r="AD160" s="15">
        <v>13.35</v>
      </c>
      <c r="AE160" s="15">
        <v>14.9</v>
      </c>
      <c r="AF160" s="15">
        <v>16.350000000000001</v>
      </c>
      <c r="AG160" s="15">
        <v>17.850000000000001</v>
      </c>
      <c r="AH160" s="15">
        <v>19.3</v>
      </c>
      <c r="AI160" s="15">
        <v>20.8</v>
      </c>
      <c r="AJ160" s="15">
        <v>22.36</v>
      </c>
      <c r="AK160" s="15">
        <v>24.23</v>
      </c>
      <c r="AL160" s="15">
        <v>26.48</v>
      </c>
      <c r="AM160" s="15">
        <v>28.72</v>
      </c>
      <c r="AN160" s="15">
        <v>31.07</v>
      </c>
      <c r="AO160" s="15">
        <v>33.47</v>
      </c>
      <c r="AP160" s="15">
        <v>35.51</v>
      </c>
      <c r="AQ160" s="15">
        <v>37.409999999999997</v>
      </c>
      <c r="AR160" s="15">
        <v>38.85</v>
      </c>
      <c r="AS160" s="15">
        <v>40.29</v>
      </c>
      <c r="AT160" s="15">
        <v>41.93</v>
      </c>
      <c r="AU160" s="15">
        <v>43.68</v>
      </c>
      <c r="AV160" s="15">
        <v>46.13</v>
      </c>
      <c r="AW160" s="15">
        <v>49.26</v>
      </c>
      <c r="AX160" s="15">
        <v>53.3</v>
      </c>
      <c r="AY160" s="15">
        <v>57.91</v>
      </c>
      <c r="AZ160" s="15">
        <v>63.29</v>
      </c>
      <c r="BA160" s="15">
        <v>69.290000000000006</v>
      </c>
      <c r="BB160" s="15">
        <v>75.55</v>
      </c>
      <c r="BC160" s="15">
        <v>82.43</v>
      </c>
      <c r="BD160" s="15">
        <v>89.79</v>
      </c>
      <c r="BE160" s="15">
        <v>97.37</v>
      </c>
      <c r="BF160" s="15">
        <v>105.44</v>
      </c>
      <c r="BG160" s="15">
        <v>114.01</v>
      </c>
      <c r="BH160" s="15">
        <v>123.05</v>
      </c>
      <c r="BI160" s="15">
        <v>132.72</v>
      </c>
      <c r="BJ160" s="15">
        <v>143.07</v>
      </c>
      <c r="BK160" s="15">
        <v>154.24</v>
      </c>
      <c r="BL160" s="15">
        <v>166.31</v>
      </c>
      <c r="BM160" s="15">
        <v>179.32</v>
      </c>
      <c r="BN160" s="15">
        <v>193.3</v>
      </c>
      <c r="BO160" s="15">
        <v>208.49</v>
      </c>
      <c r="BP160" s="15">
        <v>225.17</v>
      </c>
      <c r="BQ160" s="15">
        <v>244.5</v>
      </c>
      <c r="BR160" s="15">
        <v>266.89</v>
      </c>
      <c r="BS160" s="15">
        <v>290.62</v>
      </c>
      <c r="BT160" s="15">
        <v>314.77999999999997</v>
      </c>
      <c r="BU160" s="15">
        <v>340.4</v>
      </c>
      <c r="BV160" s="15">
        <v>369.45</v>
      </c>
      <c r="BW160" s="15">
        <v>402.45</v>
      </c>
      <c r="BX160" s="15">
        <v>439.04</v>
      </c>
      <c r="BY160" s="15">
        <v>480.1</v>
      </c>
      <c r="BZ160" s="15">
        <v>526.84</v>
      </c>
      <c r="CA160" s="15">
        <v>579.94000000000005</v>
      </c>
      <c r="CB160" s="15">
        <v>640</v>
      </c>
      <c r="CC160" s="15">
        <v>707.66</v>
      </c>
      <c r="CD160" s="15">
        <v>783.36</v>
      </c>
      <c r="CE160" s="15">
        <v>867.7</v>
      </c>
      <c r="CF160" s="15">
        <v>961.75</v>
      </c>
      <c r="CG160" s="15">
        <v>1067.1099999999999</v>
      </c>
      <c r="CH160" s="15">
        <v>1185.51</v>
      </c>
      <c r="CI160" s="15">
        <v>1317.75</v>
      </c>
      <c r="CJ160" s="15">
        <v>1464.76</v>
      </c>
      <c r="CK160" s="15">
        <v>1628.04</v>
      </c>
      <c r="CL160" s="15">
        <v>1808.81</v>
      </c>
      <c r="CM160" s="15">
        <v>2008.49</v>
      </c>
      <c r="CN160" s="15">
        <v>2228.7800000000002</v>
      </c>
      <c r="CO160" s="15">
        <v>2472.5</v>
      </c>
      <c r="CP160" s="15">
        <v>2742.05</v>
      </c>
      <c r="CQ160" s="15">
        <v>3037.03</v>
      </c>
      <c r="CR160" s="15">
        <v>3353.99</v>
      </c>
      <c r="CS160" s="15">
        <v>3686.59</v>
      </c>
      <c r="CT160" s="15">
        <v>4027.46</v>
      </c>
      <c r="CU160" s="15">
        <v>4375.59</v>
      </c>
      <c r="CV160" s="15">
        <v>4738.97</v>
      </c>
      <c r="CW160" s="15">
        <v>5130.63</v>
      </c>
      <c r="CX160" s="15">
        <v>5567.84</v>
      </c>
    </row>
    <row r="161" spans="1:102" x14ac:dyDescent="0.25">
      <c r="A161" s="71">
        <v>2054</v>
      </c>
      <c r="B161" s="15">
        <v>193.11</v>
      </c>
      <c r="C161" s="15">
        <v>19.489999999999998</v>
      </c>
      <c r="D161" s="15">
        <v>9.33</v>
      </c>
      <c r="E161" s="15">
        <v>5.4</v>
      </c>
      <c r="F161" s="15">
        <v>4.5599999999999996</v>
      </c>
      <c r="G161" s="15">
        <v>4.1399999999999997</v>
      </c>
      <c r="H161" s="15">
        <v>3.9</v>
      </c>
      <c r="I161" s="15">
        <v>3.36</v>
      </c>
      <c r="J161" s="15">
        <v>2.95</v>
      </c>
      <c r="K161" s="15">
        <v>2.83</v>
      </c>
      <c r="L161" s="15">
        <v>2.94</v>
      </c>
      <c r="M161" s="15">
        <v>3.11</v>
      </c>
      <c r="N161" s="15">
        <v>3.46</v>
      </c>
      <c r="O161" s="15">
        <v>3.93</v>
      </c>
      <c r="P161" s="15">
        <v>4.63</v>
      </c>
      <c r="Q161" s="15">
        <v>5.26</v>
      </c>
      <c r="R161" s="15">
        <v>5.94</v>
      </c>
      <c r="S161" s="15">
        <v>6.55</v>
      </c>
      <c r="T161" s="15">
        <v>7.08</v>
      </c>
      <c r="U161" s="15">
        <v>7.6</v>
      </c>
      <c r="V161" s="15">
        <v>7.99</v>
      </c>
      <c r="W161" s="15">
        <v>8.27</v>
      </c>
      <c r="X161" s="15">
        <v>8.4600000000000009</v>
      </c>
      <c r="Y161" s="15">
        <v>8.76</v>
      </c>
      <c r="Z161" s="15">
        <v>9.07</v>
      </c>
      <c r="AA161" s="15">
        <v>9.7200000000000006</v>
      </c>
      <c r="AB161" s="15">
        <v>10.56</v>
      </c>
      <c r="AC161" s="15">
        <v>11.65</v>
      </c>
      <c r="AD161" s="15">
        <v>13.15</v>
      </c>
      <c r="AE161" s="15">
        <v>14.75</v>
      </c>
      <c r="AF161" s="15">
        <v>16.25</v>
      </c>
      <c r="AG161" s="15">
        <v>17.71</v>
      </c>
      <c r="AH161" s="15">
        <v>19.05</v>
      </c>
      <c r="AI161" s="15">
        <v>20.56</v>
      </c>
      <c r="AJ161" s="15">
        <v>22.11</v>
      </c>
      <c r="AK161" s="15">
        <v>24.04</v>
      </c>
      <c r="AL161" s="15">
        <v>26.13</v>
      </c>
      <c r="AM161" s="15">
        <v>28.37</v>
      </c>
      <c r="AN161" s="15">
        <v>30.77</v>
      </c>
      <c r="AO161" s="15">
        <v>33.020000000000003</v>
      </c>
      <c r="AP161" s="15">
        <v>35.11</v>
      </c>
      <c r="AQ161" s="15">
        <v>36.96</v>
      </c>
      <c r="AR161" s="15">
        <v>38.299999999999997</v>
      </c>
      <c r="AS161" s="15">
        <v>39.79</v>
      </c>
      <c r="AT161" s="15">
        <v>41.33</v>
      </c>
      <c r="AU161" s="15">
        <v>43.18</v>
      </c>
      <c r="AV161" s="15">
        <v>45.58</v>
      </c>
      <c r="AW161" s="15">
        <v>48.81</v>
      </c>
      <c r="AX161" s="15">
        <v>52.55</v>
      </c>
      <c r="AY161" s="15">
        <v>57.16</v>
      </c>
      <c r="AZ161" s="15">
        <v>62.59</v>
      </c>
      <c r="BA161" s="15">
        <v>68.39</v>
      </c>
      <c r="BB161" s="15">
        <v>74.540000000000006</v>
      </c>
      <c r="BC161" s="15">
        <v>81.48</v>
      </c>
      <c r="BD161" s="15">
        <v>88.73</v>
      </c>
      <c r="BE161" s="15">
        <v>96.16</v>
      </c>
      <c r="BF161" s="15">
        <v>104.08</v>
      </c>
      <c r="BG161" s="15">
        <v>112.54</v>
      </c>
      <c r="BH161" s="15">
        <v>121.58</v>
      </c>
      <c r="BI161" s="15">
        <v>131.13</v>
      </c>
      <c r="BJ161" s="15">
        <v>141.36000000000001</v>
      </c>
      <c r="BK161" s="15">
        <v>152.38999999999999</v>
      </c>
      <c r="BL161" s="15">
        <v>164.32</v>
      </c>
      <c r="BM161" s="15">
        <v>177.17</v>
      </c>
      <c r="BN161" s="15">
        <v>190.98</v>
      </c>
      <c r="BO161" s="15">
        <v>205.99</v>
      </c>
      <c r="BP161" s="15">
        <v>222.47</v>
      </c>
      <c r="BQ161" s="15">
        <v>241.57</v>
      </c>
      <c r="BR161" s="15">
        <v>263.69</v>
      </c>
      <c r="BS161" s="15">
        <v>287.13</v>
      </c>
      <c r="BT161" s="15">
        <v>311.01</v>
      </c>
      <c r="BU161" s="15">
        <v>336.33</v>
      </c>
      <c r="BV161" s="15">
        <v>365.02</v>
      </c>
      <c r="BW161" s="15">
        <v>397.63</v>
      </c>
      <c r="BX161" s="15">
        <v>433.79</v>
      </c>
      <c r="BY161" s="15">
        <v>474.36</v>
      </c>
      <c r="BZ161" s="15">
        <v>520.54</v>
      </c>
      <c r="CA161" s="15">
        <v>573</v>
      </c>
      <c r="CB161" s="15">
        <v>632.35</v>
      </c>
      <c r="CC161" s="15">
        <v>699.21</v>
      </c>
      <c r="CD161" s="15">
        <v>774.01</v>
      </c>
      <c r="CE161" s="15">
        <v>857.34</v>
      </c>
      <c r="CF161" s="15">
        <v>950.28</v>
      </c>
      <c r="CG161" s="15">
        <v>1054.3900000000001</v>
      </c>
      <c r="CH161" s="15">
        <v>1171.4000000000001</v>
      </c>
      <c r="CI161" s="15">
        <v>1302.08</v>
      </c>
      <c r="CJ161" s="15">
        <v>1447.36</v>
      </c>
      <c r="CK161" s="15">
        <v>1608.72</v>
      </c>
      <c r="CL161" s="15">
        <v>1787.38</v>
      </c>
      <c r="CM161" s="15">
        <v>1984.73</v>
      </c>
      <c r="CN161" s="15">
        <v>2202.46</v>
      </c>
      <c r="CO161" s="15">
        <v>2443.36</v>
      </c>
      <c r="CP161" s="15">
        <v>2709.81</v>
      </c>
      <c r="CQ161" s="15">
        <v>3001.41</v>
      </c>
      <c r="CR161" s="15">
        <v>3314.76</v>
      </c>
      <c r="CS161" s="15">
        <v>3643.6</v>
      </c>
      <c r="CT161" s="15">
        <v>3980.63</v>
      </c>
      <c r="CU161" s="15">
        <v>4324.87</v>
      </c>
      <c r="CV161" s="15">
        <v>4684.22</v>
      </c>
      <c r="CW161" s="15">
        <v>5071.54</v>
      </c>
      <c r="CX161" s="15">
        <v>5503.97</v>
      </c>
    </row>
    <row r="162" spans="1:102" x14ac:dyDescent="0.25">
      <c r="A162" s="71">
        <v>2055</v>
      </c>
      <c r="B162" s="15">
        <v>190.82</v>
      </c>
      <c r="C162" s="15">
        <v>18.829999999999998</v>
      </c>
      <c r="D162" s="15">
        <v>9.16</v>
      </c>
      <c r="E162" s="15">
        <v>5.22</v>
      </c>
      <c r="F162" s="15">
        <v>4.5</v>
      </c>
      <c r="G162" s="15">
        <v>4.1399999999999997</v>
      </c>
      <c r="H162" s="15">
        <v>3.84</v>
      </c>
      <c r="I162" s="15">
        <v>3.31</v>
      </c>
      <c r="J162" s="15">
        <v>2.95</v>
      </c>
      <c r="K162" s="15">
        <v>2.83</v>
      </c>
      <c r="L162" s="15">
        <v>2.88</v>
      </c>
      <c r="M162" s="15">
        <v>3.06</v>
      </c>
      <c r="N162" s="15">
        <v>3.41</v>
      </c>
      <c r="O162" s="15">
        <v>3.87</v>
      </c>
      <c r="P162" s="15">
        <v>4.57</v>
      </c>
      <c r="Q162" s="15">
        <v>5.26</v>
      </c>
      <c r="R162" s="15">
        <v>5.89</v>
      </c>
      <c r="S162" s="15">
        <v>6.5</v>
      </c>
      <c r="T162" s="15">
        <v>7.02</v>
      </c>
      <c r="U162" s="15">
        <v>7.55</v>
      </c>
      <c r="V162" s="15">
        <v>7.88</v>
      </c>
      <c r="W162" s="15">
        <v>8.11</v>
      </c>
      <c r="X162" s="15">
        <v>8.4700000000000006</v>
      </c>
      <c r="Y162" s="15">
        <v>8.66</v>
      </c>
      <c r="Z162" s="15">
        <v>8.9700000000000006</v>
      </c>
      <c r="AA162" s="15">
        <v>9.6199999999999992</v>
      </c>
      <c r="AB162" s="15">
        <v>10.46</v>
      </c>
      <c r="AC162" s="15">
        <v>11.5</v>
      </c>
      <c r="AD162" s="15">
        <v>12.95</v>
      </c>
      <c r="AE162" s="15">
        <v>14.55</v>
      </c>
      <c r="AF162" s="15">
        <v>16.11</v>
      </c>
      <c r="AG162" s="15">
        <v>17.46</v>
      </c>
      <c r="AH162" s="15">
        <v>18.86</v>
      </c>
      <c r="AI162" s="15">
        <v>20.309999999999999</v>
      </c>
      <c r="AJ162" s="15">
        <v>21.92</v>
      </c>
      <c r="AK162" s="15">
        <v>23.74</v>
      </c>
      <c r="AL162" s="15">
        <v>25.68</v>
      </c>
      <c r="AM162" s="15">
        <v>28.03</v>
      </c>
      <c r="AN162" s="15">
        <v>30.37</v>
      </c>
      <c r="AO162" s="15">
        <v>32.57</v>
      </c>
      <c r="AP162" s="15">
        <v>34.67</v>
      </c>
      <c r="AQ162" s="15">
        <v>36.409999999999997</v>
      </c>
      <c r="AR162" s="15">
        <v>37.85</v>
      </c>
      <c r="AS162" s="15">
        <v>39.29</v>
      </c>
      <c r="AT162" s="15">
        <v>40.78</v>
      </c>
      <c r="AU162" s="15">
        <v>42.68</v>
      </c>
      <c r="AV162" s="15">
        <v>45.14</v>
      </c>
      <c r="AW162" s="15">
        <v>48.16</v>
      </c>
      <c r="AX162" s="15">
        <v>51.85</v>
      </c>
      <c r="AY162" s="15">
        <v>56.51</v>
      </c>
      <c r="AZ162" s="15">
        <v>61.85</v>
      </c>
      <c r="BA162" s="15">
        <v>67.430000000000007</v>
      </c>
      <c r="BB162" s="15">
        <v>73.69</v>
      </c>
      <c r="BC162" s="15">
        <v>80.58</v>
      </c>
      <c r="BD162" s="15">
        <v>87.52</v>
      </c>
      <c r="BE162" s="15">
        <v>94.9</v>
      </c>
      <c r="BF162" s="15">
        <v>102.72</v>
      </c>
      <c r="BG162" s="15">
        <v>111.19</v>
      </c>
      <c r="BH162" s="15">
        <v>120.12</v>
      </c>
      <c r="BI162" s="15">
        <v>129.56</v>
      </c>
      <c r="BJ162" s="15">
        <v>139.66</v>
      </c>
      <c r="BK162" s="15">
        <v>150.56</v>
      </c>
      <c r="BL162" s="15">
        <v>162.35</v>
      </c>
      <c r="BM162" s="15">
        <v>175.05</v>
      </c>
      <c r="BN162" s="15">
        <v>188.69</v>
      </c>
      <c r="BO162" s="15">
        <v>203.52</v>
      </c>
      <c r="BP162" s="15">
        <v>219.8</v>
      </c>
      <c r="BQ162" s="15">
        <v>238.68</v>
      </c>
      <c r="BR162" s="15">
        <v>260.52999999999997</v>
      </c>
      <c r="BS162" s="15">
        <v>283.69</v>
      </c>
      <c r="BT162" s="15">
        <v>307.27999999999997</v>
      </c>
      <c r="BU162" s="15">
        <v>332.3</v>
      </c>
      <c r="BV162" s="15">
        <v>360.65</v>
      </c>
      <c r="BW162" s="15">
        <v>392.87</v>
      </c>
      <c r="BX162" s="15">
        <v>428.6</v>
      </c>
      <c r="BY162" s="15">
        <v>468.68</v>
      </c>
      <c r="BZ162" s="15">
        <v>514.32000000000005</v>
      </c>
      <c r="CA162" s="15">
        <v>566.15</v>
      </c>
      <c r="CB162" s="15">
        <v>624.79999999999995</v>
      </c>
      <c r="CC162" s="15">
        <v>690.85</v>
      </c>
      <c r="CD162" s="15">
        <v>764.77</v>
      </c>
      <c r="CE162" s="15">
        <v>847.12</v>
      </c>
      <c r="CF162" s="15">
        <v>938.95</v>
      </c>
      <c r="CG162" s="15">
        <v>1041.83</v>
      </c>
      <c r="CH162" s="15">
        <v>1157.46</v>
      </c>
      <c r="CI162" s="15">
        <v>1286.5999999999999</v>
      </c>
      <c r="CJ162" s="15">
        <v>1430.17</v>
      </c>
      <c r="CK162" s="15">
        <v>1589.64</v>
      </c>
      <c r="CL162" s="15">
        <v>1766.21</v>
      </c>
      <c r="CM162" s="15">
        <v>1961.26</v>
      </c>
      <c r="CN162" s="15">
        <v>2176.4499999999998</v>
      </c>
      <c r="CO162" s="15">
        <v>2414.5700000000002</v>
      </c>
      <c r="CP162" s="15">
        <v>2677.94</v>
      </c>
      <c r="CQ162" s="15">
        <v>2966.21</v>
      </c>
      <c r="CR162" s="15">
        <v>3275.99</v>
      </c>
      <c r="CS162" s="15">
        <v>3601.11</v>
      </c>
      <c r="CT162" s="15">
        <v>3934.35</v>
      </c>
      <c r="CU162" s="15">
        <v>4274.74</v>
      </c>
      <c r="CV162" s="15">
        <v>4630.09</v>
      </c>
      <c r="CW162" s="15">
        <v>5013.1400000000003</v>
      </c>
      <c r="CX162" s="15">
        <v>5440.83</v>
      </c>
    </row>
    <row r="163" spans="1:102" x14ac:dyDescent="0.25">
      <c r="A163" s="71">
        <v>2056</v>
      </c>
      <c r="B163" s="15">
        <v>188.37</v>
      </c>
      <c r="C163" s="15">
        <v>18.809999999999999</v>
      </c>
      <c r="D163" s="15">
        <v>8.92</v>
      </c>
      <c r="E163" s="15">
        <v>5.1100000000000003</v>
      </c>
      <c r="F163" s="15">
        <v>4.51</v>
      </c>
      <c r="G163" s="15">
        <v>4.09</v>
      </c>
      <c r="H163" s="15">
        <v>3.73</v>
      </c>
      <c r="I163" s="15">
        <v>3.31</v>
      </c>
      <c r="J163" s="15">
        <v>2.95</v>
      </c>
      <c r="K163" s="15">
        <v>2.83</v>
      </c>
      <c r="L163" s="15">
        <v>2.82</v>
      </c>
      <c r="M163" s="15">
        <v>3.06</v>
      </c>
      <c r="N163" s="15">
        <v>3.41</v>
      </c>
      <c r="O163" s="15">
        <v>3.87</v>
      </c>
      <c r="P163" s="15">
        <v>4.57</v>
      </c>
      <c r="Q163" s="15">
        <v>5.21</v>
      </c>
      <c r="R163" s="15">
        <v>5.83</v>
      </c>
      <c r="S163" s="15">
        <v>6.44</v>
      </c>
      <c r="T163" s="15">
        <v>7.03</v>
      </c>
      <c r="U163" s="15">
        <v>7.5</v>
      </c>
      <c r="V163" s="15">
        <v>7.78</v>
      </c>
      <c r="W163" s="15">
        <v>8.0500000000000007</v>
      </c>
      <c r="X163" s="15">
        <v>8.36</v>
      </c>
      <c r="Y163" s="15">
        <v>8.5500000000000007</v>
      </c>
      <c r="Z163" s="15">
        <v>8.86</v>
      </c>
      <c r="AA163" s="15">
        <v>9.52</v>
      </c>
      <c r="AB163" s="15">
        <v>10.3</v>
      </c>
      <c r="AC163" s="15">
        <v>11.35</v>
      </c>
      <c r="AD163" s="15">
        <v>12.75</v>
      </c>
      <c r="AE163" s="15">
        <v>14.3</v>
      </c>
      <c r="AF163" s="15">
        <v>15.91</v>
      </c>
      <c r="AG163" s="15">
        <v>17.260000000000002</v>
      </c>
      <c r="AH163" s="15">
        <v>18.71</v>
      </c>
      <c r="AI163" s="15">
        <v>20.11</v>
      </c>
      <c r="AJ163" s="15">
        <v>21.72</v>
      </c>
      <c r="AK163" s="15">
        <v>23.29</v>
      </c>
      <c r="AL163" s="15">
        <v>25.33</v>
      </c>
      <c r="AM163" s="15">
        <v>27.68</v>
      </c>
      <c r="AN163" s="15">
        <v>29.98</v>
      </c>
      <c r="AO163" s="15">
        <v>32.119999999999997</v>
      </c>
      <c r="AP163" s="15">
        <v>34.270000000000003</v>
      </c>
      <c r="AQ163" s="15">
        <v>35.909999999999997</v>
      </c>
      <c r="AR163" s="15">
        <v>37.450000000000003</v>
      </c>
      <c r="AS163" s="15">
        <v>38.79</v>
      </c>
      <c r="AT163" s="15">
        <v>40.33</v>
      </c>
      <c r="AU163" s="15">
        <v>42.13</v>
      </c>
      <c r="AV163" s="15">
        <v>44.59</v>
      </c>
      <c r="AW163" s="15">
        <v>47.46</v>
      </c>
      <c r="AX163" s="15">
        <v>51.3</v>
      </c>
      <c r="AY163" s="15">
        <v>55.87</v>
      </c>
      <c r="AZ163" s="15">
        <v>61.04</v>
      </c>
      <c r="BA163" s="15">
        <v>66.680000000000007</v>
      </c>
      <c r="BB163" s="15">
        <v>72.94</v>
      </c>
      <c r="BC163" s="15">
        <v>79.569999999999993</v>
      </c>
      <c r="BD163" s="15">
        <v>86.42</v>
      </c>
      <c r="BE163" s="15">
        <v>93.74</v>
      </c>
      <c r="BF163" s="15">
        <v>101.49</v>
      </c>
      <c r="BG163" s="15">
        <v>109.85</v>
      </c>
      <c r="BH163" s="15">
        <v>118.68</v>
      </c>
      <c r="BI163" s="15">
        <v>128.01</v>
      </c>
      <c r="BJ163" s="15">
        <v>137.99</v>
      </c>
      <c r="BK163" s="15">
        <v>148.75</v>
      </c>
      <c r="BL163" s="15">
        <v>160.4</v>
      </c>
      <c r="BM163" s="15">
        <v>172.95</v>
      </c>
      <c r="BN163" s="15">
        <v>186.43</v>
      </c>
      <c r="BO163" s="15">
        <v>201.08</v>
      </c>
      <c r="BP163" s="15">
        <v>217.17</v>
      </c>
      <c r="BQ163" s="15">
        <v>235.82</v>
      </c>
      <c r="BR163" s="15">
        <v>257.41000000000003</v>
      </c>
      <c r="BS163" s="15">
        <v>280.3</v>
      </c>
      <c r="BT163" s="15">
        <v>303.60000000000002</v>
      </c>
      <c r="BU163" s="15">
        <v>328.32</v>
      </c>
      <c r="BV163" s="15">
        <v>356.33</v>
      </c>
      <c r="BW163" s="15">
        <v>388.17</v>
      </c>
      <c r="BX163" s="15">
        <v>423.47</v>
      </c>
      <c r="BY163" s="15">
        <v>463.08</v>
      </c>
      <c r="BZ163" s="15">
        <v>508.17</v>
      </c>
      <c r="CA163" s="15">
        <v>559.38</v>
      </c>
      <c r="CB163" s="15">
        <v>617.33000000000004</v>
      </c>
      <c r="CC163" s="15">
        <v>682.6</v>
      </c>
      <c r="CD163" s="15">
        <v>755.64</v>
      </c>
      <c r="CE163" s="15">
        <v>837.01</v>
      </c>
      <c r="CF163" s="15">
        <v>927.76</v>
      </c>
      <c r="CG163" s="15">
        <v>1029.42</v>
      </c>
      <c r="CH163" s="15">
        <v>1143.68</v>
      </c>
      <c r="CI163" s="15">
        <v>1271.3</v>
      </c>
      <c r="CJ163" s="15">
        <v>1413.19</v>
      </c>
      <c r="CK163" s="15">
        <v>1570.78</v>
      </c>
      <c r="CL163" s="15">
        <v>1745.29</v>
      </c>
      <c r="CM163" s="15">
        <v>1938.06</v>
      </c>
      <c r="CN163" s="15">
        <v>2150.7600000000002</v>
      </c>
      <c r="CO163" s="15">
        <v>2386.11</v>
      </c>
      <c r="CP163" s="15">
        <v>2646.46</v>
      </c>
      <c r="CQ163" s="15">
        <v>2931.43</v>
      </c>
      <c r="CR163" s="15">
        <v>3237.67</v>
      </c>
      <c r="CS163" s="15">
        <v>3559.11</v>
      </c>
      <c r="CT163" s="15">
        <v>3888.61</v>
      </c>
      <c r="CU163" s="15">
        <v>4225.1899999999996</v>
      </c>
      <c r="CV163" s="15">
        <v>4576.6000000000004</v>
      </c>
      <c r="CW163" s="15">
        <v>4955.41</v>
      </c>
      <c r="CX163" s="15">
        <v>5378.41</v>
      </c>
    </row>
    <row r="164" spans="1:102" x14ac:dyDescent="0.25">
      <c r="A164" s="71">
        <v>2057</v>
      </c>
      <c r="B164" s="15">
        <v>186.18</v>
      </c>
      <c r="C164" s="15">
        <v>18.739999999999998</v>
      </c>
      <c r="D164" s="15">
        <v>8.75</v>
      </c>
      <c r="E164" s="15">
        <v>5.1100000000000003</v>
      </c>
      <c r="F164" s="15">
        <v>4.3899999999999997</v>
      </c>
      <c r="G164" s="15">
        <v>3.97</v>
      </c>
      <c r="H164" s="15">
        <v>3.67</v>
      </c>
      <c r="I164" s="15">
        <v>3.25</v>
      </c>
      <c r="J164" s="15">
        <v>2.95</v>
      </c>
      <c r="K164" s="15">
        <v>2.83</v>
      </c>
      <c r="L164" s="15">
        <v>2.77</v>
      </c>
      <c r="M164" s="15">
        <v>3.06</v>
      </c>
      <c r="N164" s="15">
        <v>3.35</v>
      </c>
      <c r="O164" s="15">
        <v>3.87</v>
      </c>
      <c r="P164" s="15">
        <v>4.58</v>
      </c>
      <c r="Q164" s="15">
        <v>5.15</v>
      </c>
      <c r="R164" s="15">
        <v>5.77</v>
      </c>
      <c r="S164" s="15">
        <v>6.39</v>
      </c>
      <c r="T164" s="15">
        <v>6.97</v>
      </c>
      <c r="U164" s="15">
        <v>7.44</v>
      </c>
      <c r="V164" s="15">
        <v>7.67</v>
      </c>
      <c r="W164" s="15">
        <v>8</v>
      </c>
      <c r="X164" s="15">
        <v>8.26</v>
      </c>
      <c r="Y164" s="15">
        <v>8.4499999999999993</v>
      </c>
      <c r="Z164" s="15">
        <v>8.76</v>
      </c>
      <c r="AA164" s="15">
        <v>9.36</v>
      </c>
      <c r="AB164" s="15">
        <v>10.15</v>
      </c>
      <c r="AC164" s="15">
        <v>11.25</v>
      </c>
      <c r="AD164" s="15">
        <v>12.49</v>
      </c>
      <c r="AE164" s="15">
        <v>14.15</v>
      </c>
      <c r="AF164" s="15">
        <v>15.65</v>
      </c>
      <c r="AG164" s="15">
        <v>17.11</v>
      </c>
      <c r="AH164" s="15">
        <v>18.510000000000002</v>
      </c>
      <c r="AI164" s="15">
        <v>19.86</v>
      </c>
      <c r="AJ164" s="15">
        <v>21.37</v>
      </c>
      <c r="AK164" s="15">
        <v>22.94</v>
      </c>
      <c r="AL164" s="15">
        <v>25.03</v>
      </c>
      <c r="AM164" s="15">
        <v>27.38</v>
      </c>
      <c r="AN164" s="15">
        <v>29.52</v>
      </c>
      <c r="AO164" s="15">
        <v>31.82</v>
      </c>
      <c r="AP164" s="15">
        <v>33.869999999999997</v>
      </c>
      <c r="AQ164" s="15">
        <v>35.51</v>
      </c>
      <c r="AR164" s="15">
        <v>37</v>
      </c>
      <c r="AS164" s="15">
        <v>38.340000000000003</v>
      </c>
      <c r="AT164" s="15">
        <v>39.78</v>
      </c>
      <c r="AU164" s="15">
        <v>41.63</v>
      </c>
      <c r="AV164" s="15">
        <v>43.99</v>
      </c>
      <c r="AW164" s="15">
        <v>46.96</v>
      </c>
      <c r="AX164" s="15">
        <v>50.65</v>
      </c>
      <c r="AY164" s="15">
        <v>55.21</v>
      </c>
      <c r="AZ164" s="15">
        <v>60.39</v>
      </c>
      <c r="BA164" s="15">
        <v>65.930000000000007</v>
      </c>
      <c r="BB164" s="15">
        <v>72.14</v>
      </c>
      <c r="BC164" s="15">
        <v>78.56</v>
      </c>
      <c r="BD164" s="15">
        <v>85.51</v>
      </c>
      <c r="BE164" s="15">
        <v>92.62</v>
      </c>
      <c r="BF164" s="15">
        <v>100.27</v>
      </c>
      <c r="BG164" s="15">
        <v>108.54</v>
      </c>
      <c r="BH164" s="15">
        <v>117.25</v>
      </c>
      <c r="BI164" s="15">
        <v>126.47</v>
      </c>
      <c r="BJ164" s="15">
        <v>136.33000000000001</v>
      </c>
      <c r="BK164" s="15">
        <v>146.97</v>
      </c>
      <c r="BL164" s="15">
        <v>158.47999999999999</v>
      </c>
      <c r="BM164" s="15">
        <v>170.88</v>
      </c>
      <c r="BN164" s="15">
        <v>184.19</v>
      </c>
      <c r="BO164" s="15">
        <v>198.67</v>
      </c>
      <c r="BP164" s="15">
        <v>214.57</v>
      </c>
      <c r="BQ164" s="15">
        <v>232.99</v>
      </c>
      <c r="BR164" s="15">
        <v>254.32</v>
      </c>
      <c r="BS164" s="15">
        <v>276.94</v>
      </c>
      <c r="BT164" s="15">
        <v>299.95999999999998</v>
      </c>
      <c r="BU164" s="15">
        <v>324.39</v>
      </c>
      <c r="BV164" s="15">
        <v>352.07</v>
      </c>
      <c r="BW164" s="15">
        <v>383.52</v>
      </c>
      <c r="BX164" s="15">
        <v>418.4</v>
      </c>
      <c r="BY164" s="15">
        <v>457.54</v>
      </c>
      <c r="BZ164" s="15">
        <v>502.09</v>
      </c>
      <c r="CA164" s="15">
        <v>552.70000000000005</v>
      </c>
      <c r="CB164" s="15">
        <v>609.95000000000005</v>
      </c>
      <c r="CC164" s="15">
        <v>674.45</v>
      </c>
      <c r="CD164" s="15">
        <v>746.62</v>
      </c>
      <c r="CE164" s="15">
        <v>827.02</v>
      </c>
      <c r="CF164" s="15">
        <v>916.7</v>
      </c>
      <c r="CG164" s="15">
        <v>1017.16</v>
      </c>
      <c r="CH164" s="15">
        <v>1130.07</v>
      </c>
      <c r="CI164" s="15">
        <v>1256.18</v>
      </c>
      <c r="CJ164" s="15">
        <v>1396.4</v>
      </c>
      <c r="CK164" s="15">
        <v>1552.15</v>
      </c>
      <c r="CL164" s="15">
        <v>1724.61</v>
      </c>
      <c r="CM164" s="15">
        <v>1915.14</v>
      </c>
      <c r="CN164" s="15">
        <v>2125.36</v>
      </c>
      <c r="CO164" s="15">
        <v>2358</v>
      </c>
      <c r="CP164" s="15">
        <v>2615.34</v>
      </c>
      <c r="CQ164" s="15">
        <v>2897.05</v>
      </c>
      <c r="CR164" s="15">
        <v>3199.81</v>
      </c>
      <c r="CS164" s="15">
        <v>3517.61</v>
      </c>
      <c r="CT164" s="15">
        <v>3843.4</v>
      </c>
      <c r="CU164" s="15">
        <v>4176.22</v>
      </c>
      <c r="CV164" s="15">
        <v>4523.72</v>
      </c>
      <c r="CW164" s="15">
        <v>4898.3500000000004</v>
      </c>
      <c r="CX164" s="15">
        <v>5316.71</v>
      </c>
    </row>
    <row r="165" spans="1:102" x14ac:dyDescent="0.25">
      <c r="A165" s="71">
        <v>2058</v>
      </c>
      <c r="B165" s="15">
        <v>184.09</v>
      </c>
      <c r="C165" s="15">
        <v>18.47</v>
      </c>
      <c r="D165" s="15">
        <v>8.69</v>
      </c>
      <c r="E165" s="15">
        <v>5.05</v>
      </c>
      <c r="F165" s="15">
        <v>4.2699999999999996</v>
      </c>
      <c r="G165" s="15">
        <v>3.91</v>
      </c>
      <c r="H165" s="15">
        <v>3.61</v>
      </c>
      <c r="I165" s="15">
        <v>3.19</v>
      </c>
      <c r="J165" s="15">
        <v>2.95</v>
      </c>
      <c r="K165" s="15">
        <v>2.77</v>
      </c>
      <c r="L165" s="15">
        <v>2.71</v>
      </c>
      <c r="M165" s="15">
        <v>3</v>
      </c>
      <c r="N165" s="15">
        <v>3.29</v>
      </c>
      <c r="O165" s="15">
        <v>3.88</v>
      </c>
      <c r="P165" s="15">
        <v>4.5199999999999996</v>
      </c>
      <c r="Q165" s="15">
        <v>5.09</v>
      </c>
      <c r="R165" s="15">
        <v>5.72</v>
      </c>
      <c r="S165" s="15">
        <v>6.33</v>
      </c>
      <c r="T165" s="15">
        <v>6.86</v>
      </c>
      <c r="U165" s="15">
        <v>7.33</v>
      </c>
      <c r="V165" s="15">
        <v>7.61</v>
      </c>
      <c r="W165" s="15">
        <v>7.89</v>
      </c>
      <c r="X165" s="15">
        <v>8.1999999999999993</v>
      </c>
      <c r="Y165" s="15">
        <v>8.34</v>
      </c>
      <c r="Z165" s="15">
        <v>8.7100000000000009</v>
      </c>
      <c r="AA165" s="15">
        <v>9.2100000000000009</v>
      </c>
      <c r="AB165" s="15">
        <v>10.050000000000001</v>
      </c>
      <c r="AC165" s="15">
        <v>11.09</v>
      </c>
      <c r="AD165" s="15">
        <v>12.39</v>
      </c>
      <c r="AE165" s="15">
        <v>13.95</v>
      </c>
      <c r="AF165" s="15">
        <v>15.4</v>
      </c>
      <c r="AG165" s="15">
        <v>16.91</v>
      </c>
      <c r="AH165" s="15">
        <v>18.21</v>
      </c>
      <c r="AI165" s="15">
        <v>19.559999999999999</v>
      </c>
      <c r="AJ165" s="15">
        <v>21.01</v>
      </c>
      <c r="AK165" s="15">
        <v>22.74</v>
      </c>
      <c r="AL165" s="15">
        <v>24.78</v>
      </c>
      <c r="AM165" s="15">
        <v>27.03</v>
      </c>
      <c r="AN165" s="15">
        <v>29.17</v>
      </c>
      <c r="AO165" s="15">
        <v>31.52</v>
      </c>
      <c r="AP165" s="15">
        <v>33.47</v>
      </c>
      <c r="AQ165" s="15">
        <v>35.11</v>
      </c>
      <c r="AR165" s="15">
        <v>36.549999999999997</v>
      </c>
      <c r="AS165" s="15">
        <v>37.880000000000003</v>
      </c>
      <c r="AT165" s="15">
        <v>39.22</v>
      </c>
      <c r="AU165" s="15">
        <v>41.17</v>
      </c>
      <c r="AV165" s="15">
        <v>43.43</v>
      </c>
      <c r="AW165" s="15">
        <v>46.4</v>
      </c>
      <c r="AX165" s="15">
        <v>50.04</v>
      </c>
      <c r="AY165" s="15">
        <v>54.65</v>
      </c>
      <c r="AZ165" s="15">
        <v>59.68</v>
      </c>
      <c r="BA165" s="15">
        <v>65.16</v>
      </c>
      <c r="BB165" s="15">
        <v>71.27</v>
      </c>
      <c r="BC165" s="15">
        <v>77.64</v>
      </c>
      <c r="BD165" s="15">
        <v>84.48</v>
      </c>
      <c r="BE165" s="15">
        <v>91.51</v>
      </c>
      <c r="BF165" s="15">
        <v>99.07</v>
      </c>
      <c r="BG165" s="15">
        <v>107.23</v>
      </c>
      <c r="BH165" s="15">
        <v>115.85</v>
      </c>
      <c r="BI165" s="15">
        <v>124.95</v>
      </c>
      <c r="BJ165" s="15">
        <v>134.69999999999999</v>
      </c>
      <c r="BK165" s="15">
        <v>145.21</v>
      </c>
      <c r="BL165" s="15">
        <v>156.58000000000001</v>
      </c>
      <c r="BM165" s="15">
        <v>168.83</v>
      </c>
      <c r="BN165" s="15">
        <v>181.99</v>
      </c>
      <c r="BO165" s="15">
        <v>196.29</v>
      </c>
      <c r="BP165" s="15">
        <v>211.99</v>
      </c>
      <c r="BQ165" s="15">
        <v>230.2</v>
      </c>
      <c r="BR165" s="15">
        <v>251.28</v>
      </c>
      <c r="BS165" s="15">
        <v>273.62</v>
      </c>
      <c r="BT165" s="15">
        <v>296.37</v>
      </c>
      <c r="BU165" s="15">
        <v>320.5</v>
      </c>
      <c r="BV165" s="15">
        <v>347.85</v>
      </c>
      <c r="BW165" s="15">
        <v>378.93</v>
      </c>
      <c r="BX165" s="15">
        <v>413.4</v>
      </c>
      <c r="BY165" s="15">
        <v>452.06</v>
      </c>
      <c r="BZ165" s="15">
        <v>496.09</v>
      </c>
      <c r="CA165" s="15">
        <v>546.09</v>
      </c>
      <c r="CB165" s="15">
        <v>602.66999999999996</v>
      </c>
      <c r="CC165" s="15">
        <v>666.39</v>
      </c>
      <c r="CD165" s="15">
        <v>737.7</v>
      </c>
      <c r="CE165" s="15">
        <v>817.16</v>
      </c>
      <c r="CF165" s="15">
        <v>905.77</v>
      </c>
      <c r="CG165" s="15">
        <v>1005.04</v>
      </c>
      <c r="CH165" s="15">
        <v>1116.6199999999999</v>
      </c>
      <c r="CI165" s="15">
        <v>1241.25</v>
      </c>
      <c r="CJ165" s="15">
        <v>1379.81</v>
      </c>
      <c r="CK165" s="15">
        <v>1533.73</v>
      </c>
      <c r="CL165" s="15">
        <v>1704.18</v>
      </c>
      <c r="CM165" s="15">
        <v>1892.48</v>
      </c>
      <c r="CN165" s="15">
        <v>2100.27</v>
      </c>
      <c r="CO165" s="15">
        <v>2330.21</v>
      </c>
      <c r="CP165" s="15">
        <v>2584.59</v>
      </c>
      <c r="CQ165" s="15">
        <v>2863.07</v>
      </c>
      <c r="CR165" s="15">
        <v>3162.38</v>
      </c>
      <c r="CS165" s="15">
        <v>3476.58</v>
      </c>
      <c r="CT165" s="15">
        <v>3798.71</v>
      </c>
      <c r="CU165" s="15">
        <v>4127.8100000000004</v>
      </c>
      <c r="CV165" s="15">
        <v>4471.45</v>
      </c>
      <c r="CW165" s="15">
        <v>4841.9399999999996</v>
      </c>
      <c r="CX165" s="15">
        <v>5255.72</v>
      </c>
    </row>
    <row r="166" spans="1:102" x14ac:dyDescent="0.25">
      <c r="A166" s="71">
        <v>2059</v>
      </c>
      <c r="B166" s="15">
        <v>181.82</v>
      </c>
      <c r="C166" s="15">
        <v>18.399999999999999</v>
      </c>
      <c r="D166" s="15">
        <v>8.6300000000000008</v>
      </c>
      <c r="E166" s="15">
        <v>4.93</v>
      </c>
      <c r="F166" s="15">
        <v>4.21</v>
      </c>
      <c r="G166" s="15">
        <v>3.91</v>
      </c>
      <c r="H166" s="15">
        <v>3.55</v>
      </c>
      <c r="I166" s="15">
        <v>3.19</v>
      </c>
      <c r="J166" s="15">
        <v>2.89</v>
      </c>
      <c r="K166" s="15">
        <v>2.71</v>
      </c>
      <c r="L166" s="15">
        <v>2.71</v>
      </c>
      <c r="M166" s="15">
        <v>2.88</v>
      </c>
      <c r="N166" s="15">
        <v>3.29</v>
      </c>
      <c r="O166" s="15">
        <v>3.76</v>
      </c>
      <c r="P166" s="15">
        <v>4.4000000000000004</v>
      </c>
      <c r="Q166" s="15">
        <v>5.03</v>
      </c>
      <c r="R166" s="15">
        <v>5.66</v>
      </c>
      <c r="S166" s="15">
        <v>6.27</v>
      </c>
      <c r="T166" s="15">
        <v>6.8</v>
      </c>
      <c r="U166" s="15">
        <v>7.22</v>
      </c>
      <c r="V166" s="15">
        <v>7.56</v>
      </c>
      <c r="W166" s="15">
        <v>7.84</v>
      </c>
      <c r="X166" s="15">
        <v>8.09</v>
      </c>
      <c r="Y166" s="15">
        <v>8.34</v>
      </c>
      <c r="Z166" s="15">
        <v>8.6</v>
      </c>
      <c r="AA166" s="15">
        <v>9.16</v>
      </c>
      <c r="AB166" s="15">
        <v>9.94</v>
      </c>
      <c r="AC166" s="15">
        <v>10.99</v>
      </c>
      <c r="AD166" s="15">
        <v>12.29</v>
      </c>
      <c r="AE166" s="15">
        <v>13.74</v>
      </c>
      <c r="AF166" s="15">
        <v>15.19</v>
      </c>
      <c r="AG166" s="15">
        <v>16.600000000000001</v>
      </c>
      <c r="AH166" s="15">
        <v>17.899999999999999</v>
      </c>
      <c r="AI166" s="15">
        <v>19.350000000000001</v>
      </c>
      <c r="AJ166" s="15">
        <v>20.81</v>
      </c>
      <c r="AK166" s="15">
        <v>22.48</v>
      </c>
      <c r="AL166" s="15">
        <v>24.57</v>
      </c>
      <c r="AM166" s="15">
        <v>26.67</v>
      </c>
      <c r="AN166" s="15">
        <v>28.86</v>
      </c>
      <c r="AO166" s="15">
        <v>31.16</v>
      </c>
      <c r="AP166" s="15">
        <v>33</v>
      </c>
      <c r="AQ166" s="15">
        <v>34.75</v>
      </c>
      <c r="AR166" s="15">
        <v>36.08</v>
      </c>
      <c r="AS166" s="15">
        <v>37.369999999999997</v>
      </c>
      <c r="AT166" s="15">
        <v>38.81</v>
      </c>
      <c r="AU166" s="15">
        <v>40.61</v>
      </c>
      <c r="AV166" s="15">
        <v>42.86</v>
      </c>
      <c r="AW166" s="15">
        <v>45.83</v>
      </c>
      <c r="AX166" s="15">
        <v>49.52</v>
      </c>
      <c r="AY166" s="15">
        <v>54.03</v>
      </c>
      <c r="AZ166" s="15">
        <v>58.85</v>
      </c>
      <c r="BA166" s="15">
        <v>64.39</v>
      </c>
      <c r="BB166" s="15">
        <v>70.34</v>
      </c>
      <c r="BC166" s="15">
        <v>76.709999999999994</v>
      </c>
      <c r="BD166" s="15">
        <v>83.47</v>
      </c>
      <c r="BE166" s="15">
        <v>90.41</v>
      </c>
      <c r="BF166" s="15">
        <v>97.88</v>
      </c>
      <c r="BG166" s="15">
        <v>105.95</v>
      </c>
      <c r="BH166" s="15">
        <v>114.46</v>
      </c>
      <c r="BI166" s="15">
        <v>123.46</v>
      </c>
      <c r="BJ166" s="15">
        <v>133.08000000000001</v>
      </c>
      <c r="BK166" s="15">
        <v>143.47</v>
      </c>
      <c r="BL166" s="15">
        <v>154.69999999999999</v>
      </c>
      <c r="BM166" s="15">
        <v>166.81</v>
      </c>
      <c r="BN166" s="15">
        <v>179.8</v>
      </c>
      <c r="BO166" s="15">
        <v>193.94</v>
      </c>
      <c r="BP166" s="15">
        <v>209.45</v>
      </c>
      <c r="BQ166" s="15">
        <v>227.44</v>
      </c>
      <c r="BR166" s="15">
        <v>248.27</v>
      </c>
      <c r="BS166" s="15">
        <v>270.33999999999997</v>
      </c>
      <c r="BT166" s="15">
        <v>292.82</v>
      </c>
      <c r="BU166" s="15">
        <v>316.66000000000003</v>
      </c>
      <c r="BV166" s="15">
        <v>343.69</v>
      </c>
      <c r="BW166" s="15">
        <v>374.4</v>
      </c>
      <c r="BX166" s="15">
        <v>408.45</v>
      </c>
      <c r="BY166" s="15">
        <v>446.66</v>
      </c>
      <c r="BZ166" s="15">
        <v>490.15</v>
      </c>
      <c r="CA166" s="15">
        <v>539.55999999999995</v>
      </c>
      <c r="CB166" s="15">
        <v>595.46</v>
      </c>
      <c r="CC166" s="15">
        <v>658.44</v>
      </c>
      <c r="CD166" s="15">
        <v>728.9</v>
      </c>
      <c r="CE166" s="15">
        <v>807.41</v>
      </c>
      <c r="CF166" s="15">
        <v>894.97</v>
      </c>
      <c r="CG166" s="15">
        <v>993.07</v>
      </c>
      <c r="CH166" s="15">
        <v>1103.33</v>
      </c>
      <c r="CI166" s="15">
        <v>1226.49</v>
      </c>
      <c r="CJ166" s="15">
        <v>1363.42</v>
      </c>
      <c r="CK166" s="15">
        <v>1515.54</v>
      </c>
      <c r="CL166" s="15">
        <v>1683.99</v>
      </c>
      <c r="CM166" s="15">
        <v>1870.1</v>
      </c>
      <c r="CN166" s="15">
        <v>2075.4699999999998</v>
      </c>
      <c r="CO166" s="15">
        <v>2302.75</v>
      </c>
      <c r="CP166" s="15">
        <v>2554.1999999999998</v>
      </c>
      <c r="CQ166" s="15">
        <v>2829.49</v>
      </c>
      <c r="CR166" s="15">
        <v>3125.39</v>
      </c>
      <c r="CS166" s="15">
        <v>3436.04</v>
      </c>
      <c r="CT166" s="15">
        <v>3754.55</v>
      </c>
      <c r="CU166" s="15">
        <v>4079.97</v>
      </c>
      <c r="CV166" s="15">
        <v>4419.78</v>
      </c>
      <c r="CW166" s="15">
        <v>4786.1899999999996</v>
      </c>
      <c r="CX166" s="15">
        <v>5195.43</v>
      </c>
    </row>
    <row r="167" spans="1:102" x14ac:dyDescent="0.25">
      <c r="A167" s="71">
        <v>2060</v>
      </c>
      <c r="B167" s="15">
        <v>179.63</v>
      </c>
      <c r="C167" s="15">
        <v>18.04</v>
      </c>
      <c r="D167" s="15">
        <v>8.51</v>
      </c>
      <c r="E167" s="15">
        <v>4.8099999999999996</v>
      </c>
      <c r="F167" s="15">
        <v>4.1500000000000004</v>
      </c>
      <c r="G167" s="15">
        <v>3.91</v>
      </c>
      <c r="H167" s="15">
        <v>3.55</v>
      </c>
      <c r="I167" s="15">
        <v>3.13</v>
      </c>
      <c r="J167" s="15">
        <v>2.83</v>
      </c>
      <c r="K167" s="15">
        <v>2.65</v>
      </c>
      <c r="L167" s="15">
        <v>2.65</v>
      </c>
      <c r="M167" s="15">
        <v>2.82</v>
      </c>
      <c r="N167" s="15">
        <v>3.23</v>
      </c>
      <c r="O167" s="15">
        <v>3.64</v>
      </c>
      <c r="P167" s="15">
        <v>4.28</v>
      </c>
      <c r="Q167" s="15">
        <v>4.97</v>
      </c>
      <c r="R167" s="15">
        <v>5.6</v>
      </c>
      <c r="S167" s="15">
        <v>6.15</v>
      </c>
      <c r="T167" s="15">
        <v>6.68</v>
      </c>
      <c r="U167" s="15">
        <v>7.1</v>
      </c>
      <c r="V167" s="15">
        <v>7.44</v>
      </c>
      <c r="W167" s="15">
        <v>7.78</v>
      </c>
      <c r="X167" s="15">
        <v>7.98</v>
      </c>
      <c r="Y167" s="15">
        <v>8.23</v>
      </c>
      <c r="Z167" s="15">
        <v>8.5500000000000007</v>
      </c>
      <c r="AA167" s="15">
        <v>9.0500000000000007</v>
      </c>
      <c r="AB167" s="15">
        <v>9.84</v>
      </c>
      <c r="AC167" s="15">
        <v>10.88</v>
      </c>
      <c r="AD167" s="15">
        <v>12.18</v>
      </c>
      <c r="AE167" s="15">
        <v>13.53</v>
      </c>
      <c r="AF167" s="15">
        <v>14.98</v>
      </c>
      <c r="AG167" s="15">
        <v>16.28</v>
      </c>
      <c r="AH167" s="15">
        <v>17.690000000000001</v>
      </c>
      <c r="AI167" s="15">
        <v>19.190000000000001</v>
      </c>
      <c r="AJ167" s="15">
        <v>20.55</v>
      </c>
      <c r="AK167" s="15">
        <v>22.22</v>
      </c>
      <c r="AL167" s="15">
        <v>24.31</v>
      </c>
      <c r="AM167" s="15">
        <v>26.3</v>
      </c>
      <c r="AN167" s="15">
        <v>28.55</v>
      </c>
      <c r="AO167" s="15">
        <v>30.69</v>
      </c>
      <c r="AP167" s="15">
        <v>32.64</v>
      </c>
      <c r="AQ167" s="15">
        <v>34.33</v>
      </c>
      <c r="AR167" s="15">
        <v>35.61</v>
      </c>
      <c r="AS167" s="15">
        <v>36.950000000000003</v>
      </c>
      <c r="AT167" s="15">
        <v>38.340000000000003</v>
      </c>
      <c r="AU167" s="15">
        <v>40.03</v>
      </c>
      <c r="AV167" s="15">
        <v>42.33</v>
      </c>
      <c r="AW167" s="15">
        <v>45.35</v>
      </c>
      <c r="AX167" s="15">
        <v>49.04</v>
      </c>
      <c r="AY167" s="15">
        <v>53.25</v>
      </c>
      <c r="AZ167" s="15">
        <v>58.11</v>
      </c>
      <c r="BA167" s="15">
        <v>63.6</v>
      </c>
      <c r="BB167" s="15">
        <v>69.5</v>
      </c>
      <c r="BC167" s="15">
        <v>75.790000000000006</v>
      </c>
      <c r="BD167" s="15">
        <v>82.47</v>
      </c>
      <c r="BE167" s="15">
        <v>89.33</v>
      </c>
      <c r="BF167" s="15">
        <v>96.7</v>
      </c>
      <c r="BG167" s="15">
        <v>104.68</v>
      </c>
      <c r="BH167" s="15">
        <v>113.09</v>
      </c>
      <c r="BI167" s="15">
        <v>121.98</v>
      </c>
      <c r="BJ167" s="15">
        <v>131.49</v>
      </c>
      <c r="BK167" s="15">
        <v>141.75</v>
      </c>
      <c r="BL167" s="15">
        <v>152.85</v>
      </c>
      <c r="BM167" s="15">
        <v>164.81</v>
      </c>
      <c r="BN167" s="15">
        <v>177.65</v>
      </c>
      <c r="BO167" s="15">
        <v>191.61</v>
      </c>
      <c r="BP167" s="15">
        <v>206.94</v>
      </c>
      <c r="BQ167" s="15">
        <v>224.72</v>
      </c>
      <c r="BR167" s="15">
        <v>245.29</v>
      </c>
      <c r="BS167" s="15">
        <v>267.10000000000002</v>
      </c>
      <c r="BT167" s="15">
        <v>289.31</v>
      </c>
      <c r="BU167" s="15">
        <v>312.87</v>
      </c>
      <c r="BV167" s="15">
        <v>339.57</v>
      </c>
      <c r="BW167" s="15">
        <v>369.91</v>
      </c>
      <c r="BX167" s="15">
        <v>403.56</v>
      </c>
      <c r="BY167" s="15">
        <v>441.31</v>
      </c>
      <c r="BZ167" s="15">
        <v>484.29</v>
      </c>
      <c r="CA167" s="15">
        <v>533.11</v>
      </c>
      <c r="CB167" s="15">
        <v>588.35</v>
      </c>
      <c r="CC167" s="15">
        <v>650.57000000000005</v>
      </c>
      <c r="CD167" s="15">
        <v>720.2</v>
      </c>
      <c r="CE167" s="15">
        <v>797.78</v>
      </c>
      <c r="CF167" s="15">
        <v>884.3</v>
      </c>
      <c r="CG167" s="15">
        <v>981.24</v>
      </c>
      <c r="CH167" s="15">
        <v>1090.2</v>
      </c>
      <c r="CI167" s="15">
        <v>1211.9000000000001</v>
      </c>
      <c r="CJ167" s="15">
        <v>1347.23</v>
      </c>
      <c r="CK167" s="15">
        <v>1497.56</v>
      </c>
      <c r="CL167" s="15">
        <v>1664.04</v>
      </c>
      <c r="CM167" s="15">
        <v>1847.98</v>
      </c>
      <c r="CN167" s="15">
        <v>2050.96</v>
      </c>
      <c r="CO167" s="15">
        <v>2275.61</v>
      </c>
      <c r="CP167" s="15">
        <v>2524.17</v>
      </c>
      <c r="CQ167" s="15">
        <v>2796.31</v>
      </c>
      <c r="CR167" s="15">
        <v>3088.84</v>
      </c>
      <c r="CS167" s="15">
        <v>3395.97</v>
      </c>
      <c r="CT167" s="15">
        <v>3710.89</v>
      </c>
      <c r="CU167" s="15">
        <v>4032.68</v>
      </c>
      <c r="CV167" s="15">
        <v>4368.72</v>
      </c>
      <c r="CW167" s="15">
        <v>4731.07</v>
      </c>
      <c r="CX167" s="15">
        <v>5135.83</v>
      </c>
    </row>
    <row r="168" spans="1:102" x14ac:dyDescent="0.25">
      <c r="A168" s="71">
        <v>2061</v>
      </c>
      <c r="B168" s="15">
        <v>177.51</v>
      </c>
      <c r="C168" s="15">
        <v>17.64</v>
      </c>
      <c r="D168" s="15">
        <v>8.3800000000000008</v>
      </c>
      <c r="E168" s="15">
        <v>4.75</v>
      </c>
      <c r="F168" s="15">
        <v>4.1500000000000004</v>
      </c>
      <c r="G168" s="15">
        <v>3.91</v>
      </c>
      <c r="H168" s="15">
        <v>3.55</v>
      </c>
      <c r="I168" s="15">
        <v>3.01</v>
      </c>
      <c r="J168" s="15">
        <v>2.77</v>
      </c>
      <c r="K168" s="15">
        <v>2.59</v>
      </c>
      <c r="L168" s="15">
        <v>2.59</v>
      </c>
      <c r="M168" s="15">
        <v>2.82</v>
      </c>
      <c r="N168" s="15">
        <v>3.17</v>
      </c>
      <c r="O168" s="15">
        <v>3.58</v>
      </c>
      <c r="P168" s="15">
        <v>4.22</v>
      </c>
      <c r="Q168" s="15">
        <v>4.91</v>
      </c>
      <c r="R168" s="15">
        <v>5.48</v>
      </c>
      <c r="S168" s="15">
        <v>5.98</v>
      </c>
      <c r="T168" s="15">
        <v>6.51</v>
      </c>
      <c r="U168" s="15">
        <v>6.98</v>
      </c>
      <c r="V168" s="15">
        <v>7.38</v>
      </c>
      <c r="W168" s="15">
        <v>7.61</v>
      </c>
      <c r="X168" s="15">
        <v>7.87</v>
      </c>
      <c r="Y168" s="15">
        <v>8.1199999999999992</v>
      </c>
      <c r="Z168" s="15">
        <v>8.49</v>
      </c>
      <c r="AA168" s="15">
        <v>8.94</v>
      </c>
      <c r="AB168" s="15">
        <v>9.73</v>
      </c>
      <c r="AC168" s="15">
        <v>10.77</v>
      </c>
      <c r="AD168" s="15">
        <v>12.02</v>
      </c>
      <c r="AE168" s="15">
        <v>13.32</v>
      </c>
      <c r="AF168" s="15">
        <v>14.77</v>
      </c>
      <c r="AG168" s="15">
        <v>16.02</v>
      </c>
      <c r="AH168" s="15">
        <v>17.52</v>
      </c>
      <c r="AI168" s="15">
        <v>18.98</v>
      </c>
      <c r="AJ168" s="15">
        <v>20.28</v>
      </c>
      <c r="AK168" s="15">
        <v>22.05</v>
      </c>
      <c r="AL168" s="15">
        <v>23.94</v>
      </c>
      <c r="AM168" s="15">
        <v>25.93</v>
      </c>
      <c r="AN168" s="15">
        <v>28.22</v>
      </c>
      <c r="AO168" s="15">
        <v>30.21</v>
      </c>
      <c r="AP168" s="15">
        <v>32.31</v>
      </c>
      <c r="AQ168" s="15">
        <v>33.85</v>
      </c>
      <c r="AR168" s="15">
        <v>35.229999999999997</v>
      </c>
      <c r="AS168" s="15">
        <v>36.520000000000003</v>
      </c>
      <c r="AT168" s="15">
        <v>37.96</v>
      </c>
      <c r="AU168" s="15">
        <v>39.6</v>
      </c>
      <c r="AV168" s="15">
        <v>41.9</v>
      </c>
      <c r="AW168" s="15">
        <v>44.92</v>
      </c>
      <c r="AX168" s="15">
        <v>48.35</v>
      </c>
      <c r="AY168" s="15">
        <v>52.55</v>
      </c>
      <c r="AZ168" s="15">
        <v>57.41</v>
      </c>
      <c r="BA168" s="15">
        <v>62.83</v>
      </c>
      <c r="BB168" s="15">
        <v>68.66</v>
      </c>
      <c r="BC168" s="15">
        <v>74.88</v>
      </c>
      <c r="BD168" s="15">
        <v>81.48</v>
      </c>
      <c r="BE168" s="15">
        <v>88.26</v>
      </c>
      <c r="BF168" s="15">
        <v>95.54</v>
      </c>
      <c r="BG168" s="15">
        <v>103.42</v>
      </c>
      <c r="BH168" s="15">
        <v>111.73</v>
      </c>
      <c r="BI168" s="15">
        <v>120.51</v>
      </c>
      <c r="BJ168" s="15">
        <v>129.91</v>
      </c>
      <c r="BK168" s="15">
        <v>140.05000000000001</v>
      </c>
      <c r="BL168" s="15">
        <v>151.02000000000001</v>
      </c>
      <c r="BM168" s="15">
        <v>162.83000000000001</v>
      </c>
      <c r="BN168" s="15">
        <v>175.52</v>
      </c>
      <c r="BO168" s="15">
        <v>189.32</v>
      </c>
      <c r="BP168" s="15">
        <v>204.46</v>
      </c>
      <c r="BQ168" s="15">
        <v>222.02</v>
      </c>
      <c r="BR168" s="15">
        <v>242.35</v>
      </c>
      <c r="BS168" s="15">
        <v>263.89999999999998</v>
      </c>
      <c r="BT168" s="15">
        <v>285.85000000000002</v>
      </c>
      <c r="BU168" s="15">
        <v>309.13</v>
      </c>
      <c r="BV168" s="15">
        <v>335.51</v>
      </c>
      <c r="BW168" s="15">
        <v>365.49</v>
      </c>
      <c r="BX168" s="15">
        <v>398.73</v>
      </c>
      <c r="BY168" s="15">
        <v>436.03</v>
      </c>
      <c r="BZ168" s="15">
        <v>478.5</v>
      </c>
      <c r="CA168" s="15">
        <v>526.74</v>
      </c>
      <c r="CB168" s="15">
        <v>581.32000000000005</v>
      </c>
      <c r="CC168" s="15">
        <v>642.79999999999995</v>
      </c>
      <c r="CD168" s="15">
        <v>711.6</v>
      </c>
      <c r="CE168" s="15">
        <v>788.26</v>
      </c>
      <c r="CF168" s="15">
        <v>873.76</v>
      </c>
      <c r="CG168" s="15">
        <v>969.55</v>
      </c>
      <c r="CH168" s="15">
        <v>1077.22</v>
      </c>
      <c r="CI168" s="15">
        <v>1197.49</v>
      </c>
      <c r="CJ168" s="15">
        <v>1331.23</v>
      </c>
      <c r="CK168" s="15">
        <v>1479.79</v>
      </c>
      <c r="CL168" s="15">
        <v>1644.33</v>
      </c>
      <c r="CM168" s="15">
        <v>1826.12</v>
      </c>
      <c r="CN168" s="15">
        <v>2026.74</v>
      </c>
      <c r="CO168" s="15">
        <v>2248.8000000000002</v>
      </c>
      <c r="CP168" s="15">
        <v>2494.4899999999998</v>
      </c>
      <c r="CQ168" s="15">
        <v>2763.51</v>
      </c>
      <c r="CR168" s="15">
        <v>3052.71</v>
      </c>
      <c r="CS168" s="15">
        <v>3356.37</v>
      </c>
      <c r="CT168" s="15">
        <v>3667.75</v>
      </c>
      <c r="CU168" s="15">
        <v>3985.94</v>
      </c>
      <c r="CV168" s="15">
        <v>4318.24</v>
      </c>
      <c r="CW168" s="15">
        <v>4676.59</v>
      </c>
      <c r="CX168" s="15">
        <v>5076.91</v>
      </c>
    </row>
    <row r="169" spans="1:102" x14ac:dyDescent="0.25">
      <c r="A169" s="71">
        <v>2062</v>
      </c>
      <c r="B169" s="15">
        <v>175.48</v>
      </c>
      <c r="C169" s="15">
        <v>17.47</v>
      </c>
      <c r="D169" s="15">
        <v>8.31</v>
      </c>
      <c r="E169" s="15">
        <v>4.74</v>
      </c>
      <c r="F169" s="15">
        <v>4.1399999999999997</v>
      </c>
      <c r="G169" s="15">
        <v>3.84</v>
      </c>
      <c r="H169" s="15">
        <v>3.42</v>
      </c>
      <c r="I169" s="15">
        <v>2.95</v>
      </c>
      <c r="J169" s="15">
        <v>2.71</v>
      </c>
      <c r="K169" s="15">
        <v>2.59</v>
      </c>
      <c r="L169" s="15">
        <v>2.59</v>
      </c>
      <c r="M169" s="15">
        <v>2.82</v>
      </c>
      <c r="N169" s="15">
        <v>3.17</v>
      </c>
      <c r="O169" s="15">
        <v>3.52</v>
      </c>
      <c r="P169" s="15">
        <v>4.22</v>
      </c>
      <c r="Q169" s="15">
        <v>4.91</v>
      </c>
      <c r="R169" s="15">
        <v>5.36</v>
      </c>
      <c r="S169" s="15">
        <v>5.91</v>
      </c>
      <c r="T169" s="15">
        <v>6.44</v>
      </c>
      <c r="U169" s="15">
        <v>6.92</v>
      </c>
      <c r="V169" s="15">
        <v>7.32</v>
      </c>
      <c r="W169" s="15">
        <v>7.49</v>
      </c>
      <c r="X169" s="15">
        <v>7.75</v>
      </c>
      <c r="Y169" s="15">
        <v>8.11</v>
      </c>
      <c r="Z169" s="15">
        <v>8.3800000000000008</v>
      </c>
      <c r="AA169" s="15">
        <v>8.8800000000000008</v>
      </c>
      <c r="AB169" s="15">
        <v>9.67</v>
      </c>
      <c r="AC169" s="15">
        <v>10.66</v>
      </c>
      <c r="AD169" s="15">
        <v>11.8</v>
      </c>
      <c r="AE169" s="15">
        <v>13.2</v>
      </c>
      <c r="AF169" s="15">
        <v>14.55</v>
      </c>
      <c r="AG169" s="15">
        <v>15.85</v>
      </c>
      <c r="AH169" s="15">
        <v>17.350000000000001</v>
      </c>
      <c r="AI169" s="15">
        <v>18.760000000000002</v>
      </c>
      <c r="AJ169" s="15">
        <v>20.16</v>
      </c>
      <c r="AK169" s="15">
        <v>21.78</v>
      </c>
      <c r="AL169" s="15">
        <v>23.56</v>
      </c>
      <c r="AM169" s="15">
        <v>25.65</v>
      </c>
      <c r="AN169" s="15">
        <v>27.79</v>
      </c>
      <c r="AO169" s="15">
        <v>29.88</v>
      </c>
      <c r="AP169" s="15">
        <v>31.92</v>
      </c>
      <c r="AQ169" s="15">
        <v>33.46</v>
      </c>
      <c r="AR169" s="15">
        <v>34.840000000000003</v>
      </c>
      <c r="AS169" s="15">
        <v>36.18</v>
      </c>
      <c r="AT169" s="15">
        <v>37.56</v>
      </c>
      <c r="AU169" s="15">
        <v>39.200000000000003</v>
      </c>
      <c r="AV169" s="15">
        <v>41.5</v>
      </c>
      <c r="AW169" s="15">
        <v>44.31</v>
      </c>
      <c r="AX169" s="15">
        <v>47.64</v>
      </c>
      <c r="AY169" s="15">
        <v>51.88</v>
      </c>
      <c r="AZ169" s="15">
        <v>56.72</v>
      </c>
      <c r="BA169" s="15">
        <v>62.08</v>
      </c>
      <c r="BB169" s="15">
        <v>67.84</v>
      </c>
      <c r="BC169" s="15">
        <v>73.989999999999995</v>
      </c>
      <c r="BD169" s="15">
        <v>80.5</v>
      </c>
      <c r="BE169" s="15">
        <v>87.2</v>
      </c>
      <c r="BF169" s="15">
        <v>94.4</v>
      </c>
      <c r="BG169" s="15">
        <v>102.18</v>
      </c>
      <c r="BH169" s="15">
        <v>110.39</v>
      </c>
      <c r="BI169" s="15">
        <v>119.07</v>
      </c>
      <c r="BJ169" s="15">
        <v>128.35</v>
      </c>
      <c r="BK169" s="15">
        <v>138.37</v>
      </c>
      <c r="BL169" s="15">
        <v>149.21</v>
      </c>
      <c r="BM169" s="15">
        <v>160.88</v>
      </c>
      <c r="BN169" s="15">
        <v>173.42</v>
      </c>
      <c r="BO169" s="15">
        <v>187.05</v>
      </c>
      <c r="BP169" s="15">
        <v>202.01</v>
      </c>
      <c r="BQ169" s="15">
        <v>219.36</v>
      </c>
      <c r="BR169" s="15">
        <v>239.45</v>
      </c>
      <c r="BS169" s="15">
        <v>260.74</v>
      </c>
      <c r="BT169" s="15">
        <v>282.43</v>
      </c>
      <c r="BU169" s="15">
        <v>305.42</v>
      </c>
      <c r="BV169" s="15">
        <v>331.49</v>
      </c>
      <c r="BW169" s="15">
        <v>361.11</v>
      </c>
      <c r="BX169" s="15">
        <v>393.96</v>
      </c>
      <c r="BY169" s="15">
        <v>430.82</v>
      </c>
      <c r="BZ169" s="15">
        <v>472.78</v>
      </c>
      <c r="CA169" s="15">
        <v>520.44000000000005</v>
      </c>
      <c r="CB169" s="15">
        <v>574.37</v>
      </c>
      <c r="CC169" s="15">
        <v>635.12</v>
      </c>
      <c r="CD169" s="15">
        <v>703.1</v>
      </c>
      <c r="CE169" s="15">
        <v>778.85</v>
      </c>
      <c r="CF169" s="15">
        <v>863.34</v>
      </c>
      <c r="CG169" s="15">
        <v>958</v>
      </c>
      <c r="CH169" s="15">
        <v>1064.4000000000001</v>
      </c>
      <c r="CI169" s="15">
        <v>1183.25</v>
      </c>
      <c r="CJ169" s="15">
        <v>1315.42</v>
      </c>
      <c r="CK169" s="15">
        <v>1462.24</v>
      </c>
      <c r="CL169" s="15">
        <v>1624.85</v>
      </c>
      <c r="CM169" s="15">
        <v>1804.52</v>
      </c>
      <c r="CN169" s="15">
        <v>2002.81</v>
      </c>
      <c r="CO169" s="15">
        <v>2222.3000000000002</v>
      </c>
      <c r="CP169" s="15">
        <v>2465.16</v>
      </c>
      <c r="CQ169" s="15">
        <v>2731.1</v>
      </c>
      <c r="CR169" s="15">
        <v>3017.01</v>
      </c>
      <c r="CS169" s="15">
        <v>3317.23</v>
      </c>
      <c r="CT169" s="15">
        <v>3625.11</v>
      </c>
      <c r="CU169" s="15">
        <v>3939.74</v>
      </c>
      <c r="CV169" s="15">
        <v>4268.34</v>
      </c>
      <c r="CW169" s="15">
        <v>4622.74</v>
      </c>
      <c r="CX169" s="15">
        <v>5018.67</v>
      </c>
    </row>
    <row r="171" spans="1:102" x14ac:dyDescent="0.25">
      <c r="A171" s="96" t="s">
        <v>730</v>
      </c>
      <c r="B171" s="96">
        <v>100000</v>
      </c>
    </row>
  </sheetData>
  <sheetProtection algorithmName="SHA-512" hashValue="RC2eKfXkJaLaK75lWUbHAXR0OCiSavVTUjbQd1hjrwV5FZ7KxPqkRvf7Ps/ru4CBgkYmjJiT/J7oT3tBquzUuw==" saltValue="wYObNkeOX70qIIk5V9mChA==" spinCount="100000" sheet="1" objects="1" scenarios="1" selectLockedCells="1"/>
  <mergeCells count="1">
    <mergeCell ref="B86:CX8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Y46"/>
  <sheetViews>
    <sheetView topLeftCell="A7" workbookViewId="0">
      <selection activeCell="G14" sqref="G14"/>
    </sheetView>
  </sheetViews>
  <sheetFormatPr defaultRowHeight="15" x14ac:dyDescent="0.25"/>
  <cols>
    <col min="1" max="1" width="21.5703125" style="96" bestFit="1" customWidth="1"/>
    <col min="2" max="2" width="17.7109375" style="96" bestFit="1" customWidth="1"/>
    <col min="3" max="3" width="23.140625" style="96" bestFit="1" customWidth="1"/>
    <col min="4" max="4" width="26" style="96" bestFit="1" customWidth="1"/>
    <col min="5" max="5" width="26.28515625" style="96" bestFit="1" customWidth="1"/>
    <col min="6" max="6" width="22.7109375" style="96" bestFit="1" customWidth="1"/>
    <col min="7" max="7" width="23.140625" style="96" bestFit="1" customWidth="1"/>
    <col min="8" max="8" width="26" style="96" bestFit="1" customWidth="1"/>
    <col min="9" max="9" width="26.28515625" style="96" bestFit="1" customWidth="1"/>
    <col min="10" max="10" width="22.7109375" style="96" bestFit="1" customWidth="1"/>
    <col min="11" max="11" width="22.140625" style="96" bestFit="1" customWidth="1"/>
    <col min="12" max="16" width="9.140625" style="96"/>
    <col min="17" max="17" width="8.7109375" style="96" bestFit="1" customWidth="1"/>
    <col min="18" max="20" width="5" style="96" bestFit="1" customWidth="1"/>
    <col min="21" max="21" width="9.140625" style="96"/>
    <col min="22" max="22" width="9.85546875" style="96" bestFit="1" customWidth="1"/>
    <col min="23" max="25" width="5" style="96" bestFit="1" customWidth="1"/>
    <col min="26" max="27" width="9.140625" style="96"/>
    <col min="28" max="28" width="9.85546875" style="96" bestFit="1" customWidth="1"/>
    <col min="29" max="35" width="9.140625" style="96"/>
    <col min="36" max="36" width="11.28515625" style="96" bestFit="1" customWidth="1"/>
    <col min="37" max="16384" width="9.140625" style="96"/>
  </cols>
  <sheetData>
    <row r="1" spans="1:25" x14ac:dyDescent="0.25">
      <c r="A1" s="96" t="s">
        <v>69</v>
      </c>
      <c r="B1" s="96">
        <f>'Program sheet'!$F$3</f>
        <v>2014</v>
      </c>
      <c r="D1" s="96" t="s">
        <v>853</v>
      </c>
      <c r="O1" s="222"/>
      <c r="Q1" s="613"/>
      <c r="R1" s="613"/>
      <c r="S1" s="613"/>
      <c r="T1" s="613"/>
      <c r="V1" s="613"/>
      <c r="W1" s="613"/>
      <c r="X1" s="613"/>
      <c r="Y1" s="613"/>
    </row>
    <row r="2" spans="1:25" x14ac:dyDescent="0.25">
      <c r="A2" s="96" t="s">
        <v>73</v>
      </c>
      <c r="B2" s="96">
        <v>7.3262499999999994E-2</v>
      </c>
      <c r="D2" s="96" t="s">
        <v>51</v>
      </c>
      <c r="E2" s="96" t="s">
        <v>107</v>
      </c>
      <c r="F2" s="96" t="s">
        <v>106</v>
      </c>
      <c r="N2" s="222"/>
    </row>
    <row r="3" spans="1:25" x14ac:dyDescent="0.25">
      <c r="D3" s="96">
        <v>1</v>
      </c>
      <c r="E3" s="96">
        <f>Parameters!O374</f>
        <v>1.976264</v>
      </c>
      <c r="F3" s="96">
        <f ca="1">Parameters!P374</f>
        <v>2.1349775132991811</v>
      </c>
    </row>
    <row r="4" spans="1:25" x14ac:dyDescent="0.25">
      <c r="D4" s="96">
        <v>5</v>
      </c>
      <c r="E4" s="96">
        <f>Parameters!O375</f>
        <v>1.5902449999999999</v>
      </c>
      <c r="F4" s="96">
        <f ca="1">Parameters!P375</f>
        <v>1.6838870313219769</v>
      </c>
    </row>
    <row r="5" spans="1:25" x14ac:dyDescent="0.25">
      <c r="D5" s="96">
        <v>10</v>
      </c>
      <c r="E5" s="96">
        <f>Parameters!O376</f>
        <v>1.4504649999999999</v>
      </c>
      <c r="F5" s="96">
        <f ca="1">Parameters!P376</f>
        <v>1.5374286461944799</v>
      </c>
    </row>
    <row r="6" spans="1:25" x14ac:dyDescent="0.25">
      <c r="D6" s="96">
        <v>15</v>
      </c>
      <c r="E6" s="96">
        <f>Parameters!O377</f>
        <v>0.90868400000000005</v>
      </c>
      <c r="F6" s="96">
        <f ca="1">Parameters!P377</f>
        <v>0.85575264208900248</v>
      </c>
    </row>
    <row r="10" spans="1:25" x14ac:dyDescent="0.25">
      <c r="A10" s="613" t="s">
        <v>95</v>
      </c>
      <c r="B10" s="613"/>
      <c r="C10" s="613"/>
      <c r="D10" s="613"/>
      <c r="E10" s="613" t="s">
        <v>97</v>
      </c>
      <c r="F10" s="613"/>
      <c r="G10" s="613"/>
      <c r="I10" s="40"/>
      <c r="J10" s="40"/>
      <c r="K10" s="40"/>
    </row>
    <row r="11" spans="1:25" x14ac:dyDescent="0.25">
      <c r="A11" s="96" t="s">
        <v>48</v>
      </c>
      <c r="B11" s="96" t="s">
        <v>83</v>
      </c>
      <c r="C11" s="96" t="s">
        <v>93</v>
      </c>
      <c r="D11" s="96" t="s">
        <v>94</v>
      </c>
      <c r="E11" s="96" t="s">
        <v>83</v>
      </c>
      <c r="F11" s="96" t="s">
        <v>93</v>
      </c>
      <c r="G11" s="96" t="s">
        <v>94</v>
      </c>
      <c r="I11" s="96" t="s">
        <v>19</v>
      </c>
      <c r="J11" s="38" t="s">
        <v>108</v>
      </c>
      <c r="K11" s="38" t="s">
        <v>22</v>
      </c>
      <c r="L11" s="38" t="s">
        <v>23</v>
      </c>
      <c r="Q11" s="40"/>
    </row>
    <row r="12" spans="1:25" x14ac:dyDescent="0.25">
      <c r="A12" s="96">
        <v>0</v>
      </c>
      <c r="E12" s="96" t="e">
        <f ca="1">_xlfn.BETA.INV(RAND(),K12,L12)</f>
        <v>#DIV/0!</v>
      </c>
      <c r="I12" s="96">
        <f t="shared" ref="I12:I27" si="0">0.1*B12</f>
        <v>0</v>
      </c>
      <c r="J12" s="96" t="e">
        <f t="shared" ref="J12:J27" si="1">((B12*(1-B12))/(I12^2))-1</f>
        <v>#DIV/0!</v>
      </c>
      <c r="K12" s="96" t="e">
        <f t="shared" ref="K12:K27" si="2">B12*J12</f>
        <v>#DIV/0!</v>
      </c>
      <c r="L12" s="96" t="e">
        <f t="shared" ref="L12:L27" si="3">K12*((1-B12)/B12)</f>
        <v>#DIV/0!</v>
      </c>
      <c r="O12" s="40"/>
      <c r="P12" s="40"/>
    </row>
    <row r="13" spans="1:25" x14ac:dyDescent="0.25">
      <c r="A13" s="96">
        <v>1</v>
      </c>
      <c r="B13" s="96">
        <f>VLOOKUP('Childhood mortality'!$B$1,'ONS mortality stats'!$A$3:$CX$84,A12+2)/ONS_mortality_rate_per_value</f>
        <v>4.4149999999999997E-3</v>
      </c>
      <c r="C13" s="43">
        <f t="shared" ref="C13:C27" si="4">B13/((VLOOKUP($A13,$D$3:$F$6,2)*Prevalence_of_low_birth_weight_infants)+((1-Prevalence_of_low_birth_weight_infants)*1))</f>
        <v>4.1203014491343866E-3</v>
      </c>
      <c r="D13" s="43">
        <f>C13*VLOOKUP($A13,$D$3:$F$6,2)</f>
        <v>8.1428034230721195E-3</v>
      </c>
      <c r="E13" s="96">
        <f t="shared" ref="E13:E27" ca="1" si="5">_xlfn.BETA.INV(RAND(),K13,L13)</f>
        <v>4.095889210060215E-3</v>
      </c>
      <c r="F13" s="43">
        <f t="shared" ref="F13:F27" ca="1" si="6">E13/((VLOOKUP($A13,$D$3:$F$6,3)*Prevalence_of_low_birth_weight_infants)+((1-Prevalence_of_low_birth_weight_infants)*1))</f>
        <v>3.7814562449561117E-3</v>
      </c>
      <c r="G13" s="43">
        <f ca="1">F13*VLOOKUP($A13,$D$3:$F$6,3)</f>
        <v>8.0733240505060574E-3</v>
      </c>
      <c r="H13" s="43"/>
      <c r="I13" s="96">
        <f t="shared" si="0"/>
        <v>4.415E-4</v>
      </c>
      <c r="J13" s="96">
        <f t="shared" si="1"/>
        <v>22549.056625141562</v>
      </c>
      <c r="K13" s="96">
        <f t="shared" si="2"/>
        <v>99.554084999999986</v>
      </c>
      <c r="L13" s="96">
        <f t="shared" si="3"/>
        <v>22449.502540141562</v>
      </c>
    </row>
    <row r="14" spans="1:25" x14ac:dyDescent="0.25">
      <c r="A14" s="96">
        <v>2</v>
      </c>
      <c r="B14" s="96">
        <f>VLOOKUP('Childhood mortality'!$B$1,'ONS mortality stats'!$A$3:$CX$84,A13+2)/ONS_mortality_rate_per_value</f>
        <v>4.0499999999999998E-4</v>
      </c>
      <c r="C14" s="43">
        <f t="shared" si="4"/>
        <v>3.7796649759896413E-4</v>
      </c>
      <c r="D14" s="43">
        <f t="shared" ref="D14:D27" si="7">C14*VLOOKUP($A14,$D$3:$F$6,2)</f>
        <v>7.4696158241091928E-4</v>
      </c>
      <c r="E14" s="96">
        <f t="shared" ca="1" si="5"/>
        <v>3.9984709058311717E-4</v>
      </c>
      <c r="F14" s="43">
        <f t="shared" ca="1" si="6"/>
        <v>3.6915165429751262E-4</v>
      </c>
      <c r="G14" s="43">
        <f t="shared" ref="G14:G27" ca="1" si="8">F14*VLOOKUP($A14,$D$3:$F$6,3)</f>
        <v>7.8813048092238238E-4</v>
      </c>
      <c r="H14" s="43"/>
      <c r="I14" s="96">
        <f t="shared" si="0"/>
        <v>4.0500000000000002E-5</v>
      </c>
      <c r="J14" s="96">
        <f t="shared" si="1"/>
        <v>246812.58024691354</v>
      </c>
      <c r="K14" s="96">
        <f t="shared" si="2"/>
        <v>99.959094999999976</v>
      </c>
      <c r="L14" s="96">
        <f t="shared" si="3"/>
        <v>246712.62115191351</v>
      </c>
    </row>
    <row r="15" spans="1:25" x14ac:dyDescent="0.25">
      <c r="A15" s="96">
        <v>3</v>
      </c>
      <c r="B15" s="96">
        <f>VLOOKUP('Childhood mortality'!$B$1,'ONS mortality stats'!$A$3:$CX$84,A14+2)/ONS_mortality_rate_per_value</f>
        <v>1.8600000000000002E-4</v>
      </c>
      <c r="C15" s="43">
        <f t="shared" si="4"/>
        <v>1.7358461371211689E-4</v>
      </c>
      <c r="D15" s="43">
        <f t="shared" si="7"/>
        <v>3.43049023033163E-4</v>
      </c>
      <c r="E15" s="96">
        <f t="shared" ca="1" si="5"/>
        <v>1.7838700240973396E-4</v>
      </c>
      <c r="F15" s="43">
        <f t="shared" ca="1" si="6"/>
        <v>1.6469260023548648E-4</v>
      </c>
      <c r="G15" s="43">
        <f t="shared" ca="1" si="8"/>
        <v>3.5161499810953506E-4</v>
      </c>
      <c r="H15" s="43"/>
      <c r="I15" s="96">
        <f t="shared" si="0"/>
        <v>1.8600000000000005E-5</v>
      </c>
      <c r="J15" s="96">
        <f t="shared" si="1"/>
        <v>537533.40860215039</v>
      </c>
      <c r="K15" s="96">
        <f t="shared" si="2"/>
        <v>99.98121399999998</v>
      </c>
      <c r="L15" s="96">
        <f t="shared" si="3"/>
        <v>537433.42738815036</v>
      </c>
    </row>
    <row r="16" spans="1:25" x14ac:dyDescent="0.25">
      <c r="A16" s="96">
        <v>4</v>
      </c>
      <c r="B16" s="96">
        <f>VLOOKUP('Childhood mortality'!$B$1,'ONS mortality stats'!$A$3:$CX$84,A15+2)/ONS_mortality_rate_per_value</f>
        <v>9.8300000000000004E-5</v>
      </c>
      <c r="C16" s="43">
        <f t="shared" si="4"/>
        <v>9.1738535096242416E-5</v>
      </c>
      <c r="D16" s="43">
        <f t="shared" si="7"/>
        <v>1.8129956432344044E-4</v>
      </c>
      <c r="E16" s="96">
        <f t="shared" ca="1" si="5"/>
        <v>9.7027902335657533E-5</v>
      </c>
      <c r="F16" s="43">
        <f t="shared" ca="1" si="6"/>
        <v>8.9579270435581404E-5</v>
      </c>
      <c r="G16" s="43">
        <f t="shared" ca="1" si="8"/>
        <v>1.9124972803771244E-4</v>
      </c>
      <c r="H16" s="43"/>
      <c r="I16" s="96">
        <f t="shared" si="0"/>
        <v>9.8300000000000008E-6</v>
      </c>
      <c r="J16" s="96">
        <f t="shared" si="1"/>
        <v>1017192.9979654119</v>
      </c>
      <c r="K16" s="96">
        <f t="shared" si="2"/>
        <v>99.990071699999987</v>
      </c>
      <c r="L16" s="96">
        <f t="shared" si="3"/>
        <v>1017093.0078937119</v>
      </c>
    </row>
    <row r="17" spans="1:17" x14ac:dyDescent="0.25">
      <c r="A17" s="96">
        <v>5</v>
      </c>
      <c r="B17" s="96">
        <f>VLOOKUP('Childhood mortality'!$B$1,'ONS mortality stats'!$A$3:$CX$84,A16+2)/ONS_mortality_rate_per_value</f>
        <v>8.4900000000000004E-5</v>
      </c>
      <c r="C17" s="43">
        <f t="shared" si="4"/>
        <v>8.1380861695309857E-5</v>
      </c>
      <c r="D17" s="43">
        <f t="shared" si="7"/>
        <v>1.2941550840665802E-4</v>
      </c>
      <c r="E17" s="96">
        <f t="shared" ca="1" si="5"/>
        <v>7.5372785044544084E-5</v>
      </c>
      <c r="F17" s="43">
        <f t="shared" ca="1" si="6"/>
        <v>7.1776545161920542E-5</v>
      </c>
      <c r="G17" s="43">
        <f t="shared" ca="1" si="8"/>
        <v>1.2086359355125419E-4</v>
      </c>
      <c r="H17" s="43"/>
      <c r="I17" s="96">
        <f t="shared" si="0"/>
        <v>8.49E-6</v>
      </c>
      <c r="J17" s="96">
        <f t="shared" si="1"/>
        <v>1177755.3015312131</v>
      </c>
      <c r="K17" s="96">
        <f t="shared" si="2"/>
        <v>99.991425100000001</v>
      </c>
      <c r="L17" s="96">
        <f t="shared" si="3"/>
        <v>1177655.3101061131</v>
      </c>
    </row>
    <row r="18" spans="1:17" x14ac:dyDescent="0.25">
      <c r="A18" s="96">
        <v>6</v>
      </c>
      <c r="B18" s="96">
        <f>VLOOKUP('Childhood mortality'!$B$1,'ONS mortality stats'!$A$3:$CX$84,A17+2)/ONS_mortality_rate_per_value</f>
        <v>7.8100000000000001E-5</v>
      </c>
      <c r="C18" s="43">
        <f t="shared" si="4"/>
        <v>7.486272436282332E-5</v>
      </c>
      <c r="D18" s="43">
        <f t="shared" si="7"/>
        <v>1.1905007310435797E-4</v>
      </c>
      <c r="E18" s="96">
        <f t="shared" ca="1" si="5"/>
        <v>7.7077324069947304E-5</v>
      </c>
      <c r="F18" s="43">
        <f t="shared" ca="1" si="6"/>
        <v>7.3399756010037741E-5</v>
      </c>
      <c r="G18" s="43">
        <f t="shared" ca="1" si="8"/>
        <v>1.2359689724749989E-4</v>
      </c>
      <c r="H18" s="43"/>
      <c r="I18" s="96">
        <f t="shared" si="0"/>
        <v>7.8099999999999998E-6</v>
      </c>
      <c r="J18" s="96">
        <f t="shared" si="1"/>
        <v>1280308.7311139565</v>
      </c>
      <c r="K18" s="96">
        <f t="shared" si="2"/>
        <v>99.992111900000012</v>
      </c>
      <c r="L18" s="96">
        <f t="shared" si="3"/>
        <v>1280208.7390020567</v>
      </c>
    </row>
    <row r="19" spans="1:17" x14ac:dyDescent="0.25">
      <c r="A19" s="96">
        <v>7</v>
      </c>
      <c r="B19" s="96">
        <f>VLOOKUP('Childhood mortality'!$B$1,'ONS mortality stats'!$A$3:$CX$84,A18+2)/ONS_mortality_rate_per_value</f>
        <v>7.2600000000000003E-5</v>
      </c>
      <c r="C19" s="43">
        <f t="shared" si="4"/>
        <v>6.9590701520370971E-5</v>
      </c>
      <c r="D19" s="43">
        <f t="shared" si="7"/>
        <v>1.1066626513926233E-4</v>
      </c>
      <c r="E19" s="96">
        <f t="shared" ca="1" si="5"/>
        <v>6.9720972866772564E-5</v>
      </c>
      <c r="F19" s="43">
        <f t="shared" ca="1" si="6"/>
        <v>6.6394396263153341E-5</v>
      </c>
      <c r="G19" s="43">
        <f t="shared" ca="1" si="8"/>
        <v>1.1180066281997624E-4</v>
      </c>
      <c r="H19" s="43"/>
      <c r="I19" s="96">
        <f t="shared" si="0"/>
        <v>7.2600000000000008E-6</v>
      </c>
      <c r="J19" s="96">
        <f t="shared" si="1"/>
        <v>1377309.468319559</v>
      </c>
      <c r="K19" s="96">
        <f t="shared" si="2"/>
        <v>99.992667399999988</v>
      </c>
      <c r="L19" s="96">
        <f t="shared" si="3"/>
        <v>1377209.475652159</v>
      </c>
    </row>
    <row r="20" spans="1:17" x14ac:dyDescent="0.25">
      <c r="A20" s="96">
        <v>8</v>
      </c>
      <c r="B20" s="96">
        <f>VLOOKUP('Childhood mortality'!$B$1,'ONS mortality stats'!$A$3:$CX$84,A19+2)/ONS_mortality_rate_per_value</f>
        <v>6.6600000000000006E-5</v>
      </c>
      <c r="C20" s="43">
        <f t="shared" si="4"/>
        <v>6.3839403874059328E-5</v>
      </c>
      <c r="D20" s="43">
        <f t="shared" si="7"/>
        <v>1.0152029281370346E-4</v>
      </c>
      <c r="E20" s="96">
        <f t="shared" ca="1" si="5"/>
        <v>6.317566100529922E-5</v>
      </c>
      <c r="F20" s="43">
        <f t="shared" ca="1" si="6"/>
        <v>6.0161378972545703E-5</v>
      </c>
      <c r="G20" s="43">
        <f t="shared" ca="1" si="8"/>
        <v>1.0130496583831639E-4</v>
      </c>
      <c r="H20" s="43"/>
      <c r="I20" s="96">
        <f t="shared" si="0"/>
        <v>6.6600000000000006E-6</v>
      </c>
      <c r="J20" s="96">
        <f t="shared" si="1"/>
        <v>1501400.5015015015</v>
      </c>
      <c r="K20" s="96">
        <f t="shared" si="2"/>
        <v>99.993273400000007</v>
      </c>
      <c r="L20" s="96">
        <f t="shared" si="3"/>
        <v>1501300.5082281013</v>
      </c>
    </row>
    <row r="21" spans="1:17" x14ac:dyDescent="0.25">
      <c r="A21" s="96">
        <v>9</v>
      </c>
      <c r="B21" s="96">
        <f>VLOOKUP('Childhood mortality'!$B$1,'ONS mortality stats'!$A$3:$CX$84,A20+2)/ONS_mortality_rate_per_value</f>
        <v>6.1699999999999995E-5</v>
      </c>
      <c r="C21" s="43">
        <f t="shared" si="4"/>
        <v>5.9142510796238135E-5</v>
      </c>
      <c r="D21" s="43">
        <f t="shared" si="7"/>
        <v>9.4051082081163709E-5</v>
      </c>
      <c r="E21" s="96">
        <f t="shared" ca="1" si="5"/>
        <v>7.0035423998526802E-5</v>
      </c>
      <c r="F21" s="43">
        <f t="shared" ca="1" si="6"/>
        <v>6.6693844079049176E-5</v>
      </c>
      <c r="G21" s="43">
        <f t="shared" ca="1" si="8"/>
        <v>1.1230489911372092E-4</v>
      </c>
      <c r="H21" s="43"/>
      <c r="I21" s="96">
        <f t="shared" si="0"/>
        <v>6.1700000000000002E-6</v>
      </c>
      <c r="J21" s="96">
        <f t="shared" si="1"/>
        <v>1620644.5429497566</v>
      </c>
      <c r="K21" s="96">
        <f t="shared" si="2"/>
        <v>99.993768299999971</v>
      </c>
      <c r="L21" s="96">
        <f t="shared" si="3"/>
        <v>1620544.5491814564</v>
      </c>
    </row>
    <row r="22" spans="1:17" x14ac:dyDescent="0.25">
      <c r="A22" s="96">
        <v>10</v>
      </c>
      <c r="B22" s="96">
        <f>VLOOKUP('Childhood mortality'!$B$1,'ONS mortality stats'!$A$3:$CX$84,A21+2)/ONS_mortality_rate_per_value</f>
        <v>5.8E-5</v>
      </c>
      <c r="C22" s="43">
        <f t="shared" si="4"/>
        <v>5.6147025094106307E-5</v>
      </c>
      <c r="D22" s="43">
        <f t="shared" si="7"/>
        <v>8.1439294753122901E-5</v>
      </c>
      <c r="E22" s="96">
        <f t="shared" ca="1" si="5"/>
        <v>6.6984804948377885E-5</v>
      </c>
      <c r="F22" s="43">
        <f t="shared" ca="1" si="6"/>
        <v>6.4447297888538938E-5</v>
      </c>
      <c r="G22" s="43">
        <f t="shared" ca="1" si="8"/>
        <v>9.9083121943668786E-5</v>
      </c>
      <c r="H22" s="43"/>
      <c r="I22" s="96">
        <f t="shared" si="0"/>
        <v>5.8000000000000004E-6</v>
      </c>
      <c r="J22" s="96">
        <f t="shared" si="1"/>
        <v>1724036.9310344823</v>
      </c>
      <c r="K22" s="96">
        <f t="shared" si="2"/>
        <v>99.994141999999968</v>
      </c>
      <c r="L22" s="96">
        <f t="shared" si="3"/>
        <v>1723936.936892482</v>
      </c>
    </row>
    <row r="23" spans="1:17" x14ac:dyDescent="0.25">
      <c r="A23" s="96">
        <v>11</v>
      </c>
      <c r="B23" s="96">
        <f>VLOOKUP('Childhood mortality'!$B$1,'ONS mortality stats'!$A$3:$CX$84,A22+2)/ONS_mortality_rate_per_value</f>
        <v>5.5599999999999996E-5</v>
      </c>
      <c r="C23" s="43">
        <f t="shared" si="4"/>
        <v>5.3823699917798452E-5</v>
      </c>
      <c r="D23" s="43">
        <f t="shared" si="7"/>
        <v>7.8069392901269531E-5</v>
      </c>
      <c r="E23" s="96">
        <f t="shared" ca="1" si="5"/>
        <v>5.8999936984327483E-5</v>
      </c>
      <c r="F23" s="43">
        <f t="shared" ca="1" si="6"/>
        <v>5.6764911343166616E-5</v>
      </c>
      <c r="G23" s="43">
        <f t="shared" ca="1" si="8"/>
        <v>8.7272000797674332E-5</v>
      </c>
      <c r="H23" s="43"/>
      <c r="I23" s="96">
        <f t="shared" si="0"/>
        <v>5.5600000000000001E-6</v>
      </c>
      <c r="J23" s="96">
        <f t="shared" si="1"/>
        <v>1798460.1510791362</v>
      </c>
      <c r="K23" s="96">
        <f t="shared" si="2"/>
        <v>99.994384399999959</v>
      </c>
      <c r="L23" s="96">
        <f t="shared" si="3"/>
        <v>1798360.1566947361</v>
      </c>
    </row>
    <row r="24" spans="1:17" x14ac:dyDescent="0.25">
      <c r="A24" s="96">
        <v>12</v>
      </c>
      <c r="B24" s="96">
        <f>VLOOKUP('Childhood mortality'!$B$1,'ONS mortality stats'!$A$3:$CX$84,A23+2)/ONS_mortality_rate_per_value</f>
        <v>5.8499999999999999E-5</v>
      </c>
      <c r="C24" s="43">
        <f t="shared" si="4"/>
        <v>5.6631051172503769E-5</v>
      </c>
      <c r="D24" s="43">
        <f t="shared" si="7"/>
        <v>8.2141357638925675E-5</v>
      </c>
      <c r="E24" s="96">
        <f t="shared" ca="1" si="5"/>
        <v>4.9807672902210263E-5</v>
      </c>
      <c r="F24" s="43">
        <f t="shared" ca="1" si="6"/>
        <v>4.7920867055408017E-5</v>
      </c>
      <c r="G24" s="43">
        <f t="shared" ca="1" si="8"/>
        <v>7.3674913761461597E-5</v>
      </c>
      <c r="H24" s="43"/>
      <c r="I24" s="96">
        <f t="shared" si="0"/>
        <v>5.8499999999999999E-6</v>
      </c>
      <c r="J24" s="96">
        <f t="shared" si="1"/>
        <v>1709300.7094017093</v>
      </c>
      <c r="K24" s="96">
        <f t="shared" si="2"/>
        <v>99.994091499999996</v>
      </c>
      <c r="L24" s="96">
        <f t="shared" si="3"/>
        <v>1709200.7153102092</v>
      </c>
    </row>
    <row r="25" spans="1:17" x14ac:dyDescent="0.25">
      <c r="A25" s="96">
        <v>13</v>
      </c>
      <c r="B25" s="96">
        <f>VLOOKUP('Childhood mortality'!$B$1,'ONS mortality stats'!$A$3:$CX$84,A24+2)/ONS_mortality_rate_per_value</f>
        <v>6.6699999999999995E-5</v>
      </c>
      <c r="C25" s="43">
        <f t="shared" si="4"/>
        <v>6.456907885822225E-5</v>
      </c>
      <c r="D25" s="43">
        <f t="shared" si="7"/>
        <v>9.3655188966091334E-5</v>
      </c>
      <c r="E25" s="96">
        <f t="shared" ca="1" si="5"/>
        <v>6.2119274369157893E-5</v>
      </c>
      <c r="F25" s="43">
        <f t="shared" ca="1" si="6"/>
        <v>5.9766082516389382E-5</v>
      </c>
      <c r="G25" s="43">
        <f t="shared" ca="1" si="8"/>
        <v>9.1886087331520102E-5</v>
      </c>
      <c r="H25" s="43"/>
      <c r="I25" s="96">
        <f t="shared" si="0"/>
        <v>6.6699999999999997E-6</v>
      </c>
      <c r="J25" s="96">
        <f t="shared" si="1"/>
        <v>1499149.3748125937</v>
      </c>
      <c r="K25" s="96">
        <f t="shared" si="2"/>
        <v>99.993263299999995</v>
      </c>
      <c r="L25" s="96">
        <f t="shared" si="3"/>
        <v>1499049.3815492939</v>
      </c>
    </row>
    <row r="26" spans="1:17" x14ac:dyDescent="0.25">
      <c r="A26" s="96">
        <v>14</v>
      </c>
      <c r="B26" s="96">
        <f>VLOOKUP('Childhood mortality'!$B$1,'ONS mortality stats'!$A$3:$CX$84,A25+2)/ONS_mortality_rate_per_value</f>
        <v>7.7399999999999998E-5</v>
      </c>
      <c r="C26" s="43">
        <f t="shared" si="4"/>
        <v>7.4927236935928067E-5</v>
      </c>
      <c r="D26" s="43">
        <f t="shared" si="7"/>
        <v>1.0867933472227089E-4</v>
      </c>
      <c r="E26" s="96">
        <f t="shared" ca="1" si="5"/>
        <v>7.0760262966528578E-5</v>
      </c>
      <c r="F26" s="43">
        <f t="shared" ca="1" si="6"/>
        <v>6.8079734644142608E-5</v>
      </c>
      <c r="G26" s="43">
        <f t="shared" ca="1" si="8"/>
        <v>1.0466773426722361E-4</v>
      </c>
      <c r="H26" s="43"/>
      <c r="I26" s="96">
        <f t="shared" si="0"/>
        <v>7.7400000000000004E-6</v>
      </c>
      <c r="J26" s="96">
        <f t="shared" si="1"/>
        <v>1291888.6640826873</v>
      </c>
      <c r="K26" s="96">
        <f t="shared" si="2"/>
        <v>99.992182599999992</v>
      </c>
      <c r="L26" s="96">
        <f t="shared" si="3"/>
        <v>1291788.6719000873</v>
      </c>
    </row>
    <row r="27" spans="1:17" x14ac:dyDescent="0.25">
      <c r="A27" s="96">
        <v>15</v>
      </c>
      <c r="B27" s="96">
        <f>VLOOKUP('Childhood mortality'!$B$1,'ONS mortality stats'!$A$3:$CX$84,A26+2)/ONS_mortality_rate_per_value</f>
        <v>9.2100000000000003E-5</v>
      </c>
      <c r="C27" s="43">
        <f t="shared" si="4"/>
        <v>9.2720302388071837E-5</v>
      </c>
      <c r="D27" s="43">
        <f t="shared" si="7"/>
        <v>8.4253455255202671E-5</v>
      </c>
      <c r="E27" s="96">
        <f t="shared" ca="1" si="5"/>
        <v>8.7520758464283013E-5</v>
      </c>
      <c r="F27" s="43">
        <f t="shared" ca="1" si="6"/>
        <v>8.8455549820467684E-5</v>
      </c>
      <c r="G27" s="43">
        <f t="shared" ca="1" si="8"/>
        <v>7.5696070466300616E-5</v>
      </c>
      <c r="H27" s="43"/>
      <c r="I27" s="96">
        <f t="shared" si="0"/>
        <v>9.2100000000000016E-6</v>
      </c>
      <c r="J27" s="96">
        <f t="shared" si="1"/>
        <v>1085675.3300760041</v>
      </c>
      <c r="K27" s="96">
        <f t="shared" si="2"/>
        <v>99.990697899999986</v>
      </c>
      <c r="L27" s="96">
        <f t="shared" si="3"/>
        <v>1085575.3393781041</v>
      </c>
      <c r="Q27" s="222"/>
    </row>
    <row r="28" spans="1:17" x14ac:dyDescent="0.25">
      <c r="M28" s="222"/>
      <c r="N28" s="222"/>
      <c r="O28" s="222"/>
    </row>
    <row r="29" spans="1:17" x14ac:dyDescent="0.25">
      <c r="A29" s="613" t="s">
        <v>96</v>
      </c>
      <c r="B29" s="613"/>
      <c r="C29" s="613"/>
      <c r="D29" s="613"/>
      <c r="E29" s="613" t="s">
        <v>98</v>
      </c>
      <c r="F29" s="613"/>
      <c r="G29" s="613"/>
      <c r="H29" s="40"/>
      <c r="I29" s="40"/>
      <c r="J29" s="40"/>
      <c r="K29" s="40"/>
    </row>
    <row r="30" spans="1:17" x14ac:dyDescent="0.25">
      <c r="A30" s="96" t="s">
        <v>48</v>
      </c>
      <c r="B30" s="96" t="s">
        <v>83</v>
      </c>
      <c r="C30" s="96" t="s">
        <v>93</v>
      </c>
      <c r="D30" s="96" t="s">
        <v>94</v>
      </c>
      <c r="E30" s="96" t="s">
        <v>83</v>
      </c>
      <c r="F30" s="96" t="s">
        <v>93</v>
      </c>
      <c r="G30" s="96" t="s">
        <v>94</v>
      </c>
    </row>
    <row r="31" spans="1:17" x14ac:dyDescent="0.25">
      <c r="A31" s="96">
        <v>0</v>
      </c>
      <c r="E31" s="96" t="e">
        <f ca="1">_xlfn.BETA.INV(RAND(),K31,L31)</f>
        <v>#DIV/0!</v>
      </c>
      <c r="I31" s="96">
        <f t="shared" ref="I31:I46" si="9">0.1*B31</f>
        <v>0</v>
      </c>
      <c r="J31" s="96" t="e">
        <f t="shared" ref="J31:J46" si="10">((B31*(1-B31))/(I31^2))-1</f>
        <v>#DIV/0!</v>
      </c>
      <c r="K31" s="96" t="e">
        <f t="shared" ref="K31:K46" si="11">B31*J31</f>
        <v>#DIV/0!</v>
      </c>
      <c r="L31" s="96" t="e">
        <f t="shared" ref="L31:L46" si="12">K31*((1-B31)/B31)</f>
        <v>#DIV/0!</v>
      </c>
    </row>
    <row r="32" spans="1:17" x14ac:dyDescent="0.25">
      <c r="A32" s="96">
        <v>1</v>
      </c>
      <c r="B32" s="96">
        <f>VLOOKUP($B$1,'ONS mortality stats'!$A$88:$CX$169,A12+2)/ONS_mortality_rate_per_value</f>
        <v>3.5751999999999997E-3</v>
      </c>
      <c r="C32" s="43">
        <f t="shared" ref="C32:C46" si="13">B32/((VLOOKUP($A32,$D$3:$F$6,2)*Prevalence_of_low_birth_weight_infants)+((1-Prevalence_of_low_birth_weight_infants)*1))</f>
        <v>3.3365575857180656E-3</v>
      </c>
      <c r="D32" s="43">
        <f>C32*VLOOKUP($A32,$D$3:$F$6,2)</f>
        <v>6.5939186405815269E-3</v>
      </c>
      <c r="E32" s="96">
        <f t="shared" ref="E32:E46" ca="1" si="14">_xlfn.BETA.INV(RAND(),K32,L32)</f>
        <v>3.0814100522151928E-3</v>
      </c>
      <c r="F32" s="43">
        <f t="shared" ref="F32:F46" ca="1" si="15">E32/((VLOOKUP($A32,$D$3:$F$6,3)*Prevalence_of_low_birth_weight_infants)+((1-Prevalence_of_low_birth_weight_infants)*1))</f>
        <v>2.8448565592545353E-3</v>
      </c>
      <c r="G32" s="43">
        <f ca="1">F32*VLOOKUP($A32,$D$3:$F$6,3)</f>
        <v>6.0737047825701121E-3</v>
      </c>
      <c r="H32" s="43"/>
      <c r="I32" s="96">
        <f t="shared" si="9"/>
        <v>3.5752000000000001E-4</v>
      </c>
      <c r="J32" s="96">
        <f t="shared" si="10"/>
        <v>27869.463190870436</v>
      </c>
      <c r="K32" s="96">
        <f t="shared" si="11"/>
        <v>99.638904799999978</v>
      </c>
      <c r="L32" s="96">
        <f t="shared" si="12"/>
        <v>27769.824286070434</v>
      </c>
    </row>
    <row r="33" spans="1:12" x14ac:dyDescent="0.25">
      <c r="A33" s="96">
        <v>2</v>
      </c>
      <c r="B33" s="96">
        <f>VLOOKUP($B$1,'ONS mortality stats'!$A$88:$CX$169,A13+2)/ONS_mortality_rate_per_value</f>
        <v>3.5189999999999999E-4</v>
      </c>
      <c r="C33" s="43">
        <f t="shared" si="13"/>
        <v>3.2841089013598885E-4</v>
      </c>
      <c r="D33" s="43">
        <f t="shared" ref="D33:D46" si="16">C33*VLOOKUP($A33,$D$3:$F$6,2)</f>
        <v>6.4902661938370993E-4</v>
      </c>
      <c r="E33" s="96">
        <f t="shared" ca="1" si="14"/>
        <v>3.5643612601155006E-4</v>
      </c>
      <c r="F33" s="43">
        <f t="shared" ca="1" si="15"/>
        <v>3.2907325992211702E-4</v>
      </c>
      <c r="G33" s="43">
        <f t="shared" ref="G33:G46" ca="1" si="17">F33*VLOOKUP($A33,$D$3:$F$6,3)</f>
        <v>7.025640101617764E-4</v>
      </c>
      <c r="H33" s="43"/>
      <c r="I33" s="96">
        <f t="shared" si="9"/>
        <v>3.519E-5</v>
      </c>
      <c r="J33" s="96">
        <f t="shared" si="10"/>
        <v>284070.63967036089</v>
      </c>
      <c r="K33" s="96">
        <f t="shared" si="11"/>
        <v>99.964458099999987</v>
      </c>
      <c r="L33" s="96">
        <f t="shared" si="12"/>
        <v>283970.67521226086</v>
      </c>
    </row>
    <row r="34" spans="1:12" x14ac:dyDescent="0.25">
      <c r="A34" s="96">
        <v>3</v>
      </c>
      <c r="B34" s="96">
        <f>VLOOKUP($B$1,'ONS mortality stats'!$A$88:$CX$169,A14+2)/ONS_mortality_rate_per_value</f>
        <v>1.6870000000000001E-4</v>
      </c>
      <c r="C34" s="43">
        <f t="shared" si="13"/>
        <v>1.574393781356673E-4</v>
      </c>
      <c r="D34" s="43">
        <f t="shared" si="16"/>
        <v>3.111417751919064E-4</v>
      </c>
      <c r="E34" s="96">
        <f t="shared" ca="1" si="14"/>
        <v>1.5705422253026004E-4</v>
      </c>
      <c r="F34" s="43">
        <f t="shared" ca="1" si="15"/>
        <v>1.4499749385922663E-4</v>
      </c>
      <c r="G34" s="43">
        <f t="shared" ca="1" si="17"/>
        <v>3.0956638887418497E-4</v>
      </c>
      <c r="H34" s="43"/>
      <c r="I34" s="96">
        <f t="shared" si="9"/>
        <v>1.6870000000000003E-5</v>
      </c>
      <c r="J34" s="96">
        <f t="shared" si="10"/>
        <v>592667.22762299934</v>
      </c>
      <c r="K34" s="96">
        <f t="shared" si="11"/>
        <v>99.982961299999999</v>
      </c>
      <c r="L34" s="96">
        <f t="shared" si="12"/>
        <v>592567.2446616994</v>
      </c>
    </row>
    <row r="35" spans="1:12" x14ac:dyDescent="0.25">
      <c r="A35" s="96">
        <v>4</v>
      </c>
      <c r="B35" s="96">
        <f>VLOOKUP($B$1,'ONS mortality stats'!$A$88:$CX$169,A15+2)/ONS_mortality_rate_per_value</f>
        <v>9.630000000000001E-5</v>
      </c>
      <c r="C35" s="43">
        <f t="shared" si="13"/>
        <v>8.9872033873531485E-5</v>
      </c>
      <c r="D35" s="43">
        <f t="shared" si="16"/>
        <v>1.7761086515104082E-4</v>
      </c>
      <c r="E35" s="96">
        <f t="shared" ca="1" si="14"/>
        <v>8.9842406903699792E-5</v>
      </c>
      <c r="F35" s="43">
        <f t="shared" ca="1" si="15"/>
        <v>8.2945390664726778E-5</v>
      </c>
      <c r="G35" s="43">
        <f t="shared" ca="1" si="17"/>
        <v>1.7708654390100748E-4</v>
      </c>
      <c r="H35" s="43"/>
      <c r="I35" s="96">
        <f t="shared" si="9"/>
        <v>9.630000000000001E-6</v>
      </c>
      <c r="J35" s="96">
        <f t="shared" si="10"/>
        <v>1038320.5991692626</v>
      </c>
      <c r="K35" s="96">
        <f t="shared" si="11"/>
        <v>99.990273699999989</v>
      </c>
      <c r="L35" s="96">
        <f t="shared" si="12"/>
        <v>1038220.6088955624</v>
      </c>
    </row>
    <row r="36" spans="1:12" x14ac:dyDescent="0.25">
      <c r="A36" s="96">
        <v>5</v>
      </c>
      <c r="B36" s="96">
        <f>VLOOKUP($B$1,'ONS mortality stats'!$A$88:$CX$169,A16+2)/ONS_mortality_rate_per_value</f>
        <v>8.2899999999999996E-5</v>
      </c>
      <c r="C36" s="43">
        <f t="shared" si="13"/>
        <v>7.9463762479872638E-5</v>
      </c>
      <c r="D36" s="43">
        <f t="shared" si="16"/>
        <v>1.2636685096480507E-4</v>
      </c>
      <c r="E36" s="96">
        <f t="shared" ca="1" si="14"/>
        <v>7.2097922496921501E-5</v>
      </c>
      <c r="F36" s="43">
        <f t="shared" ca="1" si="15"/>
        <v>6.8657935183403769E-5</v>
      </c>
      <c r="G36" s="43">
        <f t="shared" ca="1" si="17"/>
        <v>1.1561220665267848E-4</v>
      </c>
      <c r="H36" s="43"/>
      <c r="I36" s="96">
        <f t="shared" si="9"/>
        <v>8.2900000000000002E-6</v>
      </c>
      <c r="J36" s="96">
        <f t="shared" si="10"/>
        <v>1206171.6176115803</v>
      </c>
      <c r="K36" s="96">
        <f t="shared" si="11"/>
        <v>99.991627100000002</v>
      </c>
      <c r="L36" s="96">
        <f t="shared" si="12"/>
        <v>1206071.6259844804</v>
      </c>
    </row>
    <row r="37" spans="1:12" x14ac:dyDescent="0.25">
      <c r="A37" s="96">
        <v>6</v>
      </c>
      <c r="B37" s="96">
        <f>VLOOKUP($B$1,'ONS mortality stats'!$A$88:$CX$169,A17+2)/ONS_mortality_rate_per_value</f>
        <v>7.64E-5</v>
      </c>
      <c r="C37" s="43">
        <f t="shared" si="13"/>
        <v>7.3233190029701686E-5</v>
      </c>
      <c r="D37" s="43">
        <f t="shared" si="16"/>
        <v>1.1645871427878295E-4</v>
      </c>
      <c r="E37" s="96">
        <f t="shared" ca="1" si="14"/>
        <v>7.6317527828773102E-5</v>
      </c>
      <c r="F37" s="43">
        <f t="shared" ca="1" si="15"/>
        <v>7.2676211707060635E-5</v>
      </c>
      <c r="G37" s="43">
        <f t="shared" ca="1" si="17"/>
        <v>1.2237853037912983E-4</v>
      </c>
      <c r="H37" s="43"/>
      <c r="I37" s="96">
        <f t="shared" si="9"/>
        <v>7.6399999999999997E-6</v>
      </c>
      <c r="J37" s="96">
        <f t="shared" si="10"/>
        <v>1308799.5235602097</v>
      </c>
      <c r="K37" s="96">
        <f t="shared" si="11"/>
        <v>99.992283600000022</v>
      </c>
      <c r="L37" s="96">
        <f t="shared" si="12"/>
        <v>1308699.5312766097</v>
      </c>
    </row>
    <row r="38" spans="1:12" x14ac:dyDescent="0.25">
      <c r="A38" s="96">
        <v>7</v>
      </c>
      <c r="B38" s="96">
        <f>VLOOKUP($B$1,'ONS mortality stats'!$A$88:$CX$169,A18+2)/ONS_mortality_rate_per_value</f>
        <v>6.9999999999999994E-5</v>
      </c>
      <c r="C38" s="43">
        <f t="shared" si="13"/>
        <v>6.7098472540302583E-5</v>
      </c>
      <c r="D38" s="43">
        <f t="shared" si="16"/>
        <v>1.0670301046485347E-4</v>
      </c>
      <c r="E38" s="96">
        <f t="shared" ca="1" si="14"/>
        <v>7.9511771956197741E-5</v>
      </c>
      <c r="F38" s="43">
        <f t="shared" ca="1" si="15"/>
        <v>7.5718049788734261E-5</v>
      </c>
      <c r="G38" s="43">
        <f t="shared" ca="1" si="17"/>
        <v>1.2750064207624139E-4</v>
      </c>
      <c r="H38" s="43"/>
      <c r="I38" s="96">
        <f t="shared" si="9"/>
        <v>6.9999999999999999E-6</v>
      </c>
      <c r="J38" s="96">
        <f t="shared" si="10"/>
        <v>1428470.4285714284</v>
      </c>
      <c r="K38" s="96">
        <f t="shared" si="11"/>
        <v>99.992929999999973</v>
      </c>
      <c r="L38" s="96">
        <f t="shared" si="12"/>
        <v>1428370.4356414282</v>
      </c>
    </row>
    <row r="39" spans="1:12" x14ac:dyDescent="0.25">
      <c r="A39" s="96">
        <v>8</v>
      </c>
      <c r="B39" s="96">
        <f>VLOOKUP($B$1,'ONS mortality stats'!$A$88:$CX$169,A19+2)/ONS_mortality_rate_per_value</f>
        <v>6.1699999999999995E-5</v>
      </c>
      <c r="C39" s="43">
        <f t="shared" si="13"/>
        <v>5.9142510796238135E-5</v>
      </c>
      <c r="D39" s="43">
        <f t="shared" si="16"/>
        <v>9.4051082081163709E-5</v>
      </c>
      <c r="E39" s="96">
        <f t="shared" ca="1" si="14"/>
        <v>8.1308793462020468E-5</v>
      </c>
      <c r="F39" s="43">
        <f t="shared" ca="1" si="15"/>
        <v>7.7429330527443855E-5</v>
      </c>
      <c r="G39" s="43">
        <f t="shared" ca="1" si="17"/>
        <v>1.3038224551910555E-4</v>
      </c>
      <c r="H39" s="43"/>
      <c r="I39" s="96">
        <f t="shared" si="9"/>
        <v>6.1700000000000002E-6</v>
      </c>
      <c r="J39" s="96">
        <f t="shared" si="10"/>
        <v>1620644.5429497566</v>
      </c>
      <c r="K39" s="96">
        <f t="shared" si="11"/>
        <v>99.993768299999971</v>
      </c>
      <c r="L39" s="96">
        <f t="shared" si="12"/>
        <v>1620544.5491814564</v>
      </c>
    </row>
    <row r="40" spans="1:12" x14ac:dyDescent="0.25">
      <c r="A40" s="96">
        <v>9</v>
      </c>
      <c r="B40" s="96">
        <f>VLOOKUP($B$1,'ONS mortality stats'!$A$88:$CX$169,A20+2)/ONS_mortality_rate_per_value</f>
        <v>5.5399999999999998E-5</v>
      </c>
      <c r="C40" s="43">
        <f t="shared" si="13"/>
        <v>5.31036482676109E-5</v>
      </c>
      <c r="D40" s="43">
        <f t="shared" si="16"/>
        <v>8.4447811139326889E-5</v>
      </c>
      <c r="E40" s="96">
        <f t="shared" ca="1" si="14"/>
        <v>4.9654851266669286E-5</v>
      </c>
      <c r="F40" s="43">
        <f t="shared" ca="1" si="15"/>
        <v>4.7285683716532933E-5</v>
      </c>
      <c r="G40" s="43">
        <f t="shared" ca="1" si="17"/>
        <v>7.9623749577462579E-5</v>
      </c>
      <c r="H40" s="43"/>
      <c r="I40" s="96">
        <f t="shared" si="9"/>
        <v>5.5400000000000003E-6</v>
      </c>
      <c r="J40" s="96">
        <f t="shared" si="10"/>
        <v>1804953.1516245485</v>
      </c>
      <c r="K40" s="96">
        <f t="shared" si="11"/>
        <v>99.994404599999982</v>
      </c>
      <c r="L40" s="96">
        <f t="shared" si="12"/>
        <v>1804853.1572199485</v>
      </c>
    </row>
    <row r="41" spans="1:12" x14ac:dyDescent="0.25">
      <c r="A41" s="96">
        <v>10</v>
      </c>
      <c r="B41" s="96">
        <f>VLOOKUP($B$1,'ONS mortality stats'!$A$88:$CX$169,A21+2)/ONS_mortality_rate_per_value</f>
        <v>5.1500000000000005E-5</v>
      </c>
      <c r="C41" s="43">
        <f t="shared" si="13"/>
        <v>4.9854686074939225E-5</v>
      </c>
      <c r="D41" s="43">
        <f t="shared" si="16"/>
        <v>7.2312477237686715E-5</v>
      </c>
      <c r="E41" s="96">
        <f t="shared" ca="1" si="14"/>
        <v>6.0243276914229149E-5</v>
      </c>
      <c r="F41" s="43">
        <f t="shared" ca="1" si="15"/>
        <v>5.7961151279982739E-5</v>
      </c>
      <c r="G41" s="43">
        <f t="shared" ca="1" si="17"/>
        <v>8.9111134344257311E-5</v>
      </c>
      <c r="H41" s="43"/>
      <c r="I41" s="96">
        <f t="shared" si="9"/>
        <v>5.1500000000000007E-6</v>
      </c>
      <c r="J41" s="96">
        <f t="shared" si="10"/>
        <v>1941646.5728155335</v>
      </c>
      <c r="K41" s="96">
        <f t="shared" si="11"/>
        <v>99.994798499999987</v>
      </c>
      <c r="L41" s="96">
        <f t="shared" si="12"/>
        <v>1941546.5780170336</v>
      </c>
    </row>
    <row r="42" spans="1:12" x14ac:dyDescent="0.25">
      <c r="A42" s="96">
        <v>11</v>
      </c>
      <c r="B42" s="96">
        <f>VLOOKUP($B$1,'ONS mortality stats'!$A$88:$CX$169,A22+2)/ONS_mortality_rate_per_value</f>
        <v>5.0800000000000002E-5</v>
      </c>
      <c r="C42" s="43">
        <f t="shared" si="13"/>
        <v>4.9177049565182762E-5</v>
      </c>
      <c r="D42" s="43">
        <f t="shared" si="16"/>
        <v>7.1329589197562804E-5</v>
      </c>
      <c r="E42" s="96">
        <f t="shared" ca="1" si="14"/>
        <v>6.0236700343940797E-5</v>
      </c>
      <c r="F42" s="43">
        <f t="shared" ca="1" si="15"/>
        <v>5.7954823842218533E-5</v>
      </c>
      <c r="G42" s="43">
        <f t="shared" ca="1" si="17"/>
        <v>8.9101406360181601E-5</v>
      </c>
      <c r="H42" s="43"/>
      <c r="I42" s="96">
        <f t="shared" si="9"/>
        <v>5.0800000000000005E-6</v>
      </c>
      <c r="J42" s="96">
        <f t="shared" si="10"/>
        <v>1968402.9370078738</v>
      </c>
      <c r="K42" s="96">
        <f t="shared" si="11"/>
        <v>99.994869199999997</v>
      </c>
      <c r="L42" s="96">
        <f t="shared" si="12"/>
        <v>1968302.9421386737</v>
      </c>
    </row>
    <row r="43" spans="1:12" x14ac:dyDescent="0.25">
      <c r="A43" s="96">
        <v>12</v>
      </c>
      <c r="B43" s="96">
        <f>VLOOKUP($B$1,'ONS mortality stats'!$A$88:$CX$169,A23+2)/ONS_mortality_rate_per_value</f>
        <v>5.3899999999999996E-5</v>
      </c>
      <c r="C43" s="43">
        <f t="shared" si="13"/>
        <v>5.2178011251247059E-5</v>
      </c>
      <c r="D43" s="43">
        <f t="shared" si="16"/>
        <v>7.5682379089540058E-5</v>
      </c>
      <c r="E43" s="96">
        <f t="shared" ca="1" si="14"/>
        <v>5.9217671327549404E-5</v>
      </c>
      <c r="F43" s="43">
        <f t="shared" ca="1" si="15"/>
        <v>5.6974397510798258E-5</v>
      </c>
      <c r="G43" s="43">
        <f t="shared" ca="1" si="17"/>
        <v>8.7594070832772714E-5</v>
      </c>
      <c r="H43" s="43"/>
      <c r="I43" s="96">
        <f t="shared" si="9"/>
        <v>5.3900000000000001E-6</v>
      </c>
      <c r="J43" s="96">
        <f t="shared" si="10"/>
        <v>1855186.5695732837</v>
      </c>
      <c r="K43" s="96">
        <f t="shared" si="11"/>
        <v>99.994556099999983</v>
      </c>
      <c r="L43" s="96">
        <f t="shared" si="12"/>
        <v>1855086.5750171838</v>
      </c>
    </row>
    <row r="44" spans="1:12" x14ac:dyDescent="0.25">
      <c r="A44" s="96">
        <v>13</v>
      </c>
      <c r="B44" s="96">
        <f>VLOOKUP($B$1,'ONS mortality stats'!$A$88:$CX$169,A24+2)/ONS_mortality_rate_per_value</f>
        <v>5.9500000000000003E-5</v>
      </c>
      <c r="C44" s="43">
        <f t="shared" si="13"/>
        <v>5.7599103329298712E-5</v>
      </c>
      <c r="D44" s="43">
        <f t="shared" si="16"/>
        <v>8.354548341053125E-5</v>
      </c>
      <c r="E44" s="96">
        <f t="shared" ca="1" si="14"/>
        <v>6.2290333913694873E-5</v>
      </c>
      <c r="F44" s="43">
        <f t="shared" ca="1" si="15"/>
        <v>5.9930662012171282E-5</v>
      </c>
      <c r="G44" s="43">
        <f t="shared" ca="1" si="17"/>
        <v>9.2139116562911443E-5</v>
      </c>
      <c r="H44" s="43"/>
      <c r="I44" s="96">
        <f t="shared" si="9"/>
        <v>5.9500000000000006E-6</v>
      </c>
      <c r="J44" s="96">
        <f t="shared" si="10"/>
        <v>1680571.2689075626</v>
      </c>
      <c r="K44" s="96">
        <f t="shared" si="11"/>
        <v>99.993990499999981</v>
      </c>
      <c r="L44" s="96">
        <f t="shared" si="12"/>
        <v>1680471.2749170626</v>
      </c>
    </row>
    <row r="45" spans="1:12" x14ac:dyDescent="0.25">
      <c r="A45" s="96">
        <v>14</v>
      </c>
      <c r="B45" s="96">
        <f>VLOOKUP($B$1,'ONS mortality stats'!$A$88:$CX$169,A25+2)/ONS_mortality_rate_per_value</f>
        <v>6.6400000000000001E-5</v>
      </c>
      <c r="C45" s="43">
        <f t="shared" si="13"/>
        <v>6.4278663211183763E-5</v>
      </c>
      <c r="D45" s="43">
        <f t="shared" si="16"/>
        <v>9.3233951234609656E-5</v>
      </c>
      <c r="E45" s="96">
        <f t="shared" ca="1" si="14"/>
        <v>8.3550071308113871E-5</v>
      </c>
      <c r="F45" s="43">
        <f t="shared" ca="1" si="15"/>
        <v>8.0385041627759179E-5</v>
      </c>
      <c r="G45" s="43">
        <f t="shared" ca="1" si="17"/>
        <v>1.235862657240527E-4</v>
      </c>
      <c r="H45" s="43"/>
      <c r="I45" s="96">
        <f t="shared" si="9"/>
        <v>6.6400000000000008E-6</v>
      </c>
      <c r="J45" s="96">
        <f t="shared" si="10"/>
        <v>1505923.0963855418</v>
      </c>
      <c r="K45" s="96">
        <f t="shared" si="11"/>
        <v>99.993293599999973</v>
      </c>
      <c r="L45" s="96">
        <f t="shared" si="12"/>
        <v>1505823.1030919417</v>
      </c>
    </row>
    <row r="46" spans="1:12" x14ac:dyDescent="0.25">
      <c r="A46" s="96">
        <v>15</v>
      </c>
      <c r="B46" s="96">
        <f>VLOOKUP($B$1,'ONS mortality stats'!$A$88:$CX$169,A26+2)/ONS_mortality_rate_per_value</f>
        <v>7.5099999999999996E-5</v>
      </c>
      <c r="C46" s="43">
        <f t="shared" si="13"/>
        <v>7.5605805747493959E-5</v>
      </c>
      <c r="D46" s="43">
        <f t="shared" si="16"/>
        <v>6.8701785989855807E-5</v>
      </c>
      <c r="E46" s="96">
        <f t="shared" ca="1" si="14"/>
        <v>6.6737970504387095E-5</v>
      </c>
      <c r="F46" s="43">
        <f t="shared" ca="1" si="15"/>
        <v>6.7450785144610622E-5</v>
      </c>
      <c r="G46" s="43">
        <f t="shared" ca="1" si="17"/>
        <v>5.772118759847818E-5</v>
      </c>
      <c r="H46" s="43"/>
      <c r="I46" s="96">
        <f t="shared" si="9"/>
        <v>7.5100000000000001E-6</v>
      </c>
      <c r="J46" s="96">
        <f t="shared" si="10"/>
        <v>1331456.9227696403</v>
      </c>
      <c r="K46" s="96">
        <f t="shared" si="11"/>
        <v>99.992414899999986</v>
      </c>
      <c r="L46" s="96">
        <f t="shared" si="12"/>
        <v>1331356.9303547405</v>
      </c>
    </row>
  </sheetData>
  <sheetProtection algorithmName="SHA-512" hashValue="sO98u2rRzA/e4FPVQZJGE72AYWWq3B7BsgRdQKntcKsU7WLeygEM52dWSSRoW4UhMJlCGu/pmPeYMU2KS0evDA==" saltValue="9mVRgW6GY4oT1gfUagrlzw==" spinCount="100000" sheet="1" objects="1" scenarios="1" selectLockedCells="1"/>
  <mergeCells count="6">
    <mergeCell ref="V1:Y1"/>
    <mergeCell ref="Q1:T1"/>
    <mergeCell ref="E10:G10"/>
    <mergeCell ref="A10:D10"/>
    <mergeCell ref="E29:G29"/>
    <mergeCell ref="A29:D29"/>
  </mergeCell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AG152"/>
  <sheetViews>
    <sheetView topLeftCell="A4" zoomScale="80" zoomScaleNormal="80" workbookViewId="0">
      <selection activeCell="AA18" sqref="AA18"/>
    </sheetView>
  </sheetViews>
  <sheetFormatPr defaultRowHeight="15" x14ac:dyDescent="0.25"/>
  <cols>
    <col min="1" max="1" width="73.42578125" style="122" bestFit="1" customWidth="1"/>
    <col min="2" max="2" width="62.42578125" style="122" bestFit="1" customWidth="1"/>
    <col min="3" max="3" width="58.140625" style="122" bestFit="1" customWidth="1"/>
    <col min="4" max="4" width="58.5703125" style="122" bestFit="1" customWidth="1"/>
    <col min="5" max="5" width="54.42578125" style="122" bestFit="1" customWidth="1"/>
    <col min="6" max="6" width="62" style="122" bestFit="1" customWidth="1"/>
    <col min="7" max="7" width="57.7109375" style="122" bestFit="1" customWidth="1"/>
    <col min="8" max="8" width="58" style="122" bestFit="1" customWidth="1"/>
    <col min="9" max="9" width="53.7109375" style="122" bestFit="1" customWidth="1"/>
    <col min="10" max="10" width="62.42578125" style="122" bestFit="1" customWidth="1"/>
    <col min="11" max="11" width="58.140625" style="122" bestFit="1" customWidth="1"/>
    <col min="12" max="12" width="58.5703125" style="122" bestFit="1" customWidth="1"/>
    <col min="13" max="13" width="54.42578125" style="122" bestFit="1" customWidth="1"/>
    <col min="14" max="14" width="62" style="122" bestFit="1" customWidth="1"/>
    <col min="15" max="15" width="57.7109375" style="122" bestFit="1" customWidth="1"/>
    <col min="16" max="16" width="58" style="122" bestFit="1" customWidth="1"/>
    <col min="17" max="17" width="53.7109375" style="122" bestFit="1" customWidth="1"/>
    <col min="18" max="18" width="62.42578125" style="122" bestFit="1" customWidth="1"/>
    <col min="19" max="19" width="58.140625" style="122" bestFit="1" customWidth="1"/>
    <col min="20" max="20" width="58.5703125" style="122" bestFit="1" customWidth="1"/>
    <col min="21" max="21" width="54.42578125" style="122" bestFit="1" customWidth="1"/>
    <col min="22" max="22" width="62" style="122" bestFit="1" customWidth="1"/>
    <col min="23" max="23" width="57.7109375" style="122" bestFit="1" customWidth="1"/>
    <col min="24" max="24" width="58" style="122" bestFit="1" customWidth="1"/>
    <col min="25" max="25" width="53.7109375" style="122" bestFit="1" customWidth="1"/>
    <col min="26" max="26" width="62.42578125" style="122" bestFit="1" customWidth="1"/>
    <col min="27" max="27" width="58.140625" style="122" bestFit="1" customWidth="1"/>
    <col min="28" max="28" width="58.5703125" style="122" bestFit="1" customWidth="1"/>
    <col min="29" max="29" width="54.42578125" style="122" bestFit="1" customWidth="1"/>
    <col min="30" max="30" width="62" style="122" bestFit="1" customWidth="1"/>
    <col min="31" max="31" width="57.7109375" style="122" bestFit="1" customWidth="1"/>
    <col min="32" max="32" width="58" style="122" bestFit="1" customWidth="1"/>
    <col min="33" max="33" width="53.7109375" style="122" bestFit="1" customWidth="1"/>
    <col min="34" max="16384" width="9.140625" style="122"/>
  </cols>
  <sheetData>
    <row r="1" spans="1:9" x14ac:dyDescent="0.25">
      <c r="C1" s="622" t="s">
        <v>72</v>
      </c>
      <c r="D1" s="622"/>
      <c r="E1" s="622" t="s">
        <v>55</v>
      </c>
      <c r="F1" s="622"/>
    </row>
    <row r="2" spans="1:9" x14ac:dyDescent="0.25">
      <c r="B2" s="122" t="s">
        <v>51</v>
      </c>
      <c r="C2" s="122" t="s">
        <v>14</v>
      </c>
      <c r="D2" s="122" t="s">
        <v>25</v>
      </c>
      <c r="E2" s="122" t="s">
        <v>14</v>
      </c>
      <c r="F2" s="122" t="s">
        <v>25</v>
      </c>
    </row>
    <row r="3" spans="1:9" x14ac:dyDescent="0.25">
      <c r="A3" s="207" t="s">
        <v>1060</v>
      </c>
      <c r="B3" s="118">
        <v>1</v>
      </c>
      <c r="C3" s="122">
        <f>Parameters!O381</f>
        <v>2.9679147375911534</v>
      </c>
      <c r="D3" s="122">
        <f ca="1">Parameters!P381</f>
        <v>5.4556751417610565</v>
      </c>
      <c r="E3" s="122">
        <f>Parameters!O386</f>
        <v>3.0235435167723286</v>
      </c>
      <c r="F3" s="122">
        <f ca="1">Parameters!P386</f>
        <v>1.5833316091812561</v>
      </c>
    </row>
    <row r="4" spans="1:9" x14ac:dyDescent="0.25">
      <c r="A4" s="207" t="s">
        <v>1061</v>
      </c>
      <c r="B4" s="118">
        <v>3</v>
      </c>
      <c r="C4" s="122">
        <f>Parameters!O382</f>
        <v>1.2039434197149439</v>
      </c>
      <c r="D4" s="122">
        <f ca="1">Parameters!P382</f>
        <v>1.0614342409274233</v>
      </c>
      <c r="E4" s="122">
        <f>Parameters!O387</f>
        <v>1.0539608835129828</v>
      </c>
      <c r="F4" s="122">
        <f ca="1">Parameters!P387</f>
        <v>1.060399186086826</v>
      </c>
      <c r="G4" s="223"/>
    </row>
    <row r="5" spans="1:9" x14ac:dyDescent="0.25">
      <c r="A5" s="207" t="s">
        <v>1062</v>
      </c>
      <c r="B5" s="118">
        <v>5</v>
      </c>
      <c r="C5" s="122">
        <f>Parameters!O383</f>
        <v>1.1775663897153537</v>
      </c>
      <c r="D5" s="122">
        <f ca="1">Parameters!P383</f>
        <v>1.2227648186115245</v>
      </c>
      <c r="E5" s="122">
        <f>Parameters!O388</f>
        <v>1.1901537426864104</v>
      </c>
      <c r="F5" s="122">
        <f ca="1">Parameters!P388</f>
        <v>1.2076359506883336</v>
      </c>
      <c r="G5" s="223"/>
    </row>
    <row r="6" spans="1:9" x14ac:dyDescent="0.25">
      <c r="A6" s="207" t="s">
        <v>1063</v>
      </c>
      <c r="B6" s="122">
        <v>10</v>
      </c>
      <c r="C6" s="122">
        <f>Parameters!O384</f>
        <v>1.1681667936878493</v>
      </c>
      <c r="D6" s="122">
        <f ca="1">Parameters!P384</f>
        <v>1.230828962204306</v>
      </c>
      <c r="E6" s="122">
        <f>Parameters!O389</f>
        <v>1.1747870166004171</v>
      </c>
      <c r="F6" s="122">
        <f ca="1">Parameters!P389</f>
        <v>1.0493878585367182</v>
      </c>
      <c r="G6" s="223"/>
    </row>
    <row r="7" spans="1:9" x14ac:dyDescent="0.25">
      <c r="A7" s="207" t="s">
        <v>1064</v>
      </c>
      <c r="B7" s="122">
        <v>15</v>
      </c>
      <c r="C7" s="122">
        <f>Parameters!O385</f>
        <v>1.1440219656262569</v>
      </c>
      <c r="D7" s="122">
        <f ca="1">Parameters!P385</f>
        <v>1.1683559922818427</v>
      </c>
      <c r="E7" s="122">
        <f>Parameters!O390</f>
        <v>1.1539167539560833</v>
      </c>
      <c r="F7" s="122">
        <f ca="1">Parameters!P390</f>
        <v>1.1843984536630598</v>
      </c>
      <c r="G7" s="223"/>
    </row>
    <row r="8" spans="1:9" x14ac:dyDescent="0.25">
      <c r="E8" s="223"/>
      <c r="F8" s="223"/>
    </row>
    <row r="9" spans="1:9" x14ac:dyDescent="0.25">
      <c r="C9" s="622" t="s">
        <v>72</v>
      </c>
      <c r="D9" s="622"/>
      <c r="E9" s="623" t="s">
        <v>55</v>
      </c>
      <c r="F9" s="623"/>
    </row>
    <row r="10" spans="1:9" x14ac:dyDescent="0.25">
      <c r="B10" s="122" t="s">
        <v>51</v>
      </c>
      <c r="C10" s="122" t="s">
        <v>14</v>
      </c>
      <c r="D10" s="122" t="s">
        <v>25</v>
      </c>
      <c r="E10" s="122" t="s">
        <v>14</v>
      </c>
      <c r="F10" s="122" t="s">
        <v>25</v>
      </c>
    </row>
    <row r="11" spans="1:9" x14ac:dyDescent="0.25">
      <c r="A11" s="619" t="s">
        <v>886</v>
      </c>
      <c r="B11" s="122">
        <v>1</v>
      </c>
      <c r="C11" s="226">
        <f>Parameters!N238</f>
        <v>1.6043940105914801E-2</v>
      </c>
      <c r="D11" s="226">
        <f ca="1">Parameters!O238</f>
        <v>1.5554436166822599E-2</v>
      </c>
      <c r="E11" s="226">
        <f>Parameters!N258</f>
        <v>9.5107960164295749E-3</v>
      </c>
      <c r="F11" s="226">
        <f ca="1">Parameters!O258</f>
        <v>1.0563716468322548E-2</v>
      </c>
    </row>
    <row r="12" spans="1:9" x14ac:dyDescent="0.25">
      <c r="A12" s="619"/>
      <c r="B12" s="122">
        <v>3</v>
      </c>
      <c r="C12" s="226">
        <f>Parameters!N239</f>
        <v>2.1496480657142367E-2</v>
      </c>
      <c r="D12" s="226">
        <f ca="1">Parameters!O239</f>
        <v>2.1211312564179973E-2</v>
      </c>
      <c r="E12" s="226">
        <f>Parameters!N259</f>
        <v>1.2767579509410033E-2</v>
      </c>
      <c r="F12" s="226">
        <f ca="1">Parameters!O259</f>
        <v>1.3908868219107862E-2</v>
      </c>
    </row>
    <row r="13" spans="1:9" x14ac:dyDescent="0.25">
      <c r="A13" s="619"/>
      <c r="B13" s="122">
        <v>5</v>
      </c>
      <c r="C13" s="226">
        <f>Parameters!N240</f>
        <v>0.10626515128307298</v>
      </c>
      <c r="D13" s="226">
        <f ca="1">Parameters!O240</f>
        <v>0.1215234417372163</v>
      </c>
      <c r="E13" s="226">
        <f>Parameters!N260</f>
        <v>5.5623232488370651E-2</v>
      </c>
      <c r="F13" s="226">
        <f ca="1">Parameters!O260</f>
        <v>5.3401484621430996E-2</v>
      </c>
    </row>
    <row r="14" spans="1:9" x14ac:dyDescent="0.25">
      <c r="A14" s="619"/>
      <c r="B14" s="122">
        <v>10</v>
      </c>
      <c r="C14" s="226">
        <f>Parameters!N241</f>
        <v>9.4445570047653096E-2</v>
      </c>
      <c r="D14" s="226">
        <f ca="1">Parameters!O241</f>
        <v>0.111396363958429</v>
      </c>
      <c r="E14" s="226">
        <f>Parameters!N261</f>
        <v>9.5550684912285203E-2</v>
      </c>
      <c r="F14" s="226">
        <f ca="1">Parameters!O261</f>
        <v>0.10401790546587575</v>
      </c>
    </row>
    <row r="15" spans="1:9" x14ac:dyDescent="0.25">
      <c r="A15" s="619"/>
      <c r="B15" s="122">
        <v>15</v>
      </c>
      <c r="C15" s="226">
        <f>Parameters!N242</f>
        <v>0.24338929071233301</v>
      </c>
      <c r="D15" s="226">
        <f ca="1">Parameters!O242</f>
        <v>0.26102754406928708</v>
      </c>
      <c r="E15" s="226">
        <f>Parameters!N262</f>
        <v>0.20130297014648915</v>
      </c>
      <c r="F15" s="226">
        <f ca="1">Parameters!O262</f>
        <v>0.18320673904106871</v>
      </c>
      <c r="I15" s="223"/>
    </row>
    <row r="16" spans="1:9" x14ac:dyDescent="0.25">
      <c r="A16" s="619" t="s">
        <v>887</v>
      </c>
      <c r="B16" s="122">
        <v>1</v>
      </c>
      <c r="C16" s="226">
        <f>Parameters!N243</f>
        <v>2.949274224796377E-2</v>
      </c>
      <c r="D16" s="226">
        <f ca="1">Parameters!O243</f>
        <v>2.8269159906332653E-2</v>
      </c>
      <c r="E16" s="226">
        <f>Parameters!N263</f>
        <v>1.7584258115968133E-2</v>
      </c>
      <c r="F16" s="226">
        <f ca="1">Parameters!O263</f>
        <v>1.5523139063808949E-2</v>
      </c>
      <c r="I16" s="223"/>
    </row>
    <row r="17" spans="1:33" x14ac:dyDescent="0.25">
      <c r="A17" s="619"/>
      <c r="B17" s="122">
        <v>3</v>
      </c>
      <c r="C17" s="226">
        <f>Parameters!N244</f>
        <v>2.8159485524959872E-2</v>
      </c>
      <c r="D17" s="226">
        <f ca="1">Parameters!O244</f>
        <v>2.1117571340520249E-2</v>
      </c>
      <c r="E17" s="226">
        <f>Parameters!N264</f>
        <v>1.6781879594605833E-2</v>
      </c>
      <c r="F17" s="226">
        <f ca="1">Parameters!O264</f>
        <v>1.5037257316835579E-2</v>
      </c>
      <c r="I17" s="223"/>
    </row>
    <row r="18" spans="1:33" x14ac:dyDescent="0.25">
      <c r="A18" s="619"/>
      <c r="B18" s="122">
        <v>5</v>
      </c>
      <c r="C18" s="226">
        <f>Parameters!N245</f>
        <v>0.13486958523648684</v>
      </c>
      <c r="D18" s="226">
        <f ca="1">Parameters!O245</f>
        <v>0.12247613559101155</v>
      </c>
      <c r="E18" s="226">
        <f>Parameters!N265</f>
        <v>7.9410692391993581E-2</v>
      </c>
      <c r="F18" s="226">
        <f ca="1">Parameters!O265</f>
        <v>0.10554119120640826</v>
      </c>
      <c r="I18" s="223"/>
    </row>
    <row r="19" spans="1:33" x14ac:dyDescent="0.25">
      <c r="A19" s="619"/>
      <c r="B19" s="122">
        <v>10</v>
      </c>
      <c r="C19" s="226">
        <f>Parameters!N246</f>
        <v>0.24617375629338203</v>
      </c>
      <c r="D19" s="226">
        <f ca="1">Parameters!O246</f>
        <v>0.22894504726864304</v>
      </c>
      <c r="E19" s="226">
        <f>Parameters!N266</f>
        <v>0.18550871929409266</v>
      </c>
      <c r="F19" s="226">
        <f ca="1">Parameters!O266</f>
        <v>0.17978060773001686</v>
      </c>
      <c r="I19" s="223"/>
      <c r="T19" s="223"/>
      <c r="U19" s="223"/>
      <c r="V19" s="223"/>
    </row>
    <row r="20" spans="1:33" x14ac:dyDescent="0.25">
      <c r="A20" s="619"/>
      <c r="B20" s="122">
        <v>15</v>
      </c>
      <c r="C20" s="226">
        <f>Parameters!N247</f>
        <v>0.28390447015795517</v>
      </c>
      <c r="D20" s="226">
        <f ca="1">Parameters!O247</f>
        <v>0.24649082898397459</v>
      </c>
      <c r="E20" s="226">
        <f>Parameters!N267</f>
        <v>0.23693361415875239</v>
      </c>
      <c r="F20" s="226">
        <f ca="1">Parameters!O267</f>
        <v>0.25844033297905222</v>
      </c>
    </row>
    <row r="21" spans="1:33" x14ac:dyDescent="0.25">
      <c r="A21" s="619" t="s">
        <v>888</v>
      </c>
      <c r="B21" s="122">
        <v>1</v>
      </c>
      <c r="C21" s="226">
        <f>Parameters!N248</f>
        <v>2.0481476224486008E-2</v>
      </c>
      <c r="D21" s="226">
        <f ca="1">Parameters!O248</f>
        <v>1.1303096256552882E-2</v>
      </c>
      <c r="E21" s="226">
        <f>Parameters!N268</f>
        <v>1.2168751795935231E-2</v>
      </c>
      <c r="F21" s="226">
        <f ca="1">Parameters!O268</f>
        <v>1.4787994127197002E-2</v>
      </c>
    </row>
    <row r="22" spans="1:33" x14ac:dyDescent="0.25">
      <c r="A22" s="619"/>
      <c r="B22" s="122">
        <v>3</v>
      </c>
      <c r="C22" s="226">
        <f>Parameters!N249</f>
        <v>3.7488318742549216E-2</v>
      </c>
      <c r="D22" s="226">
        <f ca="1">Parameters!O249</f>
        <v>4.1043830696345318E-2</v>
      </c>
      <c r="E22" s="226">
        <f>Parameters!N269</f>
        <v>1.6324565031859944E-2</v>
      </c>
      <c r="F22" s="226">
        <f ca="1">Parameters!O269</f>
        <v>1.53053820853993E-2</v>
      </c>
    </row>
    <row r="23" spans="1:33" x14ac:dyDescent="0.25">
      <c r="A23" s="619"/>
      <c r="B23" s="122">
        <v>5</v>
      </c>
      <c r="C23" s="226">
        <f>Parameters!N250</f>
        <v>0.12573700901104562</v>
      </c>
      <c r="D23" s="226">
        <f ca="1">Parameters!O250</f>
        <v>0.12637562134352176</v>
      </c>
      <c r="E23" s="226">
        <f>Parameters!N270</f>
        <v>8.2963430123414866E-2</v>
      </c>
      <c r="F23" s="226">
        <f ca="1">Parameters!O270</f>
        <v>7.5563860242009923E-2</v>
      </c>
    </row>
    <row r="24" spans="1:33" x14ac:dyDescent="0.25">
      <c r="A24" s="619"/>
      <c r="B24" s="122">
        <v>10</v>
      </c>
      <c r="C24" s="226">
        <f>Parameters!N251</f>
        <v>0.25243858207193387</v>
      </c>
      <c r="D24" s="226">
        <f ca="1">Parameters!O251</f>
        <v>0.276876570924384</v>
      </c>
      <c r="E24" s="226">
        <f>Parameters!N271</f>
        <v>0.19092662750357051</v>
      </c>
      <c r="F24" s="226">
        <f ca="1">Parameters!O271</f>
        <v>0.16565388034104217</v>
      </c>
    </row>
    <row r="25" spans="1:33" x14ac:dyDescent="0.25">
      <c r="A25" s="619"/>
      <c r="B25" s="122">
        <v>15</v>
      </c>
      <c r="C25" s="226">
        <f>Parameters!N252</f>
        <v>0.29066800057554348</v>
      </c>
      <c r="D25" s="226">
        <f ca="1">Parameters!O252</f>
        <v>0.31172112309048261</v>
      </c>
      <c r="E25" s="226">
        <f>Parameters!N272</f>
        <v>0.24331652696663628</v>
      </c>
      <c r="F25" s="226">
        <f ca="1">Parameters!O272</f>
        <v>0.2626342778101729</v>
      </c>
    </row>
    <row r="26" spans="1:33" x14ac:dyDescent="0.25">
      <c r="A26" s="619" t="s">
        <v>889</v>
      </c>
      <c r="B26" s="122">
        <v>1</v>
      </c>
      <c r="C26" s="226">
        <f>Parameters!N253</f>
        <v>3.7488318742549216E-2</v>
      </c>
      <c r="D26" s="226">
        <f ca="1">Parameters!O253</f>
        <v>4.944721541968411E-2</v>
      </c>
      <c r="E26" s="226">
        <f>Parameters!N273</f>
        <v>2.2438956492639852E-2</v>
      </c>
      <c r="F26" s="226">
        <f ca="1">Parameters!O273</f>
        <v>2.4304459028460124E-2</v>
      </c>
    </row>
    <row r="27" spans="1:33" x14ac:dyDescent="0.25">
      <c r="A27" s="619"/>
      <c r="B27" s="122">
        <v>3</v>
      </c>
      <c r="C27" s="226">
        <f>Parameters!N254</f>
        <v>3.5822848956698856E-2</v>
      </c>
      <c r="D27" s="226">
        <f ca="1">Parameters!O254</f>
        <v>4.5476250187524103E-2</v>
      </c>
      <c r="E27" s="226">
        <f>Parameters!N274</f>
        <v>2.1425781063562712E-2</v>
      </c>
      <c r="F27" s="226">
        <f ca="1">Parameters!O274</f>
        <v>1.9432776932759951E-2</v>
      </c>
    </row>
    <row r="28" spans="1:33" x14ac:dyDescent="0.25">
      <c r="A28" s="619"/>
      <c r="B28" s="122">
        <v>5</v>
      </c>
      <c r="C28" s="226">
        <f>Parameters!N255</f>
        <v>0.17333970638027871</v>
      </c>
      <c r="D28" s="226">
        <f ca="1">Parameters!O255</f>
        <v>0.12488295107324174</v>
      </c>
      <c r="E28" s="226">
        <f>Parameters!N275</f>
        <v>9.3264870639192032E-2</v>
      </c>
      <c r="F28" s="226">
        <f ca="1">Parameters!O275</f>
        <v>9.6586345540125684E-2</v>
      </c>
    </row>
    <row r="29" spans="1:33" x14ac:dyDescent="0.25">
      <c r="A29" s="619"/>
      <c r="B29" s="122">
        <v>10</v>
      </c>
      <c r="C29" s="226">
        <f>Parameters!N256</f>
        <v>0.2895484218376253</v>
      </c>
      <c r="D29" s="226">
        <f ca="1">Parameters!O256</f>
        <v>0.25690983611750362</v>
      </c>
      <c r="E29" s="226">
        <f>Parameters!N276</f>
        <v>0.22242820739403901</v>
      </c>
      <c r="F29" s="226">
        <f ca="1">Parameters!O276</f>
        <v>0.24388272758637386</v>
      </c>
    </row>
    <row r="30" spans="1:33" x14ac:dyDescent="0.25">
      <c r="A30" s="619"/>
      <c r="B30" s="122">
        <v>15</v>
      </c>
      <c r="C30" s="226">
        <f>Parameters!N257</f>
        <v>0.33130394436488553</v>
      </c>
      <c r="D30" s="226">
        <f ca="1">Parameters!O257</f>
        <v>0.33523343481770229</v>
      </c>
      <c r="E30" s="226">
        <f>Parameters!N277</f>
        <v>0.28072146099324691</v>
      </c>
      <c r="F30" s="226">
        <f ca="1">Parameters!O277</f>
        <v>0.29565722218586865</v>
      </c>
    </row>
    <row r="31" spans="1:33" x14ac:dyDescent="0.25">
      <c r="A31" s="228"/>
      <c r="C31" s="226"/>
      <c r="D31" s="226"/>
      <c r="E31" s="226"/>
      <c r="F31" s="226"/>
    </row>
    <row r="32" spans="1:33" x14ac:dyDescent="0.25">
      <c r="A32" s="228"/>
      <c r="B32" s="620" t="s">
        <v>78</v>
      </c>
      <c r="C32" s="620"/>
      <c r="D32" s="620"/>
      <c r="E32" s="620"/>
      <c r="F32" s="620"/>
      <c r="G32" s="620"/>
      <c r="H32" s="620"/>
      <c r="I32" s="620"/>
      <c r="J32" s="620"/>
      <c r="K32" s="620"/>
      <c r="L32" s="620"/>
      <c r="M32" s="620"/>
      <c r="N32" s="620"/>
      <c r="O32" s="620"/>
      <c r="P32" s="620"/>
      <c r="Q32" s="620"/>
      <c r="R32" s="621" t="s">
        <v>79</v>
      </c>
      <c r="S32" s="621"/>
      <c r="T32" s="621"/>
      <c r="U32" s="621"/>
      <c r="V32" s="621"/>
      <c r="W32" s="621"/>
      <c r="X32" s="621"/>
      <c r="Y32" s="621"/>
      <c r="Z32" s="621"/>
      <c r="AA32" s="621"/>
      <c r="AB32" s="621"/>
      <c r="AC32" s="621"/>
      <c r="AD32" s="621"/>
      <c r="AE32" s="621"/>
      <c r="AF32" s="621"/>
      <c r="AG32" s="621"/>
    </row>
    <row r="33" spans="1:33" x14ac:dyDescent="0.25">
      <c r="A33" s="228" t="s">
        <v>897</v>
      </c>
      <c r="B33" s="620" t="s">
        <v>107</v>
      </c>
      <c r="C33" s="620"/>
      <c r="D33" s="620"/>
      <c r="E33" s="620"/>
      <c r="F33" s="620"/>
      <c r="G33" s="620"/>
      <c r="H33" s="620"/>
      <c r="I33" s="620"/>
      <c r="J33" s="620" t="s">
        <v>106</v>
      </c>
      <c r="K33" s="620"/>
      <c r="L33" s="620"/>
      <c r="M33" s="620"/>
      <c r="N33" s="620"/>
      <c r="O33" s="620"/>
      <c r="P33" s="620"/>
      <c r="Q33" s="620"/>
      <c r="R33" s="621" t="s">
        <v>107</v>
      </c>
      <c r="S33" s="621"/>
      <c r="T33" s="621"/>
      <c r="U33" s="621"/>
      <c r="V33" s="621"/>
      <c r="W33" s="621"/>
      <c r="X33" s="621"/>
      <c r="Y33" s="621"/>
      <c r="Z33" s="621" t="s">
        <v>106</v>
      </c>
      <c r="AA33" s="621"/>
      <c r="AB33" s="621"/>
      <c r="AC33" s="621"/>
      <c r="AD33" s="621"/>
      <c r="AE33" s="621"/>
      <c r="AF33" s="621"/>
      <c r="AG33" s="621"/>
    </row>
    <row r="34" spans="1:33" x14ac:dyDescent="0.25">
      <c r="A34" s="122">
        <v>1</v>
      </c>
      <c r="B34" s="229">
        <v>2</v>
      </c>
      <c r="C34" s="229">
        <v>3</v>
      </c>
      <c r="D34" s="229">
        <v>4</v>
      </c>
      <c r="E34" s="229">
        <v>5</v>
      </c>
      <c r="F34" s="229">
        <v>6</v>
      </c>
      <c r="G34" s="229">
        <v>7</v>
      </c>
      <c r="H34" s="229">
        <v>8</v>
      </c>
      <c r="I34" s="229">
        <v>9</v>
      </c>
      <c r="J34" s="229">
        <v>10</v>
      </c>
      <c r="K34" s="229">
        <v>11</v>
      </c>
      <c r="L34" s="229">
        <v>12</v>
      </c>
      <c r="M34" s="229">
        <v>13</v>
      </c>
      <c r="N34" s="229">
        <v>14</v>
      </c>
      <c r="O34" s="229">
        <v>15</v>
      </c>
      <c r="P34" s="229">
        <v>16</v>
      </c>
      <c r="Q34" s="229">
        <v>17</v>
      </c>
      <c r="R34" s="232">
        <v>18</v>
      </c>
      <c r="S34" s="232">
        <v>19</v>
      </c>
      <c r="T34" s="232">
        <v>20</v>
      </c>
      <c r="U34" s="232">
        <v>21</v>
      </c>
      <c r="V34" s="232">
        <v>22</v>
      </c>
      <c r="W34" s="232">
        <v>23</v>
      </c>
      <c r="X34" s="232">
        <v>24</v>
      </c>
      <c r="Y34" s="232">
        <v>25</v>
      </c>
      <c r="Z34" s="232">
        <v>26</v>
      </c>
      <c r="AA34" s="232">
        <v>27</v>
      </c>
      <c r="AB34" s="232">
        <v>28</v>
      </c>
      <c r="AC34" s="232">
        <v>29</v>
      </c>
      <c r="AD34" s="232">
        <v>30</v>
      </c>
      <c r="AE34" s="232">
        <v>31</v>
      </c>
      <c r="AF34" s="232">
        <v>32</v>
      </c>
      <c r="AG34" s="232">
        <v>33</v>
      </c>
    </row>
    <row r="35" spans="1:33" x14ac:dyDescent="0.25">
      <c r="A35" s="122" t="s">
        <v>48</v>
      </c>
      <c r="B35" s="229" t="s">
        <v>890</v>
      </c>
      <c r="C35" s="229" t="s">
        <v>891</v>
      </c>
      <c r="D35" s="230" t="s">
        <v>892</v>
      </c>
      <c r="E35" s="230" t="s">
        <v>896</v>
      </c>
      <c r="F35" s="229" t="s">
        <v>893</v>
      </c>
      <c r="G35" s="229" t="s">
        <v>895</v>
      </c>
      <c r="H35" s="229" t="s">
        <v>889</v>
      </c>
      <c r="I35" s="229" t="s">
        <v>894</v>
      </c>
      <c r="J35" s="229" t="s">
        <v>890</v>
      </c>
      <c r="K35" s="229" t="s">
        <v>891</v>
      </c>
      <c r="L35" s="230" t="s">
        <v>892</v>
      </c>
      <c r="M35" s="230" t="s">
        <v>896</v>
      </c>
      <c r="N35" s="229" t="s">
        <v>893</v>
      </c>
      <c r="O35" s="229" t="s">
        <v>895</v>
      </c>
      <c r="P35" s="229" t="s">
        <v>889</v>
      </c>
      <c r="Q35" s="229" t="s">
        <v>894</v>
      </c>
      <c r="R35" s="232" t="s">
        <v>890</v>
      </c>
      <c r="S35" s="232" t="s">
        <v>891</v>
      </c>
      <c r="T35" s="233" t="s">
        <v>892</v>
      </c>
      <c r="U35" s="233" t="s">
        <v>896</v>
      </c>
      <c r="V35" s="232" t="s">
        <v>893</v>
      </c>
      <c r="W35" s="232" t="s">
        <v>895</v>
      </c>
      <c r="X35" s="232" t="s">
        <v>889</v>
      </c>
      <c r="Y35" s="232" t="s">
        <v>894</v>
      </c>
      <c r="Z35" s="232" t="s">
        <v>890</v>
      </c>
      <c r="AA35" s="232" t="s">
        <v>891</v>
      </c>
      <c r="AB35" s="233" t="s">
        <v>892</v>
      </c>
      <c r="AC35" s="233" t="s">
        <v>896</v>
      </c>
      <c r="AD35" s="232" t="s">
        <v>893</v>
      </c>
      <c r="AE35" s="232" t="s">
        <v>895</v>
      </c>
      <c r="AF35" s="232" t="s">
        <v>889</v>
      </c>
      <c r="AG35" s="232" t="s">
        <v>894</v>
      </c>
    </row>
    <row r="36" spans="1:33" x14ac:dyDescent="0.25">
      <c r="A36" s="122">
        <v>1</v>
      </c>
      <c r="B36" s="231">
        <f t="shared" ref="B36:B50" si="0">VLOOKUP($A36,$B$11:$F$15,2)</f>
        <v>1.6043940105914801E-2</v>
      </c>
      <c r="C36" s="231">
        <f>B36*VLOOKUP($A36,$B$3:$F$7,2)</f>
        <v>4.7617046289374305E-2</v>
      </c>
      <c r="D36" s="231">
        <f>VLOOKUP($A36,$B$16:$F$20,2)</f>
        <v>2.949274224796377E-2</v>
      </c>
      <c r="E36" s="231">
        <f>D36*VLOOKUP($A36,$B$3:$F$7,2)</f>
        <v>8.7531944369708917E-2</v>
      </c>
      <c r="F36" s="231">
        <f>VLOOKUP($A36,$B$21:$F$25,2)</f>
        <v>2.0481476224486008E-2</v>
      </c>
      <c r="G36" s="231">
        <f>F36*VLOOKUP($A36,$B$3:$F$7,2)</f>
        <v>6.0787275134274836E-2</v>
      </c>
      <c r="H36" s="231">
        <f>VLOOKUP($A36,$B$26:$F$30,2)</f>
        <v>3.7488318742549216E-2</v>
      </c>
      <c r="I36" s="231">
        <f>H36*VLOOKUP($A36,$B$3:$F$7,2)</f>
        <v>0.11126213368352647</v>
      </c>
      <c r="J36" s="231">
        <f t="shared" ref="J36:J50" ca="1" si="1">VLOOKUP($A36,$B$11:$F$15,3)</f>
        <v>1.5554436166822599E-2</v>
      </c>
      <c r="K36" s="231">
        <f ca="1">J36*VLOOKUP($A36,$B$3:$F$7,3)</f>
        <v>8.4859950739443191E-2</v>
      </c>
      <c r="L36" s="231">
        <f ca="1">VLOOKUP($A36,$B$16:$F$20,3)</f>
        <v>2.8269159906332653E-2</v>
      </c>
      <c r="M36" s="231">
        <f ca="1">L36*VLOOKUP($A36,$B$3:$F$7,3)</f>
        <v>0.15422735297944737</v>
      </c>
      <c r="N36" s="231">
        <f ca="1">VLOOKUP($A36,$B$21:$F$25,3)</f>
        <v>1.1303096256552882E-2</v>
      </c>
      <c r="O36" s="231">
        <f ca="1">N36*VLOOKUP($A36,$B$3:$F$7,3)</f>
        <v>6.1666021271808008E-2</v>
      </c>
      <c r="P36" s="231">
        <f ca="1">VLOOKUP($A36,$B$26:$F$30,3)</f>
        <v>4.944721541968411E-2</v>
      </c>
      <c r="Q36" s="231">
        <f ca="1">P36*VLOOKUP($A36,$B$3:$F$7,3)</f>
        <v>0.26976794399447462</v>
      </c>
      <c r="R36" s="234">
        <f t="shared" ref="R36:R50" si="2">VLOOKUP($A36,$B$11:$F$15,4)</f>
        <v>9.5107960164295749E-3</v>
      </c>
      <c r="S36" s="234">
        <f>R36*VLOOKUP($A36,$B$3:$F$7,4)</f>
        <v>2.8756305634819731E-2</v>
      </c>
      <c r="T36" s="234">
        <f>VLOOKUP($A36,$B$16:$F$20,4)</f>
        <v>1.7584258115968133E-2</v>
      </c>
      <c r="U36" s="234">
        <f>T36*VLOOKUP($A36,$B$3:$F$7,4)</f>
        <v>5.316676962378665E-2</v>
      </c>
      <c r="V36" s="234">
        <f>VLOOKUP($A36,$B$21:$F$25,4)</f>
        <v>1.2168751795935231E-2</v>
      </c>
      <c r="W36" s="234">
        <f>V36*VLOOKUP($A36,$B$3:$F$7,4)</f>
        <v>3.6792750599811595E-2</v>
      </c>
      <c r="X36" s="234">
        <f>VLOOKUP($A36,$B$26:$F$30,4)</f>
        <v>2.2438956492639852E-2</v>
      </c>
      <c r="Y36" s="234">
        <f>X36*VLOOKUP($A36,$B$3:$F$7,4)</f>
        <v>6.7845161426457579E-2</v>
      </c>
      <c r="Z36" s="234">
        <f t="shared" ref="Z36:Z50" ca="1" si="3">VLOOKUP($A36,$B$11:$F$15,5)</f>
        <v>1.0563716468322548E-2</v>
      </c>
      <c r="AA36" s="234">
        <f ca="1">Z36*VLOOKUP($A36,$B$3:$F$7,5)</f>
        <v>1.6725866194723677E-2</v>
      </c>
      <c r="AB36" s="234">
        <f ca="1">VLOOKUP($A36,$B$16:$F$20,5)</f>
        <v>1.5523139063808949E-2</v>
      </c>
      <c r="AC36" s="234">
        <f ca="1">AB36*VLOOKUP($A36,$B$3:$F$7,5)</f>
        <v>2.4578276753445042E-2</v>
      </c>
      <c r="AD36" s="234">
        <f ca="1">VLOOKUP($A36,$B$21:$F$25,5)</f>
        <v>1.4787994127197002E-2</v>
      </c>
      <c r="AE36" s="234">
        <f ca="1">AD36*VLOOKUP($A36,$B$3:$F$7,5)</f>
        <v>2.3414298537977794E-2</v>
      </c>
      <c r="AF36" s="234">
        <f ca="1">VLOOKUP($A36,$B$26:$F$30,5)</f>
        <v>2.4304459028460124E-2</v>
      </c>
      <c r="AG36" s="234">
        <f ca="1">AF36*VLOOKUP($A36,$B$3:$F$7,5)</f>
        <v>3.8482018223811677E-2</v>
      </c>
    </row>
    <row r="37" spans="1:33" x14ac:dyDescent="0.25">
      <c r="A37" s="122">
        <v>2</v>
      </c>
      <c r="B37" s="231">
        <f t="shared" si="0"/>
        <v>1.6043940105914801E-2</v>
      </c>
      <c r="C37" s="231">
        <f t="shared" ref="C37:C50" si="4">B37*VLOOKUP($A37,$B$3:$F$7,2)</f>
        <v>4.7617046289374305E-2</v>
      </c>
      <c r="D37" s="231">
        <f t="shared" ref="D37:D50" si="5">VLOOKUP($A37,$B$16:$F$20,2)</f>
        <v>2.949274224796377E-2</v>
      </c>
      <c r="E37" s="231">
        <f t="shared" ref="E37:E50" si="6">D37*VLOOKUP($A37,$B$3:$F$7,2)</f>
        <v>8.7531944369708917E-2</v>
      </c>
      <c r="F37" s="231">
        <f t="shared" ref="F37:F50" si="7">VLOOKUP($A37,$B$21:$F$25,2)</f>
        <v>2.0481476224486008E-2</v>
      </c>
      <c r="G37" s="231">
        <f t="shared" ref="G37:G50" si="8">F37*VLOOKUP($A37,$B$3:$F$7,2)</f>
        <v>6.0787275134274836E-2</v>
      </c>
      <c r="H37" s="231">
        <f t="shared" ref="H37:H50" si="9">VLOOKUP($A37,$B$26:$F$30,2)</f>
        <v>3.7488318742549216E-2</v>
      </c>
      <c r="I37" s="231">
        <f t="shared" ref="I37:I50" si="10">H37*VLOOKUP($A37,$B$3:$F$7,2)</f>
        <v>0.11126213368352647</v>
      </c>
      <c r="J37" s="231">
        <f t="shared" ca="1" si="1"/>
        <v>1.5554436166822599E-2</v>
      </c>
      <c r="K37" s="231">
        <f t="shared" ref="K37:K50" ca="1" si="11">J37*VLOOKUP($A37,$B$3:$F$7,3)</f>
        <v>8.4859950739443191E-2</v>
      </c>
      <c r="L37" s="231">
        <f t="shared" ref="L37:L50" ca="1" si="12">VLOOKUP($A37,$B$16:$F$20,3)</f>
        <v>2.8269159906332653E-2</v>
      </c>
      <c r="M37" s="231">
        <f t="shared" ref="M37:M50" ca="1" si="13">L37*VLOOKUP($A37,$B$3:$F$7,3)</f>
        <v>0.15422735297944737</v>
      </c>
      <c r="N37" s="231">
        <f t="shared" ref="N37:N50" ca="1" si="14">VLOOKUP($A37,$B$21:$F$25,3)</f>
        <v>1.1303096256552882E-2</v>
      </c>
      <c r="O37" s="231">
        <f t="shared" ref="O37:O50" ca="1" si="15">N37*VLOOKUP($A37,$B$3:$F$7,3)</f>
        <v>6.1666021271808008E-2</v>
      </c>
      <c r="P37" s="231">
        <f t="shared" ref="P37:P50" ca="1" si="16">VLOOKUP($A37,$B$26:$F$30,3)</f>
        <v>4.944721541968411E-2</v>
      </c>
      <c r="Q37" s="231">
        <f t="shared" ref="Q37:Q50" ca="1" si="17">P37*VLOOKUP($A37,$B$3:$F$7,3)</f>
        <v>0.26976794399447462</v>
      </c>
      <c r="R37" s="234">
        <f t="shared" si="2"/>
        <v>9.5107960164295749E-3</v>
      </c>
      <c r="S37" s="234">
        <f t="shared" ref="S37:S50" si="18">R37*VLOOKUP($A37,$B$3:$F$7,4)</f>
        <v>2.8756305634819731E-2</v>
      </c>
      <c r="T37" s="234">
        <f t="shared" ref="T37:T50" si="19">VLOOKUP($A37,$B$16:$F$20,4)</f>
        <v>1.7584258115968133E-2</v>
      </c>
      <c r="U37" s="234">
        <f t="shared" ref="U37:U50" si="20">T37*VLOOKUP($A37,$B$3:$F$7,4)</f>
        <v>5.316676962378665E-2</v>
      </c>
      <c r="V37" s="234">
        <f t="shared" ref="V37:V50" si="21">VLOOKUP($A37,$B$21:$F$25,4)</f>
        <v>1.2168751795935231E-2</v>
      </c>
      <c r="W37" s="234">
        <f t="shared" ref="W37:W50" si="22">V37*VLOOKUP($A37,$B$3:$F$7,4)</f>
        <v>3.6792750599811595E-2</v>
      </c>
      <c r="X37" s="234">
        <f t="shared" ref="X37:X50" si="23">VLOOKUP($A37,$B$26:$F$30,4)</f>
        <v>2.2438956492639852E-2</v>
      </c>
      <c r="Y37" s="234">
        <f t="shared" ref="Y37:Y50" si="24">X37*VLOOKUP($A37,$B$3:$F$7,4)</f>
        <v>6.7845161426457579E-2</v>
      </c>
      <c r="Z37" s="234">
        <f t="shared" ca="1" si="3"/>
        <v>1.0563716468322548E-2</v>
      </c>
      <c r="AA37" s="234">
        <f t="shared" ref="AA37:AA50" ca="1" si="25">Z37*VLOOKUP($A37,$B$3:$F$7,5)</f>
        <v>1.6725866194723677E-2</v>
      </c>
      <c r="AB37" s="234">
        <f t="shared" ref="AB37:AB50" ca="1" si="26">VLOOKUP($A37,$B$16:$F$20,5)</f>
        <v>1.5523139063808949E-2</v>
      </c>
      <c r="AC37" s="234">
        <f t="shared" ref="AC37:AC50" ca="1" si="27">AB37*VLOOKUP($A37,$B$3:$F$7,5)</f>
        <v>2.4578276753445042E-2</v>
      </c>
      <c r="AD37" s="234">
        <f t="shared" ref="AD37:AD50" ca="1" si="28">VLOOKUP($A37,$B$21:$F$25,5)</f>
        <v>1.4787994127197002E-2</v>
      </c>
      <c r="AE37" s="234">
        <f t="shared" ref="AE37:AE50" ca="1" si="29">AD37*VLOOKUP($A37,$B$3:$F$7,5)</f>
        <v>2.3414298537977794E-2</v>
      </c>
      <c r="AF37" s="234">
        <f t="shared" ref="AF37:AF50" ca="1" si="30">VLOOKUP($A37,$B$26:$F$30,5)</f>
        <v>2.4304459028460124E-2</v>
      </c>
      <c r="AG37" s="234">
        <f t="shared" ref="AG37:AG50" ca="1" si="31">AF37*VLOOKUP($A37,$B$3:$F$7,5)</f>
        <v>3.8482018223811677E-2</v>
      </c>
    </row>
    <row r="38" spans="1:33" x14ac:dyDescent="0.25">
      <c r="A38" s="122">
        <v>3</v>
      </c>
      <c r="B38" s="231">
        <f t="shared" si="0"/>
        <v>2.1496480657142367E-2</v>
      </c>
      <c r="C38" s="231">
        <f t="shared" si="4"/>
        <v>2.5880546434196124E-2</v>
      </c>
      <c r="D38" s="231">
        <f t="shared" si="5"/>
        <v>2.8159485524959872E-2</v>
      </c>
      <c r="E38" s="231">
        <f t="shared" si="6"/>
        <v>3.3902427300333653E-2</v>
      </c>
      <c r="F38" s="231">
        <f t="shared" si="7"/>
        <v>3.7488318742549216E-2</v>
      </c>
      <c r="G38" s="231">
        <f t="shared" si="8"/>
        <v>4.5133814666268528E-2</v>
      </c>
      <c r="H38" s="231">
        <f t="shared" si="9"/>
        <v>3.5822848956698856E-2</v>
      </c>
      <c r="I38" s="231">
        <f t="shared" si="10"/>
        <v>4.3128683276859932E-2</v>
      </c>
      <c r="J38" s="231">
        <f t="shared" ca="1" si="1"/>
        <v>2.1211312564179973E-2</v>
      </c>
      <c r="K38" s="231">
        <f t="shared" ca="1" si="11"/>
        <v>2.2514413450634686E-2</v>
      </c>
      <c r="L38" s="231">
        <f t="shared" ca="1" si="12"/>
        <v>2.1117571340520249E-2</v>
      </c>
      <c r="M38" s="231">
        <f t="shared" ca="1" si="13"/>
        <v>2.2414913306055821E-2</v>
      </c>
      <c r="N38" s="231">
        <f t="shared" ca="1" si="14"/>
        <v>4.1043830696345318E-2</v>
      </c>
      <c r="O38" s="231">
        <f t="shared" ca="1" si="15"/>
        <v>4.356532727992897E-2</v>
      </c>
      <c r="P38" s="231">
        <f t="shared" ca="1" si="16"/>
        <v>4.5476250187524103E-2</v>
      </c>
      <c r="Q38" s="231">
        <f t="shared" ca="1" si="17"/>
        <v>4.827004909802024E-2</v>
      </c>
      <c r="R38" s="234">
        <f t="shared" si="2"/>
        <v>1.2767579509410033E-2</v>
      </c>
      <c r="S38" s="234">
        <f t="shared" si="18"/>
        <v>1.3456529380060053E-2</v>
      </c>
      <c r="T38" s="234">
        <f t="shared" si="19"/>
        <v>1.6781879594605833E-2</v>
      </c>
      <c r="U38" s="234">
        <f t="shared" si="20"/>
        <v>1.7687444644539262E-2</v>
      </c>
      <c r="V38" s="234">
        <f t="shared" si="21"/>
        <v>1.6324565031859944E-2</v>
      </c>
      <c r="W38" s="234">
        <f t="shared" si="22"/>
        <v>1.7205452983944252E-2</v>
      </c>
      <c r="X38" s="234">
        <f t="shared" si="23"/>
        <v>2.1425781063562712E-2</v>
      </c>
      <c r="Y38" s="234">
        <f t="shared" si="24"/>
        <v>2.2581935139708291E-2</v>
      </c>
      <c r="Z38" s="234">
        <f t="shared" ca="1" si="3"/>
        <v>1.3908868219107862E-2</v>
      </c>
      <c r="AA38" s="234">
        <f t="shared" ca="1" si="25"/>
        <v>1.4748952538930897E-2</v>
      </c>
      <c r="AB38" s="234">
        <f t="shared" ca="1" si="26"/>
        <v>1.5037257316835579E-2</v>
      </c>
      <c r="AC38" s="234">
        <f t="shared" ca="1" si="27"/>
        <v>1.5945495419750617E-2</v>
      </c>
      <c r="AD38" s="234">
        <f t="shared" ca="1" si="28"/>
        <v>1.53053820853993E-2</v>
      </c>
      <c r="AE38" s="234">
        <f t="shared" ca="1" si="29"/>
        <v>1.6229814706105305E-2</v>
      </c>
      <c r="AF38" s="234">
        <f t="shared" ca="1" si="30"/>
        <v>1.9432776932759951E-2</v>
      </c>
      <c r="AG38" s="234">
        <f t="shared" ca="1" si="31"/>
        <v>2.0606500842905499E-2</v>
      </c>
    </row>
    <row r="39" spans="1:33" x14ac:dyDescent="0.25">
      <c r="A39" s="122">
        <v>4</v>
      </c>
      <c r="B39" s="231">
        <f t="shared" si="0"/>
        <v>2.1496480657142367E-2</v>
      </c>
      <c r="C39" s="231">
        <f t="shared" si="4"/>
        <v>2.5880546434196124E-2</v>
      </c>
      <c r="D39" s="231">
        <f t="shared" si="5"/>
        <v>2.8159485524959872E-2</v>
      </c>
      <c r="E39" s="231">
        <f t="shared" si="6"/>
        <v>3.3902427300333653E-2</v>
      </c>
      <c r="F39" s="231">
        <f t="shared" si="7"/>
        <v>3.7488318742549216E-2</v>
      </c>
      <c r="G39" s="231">
        <f t="shared" si="8"/>
        <v>4.5133814666268528E-2</v>
      </c>
      <c r="H39" s="231">
        <f t="shared" si="9"/>
        <v>3.5822848956698856E-2</v>
      </c>
      <c r="I39" s="231">
        <f t="shared" si="10"/>
        <v>4.3128683276859932E-2</v>
      </c>
      <c r="J39" s="231">
        <f t="shared" ca="1" si="1"/>
        <v>2.1211312564179973E-2</v>
      </c>
      <c r="K39" s="231">
        <f t="shared" ca="1" si="11"/>
        <v>2.2514413450634686E-2</v>
      </c>
      <c r="L39" s="231">
        <f t="shared" ca="1" si="12"/>
        <v>2.1117571340520249E-2</v>
      </c>
      <c r="M39" s="231">
        <f t="shared" ca="1" si="13"/>
        <v>2.2414913306055821E-2</v>
      </c>
      <c r="N39" s="231">
        <f t="shared" ca="1" si="14"/>
        <v>4.1043830696345318E-2</v>
      </c>
      <c r="O39" s="231">
        <f t="shared" ca="1" si="15"/>
        <v>4.356532727992897E-2</v>
      </c>
      <c r="P39" s="231">
        <f t="shared" ca="1" si="16"/>
        <v>4.5476250187524103E-2</v>
      </c>
      <c r="Q39" s="231">
        <f t="shared" ca="1" si="17"/>
        <v>4.827004909802024E-2</v>
      </c>
      <c r="R39" s="234">
        <f t="shared" si="2"/>
        <v>1.2767579509410033E-2</v>
      </c>
      <c r="S39" s="234">
        <f t="shared" si="18"/>
        <v>1.3456529380060053E-2</v>
      </c>
      <c r="T39" s="234">
        <f t="shared" si="19"/>
        <v>1.6781879594605833E-2</v>
      </c>
      <c r="U39" s="234">
        <f t="shared" si="20"/>
        <v>1.7687444644539262E-2</v>
      </c>
      <c r="V39" s="234">
        <f t="shared" si="21"/>
        <v>1.6324565031859944E-2</v>
      </c>
      <c r="W39" s="234">
        <f t="shared" si="22"/>
        <v>1.7205452983944252E-2</v>
      </c>
      <c r="X39" s="234">
        <f t="shared" si="23"/>
        <v>2.1425781063562712E-2</v>
      </c>
      <c r="Y39" s="234">
        <f t="shared" si="24"/>
        <v>2.2581935139708291E-2</v>
      </c>
      <c r="Z39" s="234">
        <f t="shared" ca="1" si="3"/>
        <v>1.3908868219107862E-2</v>
      </c>
      <c r="AA39" s="234">
        <f t="shared" ca="1" si="25"/>
        <v>1.4748952538930897E-2</v>
      </c>
      <c r="AB39" s="234">
        <f t="shared" ca="1" si="26"/>
        <v>1.5037257316835579E-2</v>
      </c>
      <c r="AC39" s="234">
        <f t="shared" ca="1" si="27"/>
        <v>1.5945495419750617E-2</v>
      </c>
      <c r="AD39" s="234">
        <f t="shared" ca="1" si="28"/>
        <v>1.53053820853993E-2</v>
      </c>
      <c r="AE39" s="234">
        <f t="shared" ca="1" si="29"/>
        <v>1.6229814706105305E-2</v>
      </c>
      <c r="AF39" s="234">
        <f t="shared" ca="1" si="30"/>
        <v>1.9432776932759951E-2</v>
      </c>
      <c r="AG39" s="234">
        <f t="shared" ca="1" si="31"/>
        <v>2.0606500842905499E-2</v>
      </c>
    </row>
    <row r="40" spans="1:33" x14ac:dyDescent="0.25">
      <c r="A40" s="122">
        <v>5</v>
      </c>
      <c r="B40" s="231">
        <f t="shared" si="0"/>
        <v>0.10626515128307298</v>
      </c>
      <c r="C40" s="231">
        <f t="shared" si="4"/>
        <v>0.12513427054896414</v>
      </c>
      <c r="D40" s="231">
        <f t="shared" si="5"/>
        <v>0.13486958523648684</v>
      </c>
      <c r="E40" s="231">
        <f t="shared" si="6"/>
        <v>0.15881789056933698</v>
      </c>
      <c r="F40" s="231">
        <f t="shared" si="7"/>
        <v>0.12573700901104562</v>
      </c>
      <c r="G40" s="231">
        <f t="shared" si="8"/>
        <v>0.14806367575474388</v>
      </c>
      <c r="H40" s="231">
        <f t="shared" si="9"/>
        <v>0.17333970638027871</v>
      </c>
      <c r="I40" s="231">
        <f t="shared" si="10"/>
        <v>0.20411901223654424</v>
      </c>
      <c r="J40" s="231">
        <f t="shared" ca="1" si="1"/>
        <v>0.1215234417372163</v>
      </c>
      <c r="K40" s="231">
        <f t="shared" ca="1" si="11"/>
        <v>0.14859458919285545</v>
      </c>
      <c r="L40" s="231">
        <f t="shared" ca="1" si="12"/>
        <v>0.12247613559101155</v>
      </c>
      <c r="M40" s="231">
        <f t="shared" ca="1" si="13"/>
        <v>0.1497595097201837</v>
      </c>
      <c r="N40" s="231">
        <f t="shared" ca="1" si="14"/>
        <v>0.12637562134352176</v>
      </c>
      <c r="O40" s="231">
        <f t="shared" ca="1" si="15"/>
        <v>0.15452766370903009</v>
      </c>
      <c r="P40" s="231">
        <f t="shared" ca="1" si="16"/>
        <v>0.12488295107324174</v>
      </c>
      <c r="Q40" s="231">
        <f t="shared" ca="1" si="17"/>
        <v>0.15270247901674433</v>
      </c>
      <c r="R40" s="234">
        <f t="shared" si="2"/>
        <v>5.5623232488370651E-2</v>
      </c>
      <c r="S40" s="234">
        <f t="shared" si="18"/>
        <v>6.620019832635067E-2</v>
      </c>
      <c r="T40" s="234">
        <f t="shared" si="19"/>
        <v>7.9410692391993581E-2</v>
      </c>
      <c r="U40" s="234">
        <f t="shared" si="20"/>
        <v>9.4510932759650418E-2</v>
      </c>
      <c r="V40" s="234">
        <f t="shared" si="21"/>
        <v>8.2963430123414866E-2</v>
      </c>
      <c r="W40" s="234">
        <f t="shared" si="22"/>
        <v>9.8739236867484689E-2</v>
      </c>
      <c r="X40" s="234">
        <f t="shared" si="23"/>
        <v>9.3264870639192032E-2</v>
      </c>
      <c r="Y40" s="234">
        <f t="shared" si="24"/>
        <v>0.1109995348523983</v>
      </c>
      <c r="Z40" s="234">
        <f t="shared" ca="1" si="3"/>
        <v>5.3401484621430996E-2</v>
      </c>
      <c r="AA40" s="234">
        <f t="shared" ca="1" si="25"/>
        <v>6.4489552648970244E-2</v>
      </c>
      <c r="AB40" s="234">
        <f t="shared" ca="1" si="26"/>
        <v>0.10554119120640826</v>
      </c>
      <c r="AC40" s="234">
        <f t="shared" ca="1" si="27"/>
        <v>0.12745533677933005</v>
      </c>
      <c r="AD40" s="234">
        <f t="shared" ca="1" si="28"/>
        <v>7.5563860242009923E-2</v>
      </c>
      <c r="AE40" s="234">
        <f t="shared" ca="1" si="29"/>
        <v>9.1253634201040032E-2</v>
      </c>
      <c r="AF40" s="234">
        <f t="shared" ca="1" si="30"/>
        <v>9.6586345540125684E-2</v>
      </c>
      <c r="AG40" s="234">
        <f t="shared" ca="1" si="31"/>
        <v>0.11664114321986158</v>
      </c>
    </row>
    <row r="41" spans="1:33" x14ac:dyDescent="0.25">
      <c r="A41" s="122">
        <v>6</v>
      </c>
      <c r="B41" s="231">
        <f t="shared" si="0"/>
        <v>0.10626515128307298</v>
      </c>
      <c r="C41" s="231">
        <f t="shared" si="4"/>
        <v>0.12513427054896414</v>
      </c>
      <c r="D41" s="231">
        <f t="shared" si="5"/>
        <v>0.13486958523648684</v>
      </c>
      <c r="E41" s="231">
        <f t="shared" si="6"/>
        <v>0.15881789056933698</v>
      </c>
      <c r="F41" s="231">
        <f t="shared" si="7"/>
        <v>0.12573700901104562</v>
      </c>
      <c r="G41" s="231">
        <f t="shared" si="8"/>
        <v>0.14806367575474388</v>
      </c>
      <c r="H41" s="231">
        <f t="shared" si="9"/>
        <v>0.17333970638027871</v>
      </c>
      <c r="I41" s="231">
        <f t="shared" si="10"/>
        <v>0.20411901223654424</v>
      </c>
      <c r="J41" s="231">
        <f t="shared" ca="1" si="1"/>
        <v>0.1215234417372163</v>
      </c>
      <c r="K41" s="231">
        <f t="shared" ca="1" si="11"/>
        <v>0.14859458919285545</v>
      </c>
      <c r="L41" s="231">
        <f t="shared" ca="1" si="12"/>
        <v>0.12247613559101155</v>
      </c>
      <c r="M41" s="231">
        <f t="shared" ca="1" si="13"/>
        <v>0.1497595097201837</v>
      </c>
      <c r="N41" s="231">
        <f t="shared" ca="1" si="14"/>
        <v>0.12637562134352176</v>
      </c>
      <c r="O41" s="231">
        <f t="shared" ca="1" si="15"/>
        <v>0.15452766370903009</v>
      </c>
      <c r="P41" s="231">
        <f t="shared" ca="1" si="16"/>
        <v>0.12488295107324174</v>
      </c>
      <c r="Q41" s="231">
        <f t="shared" ca="1" si="17"/>
        <v>0.15270247901674433</v>
      </c>
      <c r="R41" s="234">
        <f t="shared" si="2"/>
        <v>5.5623232488370651E-2</v>
      </c>
      <c r="S41" s="234">
        <f t="shared" si="18"/>
        <v>6.620019832635067E-2</v>
      </c>
      <c r="T41" s="234">
        <f t="shared" si="19"/>
        <v>7.9410692391993581E-2</v>
      </c>
      <c r="U41" s="234">
        <f t="shared" si="20"/>
        <v>9.4510932759650418E-2</v>
      </c>
      <c r="V41" s="234">
        <f t="shared" si="21"/>
        <v>8.2963430123414866E-2</v>
      </c>
      <c r="W41" s="234">
        <f t="shared" si="22"/>
        <v>9.8739236867484689E-2</v>
      </c>
      <c r="X41" s="234">
        <f t="shared" si="23"/>
        <v>9.3264870639192032E-2</v>
      </c>
      <c r="Y41" s="234">
        <f t="shared" si="24"/>
        <v>0.1109995348523983</v>
      </c>
      <c r="Z41" s="234">
        <f t="shared" ca="1" si="3"/>
        <v>5.3401484621430996E-2</v>
      </c>
      <c r="AA41" s="234">
        <f t="shared" ca="1" si="25"/>
        <v>6.4489552648970244E-2</v>
      </c>
      <c r="AB41" s="234">
        <f t="shared" ca="1" si="26"/>
        <v>0.10554119120640826</v>
      </c>
      <c r="AC41" s="234">
        <f t="shared" ca="1" si="27"/>
        <v>0.12745533677933005</v>
      </c>
      <c r="AD41" s="234">
        <f t="shared" ca="1" si="28"/>
        <v>7.5563860242009923E-2</v>
      </c>
      <c r="AE41" s="234">
        <f t="shared" ca="1" si="29"/>
        <v>9.1253634201040032E-2</v>
      </c>
      <c r="AF41" s="234">
        <f t="shared" ca="1" si="30"/>
        <v>9.6586345540125684E-2</v>
      </c>
      <c r="AG41" s="234">
        <f t="shared" ca="1" si="31"/>
        <v>0.11664114321986158</v>
      </c>
    </row>
    <row r="42" spans="1:33" x14ac:dyDescent="0.25">
      <c r="A42" s="122">
        <v>7</v>
      </c>
      <c r="B42" s="231">
        <f t="shared" si="0"/>
        <v>0.10626515128307298</v>
      </c>
      <c r="C42" s="231">
        <f t="shared" si="4"/>
        <v>0.12513427054896414</v>
      </c>
      <c r="D42" s="231">
        <f t="shared" si="5"/>
        <v>0.13486958523648684</v>
      </c>
      <c r="E42" s="231">
        <f t="shared" si="6"/>
        <v>0.15881789056933698</v>
      </c>
      <c r="F42" s="231">
        <f t="shared" si="7"/>
        <v>0.12573700901104562</v>
      </c>
      <c r="G42" s="231">
        <f t="shared" si="8"/>
        <v>0.14806367575474388</v>
      </c>
      <c r="H42" s="231">
        <f t="shared" si="9"/>
        <v>0.17333970638027871</v>
      </c>
      <c r="I42" s="231">
        <f t="shared" si="10"/>
        <v>0.20411901223654424</v>
      </c>
      <c r="J42" s="231">
        <f t="shared" ca="1" si="1"/>
        <v>0.1215234417372163</v>
      </c>
      <c r="K42" s="231">
        <f t="shared" ca="1" si="11"/>
        <v>0.14859458919285545</v>
      </c>
      <c r="L42" s="231">
        <f t="shared" ca="1" si="12"/>
        <v>0.12247613559101155</v>
      </c>
      <c r="M42" s="231">
        <f t="shared" ca="1" si="13"/>
        <v>0.1497595097201837</v>
      </c>
      <c r="N42" s="231">
        <f t="shared" ca="1" si="14"/>
        <v>0.12637562134352176</v>
      </c>
      <c r="O42" s="231">
        <f t="shared" ca="1" si="15"/>
        <v>0.15452766370903009</v>
      </c>
      <c r="P42" s="231">
        <f t="shared" ca="1" si="16"/>
        <v>0.12488295107324174</v>
      </c>
      <c r="Q42" s="231">
        <f t="shared" ca="1" si="17"/>
        <v>0.15270247901674433</v>
      </c>
      <c r="R42" s="234">
        <f t="shared" si="2"/>
        <v>5.5623232488370651E-2</v>
      </c>
      <c r="S42" s="234">
        <f t="shared" si="18"/>
        <v>6.620019832635067E-2</v>
      </c>
      <c r="T42" s="234">
        <f t="shared" si="19"/>
        <v>7.9410692391993581E-2</v>
      </c>
      <c r="U42" s="234">
        <f t="shared" si="20"/>
        <v>9.4510932759650418E-2</v>
      </c>
      <c r="V42" s="234">
        <f t="shared" si="21"/>
        <v>8.2963430123414866E-2</v>
      </c>
      <c r="W42" s="234">
        <f t="shared" si="22"/>
        <v>9.8739236867484689E-2</v>
      </c>
      <c r="X42" s="234">
        <f t="shared" si="23"/>
        <v>9.3264870639192032E-2</v>
      </c>
      <c r="Y42" s="234">
        <f t="shared" si="24"/>
        <v>0.1109995348523983</v>
      </c>
      <c r="Z42" s="234">
        <f t="shared" ca="1" si="3"/>
        <v>5.3401484621430996E-2</v>
      </c>
      <c r="AA42" s="234">
        <f t="shared" ca="1" si="25"/>
        <v>6.4489552648970244E-2</v>
      </c>
      <c r="AB42" s="234">
        <f t="shared" ca="1" si="26"/>
        <v>0.10554119120640826</v>
      </c>
      <c r="AC42" s="234">
        <f t="shared" ca="1" si="27"/>
        <v>0.12745533677933005</v>
      </c>
      <c r="AD42" s="234">
        <f t="shared" ca="1" si="28"/>
        <v>7.5563860242009923E-2</v>
      </c>
      <c r="AE42" s="234">
        <f t="shared" ca="1" si="29"/>
        <v>9.1253634201040032E-2</v>
      </c>
      <c r="AF42" s="234">
        <f t="shared" ca="1" si="30"/>
        <v>9.6586345540125684E-2</v>
      </c>
      <c r="AG42" s="234">
        <f t="shared" ca="1" si="31"/>
        <v>0.11664114321986158</v>
      </c>
    </row>
    <row r="43" spans="1:33" x14ac:dyDescent="0.25">
      <c r="A43" s="122">
        <v>8</v>
      </c>
      <c r="B43" s="231">
        <f t="shared" si="0"/>
        <v>0.10626515128307298</v>
      </c>
      <c r="C43" s="231">
        <f t="shared" si="4"/>
        <v>0.12513427054896414</v>
      </c>
      <c r="D43" s="231">
        <f t="shared" si="5"/>
        <v>0.13486958523648684</v>
      </c>
      <c r="E43" s="231">
        <f t="shared" si="6"/>
        <v>0.15881789056933698</v>
      </c>
      <c r="F43" s="231">
        <f t="shared" si="7"/>
        <v>0.12573700901104562</v>
      </c>
      <c r="G43" s="231">
        <f t="shared" si="8"/>
        <v>0.14806367575474388</v>
      </c>
      <c r="H43" s="231">
        <f t="shared" si="9"/>
        <v>0.17333970638027871</v>
      </c>
      <c r="I43" s="231">
        <f t="shared" si="10"/>
        <v>0.20411901223654424</v>
      </c>
      <c r="J43" s="231">
        <f t="shared" ca="1" si="1"/>
        <v>0.1215234417372163</v>
      </c>
      <c r="K43" s="231">
        <f t="shared" ca="1" si="11"/>
        <v>0.14859458919285545</v>
      </c>
      <c r="L43" s="231">
        <f t="shared" ca="1" si="12"/>
        <v>0.12247613559101155</v>
      </c>
      <c r="M43" s="231">
        <f t="shared" ca="1" si="13"/>
        <v>0.1497595097201837</v>
      </c>
      <c r="N43" s="231">
        <f t="shared" ca="1" si="14"/>
        <v>0.12637562134352176</v>
      </c>
      <c r="O43" s="231">
        <f t="shared" ca="1" si="15"/>
        <v>0.15452766370903009</v>
      </c>
      <c r="P43" s="231">
        <f t="shared" ca="1" si="16"/>
        <v>0.12488295107324174</v>
      </c>
      <c r="Q43" s="231">
        <f t="shared" ca="1" si="17"/>
        <v>0.15270247901674433</v>
      </c>
      <c r="R43" s="234">
        <f t="shared" si="2"/>
        <v>5.5623232488370651E-2</v>
      </c>
      <c r="S43" s="234">
        <f t="shared" si="18"/>
        <v>6.620019832635067E-2</v>
      </c>
      <c r="T43" s="234">
        <f t="shared" si="19"/>
        <v>7.9410692391993581E-2</v>
      </c>
      <c r="U43" s="234">
        <f t="shared" si="20"/>
        <v>9.4510932759650418E-2</v>
      </c>
      <c r="V43" s="234">
        <f t="shared" si="21"/>
        <v>8.2963430123414866E-2</v>
      </c>
      <c r="W43" s="234">
        <f t="shared" si="22"/>
        <v>9.8739236867484689E-2</v>
      </c>
      <c r="X43" s="234">
        <f t="shared" si="23"/>
        <v>9.3264870639192032E-2</v>
      </c>
      <c r="Y43" s="234">
        <f t="shared" si="24"/>
        <v>0.1109995348523983</v>
      </c>
      <c r="Z43" s="234">
        <f t="shared" ca="1" si="3"/>
        <v>5.3401484621430996E-2</v>
      </c>
      <c r="AA43" s="234">
        <f t="shared" ca="1" si="25"/>
        <v>6.4489552648970244E-2</v>
      </c>
      <c r="AB43" s="234">
        <f t="shared" ca="1" si="26"/>
        <v>0.10554119120640826</v>
      </c>
      <c r="AC43" s="234">
        <f t="shared" ca="1" si="27"/>
        <v>0.12745533677933005</v>
      </c>
      <c r="AD43" s="234">
        <f t="shared" ca="1" si="28"/>
        <v>7.5563860242009923E-2</v>
      </c>
      <c r="AE43" s="234">
        <f t="shared" ca="1" si="29"/>
        <v>9.1253634201040032E-2</v>
      </c>
      <c r="AF43" s="234">
        <f t="shared" ca="1" si="30"/>
        <v>9.6586345540125684E-2</v>
      </c>
      <c r="AG43" s="234">
        <f t="shared" ca="1" si="31"/>
        <v>0.11664114321986158</v>
      </c>
    </row>
    <row r="44" spans="1:33" x14ac:dyDescent="0.25">
      <c r="A44" s="122">
        <v>9</v>
      </c>
      <c r="B44" s="231">
        <f t="shared" si="0"/>
        <v>0.10626515128307298</v>
      </c>
      <c r="C44" s="231">
        <f t="shared" si="4"/>
        <v>0.12513427054896414</v>
      </c>
      <c r="D44" s="231">
        <f t="shared" si="5"/>
        <v>0.13486958523648684</v>
      </c>
      <c r="E44" s="231">
        <f t="shared" si="6"/>
        <v>0.15881789056933698</v>
      </c>
      <c r="F44" s="231">
        <f t="shared" si="7"/>
        <v>0.12573700901104562</v>
      </c>
      <c r="G44" s="231">
        <f t="shared" si="8"/>
        <v>0.14806367575474388</v>
      </c>
      <c r="H44" s="231">
        <f t="shared" si="9"/>
        <v>0.17333970638027871</v>
      </c>
      <c r="I44" s="231">
        <f t="shared" si="10"/>
        <v>0.20411901223654424</v>
      </c>
      <c r="J44" s="231">
        <f t="shared" ca="1" si="1"/>
        <v>0.1215234417372163</v>
      </c>
      <c r="K44" s="231">
        <f t="shared" ca="1" si="11"/>
        <v>0.14859458919285545</v>
      </c>
      <c r="L44" s="231">
        <f ca="1">VLOOKUP($A44,$B$16:$F$20,3)</f>
        <v>0.12247613559101155</v>
      </c>
      <c r="M44" s="231">
        <f t="shared" ca="1" si="13"/>
        <v>0.1497595097201837</v>
      </c>
      <c r="N44" s="231">
        <f t="shared" ca="1" si="14"/>
        <v>0.12637562134352176</v>
      </c>
      <c r="O44" s="231">
        <f t="shared" ca="1" si="15"/>
        <v>0.15452766370903009</v>
      </c>
      <c r="P44" s="231">
        <f t="shared" ca="1" si="16"/>
        <v>0.12488295107324174</v>
      </c>
      <c r="Q44" s="231">
        <f t="shared" ca="1" si="17"/>
        <v>0.15270247901674433</v>
      </c>
      <c r="R44" s="234">
        <f t="shared" si="2"/>
        <v>5.5623232488370651E-2</v>
      </c>
      <c r="S44" s="234">
        <f t="shared" si="18"/>
        <v>6.620019832635067E-2</v>
      </c>
      <c r="T44" s="234">
        <f t="shared" si="19"/>
        <v>7.9410692391993581E-2</v>
      </c>
      <c r="U44" s="234">
        <f t="shared" si="20"/>
        <v>9.4510932759650418E-2</v>
      </c>
      <c r="V44" s="234">
        <f t="shared" si="21"/>
        <v>8.2963430123414866E-2</v>
      </c>
      <c r="W44" s="234">
        <f t="shared" si="22"/>
        <v>9.8739236867484689E-2</v>
      </c>
      <c r="X44" s="234">
        <f t="shared" si="23"/>
        <v>9.3264870639192032E-2</v>
      </c>
      <c r="Y44" s="234">
        <f t="shared" si="24"/>
        <v>0.1109995348523983</v>
      </c>
      <c r="Z44" s="234">
        <f t="shared" ca="1" si="3"/>
        <v>5.3401484621430996E-2</v>
      </c>
      <c r="AA44" s="234">
        <f t="shared" ca="1" si="25"/>
        <v>6.4489552648970244E-2</v>
      </c>
      <c r="AB44" s="234">
        <f t="shared" ca="1" si="26"/>
        <v>0.10554119120640826</v>
      </c>
      <c r="AC44" s="234">
        <f t="shared" ca="1" si="27"/>
        <v>0.12745533677933005</v>
      </c>
      <c r="AD44" s="234">
        <f t="shared" ca="1" si="28"/>
        <v>7.5563860242009923E-2</v>
      </c>
      <c r="AE44" s="234">
        <f t="shared" ca="1" si="29"/>
        <v>9.1253634201040032E-2</v>
      </c>
      <c r="AF44" s="234">
        <f t="shared" ca="1" si="30"/>
        <v>9.6586345540125684E-2</v>
      </c>
      <c r="AG44" s="234">
        <f t="shared" ca="1" si="31"/>
        <v>0.11664114321986158</v>
      </c>
    </row>
    <row r="45" spans="1:33" x14ac:dyDescent="0.25">
      <c r="A45" s="122">
        <v>10</v>
      </c>
      <c r="B45" s="231">
        <f t="shared" si="0"/>
        <v>9.4445570047653096E-2</v>
      </c>
      <c r="C45" s="231">
        <f t="shared" si="4"/>
        <v>0.11032817874058809</v>
      </c>
      <c r="D45" s="231">
        <f t="shared" si="5"/>
        <v>0.24617375629338203</v>
      </c>
      <c r="E45" s="231">
        <f t="shared" si="6"/>
        <v>0.2875720075793341</v>
      </c>
      <c r="F45" s="231">
        <f t="shared" si="7"/>
        <v>0.25243858207193387</v>
      </c>
      <c r="G45" s="231">
        <f t="shared" si="8"/>
        <v>0.29489036902207799</v>
      </c>
      <c r="H45" s="231">
        <f t="shared" si="9"/>
        <v>0.2895484218376253</v>
      </c>
      <c r="I45" s="231">
        <f t="shared" si="10"/>
        <v>0.3382408515554356</v>
      </c>
      <c r="J45" s="231">
        <f t="shared" ca="1" si="1"/>
        <v>0.111396363958429</v>
      </c>
      <c r="K45" s="231">
        <f t="shared" ca="1" si="11"/>
        <v>0.13710987104428632</v>
      </c>
      <c r="L45" s="231">
        <f t="shared" ca="1" si="12"/>
        <v>0.22894504726864304</v>
      </c>
      <c r="M45" s="231">
        <f t="shared" ca="1" si="13"/>
        <v>0.28179219493147972</v>
      </c>
      <c r="N45" s="231">
        <f t="shared" ca="1" si="14"/>
        <v>0.276876570924384</v>
      </c>
      <c r="O45" s="231">
        <f t="shared" ca="1" si="15"/>
        <v>0.34078770244954648</v>
      </c>
      <c r="P45" s="231">
        <f t="shared" ca="1" si="16"/>
        <v>0.25690983611750362</v>
      </c>
      <c r="Q45" s="231">
        <f t="shared" ca="1" si="17"/>
        <v>0.31621206696858534</v>
      </c>
      <c r="R45" s="234">
        <f t="shared" si="2"/>
        <v>9.5550684912285203E-2</v>
      </c>
      <c r="S45" s="234">
        <f t="shared" si="18"/>
        <v>0.11225170406223002</v>
      </c>
      <c r="T45" s="234">
        <f t="shared" si="19"/>
        <v>0.18550871929409266</v>
      </c>
      <c r="U45" s="234">
        <f t="shared" si="20"/>
        <v>0.21793323489287134</v>
      </c>
      <c r="V45" s="234">
        <f t="shared" si="21"/>
        <v>0.19092662750357051</v>
      </c>
      <c r="W45" s="234">
        <f t="shared" si="22"/>
        <v>0.22429812311449873</v>
      </c>
      <c r="X45" s="234">
        <f t="shared" si="23"/>
        <v>0.22242820739403901</v>
      </c>
      <c r="Y45" s="234">
        <f t="shared" si="24"/>
        <v>0.2613057701722219</v>
      </c>
      <c r="Z45" s="234">
        <f t="shared" ca="1" si="3"/>
        <v>0.10401790546587575</v>
      </c>
      <c r="AA45" s="234">
        <f t="shared" ca="1" si="25"/>
        <v>0.10915512706631016</v>
      </c>
      <c r="AB45" s="234">
        <f t="shared" ca="1" si="26"/>
        <v>0.17978060773001686</v>
      </c>
      <c r="AC45" s="234">
        <f t="shared" ca="1" si="27"/>
        <v>0.18865958695223217</v>
      </c>
      <c r="AD45" s="234">
        <f t="shared" ca="1" si="28"/>
        <v>0.16565388034104217</v>
      </c>
      <c r="AE45" s="234">
        <f t="shared" ca="1" si="29"/>
        <v>0.17383517074938401</v>
      </c>
      <c r="AF45" s="234">
        <f t="shared" ca="1" si="30"/>
        <v>0.24388272758637386</v>
      </c>
      <c r="AG45" s="234">
        <f t="shared" ca="1" si="31"/>
        <v>0.25592757323595866</v>
      </c>
    </row>
    <row r="46" spans="1:33" x14ac:dyDescent="0.25">
      <c r="A46" s="122">
        <v>11</v>
      </c>
      <c r="B46" s="231">
        <f t="shared" si="0"/>
        <v>9.4445570047653096E-2</v>
      </c>
      <c r="C46" s="231">
        <f t="shared" si="4"/>
        <v>0.11032817874058809</v>
      </c>
      <c r="D46" s="231">
        <f t="shared" si="5"/>
        <v>0.24617375629338203</v>
      </c>
      <c r="E46" s="231">
        <f t="shared" si="6"/>
        <v>0.2875720075793341</v>
      </c>
      <c r="F46" s="231">
        <f t="shared" si="7"/>
        <v>0.25243858207193387</v>
      </c>
      <c r="G46" s="231">
        <f t="shared" si="8"/>
        <v>0.29489036902207799</v>
      </c>
      <c r="H46" s="231">
        <f t="shared" si="9"/>
        <v>0.2895484218376253</v>
      </c>
      <c r="I46" s="231">
        <f t="shared" si="10"/>
        <v>0.3382408515554356</v>
      </c>
      <c r="J46" s="231">
        <f t="shared" ca="1" si="1"/>
        <v>0.111396363958429</v>
      </c>
      <c r="K46" s="231">
        <f t="shared" ca="1" si="11"/>
        <v>0.13710987104428632</v>
      </c>
      <c r="L46" s="231">
        <f t="shared" ca="1" si="12"/>
        <v>0.22894504726864304</v>
      </c>
      <c r="M46" s="231">
        <f t="shared" ca="1" si="13"/>
        <v>0.28179219493147972</v>
      </c>
      <c r="N46" s="231">
        <f t="shared" ca="1" si="14"/>
        <v>0.276876570924384</v>
      </c>
      <c r="O46" s="231">
        <f t="shared" ca="1" si="15"/>
        <v>0.34078770244954648</v>
      </c>
      <c r="P46" s="231">
        <f t="shared" ca="1" si="16"/>
        <v>0.25690983611750362</v>
      </c>
      <c r="Q46" s="231">
        <f t="shared" ca="1" si="17"/>
        <v>0.31621206696858534</v>
      </c>
      <c r="R46" s="234">
        <f t="shared" si="2"/>
        <v>9.5550684912285203E-2</v>
      </c>
      <c r="S46" s="234">
        <f t="shared" si="18"/>
        <v>0.11225170406223002</v>
      </c>
      <c r="T46" s="234">
        <f t="shared" si="19"/>
        <v>0.18550871929409266</v>
      </c>
      <c r="U46" s="234">
        <f t="shared" si="20"/>
        <v>0.21793323489287134</v>
      </c>
      <c r="V46" s="234">
        <f t="shared" si="21"/>
        <v>0.19092662750357051</v>
      </c>
      <c r="W46" s="234">
        <f t="shared" si="22"/>
        <v>0.22429812311449873</v>
      </c>
      <c r="X46" s="234">
        <f t="shared" si="23"/>
        <v>0.22242820739403901</v>
      </c>
      <c r="Y46" s="234">
        <f t="shared" si="24"/>
        <v>0.2613057701722219</v>
      </c>
      <c r="Z46" s="234">
        <f t="shared" ca="1" si="3"/>
        <v>0.10401790546587575</v>
      </c>
      <c r="AA46" s="234">
        <f t="shared" ca="1" si="25"/>
        <v>0.10915512706631016</v>
      </c>
      <c r="AB46" s="234">
        <f t="shared" ca="1" si="26"/>
        <v>0.17978060773001686</v>
      </c>
      <c r="AC46" s="234">
        <f t="shared" ca="1" si="27"/>
        <v>0.18865958695223217</v>
      </c>
      <c r="AD46" s="234">
        <f t="shared" ca="1" si="28"/>
        <v>0.16565388034104217</v>
      </c>
      <c r="AE46" s="234">
        <f t="shared" ca="1" si="29"/>
        <v>0.17383517074938401</v>
      </c>
      <c r="AF46" s="234">
        <f t="shared" ca="1" si="30"/>
        <v>0.24388272758637386</v>
      </c>
      <c r="AG46" s="234">
        <f t="shared" ca="1" si="31"/>
        <v>0.25592757323595866</v>
      </c>
    </row>
    <row r="47" spans="1:33" x14ac:dyDescent="0.25">
      <c r="A47" s="122">
        <v>12</v>
      </c>
      <c r="B47" s="231">
        <f t="shared" si="0"/>
        <v>9.4445570047653096E-2</v>
      </c>
      <c r="C47" s="231">
        <f t="shared" si="4"/>
        <v>0.11032817874058809</v>
      </c>
      <c r="D47" s="231">
        <f t="shared" si="5"/>
        <v>0.24617375629338203</v>
      </c>
      <c r="E47" s="231">
        <f t="shared" si="6"/>
        <v>0.2875720075793341</v>
      </c>
      <c r="F47" s="231">
        <f t="shared" si="7"/>
        <v>0.25243858207193387</v>
      </c>
      <c r="G47" s="231">
        <f t="shared" si="8"/>
        <v>0.29489036902207799</v>
      </c>
      <c r="H47" s="231">
        <f t="shared" si="9"/>
        <v>0.2895484218376253</v>
      </c>
      <c r="I47" s="231">
        <f t="shared" si="10"/>
        <v>0.3382408515554356</v>
      </c>
      <c r="J47" s="231">
        <f t="shared" ca="1" si="1"/>
        <v>0.111396363958429</v>
      </c>
      <c r="K47" s="231">
        <f t="shared" ca="1" si="11"/>
        <v>0.13710987104428632</v>
      </c>
      <c r="L47" s="231">
        <f t="shared" ca="1" si="12"/>
        <v>0.22894504726864304</v>
      </c>
      <c r="M47" s="231">
        <f t="shared" ca="1" si="13"/>
        <v>0.28179219493147972</v>
      </c>
      <c r="N47" s="231">
        <f t="shared" ca="1" si="14"/>
        <v>0.276876570924384</v>
      </c>
      <c r="O47" s="231">
        <f t="shared" ca="1" si="15"/>
        <v>0.34078770244954648</v>
      </c>
      <c r="P47" s="231">
        <f t="shared" ca="1" si="16"/>
        <v>0.25690983611750362</v>
      </c>
      <c r="Q47" s="231">
        <f t="shared" ca="1" si="17"/>
        <v>0.31621206696858534</v>
      </c>
      <c r="R47" s="234">
        <f t="shared" si="2"/>
        <v>9.5550684912285203E-2</v>
      </c>
      <c r="S47" s="234">
        <f t="shared" si="18"/>
        <v>0.11225170406223002</v>
      </c>
      <c r="T47" s="234">
        <f t="shared" si="19"/>
        <v>0.18550871929409266</v>
      </c>
      <c r="U47" s="234">
        <f t="shared" si="20"/>
        <v>0.21793323489287134</v>
      </c>
      <c r="V47" s="234">
        <f t="shared" si="21"/>
        <v>0.19092662750357051</v>
      </c>
      <c r="W47" s="234">
        <f t="shared" si="22"/>
        <v>0.22429812311449873</v>
      </c>
      <c r="X47" s="234">
        <f t="shared" si="23"/>
        <v>0.22242820739403901</v>
      </c>
      <c r="Y47" s="234">
        <f t="shared" si="24"/>
        <v>0.2613057701722219</v>
      </c>
      <c r="Z47" s="234">
        <f t="shared" ca="1" si="3"/>
        <v>0.10401790546587575</v>
      </c>
      <c r="AA47" s="234">
        <f t="shared" ca="1" si="25"/>
        <v>0.10915512706631016</v>
      </c>
      <c r="AB47" s="234">
        <f t="shared" ca="1" si="26"/>
        <v>0.17978060773001686</v>
      </c>
      <c r="AC47" s="234">
        <f t="shared" ca="1" si="27"/>
        <v>0.18865958695223217</v>
      </c>
      <c r="AD47" s="234">
        <f t="shared" ca="1" si="28"/>
        <v>0.16565388034104217</v>
      </c>
      <c r="AE47" s="234">
        <f t="shared" ca="1" si="29"/>
        <v>0.17383517074938401</v>
      </c>
      <c r="AF47" s="234">
        <f t="shared" ca="1" si="30"/>
        <v>0.24388272758637386</v>
      </c>
      <c r="AG47" s="234">
        <f t="shared" ca="1" si="31"/>
        <v>0.25592757323595866</v>
      </c>
    </row>
    <row r="48" spans="1:33" x14ac:dyDescent="0.25">
      <c r="A48" s="122">
        <v>13</v>
      </c>
      <c r="B48" s="231">
        <f t="shared" si="0"/>
        <v>9.4445570047653096E-2</v>
      </c>
      <c r="C48" s="231">
        <f t="shared" si="4"/>
        <v>0.11032817874058809</v>
      </c>
      <c r="D48" s="231">
        <f t="shared" si="5"/>
        <v>0.24617375629338203</v>
      </c>
      <c r="E48" s="231">
        <f t="shared" si="6"/>
        <v>0.2875720075793341</v>
      </c>
      <c r="F48" s="231">
        <f t="shared" si="7"/>
        <v>0.25243858207193387</v>
      </c>
      <c r="G48" s="231">
        <f t="shared" si="8"/>
        <v>0.29489036902207799</v>
      </c>
      <c r="H48" s="231">
        <f t="shared" si="9"/>
        <v>0.2895484218376253</v>
      </c>
      <c r="I48" s="231">
        <f t="shared" si="10"/>
        <v>0.3382408515554356</v>
      </c>
      <c r="J48" s="231">
        <f t="shared" ca="1" si="1"/>
        <v>0.111396363958429</v>
      </c>
      <c r="K48" s="231">
        <f t="shared" ca="1" si="11"/>
        <v>0.13710987104428632</v>
      </c>
      <c r="L48" s="231">
        <f t="shared" ca="1" si="12"/>
        <v>0.22894504726864304</v>
      </c>
      <c r="M48" s="231">
        <f t="shared" ca="1" si="13"/>
        <v>0.28179219493147972</v>
      </c>
      <c r="N48" s="231">
        <f t="shared" ca="1" si="14"/>
        <v>0.276876570924384</v>
      </c>
      <c r="O48" s="231">
        <f t="shared" ca="1" si="15"/>
        <v>0.34078770244954648</v>
      </c>
      <c r="P48" s="231">
        <f t="shared" ca="1" si="16"/>
        <v>0.25690983611750362</v>
      </c>
      <c r="Q48" s="231">
        <f t="shared" ca="1" si="17"/>
        <v>0.31621206696858534</v>
      </c>
      <c r="R48" s="234">
        <f t="shared" si="2"/>
        <v>9.5550684912285203E-2</v>
      </c>
      <c r="S48" s="234">
        <f t="shared" si="18"/>
        <v>0.11225170406223002</v>
      </c>
      <c r="T48" s="234">
        <f t="shared" si="19"/>
        <v>0.18550871929409266</v>
      </c>
      <c r="U48" s="234">
        <f t="shared" si="20"/>
        <v>0.21793323489287134</v>
      </c>
      <c r="V48" s="234">
        <f t="shared" si="21"/>
        <v>0.19092662750357051</v>
      </c>
      <c r="W48" s="234">
        <f t="shared" si="22"/>
        <v>0.22429812311449873</v>
      </c>
      <c r="X48" s="234">
        <f t="shared" si="23"/>
        <v>0.22242820739403901</v>
      </c>
      <c r="Y48" s="234">
        <f t="shared" si="24"/>
        <v>0.2613057701722219</v>
      </c>
      <c r="Z48" s="234">
        <f t="shared" ca="1" si="3"/>
        <v>0.10401790546587575</v>
      </c>
      <c r="AA48" s="234">
        <f t="shared" ca="1" si="25"/>
        <v>0.10915512706631016</v>
      </c>
      <c r="AB48" s="234">
        <f t="shared" ca="1" si="26"/>
        <v>0.17978060773001686</v>
      </c>
      <c r="AC48" s="234">
        <f t="shared" ca="1" si="27"/>
        <v>0.18865958695223217</v>
      </c>
      <c r="AD48" s="234">
        <f t="shared" ca="1" si="28"/>
        <v>0.16565388034104217</v>
      </c>
      <c r="AE48" s="234">
        <f t="shared" ca="1" si="29"/>
        <v>0.17383517074938401</v>
      </c>
      <c r="AF48" s="234">
        <f t="shared" ca="1" si="30"/>
        <v>0.24388272758637386</v>
      </c>
      <c r="AG48" s="234">
        <f t="shared" ca="1" si="31"/>
        <v>0.25592757323595866</v>
      </c>
    </row>
    <row r="49" spans="1:33" x14ac:dyDescent="0.25">
      <c r="A49" s="122">
        <v>14</v>
      </c>
      <c r="B49" s="231">
        <f t="shared" si="0"/>
        <v>9.4445570047653096E-2</v>
      </c>
      <c r="C49" s="231">
        <f t="shared" si="4"/>
        <v>0.11032817874058809</v>
      </c>
      <c r="D49" s="231">
        <f t="shared" si="5"/>
        <v>0.24617375629338203</v>
      </c>
      <c r="E49" s="231">
        <f t="shared" si="6"/>
        <v>0.2875720075793341</v>
      </c>
      <c r="F49" s="231">
        <f t="shared" si="7"/>
        <v>0.25243858207193387</v>
      </c>
      <c r="G49" s="231">
        <f t="shared" si="8"/>
        <v>0.29489036902207799</v>
      </c>
      <c r="H49" s="231">
        <f t="shared" si="9"/>
        <v>0.2895484218376253</v>
      </c>
      <c r="I49" s="231">
        <f t="shared" si="10"/>
        <v>0.3382408515554356</v>
      </c>
      <c r="J49" s="231">
        <f t="shared" ca="1" si="1"/>
        <v>0.111396363958429</v>
      </c>
      <c r="K49" s="231">
        <f t="shared" ca="1" si="11"/>
        <v>0.13710987104428632</v>
      </c>
      <c r="L49" s="231">
        <f t="shared" ca="1" si="12"/>
        <v>0.22894504726864304</v>
      </c>
      <c r="M49" s="231">
        <f t="shared" ca="1" si="13"/>
        <v>0.28179219493147972</v>
      </c>
      <c r="N49" s="231">
        <f t="shared" ca="1" si="14"/>
        <v>0.276876570924384</v>
      </c>
      <c r="O49" s="231">
        <f t="shared" ca="1" si="15"/>
        <v>0.34078770244954648</v>
      </c>
      <c r="P49" s="231">
        <f t="shared" ca="1" si="16"/>
        <v>0.25690983611750362</v>
      </c>
      <c r="Q49" s="231">
        <f t="shared" ca="1" si="17"/>
        <v>0.31621206696858534</v>
      </c>
      <c r="R49" s="234">
        <f t="shared" si="2"/>
        <v>9.5550684912285203E-2</v>
      </c>
      <c r="S49" s="234">
        <f t="shared" si="18"/>
        <v>0.11225170406223002</v>
      </c>
      <c r="T49" s="234">
        <f t="shared" si="19"/>
        <v>0.18550871929409266</v>
      </c>
      <c r="U49" s="234">
        <f t="shared" si="20"/>
        <v>0.21793323489287134</v>
      </c>
      <c r="V49" s="234">
        <f t="shared" si="21"/>
        <v>0.19092662750357051</v>
      </c>
      <c r="W49" s="234">
        <f t="shared" si="22"/>
        <v>0.22429812311449873</v>
      </c>
      <c r="X49" s="234">
        <f t="shared" si="23"/>
        <v>0.22242820739403901</v>
      </c>
      <c r="Y49" s="234">
        <f t="shared" si="24"/>
        <v>0.2613057701722219</v>
      </c>
      <c r="Z49" s="234">
        <f t="shared" ca="1" si="3"/>
        <v>0.10401790546587575</v>
      </c>
      <c r="AA49" s="234">
        <f t="shared" ca="1" si="25"/>
        <v>0.10915512706631016</v>
      </c>
      <c r="AB49" s="234">
        <f t="shared" ca="1" si="26"/>
        <v>0.17978060773001686</v>
      </c>
      <c r="AC49" s="234">
        <f t="shared" ca="1" si="27"/>
        <v>0.18865958695223217</v>
      </c>
      <c r="AD49" s="234">
        <f t="shared" ca="1" si="28"/>
        <v>0.16565388034104217</v>
      </c>
      <c r="AE49" s="234">
        <f t="shared" ca="1" si="29"/>
        <v>0.17383517074938401</v>
      </c>
      <c r="AF49" s="234">
        <f t="shared" ca="1" si="30"/>
        <v>0.24388272758637386</v>
      </c>
      <c r="AG49" s="234">
        <f t="shared" ca="1" si="31"/>
        <v>0.25592757323595866</v>
      </c>
    </row>
    <row r="50" spans="1:33" x14ac:dyDescent="0.25">
      <c r="A50" s="122">
        <v>15</v>
      </c>
      <c r="B50" s="231">
        <f t="shared" si="0"/>
        <v>0.24338929071233301</v>
      </c>
      <c r="C50" s="231">
        <f t="shared" si="4"/>
        <v>0.27844269477310368</v>
      </c>
      <c r="D50" s="231">
        <f t="shared" si="5"/>
        <v>0.28390447015795517</v>
      </c>
      <c r="E50" s="231">
        <f t="shared" si="6"/>
        <v>0.32479295000018488</v>
      </c>
      <c r="F50" s="231">
        <f t="shared" si="7"/>
        <v>0.29066800057554348</v>
      </c>
      <c r="G50" s="231">
        <f t="shared" si="8"/>
        <v>0.33253057736308722</v>
      </c>
      <c r="H50" s="231">
        <f t="shared" si="9"/>
        <v>0.33130394436488553</v>
      </c>
      <c r="I50" s="231">
        <f t="shared" si="10"/>
        <v>0.37901898965204839</v>
      </c>
      <c r="J50" s="231">
        <f t="shared" ca="1" si="1"/>
        <v>0.26102754406928708</v>
      </c>
      <c r="K50" s="231">
        <f t="shared" ca="1" si="11"/>
        <v>0.30497309526396432</v>
      </c>
      <c r="L50" s="231">
        <f t="shared" ca="1" si="12"/>
        <v>0.24649082898397459</v>
      </c>
      <c r="M50" s="231">
        <f t="shared" ca="1" si="13"/>
        <v>0.28798903708594564</v>
      </c>
      <c r="N50" s="231">
        <f t="shared" ca="1" si="14"/>
        <v>0.31172112309048261</v>
      </c>
      <c r="O50" s="231">
        <f t="shared" ca="1" si="15"/>
        <v>0.36420124208359123</v>
      </c>
      <c r="P50" s="231">
        <f t="shared" ca="1" si="16"/>
        <v>0.33523343481770229</v>
      </c>
      <c r="Q50" s="231">
        <f t="shared" ca="1" si="17"/>
        <v>0.39167199238248701</v>
      </c>
      <c r="R50" s="234">
        <f t="shared" si="2"/>
        <v>0.20130297014648915</v>
      </c>
      <c r="S50" s="234">
        <f t="shared" si="18"/>
        <v>0.23228686987315511</v>
      </c>
      <c r="T50" s="234">
        <f t="shared" si="19"/>
        <v>0.23693361415875239</v>
      </c>
      <c r="U50" s="234">
        <f t="shared" si="20"/>
        <v>0.27340166695315066</v>
      </c>
      <c r="V50" s="234">
        <f t="shared" si="21"/>
        <v>0.24331652696663628</v>
      </c>
      <c r="W50" s="234">
        <f t="shared" si="22"/>
        <v>0.28076701698120876</v>
      </c>
      <c r="X50" s="234">
        <f t="shared" si="23"/>
        <v>0.28072146099324691</v>
      </c>
      <c r="Y50" s="234">
        <f t="shared" si="24"/>
        <v>0.32392919703513673</v>
      </c>
      <c r="Z50" s="234">
        <f t="shared" ca="1" si="3"/>
        <v>0.18320673904106871</v>
      </c>
      <c r="AA50" s="234">
        <f t="shared" ca="1" si="25"/>
        <v>0.21698977842089351</v>
      </c>
      <c r="AB50" s="234">
        <f t="shared" ca="1" si="26"/>
        <v>0.25844033297905222</v>
      </c>
      <c r="AC50" s="234">
        <f t="shared" ca="1" si="27"/>
        <v>0.30609633074455572</v>
      </c>
      <c r="AD50" s="234">
        <f t="shared" ca="1" si="28"/>
        <v>0.2626342778101729</v>
      </c>
      <c r="AE50" s="234">
        <f t="shared" ca="1" si="29"/>
        <v>0.31106363251728325</v>
      </c>
      <c r="AF50" s="234">
        <f t="shared" ca="1" si="30"/>
        <v>0.29565722218586865</v>
      </c>
      <c r="AG50" s="234">
        <f t="shared" ca="1" si="31"/>
        <v>0.35017595677125857</v>
      </c>
    </row>
    <row r="51" spans="1:33" x14ac:dyDescent="0.25">
      <c r="J51" s="227"/>
      <c r="K51" s="227"/>
      <c r="L51" s="227"/>
      <c r="M51" s="231"/>
      <c r="N51" s="227"/>
      <c r="O51" s="227"/>
      <c r="P51" s="227"/>
      <c r="Q51" s="227"/>
      <c r="R51" s="227"/>
      <c r="S51" s="227"/>
      <c r="T51" s="227"/>
      <c r="U51" s="227"/>
      <c r="V51" s="227"/>
      <c r="W51" s="227"/>
      <c r="X51" s="227"/>
      <c r="Y51" s="227"/>
      <c r="Z51" s="227"/>
      <c r="AA51" s="227"/>
      <c r="AB51" s="227"/>
      <c r="AC51" s="227"/>
      <c r="AD51" s="227"/>
      <c r="AE51" s="227"/>
      <c r="AF51" s="227"/>
      <c r="AG51" s="227"/>
    </row>
    <row r="52" spans="1:33" x14ac:dyDescent="0.25">
      <c r="J52" s="227"/>
      <c r="K52" s="227"/>
      <c r="L52" s="227"/>
      <c r="M52" s="227"/>
      <c r="N52" s="227"/>
      <c r="O52" s="227"/>
      <c r="P52" s="227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B52" s="227"/>
      <c r="AC52" s="227"/>
      <c r="AD52" s="227"/>
      <c r="AE52" s="227"/>
      <c r="AF52" s="227"/>
      <c r="AG52" s="227"/>
    </row>
    <row r="53" spans="1:33" x14ac:dyDescent="0.25"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27"/>
      <c r="AG53" s="227"/>
    </row>
    <row r="63" spans="1:33" x14ac:dyDescent="0.25">
      <c r="M63" s="224"/>
    </row>
    <row r="80" spans="2:17" x14ac:dyDescent="0.25">
      <c r="B80" s="225"/>
      <c r="C80" s="225"/>
      <c r="D80" s="225"/>
      <c r="E80" s="225"/>
      <c r="F80" s="225"/>
      <c r="G80" s="225"/>
      <c r="H80" s="225"/>
      <c r="I80" s="225"/>
      <c r="J80" s="225"/>
      <c r="K80" s="225"/>
      <c r="L80" s="225"/>
      <c r="M80" s="225"/>
      <c r="N80" s="225"/>
      <c r="O80" s="225"/>
      <c r="P80" s="225"/>
      <c r="Q80" s="225"/>
    </row>
    <row r="83" spans="2:17" x14ac:dyDescent="0.25">
      <c r="B83" s="223"/>
      <c r="C83" s="223"/>
      <c r="D83" s="223"/>
      <c r="E83" s="223"/>
      <c r="F83" s="223"/>
      <c r="G83" s="223"/>
      <c r="H83" s="223"/>
      <c r="I83" s="223"/>
      <c r="J83" s="223"/>
      <c r="K83" s="223"/>
      <c r="L83" s="223"/>
      <c r="M83" s="223"/>
      <c r="N83" s="223"/>
      <c r="O83" s="223"/>
      <c r="P83" s="223"/>
      <c r="Q83" s="223"/>
    </row>
    <row r="84" spans="2:17" x14ac:dyDescent="0.25">
      <c r="B84" s="223"/>
      <c r="C84" s="223"/>
      <c r="D84" s="223"/>
      <c r="E84" s="223"/>
      <c r="F84" s="223"/>
      <c r="G84" s="223"/>
      <c r="H84" s="223"/>
      <c r="I84" s="223"/>
      <c r="J84" s="223"/>
      <c r="K84" s="223"/>
      <c r="L84" s="223"/>
      <c r="M84" s="223"/>
      <c r="N84" s="223"/>
      <c r="O84" s="223"/>
      <c r="P84" s="223"/>
      <c r="Q84" s="223"/>
    </row>
    <row r="85" spans="2:17" x14ac:dyDescent="0.25">
      <c r="B85" s="223"/>
      <c r="C85" s="223"/>
      <c r="D85" s="223"/>
      <c r="E85" s="223"/>
      <c r="F85" s="223"/>
      <c r="G85" s="223"/>
      <c r="H85" s="223"/>
      <c r="I85" s="223"/>
      <c r="J85" s="223"/>
      <c r="K85" s="223"/>
      <c r="L85" s="223"/>
      <c r="M85" s="223"/>
      <c r="N85" s="223"/>
      <c r="O85" s="223"/>
      <c r="P85" s="223"/>
      <c r="Q85" s="223"/>
    </row>
    <row r="86" spans="2:17" x14ac:dyDescent="0.25">
      <c r="B86" s="223"/>
      <c r="C86" s="223"/>
      <c r="D86" s="223"/>
      <c r="E86" s="223"/>
      <c r="F86" s="223"/>
      <c r="G86" s="223"/>
      <c r="H86" s="223"/>
      <c r="I86" s="223"/>
      <c r="J86" s="223"/>
      <c r="K86" s="223"/>
      <c r="L86" s="223"/>
      <c r="M86" s="223"/>
      <c r="N86" s="223"/>
      <c r="O86" s="223"/>
      <c r="P86" s="223"/>
      <c r="Q86" s="223"/>
    </row>
    <row r="87" spans="2:17" x14ac:dyDescent="0.25">
      <c r="B87" s="223"/>
      <c r="C87" s="223"/>
      <c r="D87" s="223"/>
      <c r="E87" s="223"/>
      <c r="F87" s="223"/>
      <c r="G87" s="223"/>
      <c r="H87" s="223"/>
      <c r="I87" s="223"/>
      <c r="J87" s="223"/>
      <c r="K87" s="223"/>
      <c r="L87" s="223"/>
      <c r="M87" s="223"/>
      <c r="N87" s="223"/>
      <c r="O87" s="223"/>
      <c r="P87" s="223"/>
      <c r="Q87" s="223"/>
    </row>
    <row r="88" spans="2:17" x14ac:dyDescent="0.25"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223"/>
      <c r="M88" s="223"/>
      <c r="N88" s="223"/>
      <c r="O88" s="223"/>
      <c r="P88" s="223"/>
      <c r="Q88" s="223"/>
    </row>
    <row r="89" spans="2:17" x14ac:dyDescent="0.25">
      <c r="B89" s="223"/>
      <c r="C89" s="223"/>
      <c r="D89" s="223"/>
      <c r="E89" s="223"/>
      <c r="F89" s="223"/>
      <c r="G89" s="223"/>
      <c r="H89" s="223"/>
      <c r="I89" s="223"/>
      <c r="J89" s="223"/>
      <c r="K89" s="223"/>
      <c r="L89" s="223"/>
      <c r="M89" s="223"/>
      <c r="N89" s="223"/>
      <c r="O89" s="223"/>
      <c r="P89" s="223"/>
      <c r="Q89" s="223"/>
    </row>
    <row r="90" spans="2:17" x14ac:dyDescent="0.25">
      <c r="B90" s="223"/>
      <c r="C90" s="223"/>
      <c r="D90" s="223"/>
      <c r="E90" s="223"/>
      <c r="F90" s="223"/>
      <c r="G90" s="223"/>
      <c r="H90" s="223"/>
      <c r="I90" s="223"/>
      <c r="J90" s="223"/>
      <c r="K90" s="223"/>
      <c r="L90" s="223"/>
      <c r="M90" s="223"/>
      <c r="N90" s="223"/>
      <c r="O90" s="223"/>
      <c r="P90" s="223"/>
      <c r="Q90" s="223"/>
    </row>
    <row r="91" spans="2:17" x14ac:dyDescent="0.25">
      <c r="B91" s="223"/>
      <c r="C91" s="223"/>
      <c r="D91" s="223"/>
      <c r="E91" s="223"/>
      <c r="F91" s="223"/>
      <c r="G91" s="223"/>
      <c r="H91" s="223"/>
      <c r="I91" s="223"/>
      <c r="J91" s="223"/>
      <c r="K91" s="223"/>
      <c r="L91" s="223"/>
      <c r="M91" s="223"/>
      <c r="N91" s="223"/>
      <c r="O91" s="223"/>
      <c r="P91" s="223"/>
      <c r="Q91" s="223"/>
    </row>
    <row r="92" spans="2:17" x14ac:dyDescent="0.25">
      <c r="B92" s="223"/>
      <c r="C92" s="223"/>
      <c r="D92" s="223"/>
      <c r="E92" s="223"/>
      <c r="F92" s="223"/>
      <c r="G92" s="223"/>
      <c r="H92" s="223"/>
      <c r="I92" s="223"/>
      <c r="J92" s="223"/>
      <c r="K92" s="223"/>
      <c r="L92" s="223"/>
      <c r="M92" s="223"/>
      <c r="N92" s="223"/>
      <c r="O92" s="223"/>
      <c r="P92" s="223"/>
      <c r="Q92" s="223"/>
    </row>
    <row r="93" spans="2:17" x14ac:dyDescent="0.25">
      <c r="B93" s="223"/>
      <c r="C93" s="223"/>
      <c r="D93" s="223"/>
      <c r="E93" s="223"/>
      <c r="F93" s="223"/>
      <c r="G93" s="223"/>
      <c r="H93" s="223"/>
      <c r="I93" s="223"/>
      <c r="J93" s="223"/>
      <c r="K93" s="223"/>
      <c r="L93" s="223"/>
      <c r="M93" s="223"/>
      <c r="N93" s="223"/>
      <c r="O93" s="223"/>
      <c r="P93" s="223"/>
      <c r="Q93" s="223"/>
    </row>
    <row r="94" spans="2:17" x14ac:dyDescent="0.25">
      <c r="B94" s="223"/>
      <c r="C94" s="223"/>
      <c r="D94" s="223"/>
      <c r="E94" s="223"/>
      <c r="F94" s="223"/>
      <c r="G94" s="223"/>
      <c r="H94" s="223"/>
      <c r="I94" s="223"/>
      <c r="J94" s="223"/>
      <c r="K94" s="223"/>
      <c r="L94" s="223"/>
      <c r="M94" s="223"/>
      <c r="N94" s="223"/>
      <c r="O94" s="223"/>
      <c r="P94" s="223"/>
      <c r="Q94" s="223"/>
    </row>
    <row r="95" spans="2:17" x14ac:dyDescent="0.25">
      <c r="B95" s="223"/>
      <c r="C95" s="223"/>
      <c r="D95" s="223"/>
      <c r="E95" s="223"/>
      <c r="F95" s="223"/>
      <c r="G95" s="223"/>
      <c r="H95" s="223"/>
      <c r="I95" s="223"/>
      <c r="J95" s="223"/>
      <c r="K95" s="223"/>
      <c r="L95" s="223"/>
      <c r="M95" s="223"/>
      <c r="N95" s="223"/>
      <c r="O95" s="223"/>
      <c r="P95" s="223"/>
      <c r="Q95" s="223"/>
    </row>
    <row r="96" spans="2:17" x14ac:dyDescent="0.25">
      <c r="B96" s="223"/>
      <c r="C96" s="223"/>
      <c r="D96" s="223"/>
      <c r="E96" s="223"/>
      <c r="F96" s="223"/>
      <c r="G96" s="223"/>
      <c r="H96" s="223"/>
      <c r="I96" s="223"/>
      <c r="J96" s="223"/>
      <c r="K96" s="223"/>
      <c r="L96" s="223"/>
      <c r="M96" s="223"/>
      <c r="N96" s="223"/>
      <c r="O96" s="223"/>
      <c r="P96" s="223"/>
      <c r="Q96" s="223"/>
    </row>
    <row r="97" spans="2:17" x14ac:dyDescent="0.25">
      <c r="B97" s="223"/>
      <c r="C97" s="223"/>
      <c r="D97" s="223"/>
      <c r="E97" s="223"/>
      <c r="F97" s="223"/>
      <c r="G97" s="223"/>
      <c r="H97" s="223"/>
      <c r="I97" s="223"/>
      <c r="J97" s="223"/>
      <c r="K97" s="223"/>
      <c r="L97" s="223"/>
      <c r="M97" s="223"/>
      <c r="N97" s="223"/>
      <c r="O97" s="223"/>
      <c r="P97" s="223"/>
      <c r="Q97" s="223"/>
    </row>
    <row r="101" spans="2:17" x14ac:dyDescent="0.25">
      <c r="M101" s="224"/>
    </row>
    <row r="118" spans="13:13" x14ac:dyDescent="0.25">
      <c r="M118" s="224"/>
    </row>
    <row r="135" spans="2:17" x14ac:dyDescent="0.25">
      <c r="B135" s="225"/>
      <c r="C135" s="225"/>
      <c r="D135" s="225"/>
      <c r="E135" s="225"/>
      <c r="F135" s="225"/>
      <c r="G135" s="225"/>
      <c r="H135" s="225"/>
      <c r="I135" s="225"/>
      <c r="J135" s="225"/>
      <c r="K135" s="225"/>
      <c r="L135" s="225"/>
      <c r="M135" s="225"/>
      <c r="N135" s="225"/>
      <c r="O135" s="225"/>
      <c r="P135" s="225"/>
      <c r="Q135" s="225"/>
    </row>
    <row r="138" spans="2:17" x14ac:dyDescent="0.25">
      <c r="B138" s="223"/>
      <c r="C138" s="223"/>
      <c r="D138" s="223"/>
      <c r="E138" s="223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</row>
    <row r="139" spans="2:17" x14ac:dyDescent="0.25">
      <c r="B139" s="223"/>
      <c r="C139" s="223"/>
      <c r="D139" s="223"/>
      <c r="E139" s="223"/>
      <c r="F139" s="223"/>
      <c r="G139" s="223"/>
      <c r="H139" s="223"/>
      <c r="I139" s="223"/>
      <c r="J139" s="223"/>
      <c r="K139" s="223"/>
      <c r="L139" s="223"/>
      <c r="M139" s="223"/>
      <c r="N139" s="223"/>
      <c r="O139" s="223"/>
      <c r="P139" s="223"/>
      <c r="Q139" s="223"/>
    </row>
    <row r="140" spans="2:17" x14ac:dyDescent="0.25">
      <c r="B140" s="223"/>
      <c r="C140" s="223"/>
      <c r="D140" s="223"/>
      <c r="E140" s="223"/>
      <c r="F140" s="223"/>
      <c r="G140" s="223"/>
      <c r="H140" s="223"/>
      <c r="I140" s="223"/>
      <c r="J140" s="223"/>
      <c r="K140" s="223"/>
      <c r="L140" s="223"/>
      <c r="M140" s="223"/>
      <c r="N140" s="223"/>
      <c r="O140" s="223"/>
      <c r="P140" s="223"/>
      <c r="Q140" s="223"/>
    </row>
    <row r="141" spans="2:17" x14ac:dyDescent="0.25">
      <c r="B141" s="223"/>
      <c r="C141" s="223"/>
      <c r="D141" s="223"/>
      <c r="E141" s="223"/>
      <c r="F141" s="223"/>
      <c r="G141" s="223"/>
      <c r="H141" s="223"/>
      <c r="I141" s="223"/>
      <c r="J141" s="223"/>
      <c r="K141" s="223"/>
      <c r="L141" s="223"/>
      <c r="M141" s="223"/>
      <c r="N141" s="223"/>
      <c r="O141" s="223"/>
      <c r="P141" s="223"/>
      <c r="Q141" s="223"/>
    </row>
    <row r="142" spans="2:17" x14ac:dyDescent="0.25">
      <c r="B142" s="223"/>
      <c r="C142" s="223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  <c r="O142" s="223"/>
      <c r="P142" s="223"/>
      <c r="Q142" s="223"/>
    </row>
    <row r="143" spans="2:17" x14ac:dyDescent="0.25">
      <c r="B143" s="223"/>
      <c r="C143" s="223"/>
      <c r="D143" s="223"/>
      <c r="E143" s="223"/>
      <c r="F143" s="223"/>
      <c r="G143" s="223"/>
      <c r="H143" s="223"/>
      <c r="I143" s="223"/>
      <c r="J143" s="223"/>
      <c r="K143" s="223"/>
      <c r="L143" s="223"/>
      <c r="M143" s="223"/>
      <c r="N143" s="223"/>
      <c r="O143" s="223"/>
      <c r="P143" s="223"/>
      <c r="Q143" s="223"/>
    </row>
    <row r="144" spans="2:17" x14ac:dyDescent="0.25">
      <c r="B144" s="223"/>
      <c r="C144" s="223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  <c r="O144" s="223"/>
      <c r="P144" s="223"/>
      <c r="Q144" s="223"/>
    </row>
    <row r="145" spans="2:17" x14ac:dyDescent="0.25">
      <c r="B145" s="223"/>
      <c r="C145" s="223"/>
      <c r="D145" s="223"/>
      <c r="E145" s="223"/>
      <c r="F145" s="223"/>
      <c r="G145" s="223"/>
      <c r="H145" s="223"/>
      <c r="I145" s="223"/>
      <c r="J145" s="223"/>
      <c r="K145" s="223"/>
      <c r="L145" s="223"/>
      <c r="M145" s="223"/>
      <c r="N145" s="223"/>
      <c r="O145" s="223"/>
      <c r="P145" s="223"/>
      <c r="Q145" s="223"/>
    </row>
    <row r="146" spans="2:17" x14ac:dyDescent="0.25">
      <c r="B146" s="223"/>
      <c r="C146" s="223"/>
      <c r="D146" s="223"/>
      <c r="E146" s="223"/>
      <c r="F146" s="223"/>
      <c r="G146" s="223"/>
      <c r="H146" s="223"/>
      <c r="I146" s="223"/>
      <c r="J146" s="223"/>
      <c r="K146" s="223"/>
      <c r="L146" s="223"/>
      <c r="M146" s="223"/>
      <c r="N146" s="223"/>
      <c r="O146" s="223"/>
      <c r="P146" s="223"/>
      <c r="Q146" s="223"/>
    </row>
    <row r="147" spans="2:17" x14ac:dyDescent="0.25">
      <c r="B147" s="223"/>
      <c r="C147" s="223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  <c r="O147" s="223"/>
      <c r="P147" s="223"/>
      <c r="Q147" s="223"/>
    </row>
    <row r="148" spans="2:17" x14ac:dyDescent="0.25">
      <c r="B148" s="223"/>
      <c r="C148" s="223"/>
      <c r="D148" s="223"/>
      <c r="E148" s="223"/>
      <c r="F148" s="223"/>
      <c r="G148" s="223"/>
      <c r="H148" s="223"/>
      <c r="I148" s="223"/>
      <c r="J148" s="223"/>
      <c r="K148" s="223"/>
      <c r="L148" s="223"/>
      <c r="M148" s="223"/>
      <c r="N148" s="223"/>
      <c r="O148" s="223"/>
      <c r="P148" s="223"/>
      <c r="Q148" s="223"/>
    </row>
    <row r="149" spans="2:17" x14ac:dyDescent="0.25">
      <c r="B149" s="223"/>
      <c r="C149" s="223"/>
      <c r="D149" s="223"/>
      <c r="E149" s="223"/>
      <c r="F149" s="223"/>
      <c r="G149" s="223"/>
      <c r="H149" s="223"/>
      <c r="I149" s="223"/>
      <c r="J149" s="223"/>
      <c r="K149" s="223"/>
      <c r="L149" s="223"/>
      <c r="M149" s="223"/>
      <c r="N149" s="223"/>
      <c r="O149" s="223"/>
      <c r="P149" s="223"/>
      <c r="Q149" s="223"/>
    </row>
    <row r="150" spans="2:17" x14ac:dyDescent="0.25">
      <c r="B150" s="223"/>
      <c r="C150" s="223"/>
      <c r="D150" s="223"/>
      <c r="E150" s="223"/>
      <c r="F150" s="223"/>
      <c r="G150" s="223"/>
      <c r="H150" s="223"/>
      <c r="I150" s="223"/>
      <c r="J150" s="223"/>
      <c r="K150" s="223"/>
      <c r="L150" s="223"/>
      <c r="M150" s="223"/>
      <c r="N150" s="223"/>
      <c r="O150" s="223"/>
      <c r="P150" s="223"/>
      <c r="Q150" s="223"/>
    </row>
    <row r="151" spans="2:17" x14ac:dyDescent="0.25">
      <c r="B151" s="223"/>
      <c r="C151" s="223"/>
      <c r="D151" s="223"/>
      <c r="E151" s="223"/>
      <c r="F151" s="223"/>
      <c r="G151" s="223"/>
      <c r="H151" s="223"/>
      <c r="I151" s="223"/>
      <c r="J151" s="223"/>
      <c r="K151" s="223"/>
      <c r="L151" s="223"/>
      <c r="M151" s="223"/>
      <c r="N151" s="223"/>
      <c r="O151" s="223"/>
      <c r="P151" s="223"/>
      <c r="Q151" s="223"/>
    </row>
    <row r="152" spans="2:17" x14ac:dyDescent="0.25">
      <c r="B152" s="223"/>
      <c r="C152" s="223"/>
      <c r="D152" s="223"/>
      <c r="E152" s="223"/>
      <c r="F152" s="223"/>
      <c r="G152" s="223"/>
      <c r="H152" s="223"/>
      <c r="I152" s="223"/>
      <c r="J152" s="223"/>
      <c r="K152" s="223"/>
      <c r="L152" s="223"/>
      <c r="M152" s="223"/>
      <c r="N152" s="223"/>
      <c r="O152" s="223"/>
      <c r="P152" s="223"/>
      <c r="Q152" s="223"/>
    </row>
  </sheetData>
  <sheetProtection algorithmName="SHA-512" hashValue="K98HujRexUClKmbJ/lxkLwM2TNU6sYBkQdxUoVtCDHmqvtpAetjR+GANdRbkS44axF7Xbr8hCg6OVr5OaF/dWA==" saltValue="TTg94TMrMuLl36TAxbtfvA==" spinCount="100000" sheet="1" objects="1" scenarios="1" selectLockedCells="1"/>
  <mergeCells count="14">
    <mergeCell ref="R32:AG32"/>
    <mergeCell ref="R33:Y33"/>
    <mergeCell ref="Z33:AG33"/>
    <mergeCell ref="C1:D1"/>
    <mergeCell ref="E1:F1"/>
    <mergeCell ref="C9:D9"/>
    <mergeCell ref="E9:F9"/>
    <mergeCell ref="B33:I33"/>
    <mergeCell ref="A11:A15"/>
    <mergeCell ref="A16:A20"/>
    <mergeCell ref="A21:A25"/>
    <mergeCell ref="A26:A30"/>
    <mergeCell ref="J33:Q33"/>
    <mergeCell ref="B32:Q32"/>
  </mergeCells>
  <pageMargins left="0.7" right="0.7" top="0.75" bottom="0.75" header="0.3" footer="0.3"/>
  <pageSetup paperSize="9" scale="13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A104"/>
  <sheetViews>
    <sheetView zoomScaleNormal="100" workbookViewId="0">
      <selection activeCell="B13" sqref="B13"/>
    </sheetView>
  </sheetViews>
  <sheetFormatPr defaultRowHeight="15" x14ac:dyDescent="0.25"/>
  <cols>
    <col min="1" max="1" width="67" style="98" bestFit="1" customWidth="1"/>
    <col min="2" max="2" width="35" style="98" bestFit="1" customWidth="1"/>
    <col min="3" max="3" width="37.7109375" style="98" bestFit="1" customWidth="1"/>
    <col min="4" max="4" width="33" style="98" bestFit="1" customWidth="1"/>
    <col min="5" max="5" width="37.28515625" style="98" bestFit="1" customWidth="1"/>
    <col min="6" max="6" width="38.42578125" style="98" bestFit="1" customWidth="1"/>
    <col min="7" max="7" width="34.140625" style="98" bestFit="1" customWidth="1"/>
    <col min="8" max="8" width="37.28515625" style="98" bestFit="1" customWidth="1"/>
    <col min="9" max="9" width="31.5703125" style="98" bestFit="1" customWidth="1"/>
    <col min="10" max="10" width="29.7109375" style="98" bestFit="1" customWidth="1"/>
    <col min="11" max="11" width="24.42578125" style="98" bestFit="1" customWidth="1"/>
    <col min="12" max="12" width="38.42578125" style="98" bestFit="1" customWidth="1"/>
    <col min="13" max="13" width="34.140625" style="98" bestFit="1" customWidth="1"/>
    <col min="14" max="14" width="35.85546875" style="98" bestFit="1" customWidth="1"/>
    <col min="15" max="15" width="31.5703125" style="98" bestFit="1" customWidth="1"/>
    <col min="16" max="16" width="37.7109375" style="98" bestFit="1" customWidth="1"/>
    <col min="17" max="17" width="23.85546875" style="98" bestFit="1" customWidth="1"/>
    <col min="18" max="19" width="38.42578125" style="98" bestFit="1" customWidth="1"/>
    <col min="20" max="20" width="34.140625" style="98" bestFit="1" customWidth="1"/>
    <col min="21" max="21" width="35.85546875" style="98" bestFit="1" customWidth="1"/>
    <col min="22" max="22" width="31.5703125" style="98" bestFit="1" customWidth="1"/>
    <col min="23" max="23" width="23.85546875" style="98" bestFit="1" customWidth="1"/>
    <col min="24" max="25" width="38.42578125" style="98" bestFit="1" customWidth="1"/>
    <col min="26" max="26" width="34.140625" style="98" bestFit="1" customWidth="1"/>
    <col min="27" max="27" width="35.85546875" style="98" bestFit="1" customWidth="1"/>
    <col min="28" max="28" width="31.5703125" style="98" bestFit="1" customWidth="1"/>
    <col min="29" max="16384" width="9.140625" style="98"/>
  </cols>
  <sheetData>
    <row r="1" spans="1:16" x14ac:dyDescent="0.25">
      <c r="B1" s="98" t="s">
        <v>51</v>
      </c>
      <c r="C1" s="98" t="s">
        <v>14</v>
      </c>
      <c r="D1" s="98" t="s">
        <v>25</v>
      </c>
    </row>
    <row r="2" spans="1:16" x14ac:dyDescent="0.25">
      <c r="A2" s="207" t="s">
        <v>1065</v>
      </c>
      <c r="B2" s="118">
        <v>0</v>
      </c>
      <c r="C2" s="98">
        <f>Parameters!O394</f>
        <v>1.8618203356012215</v>
      </c>
      <c r="D2" s="98">
        <f ca="1">Parameters!P394</f>
        <v>2.1193287194946899</v>
      </c>
      <c r="F2" s="98" t="s">
        <v>1069</v>
      </c>
    </row>
    <row r="3" spans="1:16" x14ac:dyDescent="0.25">
      <c r="A3" s="207" t="s">
        <v>1066</v>
      </c>
      <c r="B3" s="118">
        <v>16</v>
      </c>
      <c r="C3" s="98">
        <f>Parameters!O395</f>
        <v>2.0394758744603214</v>
      </c>
      <c r="D3" s="98">
        <f ca="1">Parameters!P395</f>
        <v>2.1433705677052433</v>
      </c>
    </row>
    <row r="4" spans="1:16" x14ac:dyDescent="0.25">
      <c r="A4" s="207" t="s">
        <v>1067</v>
      </c>
      <c r="B4" s="118">
        <v>18</v>
      </c>
      <c r="C4" s="98">
        <f>Parameters!O396</f>
        <v>2.0694222644941687</v>
      </c>
      <c r="D4" s="98">
        <f ca="1">Parameters!P396</f>
        <v>1.9967425878098477</v>
      </c>
      <c r="F4" s="103"/>
      <c r="G4" s="103"/>
      <c r="H4" s="103"/>
      <c r="I4" s="103"/>
      <c r="J4" s="103"/>
      <c r="K4" s="103"/>
    </row>
    <row r="6" spans="1:16" x14ac:dyDescent="0.25">
      <c r="C6" s="624" t="s">
        <v>70</v>
      </c>
      <c r="D6" s="624"/>
      <c r="E6" s="624" t="s">
        <v>33</v>
      </c>
      <c r="F6" s="624"/>
      <c r="H6" s="624"/>
      <c r="I6" s="624"/>
      <c r="J6" s="624"/>
      <c r="K6" s="624"/>
    </row>
    <row r="7" spans="1:16" x14ac:dyDescent="0.25">
      <c r="A7" s="98" t="s">
        <v>932</v>
      </c>
      <c r="B7" s="98" t="s">
        <v>930</v>
      </c>
      <c r="C7" s="98" t="s">
        <v>931</v>
      </c>
      <c r="D7" s="92" t="s">
        <v>25</v>
      </c>
      <c r="E7" s="98" t="s">
        <v>931</v>
      </c>
      <c r="F7" s="92" t="s">
        <v>25</v>
      </c>
      <c r="I7" s="92"/>
      <c r="K7" s="92"/>
    </row>
    <row r="8" spans="1:16" x14ac:dyDescent="0.25">
      <c r="A8" s="98" t="s">
        <v>928</v>
      </c>
      <c r="B8" s="98">
        <v>0</v>
      </c>
      <c r="C8" s="98">
        <f>DET_p_MALE_pick_up_smoking_u16</f>
        <v>0.18808420110295784</v>
      </c>
      <c r="D8" s="98">
        <f ca="1">PROB_p_MALE_pick_up_smoking_u16</f>
        <v>0.19552205793265998</v>
      </c>
      <c r="E8" s="98">
        <f>DET_p_FEMALE_pick_up_smoking_u16</f>
        <v>0.11534682466033405</v>
      </c>
      <c r="F8" s="98">
        <f ca="1">PROB_p_FEMALE_pick_up_smoking_u16</f>
        <v>0.11476926787593622</v>
      </c>
    </row>
    <row r="9" spans="1:16" x14ac:dyDescent="0.25">
      <c r="A9" s="92" t="s">
        <v>929</v>
      </c>
      <c r="B9" s="98">
        <v>16</v>
      </c>
      <c r="C9" s="94">
        <f>DET_p_MALE_pick_up_smoking_1617</f>
        <v>8.0322003553876822E-2</v>
      </c>
      <c r="D9" s="94">
        <f ca="1">PROB_p_MALE_pick_up_smoking_1617</f>
        <v>7.6415567682836805E-2</v>
      </c>
      <c r="E9" s="94">
        <f>DET_p_FEMALE_pick_up_smoking_1617</f>
        <v>5.1904874129035238E-2</v>
      </c>
      <c r="F9" s="94">
        <f ca="1">PROB_p_FEMALE_pick_up_smoking_1617</f>
        <v>5.2922787929430948E-2</v>
      </c>
      <c r="G9" s="94"/>
      <c r="L9" s="94"/>
      <c r="M9" s="94"/>
      <c r="N9" s="94"/>
      <c r="O9" s="94"/>
    </row>
    <row r="10" spans="1:16" x14ac:dyDescent="0.25">
      <c r="A10" s="92" t="s">
        <v>933</v>
      </c>
      <c r="B10" s="98">
        <v>18</v>
      </c>
      <c r="C10" s="98">
        <f>DET_p_MALE_pick_up_smoking_1819</f>
        <v>6.5575634584596809E-2</v>
      </c>
      <c r="D10" s="98">
        <f ca="1">PROB_p_MALE_pick_up_smoking_1819</f>
        <v>6.5497794712118196E-2</v>
      </c>
      <c r="E10" s="98">
        <f>DET_p_FEMALE_pick_up_smoking_1819</f>
        <v>4.0927886977295748E-2</v>
      </c>
      <c r="F10" s="98">
        <f ca="1">PROB_p_FEMALE_pick_up_smoking_1819</f>
        <v>3.9136965524929464E-2</v>
      </c>
      <c r="G10" s="103"/>
      <c r="L10" s="103"/>
      <c r="M10" s="103"/>
      <c r="N10" s="103"/>
      <c r="O10" s="103"/>
      <c r="P10" s="103"/>
    </row>
    <row r="11" spans="1:16" x14ac:dyDescent="0.25">
      <c r="A11" s="92" t="s">
        <v>934</v>
      </c>
      <c r="B11" s="92">
        <v>20</v>
      </c>
      <c r="C11" s="98">
        <f>DET_p_MALE_pick_up_smoking_2024</f>
        <v>2.6500909529550587E-2</v>
      </c>
      <c r="D11" s="98">
        <f ca="1">PROB_p_MALE_pick_up_smoking_2024</f>
        <v>2.8414888251096615E-2</v>
      </c>
      <c r="E11" s="98">
        <f>DET_p_FEMALE_pick_up_smoking_2024</f>
        <v>1.5697620072600664E-2</v>
      </c>
      <c r="F11" s="98">
        <f ca="1">PROB_p_FEMALE_pick_up_smoking_2024</f>
        <v>1.6830246619999212E-2</v>
      </c>
    </row>
    <row r="12" spans="1:16" x14ac:dyDescent="0.25">
      <c r="A12" s="92" t="s">
        <v>1068</v>
      </c>
      <c r="B12" s="92">
        <v>25</v>
      </c>
      <c r="C12" s="98">
        <f>DET_p_MALE_pick_up_smoking_25o</f>
        <v>1.5201831243956284E-3</v>
      </c>
      <c r="D12" s="98">
        <f ca="1">PROB_p_MALE_pick_up_smoking_25o</f>
        <v>1.5160145382125938E-3</v>
      </c>
      <c r="E12" s="98">
        <f>DET_p_FEMALE_pick_up_smoking_25o</f>
        <v>1.9288936901483743E-3</v>
      </c>
      <c r="F12" s="98">
        <f ca="1">PROB_p_FEMALE_pick_up_smoking_25o</f>
        <v>1.9010168415812274E-3</v>
      </c>
    </row>
    <row r="13" spans="1:16" x14ac:dyDescent="0.25">
      <c r="A13" s="92" t="s">
        <v>1070</v>
      </c>
      <c r="B13" s="92">
        <v>49</v>
      </c>
      <c r="C13" s="98">
        <f>DET_p_MALE_pick_up_smoking_25o</f>
        <v>1.5201831243956284E-3</v>
      </c>
      <c r="D13" s="98">
        <f ca="1">PROB_p_MALE_pick_up_smoking_25o</f>
        <v>1.5160145382125938E-3</v>
      </c>
      <c r="E13" s="98">
        <v>0</v>
      </c>
      <c r="F13" s="98">
        <v>0</v>
      </c>
    </row>
    <row r="14" spans="1:16" x14ac:dyDescent="0.25">
      <c r="A14" s="92" t="s">
        <v>1071</v>
      </c>
      <c r="B14" s="92">
        <v>60</v>
      </c>
      <c r="C14" s="98">
        <v>0</v>
      </c>
      <c r="D14" s="98">
        <v>0</v>
      </c>
      <c r="E14" s="92">
        <v>0</v>
      </c>
      <c r="F14" s="92">
        <v>0</v>
      </c>
    </row>
    <row r="16" spans="1:16" x14ac:dyDescent="0.25">
      <c r="B16" s="624" t="s">
        <v>78</v>
      </c>
      <c r="C16" s="624"/>
      <c r="D16" s="624"/>
      <c r="E16" s="624"/>
      <c r="F16" s="624" t="s">
        <v>79</v>
      </c>
      <c r="G16" s="624"/>
      <c r="H16" s="624"/>
      <c r="I16" s="624"/>
    </row>
    <row r="17" spans="1:13" x14ac:dyDescent="0.25">
      <c r="B17" s="624" t="s">
        <v>107</v>
      </c>
      <c r="C17" s="624"/>
      <c r="D17" s="624" t="s">
        <v>106</v>
      </c>
      <c r="E17" s="624"/>
      <c r="F17" s="624" t="s">
        <v>107</v>
      </c>
      <c r="G17" s="624"/>
      <c r="H17" s="624" t="s">
        <v>106</v>
      </c>
      <c r="I17" s="624"/>
    </row>
    <row r="18" spans="1:13" x14ac:dyDescent="0.25">
      <c r="A18" s="92" t="s">
        <v>48</v>
      </c>
      <c r="B18" s="98" t="s">
        <v>935</v>
      </c>
      <c r="C18" s="98" t="s">
        <v>936</v>
      </c>
      <c r="D18" s="98" t="s">
        <v>935</v>
      </c>
      <c r="E18" s="98" t="s">
        <v>936</v>
      </c>
      <c r="F18" s="98" t="s">
        <v>935</v>
      </c>
      <c r="G18" s="98" t="s">
        <v>936</v>
      </c>
      <c r="H18" s="98" t="s">
        <v>935</v>
      </c>
      <c r="I18" s="98" t="s">
        <v>936</v>
      </c>
    </row>
    <row r="19" spans="1:13" x14ac:dyDescent="0.25">
      <c r="A19" s="98">
        <v>15</v>
      </c>
      <c r="B19" s="98">
        <f>VLOOKUP($A19,$B$8:$F$14,2)</f>
        <v>0.18808420110295784</v>
      </c>
      <c r="C19" s="98">
        <f>IF(A19&lt;20,VLOOKUP($A19,$B$2:$D$4,2),1)*B19</f>
        <v>0.35017899041879663</v>
      </c>
      <c r="D19" s="98">
        <f ca="1">VLOOKUP($A19,$B$8:$F$14,3)</f>
        <v>0.19552205793265998</v>
      </c>
      <c r="E19" s="98">
        <f ca="1">IF(C19&lt;20,VLOOKUP($A19,$B$2:$D$4,3),1)*D19</f>
        <v>0.41437551267139083</v>
      </c>
      <c r="F19" s="98">
        <f>VLOOKUP($A19,$B$8:$F$14,4)</f>
        <v>0.11534682466033405</v>
      </c>
      <c r="G19" s="98">
        <f ca="1">IF(E19&lt;20,VLOOKUP($A19,$B$2:$D$4,2),1)*F19</f>
        <v>0.21475506379963841</v>
      </c>
      <c r="H19" s="98">
        <f ca="1">VLOOKUP($A19,$B$8:$F$14,5)</f>
        <v>0.11476926787593622</v>
      </c>
      <c r="I19" s="98">
        <f ca="1">IF(G19&lt;20,VLOOKUP($A19,$B$2:$D$4,3),1)*H19</f>
        <v>0.24323380552485097</v>
      </c>
    </row>
    <row r="20" spans="1:13" x14ac:dyDescent="0.25">
      <c r="A20" s="98">
        <v>16</v>
      </c>
      <c r="B20" s="98">
        <f t="shared" ref="B20:B83" si="0">VLOOKUP($A20,$B$8:$F$14,2)</f>
        <v>8.0322003553876822E-2</v>
      </c>
      <c r="C20" s="98">
        <f t="shared" ref="C20:C83" si="1">IF(A20&lt;20,VLOOKUP($A20,$B$2:$D$4,2),1)*B20</f>
        <v>0.16381478843644798</v>
      </c>
      <c r="D20" s="98">
        <f t="shared" ref="D20:D83" ca="1" si="2">VLOOKUP($A20,$B$8:$F$14,3)</f>
        <v>7.6415567682836805E-2</v>
      </c>
      <c r="E20" s="98">
        <f t="shared" ref="E20:E83" ca="1" si="3">IF(C20&lt;20,VLOOKUP($A20,$B$2:$D$4,3),1)*D20</f>
        <v>0.16378687868588035</v>
      </c>
      <c r="F20" s="98">
        <f t="shared" ref="F20:F83" si="4">VLOOKUP($A20,$B$8:$F$14,4)</f>
        <v>5.1904874129035238E-2</v>
      </c>
      <c r="G20" s="98">
        <f t="shared" ref="G20:G83" ca="1" si="5">IF(E20&lt;20,VLOOKUP($A20,$B$2:$D$4,2),1)*F20</f>
        <v>0.10585873855306706</v>
      </c>
      <c r="H20" s="98">
        <f t="shared" ref="H20:H83" ca="1" si="6">VLOOKUP($A20,$B$8:$F$14,5)</f>
        <v>5.2922787929430948E-2</v>
      </c>
      <c r="I20" s="98">
        <f t="shared" ref="I20:I83" ca="1" si="7">IF(G20&lt;20,VLOOKUP($A20,$B$2:$D$4,3),1)*H20</f>
        <v>0.1134331460088486</v>
      </c>
    </row>
    <row r="21" spans="1:13" x14ac:dyDescent="0.25">
      <c r="A21" s="94">
        <v>17</v>
      </c>
      <c r="B21" s="98">
        <f t="shared" si="0"/>
        <v>8.0322003553876822E-2</v>
      </c>
      <c r="C21" s="98">
        <f t="shared" si="1"/>
        <v>0.16381478843644798</v>
      </c>
      <c r="D21" s="98">
        <f t="shared" ca="1" si="2"/>
        <v>7.6415567682836805E-2</v>
      </c>
      <c r="E21" s="98">
        <f t="shared" ca="1" si="3"/>
        <v>0.16378687868588035</v>
      </c>
      <c r="F21" s="98">
        <f t="shared" si="4"/>
        <v>5.1904874129035238E-2</v>
      </c>
      <c r="G21" s="98">
        <f t="shared" ca="1" si="5"/>
        <v>0.10585873855306706</v>
      </c>
      <c r="H21" s="98">
        <f t="shared" ca="1" si="6"/>
        <v>5.2922787929430948E-2</v>
      </c>
      <c r="I21" s="98">
        <f t="shared" ca="1" si="7"/>
        <v>0.1134331460088486</v>
      </c>
      <c r="J21" s="94"/>
      <c r="K21" s="94"/>
      <c r="L21" s="94"/>
      <c r="M21" s="94"/>
    </row>
    <row r="22" spans="1:13" x14ac:dyDescent="0.25">
      <c r="A22" s="29">
        <v>18</v>
      </c>
      <c r="B22" s="98">
        <f t="shared" si="0"/>
        <v>6.5575634584596809E-2</v>
      </c>
      <c r="C22" s="98">
        <f t="shared" si="1"/>
        <v>0.13570367821769846</v>
      </c>
      <c r="D22" s="98">
        <f t="shared" ca="1" si="2"/>
        <v>6.5497794712118196E-2</v>
      </c>
      <c r="E22" s="98">
        <f t="shared" ca="1" si="3"/>
        <v>0.13078223610931305</v>
      </c>
      <c r="F22" s="98">
        <f t="shared" si="4"/>
        <v>4.0927886977295748E-2</v>
      </c>
      <c r="G22" s="98">
        <f t="shared" ca="1" si="5"/>
        <v>8.4697080549516759E-2</v>
      </c>
      <c r="H22" s="98">
        <f t="shared" ca="1" si="6"/>
        <v>3.9136965524929464E-2</v>
      </c>
      <c r="I22" s="98">
        <f t="shared" ca="1" si="7"/>
        <v>7.8146445821272448E-2</v>
      </c>
      <c r="J22" s="94"/>
      <c r="K22" s="94"/>
      <c r="L22" s="94"/>
      <c r="M22" s="94"/>
    </row>
    <row r="23" spans="1:13" x14ac:dyDescent="0.25">
      <c r="A23" s="98">
        <v>19</v>
      </c>
      <c r="B23" s="98">
        <f t="shared" si="0"/>
        <v>6.5575634584596809E-2</v>
      </c>
      <c r="C23" s="98">
        <f t="shared" si="1"/>
        <v>0.13570367821769846</v>
      </c>
      <c r="D23" s="98">
        <f t="shared" ca="1" si="2"/>
        <v>6.5497794712118196E-2</v>
      </c>
      <c r="E23" s="98">
        <f t="shared" ca="1" si="3"/>
        <v>0.13078223610931305</v>
      </c>
      <c r="F23" s="98">
        <f t="shared" si="4"/>
        <v>4.0927886977295748E-2</v>
      </c>
      <c r="G23" s="98">
        <f t="shared" ca="1" si="5"/>
        <v>8.4697080549516759E-2</v>
      </c>
      <c r="H23" s="98">
        <f t="shared" ca="1" si="6"/>
        <v>3.9136965524929464E-2</v>
      </c>
      <c r="I23" s="98">
        <f t="shared" ca="1" si="7"/>
        <v>7.8146445821272448E-2</v>
      </c>
    </row>
    <row r="24" spans="1:13" x14ac:dyDescent="0.25">
      <c r="A24" s="98">
        <v>20</v>
      </c>
      <c r="B24" s="98">
        <f t="shared" si="0"/>
        <v>2.6500909529550587E-2</v>
      </c>
      <c r="C24" s="98">
        <f t="shared" si="1"/>
        <v>2.6500909529550587E-2</v>
      </c>
      <c r="D24" s="98">
        <f t="shared" ca="1" si="2"/>
        <v>2.8414888251096615E-2</v>
      </c>
      <c r="E24" s="98">
        <f t="shared" ca="1" si="3"/>
        <v>5.6737217498822295E-2</v>
      </c>
      <c r="F24" s="98">
        <f t="shared" si="4"/>
        <v>1.5697620072600664E-2</v>
      </c>
      <c r="G24" s="98">
        <f t="shared" ca="1" si="5"/>
        <v>3.2485004477810379E-2</v>
      </c>
      <c r="H24" s="98">
        <f t="shared" ca="1" si="6"/>
        <v>1.6830246619999212E-2</v>
      </c>
      <c r="I24" s="98">
        <f t="shared" ca="1" si="7"/>
        <v>3.3605670189495167E-2</v>
      </c>
    </row>
    <row r="25" spans="1:13" x14ac:dyDescent="0.25">
      <c r="A25" s="94">
        <v>21</v>
      </c>
      <c r="B25" s="98">
        <f t="shared" si="0"/>
        <v>2.6500909529550587E-2</v>
      </c>
      <c r="C25" s="98">
        <f t="shared" si="1"/>
        <v>2.6500909529550587E-2</v>
      </c>
      <c r="D25" s="98">
        <f t="shared" ca="1" si="2"/>
        <v>2.8414888251096615E-2</v>
      </c>
      <c r="E25" s="98">
        <f t="shared" ca="1" si="3"/>
        <v>5.6737217498822295E-2</v>
      </c>
      <c r="F25" s="98">
        <f t="shared" si="4"/>
        <v>1.5697620072600664E-2</v>
      </c>
      <c r="G25" s="98">
        <f t="shared" ca="1" si="5"/>
        <v>3.2485004477810379E-2</v>
      </c>
      <c r="H25" s="98">
        <f t="shared" ca="1" si="6"/>
        <v>1.6830246619999212E-2</v>
      </c>
      <c r="I25" s="98">
        <f t="shared" ca="1" si="7"/>
        <v>3.3605670189495167E-2</v>
      </c>
    </row>
    <row r="26" spans="1:13" x14ac:dyDescent="0.25">
      <c r="A26" s="29">
        <v>22</v>
      </c>
      <c r="B26" s="98">
        <f t="shared" si="0"/>
        <v>2.6500909529550587E-2</v>
      </c>
      <c r="C26" s="98">
        <f t="shared" si="1"/>
        <v>2.6500909529550587E-2</v>
      </c>
      <c r="D26" s="98">
        <f t="shared" ca="1" si="2"/>
        <v>2.8414888251096615E-2</v>
      </c>
      <c r="E26" s="98">
        <f t="shared" ca="1" si="3"/>
        <v>5.6737217498822295E-2</v>
      </c>
      <c r="F26" s="98">
        <f t="shared" si="4"/>
        <v>1.5697620072600664E-2</v>
      </c>
      <c r="G26" s="98">
        <f t="shared" ca="1" si="5"/>
        <v>3.2485004477810379E-2</v>
      </c>
      <c r="H26" s="98">
        <f t="shared" ca="1" si="6"/>
        <v>1.6830246619999212E-2</v>
      </c>
      <c r="I26" s="98">
        <f t="shared" ca="1" si="7"/>
        <v>3.3605670189495167E-2</v>
      </c>
    </row>
    <row r="27" spans="1:13" x14ac:dyDescent="0.25">
      <c r="A27" s="98">
        <v>23</v>
      </c>
      <c r="B27" s="98">
        <f t="shared" si="0"/>
        <v>2.6500909529550587E-2</v>
      </c>
      <c r="C27" s="98">
        <f t="shared" si="1"/>
        <v>2.6500909529550587E-2</v>
      </c>
      <c r="D27" s="98">
        <f t="shared" ca="1" si="2"/>
        <v>2.8414888251096615E-2</v>
      </c>
      <c r="E27" s="98">
        <f t="shared" ca="1" si="3"/>
        <v>5.6737217498822295E-2</v>
      </c>
      <c r="F27" s="98">
        <f t="shared" si="4"/>
        <v>1.5697620072600664E-2</v>
      </c>
      <c r="G27" s="98">
        <f t="shared" ca="1" si="5"/>
        <v>3.2485004477810379E-2</v>
      </c>
      <c r="H27" s="98">
        <f t="shared" ca="1" si="6"/>
        <v>1.6830246619999212E-2</v>
      </c>
      <c r="I27" s="98">
        <f t="shared" ca="1" si="7"/>
        <v>3.3605670189495167E-2</v>
      </c>
    </row>
    <row r="28" spans="1:13" x14ac:dyDescent="0.25">
      <c r="A28" s="98">
        <v>24</v>
      </c>
      <c r="B28" s="98">
        <f t="shared" si="0"/>
        <v>2.6500909529550587E-2</v>
      </c>
      <c r="C28" s="98">
        <f t="shared" si="1"/>
        <v>2.6500909529550587E-2</v>
      </c>
      <c r="D28" s="98">
        <f t="shared" ca="1" si="2"/>
        <v>2.8414888251096615E-2</v>
      </c>
      <c r="E28" s="98">
        <f t="shared" ca="1" si="3"/>
        <v>5.6737217498822295E-2</v>
      </c>
      <c r="F28" s="98">
        <f t="shared" si="4"/>
        <v>1.5697620072600664E-2</v>
      </c>
      <c r="G28" s="98">
        <f t="shared" ca="1" si="5"/>
        <v>3.2485004477810379E-2</v>
      </c>
      <c r="H28" s="98">
        <f t="shared" ca="1" si="6"/>
        <v>1.6830246619999212E-2</v>
      </c>
      <c r="I28" s="98">
        <f t="shared" ca="1" si="7"/>
        <v>3.3605670189495167E-2</v>
      </c>
    </row>
    <row r="29" spans="1:13" x14ac:dyDescent="0.25">
      <c r="A29" s="94">
        <v>25</v>
      </c>
      <c r="B29" s="98">
        <f t="shared" si="0"/>
        <v>1.5201831243956284E-3</v>
      </c>
      <c r="C29" s="98">
        <f t="shared" si="1"/>
        <v>1.5201831243956284E-3</v>
      </c>
      <c r="D29" s="98">
        <f t="shared" ca="1" si="2"/>
        <v>1.5160145382125938E-3</v>
      </c>
      <c r="E29" s="98">
        <f t="shared" ca="1" si="3"/>
        <v>3.0270907921879659E-3</v>
      </c>
      <c r="F29" s="98">
        <f t="shared" si="4"/>
        <v>1.9288936901483743E-3</v>
      </c>
      <c r="G29" s="98">
        <f t="shared" ca="1" si="5"/>
        <v>3.9916955482353625E-3</v>
      </c>
      <c r="H29" s="98">
        <f t="shared" ca="1" si="6"/>
        <v>1.9010168415812274E-3</v>
      </c>
      <c r="I29" s="98">
        <f t="shared" ca="1" si="7"/>
        <v>3.7958412877290033E-3</v>
      </c>
    </row>
    <row r="30" spans="1:13" x14ac:dyDescent="0.25">
      <c r="A30" s="29">
        <v>26</v>
      </c>
      <c r="B30" s="98">
        <f t="shared" si="0"/>
        <v>1.5201831243956284E-3</v>
      </c>
      <c r="C30" s="98">
        <f t="shared" si="1"/>
        <v>1.5201831243956284E-3</v>
      </c>
      <c r="D30" s="98">
        <f t="shared" ca="1" si="2"/>
        <v>1.5160145382125938E-3</v>
      </c>
      <c r="E30" s="98">
        <f t="shared" ca="1" si="3"/>
        <v>3.0270907921879659E-3</v>
      </c>
      <c r="F30" s="98">
        <f t="shared" si="4"/>
        <v>1.9288936901483743E-3</v>
      </c>
      <c r="G30" s="98">
        <f t="shared" ca="1" si="5"/>
        <v>3.9916955482353625E-3</v>
      </c>
      <c r="H30" s="98">
        <f t="shared" ca="1" si="6"/>
        <v>1.9010168415812274E-3</v>
      </c>
      <c r="I30" s="98">
        <f t="shared" ca="1" si="7"/>
        <v>3.7958412877290033E-3</v>
      </c>
    </row>
    <row r="31" spans="1:13" x14ac:dyDescent="0.25">
      <c r="A31" s="98">
        <v>27</v>
      </c>
      <c r="B31" s="98">
        <f t="shared" si="0"/>
        <v>1.5201831243956284E-3</v>
      </c>
      <c r="C31" s="98">
        <f t="shared" si="1"/>
        <v>1.5201831243956284E-3</v>
      </c>
      <c r="D31" s="98">
        <f t="shared" ca="1" si="2"/>
        <v>1.5160145382125938E-3</v>
      </c>
      <c r="E31" s="98">
        <f t="shared" ca="1" si="3"/>
        <v>3.0270907921879659E-3</v>
      </c>
      <c r="F31" s="98">
        <f t="shared" si="4"/>
        <v>1.9288936901483743E-3</v>
      </c>
      <c r="G31" s="98">
        <f t="shared" ca="1" si="5"/>
        <v>3.9916955482353625E-3</v>
      </c>
      <c r="H31" s="98">
        <f t="shared" ca="1" si="6"/>
        <v>1.9010168415812274E-3</v>
      </c>
      <c r="I31" s="98">
        <f t="shared" ca="1" si="7"/>
        <v>3.7958412877290033E-3</v>
      </c>
      <c r="J31" s="94"/>
      <c r="K31" s="94"/>
      <c r="L31" s="94"/>
      <c r="M31" s="94"/>
    </row>
    <row r="32" spans="1:13" x14ac:dyDescent="0.25">
      <c r="A32" s="98">
        <v>28</v>
      </c>
      <c r="B32" s="98">
        <f t="shared" si="0"/>
        <v>1.5201831243956284E-3</v>
      </c>
      <c r="C32" s="98">
        <f t="shared" si="1"/>
        <v>1.5201831243956284E-3</v>
      </c>
      <c r="D32" s="98">
        <f t="shared" ca="1" si="2"/>
        <v>1.5160145382125938E-3</v>
      </c>
      <c r="E32" s="98">
        <f t="shared" ca="1" si="3"/>
        <v>3.0270907921879659E-3</v>
      </c>
      <c r="F32" s="98">
        <f t="shared" si="4"/>
        <v>1.9288936901483743E-3</v>
      </c>
      <c r="G32" s="98">
        <f t="shared" ca="1" si="5"/>
        <v>3.9916955482353625E-3</v>
      </c>
      <c r="H32" s="98">
        <f t="shared" ca="1" si="6"/>
        <v>1.9010168415812274E-3</v>
      </c>
      <c r="I32" s="98">
        <f t="shared" ca="1" si="7"/>
        <v>3.7958412877290033E-3</v>
      </c>
      <c r="J32" s="94"/>
      <c r="K32" s="94"/>
      <c r="L32" s="94"/>
      <c r="M32" s="94"/>
    </row>
    <row r="33" spans="1:9" x14ac:dyDescent="0.25">
      <c r="A33" s="94">
        <v>29</v>
      </c>
      <c r="B33" s="98">
        <f t="shared" si="0"/>
        <v>1.5201831243956284E-3</v>
      </c>
      <c r="C33" s="98">
        <f t="shared" si="1"/>
        <v>1.5201831243956284E-3</v>
      </c>
      <c r="D33" s="98">
        <f t="shared" ca="1" si="2"/>
        <v>1.5160145382125938E-3</v>
      </c>
      <c r="E33" s="98">
        <f t="shared" ca="1" si="3"/>
        <v>3.0270907921879659E-3</v>
      </c>
      <c r="F33" s="98">
        <f t="shared" si="4"/>
        <v>1.9288936901483743E-3</v>
      </c>
      <c r="G33" s="98">
        <f t="shared" ca="1" si="5"/>
        <v>3.9916955482353625E-3</v>
      </c>
      <c r="H33" s="98">
        <f t="shared" ca="1" si="6"/>
        <v>1.9010168415812274E-3</v>
      </c>
      <c r="I33" s="98">
        <f t="shared" ca="1" si="7"/>
        <v>3.7958412877290033E-3</v>
      </c>
    </row>
    <row r="34" spans="1:9" x14ac:dyDescent="0.25">
      <c r="A34" s="29">
        <v>30</v>
      </c>
      <c r="B34" s="98">
        <f t="shared" si="0"/>
        <v>1.5201831243956284E-3</v>
      </c>
      <c r="C34" s="98">
        <f t="shared" si="1"/>
        <v>1.5201831243956284E-3</v>
      </c>
      <c r="D34" s="98">
        <f t="shared" ca="1" si="2"/>
        <v>1.5160145382125938E-3</v>
      </c>
      <c r="E34" s="98">
        <f t="shared" ca="1" si="3"/>
        <v>3.0270907921879659E-3</v>
      </c>
      <c r="F34" s="98">
        <f t="shared" si="4"/>
        <v>1.9288936901483743E-3</v>
      </c>
      <c r="G34" s="98">
        <f t="shared" ca="1" si="5"/>
        <v>3.9916955482353625E-3</v>
      </c>
      <c r="H34" s="98">
        <f t="shared" ca="1" si="6"/>
        <v>1.9010168415812274E-3</v>
      </c>
      <c r="I34" s="98">
        <f t="shared" ca="1" si="7"/>
        <v>3.7958412877290033E-3</v>
      </c>
    </row>
    <row r="35" spans="1:9" x14ac:dyDescent="0.25">
      <c r="A35" s="98">
        <v>31</v>
      </c>
      <c r="B35" s="98">
        <f t="shared" si="0"/>
        <v>1.5201831243956284E-3</v>
      </c>
      <c r="C35" s="98">
        <f t="shared" si="1"/>
        <v>1.5201831243956284E-3</v>
      </c>
      <c r="D35" s="98">
        <f t="shared" ca="1" si="2"/>
        <v>1.5160145382125938E-3</v>
      </c>
      <c r="E35" s="98">
        <f t="shared" ca="1" si="3"/>
        <v>3.0270907921879659E-3</v>
      </c>
      <c r="F35" s="98">
        <f t="shared" si="4"/>
        <v>1.9288936901483743E-3</v>
      </c>
      <c r="G35" s="98">
        <f t="shared" ca="1" si="5"/>
        <v>3.9916955482353625E-3</v>
      </c>
      <c r="H35" s="98">
        <f t="shared" ca="1" si="6"/>
        <v>1.9010168415812274E-3</v>
      </c>
      <c r="I35" s="98">
        <f t="shared" ca="1" si="7"/>
        <v>3.7958412877290033E-3</v>
      </c>
    </row>
    <row r="36" spans="1:9" x14ac:dyDescent="0.25">
      <c r="A36" s="98">
        <v>32</v>
      </c>
      <c r="B36" s="98">
        <f t="shared" si="0"/>
        <v>1.5201831243956284E-3</v>
      </c>
      <c r="C36" s="98">
        <f t="shared" si="1"/>
        <v>1.5201831243956284E-3</v>
      </c>
      <c r="D36" s="98">
        <f t="shared" ca="1" si="2"/>
        <v>1.5160145382125938E-3</v>
      </c>
      <c r="E36" s="98">
        <f t="shared" ca="1" si="3"/>
        <v>3.0270907921879659E-3</v>
      </c>
      <c r="F36" s="98">
        <f t="shared" si="4"/>
        <v>1.9288936901483743E-3</v>
      </c>
      <c r="G36" s="98">
        <f t="shared" ca="1" si="5"/>
        <v>3.9916955482353625E-3</v>
      </c>
      <c r="H36" s="98">
        <f t="shared" ca="1" si="6"/>
        <v>1.9010168415812274E-3</v>
      </c>
      <c r="I36" s="98">
        <f t="shared" ca="1" si="7"/>
        <v>3.7958412877290033E-3</v>
      </c>
    </row>
    <row r="37" spans="1:9" x14ac:dyDescent="0.25">
      <c r="A37" s="94">
        <v>33</v>
      </c>
      <c r="B37" s="98">
        <f t="shared" si="0"/>
        <v>1.5201831243956284E-3</v>
      </c>
      <c r="C37" s="98">
        <f t="shared" si="1"/>
        <v>1.5201831243956284E-3</v>
      </c>
      <c r="D37" s="98">
        <f t="shared" ca="1" si="2"/>
        <v>1.5160145382125938E-3</v>
      </c>
      <c r="E37" s="98">
        <f t="shared" ca="1" si="3"/>
        <v>3.0270907921879659E-3</v>
      </c>
      <c r="F37" s="98">
        <f t="shared" si="4"/>
        <v>1.9288936901483743E-3</v>
      </c>
      <c r="G37" s="98">
        <f t="shared" ca="1" si="5"/>
        <v>3.9916955482353625E-3</v>
      </c>
      <c r="H37" s="98">
        <f t="shared" ca="1" si="6"/>
        <v>1.9010168415812274E-3</v>
      </c>
      <c r="I37" s="98">
        <f t="shared" ca="1" si="7"/>
        <v>3.7958412877290033E-3</v>
      </c>
    </row>
    <row r="38" spans="1:9" x14ac:dyDescent="0.25">
      <c r="A38" s="29">
        <v>34</v>
      </c>
      <c r="B38" s="98">
        <f t="shared" si="0"/>
        <v>1.5201831243956284E-3</v>
      </c>
      <c r="C38" s="98">
        <f t="shared" si="1"/>
        <v>1.5201831243956284E-3</v>
      </c>
      <c r="D38" s="98">
        <f t="shared" ca="1" si="2"/>
        <v>1.5160145382125938E-3</v>
      </c>
      <c r="E38" s="98">
        <f t="shared" ca="1" si="3"/>
        <v>3.0270907921879659E-3</v>
      </c>
      <c r="F38" s="98">
        <f t="shared" si="4"/>
        <v>1.9288936901483743E-3</v>
      </c>
      <c r="G38" s="98">
        <f t="shared" ca="1" si="5"/>
        <v>3.9916955482353625E-3</v>
      </c>
      <c r="H38" s="98">
        <f t="shared" ca="1" si="6"/>
        <v>1.9010168415812274E-3</v>
      </c>
      <c r="I38" s="98">
        <f t="shared" ca="1" si="7"/>
        <v>3.7958412877290033E-3</v>
      </c>
    </row>
    <row r="39" spans="1:9" x14ac:dyDescent="0.25">
      <c r="A39" s="98">
        <v>35</v>
      </c>
      <c r="B39" s="98">
        <f t="shared" si="0"/>
        <v>1.5201831243956284E-3</v>
      </c>
      <c r="C39" s="98">
        <f t="shared" si="1"/>
        <v>1.5201831243956284E-3</v>
      </c>
      <c r="D39" s="98">
        <f t="shared" ca="1" si="2"/>
        <v>1.5160145382125938E-3</v>
      </c>
      <c r="E39" s="98">
        <f t="shared" ca="1" si="3"/>
        <v>3.0270907921879659E-3</v>
      </c>
      <c r="F39" s="98">
        <f t="shared" si="4"/>
        <v>1.9288936901483743E-3</v>
      </c>
      <c r="G39" s="98">
        <f t="shared" ca="1" si="5"/>
        <v>3.9916955482353625E-3</v>
      </c>
      <c r="H39" s="98">
        <f t="shared" ca="1" si="6"/>
        <v>1.9010168415812274E-3</v>
      </c>
      <c r="I39" s="98">
        <f t="shared" ca="1" si="7"/>
        <v>3.7958412877290033E-3</v>
      </c>
    </row>
    <row r="40" spans="1:9" x14ac:dyDescent="0.25">
      <c r="A40" s="98">
        <v>36</v>
      </c>
      <c r="B40" s="98">
        <f t="shared" si="0"/>
        <v>1.5201831243956284E-3</v>
      </c>
      <c r="C40" s="98">
        <f t="shared" si="1"/>
        <v>1.5201831243956284E-3</v>
      </c>
      <c r="D40" s="98">
        <f t="shared" ca="1" si="2"/>
        <v>1.5160145382125938E-3</v>
      </c>
      <c r="E40" s="98">
        <f t="shared" ca="1" si="3"/>
        <v>3.0270907921879659E-3</v>
      </c>
      <c r="F40" s="98">
        <f t="shared" si="4"/>
        <v>1.9288936901483743E-3</v>
      </c>
      <c r="G40" s="98">
        <f t="shared" ca="1" si="5"/>
        <v>3.9916955482353625E-3</v>
      </c>
      <c r="H40" s="98">
        <f t="shared" ca="1" si="6"/>
        <v>1.9010168415812274E-3</v>
      </c>
      <c r="I40" s="98">
        <f t="shared" ca="1" si="7"/>
        <v>3.7958412877290033E-3</v>
      </c>
    </row>
    <row r="41" spans="1:9" x14ac:dyDescent="0.25">
      <c r="A41" s="94">
        <v>37</v>
      </c>
      <c r="B41" s="98">
        <f t="shared" si="0"/>
        <v>1.5201831243956284E-3</v>
      </c>
      <c r="C41" s="98">
        <f t="shared" si="1"/>
        <v>1.5201831243956284E-3</v>
      </c>
      <c r="D41" s="98">
        <f t="shared" ca="1" si="2"/>
        <v>1.5160145382125938E-3</v>
      </c>
      <c r="E41" s="98">
        <f t="shared" ca="1" si="3"/>
        <v>3.0270907921879659E-3</v>
      </c>
      <c r="F41" s="98">
        <f t="shared" si="4"/>
        <v>1.9288936901483743E-3</v>
      </c>
      <c r="G41" s="98">
        <f t="shared" ca="1" si="5"/>
        <v>3.9916955482353625E-3</v>
      </c>
      <c r="H41" s="98">
        <f t="shared" ca="1" si="6"/>
        <v>1.9010168415812274E-3</v>
      </c>
      <c r="I41" s="98">
        <f t="shared" ca="1" si="7"/>
        <v>3.7958412877290033E-3</v>
      </c>
    </row>
    <row r="42" spans="1:9" x14ac:dyDescent="0.25">
      <c r="A42" s="29">
        <v>38</v>
      </c>
      <c r="B42" s="98">
        <f t="shared" si="0"/>
        <v>1.5201831243956284E-3</v>
      </c>
      <c r="C42" s="98">
        <f t="shared" si="1"/>
        <v>1.5201831243956284E-3</v>
      </c>
      <c r="D42" s="98">
        <f t="shared" ca="1" si="2"/>
        <v>1.5160145382125938E-3</v>
      </c>
      <c r="E42" s="98">
        <f t="shared" ca="1" si="3"/>
        <v>3.0270907921879659E-3</v>
      </c>
      <c r="F42" s="98">
        <f t="shared" si="4"/>
        <v>1.9288936901483743E-3</v>
      </c>
      <c r="G42" s="98">
        <f t="shared" ca="1" si="5"/>
        <v>3.9916955482353625E-3</v>
      </c>
      <c r="H42" s="98">
        <f t="shared" ca="1" si="6"/>
        <v>1.9010168415812274E-3</v>
      </c>
      <c r="I42" s="98">
        <f t="shared" ca="1" si="7"/>
        <v>3.7958412877290033E-3</v>
      </c>
    </row>
    <row r="43" spans="1:9" x14ac:dyDescent="0.25">
      <c r="A43" s="98">
        <v>39</v>
      </c>
      <c r="B43" s="98">
        <f t="shared" si="0"/>
        <v>1.5201831243956284E-3</v>
      </c>
      <c r="C43" s="98">
        <f t="shared" si="1"/>
        <v>1.5201831243956284E-3</v>
      </c>
      <c r="D43" s="98">
        <f t="shared" ca="1" si="2"/>
        <v>1.5160145382125938E-3</v>
      </c>
      <c r="E43" s="98">
        <f t="shared" ca="1" si="3"/>
        <v>3.0270907921879659E-3</v>
      </c>
      <c r="F43" s="98">
        <f t="shared" si="4"/>
        <v>1.9288936901483743E-3</v>
      </c>
      <c r="G43" s="98">
        <f t="shared" ca="1" si="5"/>
        <v>3.9916955482353625E-3</v>
      </c>
      <c r="H43" s="98">
        <f t="shared" ca="1" si="6"/>
        <v>1.9010168415812274E-3</v>
      </c>
      <c r="I43" s="98">
        <f t="shared" ca="1" si="7"/>
        <v>3.7958412877290033E-3</v>
      </c>
    </row>
    <row r="44" spans="1:9" x14ac:dyDescent="0.25">
      <c r="A44" s="98">
        <v>40</v>
      </c>
      <c r="B44" s="98">
        <f t="shared" si="0"/>
        <v>1.5201831243956284E-3</v>
      </c>
      <c r="C44" s="98">
        <f t="shared" si="1"/>
        <v>1.5201831243956284E-3</v>
      </c>
      <c r="D44" s="98">
        <f t="shared" ca="1" si="2"/>
        <v>1.5160145382125938E-3</v>
      </c>
      <c r="E44" s="98">
        <f t="shared" ca="1" si="3"/>
        <v>3.0270907921879659E-3</v>
      </c>
      <c r="F44" s="98">
        <f t="shared" si="4"/>
        <v>1.9288936901483743E-3</v>
      </c>
      <c r="G44" s="98">
        <f t="shared" ca="1" si="5"/>
        <v>3.9916955482353625E-3</v>
      </c>
      <c r="H44" s="98">
        <f t="shared" ca="1" si="6"/>
        <v>1.9010168415812274E-3</v>
      </c>
      <c r="I44" s="98">
        <f t="shared" ca="1" si="7"/>
        <v>3.7958412877290033E-3</v>
      </c>
    </row>
    <row r="45" spans="1:9" x14ac:dyDescent="0.25">
      <c r="A45" s="94">
        <v>41</v>
      </c>
      <c r="B45" s="98">
        <f t="shared" si="0"/>
        <v>1.5201831243956284E-3</v>
      </c>
      <c r="C45" s="98">
        <f t="shared" si="1"/>
        <v>1.5201831243956284E-3</v>
      </c>
      <c r="D45" s="98">
        <f t="shared" ca="1" si="2"/>
        <v>1.5160145382125938E-3</v>
      </c>
      <c r="E45" s="98">
        <f t="shared" ca="1" si="3"/>
        <v>3.0270907921879659E-3</v>
      </c>
      <c r="F45" s="98">
        <f t="shared" si="4"/>
        <v>1.9288936901483743E-3</v>
      </c>
      <c r="G45" s="98">
        <f t="shared" ca="1" si="5"/>
        <v>3.9916955482353625E-3</v>
      </c>
      <c r="H45" s="98">
        <f t="shared" ca="1" si="6"/>
        <v>1.9010168415812274E-3</v>
      </c>
      <c r="I45" s="98">
        <f t="shared" ca="1" si="7"/>
        <v>3.7958412877290033E-3</v>
      </c>
    </row>
    <row r="46" spans="1:9" x14ac:dyDescent="0.25">
      <c r="A46" s="29">
        <v>42</v>
      </c>
      <c r="B46" s="98">
        <f t="shared" si="0"/>
        <v>1.5201831243956284E-3</v>
      </c>
      <c r="C46" s="98">
        <f t="shared" si="1"/>
        <v>1.5201831243956284E-3</v>
      </c>
      <c r="D46" s="98">
        <f t="shared" ca="1" si="2"/>
        <v>1.5160145382125938E-3</v>
      </c>
      <c r="E46" s="98">
        <f t="shared" ca="1" si="3"/>
        <v>3.0270907921879659E-3</v>
      </c>
      <c r="F46" s="98">
        <f t="shared" si="4"/>
        <v>1.9288936901483743E-3</v>
      </c>
      <c r="G46" s="98">
        <f t="shared" ca="1" si="5"/>
        <v>3.9916955482353625E-3</v>
      </c>
      <c r="H46" s="98">
        <f t="shared" ca="1" si="6"/>
        <v>1.9010168415812274E-3</v>
      </c>
      <c r="I46" s="98">
        <f t="shared" ca="1" si="7"/>
        <v>3.7958412877290033E-3</v>
      </c>
    </row>
    <row r="47" spans="1:9" x14ac:dyDescent="0.25">
      <c r="A47" s="98">
        <v>43</v>
      </c>
      <c r="B47" s="98">
        <f t="shared" si="0"/>
        <v>1.5201831243956284E-3</v>
      </c>
      <c r="C47" s="98">
        <f t="shared" si="1"/>
        <v>1.5201831243956284E-3</v>
      </c>
      <c r="D47" s="98">
        <f t="shared" ca="1" si="2"/>
        <v>1.5160145382125938E-3</v>
      </c>
      <c r="E47" s="98">
        <f t="shared" ca="1" si="3"/>
        <v>3.0270907921879659E-3</v>
      </c>
      <c r="F47" s="98">
        <f t="shared" si="4"/>
        <v>1.9288936901483743E-3</v>
      </c>
      <c r="G47" s="98">
        <f t="shared" ca="1" si="5"/>
        <v>3.9916955482353625E-3</v>
      </c>
      <c r="H47" s="98">
        <f t="shared" ca="1" si="6"/>
        <v>1.9010168415812274E-3</v>
      </c>
      <c r="I47" s="98">
        <f t="shared" ca="1" si="7"/>
        <v>3.7958412877290033E-3</v>
      </c>
    </row>
    <row r="48" spans="1:9" x14ac:dyDescent="0.25">
      <c r="A48" s="98">
        <v>44</v>
      </c>
      <c r="B48" s="98">
        <f t="shared" si="0"/>
        <v>1.5201831243956284E-3</v>
      </c>
      <c r="C48" s="98">
        <f t="shared" si="1"/>
        <v>1.5201831243956284E-3</v>
      </c>
      <c r="D48" s="98">
        <f t="shared" ca="1" si="2"/>
        <v>1.5160145382125938E-3</v>
      </c>
      <c r="E48" s="98">
        <f t="shared" ca="1" si="3"/>
        <v>3.0270907921879659E-3</v>
      </c>
      <c r="F48" s="98">
        <f t="shared" si="4"/>
        <v>1.9288936901483743E-3</v>
      </c>
      <c r="G48" s="98">
        <f t="shared" ca="1" si="5"/>
        <v>3.9916955482353625E-3</v>
      </c>
      <c r="H48" s="98">
        <f t="shared" ca="1" si="6"/>
        <v>1.9010168415812274E-3</v>
      </c>
      <c r="I48" s="98">
        <f t="shared" ca="1" si="7"/>
        <v>3.7958412877290033E-3</v>
      </c>
    </row>
    <row r="49" spans="1:27" x14ac:dyDescent="0.25">
      <c r="A49" s="94">
        <v>45</v>
      </c>
      <c r="B49" s="98">
        <f t="shared" si="0"/>
        <v>1.5201831243956284E-3</v>
      </c>
      <c r="C49" s="98">
        <f t="shared" si="1"/>
        <v>1.5201831243956284E-3</v>
      </c>
      <c r="D49" s="98">
        <f t="shared" ca="1" si="2"/>
        <v>1.5160145382125938E-3</v>
      </c>
      <c r="E49" s="98">
        <f t="shared" ca="1" si="3"/>
        <v>3.0270907921879659E-3</v>
      </c>
      <c r="F49" s="98">
        <f t="shared" si="4"/>
        <v>1.9288936901483743E-3</v>
      </c>
      <c r="G49" s="98">
        <f t="shared" ca="1" si="5"/>
        <v>3.9916955482353625E-3</v>
      </c>
      <c r="H49" s="98">
        <f t="shared" ca="1" si="6"/>
        <v>1.9010168415812274E-3</v>
      </c>
      <c r="I49" s="98">
        <f t="shared" ca="1" si="7"/>
        <v>3.7958412877290033E-3</v>
      </c>
    </row>
    <row r="50" spans="1:27" x14ac:dyDescent="0.25">
      <c r="A50" s="29">
        <v>46</v>
      </c>
      <c r="B50" s="98">
        <f t="shared" si="0"/>
        <v>1.5201831243956284E-3</v>
      </c>
      <c r="C50" s="98">
        <f t="shared" si="1"/>
        <v>1.5201831243956284E-3</v>
      </c>
      <c r="D50" s="98">
        <f t="shared" ca="1" si="2"/>
        <v>1.5160145382125938E-3</v>
      </c>
      <c r="E50" s="98">
        <f t="shared" ca="1" si="3"/>
        <v>3.0270907921879659E-3</v>
      </c>
      <c r="F50" s="98">
        <f t="shared" si="4"/>
        <v>1.9288936901483743E-3</v>
      </c>
      <c r="G50" s="98">
        <f t="shared" ca="1" si="5"/>
        <v>3.9916955482353625E-3</v>
      </c>
      <c r="H50" s="98">
        <f t="shared" ca="1" si="6"/>
        <v>1.9010168415812274E-3</v>
      </c>
      <c r="I50" s="98">
        <f t="shared" ca="1" si="7"/>
        <v>3.7958412877290033E-3</v>
      </c>
    </row>
    <row r="51" spans="1:27" x14ac:dyDescent="0.25">
      <c r="A51" s="98">
        <v>47</v>
      </c>
      <c r="B51" s="98">
        <f t="shared" si="0"/>
        <v>1.5201831243956284E-3</v>
      </c>
      <c r="C51" s="98">
        <f t="shared" si="1"/>
        <v>1.5201831243956284E-3</v>
      </c>
      <c r="D51" s="98">
        <f t="shared" ca="1" si="2"/>
        <v>1.5160145382125938E-3</v>
      </c>
      <c r="E51" s="98">
        <f t="shared" ca="1" si="3"/>
        <v>3.0270907921879659E-3</v>
      </c>
      <c r="F51" s="98">
        <f t="shared" si="4"/>
        <v>1.9288936901483743E-3</v>
      </c>
      <c r="G51" s="98">
        <f t="shared" ca="1" si="5"/>
        <v>3.9916955482353625E-3</v>
      </c>
      <c r="H51" s="98">
        <f t="shared" ca="1" si="6"/>
        <v>1.9010168415812274E-3</v>
      </c>
      <c r="I51" s="98">
        <f t="shared" ca="1" si="7"/>
        <v>3.7958412877290033E-3</v>
      </c>
    </row>
    <row r="52" spans="1:27" x14ac:dyDescent="0.25">
      <c r="A52" s="98">
        <v>48</v>
      </c>
      <c r="B52" s="98">
        <f t="shared" si="0"/>
        <v>1.5201831243956284E-3</v>
      </c>
      <c r="C52" s="98">
        <f t="shared" si="1"/>
        <v>1.5201831243956284E-3</v>
      </c>
      <c r="D52" s="98">
        <f t="shared" ca="1" si="2"/>
        <v>1.5160145382125938E-3</v>
      </c>
      <c r="E52" s="98">
        <f t="shared" ca="1" si="3"/>
        <v>3.0270907921879659E-3</v>
      </c>
      <c r="F52" s="98">
        <f t="shared" si="4"/>
        <v>1.9288936901483743E-3</v>
      </c>
      <c r="G52" s="98">
        <f t="shared" ca="1" si="5"/>
        <v>3.9916955482353625E-3</v>
      </c>
      <c r="H52" s="98">
        <f t="shared" ca="1" si="6"/>
        <v>1.9010168415812274E-3</v>
      </c>
      <c r="I52" s="98">
        <f t="shared" ca="1" si="7"/>
        <v>3.7958412877290033E-3</v>
      </c>
    </row>
    <row r="53" spans="1:27" x14ac:dyDescent="0.25">
      <c r="A53" s="94">
        <v>49</v>
      </c>
      <c r="B53" s="98">
        <f t="shared" si="0"/>
        <v>1.5201831243956284E-3</v>
      </c>
      <c r="C53" s="98">
        <f t="shared" si="1"/>
        <v>1.5201831243956284E-3</v>
      </c>
      <c r="D53" s="98">
        <f t="shared" ca="1" si="2"/>
        <v>1.5160145382125938E-3</v>
      </c>
      <c r="E53" s="98">
        <f t="shared" ca="1" si="3"/>
        <v>3.0270907921879659E-3</v>
      </c>
      <c r="F53" s="98">
        <f t="shared" si="4"/>
        <v>0</v>
      </c>
      <c r="G53" s="98">
        <f t="shared" ca="1" si="5"/>
        <v>0</v>
      </c>
      <c r="H53" s="98">
        <f t="shared" si="6"/>
        <v>0</v>
      </c>
      <c r="I53" s="98">
        <f t="shared" ca="1" si="7"/>
        <v>0</v>
      </c>
    </row>
    <row r="54" spans="1:27" x14ac:dyDescent="0.25">
      <c r="A54" s="29">
        <v>50</v>
      </c>
      <c r="B54" s="98">
        <f t="shared" si="0"/>
        <v>1.5201831243956284E-3</v>
      </c>
      <c r="C54" s="98">
        <f t="shared" si="1"/>
        <v>1.5201831243956284E-3</v>
      </c>
      <c r="D54" s="98">
        <f t="shared" ca="1" si="2"/>
        <v>1.5160145382125938E-3</v>
      </c>
      <c r="E54" s="98">
        <f t="shared" ca="1" si="3"/>
        <v>3.0270907921879659E-3</v>
      </c>
      <c r="F54" s="98">
        <f t="shared" si="4"/>
        <v>0</v>
      </c>
      <c r="G54" s="98">
        <f t="shared" ca="1" si="5"/>
        <v>0</v>
      </c>
      <c r="H54" s="98">
        <f t="shared" si="6"/>
        <v>0</v>
      </c>
      <c r="I54" s="98">
        <f t="shared" ca="1" si="7"/>
        <v>0</v>
      </c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</row>
    <row r="55" spans="1:27" x14ac:dyDescent="0.25">
      <c r="A55" s="98">
        <v>51</v>
      </c>
      <c r="B55" s="98">
        <f t="shared" si="0"/>
        <v>1.5201831243956284E-3</v>
      </c>
      <c r="C55" s="98">
        <f t="shared" si="1"/>
        <v>1.5201831243956284E-3</v>
      </c>
      <c r="D55" s="98">
        <f t="shared" ca="1" si="2"/>
        <v>1.5160145382125938E-3</v>
      </c>
      <c r="E55" s="98">
        <f t="shared" ca="1" si="3"/>
        <v>3.0270907921879659E-3</v>
      </c>
      <c r="F55" s="98">
        <f t="shared" si="4"/>
        <v>0</v>
      </c>
      <c r="G55" s="98">
        <f t="shared" ca="1" si="5"/>
        <v>0</v>
      </c>
      <c r="H55" s="98">
        <f t="shared" si="6"/>
        <v>0</v>
      </c>
      <c r="I55" s="98">
        <f t="shared" ca="1" si="7"/>
        <v>0</v>
      </c>
    </row>
    <row r="56" spans="1:27" x14ac:dyDescent="0.25">
      <c r="A56" s="98">
        <v>52</v>
      </c>
      <c r="B56" s="98">
        <f t="shared" si="0"/>
        <v>1.5201831243956284E-3</v>
      </c>
      <c r="C56" s="98">
        <f t="shared" si="1"/>
        <v>1.5201831243956284E-3</v>
      </c>
      <c r="D56" s="98">
        <f t="shared" ca="1" si="2"/>
        <v>1.5160145382125938E-3</v>
      </c>
      <c r="E56" s="98">
        <f t="shared" ca="1" si="3"/>
        <v>3.0270907921879659E-3</v>
      </c>
      <c r="F56" s="98">
        <f t="shared" si="4"/>
        <v>0</v>
      </c>
      <c r="G56" s="98">
        <f t="shared" ca="1" si="5"/>
        <v>0</v>
      </c>
      <c r="H56" s="98">
        <f t="shared" si="6"/>
        <v>0</v>
      </c>
      <c r="I56" s="98">
        <f t="shared" ca="1" si="7"/>
        <v>0</v>
      </c>
    </row>
    <row r="57" spans="1:27" x14ac:dyDescent="0.25">
      <c r="A57" s="94">
        <v>53</v>
      </c>
      <c r="B57" s="98">
        <f t="shared" si="0"/>
        <v>1.5201831243956284E-3</v>
      </c>
      <c r="C57" s="98">
        <f t="shared" si="1"/>
        <v>1.5201831243956284E-3</v>
      </c>
      <c r="D57" s="98">
        <f t="shared" ca="1" si="2"/>
        <v>1.5160145382125938E-3</v>
      </c>
      <c r="E57" s="98">
        <f t="shared" ca="1" si="3"/>
        <v>3.0270907921879659E-3</v>
      </c>
      <c r="F57" s="98">
        <f t="shared" si="4"/>
        <v>0</v>
      </c>
      <c r="G57" s="98">
        <f t="shared" ca="1" si="5"/>
        <v>0</v>
      </c>
      <c r="H57" s="98">
        <f t="shared" si="6"/>
        <v>0</v>
      </c>
      <c r="I57" s="98">
        <f t="shared" ca="1" si="7"/>
        <v>0</v>
      </c>
    </row>
    <row r="58" spans="1:27" x14ac:dyDescent="0.25">
      <c r="A58" s="29">
        <v>54</v>
      </c>
      <c r="B58" s="98">
        <f t="shared" si="0"/>
        <v>1.5201831243956284E-3</v>
      </c>
      <c r="C58" s="98">
        <f t="shared" si="1"/>
        <v>1.5201831243956284E-3</v>
      </c>
      <c r="D58" s="98">
        <f t="shared" ca="1" si="2"/>
        <v>1.5160145382125938E-3</v>
      </c>
      <c r="E58" s="98">
        <f t="shared" ca="1" si="3"/>
        <v>3.0270907921879659E-3</v>
      </c>
      <c r="F58" s="98">
        <f t="shared" si="4"/>
        <v>0</v>
      </c>
      <c r="G58" s="98">
        <f t="shared" ca="1" si="5"/>
        <v>0</v>
      </c>
      <c r="H58" s="98">
        <f t="shared" si="6"/>
        <v>0</v>
      </c>
      <c r="I58" s="98">
        <f t="shared" ca="1" si="7"/>
        <v>0</v>
      </c>
    </row>
    <row r="59" spans="1:27" x14ac:dyDescent="0.25">
      <c r="A59" s="98">
        <v>55</v>
      </c>
      <c r="B59" s="98">
        <f t="shared" si="0"/>
        <v>1.5201831243956284E-3</v>
      </c>
      <c r="C59" s="98">
        <f t="shared" si="1"/>
        <v>1.5201831243956284E-3</v>
      </c>
      <c r="D59" s="98">
        <f t="shared" ca="1" si="2"/>
        <v>1.5160145382125938E-3</v>
      </c>
      <c r="E59" s="98">
        <f t="shared" ca="1" si="3"/>
        <v>3.0270907921879659E-3</v>
      </c>
      <c r="F59" s="98">
        <f t="shared" si="4"/>
        <v>0</v>
      </c>
      <c r="G59" s="98">
        <f t="shared" ca="1" si="5"/>
        <v>0</v>
      </c>
      <c r="H59" s="98">
        <f t="shared" si="6"/>
        <v>0</v>
      </c>
      <c r="I59" s="98">
        <f t="shared" ca="1" si="7"/>
        <v>0</v>
      </c>
    </row>
    <row r="60" spans="1:27" x14ac:dyDescent="0.25">
      <c r="A60" s="98">
        <v>56</v>
      </c>
      <c r="B60" s="98">
        <f t="shared" si="0"/>
        <v>1.5201831243956284E-3</v>
      </c>
      <c r="C60" s="98">
        <f t="shared" si="1"/>
        <v>1.5201831243956284E-3</v>
      </c>
      <c r="D60" s="98">
        <f t="shared" ca="1" si="2"/>
        <v>1.5160145382125938E-3</v>
      </c>
      <c r="E60" s="98">
        <f t="shared" ca="1" si="3"/>
        <v>3.0270907921879659E-3</v>
      </c>
      <c r="F60" s="98">
        <f t="shared" si="4"/>
        <v>0</v>
      </c>
      <c r="G60" s="98">
        <f t="shared" ca="1" si="5"/>
        <v>0</v>
      </c>
      <c r="H60" s="98">
        <f t="shared" si="6"/>
        <v>0</v>
      </c>
      <c r="I60" s="98">
        <f t="shared" ca="1" si="7"/>
        <v>0</v>
      </c>
    </row>
    <row r="61" spans="1:27" x14ac:dyDescent="0.25">
      <c r="A61" s="94">
        <v>57</v>
      </c>
      <c r="B61" s="98">
        <f t="shared" si="0"/>
        <v>1.5201831243956284E-3</v>
      </c>
      <c r="C61" s="98">
        <f t="shared" si="1"/>
        <v>1.5201831243956284E-3</v>
      </c>
      <c r="D61" s="98">
        <f t="shared" ca="1" si="2"/>
        <v>1.5160145382125938E-3</v>
      </c>
      <c r="E61" s="98">
        <f t="shared" ca="1" si="3"/>
        <v>3.0270907921879659E-3</v>
      </c>
      <c r="F61" s="98">
        <f t="shared" si="4"/>
        <v>0</v>
      </c>
      <c r="G61" s="98">
        <f t="shared" ca="1" si="5"/>
        <v>0</v>
      </c>
      <c r="H61" s="98">
        <f t="shared" si="6"/>
        <v>0</v>
      </c>
      <c r="I61" s="98">
        <f t="shared" ca="1" si="7"/>
        <v>0</v>
      </c>
    </row>
    <row r="62" spans="1:27" x14ac:dyDescent="0.25">
      <c r="A62" s="29">
        <v>58</v>
      </c>
      <c r="B62" s="98">
        <f t="shared" si="0"/>
        <v>1.5201831243956284E-3</v>
      </c>
      <c r="C62" s="98">
        <f t="shared" si="1"/>
        <v>1.5201831243956284E-3</v>
      </c>
      <c r="D62" s="98">
        <f t="shared" ca="1" si="2"/>
        <v>1.5160145382125938E-3</v>
      </c>
      <c r="E62" s="98">
        <f t="shared" ca="1" si="3"/>
        <v>3.0270907921879659E-3</v>
      </c>
      <c r="F62" s="98">
        <f t="shared" si="4"/>
        <v>0</v>
      </c>
      <c r="G62" s="98">
        <f t="shared" ca="1" si="5"/>
        <v>0</v>
      </c>
      <c r="H62" s="98">
        <f t="shared" si="6"/>
        <v>0</v>
      </c>
      <c r="I62" s="98">
        <f t="shared" ca="1" si="7"/>
        <v>0</v>
      </c>
    </row>
    <row r="63" spans="1:27" x14ac:dyDescent="0.25">
      <c r="A63" s="98">
        <v>59</v>
      </c>
      <c r="B63" s="98">
        <f t="shared" si="0"/>
        <v>1.5201831243956284E-3</v>
      </c>
      <c r="C63" s="98">
        <f t="shared" si="1"/>
        <v>1.5201831243956284E-3</v>
      </c>
      <c r="D63" s="98">
        <f t="shared" ca="1" si="2"/>
        <v>1.5160145382125938E-3</v>
      </c>
      <c r="E63" s="98">
        <f t="shared" ca="1" si="3"/>
        <v>3.0270907921879659E-3</v>
      </c>
      <c r="F63" s="98">
        <f t="shared" si="4"/>
        <v>0</v>
      </c>
      <c r="G63" s="98">
        <f t="shared" ca="1" si="5"/>
        <v>0</v>
      </c>
      <c r="H63" s="98">
        <f t="shared" si="6"/>
        <v>0</v>
      </c>
      <c r="I63" s="98">
        <f t="shared" ca="1" si="7"/>
        <v>0</v>
      </c>
    </row>
    <row r="64" spans="1:27" x14ac:dyDescent="0.25">
      <c r="A64" s="98">
        <v>60</v>
      </c>
      <c r="B64" s="98">
        <f t="shared" si="0"/>
        <v>0</v>
      </c>
      <c r="C64" s="98">
        <f t="shared" si="1"/>
        <v>0</v>
      </c>
      <c r="D64" s="98">
        <f t="shared" si="2"/>
        <v>0</v>
      </c>
      <c r="E64" s="98">
        <f t="shared" ca="1" si="3"/>
        <v>0</v>
      </c>
      <c r="F64" s="98">
        <f t="shared" si="4"/>
        <v>0</v>
      </c>
      <c r="G64" s="98">
        <f t="shared" ca="1" si="5"/>
        <v>0</v>
      </c>
      <c r="H64" s="98">
        <f t="shared" si="6"/>
        <v>0</v>
      </c>
      <c r="I64" s="98">
        <f t="shared" ca="1" si="7"/>
        <v>0</v>
      </c>
    </row>
    <row r="65" spans="1:9" x14ac:dyDescent="0.25">
      <c r="A65" s="94">
        <v>61</v>
      </c>
      <c r="B65" s="98">
        <f t="shared" si="0"/>
        <v>0</v>
      </c>
      <c r="C65" s="98">
        <f t="shared" si="1"/>
        <v>0</v>
      </c>
      <c r="D65" s="98">
        <f t="shared" si="2"/>
        <v>0</v>
      </c>
      <c r="E65" s="98">
        <f t="shared" ca="1" si="3"/>
        <v>0</v>
      </c>
      <c r="F65" s="98">
        <f t="shared" si="4"/>
        <v>0</v>
      </c>
      <c r="G65" s="98">
        <f t="shared" ca="1" si="5"/>
        <v>0</v>
      </c>
      <c r="H65" s="98">
        <f t="shared" si="6"/>
        <v>0</v>
      </c>
      <c r="I65" s="98">
        <f t="shared" ca="1" si="7"/>
        <v>0</v>
      </c>
    </row>
    <row r="66" spans="1:9" x14ac:dyDescent="0.25">
      <c r="A66" s="29">
        <v>62</v>
      </c>
      <c r="B66" s="98">
        <f t="shared" si="0"/>
        <v>0</v>
      </c>
      <c r="C66" s="98">
        <f t="shared" si="1"/>
        <v>0</v>
      </c>
      <c r="D66" s="98">
        <f t="shared" si="2"/>
        <v>0</v>
      </c>
      <c r="E66" s="98">
        <f t="shared" ca="1" si="3"/>
        <v>0</v>
      </c>
      <c r="F66" s="98">
        <f t="shared" si="4"/>
        <v>0</v>
      </c>
      <c r="G66" s="98">
        <f t="shared" ca="1" si="5"/>
        <v>0</v>
      </c>
      <c r="H66" s="98">
        <f t="shared" si="6"/>
        <v>0</v>
      </c>
      <c r="I66" s="98">
        <f t="shared" ca="1" si="7"/>
        <v>0</v>
      </c>
    </row>
    <row r="67" spans="1:9" x14ac:dyDescent="0.25">
      <c r="A67" s="98">
        <v>63</v>
      </c>
      <c r="B67" s="98">
        <f t="shared" si="0"/>
        <v>0</v>
      </c>
      <c r="C67" s="98">
        <f t="shared" si="1"/>
        <v>0</v>
      </c>
      <c r="D67" s="98">
        <f t="shared" si="2"/>
        <v>0</v>
      </c>
      <c r="E67" s="98">
        <f t="shared" ca="1" si="3"/>
        <v>0</v>
      </c>
      <c r="F67" s="98">
        <f t="shared" si="4"/>
        <v>0</v>
      </c>
      <c r="G67" s="98">
        <f t="shared" ca="1" si="5"/>
        <v>0</v>
      </c>
      <c r="H67" s="98">
        <f t="shared" si="6"/>
        <v>0</v>
      </c>
      <c r="I67" s="98">
        <f t="shared" ca="1" si="7"/>
        <v>0</v>
      </c>
    </row>
    <row r="68" spans="1:9" x14ac:dyDescent="0.25">
      <c r="A68" s="98">
        <v>64</v>
      </c>
      <c r="B68" s="98">
        <f t="shared" si="0"/>
        <v>0</v>
      </c>
      <c r="C68" s="98">
        <f t="shared" si="1"/>
        <v>0</v>
      </c>
      <c r="D68" s="98">
        <f t="shared" si="2"/>
        <v>0</v>
      </c>
      <c r="E68" s="98">
        <f t="shared" ca="1" si="3"/>
        <v>0</v>
      </c>
      <c r="F68" s="98">
        <f t="shared" si="4"/>
        <v>0</v>
      </c>
      <c r="G68" s="98">
        <f t="shared" ca="1" si="5"/>
        <v>0</v>
      </c>
      <c r="H68" s="98">
        <f t="shared" si="6"/>
        <v>0</v>
      </c>
      <c r="I68" s="98">
        <f t="shared" ca="1" si="7"/>
        <v>0</v>
      </c>
    </row>
    <row r="69" spans="1:9" x14ac:dyDescent="0.25">
      <c r="A69" s="94">
        <v>65</v>
      </c>
      <c r="B69" s="98">
        <f t="shared" si="0"/>
        <v>0</v>
      </c>
      <c r="C69" s="98">
        <f t="shared" si="1"/>
        <v>0</v>
      </c>
      <c r="D69" s="98">
        <f t="shared" si="2"/>
        <v>0</v>
      </c>
      <c r="E69" s="98">
        <f t="shared" ca="1" si="3"/>
        <v>0</v>
      </c>
      <c r="F69" s="98">
        <f t="shared" si="4"/>
        <v>0</v>
      </c>
      <c r="G69" s="98">
        <f t="shared" ca="1" si="5"/>
        <v>0</v>
      </c>
      <c r="H69" s="98">
        <f t="shared" si="6"/>
        <v>0</v>
      </c>
      <c r="I69" s="98">
        <f t="shared" ca="1" si="7"/>
        <v>0</v>
      </c>
    </row>
    <row r="70" spans="1:9" x14ac:dyDescent="0.25">
      <c r="A70" s="29">
        <v>66</v>
      </c>
      <c r="B70" s="98">
        <f t="shared" si="0"/>
        <v>0</v>
      </c>
      <c r="C70" s="98">
        <f t="shared" si="1"/>
        <v>0</v>
      </c>
      <c r="D70" s="98">
        <f t="shared" si="2"/>
        <v>0</v>
      </c>
      <c r="E70" s="98">
        <f t="shared" ca="1" si="3"/>
        <v>0</v>
      </c>
      <c r="F70" s="98">
        <f t="shared" si="4"/>
        <v>0</v>
      </c>
      <c r="G70" s="98">
        <f t="shared" ca="1" si="5"/>
        <v>0</v>
      </c>
      <c r="H70" s="98">
        <f t="shared" si="6"/>
        <v>0</v>
      </c>
      <c r="I70" s="98">
        <f t="shared" ca="1" si="7"/>
        <v>0</v>
      </c>
    </row>
    <row r="71" spans="1:9" x14ac:dyDescent="0.25">
      <c r="A71" s="98">
        <v>67</v>
      </c>
      <c r="B71" s="98">
        <f t="shared" si="0"/>
        <v>0</v>
      </c>
      <c r="C71" s="98">
        <f t="shared" si="1"/>
        <v>0</v>
      </c>
      <c r="D71" s="98">
        <f t="shared" si="2"/>
        <v>0</v>
      </c>
      <c r="E71" s="98">
        <f t="shared" ca="1" si="3"/>
        <v>0</v>
      </c>
      <c r="F71" s="98">
        <f t="shared" si="4"/>
        <v>0</v>
      </c>
      <c r="G71" s="98">
        <f t="shared" ca="1" si="5"/>
        <v>0</v>
      </c>
      <c r="H71" s="98">
        <f t="shared" si="6"/>
        <v>0</v>
      </c>
      <c r="I71" s="98">
        <f t="shared" ca="1" si="7"/>
        <v>0</v>
      </c>
    </row>
    <row r="72" spans="1:9" x14ac:dyDescent="0.25">
      <c r="A72" s="98">
        <v>68</v>
      </c>
      <c r="B72" s="98">
        <f t="shared" si="0"/>
        <v>0</v>
      </c>
      <c r="C72" s="98">
        <f t="shared" si="1"/>
        <v>0</v>
      </c>
      <c r="D72" s="98">
        <f t="shared" si="2"/>
        <v>0</v>
      </c>
      <c r="E72" s="98">
        <f t="shared" ca="1" si="3"/>
        <v>0</v>
      </c>
      <c r="F72" s="98">
        <f t="shared" si="4"/>
        <v>0</v>
      </c>
      <c r="G72" s="98">
        <f t="shared" ca="1" si="5"/>
        <v>0</v>
      </c>
      <c r="H72" s="98">
        <f t="shared" si="6"/>
        <v>0</v>
      </c>
      <c r="I72" s="98">
        <f t="shared" ca="1" si="7"/>
        <v>0</v>
      </c>
    </row>
    <row r="73" spans="1:9" x14ac:dyDescent="0.25">
      <c r="A73" s="94">
        <v>69</v>
      </c>
      <c r="B73" s="98">
        <f t="shared" si="0"/>
        <v>0</v>
      </c>
      <c r="C73" s="98">
        <f t="shared" si="1"/>
        <v>0</v>
      </c>
      <c r="D73" s="98">
        <f t="shared" si="2"/>
        <v>0</v>
      </c>
      <c r="E73" s="98">
        <f t="shared" ca="1" si="3"/>
        <v>0</v>
      </c>
      <c r="F73" s="98">
        <f t="shared" si="4"/>
        <v>0</v>
      </c>
      <c r="G73" s="98">
        <f t="shared" ca="1" si="5"/>
        <v>0</v>
      </c>
      <c r="H73" s="98">
        <f t="shared" si="6"/>
        <v>0</v>
      </c>
      <c r="I73" s="98">
        <f t="shared" ca="1" si="7"/>
        <v>0</v>
      </c>
    </row>
    <row r="74" spans="1:9" x14ac:dyDescent="0.25">
      <c r="A74" s="29">
        <v>70</v>
      </c>
      <c r="B74" s="98">
        <f t="shared" si="0"/>
        <v>0</v>
      </c>
      <c r="C74" s="98">
        <f t="shared" si="1"/>
        <v>0</v>
      </c>
      <c r="D74" s="98">
        <f t="shared" si="2"/>
        <v>0</v>
      </c>
      <c r="E74" s="98">
        <f t="shared" ca="1" si="3"/>
        <v>0</v>
      </c>
      <c r="F74" s="98">
        <f t="shared" si="4"/>
        <v>0</v>
      </c>
      <c r="G74" s="98">
        <f t="shared" ca="1" si="5"/>
        <v>0</v>
      </c>
      <c r="H74" s="98">
        <f t="shared" si="6"/>
        <v>0</v>
      </c>
      <c r="I74" s="98">
        <f t="shared" ca="1" si="7"/>
        <v>0</v>
      </c>
    </row>
    <row r="75" spans="1:9" x14ac:dyDescent="0.25">
      <c r="A75" s="98">
        <v>71</v>
      </c>
      <c r="B75" s="98">
        <f t="shared" si="0"/>
        <v>0</v>
      </c>
      <c r="C75" s="98">
        <f t="shared" si="1"/>
        <v>0</v>
      </c>
      <c r="D75" s="98">
        <f t="shared" si="2"/>
        <v>0</v>
      </c>
      <c r="E75" s="98">
        <f t="shared" ca="1" si="3"/>
        <v>0</v>
      </c>
      <c r="F75" s="98">
        <f t="shared" si="4"/>
        <v>0</v>
      </c>
      <c r="G75" s="98">
        <f t="shared" ca="1" si="5"/>
        <v>0</v>
      </c>
      <c r="H75" s="98">
        <f t="shared" si="6"/>
        <v>0</v>
      </c>
      <c r="I75" s="98">
        <f t="shared" ca="1" si="7"/>
        <v>0</v>
      </c>
    </row>
    <row r="76" spans="1:9" x14ac:dyDescent="0.25">
      <c r="A76" s="98">
        <v>72</v>
      </c>
      <c r="B76" s="98">
        <f t="shared" si="0"/>
        <v>0</v>
      </c>
      <c r="C76" s="98">
        <f t="shared" si="1"/>
        <v>0</v>
      </c>
      <c r="D76" s="98">
        <f t="shared" si="2"/>
        <v>0</v>
      </c>
      <c r="E76" s="98">
        <f t="shared" ca="1" si="3"/>
        <v>0</v>
      </c>
      <c r="F76" s="98">
        <f t="shared" si="4"/>
        <v>0</v>
      </c>
      <c r="G76" s="98">
        <f t="shared" ca="1" si="5"/>
        <v>0</v>
      </c>
      <c r="H76" s="98">
        <f t="shared" si="6"/>
        <v>0</v>
      </c>
      <c r="I76" s="98">
        <f t="shared" ca="1" si="7"/>
        <v>0</v>
      </c>
    </row>
    <row r="77" spans="1:9" x14ac:dyDescent="0.25">
      <c r="A77" s="94">
        <v>73</v>
      </c>
      <c r="B77" s="98">
        <f t="shared" si="0"/>
        <v>0</v>
      </c>
      <c r="C77" s="98">
        <f t="shared" si="1"/>
        <v>0</v>
      </c>
      <c r="D77" s="98">
        <f t="shared" si="2"/>
        <v>0</v>
      </c>
      <c r="E77" s="98">
        <f t="shared" ca="1" si="3"/>
        <v>0</v>
      </c>
      <c r="F77" s="98">
        <f t="shared" si="4"/>
        <v>0</v>
      </c>
      <c r="G77" s="98">
        <f t="shared" ca="1" si="5"/>
        <v>0</v>
      </c>
      <c r="H77" s="98">
        <f t="shared" si="6"/>
        <v>0</v>
      </c>
      <c r="I77" s="98">
        <f t="shared" ca="1" si="7"/>
        <v>0</v>
      </c>
    </row>
    <row r="78" spans="1:9" x14ac:dyDescent="0.25">
      <c r="A78" s="29">
        <v>74</v>
      </c>
      <c r="B78" s="98">
        <f t="shared" si="0"/>
        <v>0</v>
      </c>
      <c r="C78" s="98">
        <f t="shared" si="1"/>
        <v>0</v>
      </c>
      <c r="D78" s="98">
        <f t="shared" si="2"/>
        <v>0</v>
      </c>
      <c r="E78" s="98">
        <f t="shared" ca="1" si="3"/>
        <v>0</v>
      </c>
      <c r="F78" s="98">
        <f t="shared" si="4"/>
        <v>0</v>
      </c>
      <c r="G78" s="98">
        <f t="shared" ca="1" si="5"/>
        <v>0</v>
      </c>
      <c r="H78" s="98">
        <f t="shared" si="6"/>
        <v>0</v>
      </c>
      <c r="I78" s="98">
        <f t="shared" ca="1" si="7"/>
        <v>0</v>
      </c>
    </row>
    <row r="79" spans="1:9" x14ac:dyDescent="0.25">
      <c r="A79" s="98">
        <v>75</v>
      </c>
      <c r="B79" s="98">
        <f t="shared" si="0"/>
        <v>0</v>
      </c>
      <c r="C79" s="98">
        <f t="shared" si="1"/>
        <v>0</v>
      </c>
      <c r="D79" s="98">
        <f t="shared" si="2"/>
        <v>0</v>
      </c>
      <c r="E79" s="98">
        <f t="shared" ca="1" si="3"/>
        <v>0</v>
      </c>
      <c r="F79" s="98">
        <f t="shared" si="4"/>
        <v>0</v>
      </c>
      <c r="G79" s="98">
        <f t="shared" ca="1" si="5"/>
        <v>0</v>
      </c>
      <c r="H79" s="98">
        <f t="shared" si="6"/>
        <v>0</v>
      </c>
      <c r="I79" s="98">
        <f t="shared" ca="1" si="7"/>
        <v>0</v>
      </c>
    </row>
    <row r="80" spans="1:9" x14ac:dyDescent="0.25">
      <c r="A80" s="98">
        <v>76</v>
      </c>
      <c r="B80" s="98">
        <f t="shared" si="0"/>
        <v>0</v>
      </c>
      <c r="C80" s="98">
        <f t="shared" si="1"/>
        <v>0</v>
      </c>
      <c r="D80" s="98">
        <f t="shared" si="2"/>
        <v>0</v>
      </c>
      <c r="E80" s="98">
        <f t="shared" ca="1" si="3"/>
        <v>0</v>
      </c>
      <c r="F80" s="98">
        <f t="shared" si="4"/>
        <v>0</v>
      </c>
      <c r="G80" s="98">
        <f t="shared" ca="1" si="5"/>
        <v>0</v>
      </c>
      <c r="H80" s="98">
        <f t="shared" si="6"/>
        <v>0</v>
      </c>
      <c r="I80" s="98">
        <f t="shared" ca="1" si="7"/>
        <v>0</v>
      </c>
    </row>
    <row r="81" spans="1:9" x14ac:dyDescent="0.25">
      <c r="A81" s="94">
        <v>77</v>
      </c>
      <c r="B81" s="98">
        <f t="shared" si="0"/>
        <v>0</v>
      </c>
      <c r="C81" s="98">
        <f t="shared" si="1"/>
        <v>0</v>
      </c>
      <c r="D81" s="98">
        <f t="shared" si="2"/>
        <v>0</v>
      </c>
      <c r="E81" s="98">
        <f t="shared" ca="1" si="3"/>
        <v>0</v>
      </c>
      <c r="F81" s="98">
        <f t="shared" si="4"/>
        <v>0</v>
      </c>
      <c r="G81" s="98">
        <f t="shared" ca="1" si="5"/>
        <v>0</v>
      </c>
      <c r="H81" s="98">
        <f t="shared" si="6"/>
        <v>0</v>
      </c>
      <c r="I81" s="98">
        <f t="shared" ca="1" si="7"/>
        <v>0</v>
      </c>
    </row>
    <row r="82" spans="1:9" x14ac:dyDescent="0.25">
      <c r="A82" s="29">
        <v>78</v>
      </c>
      <c r="B82" s="98">
        <f t="shared" si="0"/>
        <v>0</v>
      </c>
      <c r="C82" s="98">
        <f t="shared" si="1"/>
        <v>0</v>
      </c>
      <c r="D82" s="98">
        <f t="shared" si="2"/>
        <v>0</v>
      </c>
      <c r="E82" s="98">
        <f t="shared" ca="1" si="3"/>
        <v>0</v>
      </c>
      <c r="F82" s="98">
        <f t="shared" si="4"/>
        <v>0</v>
      </c>
      <c r="G82" s="98">
        <f t="shared" ca="1" si="5"/>
        <v>0</v>
      </c>
      <c r="H82" s="98">
        <f t="shared" si="6"/>
        <v>0</v>
      </c>
      <c r="I82" s="98">
        <f t="shared" ca="1" si="7"/>
        <v>0</v>
      </c>
    </row>
    <row r="83" spans="1:9" x14ac:dyDescent="0.25">
      <c r="A83" s="98">
        <v>79</v>
      </c>
      <c r="B83" s="98">
        <f t="shared" si="0"/>
        <v>0</v>
      </c>
      <c r="C83" s="98">
        <f t="shared" si="1"/>
        <v>0</v>
      </c>
      <c r="D83" s="98">
        <f t="shared" si="2"/>
        <v>0</v>
      </c>
      <c r="E83" s="98">
        <f t="shared" ca="1" si="3"/>
        <v>0</v>
      </c>
      <c r="F83" s="98">
        <f t="shared" si="4"/>
        <v>0</v>
      </c>
      <c r="G83" s="98">
        <f t="shared" ca="1" si="5"/>
        <v>0</v>
      </c>
      <c r="H83" s="98">
        <f t="shared" si="6"/>
        <v>0</v>
      </c>
      <c r="I83" s="98">
        <f t="shared" ca="1" si="7"/>
        <v>0</v>
      </c>
    </row>
    <row r="84" spans="1:9" x14ac:dyDescent="0.25">
      <c r="A84" s="98">
        <v>80</v>
      </c>
      <c r="B84" s="98">
        <f t="shared" ref="B84:B104" si="8">VLOOKUP($A84,$B$8:$F$14,2)</f>
        <v>0</v>
      </c>
      <c r="C84" s="98">
        <f t="shared" ref="C84:C104" si="9">IF(A84&lt;20,VLOOKUP($A84,$B$2:$D$4,2),1)*B84</f>
        <v>0</v>
      </c>
      <c r="D84" s="98">
        <f t="shared" ref="D84:D104" si="10">VLOOKUP($A84,$B$8:$F$14,3)</f>
        <v>0</v>
      </c>
      <c r="E84" s="98">
        <f t="shared" ref="E84:E104" ca="1" si="11">IF(C84&lt;20,VLOOKUP($A84,$B$2:$D$4,3),1)*D84</f>
        <v>0</v>
      </c>
      <c r="F84" s="98">
        <f t="shared" ref="F84:F104" si="12">VLOOKUP($A84,$B$8:$F$14,4)</f>
        <v>0</v>
      </c>
      <c r="G84" s="98">
        <f t="shared" ref="G84:G104" ca="1" si="13">IF(E84&lt;20,VLOOKUP($A84,$B$2:$D$4,2),1)*F84</f>
        <v>0</v>
      </c>
      <c r="H84" s="98">
        <f t="shared" ref="H84:H104" si="14">VLOOKUP($A84,$B$8:$F$14,5)</f>
        <v>0</v>
      </c>
      <c r="I84" s="98">
        <f t="shared" ref="I84:I104" ca="1" si="15">IF(G84&lt;20,VLOOKUP($A84,$B$2:$D$4,3),1)*H84</f>
        <v>0</v>
      </c>
    </row>
    <row r="85" spans="1:9" x14ac:dyDescent="0.25">
      <c r="A85" s="94">
        <v>81</v>
      </c>
      <c r="B85" s="98">
        <f t="shared" si="8"/>
        <v>0</v>
      </c>
      <c r="C85" s="98">
        <f t="shared" si="9"/>
        <v>0</v>
      </c>
      <c r="D85" s="98">
        <f t="shared" si="10"/>
        <v>0</v>
      </c>
      <c r="E85" s="98">
        <f t="shared" ca="1" si="11"/>
        <v>0</v>
      </c>
      <c r="F85" s="98">
        <f t="shared" si="12"/>
        <v>0</v>
      </c>
      <c r="G85" s="98">
        <f t="shared" ca="1" si="13"/>
        <v>0</v>
      </c>
      <c r="H85" s="98">
        <f t="shared" si="14"/>
        <v>0</v>
      </c>
      <c r="I85" s="98">
        <f t="shared" ca="1" si="15"/>
        <v>0</v>
      </c>
    </row>
    <row r="86" spans="1:9" x14ac:dyDescent="0.25">
      <c r="A86" s="29">
        <v>82</v>
      </c>
      <c r="B86" s="98">
        <f t="shared" si="8"/>
        <v>0</v>
      </c>
      <c r="C86" s="98">
        <f t="shared" si="9"/>
        <v>0</v>
      </c>
      <c r="D86" s="98">
        <f t="shared" si="10"/>
        <v>0</v>
      </c>
      <c r="E86" s="98">
        <f t="shared" ca="1" si="11"/>
        <v>0</v>
      </c>
      <c r="F86" s="98">
        <f t="shared" si="12"/>
        <v>0</v>
      </c>
      <c r="G86" s="98">
        <f t="shared" ca="1" si="13"/>
        <v>0</v>
      </c>
      <c r="H86" s="98">
        <f t="shared" si="14"/>
        <v>0</v>
      </c>
      <c r="I86" s="98">
        <f t="shared" ca="1" si="15"/>
        <v>0</v>
      </c>
    </row>
    <row r="87" spans="1:9" x14ac:dyDescent="0.25">
      <c r="A87" s="98">
        <v>83</v>
      </c>
      <c r="B87" s="98">
        <f t="shared" si="8"/>
        <v>0</v>
      </c>
      <c r="C87" s="98">
        <f t="shared" si="9"/>
        <v>0</v>
      </c>
      <c r="D87" s="98">
        <f t="shared" si="10"/>
        <v>0</v>
      </c>
      <c r="E87" s="98">
        <f t="shared" ca="1" si="11"/>
        <v>0</v>
      </c>
      <c r="F87" s="98">
        <f t="shared" si="12"/>
        <v>0</v>
      </c>
      <c r="G87" s="98">
        <f t="shared" ca="1" si="13"/>
        <v>0</v>
      </c>
      <c r="H87" s="98">
        <f t="shared" si="14"/>
        <v>0</v>
      </c>
      <c r="I87" s="98">
        <f t="shared" ca="1" si="15"/>
        <v>0</v>
      </c>
    </row>
    <row r="88" spans="1:9" x14ac:dyDescent="0.25">
      <c r="A88" s="98">
        <v>84</v>
      </c>
      <c r="B88" s="98">
        <f t="shared" si="8"/>
        <v>0</v>
      </c>
      <c r="C88" s="98">
        <f t="shared" si="9"/>
        <v>0</v>
      </c>
      <c r="D88" s="98">
        <f t="shared" si="10"/>
        <v>0</v>
      </c>
      <c r="E88" s="98">
        <f t="shared" ca="1" si="11"/>
        <v>0</v>
      </c>
      <c r="F88" s="98">
        <f t="shared" si="12"/>
        <v>0</v>
      </c>
      <c r="G88" s="98">
        <f t="shared" ca="1" si="13"/>
        <v>0</v>
      </c>
      <c r="H88" s="98">
        <f t="shared" si="14"/>
        <v>0</v>
      </c>
      <c r="I88" s="98">
        <f t="shared" ca="1" si="15"/>
        <v>0</v>
      </c>
    </row>
    <row r="89" spans="1:9" x14ac:dyDescent="0.25">
      <c r="A89" s="94">
        <v>85</v>
      </c>
      <c r="B89" s="98">
        <f t="shared" si="8"/>
        <v>0</v>
      </c>
      <c r="C89" s="98">
        <f t="shared" si="9"/>
        <v>0</v>
      </c>
      <c r="D89" s="98">
        <f t="shared" si="10"/>
        <v>0</v>
      </c>
      <c r="E89" s="98">
        <f t="shared" ca="1" si="11"/>
        <v>0</v>
      </c>
      <c r="F89" s="98">
        <f t="shared" si="12"/>
        <v>0</v>
      </c>
      <c r="G89" s="98">
        <f t="shared" ca="1" si="13"/>
        <v>0</v>
      </c>
      <c r="H89" s="98">
        <f t="shared" si="14"/>
        <v>0</v>
      </c>
      <c r="I89" s="98">
        <f t="shared" ca="1" si="15"/>
        <v>0</v>
      </c>
    </row>
    <row r="90" spans="1:9" x14ac:dyDescent="0.25">
      <c r="A90" s="29">
        <v>86</v>
      </c>
      <c r="B90" s="98">
        <f t="shared" si="8"/>
        <v>0</v>
      </c>
      <c r="C90" s="98">
        <f t="shared" si="9"/>
        <v>0</v>
      </c>
      <c r="D90" s="98">
        <f t="shared" si="10"/>
        <v>0</v>
      </c>
      <c r="E90" s="98">
        <f t="shared" ca="1" si="11"/>
        <v>0</v>
      </c>
      <c r="F90" s="98">
        <f t="shared" si="12"/>
        <v>0</v>
      </c>
      <c r="G90" s="98">
        <f t="shared" ca="1" si="13"/>
        <v>0</v>
      </c>
      <c r="H90" s="98">
        <f t="shared" si="14"/>
        <v>0</v>
      </c>
      <c r="I90" s="98">
        <f t="shared" ca="1" si="15"/>
        <v>0</v>
      </c>
    </row>
    <row r="91" spans="1:9" x14ac:dyDescent="0.25">
      <c r="A91" s="98">
        <v>87</v>
      </c>
      <c r="B91" s="98">
        <f t="shared" si="8"/>
        <v>0</v>
      </c>
      <c r="C91" s="98">
        <f t="shared" si="9"/>
        <v>0</v>
      </c>
      <c r="D91" s="98">
        <f t="shared" si="10"/>
        <v>0</v>
      </c>
      <c r="E91" s="98">
        <f t="shared" ca="1" si="11"/>
        <v>0</v>
      </c>
      <c r="F91" s="98">
        <f t="shared" si="12"/>
        <v>0</v>
      </c>
      <c r="G91" s="98">
        <f t="shared" ca="1" si="13"/>
        <v>0</v>
      </c>
      <c r="H91" s="98">
        <f t="shared" si="14"/>
        <v>0</v>
      </c>
      <c r="I91" s="98">
        <f t="shared" ca="1" si="15"/>
        <v>0</v>
      </c>
    </row>
    <row r="92" spans="1:9" x14ac:dyDescent="0.25">
      <c r="A92" s="98">
        <v>88</v>
      </c>
      <c r="B92" s="98">
        <f t="shared" si="8"/>
        <v>0</v>
      </c>
      <c r="C92" s="98">
        <f t="shared" si="9"/>
        <v>0</v>
      </c>
      <c r="D92" s="98">
        <f t="shared" si="10"/>
        <v>0</v>
      </c>
      <c r="E92" s="98">
        <f t="shared" ca="1" si="11"/>
        <v>0</v>
      </c>
      <c r="F92" s="98">
        <f t="shared" si="12"/>
        <v>0</v>
      </c>
      <c r="G92" s="98">
        <f t="shared" ca="1" si="13"/>
        <v>0</v>
      </c>
      <c r="H92" s="98">
        <f t="shared" si="14"/>
        <v>0</v>
      </c>
      <c r="I92" s="98">
        <f t="shared" ca="1" si="15"/>
        <v>0</v>
      </c>
    </row>
    <row r="93" spans="1:9" x14ac:dyDescent="0.25">
      <c r="A93" s="94">
        <v>89</v>
      </c>
      <c r="B93" s="98">
        <f t="shared" si="8"/>
        <v>0</v>
      </c>
      <c r="C93" s="98">
        <f t="shared" si="9"/>
        <v>0</v>
      </c>
      <c r="D93" s="98">
        <f t="shared" si="10"/>
        <v>0</v>
      </c>
      <c r="E93" s="98">
        <f t="shared" ca="1" si="11"/>
        <v>0</v>
      </c>
      <c r="F93" s="98">
        <f t="shared" si="12"/>
        <v>0</v>
      </c>
      <c r="G93" s="98">
        <f t="shared" ca="1" si="13"/>
        <v>0</v>
      </c>
      <c r="H93" s="98">
        <f t="shared" si="14"/>
        <v>0</v>
      </c>
      <c r="I93" s="98">
        <f t="shared" ca="1" si="15"/>
        <v>0</v>
      </c>
    </row>
    <row r="94" spans="1:9" x14ac:dyDescent="0.25">
      <c r="A94" s="29">
        <v>90</v>
      </c>
      <c r="B94" s="98">
        <f t="shared" si="8"/>
        <v>0</v>
      </c>
      <c r="C94" s="98">
        <f t="shared" si="9"/>
        <v>0</v>
      </c>
      <c r="D94" s="98">
        <f t="shared" si="10"/>
        <v>0</v>
      </c>
      <c r="E94" s="98">
        <f t="shared" ca="1" si="11"/>
        <v>0</v>
      </c>
      <c r="F94" s="98">
        <f t="shared" si="12"/>
        <v>0</v>
      </c>
      <c r="G94" s="98">
        <f t="shared" ca="1" si="13"/>
        <v>0</v>
      </c>
      <c r="H94" s="98">
        <f t="shared" si="14"/>
        <v>0</v>
      </c>
      <c r="I94" s="98">
        <f t="shared" ca="1" si="15"/>
        <v>0</v>
      </c>
    </row>
    <row r="95" spans="1:9" x14ac:dyDescent="0.25">
      <c r="A95" s="98">
        <v>91</v>
      </c>
      <c r="B95" s="98">
        <f t="shared" si="8"/>
        <v>0</v>
      </c>
      <c r="C95" s="98">
        <f t="shared" si="9"/>
        <v>0</v>
      </c>
      <c r="D95" s="98">
        <f t="shared" si="10"/>
        <v>0</v>
      </c>
      <c r="E95" s="98">
        <f t="shared" ca="1" si="11"/>
        <v>0</v>
      </c>
      <c r="F95" s="98">
        <f t="shared" si="12"/>
        <v>0</v>
      </c>
      <c r="G95" s="98">
        <f t="shared" ca="1" si="13"/>
        <v>0</v>
      </c>
      <c r="H95" s="98">
        <f t="shared" si="14"/>
        <v>0</v>
      </c>
      <c r="I95" s="98">
        <f t="shared" ca="1" si="15"/>
        <v>0</v>
      </c>
    </row>
    <row r="96" spans="1:9" x14ac:dyDescent="0.25">
      <c r="A96" s="98">
        <v>92</v>
      </c>
      <c r="B96" s="98">
        <f t="shared" si="8"/>
        <v>0</v>
      </c>
      <c r="C96" s="98">
        <f t="shared" si="9"/>
        <v>0</v>
      </c>
      <c r="D96" s="98">
        <f t="shared" si="10"/>
        <v>0</v>
      </c>
      <c r="E96" s="98">
        <f t="shared" ca="1" si="11"/>
        <v>0</v>
      </c>
      <c r="F96" s="98">
        <f t="shared" si="12"/>
        <v>0</v>
      </c>
      <c r="G96" s="98">
        <f t="shared" ca="1" si="13"/>
        <v>0</v>
      </c>
      <c r="H96" s="98">
        <f t="shared" si="14"/>
        <v>0</v>
      </c>
      <c r="I96" s="98">
        <f t="shared" ca="1" si="15"/>
        <v>0</v>
      </c>
    </row>
    <row r="97" spans="1:9" x14ac:dyDescent="0.25">
      <c r="A97" s="94">
        <v>93</v>
      </c>
      <c r="B97" s="98">
        <f t="shared" si="8"/>
        <v>0</v>
      </c>
      <c r="C97" s="98">
        <f t="shared" si="9"/>
        <v>0</v>
      </c>
      <c r="D97" s="98">
        <f t="shared" si="10"/>
        <v>0</v>
      </c>
      <c r="E97" s="98">
        <f t="shared" ca="1" si="11"/>
        <v>0</v>
      </c>
      <c r="F97" s="98">
        <f t="shared" si="12"/>
        <v>0</v>
      </c>
      <c r="G97" s="98">
        <f t="shared" ca="1" si="13"/>
        <v>0</v>
      </c>
      <c r="H97" s="98">
        <f t="shared" si="14"/>
        <v>0</v>
      </c>
      <c r="I97" s="98">
        <f t="shared" ca="1" si="15"/>
        <v>0</v>
      </c>
    </row>
    <row r="98" spans="1:9" x14ac:dyDescent="0.25">
      <c r="A98" s="29">
        <v>94</v>
      </c>
      <c r="B98" s="98">
        <f t="shared" si="8"/>
        <v>0</v>
      </c>
      <c r="C98" s="98">
        <f t="shared" si="9"/>
        <v>0</v>
      </c>
      <c r="D98" s="98">
        <f t="shared" si="10"/>
        <v>0</v>
      </c>
      <c r="E98" s="98">
        <f t="shared" ca="1" si="11"/>
        <v>0</v>
      </c>
      <c r="F98" s="98">
        <f t="shared" si="12"/>
        <v>0</v>
      </c>
      <c r="G98" s="98">
        <f t="shared" ca="1" si="13"/>
        <v>0</v>
      </c>
      <c r="H98" s="98">
        <f t="shared" si="14"/>
        <v>0</v>
      </c>
      <c r="I98" s="98">
        <f t="shared" ca="1" si="15"/>
        <v>0</v>
      </c>
    </row>
    <row r="99" spans="1:9" x14ac:dyDescent="0.25">
      <c r="A99" s="98">
        <v>95</v>
      </c>
      <c r="B99" s="98">
        <f t="shared" si="8"/>
        <v>0</v>
      </c>
      <c r="C99" s="98">
        <f t="shared" si="9"/>
        <v>0</v>
      </c>
      <c r="D99" s="98">
        <f t="shared" si="10"/>
        <v>0</v>
      </c>
      <c r="E99" s="98">
        <f t="shared" ca="1" si="11"/>
        <v>0</v>
      </c>
      <c r="F99" s="98">
        <f t="shared" si="12"/>
        <v>0</v>
      </c>
      <c r="G99" s="98">
        <f t="shared" ca="1" si="13"/>
        <v>0</v>
      </c>
      <c r="H99" s="98">
        <f t="shared" si="14"/>
        <v>0</v>
      </c>
      <c r="I99" s="98">
        <f t="shared" ca="1" si="15"/>
        <v>0</v>
      </c>
    </row>
    <row r="100" spans="1:9" x14ac:dyDescent="0.25">
      <c r="A100" s="98">
        <v>96</v>
      </c>
      <c r="B100" s="98">
        <f t="shared" si="8"/>
        <v>0</v>
      </c>
      <c r="C100" s="98">
        <f t="shared" si="9"/>
        <v>0</v>
      </c>
      <c r="D100" s="98">
        <f t="shared" si="10"/>
        <v>0</v>
      </c>
      <c r="E100" s="98">
        <f t="shared" ca="1" si="11"/>
        <v>0</v>
      </c>
      <c r="F100" s="98">
        <f t="shared" si="12"/>
        <v>0</v>
      </c>
      <c r="G100" s="98">
        <f t="shared" ca="1" si="13"/>
        <v>0</v>
      </c>
      <c r="H100" s="98">
        <f t="shared" si="14"/>
        <v>0</v>
      </c>
      <c r="I100" s="98">
        <f t="shared" ca="1" si="15"/>
        <v>0</v>
      </c>
    </row>
    <row r="101" spans="1:9" x14ac:dyDescent="0.25">
      <c r="A101" s="94">
        <v>97</v>
      </c>
      <c r="B101" s="98">
        <f t="shared" si="8"/>
        <v>0</v>
      </c>
      <c r="C101" s="98">
        <f t="shared" si="9"/>
        <v>0</v>
      </c>
      <c r="D101" s="98">
        <f t="shared" si="10"/>
        <v>0</v>
      </c>
      <c r="E101" s="98">
        <f t="shared" ca="1" si="11"/>
        <v>0</v>
      </c>
      <c r="F101" s="98">
        <f t="shared" si="12"/>
        <v>0</v>
      </c>
      <c r="G101" s="98">
        <f t="shared" ca="1" si="13"/>
        <v>0</v>
      </c>
      <c r="H101" s="98">
        <f t="shared" si="14"/>
        <v>0</v>
      </c>
      <c r="I101" s="98">
        <f t="shared" ca="1" si="15"/>
        <v>0</v>
      </c>
    </row>
    <row r="102" spans="1:9" x14ac:dyDescent="0.25">
      <c r="A102" s="29">
        <v>98</v>
      </c>
      <c r="B102" s="98">
        <f t="shared" si="8"/>
        <v>0</v>
      </c>
      <c r="C102" s="98">
        <f t="shared" si="9"/>
        <v>0</v>
      </c>
      <c r="D102" s="98">
        <f t="shared" si="10"/>
        <v>0</v>
      </c>
      <c r="E102" s="98">
        <f t="shared" ca="1" si="11"/>
        <v>0</v>
      </c>
      <c r="F102" s="98">
        <f t="shared" si="12"/>
        <v>0</v>
      </c>
      <c r="G102" s="98">
        <f t="shared" ca="1" si="13"/>
        <v>0</v>
      </c>
      <c r="H102" s="98">
        <f t="shared" si="14"/>
        <v>0</v>
      </c>
      <c r="I102" s="98">
        <f t="shared" ca="1" si="15"/>
        <v>0</v>
      </c>
    </row>
    <row r="103" spans="1:9" x14ac:dyDescent="0.25">
      <c r="A103" s="98">
        <v>99</v>
      </c>
      <c r="B103" s="98">
        <f t="shared" si="8"/>
        <v>0</v>
      </c>
      <c r="C103" s="98">
        <f t="shared" si="9"/>
        <v>0</v>
      </c>
      <c r="D103" s="98">
        <f t="shared" si="10"/>
        <v>0</v>
      </c>
      <c r="E103" s="98">
        <f t="shared" ca="1" si="11"/>
        <v>0</v>
      </c>
      <c r="F103" s="98">
        <f t="shared" si="12"/>
        <v>0</v>
      </c>
      <c r="G103" s="98">
        <f t="shared" ca="1" si="13"/>
        <v>0</v>
      </c>
      <c r="H103" s="98">
        <f t="shared" si="14"/>
        <v>0</v>
      </c>
      <c r="I103" s="98">
        <f t="shared" ca="1" si="15"/>
        <v>0</v>
      </c>
    </row>
    <row r="104" spans="1:9" x14ac:dyDescent="0.25">
      <c r="A104" s="98">
        <v>100</v>
      </c>
      <c r="B104" s="98">
        <f t="shared" si="8"/>
        <v>0</v>
      </c>
      <c r="C104" s="98">
        <f t="shared" si="9"/>
        <v>0</v>
      </c>
      <c r="D104" s="98">
        <f t="shared" si="10"/>
        <v>0</v>
      </c>
      <c r="E104" s="98">
        <f t="shared" ca="1" si="11"/>
        <v>0</v>
      </c>
      <c r="F104" s="98">
        <f t="shared" si="12"/>
        <v>0</v>
      </c>
      <c r="G104" s="98">
        <f t="shared" ca="1" si="13"/>
        <v>0</v>
      </c>
      <c r="H104" s="98">
        <f t="shared" si="14"/>
        <v>0</v>
      </c>
      <c r="I104" s="98">
        <f t="shared" ca="1" si="15"/>
        <v>0</v>
      </c>
    </row>
  </sheetData>
  <sheetProtection algorithmName="SHA-512" hashValue="aaH0mtbE25BmQanwyyvpwg7ifWaSpUT1+cCDsRCpKDlexzQLSIz5VylHnV+8N6HkQl48zR39r5Hc1dACttgo8g==" saltValue="ukkUdF91lMTmNmcDZEvqFg==" spinCount="100000" sheet="1" objects="1" scenarios="1" selectLockedCells="1"/>
  <mergeCells count="10">
    <mergeCell ref="H17:I17"/>
    <mergeCell ref="F16:I16"/>
    <mergeCell ref="B16:E16"/>
    <mergeCell ref="H6:I6"/>
    <mergeCell ref="J6:K6"/>
    <mergeCell ref="C6:D6"/>
    <mergeCell ref="E6:F6"/>
    <mergeCell ref="B17:C17"/>
    <mergeCell ref="D17:E17"/>
    <mergeCell ref="F17:G1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AI236"/>
  <sheetViews>
    <sheetView workbookViewId="0">
      <selection activeCell="H9" sqref="H9"/>
    </sheetView>
  </sheetViews>
  <sheetFormatPr defaultRowHeight="15" x14ac:dyDescent="0.25"/>
  <cols>
    <col min="1" max="1" width="26.85546875" style="18" bestFit="1" customWidth="1"/>
    <col min="2" max="2" width="14.42578125" style="18" bestFit="1" customWidth="1"/>
    <col min="3" max="3" width="15.42578125" style="18" bestFit="1" customWidth="1"/>
    <col min="4" max="4" width="15.7109375" style="18" bestFit="1" customWidth="1"/>
    <col min="5" max="5" width="14.42578125" style="18" bestFit="1" customWidth="1"/>
    <col min="6" max="6" width="15.42578125" style="18" bestFit="1" customWidth="1"/>
    <col min="7" max="7" width="15.7109375" style="18" bestFit="1" customWidth="1"/>
    <col min="8" max="8" width="14.42578125" style="18" bestFit="1" customWidth="1"/>
    <col min="9" max="9" width="15.42578125" style="18" bestFit="1" customWidth="1"/>
    <col min="10" max="10" width="15.7109375" style="18" bestFit="1" customWidth="1"/>
    <col min="11" max="11" width="14.42578125" style="18" bestFit="1" customWidth="1"/>
    <col min="12" max="12" width="15.42578125" style="18" bestFit="1" customWidth="1"/>
    <col min="13" max="13" width="15.7109375" style="18" bestFit="1" customWidth="1"/>
    <col min="14" max="14" width="14.42578125" style="18" bestFit="1" customWidth="1"/>
    <col min="15" max="15" width="15.42578125" style="18" bestFit="1" customWidth="1"/>
    <col min="16" max="16" width="15.7109375" style="18" bestFit="1" customWidth="1"/>
    <col min="17" max="17" width="14.42578125" style="18" bestFit="1" customWidth="1"/>
    <col min="18" max="18" width="15.42578125" style="18" bestFit="1" customWidth="1"/>
    <col min="19" max="19" width="15.7109375" style="18" bestFit="1" customWidth="1"/>
    <col min="20" max="20" width="14.42578125" style="18" bestFit="1" customWidth="1"/>
    <col min="21" max="21" width="15.42578125" style="18" bestFit="1" customWidth="1"/>
    <col min="22" max="22" width="15.7109375" style="18" bestFit="1" customWidth="1"/>
    <col min="23" max="23" width="14.42578125" style="18" bestFit="1" customWidth="1"/>
    <col min="24" max="24" width="15.42578125" style="18" bestFit="1" customWidth="1"/>
    <col min="25" max="25" width="15.7109375" style="18" bestFit="1" customWidth="1"/>
    <col min="26" max="26" width="9.140625" style="18"/>
    <col min="27" max="27" width="9.85546875" style="18" bestFit="1" customWidth="1"/>
    <col min="28" max="28" width="5" style="18" bestFit="1" customWidth="1"/>
    <col min="29" max="30" width="6" style="18" bestFit="1" customWidth="1"/>
    <col min="31" max="31" width="6.7109375" style="18" bestFit="1" customWidth="1"/>
    <col min="32" max="32" width="4.7109375" style="18" bestFit="1" customWidth="1"/>
    <col min="33" max="33" width="6" style="18" bestFit="1" customWidth="1"/>
    <col min="34" max="34" width="5.5703125" style="18" bestFit="1" customWidth="1"/>
    <col min="35" max="35" width="6.7109375" style="18" bestFit="1" customWidth="1"/>
    <col min="36" max="16384" width="9.140625" style="18"/>
  </cols>
  <sheetData>
    <row r="1" spans="1:35" ht="15.75" thickBot="1" x14ac:dyDescent="0.3">
      <c r="A1" s="629" t="s">
        <v>79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1"/>
      <c r="AA1" s="552" t="s">
        <v>819</v>
      </c>
      <c r="AB1" s="555"/>
      <c r="AC1" s="555"/>
      <c r="AD1" s="555"/>
      <c r="AE1" s="555"/>
      <c r="AF1" s="555"/>
      <c r="AG1" s="555"/>
      <c r="AH1" s="555"/>
      <c r="AI1" s="556"/>
    </row>
    <row r="2" spans="1:35" s="96" customFormat="1" x14ac:dyDescent="0.25">
      <c r="A2" s="126"/>
      <c r="B2" s="639" t="s">
        <v>107</v>
      </c>
      <c r="C2" s="640"/>
      <c r="D2" s="640"/>
      <c r="E2" s="640"/>
      <c r="F2" s="640"/>
      <c r="G2" s="640"/>
      <c r="H2" s="640"/>
      <c r="I2" s="640"/>
      <c r="J2" s="640"/>
      <c r="K2" s="640"/>
      <c r="L2" s="640"/>
      <c r="M2" s="641"/>
      <c r="N2" s="639" t="s">
        <v>25</v>
      </c>
      <c r="O2" s="640"/>
      <c r="P2" s="640"/>
      <c r="Q2" s="640"/>
      <c r="R2" s="640"/>
      <c r="S2" s="640"/>
      <c r="T2" s="640"/>
      <c r="U2" s="640"/>
      <c r="V2" s="640"/>
      <c r="W2" s="640"/>
      <c r="X2" s="640"/>
      <c r="Y2" s="641"/>
      <c r="AA2" s="552" t="s">
        <v>815</v>
      </c>
      <c r="AB2" s="555"/>
      <c r="AC2" s="555"/>
      <c r="AD2" s="555"/>
      <c r="AE2" s="555"/>
      <c r="AF2" s="555"/>
      <c r="AG2" s="555"/>
      <c r="AH2" s="555"/>
      <c r="AI2" s="556"/>
    </row>
    <row r="3" spans="1:35" s="96" customFormat="1" x14ac:dyDescent="0.25">
      <c r="A3" s="127"/>
      <c r="B3" s="628" t="s">
        <v>5</v>
      </c>
      <c r="C3" s="626"/>
      <c r="D3" s="626"/>
      <c r="E3" s="625" t="s">
        <v>6</v>
      </c>
      <c r="F3" s="626"/>
      <c r="G3" s="626"/>
      <c r="H3" s="625" t="s">
        <v>53</v>
      </c>
      <c r="I3" s="626"/>
      <c r="J3" s="626"/>
      <c r="K3" s="625" t="s">
        <v>8</v>
      </c>
      <c r="L3" s="626"/>
      <c r="M3" s="627"/>
      <c r="N3" s="628" t="s">
        <v>5</v>
      </c>
      <c r="O3" s="626"/>
      <c r="P3" s="626"/>
      <c r="Q3" s="625" t="s">
        <v>6</v>
      </c>
      <c r="R3" s="626"/>
      <c r="S3" s="626"/>
      <c r="T3" s="625" t="s">
        <v>53</v>
      </c>
      <c r="U3" s="626"/>
      <c r="V3" s="626"/>
      <c r="W3" s="625" t="s">
        <v>8</v>
      </c>
      <c r="X3" s="626"/>
      <c r="Y3" s="627"/>
      <c r="Z3" s="40"/>
      <c r="AA3" s="8"/>
      <c r="AB3" s="642" t="s">
        <v>14</v>
      </c>
      <c r="AC3" s="613"/>
      <c r="AD3" s="613"/>
      <c r="AE3" s="644"/>
      <c r="AF3" s="642" t="s">
        <v>25</v>
      </c>
      <c r="AG3" s="613"/>
      <c r="AH3" s="613"/>
      <c r="AI3" s="643"/>
    </row>
    <row r="4" spans="1:35" s="96" customFormat="1" x14ac:dyDescent="0.25">
      <c r="A4" s="128" t="s">
        <v>340</v>
      </c>
      <c r="B4" s="192">
        <v>2</v>
      </c>
      <c r="C4" s="189">
        <v>3</v>
      </c>
      <c r="D4" s="189">
        <v>4</v>
      </c>
      <c r="E4" s="190">
        <v>5</v>
      </c>
      <c r="F4" s="189">
        <v>6</v>
      </c>
      <c r="G4" s="189">
        <v>7</v>
      </c>
      <c r="H4" s="190">
        <v>8</v>
      </c>
      <c r="I4" s="189">
        <v>9</v>
      </c>
      <c r="J4" s="189">
        <v>10</v>
      </c>
      <c r="K4" s="190">
        <v>11</v>
      </c>
      <c r="L4" s="189">
        <v>12</v>
      </c>
      <c r="M4" s="191">
        <v>13</v>
      </c>
      <c r="N4" s="192">
        <v>14</v>
      </c>
      <c r="O4" s="189">
        <v>15</v>
      </c>
      <c r="P4" s="189">
        <v>16</v>
      </c>
      <c r="Q4" s="190">
        <v>17</v>
      </c>
      <c r="R4" s="189">
        <v>18</v>
      </c>
      <c r="S4" s="189">
        <v>19</v>
      </c>
      <c r="T4" s="190">
        <v>20</v>
      </c>
      <c r="U4" s="189">
        <v>21</v>
      </c>
      <c r="V4" s="189">
        <v>22</v>
      </c>
      <c r="W4" s="190">
        <v>23</v>
      </c>
      <c r="X4" s="189">
        <v>24</v>
      </c>
      <c r="Y4" s="191">
        <v>25</v>
      </c>
      <c r="Z4" s="40"/>
      <c r="AA4" s="41" t="s">
        <v>51</v>
      </c>
      <c r="AB4" s="196" t="s">
        <v>5</v>
      </c>
      <c r="AC4" s="97" t="s">
        <v>6</v>
      </c>
      <c r="AD4" s="97" t="s">
        <v>7</v>
      </c>
      <c r="AE4" s="215" t="s">
        <v>8</v>
      </c>
      <c r="AF4" s="196" t="s">
        <v>5</v>
      </c>
      <c r="AG4" s="97" t="s">
        <v>6</v>
      </c>
      <c r="AH4" s="97" t="s">
        <v>7</v>
      </c>
      <c r="AI4" s="42" t="s">
        <v>8</v>
      </c>
    </row>
    <row r="5" spans="1:35" s="96" customFormat="1" x14ac:dyDescent="0.25">
      <c r="A5" s="129" t="s">
        <v>51</v>
      </c>
      <c r="B5" s="130" t="s">
        <v>50</v>
      </c>
      <c r="C5" s="131" t="s">
        <v>49</v>
      </c>
      <c r="D5" s="131" t="s">
        <v>24</v>
      </c>
      <c r="E5" s="132" t="s">
        <v>50</v>
      </c>
      <c r="F5" s="131" t="s">
        <v>49</v>
      </c>
      <c r="G5" s="131" t="s">
        <v>24</v>
      </c>
      <c r="H5" s="132" t="s">
        <v>50</v>
      </c>
      <c r="I5" s="131" t="s">
        <v>49</v>
      </c>
      <c r="J5" s="131" t="s">
        <v>24</v>
      </c>
      <c r="K5" s="132" t="s">
        <v>50</v>
      </c>
      <c r="L5" s="131" t="s">
        <v>49</v>
      </c>
      <c r="M5" s="133" t="s">
        <v>24</v>
      </c>
      <c r="N5" s="130" t="s">
        <v>50</v>
      </c>
      <c r="O5" s="131" t="s">
        <v>49</v>
      </c>
      <c r="P5" s="131" t="s">
        <v>24</v>
      </c>
      <c r="Q5" s="132" t="s">
        <v>50</v>
      </c>
      <c r="R5" s="131" t="s">
        <v>49</v>
      </c>
      <c r="S5" s="131" t="s">
        <v>24</v>
      </c>
      <c r="T5" s="132" t="s">
        <v>50</v>
      </c>
      <c r="U5" s="131" t="s">
        <v>49</v>
      </c>
      <c r="V5" s="131" t="s">
        <v>24</v>
      </c>
      <c r="W5" s="132" t="s">
        <v>50</v>
      </c>
      <c r="X5" s="131" t="s">
        <v>49</v>
      </c>
      <c r="Y5" s="133" t="s">
        <v>24</v>
      </c>
      <c r="Z5" s="40"/>
      <c r="AA5" s="8">
        <v>0</v>
      </c>
      <c r="AB5" s="58">
        <v>1</v>
      </c>
      <c r="AC5" s="96">
        <v>1</v>
      </c>
      <c r="AD5" s="96">
        <v>1</v>
      </c>
      <c r="AE5" s="62">
        <v>1</v>
      </c>
      <c r="AF5" s="58">
        <v>1</v>
      </c>
      <c r="AG5" s="96">
        <v>1</v>
      </c>
      <c r="AH5" s="96">
        <v>1</v>
      </c>
      <c r="AI5" s="10">
        <v>1</v>
      </c>
    </row>
    <row r="6" spans="1:35" s="96" customFormat="1" x14ac:dyDescent="0.25">
      <c r="A6" s="134">
        <v>0</v>
      </c>
      <c r="B6" s="135">
        <f>Parameters!N83</f>
        <v>0</v>
      </c>
      <c r="C6" s="136">
        <f t="shared" ref="C6:C24" si="0">B6*VLOOKUP($A6,$AA$13:$AI$17,2)</f>
        <v>0</v>
      </c>
      <c r="D6" s="136">
        <f t="shared" ref="D6:D24" si="1">B6*VLOOKUP($A6,$AA$5:$AI$9,2)</f>
        <v>0</v>
      </c>
      <c r="E6" s="137">
        <f>Parameters!N102</f>
        <v>5.9022572407648988E-5</v>
      </c>
      <c r="F6" s="136">
        <f t="shared" ref="F6:F24" si="2">E6*VLOOKUP($A6,$AA$13:$AI$17,3)</f>
        <v>5.9022572407648988E-5</v>
      </c>
      <c r="G6" s="136">
        <f t="shared" ref="G6:G24" si="3">E6*VLOOKUP($A6,$AA$5:$AI$9,3)</f>
        <v>5.9022572407648988E-5</v>
      </c>
      <c r="H6" s="137">
        <f>Parameters!N121</f>
        <v>1.9983642879480307E-5</v>
      </c>
      <c r="I6" s="136">
        <f t="shared" ref="I6:I24" si="4">H6*VLOOKUP($A6,$AA$13:$AI$17,4)</f>
        <v>1.9983642879480307E-5</v>
      </c>
      <c r="J6" s="136">
        <f t="shared" ref="J6:J24" si="5">H6*VLOOKUP($A6,$AA$5:$AI$9,4)</f>
        <v>1.9983642879480307E-5</v>
      </c>
      <c r="K6" s="137">
        <f>Parameters!N140</f>
        <v>0</v>
      </c>
      <c r="L6" s="136">
        <f t="shared" ref="L6:L24" si="6">K6*VLOOKUP($A6,$AA$13:$AI$17,5)</f>
        <v>0</v>
      </c>
      <c r="M6" s="138">
        <f t="shared" ref="M6:M24" si="7">K6*VLOOKUP($A6,$AA$5:$AI$9,5)</f>
        <v>0</v>
      </c>
      <c r="N6" s="135">
        <f>Parameters!O83</f>
        <v>0</v>
      </c>
      <c r="O6" s="136">
        <f t="shared" ref="O6:O24" si="8">N6*VLOOKUP($A6,$AA$13:$AI$17,6)</f>
        <v>0</v>
      </c>
      <c r="P6" s="136">
        <f t="shared" ref="P6:P24" si="9">N6*VLOOKUP($A6,$AA$5:$AI$9,6)</f>
        <v>0</v>
      </c>
      <c r="Q6" s="137">
        <f ca="1">Parameters!O102</f>
        <v>5.6314613825690224E-5</v>
      </c>
      <c r="R6" s="136">
        <f t="shared" ref="R6:R24" ca="1" si="10">Q6*VLOOKUP($A6,$AA$13:$AI$17,7)</f>
        <v>5.6314613825690224E-5</v>
      </c>
      <c r="S6" s="136">
        <f t="shared" ref="S6:S24" ca="1" si="11">Q6*VLOOKUP($A6,$AA$5:$AI$9,7)</f>
        <v>5.6314613825690224E-5</v>
      </c>
      <c r="T6" s="137">
        <f ca="1">Parameters!O121</f>
        <v>2.0553548849555625E-5</v>
      </c>
      <c r="U6" s="136">
        <f t="shared" ref="U6:U24" ca="1" si="12">T6*VLOOKUP($A6,$AA$13:$AI$17,8)</f>
        <v>2.0553548849555625E-5</v>
      </c>
      <c r="V6" s="136">
        <f t="shared" ref="V6:V24" ca="1" si="13">T6*VLOOKUP($A6,$AA$5:$AI$9,8)</f>
        <v>2.0553548849555625E-5</v>
      </c>
      <c r="W6" s="137">
        <f>Parameters!O140</f>
        <v>0</v>
      </c>
      <c r="X6" s="136">
        <f t="shared" ref="X6:X24" si="14">W6*VLOOKUP($A6,$AA$13:$AI$17,9)</f>
        <v>0</v>
      </c>
      <c r="Y6" s="138">
        <f t="shared" ref="Y6:Y24" si="15">W6*VLOOKUP($A6,$AA$5:$AI$9,9)</f>
        <v>0</v>
      </c>
      <c r="Z6" s="40"/>
      <c r="AA6" s="8">
        <v>35</v>
      </c>
      <c r="AB6" s="58">
        <f>Parameters!O307</f>
        <v>4.9800000000000004</v>
      </c>
      <c r="AC6" s="96">
        <f>Parameters!O311</f>
        <v>6.43</v>
      </c>
      <c r="AD6" s="96">
        <f>Parameters!O315</f>
        <v>13.3</v>
      </c>
      <c r="AE6" s="62">
        <f>Parameters!O319</f>
        <v>2.44</v>
      </c>
      <c r="AF6" s="59">
        <f ca="1">Parameters!P307</f>
        <v>5.1815426920196872</v>
      </c>
      <c r="AG6" s="67">
        <f ca="1">Parameters!P311</f>
        <v>7.3655779092938642</v>
      </c>
      <c r="AH6" s="67">
        <f ca="1">Parameters!P315</f>
        <v>13.935051615943188</v>
      </c>
      <c r="AI6" s="28">
        <f ca="1">Parameters!P319</f>
        <v>2.6398441739729788</v>
      </c>
    </row>
    <row r="7" spans="1:35" s="96" customFormat="1" x14ac:dyDescent="0.25">
      <c r="A7" s="134">
        <v>5</v>
      </c>
      <c r="B7" s="135">
        <f>Parameters!N84</f>
        <v>0</v>
      </c>
      <c r="C7" s="136">
        <f t="shared" si="0"/>
        <v>0</v>
      </c>
      <c r="D7" s="136">
        <f t="shared" si="1"/>
        <v>0</v>
      </c>
      <c r="E7" s="137">
        <f>Parameters!N103</f>
        <v>6.0132602524398558E-5</v>
      </c>
      <c r="F7" s="136">
        <f t="shared" si="2"/>
        <v>6.0132602524398558E-5</v>
      </c>
      <c r="G7" s="136">
        <f t="shared" si="3"/>
        <v>6.0132602524398558E-5</v>
      </c>
      <c r="H7" s="137">
        <f>Parameters!N122</f>
        <v>2.0019615585344803E-5</v>
      </c>
      <c r="I7" s="136">
        <f t="shared" si="4"/>
        <v>2.0019615585344803E-5</v>
      </c>
      <c r="J7" s="136">
        <f t="shared" si="5"/>
        <v>2.0019615585344803E-5</v>
      </c>
      <c r="K7" s="137">
        <f>Parameters!N141</f>
        <v>0</v>
      </c>
      <c r="L7" s="136">
        <f t="shared" si="6"/>
        <v>0</v>
      </c>
      <c r="M7" s="138">
        <f t="shared" si="7"/>
        <v>0</v>
      </c>
      <c r="N7" s="135">
        <f>Parameters!O84</f>
        <v>0</v>
      </c>
      <c r="O7" s="136">
        <f t="shared" si="8"/>
        <v>0</v>
      </c>
      <c r="P7" s="136">
        <f t="shared" si="9"/>
        <v>0</v>
      </c>
      <c r="Q7" s="137">
        <f ca="1">Parameters!O103</f>
        <v>6.7350826985945744E-5</v>
      </c>
      <c r="R7" s="136">
        <f t="shared" ca="1" si="10"/>
        <v>6.7350826985945744E-5</v>
      </c>
      <c r="S7" s="136">
        <f t="shared" ca="1" si="11"/>
        <v>6.7350826985945744E-5</v>
      </c>
      <c r="T7" s="137">
        <f ca="1">Parameters!O122</f>
        <v>1.7391730717738948E-5</v>
      </c>
      <c r="U7" s="136">
        <f t="shared" ca="1" si="12"/>
        <v>1.7391730717738948E-5</v>
      </c>
      <c r="V7" s="136">
        <f t="shared" ca="1" si="13"/>
        <v>1.7391730717738948E-5</v>
      </c>
      <c r="W7" s="137">
        <f>Parameters!O141</f>
        <v>0</v>
      </c>
      <c r="X7" s="136">
        <f t="shared" si="14"/>
        <v>0</v>
      </c>
      <c r="Y7" s="138">
        <f t="shared" si="15"/>
        <v>0</v>
      </c>
      <c r="AA7" s="39">
        <v>55</v>
      </c>
      <c r="AB7" s="58">
        <f>Parameters!O308</f>
        <v>3.25</v>
      </c>
      <c r="AC7" s="96">
        <f>Parameters!O312</f>
        <v>9</v>
      </c>
      <c r="AD7" s="96">
        <f>Parameters!O316</f>
        <v>18.95</v>
      </c>
      <c r="AE7" s="62">
        <f>Parameters!O320</f>
        <v>1.98</v>
      </c>
      <c r="AF7" s="59">
        <f ca="1">Parameters!P308</f>
        <v>2.8956772062712783</v>
      </c>
      <c r="AG7" s="67">
        <f ca="1">Parameters!P312</f>
        <v>10.038937061748094</v>
      </c>
      <c r="AH7" s="67">
        <f ca="1">Parameters!P316</f>
        <v>19.612128101762409</v>
      </c>
      <c r="AI7" s="28">
        <f ca="1">Parameters!P320</f>
        <v>2.2741362875909985</v>
      </c>
    </row>
    <row r="8" spans="1:35" s="96" customFormat="1" x14ac:dyDescent="0.25">
      <c r="A8" s="134">
        <v>10</v>
      </c>
      <c r="B8" s="135">
        <f>Parameters!N85</f>
        <v>0</v>
      </c>
      <c r="C8" s="136">
        <f t="shared" si="0"/>
        <v>0</v>
      </c>
      <c r="D8" s="136">
        <f t="shared" si="1"/>
        <v>0</v>
      </c>
      <c r="E8" s="137">
        <f>Parameters!N104</f>
        <v>2.3127650607176692E-4</v>
      </c>
      <c r="F8" s="136">
        <f t="shared" si="2"/>
        <v>2.3127650607176692E-4</v>
      </c>
      <c r="G8" s="136">
        <f t="shared" si="3"/>
        <v>2.3127650607176692E-4</v>
      </c>
      <c r="H8" s="137">
        <f>Parameters!N123</f>
        <v>1.9964288001999379E-5</v>
      </c>
      <c r="I8" s="136">
        <f t="shared" si="4"/>
        <v>1.9964288001999379E-5</v>
      </c>
      <c r="J8" s="136">
        <f t="shared" si="5"/>
        <v>1.9964288001999379E-5</v>
      </c>
      <c r="K8" s="137">
        <f>Parameters!N142</f>
        <v>0</v>
      </c>
      <c r="L8" s="136">
        <f t="shared" si="6"/>
        <v>0</v>
      </c>
      <c r="M8" s="138">
        <f t="shared" si="7"/>
        <v>0</v>
      </c>
      <c r="N8" s="135">
        <f>Parameters!O85</f>
        <v>0</v>
      </c>
      <c r="O8" s="136">
        <f t="shared" si="8"/>
        <v>0</v>
      </c>
      <c r="P8" s="136">
        <f t="shared" si="9"/>
        <v>0</v>
      </c>
      <c r="Q8" s="137">
        <f ca="1">Parameters!O104</f>
        <v>2.2698285139712522E-4</v>
      </c>
      <c r="R8" s="136">
        <f t="shared" ca="1" si="10"/>
        <v>2.2698285139712522E-4</v>
      </c>
      <c r="S8" s="136">
        <f t="shared" ca="1" si="11"/>
        <v>2.2698285139712522E-4</v>
      </c>
      <c r="T8" s="137">
        <f ca="1">Parameters!O123</f>
        <v>2.0790503249434877E-5</v>
      </c>
      <c r="U8" s="136">
        <f t="shared" ca="1" si="12"/>
        <v>2.0790503249434877E-5</v>
      </c>
      <c r="V8" s="136">
        <f t="shared" ca="1" si="13"/>
        <v>2.0790503249434877E-5</v>
      </c>
      <c r="W8" s="137">
        <f>Parameters!O142</f>
        <v>0</v>
      </c>
      <c r="X8" s="136">
        <f t="shared" si="14"/>
        <v>0</v>
      </c>
      <c r="Y8" s="138">
        <f t="shared" si="15"/>
        <v>0</v>
      </c>
      <c r="AA8" s="39">
        <v>65</v>
      </c>
      <c r="AB8" s="58">
        <f>Parameters!O309</f>
        <v>3.29</v>
      </c>
      <c r="AC8" s="96">
        <f>Parameters!O313</f>
        <v>38.89</v>
      </c>
      <c r="AD8" s="96">
        <f>Parameters!O317</f>
        <v>23.65</v>
      </c>
      <c r="AE8" s="62">
        <f>Parameters!O321</f>
        <v>2.27</v>
      </c>
      <c r="AF8" s="59">
        <f ca="1">Parameters!P309</f>
        <v>3.8719452238364607</v>
      </c>
      <c r="AG8" s="67">
        <f ca="1">Parameters!P313</f>
        <v>39.893384524676485</v>
      </c>
      <c r="AH8" s="67">
        <f ca="1">Parameters!P317</f>
        <v>23.419179358713741</v>
      </c>
      <c r="AI8" s="28">
        <f ca="1">Parameters!P321</f>
        <v>2.0371247519954112</v>
      </c>
    </row>
    <row r="9" spans="1:35" s="96" customFormat="1" ht="15.75" thickBot="1" x14ac:dyDescent="0.3">
      <c r="A9" s="134">
        <v>15</v>
      </c>
      <c r="B9" s="135">
        <f>Parameters!N86</f>
        <v>0</v>
      </c>
      <c r="C9" s="136">
        <f t="shared" si="0"/>
        <v>0</v>
      </c>
      <c r="D9" s="136">
        <f t="shared" si="1"/>
        <v>0</v>
      </c>
      <c r="E9" s="137">
        <f>Parameters!N105</f>
        <v>3.1309561898364179E-4</v>
      </c>
      <c r="F9" s="136">
        <f t="shared" si="2"/>
        <v>3.1309561898364179E-4</v>
      </c>
      <c r="G9" s="136">
        <f t="shared" si="3"/>
        <v>3.1309561898364179E-4</v>
      </c>
      <c r="H9" s="137">
        <f>Parameters!N124</f>
        <v>1.9970877978928797E-5</v>
      </c>
      <c r="I9" s="136">
        <f t="shared" si="4"/>
        <v>1.9970877978928797E-5</v>
      </c>
      <c r="J9" s="136">
        <f t="shared" si="5"/>
        <v>1.9970877978928797E-5</v>
      </c>
      <c r="K9" s="137">
        <f>Parameters!N143</f>
        <v>0</v>
      </c>
      <c r="L9" s="136">
        <f t="shared" si="6"/>
        <v>0</v>
      </c>
      <c r="M9" s="138">
        <f t="shared" si="7"/>
        <v>0</v>
      </c>
      <c r="N9" s="135">
        <f>Parameters!O86</f>
        <v>0</v>
      </c>
      <c r="O9" s="136">
        <f t="shared" si="8"/>
        <v>0</v>
      </c>
      <c r="P9" s="136">
        <f t="shared" si="9"/>
        <v>0</v>
      </c>
      <c r="Q9" s="137">
        <f ca="1">Parameters!O105</f>
        <v>2.7386852851761891E-4</v>
      </c>
      <c r="R9" s="136">
        <f t="shared" ca="1" si="10"/>
        <v>2.7386852851761891E-4</v>
      </c>
      <c r="S9" s="136">
        <f t="shared" ca="1" si="11"/>
        <v>2.7386852851761891E-4</v>
      </c>
      <c r="T9" s="137">
        <f ca="1">Parameters!O124</f>
        <v>2.1518176789192545E-5</v>
      </c>
      <c r="U9" s="136">
        <f t="shared" ca="1" si="12"/>
        <v>2.1518176789192545E-5</v>
      </c>
      <c r="V9" s="136">
        <f t="shared" ca="1" si="13"/>
        <v>2.1518176789192545E-5</v>
      </c>
      <c r="W9" s="137">
        <f>Parameters!O143</f>
        <v>0</v>
      </c>
      <c r="X9" s="136">
        <f t="shared" si="14"/>
        <v>0</v>
      </c>
      <c r="Y9" s="138">
        <f t="shared" si="15"/>
        <v>0</v>
      </c>
      <c r="AA9" s="11">
        <v>75</v>
      </c>
      <c r="AB9" s="60">
        <f>Parameters!O310</f>
        <v>2.25</v>
      </c>
      <c r="AC9" s="12">
        <f>Parameters!O314</f>
        <v>20.96</v>
      </c>
      <c r="AD9" s="12">
        <f>Parameters!O318</f>
        <v>23.08</v>
      </c>
      <c r="AE9" s="61">
        <f>Parameters!O322</f>
        <v>1.7</v>
      </c>
      <c r="AF9" s="216">
        <f ca="1">Parameters!P310</f>
        <v>2.4522083101341274</v>
      </c>
      <c r="AG9" s="217">
        <f ca="1">Parameters!P314</f>
        <v>23.558482009840677</v>
      </c>
      <c r="AH9" s="217">
        <f ca="1">Parameters!P318</f>
        <v>20.577911273291562</v>
      </c>
      <c r="AI9" s="218">
        <f ca="1">Parameters!P322</f>
        <v>1.7557058201731808</v>
      </c>
    </row>
    <row r="10" spans="1:35" s="96" customFormat="1" x14ac:dyDescent="0.25">
      <c r="A10" s="139">
        <v>16</v>
      </c>
      <c r="B10" s="135">
        <f>Parameters!N87</f>
        <v>9.9985574329489093E-4</v>
      </c>
      <c r="C10" s="136">
        <f t="shared" si="0"/>
        <v>9.9985574329489093E-4</v>
      </c>
      <c r="D10" s="136">
        <f t="shared" si="1"/>
        <v>9.9985574329489093E-4</v>
      </c>
      <c r="E10" s="137">
        <f>Parameters!N106</f>
        <v>3.1324597019768041E-4</v>
      </c>
      <c r="F10" s="136">
        <f t="shared" si="2"/>
        <v>3.1324597019768041E-4</v>
      </c>
      <c r="G10" s="136">
        <f t="shared" si="3"/>
        <v>3.1324597019768041E-4</v>
      </c>
      <c r="H10" s="137">
        <f>Parameters!N125</f>
        <v>2.000477804837773E-5</v>
      </c>
      <c r="I10" s="136">
        <f t="shared" si="4"/>
        <v>2.000477804837773E-5</v>
      </c>
      <c r="J10" s="136">
        <f t="shared" si="5"/>
        <v>2.000477804837773E-5</v>
      </c>
      <c r="K10" s="137">
        <f>Parameters!N144</f>
        <v>1.9985283426720382E-3</v>
      </c>
      <c r="L10" s="136">
        <f t="shared" si="6"/>
        <v>1.9985283426720382E-3</v>
      </c>
      <c r="M10" s="138">
        <f t="shared" si="7"/>
        <v>1.9985283426720382E-3</v>
      </c>
      <c r="N10" s="135">
        <f ca="1">Parameters!O87</f>
        <v>9.2527870908314114E-4</v>
      </c>
      <c r="O10" s="136">
        <f t="shared" ca="1" si="8"/>
        <v>9.2527870908314114E-4</v>
      </c>
      <c r="P10" s="136">
        <f t="shared" ca="1" si="9"/>
        <v>9.2527870908314114E-4</v>
      </c>
      <c r="Q10" s="137">
        <f ca="1">Parameters!O106</f>
        <v>3.3831047237586898E-4</v>
      </c>
      <c r="R10" s="136">
        <f t="shared" ca="1" si="10"/>
        <v>3.3831047237586898E-4</v>
      </c>
      <c r="S10" s="136">
        <f t="shared" ca="1" si="11"/>
        <v>3.3831047237586898E-4</v>
      </c>
      <c r="T10" s="137">
        <f ca="1">Parameters!O125</f>
        <v>2.507449697009001E-5</v>
      </c>
      <c r="U10" s="136">
        <f t="shared" ca="1" si="12"/>
        <v>2.507449697009001E-5</v>
      </c>
      <c r="V10" s="136">
        <f t="shared" ca="1" si="13"/>
        <v>2.507449697009001E-5</v>
      </c>
      <c r="W10" s="137">
        <f ca="1">Parameters!O144</f>
        <v>2.444759536243013E-3</v>
      </c>
      <c r="X10" s="136">
        <f t="shared" ca="1" si="14"/>
        <v>2.444759536243013E-3</v>
      </c>
      <c r="Y10" s="138">
        <f t="shared" ca="1" si="15"/>
        <v>2.444759536243013E-3</v>
      </c>
      <c r="AA10" s="552" t="s">
        <v>816</v>
      </c>
      <c r="AB10" s="555"/>
      <c r="AC10" s="555"/>
      <c r="AD10" s="555"/>
      <c r="AE10" s="555"/>
      <c r="AF10" s="555"/>
      <c r="AG10" s="555"/>
      <c r="AH10" s="555"/>
      <c r="AI10" s="556"/>
    </row>
    <row r="11" spans="1:35" s="96" customFormat="1" x14ac:dyDescent="0.25">
      <c r="A11" s="134">
        <v>20</v>
      </c>
      <c r="B11" s="135">
        <f>Parameters!N88</f>
        <v>1.0010216957031688E-3</v>
      </c>
      <c r="C11" s="136">
        <f t="shared" si="0"/>
        <v>1.0010216957031688E-3</v>
      </c>
      <c r="D11" s="136">
        <f t="shared" si="1"/>
        <v>1.0010216957031688E-3</v>
      </c>
      <c r="E11" s="137">
        <f>Parameters!N107</f>
        <v>1.2921976543645128E-4</v>
      </c>
      <c r="F11" s="136">
        <f t="shared" si="2"/>
        <v>1.2921976543645128E-4</v>
      </c>
      <c r="G11" s="136">
        <f t="shared" si="3"/>
        <v>1.2921976543645128E-4</v>
      </c>
      <c r="H11" s="137">
        <f>Parameters!N126</f>
        <v>1.9989380868149015E-5</v>
      </c>
      <c r="I11" s="136">
        <f t="shared" si="4"/>
        <v>1.9989380868149015E-5</v>
      </c>
      <c r="J11" s="136">
        <f t="shared" si="5"/>
        <v>1.9989380868149015E-5</v>
      </c>
      <c r="K11" s="137">
        <f>Parameters!N145</f>
        <v>1.9994103978967196E-3</v>
      </c>
      <c r="L11" s="136">
        <f t="shared" si="6"/>
        <v>1.9994103978967196E-3</v>
      </c>
      <c r="M11" s="138">
        <f t="shared" si="7"/>
        <v>1.9994103978967196E-3</v>
      </c>
      <c r="N11" s="135">
        <f ca="1">Parameters!O88</f>
        <v>1.0811867512284801E-3</v>
      </c>
      <c r="O11" s="136">
        <f t="shared" ca="1" si="8"/>
        <v>1.0811867512284801E-3</v>
      </c>
      <c r="P11" s="136">
        <f t="shared" ca="1" si="9"/>
        <v>1.0811867512284801E-3</v>
      </c>
      <c r="Q11" s="137">
        <f ca="1">Parameters!O107</f>
        <v>1.1422127348732726E-4</v>
      </c>
      <c r="R11" s="136">
        <f t="shared" ca="1" si="10"/>
        <v>1.1422127348732726E-4</v>
      </c>
      <c r="S11" s="136">
        <f t="shared" ca="1" si="11"/>
        <v>1.1422127348732726E-4</v>
      </c>
      <c r="T11" s="137">
        <f ca="1">Parameters!O126</f>
        <v>1.9909659536201151E-5</v>
      </c>
      <c r="U11" s="136">
        <f t="shared" ca="1" si="12"/>
        <v>1.9909659536201151E-5</v>
      </c>
      <c r="V11" s="136">
        <f t="shared" ca="1" si="13"/>
        <v>1.9909659536201151E-5</v>
      </c>
      <c r="W11" s="137">
        <f ca="1">Parameters!O145</f>
        <v>2.525997802686919E-3</v>
      </c>
      <c r="X11" s="136">
        <f t="shared" ca="1" si="14"/>
        <v>2.525997802686919E-3</v>
      </c>
      <c r="Y11" s="138">
        <f t="shared" ca="1" si="15"/>
        <v>2.525997802686919E-3</v>
      </c>
      <c r="AA11" s="8"/>
      <c r="AB11" s="642" t="s">
        <v>14</v>
      </c>
      <c r="AC11" s="613"/>
      <c r="AD11" s="613"/>
      <c r="AE11" s="613"/>
      <c r="AF11" s="642" t="s">
        <v>25</v>
      </c>
      <c r="AG11" s="613"/>
      <c r="AH11" s="613"/>
      <c r="AI11" s="643"/>
    </row>
    <row r="12" spans="1:35" s="96" customFormat="1" x14ac:dyDescent="0.25">
      <c r="A12" s="134">
        <v>25</v>
      </c>
      <c r="B12" s="135">
        <f>Parameters!N89</f>
        <v>1.0014521924646387E-3</v>
      </c>
      <c r="C12" s="136">
        <f t="shared" si="0"/>
        <v>1.0014521924646387E-3</v>
      </c>
      <c r="D12" s="136">
        <f t="shared" si="1"/>
        <v>1.0014521924646387E-3</v>
      </c>
      <c r="E12" s="137">
        <f>Parameters!N108</f>
        <v>1.9618838432659597E-4</v>
      </c>
      <c r="F12" s="136">
        <f t="shared" si="2"/>
        <v>1.9618838432659597E-4</v>
      </c>
      <c r="G12" s="136">
        <f t="shared" si="3"/>
        <v>1.9618838432659597E-4</v>
      </c>
      <c r="H12" s="137">
        <f>Parameters!N127</f>
        <v>2.003093704502779E-5</v>
      </c>
      <c r="I12" s="136">
        <f t="shared" si="4"/>
        <v>2.003093704502779E-5</v>
      </c>
      <c r="J12" s="136">
        <f t="shared" si="5"/>
        <v>2.003093704502779E-5</v>
      </c>
      <c r="K12" s="137">
        <f>Parameters!N146</f>
        <v>1.0008742557703505E-3</v>
      </c>
      <c r="L12" s="136">
        <f t="shared" si="6"/>
        <v>1.0008742557703505E-3</v>
      </c>
      <c r="M12" s="138">
        <f t="shared" si="7"/>
        <v>1.0008742557703505E-3</v>
      </c>
      <c r="N12" s="135">
        <f ca="1">Parameters!O89</f>
        <v>1.0625716255632245E-3</v>
      </c>
      <c r="O12" s="136">
        <f t="shared" ca="1" si="8"/>
        <v>1.0625716255632245E-3</v>
      </c>
      <c r="P12" s="136">
        <f t="shared" ca="1" si="9"/>
        <v>1.0625716255632245E-3</v>
      </c>
      <c r="Q12" s="137">
        <f ca="1">Parameters!O108</f>
        <v>2.1122896440872729E-4</v>
      </c>
      <c r="R12" s="136">
        <f t="shared" ca="1" si="10"/>
        <v>2.1122896440872729E-4</v>
      </c>
      <c r="S12" s="136">
        <f t="shared" ca="1" si="11"/>
        <v>2.1122896440872729E-4</v>
      </c>
      <c r="T12" s="137">
        <f ca="1">Parameters!O127</f>
        <v>1.9442930382378477E-5</v>
      </c>
      <c r="U12" s="136">
        <f t="shared" ca="1" si="12"/>
        <v>1.9442930382378477E-5</v>
      </c>
      <c r="V12" s="136">
        <f t="shared" ca="1" si="13"/>
        <v>1.9442930382378477E-5</v>
      </c>
      <c r="W12" s="137">
        <f ca="1">Parameters!O146</f>
        <v>9.2919636128795861E-4</v>
      </c>
      <c r="X12" s="136">
        <f t="shared" ca="1" si="14"/>
        <v>9.2919636128795861E-4</v>
      </c>
      <c r="Y12" s="138">
        <f t="shared" ca="1" si="15"/>
        <v>9.2919636128795861E-4</v>
      </c>
      <c r="Z12" s="40"/>
      <c r="AA12" s="41" t="s">
        <v>51</v>
      </c>
      <c r="AB12" s="196" t="s">
        <v>5</v>
      </c>
      <c r="AC12" s="97" t="s">
        <v>6</v>
      </c>
      <c r="AD12" s="97" t="s">
        <v>7</v>
      </c>
      <c r="AE12" s="97" t="s">
        <v>8</v>
      </c>
      <c r="AF12" s="196" t="s">
        <v>5</v>
      </c>
      <c r="AG12" s="97" t="s">
        <v>6</v>
      </c>
      <c r="AH12" s="97" t="s">
        <v>7</v>
      </c>
      <c r="AI12" s="42" t="s">
        <v>8</v>
      </c>
    </row>
    <row r="13" spans="1:35" s="96" customFormat="1" x14ac:dyDescent="0.25">
      <c r="A13" s="140">
        <v>30</v>
      </c>
      <c r="B13" s="135">
        <f>Parameters!N90</f>
        <v>9.9662260921433736E-4</v>
      </c>
      <c r="C13" s="136">
        <f t="shared" si="0"/>
        <v>9.9662260921433736E-4</v>
      </c>
      <c r="D13" s="136">
        <f t="shared" si="1"/>
        <v>9.9662260921433736E-4</v>
      </c>
      <c r="E13" s="137">
        <f>Parameters!N109</f>
        <v>3.6534758690028919E-4</v>
      </c>
      <c r="F13" s="136">
        <f t="shared" si="2"/>
        <v>3.6534758690028919E-4</v>
      </c>
      <c r="G13" s="136">
        <f t="shared" si="3"/>
        <v>3.6534758690028919E-4</v>
      </c>
      <c r="H13" s="137">
        <f>Parameters!N128</f>
        <v>1.9992538237829331E-5</v>
      </c>
      <c r="I13" s="136">
        <f t="shared" si="4"/>
        <v>1.9992538237829331E-5</v>
      </c>
      <c r="J13" s="136">
        <f t="shared" si="5"/>
        <v>1.9992538237829331E-5</v>
      </c>
      <c r="K13" s="137">
        <f>Parameters!N147</f>
        <v>1.0017040941786737E-3</v>
      </c>
      <c r="L13" s="136">
        <f t="shared" si="6"/>
        <v>1.0017040941786737E-3</v>
      </c>
      <c r="M13" s="138">
        <f t="shared" si="7"/>
        <v>1.0017040941786737E-3</v>
      </c>
      <c r="N13" s="135">
        <f ca="1">Parameters!O90</f>
        <v>1.1266603936537223E-3</v>
      </c>
      <c r="O13" s="136">
        <f t="shared" ca="1" si="8"/>
        <v>1.1266603936537223E-3</v>
      </c>
      <c r="P13" s="136">
        <f t="shared" ca="1" si="9"/>
        <v>1.1266603936537223E-3</v>
      </c>
      <c r="Q13" s="137">
        <f ca="1">Parameters!O109</f>
        <v>4.0952503320201838E-4</v>
      </c>
      <c r="R13" s="136">
        <f t="shared" ca="1" si="10"/>
        <v>4.0952503320201838E-4</v>
      </c>
      <c r="S13" s="136">
        <f t="shared" ca="1" si="11"/>
        <v>4.0952503320201838E-4</v>
      </c>
      <c r="T13" s="137">
        <f ca="1">Parameters!O128</f>
        <v>2.1081003932610365E-5</v>
      </c>
      <c r="U13" s="136">
        <f t="shared" ca="1" si="12"/>
        <v>2.1081003932610365E-5</v>
      </c>
      <c r="V13" s="136">
        <f t="shared" ca="1" si="13"/>
        <v>2.1081003932610365E-5</v>
      </c>
      <c r="W13" s="137">
        <f ca="1">Parameters!O147</f>
        <v>1.1171752527285861E-3</v>
      </c>
      <c r="X13" s="136">
        <f t="shared" ca="1" si="14"/>
        <v>1.1171752527285861E-3</v>
      </c>
      <c r="Y13" s="138">
        <f t="shared" ca="1" si="15"/>
        <v>1.1171752527285861E-3</v>
      </c>
      <c r="Z13" s="40"/>
      <c r="AA13" s="8">
        <v>0</v>
      </c>
      <c r="AB13" s="58">
        <v>1</v>
      </c>
      <c r="AC13" s="96">
        <v>1</v>
      </c>
      <c r="AD13" s="96">
        <v>1</v>
      </c>
      <c r="AE13" s="96">
        <v>1</v>
      </c>
      <c r="AF13" s="58">
        <v>1</v>
      </c>
      <c r="AG13" s="96">
        <v>1</v>
      </c>
      <c r="AH13" s="96">
        <v>1</v>
      </c>
      <c r="AI13" s="10">
        <v>1</v>
      </c>
    </row>
    <row r="14" spans="1:35" s="96" customFormat="1" x14ac:dyDescent="0.25">
      <c r="A14" s="134">
        <v>35</v>
      </c>
      <c r="B14" s="135">
        <f>Parameters!N91</f>
        <v>1.4835135217989663E-3</v>
      </c>
      <c r="C14" s="136">
        <f t="shared" si="0"/>
        <v>3.3082351536116951E-3</v>
      </c>
      <c r="D14" s="136">
        <f t="shared" si="1"/>
        <v>7.3878973385588529E-3</v>
      </c>
      <c r="E14" s="137">
        <f>Parameters!N110</f>
        <v>3.8314006217921687E-4</v>
      </c>
      <c r="F14" s="136">
        <f t="shared" si="2"/>
        <v>7.0880911503155126E-4</v>
      </c>
      <c r="G14" s="136">
        <f t="shared" si="3"/>
        <v>2.4635905998123646E-3</v>
      </c>
      <c r="H14" s="137">
        <f>Parameters!N129</f>
        <v>5.3592680201679312E-6</v>
      </c>
      <c r="I14" s="136">
        <f t="shared" si="4"/>
        <v>1.4148467573243338E-5</v>
      </c>
      <c r="J14" s="136">
        <f t="shared" si="5"/>
        <v>7.1278264668233487E-5</v>
      </c>
      <c r="K14" s="137">
        <f>Parameters!N148</f>
        <v>3.1155741972321697E-3</v>
      </c>
      <c r="L14" s="136">
        <f t="shared" si="6"/>
        <v>3.1155741972321697E-3</v>
      </c>
      <c r="M14" s="138">
        <f t="shared" si="7"/>
        <v>7.6020010412464938E-3</v>
      </c>
      <c r="N14" s="135">
        <f ca="1">Parameters!O91</f>
        <v>1.6859703630129896E-3</v>
      </c>
      <c r="O14" s="136">
        <f t="shared" ca="1" si="8"/>
        <v>3.9833363596479317E-3</v>
      </c>
      <c r="P14" s="136">
        <f t="shared" ca="1" si="9"/>
        <v>8.735927413431736E-3</v>
      </c>
      <c r="Q14" s="137">
        <f ca="1">Parameters!O110</f>
        <v>3.1812114942323272E-4</v>
      </c>
      <c r="R14" s="136">
        <f t="shared" ca="1" si="10"/>
        <v>6.1523609904005428E-4</v>
      </c>
      <c r="S14" s="136">
        <f t="shared" ca="1" si="11"/>
        <v>2.3431461106709355E-3</v>
      </c>
      <c r="T14" s="137">
        <f ca="1">Parameters!O129</f>
        <v>5.0303556950351435E-6</v>
      </c>
      <c r="U14" s="136">
        <f t="shared" ca="1" si="12"/>
        <v>1.2384898418675543E-5</v>
      </c>
      <c r="V14" s="136">
        <f t="shared" ca="1" si="13"/>
        <v>7.0098266256868487E-5</v>
      </c>
      <c r="W14" s="137">
        <f ca="1">Parameters!O148</f>
        <v>3.1420087481203174E-3</v>
      </c>
      <c r="X14" s="136">
        <f t="shared" ca="1" si="14"/>
        <v>3.2013100665183834E-3</v>
      </c>
      <c r="Y14" s="138">
        <f t="shared" ca="1" si="15"/>
        <v>8.2944134882975522E-3</v>
      </c>
      <c r="Z14" s="40"/>
      <c r="AA14" s="8">
        <v>35</v>
      </c>
      <c r="AB14" s="58">
        <f>Parameters!O323</f>
        <v>2.23</v>
      </c>
      <c r="AC14" s="96">
        <f>Parameters!O327</f>
        <v>1.85</v>
      </c>
      <c r="AD14" s="96">
        <f>Parameters!O331</f>
        <v>2.64</v>
      </c>
      <c r="AE14" s="96">
        <f>Parameters!O335</f>
        <v>1</v>
      </c>
      <c r="AF14" s="59">
        <f ca="1">Parameters!P323</f>
        <v>2.3626372367123527</v>
      </c>
      <c r="AG14" s="67">
        <f ca="1">Parameters!P327</f>
        <v>1.9339679243442434</v>
      </c>
      <c r="AH14" s="67">
        <f ca="1">Parameters!P331</f>
        <v>2.4620323431401046</v>
      </c>
      <c r="AI14" s="28">
        <f ca="1">Parameters!P335</f>
        <v>1.0188736961453537</v>
      </c>
    </row>
    <row r="15" spans="1:35" s="96" customFormat="1" x14ac:dyDescent="0.25">
      <c r="A15" s="140">
        <v>40</v>
      </c>
      <c r="B15" s="135">
        <f>Parameters!N92</f>
        <v>1.4843285603841918E-3</v>
      </c>
      <c r="C15" s="136">
        <f t="shared" si="0"/>
        <v>3.3100526896567475E-3</v>
      </c>
      <c r="D15" s="136">
        <f t="shared" si="1"/>
        <v>7.3919562307132756E-3</v>
      </c>
      <c r="E15" s="137">
        <f>Parameters!N111</f>
        <v>1.012962899656531E-3</v>
      </c>
      <c r="F15" s="136">
        <f t="shared" si="2"/>
        <v>1.8739813643645824E-3</v>
      </c>
      <c r="G15" s="136">
        <f t="shared" si="3"/>
        <v>6.5133514447914941E-3</v>
      </c>
      <c r="H15" s="137">
        <f>Parameters!N130</f>
        <v>5.361079704682874E-6</v>
      </c>
      <c r="I15" s="136">
        <f t="shared" si="4"/>
        <v>1.4153250420362787E-5</v>
      </c>
      <c r="J15" s="136">
        <f t="shared" si="5"/>
        <v>7.1302360072282228E-5</v>
      </c>
      <c r="K15" s="137">
        <f>Parameters!N149</f>
        <v>3.1149328298971431E-3</v>
      </c>
      <c r="L15" s="136">
        <f t="shared" si="6"/>
        <v>3.1149328298971431E-3</v>
      </c>
      <c r="M15" s="138">
        <f t="shared" si="7"/>
        <v>7.600436104949029E-3</v>
      </c>
      <c r="N15" s="135">
        <f ca="1">Parameters!O92</f>
        <v>1.3751245127838147E-3</v>
      </c>
      <c r="O15" s="136">
        <f t="shared" ca="1" si="8"/>
        <v>3.2489203790189722E-3</v>
      </c>
      <c r="P15" s="136">
        <f t="shared" ca="1" si="9"/>
        <v>7.1252663698321075E-3</v>
      </c>
      <c r="Q15" s="137">
        <f ca="1">Parameters!O111</f>
        <v>9.789068399594968E-4</v>
      </c>
      <c r="R15" s="136">
        <f t="shared" ca="1" si="10"/>
        <v>1.8931744294028504E-3</v>
      </c>
      <c r="S15" s="136">
        <f t="shared" ca="1" si="11"/>
        <v>7.2102145956623341E-3</v>
      </c>
      <c r="T15" s="137">
        <f ca="1">Parameters!O130</f>
        <v>5.2256190069498197E-6</v>
      </c>
      <c r="U15" s="136">
        <f t="shared" ca="1" si="12"/>
        <v>1.2865643008038131E-5</v>
      </c>
      <c r="V15" s="136">
        <f t="shared" ca="1" si="13"/>
        <v>7.2819270587099516E-5</v>
      </c>
      <c r="W15" s="137">
        <f ca="1">Parameters!O149</f>
        <v>3.3321933200914922E-3</v>
      </c>
      <c r="X15" s="136">
        <f t="shared" ca="1" si="14"/>
        <v>3.3950841243124766E-3</v>
      </c>
      <c r="Y15" s="138">
        <f t="shared" ca="1" si="15"/>
        <v>8.7964711225952032E-3</v>
      </c>
      <c r="Z15" s="40"/>
      <c r="AA15" s="39">
        <v>55</v>
      </c>
      <c r="AB15" s="58">
        <f>Parameters!O324</f>
        <v>1.21</v>
      </c>
      <c r="AC15" s="96">
        <f>Parameters!O328</f>
        <v>4.84</v>
      </c>
      <c r="AD15" s="96">
        <f>Parameters!O332</f>
        <v>5</v>
      </c>
      <c r="AE15" s="96">
        <f>Parameters!O336</f>
        <v>1.1000000000000001</v>
      </c>
      <c r="AF15" s="59">
        <f ca="1">Parameters!P324</f>
        <v>1.28615979140368</v>
      </c>
      <c r="AG15" s="67">
        <f ca="1">Parameters!P328</f>
        <v>4.6851332200756222</v>
      </c>
      <c r="AH15" s="67">
        <f ca="1">Parameters!P332</f>
        <v>4.895899802757075</v>
      </c>
      <c r="AI15" s="28">
        <f ca="1">Parameters!P336</f>
        <v>0.94351802042735766</v>
      </c>
    </row>
    <row r="16" spans="1:35" s="96" customFormat="1" x14ac:dyDescent="0.25">
      <c r="A16" s="134">
        <v>45</v>
      </c>
      <c r="B16" s="135">
        <f>Parameters!N93</f>
        <v>6.4326729343500491E-3</v>
      </c>
      <c r="C16" s="136">
        <f t="shared" si="0"/>
        <v>1.434486064360061E-2</v>
      </c>
      <c r="D16" s="136">
        <f t="shared" si="1"/>
        <v>3.2034711213063248E-2</v>
      </c>
      <c r="E16" s="137">
        <f>Parameters!N112</f>
        <v>2.364586560424689E-3</v>
      </c>
      <c r="F16" s="136">
        <f t="shared" si="2"/>
        <v>4.3744851367856748E-3</v>
      </c>
      <c r="G16" s="136">
        <f t="shared" si="3"/>
        <v>1.520429158353075E-2</v>
      </c>
      <c r="H16" s="137">
        <f>Parameters!N131</f>
        <v>1.8534671855133559E-4</v>
      </c>
      <c r="I16" s="136">
        <f t="shared" si="4"/>
        <v>4.8931533697552597E-4</v>
      </c>
      <c r="J16" s="136">
        <f t="shared" si="5"/>
        <v>2.4651113567327634E-3</v>
      </c>
      <c r="K16" s="137">
        <f>Parameters!N150</f>
        <v>7.0133107149167526E-3</v>
      </c>
      <c r="L16" s="136">
        <f t="shared" si="6"/>
        <v>7.0133107149167526E-3</v>
      </c>
      <c r="M16" s="138">
        <f t="shared" si="7"/>
        <v>1.7112478144396877E-2</v>
      </c>
      <c r="N16" s="135">
        <f ca="1">Parameters!O93</f>
        <v>5.5587625501810354E-3</v>
      </c>
      <c r="O16" s="136">
        <f t="shared" ca="1" si="8"/>
        <v>1.3133339391099832E-2</v>
      </c>
      <c r="P16" s="136">
        <f t="shared" ca="1" si="9"/>
        <v>2.8802965468563264E-2</v>
      </c>
      <c r="Q16" s="137">
        <f ca="1">Parameters!O112</f>
        <v>2.349915215640572E-3</v>
      </c>
      <c r="R16" s="136">
        <f t="shared" ca="1" si="10"/>
        <v>4.5446606519773522E-3</v>
      </c>
      <c r="S16" s="136">
        <f t="shared" ca="1" si="11"/>
        <v>1.7308483601035724E-2</v>
      </c>
      <c r="T16" s="137">
        <f ca="1">Parameters!O131</f>
        <v>1.4807498939123029E-4</v>
      </c>
      <c r="U16" s="136">
        <f t="shared" ca="1" si="12"/>
        <v>3.6456541309133682E-4</v>
      </c>
      <c r="V16" s="136">
        <f t="shared" ca="1" si="13"/>
        <v>2.0634326201970339E-3</v>
      </c>
      <c r="W16" s="137">
        <f ca="1">Parameters!O150</f>
        <v>8.0811333508719052E-3</v>
      </c>
      <c r="X16" s="136">
        <f t="shared" ca="1" si="14"/>
        <v>8.2336542062463464E-3</v>
      </c>
      <c r="Y16" s="138">
        <f t="shared" ca="1" si="15"/>
        <v>2.1332932795397934E-2</v>
      </c>
      <c r="AA16" s="39">
        <v>65</v>
      </c>
      <c r="AB16" s="58">
        <f>Parameters!O325</f>
        <v>1.56</v>
      </c>
      <c r="AC16" s="96">
        <f>Parameters!O329</f>
        <v>15.72</v>
      </c>
      <c r="AD16" s="96">
        <f>Parameters!O333</f>
        <v>6.8</v>
      </c>
      <c r="AE16" s="96">
        <f>Parameters!O337</f>
        <v>1.24</v>
      </c>
      <c r="AF16" s="59">
        <f ca="1">Parameters!P325</f>
        <v>1.5340833461097929</v>
      </c>
      <c r="AG16" s="67">
        <f ca="1">Parameters!P329</f>
        <v>14.429908368935612</v>
      </c>
      <c r="AH16" s="67">
        <f ca="1">Parameters!P333</f>
        <v>6.7949205304547444</v>
      </c>
      <c r="AI16" s="28">
        <f ca="1">Parameters!P337</f>
        <v>1.407086028529601</v>
      </c>
    </row>
    <row r="17" spans="1:35" s="96" customFormat="1" ht="15.75" thickBot="1" x14ac:dyDescent="0.3">
      <c r="A17" s="140">
        <v>50</v>
      </c>
      <c r="B17" s="135">
        <f>Parameters!N94</f>
        <v>6.5959827814811075E-3</v>
      </c>
      <c r="C17" s="136">
        <f t="shared" si="0"/>
        <v>1.4709041602702869E-2</v>
      </c>
      <c r="D17" s="136">
        <f t="shared" si="1"/>
        <v>3.2847994251775918E-2</v>
      </c>
      <c r="E17" s="137">
        <f>Parameters!N113</f>
        <v>5.2414338740440708E-3</v>
      </c>
      <c r="F17" s="136">
        <f t="shared" si="2"/>
        <v>9.6966526669815308E-3</v>
      </c>
      <c r="G17" s="136">
        <f t="shared" si="3"/>
        <v>3.3702419810103371E-2</v>
      </c>
      <c r="H17" s="137">
        <f>Parameters!N132</f>
        <v>1.9415843602330689E-4</v>
      </c>
      <c r="I17" s="136">
        <f t="shared" si="4"/>
        <v>5.1257827110153019E-4</v>
      </c>
      <c r="J17" s="136">
        <f t="shared" si="5"/>
        <v>2.5823071991099818E-3</v>
      </c>
      <c r="K17" s="137">
        <f>Parameters!N151</f>
        <v>7.1482738527478646E-3</v>
      </c>
      <c r="L17" s="136">
        <f t="shared" si="6"/>
        <v>7.1482738527478646E-3</v>
      </c>
      <c r="M17" s="138">
        <f t="shared" si="7"/>
        <v>1.7441788200704789E-2</v>
      </c>
      <c r="N17" s="135">
        <f ca="1">Parameters!O94</f>
        <v>8.8913786051216803E-3</v>
      </c>
      <c r="O17" s="136">
        <f t="shared" ca="1" si="8"/>
        <v>2.1007102178168018E-2</v>
      </c>
      <c r="P17" s="136">
        <f t="shared" ca="1" si="9"/>
        <v>4.6071057833348444E-2</v>
      </c>
      <c r="Q17" s="137">
        <f ca="1">Parameters!O113</f>
        <v>4.5466354345039279E-3</v>
      </c>
      <c r="R17" s="136">
        <f t="shared" ca="1" si="10"/>
        <v>8.793047094017549E-3</v>
      </c>
      <c r="S17" s="136">
        <f t="shared" ca="1" si="11"/>
        <v>3.3488597517994843E-2</v>
      </c>
      <c r="T17" s="137">
        <f ca="1">Parameters!O132</f>
        <v>1.8386807753539998E-4</v>
      </c>
      <c r="U17" s="136">
        <f t="shared" ca="1" si="12"/>
        <v>4.5268915376314722E-4</v>
      </c>
      <c r="V17" s="136">
        <f t="shared" ca="1" si="13"/>
        <v>2.5622111509800427E-3</v>
      </c>
      <c r="W17" s="137">
        <f ca="1">Parameters!O151</f>
        <v>9.1150407001882039E-3</v>
      </c>
      <c r="X17" s="136">
        <f t="shared" ca="1" si="14"/>
        <v>9.2870752087160884E-3</v>
      </c>
      <c r="Y17" s="138">
        <f t="shared" ca="1" si="15"/>
        <v>2.406228708791841E-2</v>
      </c>
      <c r="AA17" s="11">
        <v>75</v>
      </c>
      <c r="AB17" s="60">
        <f>Parameters!O326</f>
        <v>1.27</v>
      </c>
      <c r="AC17" s="12">
        <f>Parameters!O330</f>
        <v>7.06</v>
      </c>
      <c r="AD17" s="12">
        <f>Parameters!O334</f>
        <v>6.38</v>
      </c>
      <c r="AE17" s="12">
        <f>Parameters!O338</f>
        <v>1.1000000000000001</v>
      </c>
      <c r="AF17" s="216">
        <f ca="1">Parameters!P326</f>
        <v>1.2830030092809654</v>
      </c>
      <c r="AG17" s="217">
        <f ca="1">Parameters!P330</f>
        <v>6.5540582207936335</v>
      </c>
      <c r="AH17" s="217">
        <f ca="1">Parameters!P334</f>
        <v>7.4060388940484998</v>
      </c>
      <c r="AI17" s="218">
        <f ca="1">Parameters!P338</f>
        <v>1.2512213855312941</v>
      </c>
    </row>
    <row r="18" spans="1:35" s="96" customFormat="1" x14ac:dyDescent="0.25">
      <c r="A18" s="134">
        <v>55</v>
      </c>
      <c r="B18" s="135">
        <f>Parameters!N95</f>
        <v>2.4104077305186773E-2</v>
      </c>
      <c r="C18" s="136">
        <f t="shared" si="0"/>
        <v>2.9165933539275993E-2</v>
      </c>
      <c r="D18" s="136">
        <f t="shared" si="1"/>
        <v>7.8338251241857018E-2</v>
      </c>
      <c r="E18" s="137">
        <f>Parameters!N114</f>
        <v>6.1430361733954839E-3</v>
      </c>
      <c r="F18" s="136">
        <f t="shared" si="2"/>
        <v>2.9732295079234142E-2</v>
      </c>
      <c r="G18" s="136">
        <f t="shared" si="3"/>
        <v>5.5287325560559354E-2</v>
      </c>
      <c r="H18" s="137">
        <f>Parameters!N133</f>
        <v>1.3640986854819066E-4</v>
      </c>
      <c r="I18" s="136">
        <f t="shared" si="4"/>
        <v>6.8204934274095335E-4</v>
      </c>
      <c r="J18" s="136">
        <f t="shared" si="5"/>
        <v>2.584967008988213E-3</v>
      </c>
      <c r="K18" s="137">
        <f>Parameters!N152</f>
        <v>1.9173284550144162E-2</v>
      </c>
      <c r="L18" s="136">
        <f t="shared" si="6"/>
        <v>2.109061300515858E-2</v>
      </c>
      <c r="M18" s="138">
        <f t="shared" si="7"/>
        <v>3.7963103409285437E-2</v>
      </c>
      <c r="N18" s="135">
        <f ca="1">Parameters!O95</f>
        <v>2.4809584692703335E-2</v>
      </c>
      <c r="O18" s="136">
        <f t="shared" ca="1" si="8"/>
        <v>3.1909090273179251E-2</v>
      </c>
      <c r="P18" s="136">
        <f t="shared" ca="1" si="9"/>
        <v>7.184054889171787E-2</v>
      </c>
      <c r="Q18" s="137">
        <f ca="1">Parameters!O114</f>
        <v>6.234512432404804E-3</v>
      </c>
      <c r="R18" s="136">
        <f t="shared" ca="1" si="10"/>
        <v>2.9209521308034218E-2</v>
      </c>
      <c r="S18" s="136">
        <f t="shared" ca="1" si="11"/>
        <v>6.2587877919597842E-2</v>
      </c>
      <c r="T18" s="137">
        <f ca="1">Parameters!O133</f>
        <v>1.3993818636659494E-4</v>
      </c>
      <c r="U18" s="136">
        <f t="shared" ca="1" si="12"/>
        <v>6.8512333903039495E-4</v>
      </c>
      <c r="V18" s="136">
        <f t="shared" ca="1" si="13"/>
        <v>2.7444856373499619E-3</v>
      </c>
      <c r="W18" s="137">
        <f ca="1">Parameters!O152</f>
        <v>1.6483161489578707E-2</v>
      </c>
      <c r="X18" s="136">
        <f t="shared" ca="1" si="14"/>
        <v>1.5552159899031758E-2</v>
      </c>
      <c r="Y18" s="138">
        <f t="shared" ca="1" si="15"/>
        <v>3.7484955677673432E-2</v>
      </c>
      <c r="AA18" s="552" t="s">
        <v>817</v>
      </c>
      <c r="AB18" s="555"/>
      <c r="AC18" s="555"/>
      <c r="AD18" s="555"/>
      <c r="AE18" s="555"/>
      <c r="AF18" s="555"/>
      <c r="AG18" s="555"/>
      <c r="AH18" s="555"/>
      <c r="AI18" s="556"/>
    </row>
    <row r="19" spans="1:35" s="96" customFormat="1" x14ac:dyDescent="0.25">
      <c r="A19" s="140">
        <v>60</v>
      </c>
      <c r="B19" s="135">
        <f>Parameters!N96</f>
        <v>3.013519855024888E-2</v>
      </c>
      <c r="C19" s="136">
        <f t="shared" si="0"/>
        <v>3.646359024580114E-2</v>
      </c>
      <c r="D19" s="136">
        <f t="shared" si="1"/>
        <v>9.7939395288308861E-2</v>
      </c>
      <c r="E19" s="137">
        <f>Parameters!N115</f>
        <v>1.1837130630311473E-2</v>
      </c>
      <c r="F19" s="136">
        <f t="shared" si="2"/>
        <v>5.7291712250707526E-2</v>
      </c>
      <c r="G19" s="136">
        <f t="shared" si="3"/>
        <v>0.10653417567280325</v>
      </c>
      <c r="H19" s="137">
        <f>Parameters!N134</f>
        <v>2.3455407461653874E-4</v>
      </c>
      <c r="I19" s="136">
        <f t="shared" si="4"/>
        <v>1.1727703730826937E-3</v>
      </c>
      <c r="J19" s="136">
        <f t="shared" si="5"/>
        <v>4.444799713983409E-3</v>
      </c>
      <c r="K19" s="137">
        <f>Parameters!N153</f>
        <v>2.1419106103106017E-2</v>
      </c>
      <c r="L19" s="136">
        <f t="shared" si="6"/>
        <v>2.3561016713416622E-2</v>
      </c>
      <c r="M19" s="138">
        <f t="shared" si="7"/>
        <v>4.2409830084149912E-2</v>
      </c>
      <c r="N19" s="135">
        <f ca="1">Parameters!O96</f>
        <v>3.0379278479688909E-2</v>
      </c>
      <c r="O19" s="136">
        <f t="shared" ca="1" si="8"/>
        <v>3.9072606472430993E-2</v>
      </c>
      <c r="P19" s="136">
        <f t="shared" ca="1" si="9"/>
        <v>8.7968584236602754E-2</v>
      </c>
      <c r="Q19" s="137">
        <f ca="1">Parameters!O115</f>
        <v>1.1389339432904936E-2</v>
      </c>
      <c r="R19" s="136">
        <f t="shared" ca="1" si="10"/>
        <v>5.3360572531820166E-2</v>
      </c>
      <c r="S19" s="136">
        <f t="shared" ca="1" si="11"/>
        <v>0.11433686174181837</v>
      </c>
      <c r="T19" s="137">
        <f ca="1">Parameters!O134</f>
        <v>2.6925104662745003E-4</v>
      </c>
      <c r="U19" s="136">
        <f t="shared" ca="1" si="12"/>
        <v>1.3182261460754686E-3</v>
      </c>
      <c r="V19" s="136">
        <f t="shared" ca="1" si="13"/>
        <v>5.2805860179911531E-3</v>
      </c>
      <c r="W19" s="137">
        <f ca="1">Parameters!O153</f>
        <v>1.8782193455830518E-2</v>
      </c>
      <c r="X19" s="136">
        <f t="shared" ca="1" si="14"/>
        <v>1.7721337988728884E-2</v>
      </c>
      <c r="Y19" s="138">
        <f t="shared" ca="1" si="15"/>
        <v>4.271326769845836E-2</v>
      </c>
      <c r="AA19" s="8"/>
      <c r="AB19" s="642" t="s">
        <v>14</v>
      </c>
      <c r="AC19" s="613"/>
      <c r="AD19" s="613"/>
      <c r="AE19" s="613"/>
      <c r="AF19" s="642" t="s">
        <v>25</v>
      </c>
      <c r="AG19" s="613"/>
      <c r="AH19" s="613"/>
      <c r="AI19" s="643"/>
    </row>
    <row r="20" spans="1:35" s="96" customFormat="1" x14ac:dyDescent="0.25">
      <c r="A20" s="134">
        <v>65</v>
      </c>
      <c r="B20" s="135">
        <f>Parameters!N97</f>
        <v>7.7758832958360002E-2</v>
      </c>
      <c r="C20" s="136">
        <f t="shared" si="0"/>
        <v>0.12130377941504161</v>
      </c>
      <c r="D20" s="136">
        <f t="shared" si="1"/>
        <v>0.25582656043300439</v>
      </c>
      <c r="E20" s="137">
        <f>Parameters!N116</f>
        <v>6.3159294090039033E-3</v>
      </c>
      <c r="F20" s="136">
        <f t="shared" si="2"/>
        <v>9.928641030954137E-2</v>
      </c>
      <c r="G20" s="136">
        <f t="shared" si="3"/>
        <v>0.2456264947161618</v>
      </c>
      <c r="H20" s="137">
        <f>Parameters!N135</f>
        <v>6.0330645901234524E-4</v>
      </c>
      <c r="I20" s="136">
        <f t="shared" si="4"/>
        <v>4.1024839212839472E-3</v>
      </c>
      <c r="J20" s="136">
        <f t="shared" si="5"/>
        <v>1.4268197755641964E-2</v>
      </c>
      <c r="K20" s="137">
        <f>Parameters!N154</f>
        <v>3.6903094217513005E-2</v>
      </c>
      <c r="L20" s="136">
        <f t="shared" si="6"/>
        <v>4.5759836829716127E-2</v>
      </c>
      <c r="M20" s="138">
        <f t="shared" si="7"/>
        <v>8.3770023873754526E-2</v>
      </c>
      <c r="N20" s="135">
        <f ca="1">Parameters!O97</f>
        <v>8.3392117511561614E-2</v>
      </c>
      <c r="O20" s="136">
        <f t="shared" ca="1" si="8"/>
        <v>0.1279304586713175</v>
      </c>
      <c r="P20" s="136">
        <f t="shared" ca="1" si="9"/>
        <v>0.32288971110449988</v>
      </c>
      <c r="Q20" s="137">
        <f ca="1">Parameters!O116</f>
        <v>5.5364055457379942E-3</v>
      </c>
      <c r="R20" s="136">
        <f t="shared" ca="1" si="10"/>
        <v>7.9889824718266222E-2</v>
      </c>
      <c r="S20" s="136">
        <f t="shared" ca="1" si="11"/>
        <v>0.22086595532067715</v>
      </c>
      <c r="T20" s="137">
        <f ca="1">Parameters!O135</f>
        <v>1.0811151496515903E-3</v>
      </c>
      <c r="U20" s="136">
        <f t="shared" ca="1" si="12"/>
        <v>7.3460915261532441E-3</v>
      </c>
      <c r="V20" s="136">
        <f t="shared" ca="1" si="13"/>
        <v>2.5318829597113242E-2</v>
      </c>
      <c r="W20" s="137">
        <f ca="1">Parameters!O154</f>
        <v>5.0219458901920699E-2</v>
      </c>
      <c r="X20" s="136">
        <f t="shared" ca="1" si="14"/>
        <v>7.0663098981209108E-2</v>
      </c>
      <c r="Y20" s="138">
        <f t="shared" ca="1" si="15"/>
        <v>0.10230330276091895</v>
      </c>
      <c r="AA20" s="41" t="s">
        <v>51</v>
      </c>
      <c r="AB20" s="196" t="s">
        <v>5</v>
      </c>
      <c r="AC20" s="97" t="s">
        <v>6</v>
      </c>
      <c r="AD20" s="97" t="s">
        <v>7</v>
      </c>
      <c r="AE20" s="97" t="s">
        <v>8</v>
      </c>
      <c r="AF20" s="196" t="s">
        <v>5</v>
      </c>
      <c r="AG20" s="97" t="s">
        <v>6</v>
      </c>
      <c r="AH20" s="97" t="s">
        <v>7</v>
      </c>
      <c r="AI20" s="42" t="s">
        <v>8</v>
      </c>
    </row>
    <row r="21" spans="1:35" s="96" customFormat="1" x14ac:dyDescent="0.25">
      <c r="A21" s="140">
        <v>70</v>
      </c>
      <c r="B21" s="135">
        <f>Parameters!N98</f>
        <v>7.7599615429192734E-2</v>
      </c>
      <c r="C21" s="136">
        <f t="shared" si="0"/>
        <v>0.12105540006954067</v>
      </c>
      <c r="D21" s="136">
        <f t="shared" si="1"/>
        <v>0.25530273476204407</v>
      </c>
      <c r="E21" s="137">
        <f>Parameters!N117</f>
        <v>7.6924280411417786E-3</v>
      </c>
      <c r="F21" s="136">
        <f t="shared" si="2"/>
        <v>0.12092496880674876</v>
      </c>
      <c r="G21" s="136">
        <f t="shared" si="3"/>
        <v>0.2991585265200038</v>
      </c>
      <c r="H21" s="137">
        <f>Parameters!N136</f>
        <v>6.0260931599125827E-4</v>
      </c>
      <c r="I21" s="136">
        <f t="shared" si="4"/>
        <v>4.0977433487405564E-3</v>
      </c>
      <c r="J21" s="136">
        <f t="shared" si="5"/>
        <v>1.4251710323193258E-2</v>
      </c>
      <c r="K21" s="137">
        <f>Parameters!N155</f>
        <v>3.6885906427876466E-2</v>
      </c>
      <c r="L21" s="136">
        <f t="shared" si="6"/>
        <v>4.5738523970566818E-2</v>
      </c>
      <c r="M21" s="138">
        <f t="shared" si="7"/>
        <v>8.3731007591279577E-2</v>
      </c>
      <c r="N21" s="135">
        <f ca="1">Parameters!O98</f>
        <v>9.0579931454930374E-2</v>
      </c>
      <c r="O21" s="136">
        <f t="shared" ca="1" si="8"/>
        <v>0.13895716433677527</v>
      </c>
      <c r="P21" s="136">
        <f t="shared" ca="1" si="9"/>
        <v>0.35072053297235167</v>
      </c>
      <c r="Q21" s="137">
        <f ca="1">Parameters!O117</f>
        <v>9.1431327160219622E-3</v>
      </c>
      <c r="R21" s="136">
        <f t="shared" ca="1" si="10"/>
        <v>0.13193456729721431</v>
      </c>
      <c r="S21" s="136">
        <f t="shared" ca="1" si="11"/>
        <v>0.3647505092004138</v>
      </c>
      <c r="T21" s="137">
        <f ca="1">Parameters!O136</f>
        <v>4.8029930191354186E-4</v>
      </c>
      <c r="U21" s="136">
        <f t="shared" ca="1" si="12"/>
        <v>3.2635955873354071E-3</v>
      </c>
      <c r="V21" s="136">
        <f t="shared" ca="1" si="13"/>
        <v>1.1248215497378238E-2</v>
      </c>
      <c r="W21" s="137">
        <f ca="1">Parameters!O155</f>
        <v>4.1083508287125148E-2</v>
      </c>
      <c r="X21" s="136">
        <f t="shared" ca="1" si="14"/>
        <v>5.7808030513793872E-2</v>
      </c>
      <c r="Y21" s="138">
        <f t="shared" ca="1" si="15"/>
        <v>8.3692231630511232E-2</v>
      </c>
      <c r="AA21" s="8">
        <v>0</v>
      </c>
      <c r="AB21" s="58">
        <v>1</v>
      </c>
      <c r="AC21" s="96">
        <v>1</v>
      </c>
      <c r="AD21" s="96">
        <v>1</v>
      </c>
      <c r="AE21" s="96">
        <v>1</v>
      </c>
      <c r="AF21" s="58">
        <v>1</v>
      </c>
      <c r="AG21" s="96">
        <v>1</v>
      </c>
      <c r="AH21" s="96">
        <v>1</v>
      </c>
      <c r="AI21" s="10">
        <v>1</v>
      </c>
    </row>
    <row r="22" spans="1:35" s="96" customFormat="1" x14ac:dyDescent="0.25">
      <c r="A22" s="134">
        <v>75</v>
      </c>
      <c r="B22" s="135">
        <f>Parameters!N99</f>
        <v>0.16130214561846257</v>
      </c>
      <c r="C22" s="136">
        <f t="shared" si="0"/>
        <v>0.20485372493544746</v>
      </c>
      <c r="D22" s="136">
        <f t="shared" si="1"/>
        <v>0.3629298276415408</v>
      </c>
      <c r="E22" s="137">
        <f>Parameters!N118</f>
        <v>1.8034159488017995E-2</v>
      </c>
      <c r="F22" s="136">
        <f t="shared" si="2"/>
        <v>0.12732116598540705</v>
      </c>
      <c r="G22" s="136">
        <f t="shared" si="3"/>
        <v>0.37799598286885722</v>
      </c>
      <c r="H22" s="137">
        <f>Parameters!N137</f>
        <v>6.3201048089828844E-4</v>
      </c>
      <c r="I22" s="136">
        <f t="shared" si="4"/>
        <v>4.0322268681310799E-3</v>
      </c>
      <c r="J22" s="136">
        <f t="shared" si="5"/>
        <v>1.4586801899132496E-2</v>
      </c>
      <c r="K22" s="137">
        <f>Parameters!N156</f>
        <v>0.10020819690299278</v>
      </c>
      <c r="L22" s="136">
        <f t="shared" si="6"/>
        <v>0.11022901659329207</v>
      </c>
      <c r="M22" s="138">
        <f t="shared" si="7"/>
        <v>0.17035393473508773</v>
      </c>
      <c r="N22" s="135">
        <f ca="1">Parameters!O99</f>
        <v>0.14740541810070013</v>
      </c>
      <c r="O22" s="136">
        <f t="shared" ca="1" si="8"/>
        <v>0.18912159500751716</v>
      </c>
      <c r="P22" s="136">
        <f t="shared" ca="1" si="9"/>
        <v>0.36146879122533238</v>
      </c>
      <c r="Q22" s="137">
        <f ca="1">Parameters!O118</f>
        <v>1.4457934201866224E-2</v>
      </c>
      <c r="R22" s="136">
        <f t="shared" ca="1" si="10"/>
        <v>9.4758142511434759E-2</v>
      </c>
      <c r="S22" s="136">
        <f t="shared" ca="1" si="11"/>
        <v>0.34060698279412566</v>
      </c>
      <c r="T22" s="137">
        <f ca="1">Parameters!O137</f>
        <v>8.2163118739708718E-4</v>
      </c>
      <c r="U22" s="136">
        <f t="shared" ca="1" si="12"/>
        <v>6.0850325304260796E-3</v>
      </c>
      <c r="V22" s="136">
        <f t="shared" ca="1" si="13"/>
        <v>1.6907453673626453E-2</v>
      </c>
      <c r="W22" s="137">
        <f ca="1">Parameters!O156</f>
        <v>8.1452374655993046E-2</v>
      </c>
      <c r="X22" s="136">
        <f t="shared" ca="1" si="14"/>
        <v>0.10191495307188568</v>
      </c>
      <c r="Y22" s="138">
        <f t="shared" ca="1" si="15"/>
        <v>0.14300640825045347</v>
      </c>
      <c r="AA22" s="8">
        <v>35</v>
      </c>
      <c r="AB22" s="58">
        <f>Parameters!O339</f>
        <v>3.88</v>
      </c>
      <c r="AC22" s="96">
        <f>Parameters!O343</f>
        <v>4.47</v>
      </c>
      <c r="AD22" s="96">
        <f>Parameters!O347</f>
        <v>14.33</v>
      </c>
      <c r="AE22" s="96">
        <f>Parameters!O351</f>
        <v>2.4</v>
      </c>
      <c r="AF22" s="59">
        <f ca="1">Parameters!P339</f>
        <v>3.1191365594055038</v>
      </c>
      <c r="AG22" s="67">
        <f ca="1">Parameters!P343</f>
        <v>5.0904582021966078</v>
      </c>
      <c r="AH22" s="67">
        <f ca="1">Parameters!P347</f>
        <v>17.060142261872446</v>
      </c>
      <c r="AI22" s="28">
        <f ca="1">Parameters!P351</f>
        <v>2.3514781419870214</v>
      </c>
    </row>
    <row r="23" spans="1:35" s="96" customFormat="1" x14ac:dyDescent="0.25">
      <c r="A23" s="140">
        <v>80</v>
      </c>
      <c r="B23" s="135">
        <f>Parameters!N100</f>
        <v>0.16104731369600905</v>
      </c>
      <c r="C23" s="136">
        <f t="shared" si="0"/>
        <v>0.2045300883939315</v>
      </c>
      <c r="D23" s="136">
        <f t="shared" si="1"/>
        <v>0.36235645581602038</v>
      </c>
      <c r="E23" s="137">
        <f>Parameters!N119</f>
        <v>1.794427303036741E-2</v>
      </c>
      <c r="F23" s="136">
        <f t="shared" si="2"/>
        <v>0.1266865675943939</v>
      </c>
      <c r="G23" s="136">
        <f t="shared" si="3"/>
        <v>0.37611196271650094</v>
      </c>
      <c r="H23" s="137">
        <f>Parameters!N138</f>
        <v>6.318892431148933E-4</v>
      </c>
      <c r="I23" s="136">
        <f t="shared" si="4"/>
        <v>4.0314533710730195E-3</v>
      </c>
      <c r="J23" s="136">
        <f t="shared" si="5"/>
        <v>1.4584003731091736E-2</v>
      </c>
      <c r="K23" s="137">
        <f>Parameters!N157</f>
        <v>0.10046324655546535</v>
      </c>
      <c r="L23" s="136">
        <f t="shared" si="6"/>
        <v>0.11050957121101189</v>
      </c>
      <c r="M23" s="138">
        <f t="shared" si="7"/>
        <v>0.17078751914429108</v>
      </c>
      <c r="N23" s="135">
        <f ca="1">Parameters!O100</f>
        <v>0.12449188736732049</v>
      </c>
      <c r="O23" s="136">
        <f t="shared" ca="1" si="8"/>
        <v>0.15972346612333918</v>
      </c>
      <c r="P23" s="136">
        <f t="shared" ca="1" si="9"/>
        <v>0.30528004074642512</v>
      </c>
      <c r="Q23" s="137">
        <f ca="1">Parameters!O119</f>
        <v>1.5473385862399474E-2</v>
      </c>
      <c r="R23" s="136">
        <f t="shared" ca="1" si="10"/>
        <v>0.10141347181497126</v>
      </c>
      <c r="S23" s="136">
        <f t="shared" ca="1" si="11"/>
        <v>0.36452948247066108</v>
      </c>
      <c r="T23" s="137">
        <f ca="1">Parameters!O138</f>
        <v>1.2227377315807697E-3</v>
      </c>
      <c r="U23" s="136">
        <f t="shared" ca="1" si="12"/>
        <v>9.0556431973078146E-3</v>
      </c>
      <c r="V23" s="136">
        <f t="shared" ca="1" si="13"/>
        <v>2.5161388550974873E-2</v>
      </c>
      <c r="W23" s="137">
        <f ca="1">Parameters!O157</f>
        <v>0.11778888381357355</v>
      </c>
      <c r="X23" s="136">
        <f t="shared" ca="1" si="14"/>
        <v>0.14737997040540413</v>
      </c>
      <c r="Y23" s="138">
        <f t="shared" ca="1" si="15"/>
        <v>0.20680262886319364</v>
      </c>
      <c r="AA23" s="39">
        <v>55</v>
      </c>
      <c r="AB23" s="58">
        <f>Parameters!O340</f>
        <v>2.99</v>
      </c>
      <c r="AC23" s="96">
        <f>Parameters!O344</f>
        <v>15.17</v>
      </c>
      <c r="AD23" s="96">
        <f>Parameters!O348</f>
        <v>19.03</v>
      </c>
      <c r="AE23" s="96">
        <f>Parameters!O352</f>
        <v>2.5099999999999998</v>
      </c>
      <c r="AF23" s="59">
        <f ca="1">Parameters!P340</f>
        <v>3.0191831520521797</v>
      </c>
      <c r="AG23" s="67">
        <f ca="1">Parameters!P344</f>
        <v>15.380842803507701</v>
      </c>
      <c r="AH23" s="67">
        <f ca="1">Parameters!P348</f>
        <v>20.460114187190666</v>
      </c>
      <c r="AI23" s="28">
        <f ca="1">Parameters!P352</f>
        <v>2.39080813867445</v>
      </c>
    </row>
    <row r="24" spans="1:35" s="96" customFormat="1" ht="15.75" thickBot="1" x14ac:dyDescent="0.3">
      <c r="A24" s="134">
        <v>85</v>
      </c>
      <c r="B24" s="211">
        <f>Parameters!N101</f>
        <v>0.16113417937467944</v>
      </c>
      <c r="C24" s="212">
        <f t="shared" si="0"/>
        <v>0.20464040780584289</v>
      </c>
      <c r="D24" s="212">
        <f t="shared" si="1"/>
        <v>0.36255190359302875</v>
      </c>
      <c r="E24" s="213">
        <f>Parameters!N120</f>
        <v>1.4009400025163926E-2</v>
      </c>
      <c r="F24" s="212">
        <f t="shared" si="2"/>
        <v>9.8906364177657316E-2</v>
      </c>
      <c r="G24" s="212">
        <f t="shared" si="3"/>
        <v>0.2936370245274359</v>
      </c>
      <c r="H24" s="213">
        <f>Parameters!N139</f>
        <v>6.3219628717565534E-4</v>
      </c>
      <c r="I24" s="212">
        <f t="shared" si="4"/>
        <v>4.0334123121806807E-3</v>
      </c>
      <c r="J24" s="212">
        <f t="shared" si="5"/>
        <v>1.4591090308014124E-2</v>
      </c>
      <c r="K24" s="213">
        <f>Parameters!N158</f>
        <v>0.10039733040873304</v>
      </c>
      <c r="L24" s="212">
        <f t="shared" si="6"/>
        <v>0.11043706344960635</v>
      </c>
      <c r="M24" s="214">
        <f t="shared" si="7"/>
        <v>0.17067546169484615</v>
      </c>
      <c r="N24" s="211">
        <f ca="1">Parameters!O101</f>
        <v>0.16720028966269684</v>
      </c>
      <c r="O24" s="212">
        <f t="shared" ca="1" si="8"/>
        <v>0.21451847478988914</v>
      </c>
      <c r="P24" s="212">
        <f t="shared" ca="1" si="9"/>
        <v>0.41000993976769845</v>
      </c>
      <c r="Q24" s="213">
        <f ca="1">Parameters!O120</f>
        <v>1.4347847927703494E-2</v>
      </c>
      <c r="R24" s="212">
        <f t="shared" ca="1" si="10"/>
        <v>9.4036630661261986E-2</v>
      </c>
      <c r="S24" s="212">
        <f t="shared" ca="1" si="11"/>
        <v>0.33801351728473261</v>
      </c>
      <c r="T24" s="213">
        <f ca="1">Parameters!O139</f>
        <v>6.9367354248328628E-4</v>
      </c>
      <c r="U24" s="212">
        <f t="shared" ca="1" si="12"/>
        <v>5.1373732354036226E-3</v>
      </c>
      <c r="V24" s="212">
        <f t="shared" ca="1" si="13"/>
        <v>1.427435260985091E-2</v>
      </c>
      <c r="W24" s="213">
        <f ca="1">Parameters!O158</f>
        <v>8.0399405077631839E-2</v>
      </c>
      <c r="X24" s="212">
        <f t="shared" ca="1" si="14"/>
        <v>0.10059745501712627</v>
      </c>
      <c r="Y24" s="214">
        <f t="shared" ca="1" si="15"/>
        <v>0.1411577034332594</v>
      </c>
      <c r="AA24" s="39">
        <v>65</v>
      </c>
      <c r="AB24" s="58">
        <f>Parameters!O341</f>
        <v>2.76</v>
      </c>
      <c r="AC24" s="96">
        <f>Parameters!O345</f>
        <v>29.69</v>
      </c>
      <c r="AD24" s="96">
        <f>Parameters!O349</f>
        <v>28.29</v>
      </c>
      <c r="AE24" s="96">
        <f>Parameters!O353</f>
        <v>2.17</v>
      </c>
      <c r="AF24" s="59">
        <f ca="1">Parameters!P341</f>
        <v>2.8134534077156133</v>
      </c>
      <c r="AG24" s="67">
        <f ca="1">Parameters!P345</f>
        <v>29.701812620720325</v>
      </c>
      <c r="AH24" s="67">
        <f ca="1">Parameters!P349</f>
        <v>25.475789285936393</v>
      </c>
      <c r="AI24" s="28">
        <f ca="1">Parameters!P353</f>
        <v>2.0590120344011775</v>
      </c>
    </row>
    <row r="25" spans="1:35" ht="15.75" thickBot="1" x14ac:dyDescent="0.3">
      <c r="A25" s="632" t="s">
        <v>78</v>
      </c>
      <c r="B25" s="633"/>
      <c r="C25" s="633"/>
      <c r="D25" s="633"/>
      <c r="E25" s="633"/>
      <c r="F25" s="633"/>
      <c r="G25" s="633"/>
      <c r="H25" s="633"/>
      <c r="I25" s="633"/>
      <c r="J25" s="633"/>
      <c r="K25" s="633"/>
      <c r="L25" s="633"/>
      <c r="M25" s="633"/>
      <c r="N25" s="633"/>
      <c r="O25" s="633"/>
      <c r="P25" s="633"/>
      <c r="Q25" s="633"/>
      <c r="R25" s="633"/>
      <c r="S25" s="633"/>
      <c r="T25" s="633"/>
      <c r="U25" s="633"/>
      <c r="V25" s="633"/>
      <c r="W25" s="633"/>
      <c r="X25" s="633"/>
      <c r="Y25" s="634"/>
      <c r="Z25" s="96"/>
      <c r="AA25" s="11">
        <v>75</v>
      </c>
      <c r="AB25" s="60">
        <f>Parameters!O342</f>
        <v>1.98</v>
      </c>
      <c r="AC25" s="12">
        <f>Parameters!O346</f>
        <v>23.01</v>
      </c>
      <c r="AD25" s="12">
        <f>Parameters!O350</f>
        <v>22.51</v>
      </c>
      <c r="AE25" s="12">
        <f>Parameters!O354</f>
        <v>1.48</v>
      </c>
      <c r="AF25" s="216">
        <f ca="1">Parameters!P342</f>
        <v>2.2341454971469537</v>
      </c>
      <c r="AG25" s="217">
        <f ca="1">Parameters!P346</f>
        <v>24.591293827830469</v>
      </c>
      <c r="AH25" s="217">
        <f ca="1">Parameters!P350</f>
        <v>20.655594320408383</v>
      </c>
      <c r="AI25" s="218">
        <f ca="1">Parameters!P354</f>
        <v>1.4681135719194232</v>
      </c>
    </row>
    <row r="26" spans="1:35" s="96" customFormat="1" x14ac:dyDescent="0.25">
      <c r="A26" s="158"/>
      <c r="B26" s="632" t="s">
        <v>107</v>
      </c>
      <c r="C26" s="635"/>
      <c r="D26" s="635"/>
      <c r="E26" s="635"/>
      <c r="F26" s="635"/>
      <c r="G26" s="635"/>
      <c r="H26" s="635"/>
      <c r="I26" s="635"/>
      <c r="J26" s="635"/>
      <c r="K26" s="635"/>
      <c r="L26" s="635"/>
      <c r="M26" s="636"/>
      <c r="N26" s="632" t="s">
        <v>25</v>
      </c>
      <c r="O26" s="635"/>
      <c r="P26" s="635"/>
      <c r="Q26" s="635"/>
      <c r="R26" s="635"/>
      <c r="S26" s="635"/>
      <c r="T26" s="635"/>
      <c r="U26" s="635"/>
      <c r="V26" s="635"/>
      <c r="W26" s="635"/>
      <c r="X26" s="635"/>
      <c r="Y26" s="636"/>
      <c r="Z26" s="40"/>
      <c r="AA26" s="552" t="s">
        <v>818</v>
      </c>
      <c r="AB26" s="555"/>
      <c r="AC26" s="555"/>
      <c r="AD26" s="555"/>
      <c r="AE26" s="555"/>
      <c r="AF26" s="555"/>
      <c r="AG26" s="555"/>
      <c r="AH26" s="555"/>
      <c r="AI26" s="556"/>
    </row>
    <row r="27" spans="1:35" s="96" customFormat="1" x14ac:dyDescent="0.25">
      <c r="A27" s="141"/>
      <c r="B27" s="637" t="s">
        <v>5</v>
      </c>
      <c r="C27" s="633"/>
      <c r="D27" s="633"/>
      <c r="E27" s="638" t="s">
        <v>6</v>
      </c>
      <c r="F27" s="633"/>
      <c r="G27" s="633"/>
      <c r="H27" s="638" t="s">
        <v>53</v>
      </c>
      <c r="I27" s="633"/>
      <c r="J27" s="633"/>
      <c r="K27" s="638" t="s">
        <v>8</v>
      </c>
      <c r="L27" s="633"/>
      <c r="M27" s="634"/>
      <c r="N27" s="637" t="s">
        <v>5</v>
      </c>
      <c r="O27" s="633"/>
      <c r="P27" s="633"/>
      <c r="Q27" s="638" t="s">
        <v>6</v>
      </c>
      <c r="R27" s="633"/>
      <c r="S27" s="633"/>
      <c r="T27" s="638" t="s">
        <v>53</v>
      </c>
      <c r="U27" s="633"/>
      <c r="V27" s="633"/>
      <c r="W27" s="638" t="s">
        <v>8</v>
      </c>
      <c r="X27" s="633"/>
      <c r="Y27" s="634"/>
      <c r="Z27" s="40"/>
      <c r="AA27" s="8"/>
      <c r="AB27" s="642" t="s">
        <v>14</v>
      </c>
      <c r="AC27" s="613"/>
      <c r="AD27" s="613"/>
      <c r="AE27" s="613"/>
      <c r="AF27" s="642" t="s">
        <v>25</v>
      </c>
      <c r="AG27" s="613"/>
      <c r="AH27" s="613"/>
      <c r="AI27" s="643"/>
    </row>
    <row r="28" spans="1:35" s="96" customFormat="1" x14ac:dyDescent="0.25">
      <c r="A28" s="142" t="s">
        <v>340</v>
      </c>
      <c r="B28" s="185">
        <v>2</v>
      </c>
      <c r="C28" s="186">
        <v>3</v>
      </c>
      <c r="D28" s="186">
        <v>4</v>
      </c>
      <c r="E28" s="187">
        <v>5</v>
      </c>
      <c r="F28" s="186">
        <v>6</v>
      </c>
      <c r="G28" s="186">
        <v>7</v>
      </c>
      <c r="H28" s="187">
        <v>8</v>
      </c>
      <c r="I28" s="186">
        <v>9</v>
      </c>
      <c r="J28" s="186">
        <v>10</v>
      </c>
      <c r="K28" s="187">
        <v>11</v>
      </c>
      <c r="L28" s="186">
        <v>12</v>
      </c>
      <c r="M28" s="188">
        <v>13</v>
      </c>
      <c r="N28" s="185">
        <v>14</v>
      </c>
      <c r="O28" s="186">
        <v>15</v>
      </c>
      <c r="P28" s="186">
        <v>16</v>
      </c>
      <c r="Q28" s="187">
        <v>17</v>
      </c>
      <c r="R28" s="186">
        <v>18</v>
      </c>
      <c r="S28" s="186">
        <v>19</v>
      </c>
      <c r="T28" s="187">
        <v>20</v>
      </c>
      <c r="U28" s="186">
        <v>21</v>
      </c>
      <c r="V28" s="186">
        <v>22</v>
      </c>
      <c r="W28" s="187">
        <v>23</v>
      </c>
      <c r="X28" s="186">
        <v>24</v>
      </c>
      <c r="Y28" s="188">
        <v>25</v>
      </c>
      <c r="Z28" s="40"/>
      <c r="AA28" s="41" t="s">
        <v>51</v>
      </c>
      <c r="AB28" s="196" t="s">
        <v>5</v>
      </c>
      <c r="AC28" s="97" t="s">
        <v>6</v>
      </c>
      <c r="AD28" s="97" t="s">
        <v>7</v>
      </c>
      <c r="AE28" s="97" t="s">
        <v>8</v>
      </c>
      <c r="AF28" s="196" t="s">
        <v>5</v>
      </c>
      <c r="AG28" s="97" t="s">
        <v>6</v>
      </c>
      <c r="AH28" s="97" t="s">
        <v>7</v>
      </c>
      <c r="AI28" s="42" t="s">
        <v>8</v>
      </c>
    </row>
    <row r="29" spans="1:35" s="96" customFormat="1" x14ac:dyDescent="0.25">
      <c r="A29" s="152" t="s">
        <v>51</v>
      </c>
      <c r="B29" s="152" t="s">
        <v>50</v>
      </c>
      <c r="C29" s="153" t="s">
        <v>49</v>
      </c>
      <c r="D29" s="153" t="s">
        <v>24</v>
      </c>
      <c r="E29" s="155" t="s">
        <v>50</v>
      </c>
      <c r="F29" s="153" t="s">
        <v>49</v>
      </c>
      <c r="G29" s="153" t="s">
        <v>24</v>
      </c>
      <c r="H29" s="155" t="s">
        <v>50</v>
      </c>
      <c r="I29" s="153" t="s">
        <v>49</v>
      </c>
      <c r="J29" s="153" t="s">
        <v>24</v>
      </c>
      <c r="K29" s="155" t="s">
        <v>50</v>
      </c>
      <c r="L29" s="153" t="s">
        <v>49</v>
      </c>
      <c r="M29" s="154" t="s">
        <v>24</v>
      </c>
      <c r="N29" s="152" t="s">
        <v>50</v>
      </c>
      <c r="O29" s="153" t="s">
        <v>49</v>
      </c>
      <c r="P29" s="153" t="s">
        <v>24</v>
      </c>
      <c r="Q29" s="155" t="s">
        <v>50</v>
      </c>
      <c r="R29" s="153" t="s">
        <v>49</v>
      </c>
      <c r="S29" s="153" t="s">
        <v>24</v>
      </c>
      <c r="T29" s="155" t="s">
        <v>50</v>
      </c>
      <c r="U29" s="153" t="s">
        <v>49</v>
      </c>
      <c r="V29" s="153" t="s">
        <v>24</v>
      </c>
      <c r="W29" s="155" t="s">
        <v>50</v>
      </c>
      <c r="X29" s="153" t="s">
        <v>49</v>
      </c>
      <c r="Y29" s="154" t="s">
        <v>24</v>
      </c>
      <c r="Z29" s="40"/>
      <c r="AA29" s="8">
        <v>0</v>
      </c>
      <c r="AB29" s="58">
        <v>1</v>
      </c>
      <c r="AC29" s="96">
        <v>1</v>
      </c>
      <c r="AD29" s="96">
        <v>1</v>
      </c>
      <c r="AE29" s="96">
        <v>1</v>
      </c>
      <c r="AF29" s="58">
        <v>1</v>
      </c>
      <c r="AG29" s="96">
        <v>1</v>
      </c>
      <c r="AH29" s="96">
        <v>1</v>
      </c>
      <c r="AI29" s="10">
        <v>1</v>
      </c>
    </row>
    <row r="30" spans="1:35" s="96" customFormat="1" x14ac:dyDescent="0.25">
      <c r="A30" s="143">
        <v>0</v>
      </c>
      <c r="B30" s="150">
        <f>Parameters!N159</f>
        <v>0</v>
      </c>
      <c r="C30" s="125">
        <f>B30*VLOOKUP($A30,$AA$29:$AI$33,2)</f>
        <v>0</v>
      </c>
      <c r="D30" s="125">
        <f>B30*VLOOKUP($A30,$AA$21:$AI$25,2)</f>
        <v>0</v>
      </c>
      <c r="E30" s="156">
        <f>Parameters!N178</f>
        <v>0</v>
      </c>
      <c r="F30" s="125">
        <f>E30*VLOOKUP($A30,$AA$29:$AI$33,3)</f>
        <v>0</v>
      </c>
      <c r="G30" s="125">
        <f>E30*VLOOKUP($A30,$AA$21:$AI$25,3)</f>
        <v>0</v>
      </c>
      <c r="H30" s="156">
        <f>Parameters!N197</f>
        <v>1.9998000197906443E-5</v>
      </c>
      <c r="I30" s="125">
        <f>H30*VLOOKUP($A30,$AA$29:$AI$33,4)</f>
        <v>1.9998000197906443E-5</v>
      </c>
      <c r="J30" s="125">
        <f>H30*VLOOKUP($A30,$AA$21:$AI$25,4)</f>
        <v>1.9998000197906443E-5</v>
      </c>
      <c r="K30" s="156">
        <f>Parameters!N216</f>
        <v>0</v>
      </c>
      <c r="L30" s="125">
        <f>K30*VLOOKUP($A30,$AA$29:$AI$33,5)</f>
        <v>0</v>
      </c>
      <c r="M30" s="144">
        <f>K30*VLOOKUP($A30,$AA$21:$AI$25,5)</f>
        <v>0</v>
      </c>
      <c r="N30" s="150">
        <f>Parameters!O159</f>
        <v>0</v>
      </c>
      <c r="O30" s="125">
        <f>N30*VLOOKUP($A30,$AA$29:$AI$33,6)</f>
        <v>0</v>
      </c>
      <c r="P30" s="125">
        <f>N30*VLOOKUP($A30,$AA$21:$AI$25,6)</f>
        <v>0</v>
      </c>
      <c r="Q30" s="156">
        <f>Parameters!O178</f>
        <v>0</v>
      </c>
      <c r="R30" s="125">
        <f>Q30*VLOOKUP($A30,$AA$29:$AI$33,7)</f>
        <v>0</v>
      </c>
      <c r="S30" s="125">
        <f>Q30*VLOOKUP($A30,$AA$21:$AI$25,7)</f>
        <v>0</v>
      </c>
      <c r="T30" s="156">
        <f ca="1">Parameters!O197</f>
        <v>2.0053179020762535E-5</v>
      </c>
      <c r="U30" s="125">
        <f ca="1">T30*VLOOKUP($A30,$AA$29:$AI$33,8)</f>
        <v>2.0053179020762535E-5</v>
      </c>
      <c r="V30" s="125">
        <f ca="1">T30*VLOOKUP($A30,$AA$21:$AI$25,8)</f>
        <v>2.0053179020762535E-5</v>
      </c>
      <c r="W30" s="156">
        <f>Parameters!O216</f>
        <v>0</v>
      </c>
      <c r="X30" s="125">
        <f>W30*VLOOKUP($A30,$AA$29:$AI$33,9)</f>
        <v>0</v>
      </c>
      <c r="Y30" s="144">
        <f>W30*VLOOKUP($A30,$AA$21:$AI$25,9)</f>
        <v>0</v>
      </c>
      <c r="AA30" s="8">
        <v>35</v>
      </c>
      <c r="AB30" s="58">
        <f>Parameters!O355</f>
        <v>1.83</v>
      </c>
      <c r="AC30" s="96">
        <f>Parameters!O359</f>
        <v>2.2200000000000002</v>
      </c>
      <c r="AD30" s="96">
        <f>Parameters!O363</f>
        <v>4.4000000000000004</v>
      </c>
      <c r="AE30" s="96">
        <f>Parameters!O367</f>
        <v>1.07</v>
      </c>
      <c r="AF30" s="59">
        <f ca="1">Parameters!P355</f>
        <v>1.7628039585184505</v>
      </c>
      <c r="AG30" s="67">
        <f ca="1">Parameters!P359</f>
        <v>2.3285057079343456</v>
      </c>
      <c r="AH30" s="67">
        <f ca="1">Parameters!P363</f>
        <v>3.9896476995734229</v>
      </c>
      <c r="AI30" s="28">
        <f ca="1">Parameters!P367</f>
        <v>1.0822665279049195</v>
      </c>
    </row>
    <row r="31" spans="1:35" s="96" customFormat="1" x14ac:dyDescent="0.25">
      <c r="A31" s="143">
        <v>5</v>
      </c>
      <c r="B31" s="150">
        <f>Parameters!N160</f>
        <v>0</v>
      </c>
      <c r="C31" s="125">
        <f t="shared" ref="C31:C48" si="16">B31*VLOOKUP($A31,$AA$29:$AI$33,2)</f>
        <v>0</v>
      </c>
      <c r="D31" s="125">
        <f t="shared" ref="D31:D48" si="17">B31*VLOOKUP($A31,$AA$21:$AI$25,2)</f>
        <v>0</v>
      </c>
      <c r="E31" s="156">
        <f>Parameters!N179</f>
        <v>1.0004045184682006E-4</v>
      </c>
      <c r="F31" s="125">
        <f t="shared" ref="F31:F48" si="18">E31*VLOOKUP($A31,$AA$29:$AI$33,3)</f>
        <v>1.0004045184682006E-4</v>
      </c>
      <c r="G31" s="125">
        <f t="shared" ref="G31:G48" si="19">E31*VLOOKUP($A31,$AA$21:$AI$25,3)</f>
        <v>1.0004045184682006E-4</v>
      </c>
      <c r="H31" s="156">
        <f>Parameters!N198</f>
        <v>1.9974296506674823E-5</v>
      </c>
      <c r="I31" s="125">
        <f t="shared" ref="I31:I48" si="20">H31*VLOOKUP($A31,$AA$29:$AI$33,4)</f>
        <v>1.9974296506674823E-5</v>
      </c>
      <c r="J31" s="125">
        <f t="shared" ref="J31:J48" si="21">H31*VLOOKUP($A31,$AA$21:$AI$25,4)</f>
        <v>1.9974296506674823E-5</v>
      </c>
      <c r="K31" s="156">
        <f>Parameters!N217</f>
        <v>0</v>
      </c>
      <c r="L31" s="125">
        <f t="shared" ref="L31:L48" si="22">K31*VLOOKUP($A31,$AA$29:$AI$33,5)</f>
        <v>0</v>
      </c>
      <c r="M31" s="144">
        <f t="shared" ref="M31:M48" si="23">K31*VLOOKUP($A31,$AA$21:$AI$25,5)</f>
        <v>0</v>
      </c>
      <c r="N31" s="150">
        <f>Parameters!O160</f>
        <v>0</v>
      </c>
      <c r="O31" s="125">
        <f t="shared" ref="O31:O48" si="24">N31*VLOOKUP($A31,$AA$29:$AI$33,6)</f>
        <v>0</v>
      </c>
      <c r="P31" s="125">
        <f t="shared" ref="P31:P48" si="25">N31*VLOOKUP($A31,$AA$21:$AI$25,6)</f>
        <v>0</v>
      </c>
      <c r="Q31" s="156">
        <f ca="1">Parameters!O179</f>
        <v>9.385877678968918E-5</v>
      </c>
      <c r="R31" s="125">
        <f t="shared" ref="R31:R48" ca="1" si="26">Q31*VLOOKUP($A31,$AA$29:$AI$33,7)</f>
        <v>9.385877678968918E-5</v>
      </c>
      <c r="S31" s="125">
        <f t="shared" ref="S31:S48" ca="1" si="27">Q31*VLOOKUP($A31,$AA$21:$AI$25,7)</f>
        <v>9.385877678968918E-5</v>
      </c>
      <c r="T31" s="156">
        <f ca="1">Parameters!O198</f>
        <v>2.1168304158214468E-5</v>
      </c>
      <c r="U31" s="125">
        <f t="shared" ref="U31:U48" ca="1" si="28">T31*VLOOKUP($A31,$AA$29:$AI$33,8)</f>
        <v>2.1168304158214468E-5</v>
      </c>
      <c r="V31" s="125">
        <f t="shared" ref="V31:V48" ca="1" si="29">T31*VLOOKUP($A31,$AA$21:$AI$25,8)</f>
        <v>2.1168304158214468E-5</v>
      </c>
      <c r="W31" s="156">
        <f>Parameters!O217</f>
        <v>0</v>
      </c>
      <c r="X31" s="125">
        <f t="shared" ref="X31:X48" si="30">W31*VLOOKUP($A31,$AA$29:$AI$33,9)</f>
        <v>0</v>
      </c>
      <c r="Y31" s="144">
        <f t="shared" ref="Y31:Y48" si="31">W31*VLOOKUP($A31,$AA$21:$AI$25,9)</f>
        <v>0</v>
      </c>
      <c r="AA31" s="39">
        <v>55</v>
      </c>
      <c r="AB31" s="58">
        <f>Parameters!O356</f>
        <v>1.52</v>
      </c>
      <c r="AC31" s="96">
        <f>Parameters!O360</f>
        <v>3.98</v>
      </c>
      <c r="AD31" s="96">
        <f>Parameters!O364</f>
        <v>4.57</v>
      </c>
      <c r="AE31" s="96">
        <f>Parameters!O368</f>
        <v>1.51</v>
      </c>
      <c r="AF31" s="59">
        <f ca="1">Parameters!P356</f>
        <v>1.2695277334180315</v>
      </c>
      <c r="AG31" s="67">
        <f ca="1">Parameters!P360</f>
        <v>3.5067579199812373</v>
      </c>
      <c r="AH31" s="67">
        <f ca="1">Parameters!P364</f>
        <v>4.6376212440139577</v>
      </c>
      <c r="AI31" s="28">
        <f ca="1">Parameters!P368</f>
        <v>1.5566583397306391</v>
      </c>
    </row>
    <row r="32" spans="1:35" s="96" customFormat="1" x14ac:dyDescent="0.25">
      <c r="A32" s="143">
        <v>10</v>
      </c>
      <c r="B32" s="150">
        <f>Parameters!N161</f>
        <v>0</v>
      </c>
      <c r="C32" s="125">
        <f t="shared" si="16"/>
        <v>0</v>
      </c>
      <c r="D32" s="125">
        <f t="shared" si="17"/>
        <v>0</v>
      </c>
      <c r="E32" s="156">
        <f>Parameters!N180</f>
        <v>2.0017595528866821E-4</v>
      </c>
      <c r="F32" s="125">
        <f t="shared" si="18"/>
        <v>2.0017595528866821E-4</v>
      </c>
      <c r="G32" s="125">
        <f t="shared" si="19"/>
        <v>2.0017595528866821E-4</v>
      </c>
      <c r="H32" s="156">
        <f>Parameters!N199</f>
        <v>2.0004763451873426E-5</v>
      </c>
      <c r="I32" s="125">
        <f t="shared" si="20"/>
        <v>2.0004763451873426E-5</v>
      </c>
      <c r="J32" s="125">
        <f t="shared" si="21"/>
        <v>2.0004763451873426E-5</v>
      </c>
      <c r="K32" s="156">
        <f>Parameters!N218</f>
        <v>0</v>
      </c>
      <c r="L32" s="125">
        <f t="shared" si="22"/>
        <v>0</v>
      </c>
      <c r="M32" s="144">
        <f t="shared" si="23"/>
        <v>0</v>
      </c>
      <c r="N32" s="150">
        <f>Parameters!O161</f>
        <v>0</v>
      </c>
      <c r="O32" s="125">
        <f t="shared" si="24"/>
        <v>0</v>
      </c>
      <c r="P32" s="125">
        <f t="shared" si="25"/>
        <v>0</v>
      </c>
      <c r="Q32" s="156">
        <f ca="1">Parameters!O180</f>
        <v>1.9356038178017348E-4</v>
      </c>
      <c r="R32" s="125">
        <f t="shared" ca="1" si="26"/>
        <v>1.9356038178017348E-4</v>
      </c>
      <c r="S32" s="125">
        <f t="shared" ca="1" si="27"/>
        <v>1.9356038178017348E-4</v>
      </c>
      <c r="T32" s="156">
        <f ca="1">Parameters!O199</f>
        <v>1.7843145538074229E-5</v>
      </c>
      <c r="U32" s="125">
        <f t="shared" ca="1" si="28"/>
        <v>1.7843145538074229E-5</v>
      </c>
      <c r="V32" s="125">
        <f t="shared" ca="1" si="29"/>
        <v>1.7843145538074229E-5</v>
      </c>
      <c r="W32" s="156">
        <f>Parameters!O218</f>
        <v>0</v>
      </c>
      <c r="X32" s="125">
        <f t="shared" si="30"/>
        <v>0</v>
      </c>
      <c r="Y32" s="144">
        <f t="shared" si="31"/>
        <v>0</v>
      </c>
      <c r="AA32" s="39">
        <v>65</v>
      </c>
      <c r="AB32" s="58">
        <f>Parameters!O357</f>
        <v>1.58</v>
      </c>
      <c r="AC32" s="96">
        <f>Parameters!O361</f>
        <v>8.1300000000000008</v>
      </c>
      <c r="AD32" s="96">
        <f>Parameters!O365</f>
        <v>7.79</v>
      </c>
      <c r="AE32" s="96">
        <f>Parameters!O369</f>
        <v>1.23</v>
      </c>
      <c r="AF32" s="59">
        <f ca="1">Parameters!P357</f>
        <v>1.6787689231084124</v>
      </c>
      <c r="AG32" s="67">
        <f ca="1">Parameters!P361</f>
        <v>7.2971778548762485</v>
      </c>
      <c r="AH32" s="67">
        <f ca="1">Parameters!P365</f>
        <v>7.7837260794152261</v>
      </c>
      <c r="AI32" s="28">
        <f ca="1">Parameters!P369</f>
        <v>1.2637868609750309</v>
      </c>
    </row>
    <row r="33" spans="1:35" s="96" customFormat="1" ht="15.75" thickBot="1" x14ac:dyDescent="0.3">
      <c r="A33" s="143">
        <v>15</v>
      </c>
      <c r="B33" s="150">
        <f>Parameters!N162</f>
        <v>0</v>
      </c>
      <c r="C33" s="125">
        <f t="shared" si="16"/>
        <v>0</v>
      </c>
      <c r="D33" s="125">
        <f t="shared" si="17"/>
        <v>0</v>
      </c>
      <c r="E33" s="156">
        <f>Parameters!N181</f>
        <v>3.0038392386315046E-4</v>
      </c>
      <c r="F33" s="125">
        <f t="shared" si="18"/>
        <v>3.0038392386315046E-4</v>
      </c>
      <c r="G33" s="125">
        <f t="shared" si="19"/>
        <v>3.0038392386315046E-4</v>
      </c>
      <c r="H33" s="156">
        <f>Parameters!N200</f>
        <v>2.0003168327571975E-5</v>
      </c>
      <c r="I33" s="125">
        <f t="shared" si="20"/>
        <v>2.0003168327571975E-5</v>
      </c>
      <c r="J33" s="125">
        <f t="shared" si="21"/>
        <v>2.0003168327571975E-5</v>
      </c>
      <c r="K33" s="156">
        <f>Parameters!N219</f>
        <v>0</v>
      </c>
      <c r="L33" s="125">
        <f t="shared" si="22"/>
        <v>0</v>
      </c>
      <c r="M33" s="144">
        <f t="shared" si="23"/>
        <v>0</v>
      </c>
      <c r="N33" s="150">
        <f>Parameters!O162</f>
        <v>0</v>
      </c>
      <c r="O33" s="125">
        <f t="shared" si="24"/>
        <v>0</v>
      </c>
      <c r="P33" s="125">
        <f t="shared" si="25"/>
        <v>0</v>
      </c>
      <c r="Q33" s="156">
        <f ca="1">Parameters!O181</f>
        <v>3.0499339760514665E-4</v>
      </c>
      <c r="R33" s="125">
        <f t="shared" ca="1" si="26"/>
        <v>3.0499339760514665E-4</v>
      </c>
      <c r="S33" s="125">
        <f t="shared" ca="1" si="27"/>
        <v>3.0499339760514665E-4</v>
      </c>
      <c r="T33" s="156">
        <f ca="1">Parameters!O200</f>
        <v>2.3523913579071021E-5</v>
      </c>
      <c r="U33" s="125">
        <f t="shared" ca="1" si="28"/>
        <v>2.3523913579071021E-5</v>
      </c>
      <c r="V33" s="125">
        <f t="shared" ca="1" si="29"/>
        <v>2.3523913579071021E-5</v>
      </c>
      <c r="W33" s="156">
        <f>Parameters!O219</f>
        <v>0</v>
      </c>
      <c r="X33" s="125">
        <f t="shared" si="30"/>
        <v>0</v>
      </c>
      <c r="Y33" s="144">
        <f t="shared" si="31"/>
        <v>0</v>
      </c>
      <c r="AA33" s="11">
        <v>75</v>
      </c>
      <c r="AB33" s="60">
        <f>Parameters!O358</f>
        <v>1.32</v>
      </c>
      <c r="AC33" s="12">
        <f>Parameters!O362</f>
        <v>6.55</v>
      </c>
      <c r="AD33" s="12">
        <f>Parameters!O366</f>
        <v>6.46</v>
      </c>
      <c r="AE33" s="12">
        <f>Parameters!O370</f>
        <v>1.1200000000000001</v>
      </c>
      <c r="AF33" s="216">
        <f ca="1">Parameters!P358</f>
        <v>1.3272097730717733</v>
      </c>
      <c r="AG33" s="217">
        <f ca="1">Parameters!P362</f>
        <v>6.168417523526184</v>
      </c>
      <c r="AH33" s="217">
        <f ca="1">Parameters!P366</f>
        <v>7.068113626424676</v>
      </c>
      <c r="AI33" s="218">
        <f ca="1">Parameters!P370</f>
        <v>1.128215266059853</v>
      </c>
    </row>
    <row r="34" spans="1:35" s="96" customFormat="1" x14ac:dyDescent="0.25">
      <c r="A34" s="145">
        <v>16</v>
      </c>
      <c r="B34" s="150">
        <f>Parameters!N163</f>
        <v>9.9999844568059572E-4</v>
      </c>
      <c r="C34" s="125">
        <f t="shared" si="16"/>
        <v>9.9999844568059572E-4</v>
      </c>
      <c r="D34" s="125">
        <f t="shared" si="17"/>
        <v>9.9999844568059572E-4</v>
      </c>
      <c r="E34" s="156">
        <f>Parameters!N182</f>
        <v>2.9971339408463489E-4</v>
      </c>
      <c r="F34" s="125">
        <f t="shared" si="18"/>
        <v>2.9971339408463489E-4</v>
      </c>
      <c r="G34" s="125">
        <f t="shared" si="19"/>
        <v>2.9971339408463489E-4</v>
      </c>
      <c r="H34" s="156">
        <f>Parameters!N201</f>
        <v>2.0000751110923094E-5</v>
      </c>
      <c r="I34" s="125">
        <f t="shared" si="20"/>
        <v>2.0000751110923094E-5</v>
      </c>
      <c r="J34" s="125">
        <f t="shared" si="21"/>
        <v>2.0000751110923094E-5</v>
      </c>
      <c r="K34" s="156">
        <f>Parameters!N220</f>
        <v>0</v>
      </c>
      <c r="L34" s="125">
        <f t="shared" si="22"/>
        <v>0</v>
      </c>
      <c r="M34" s="144">
        <f t="shared" si="23"/>
        <v>0</v>
      </c>
      <c r="N34" s="150">
        <f ca="1">Parameters!O163</f>
        <v>9.1630163761139295E-4</v>
      </c>
      <c r="O34" s="125">
        <f t="shared" ca="1" si="24"/>
        <v>9.1630163761139295E-4</v>
      </c>
      <c r="P34" s="125">
        <f t="shared" ca="1" si="25"/>
        <v>9.1630163761139295E-4</v>
      </c>
      <c r="Q34" s="156">
        <f ca="1">Parameters!O182</f>
        <v>2.8083376420340409E-4</v>
      </c>
      <c r="R34" s="125">
        <f t="shared" ca="1" si="26"/>
        <v>2.8083376420340409E-4</v>
      </c>
      <c r="S34" s="125">
        <f t="shared" ca="1" si="27"/>
        <v>2.8083376420340409E-4</v>
      </c>
      <c r="T34" s="156">
        <f ca="1">Parameters!O201</f>
        <v>1.8223228547659661E-5</v>
      </c>
      <c r="U34" s="125">
        <f t="shared" ca="1" si="28"/>
        <v>1.8223228547659661E-5</v>
      </c>
      <c r="V34" s="125">
        <f t="shared" ca="1" si="29"/>
        <v>1.8223228547659661E-5</v>
      </c>
      <c r="W34" s="156">
        <f>Parameters!O220</f>
        <v>0</v>
      </c>
      <c r="X34" s="125">
        <f t="shared" si="30"/>
        <v>0</v>
      </c>
      <c r="Y34" s="144">
        <f t="shared" si="31"/>
        <v>0</v>
      </c>
    </row>
    <row r="35" spans="1:35" s="96" customFormat="1" x14ac:dyDescent="0.25">
      <c r="A35" s="143">
        <v>20</v>
      </c>
      <c r="B35" s="150">
        <f>Parameters!N164</f>
        <v>9.9879842177987921E-4</v>
      </c>
      <c r="C35" s="125">
        <f t="shared" si="16"/>
        <v>9.9879842177987921E-4</v>
      </c>
      <c r="D35" s="125">
        <f t="shared" si="17"/>
        <v>9.9879842177987921E-4</v>
      </c>
      <c r="E35" s="156">
        <f>Parameters!N183</f>
        <v>3.0028481590652144E-4</v>
      </c>
      <c r="F35" s="125">
        <f t="shared" si="18"/>
        <v>3.0028481590652144E-4</v>
      </c>
      <c r="G35" s="125">
        <f t="shared" si="19"/>
        <v>3.0028481590652144E-4</v>
      </c>
      <c r="H35" s="156">
        <f>Parameters!N202</f>
        <v>1.9980453086450261E-5</v>
      </c>
      <c r="I35" s="125">
        <f t="shared" si="20"/>
        <v>1.9980453086450261E-5</v>
      </c>
      <c r="J35" s="125">
        <f t="shared" si="21"/>
        <v>1.9980453086450261E-5</v>
      </c>
      <c r="K35" s="156">
        <f>Parameters!N221</f>
        <v>0</v>
      </c>
      <c r="L35" s="125">
        <f t="shared" si="22"/>
        <v>0</v>
      </c>
      <c r="M35" s="144">
        <f t="shared" si="23"/>
        <v>0</v>
      </c>
      <c r="N35" s="150">
        <f ca="1">Parameters!O164</f>
        <v>1.0690151051825358E-3</v>
      </c>
      <c r="O35" s="125">
        <f t="shared" ca="1" si="24"/>
        <v>1.0690151051825358E-3</v>
      </c>
      <c r="P35" s="125">
        <f t="shared" ca="1" si="25"/>
        <v>1.0690151051825358E-3</v>
      </c>
      <c r="Q35" s="156">
        <f ca="1">Parameters!O183</f>
        <v>3.0590212363257319E-4</v>
      </c>
      <c r="R35" s="125">
        <f t="shared" ca="1" si="26"/>
        <v>3.0590212363257319E-4</v>
      </c>
      <c r="S35" s="125">
        <f t="shared" ca="1" si="27"/>
        <v>3.0590212363257319E-4</v>
      </c>
      <c r="T35" s="156">
        <f ca="1">Parameters!O202</f>
        <v>2.1589794683030128E-5</v>
      </c>
      <c r="U35" s="125">
        <f t="shared" ca="1" si="28"/>
        <v>2.1589794683030128E-5</v>
      </c>
      <c r="V35" s="125">
        <f t="shared" ca="1" si="29"/>
        <v>2.1589794683030128E-5</v>
      </c>
      <c r="W35" s="156">
        <f>Parameters!O221</f>
        <v>0</v>
      </c>
      <c r="X35" s="125">
        <f t="shared" si="30"/>
        <v>0</v>
      </c>
      <c r="Y35" s="144">
        <f t="shared" si="31"/>
        <v>0</v>
      </c>
      <c r="Z35" s="40"/>
    </row>
    <row r="36" spans="1:35" s="96" customFormat="1" x14ac:dyDescent="0.25">
      <c r="A36" s="143">
        <v>25</v>
      </c>
      <c r="B36" s="150">
        <f>Parameters!N165</f>
        <v>2.0035176366287517E-3</v>
      </c>
      <c r="C36" s="125">
        <f t="shared" si="16"/>
        <v>2.0035176366287517E-3</v>
      </c>
      <c r="D36" s="125">
        <f t="shared" si="17"/>
        <v>2.0035176366287517E-3</v>
      </c>
      <c r="E36" s="156">
        <f>Parameters!N184</f>
        <v>4.0007290413777915E-4</v>
      </c>
      <c r="F36" s="125">
        <f t="shared" si="18"/>
        <v>4.0007290413777915E-4</v>
      </c>
      <c r="G36" s="125">
        <f t="shared" si="19"/>
        <v>4.0007290413777915E-4</v>
      </c>
      <c r="H36" s="156">
        <f>Parameters!N203</f>
        <v>1.9985096791895671E-5</v>
      </c>
      <c r="I36" s="125">
        <f t="shared" si="20"/>
        <v>1.9985096791895671E-5</v>
      </c>
      <c r="J36" s="125">
        <f t="shared" si="21"/>
        <v>1.9985096791895671E-5</v>
      </c>
      <c r="K36" s="156">
        <f>Parameters!N222</f>
        <v>0</v>
      </c>
      <c r="L36" s="125">
        <f t="shared" si="22"/>
        <v>0</v>
      </c>
      <c r="M36" s="144">
        <f t="shared" si="23"/>
        <v>0</v>
      </c>
      <c r="N36" s="150">
        <f ca="1">Parameters!O165</f>
        <v>2.163165793680033E-3</v>
      </c>
      <c r="O36" s="125">
        <f t="shared" ca="1" si="24"/>
        <v>2.163165793680033E-3</v>
      </c>
      <c r="P36" s="125">
        <f t="shared" ca="1" si="25"/>
        <v>2.163165793680033E-3</v>
      </c>
      <c r="Q36" s="156">
        <f ca="1">Parameters!O184</f>
        <v>4.7843938884517545E-4</v>
      </c>
      <c r="R36" s="125">
        <f t="shared" ca="1" si="26"/>
        <v>4.7843938884517545E-4</v>
      </c>
      <c r="S36" s="125">
        <f t="shared" ca="1" si="27"/>
        <v>4.7843938884517545E-4</v>
      </c>
      <c r="T36" s="156">
        <f ca="1">Parameters!O203</f>
        <v>1.7615975335065563E-5</v>
      </c>
      <c r="U36" s="125">
        <f t="shared" ca="1" si="28"/>
        <v>1.7615975335065563E-5</v>
      </c>
      <c r="V36" s="125">
        <f t="shared" ca="1" si="29"/>
        <v>1.7615975335065563E-5</v>
      </c>
      <c r="W36" s="156">
        <f>Parameters!O222</f>
        <v>0</v>
      </c>
      <c r="X36" s="125">
        <f t="shared" si="30"/>
        <v>0</v>
      </c>
      <c r="Y36" s="144">
        <f t="shared" si="31"/>
        <v>0</v>
      </c>
      <c r="Z36" s="40"/>
      <c r="AA36" s="40"/>
      <c r="AB36" s="40"/>
      <c r="AC36" s="40"/>
      <c r="AD36" s="40"/>
      <c r="AE36" s="40"/>
      <c r="AF36" s="40"/>
      <c r="AG36" s="40"/>
      <c r="AH36" s="40"/>
      <c r="AI36" s="40"/>
    </row>
    <row r="37" spans="1:35" s="96" customFormat="1" x14ac:dyDescent="0.25">
      <c r="A37" s="146">
        <v>30</v>
      </c>
      <c r="B37" s="150">
        <f>Parameters!N166</f>
        <v>1.9991839594574014E-3</v>
      </c>
      <c r="C37" s="125">
        <f t="shared" si="16"/>
        <v>1.9991839594574014E-3</v>
      </c>
      <c r="D37" s="125">
        <f t="shared" si="17"/>
        <v>1.9991839594574014E-3</v>
      </c>
      <c r="E37" s="156">
        <f>Parameters!N185</f>
        <v>4.99443851809738E-4</v>
      </c>
      <c r="F37" s="125">
        <f t="shared" si="18"/>
        <v>4.99443851809738E-4</v>
      </c>
      <c r="G37" s="125">
        <f t="shared" si="19"/>
        <v>4.99443851809738E-4</v>
      </c>
      <c r="H37" s="156">
        <f>Parameters!N204</f>
        <v>1.998546168799374E-5</v>
      </c>
      <c r="I37" s="125">
        <f t="shared" si="20"/>
        <v>1.998546168799374E-5</v>
      </c>
      <c r="J37" s="125">
        <f t="shared" si="21"/>
        <v>1.998546168799374E-5</v>
      </c>
      <c r="K37" s="156">
        <f>Parameters!N223</f>
        <v>0</v>
      </c>
      <c r="L37" s="125">
        <f t="shared" si="22"/>
        <v>0</v>
      </c>
      <c r="M37" s="144">
        <f t="shared" si="23"/>
        <v>0</v>
      </c>
      <c r="N37" s="150">
        <f ca="1">Parameters!O166</f>
        <v>1.7983639754085305E-3</v>
      </c>
      <c r="O37" s="125">
        <f t="shared" ca="1" si="24"/>
        <v>1.7983639754085305E-3</v>
      </c>
      <c r="P37" s="125">
        <f t="shared" ca="1" si="25"/>
        <v>1.7983639754085305E-3</v>
      </c>
      <c r="Q37" s="156">
        <f ca="1">Parameters!O185</f>
        <v>5.488468690063586E-4</v>
      </c>
      <c r="R37" s="125">
        <f t="shared" ca="1" si="26"/>
        <v>5.488468690063586E-4</v>
      </c>
      <c r="S37" s="125">
        <f t="shared" ca="1" si="27"/>
        <v>5.488468690063586E-4</v>
      </c>
      <c r="T37" s="156">
        <f ca="1">Parameters!O204</f>
        <v>2.3044741065847418E-5</v>
      </c>
      <c r="U37" s="125">
        <f t="shared" ca="1" si="28"/>
        <v>2.3044741065847418E-5</v>
      </c>
      <c r="V37" s="125">
        <f t="shared" ca="1" si="29"/>
        <v>2.3044741065847418E-5</v>
      </c>
      <c r="W37" s="156">
        <f>Parameters!O223</f>
        <v>0</v>
      </c>
      <c r="X37" s="125">
        <f t="shared" si="30"/>
        <v>0</v>
      </c>
      <c r="Y37" s="144">
        <f t="shared" si="31"/>
        <v>0</v>
      </c>
      <c r="Z37" s="40"/>
      <c r="AA37" s="40"/>
      <c r="AB37" s="40"/>
      <c r="AC37" s="40"/>
      <c r="AD37" s="40"/>
      <c r="AE37" s="40"/>
      <c r="AF37" s="40"/>
      <c r="AG37" s="40"/>
      <c r="AH37" s="40"/>
      <c r="AI37" s="40"/>
    </row>
    <row r="38" spans="1:35" s="96" customFormat="1" x14ac:dyDescent="0.25">
      <c r="A38" s="143">
        <v>35</v>
      </c>
      <c r="B38" s="150">
        <f>Parameters!N167</f>
        <v>3.2558774090907391E-3</v>
      </c>
      <c r="C38" s="125">
        <f t="shared" si="16"/>
        <v>5.9582556586360528E-3</v>
      </c>
      <c r="D38" s="125">
        <f t="shared" si="17"/>
        <v>1.2632804347272068E-2</v>
      </c>
      <c r="E38" s="156">
        <f>Parameters!N186</f>
        <v>4.3640792469860657E-4</v>
      </c>
      <c r="F38" s="125">
        <f t="shared" si="18"/>
        <v>9.6882559283090663E-4</v>
      </c>
      <c r="G38" s="125">
        <f t="shared" si="19"/>
        <v>1.9507434234027712E-3</v>
      </c>
      <c r="H38" s="156">
        <f>Parameters!N205</f>
        <v>4.183917002932255E-6</v>
      </c>
      <c r="I38" s="125">
        <f t="shared" si="20"/>
        <v>1.8409234812901924E-5</v>
      </c>
      <c r="J38" s="125">
        <f t="shared" si="21"/>
        <v>5.9955530652019211E-5</v>
      </c>
      <c r="K38" s="156">
        <f>Parameters!N224</f>
        <v>3.7545776157857404E-3</v>
      </c>
      <c r="L38" s="125">
        <f t="shared" si="22"/>
        <v>4.0173980488907423E-3</v>
      </c>
      <c r="M38" s="144">
        <f t="shared" si="23"/>
        <v>9.0109862778857772E-3</v>
      </c>
      <c r="N38" s="150">
        <f ca="1">Parameters!O167</f>
        <v>2.8854492577260098E-3</v>
      </c>
      <c r="O38" s="125">
        <f t="shared" ca="1" si="24"/>
        <v>5.0864813736235352E-3</v>
      </c>
      <c r="P38" s="125">
        <f t="shared" ca="1" si="25"/>
        <v>9.0001102700826719E-3</v>
      </c>
      <c r="Q38" s="156">
        <f ca="1">Parameters!O186</f>
        <v>4.1696236460131474E-4</v>
      </c>
      <c r="R38" s="125">
        <f t="shared" ca="1" si="26"/>
        <v>9.7089924596796312E-4</v>
      </c>
      <c r="S38" s="125">
        <f t="shared" ca="1" si="27"/>
        <v>2.122529488892055E-3</v>
      </c>
      <c r="T38" s="156">
        <f ca="1">Parameters!O205</f>
        <v>4.648257044381765E-6</v>
      </c>
      <c r="U38" s="125">
        <f t="shared" ca="1" si="28"/>
        <v>1.8544908024143666E-5</v>
      </c>
      <c r="V38" s="125">
        <f t="shared" ca="1" si="29"/>
        <v>7.929992644690365E-5</v>
      </c>
      <c r="W38" s="156">
        <f ca="1">Parameters!O224</f>
        <v>3.6798746923550505E-3</v>
      </c>
      <c r="X38" s="125">
        <f t="shared" ca="1" si="30"/>
        <v>3.9826052064202847E-3</v>
      </c>
      <c r="Y38" s="144">
        <f t="shared" ca="1" si="31"/>
        <v>8.6531449043241171E-3</v>
      </c>
      <c r="Z38" s="40"/>
      <c r="AA38" s="40"/>
      <c r="AB38" s="40"/>
      <c r="AC38" s="40"/>
      <c r="AD38" s="40"/>
      <c r="AE38" s="40"/>
      <c r="AF38" s="40"/>
      <c r="AG38" s="40"/>
      <c r="AH38" s="40"/>
      <c r="AI38" s="40"/>
    </row>
    <row r="39" spans="1:35" s="96" customFormat="1" x14ac:dyDescent="0.25">
      <c r="A39" s="146">
        <v>40</v>
      </c>
      <c r="B39" s="150">
        <f>Parameters!N168</f>
        <v>3.2652351126433751E-3</v>
      </c>
      <c r="C39" s="125">
        <f t="shared" si="16"/>
        <v>5.9753802561373767E-3</v>
      </c>
      <c r="D39" s="125">
        <f t="shared" si="17"/>
        <v>1.2669112237056294E-2</v>
      </c>
      <c r="E39" s="156">
        <f>Parameters!N187</f>
        <v>1.0675178111135076E-3</v>
      </c>
      <c r="F39" s="125">
        <f t="shared" si="18"/>
        <v>2.3698895406719868E-3</v>
      </c>
      <c r="G39" s="125">
        <f t="shared" si="19"/>
        <v>4.7718046156773782E-3</v>
      </c>
      <c r="H39" s="156">
        <f>Parameters!N206</f>
        <v>4.1903044893503278E-6</v>
      </c>
      <c r="I39" s="125">
        <f t="shared" si="20"/>
        <v>1.8437339753141443E-5</v>
      </c>
      <c r="J39" s="125">
        <f t="shared" si="21"/>
        <v>6.0047063332390198E-5</v>
      </c>
      <c r="K39" s="156">
        <f>Parameters!N225</f>
        <v>3.7521178974776158E-3</v>
      </c>
      <c r="L39" s="125">
        <f t="shared" si="22"/>
        <v>4.0147661503010489E-3</v>
      </c>
      <c r="M39" s="144">
        <f t="shared" si="23"/>
        <v>9.0050829539462772E-3</v>
      </c>
      <c r="N39" s="150">
        <f ca="1">Parameters!O168</f>
        <v>3.72164078299142E-3</v>
      </c>
      <c r="O39" s="125">
        <f t="shared" ca="1" si="24"/>
        <v>6.5605231044409806E-3</v>
      </c>
      <c r="P39" s="125">
        <f t="shared" ca="1" si="25"/>
        <v>1.1608305827203062E-2</v>
      </c>
      <c r="Q39" s="156">
        <f ca="1">Parameters!O187</f>
        <v>1.0559014811222251E-3</v>
      </c>
      <c r="R39" s="125">
        <f t="shared" ca="1" si="26"/>
        <v>2.458672625809431E-3</v>
      </c>
      <c r="S39" s="125">
        <f t="shared" ca="1" si="27"/>
        <v>5.3750223552901776E-3</v>
      </c>
      <c r="T39" s="156">
        <f ca="1">Parameters!O206</f>
        <v>4.5880861391234262E-6</v>
      </c>
      <c r="U39" s="125">
        <f t="shared" ca="1" si="28"/>
        <v>1.8304847310398486E-5</v>
      </c>
      <c r="V39" s="125">
        <f t="shared" ca="1" si="29"/>
        <v>7.8273402243170752E-5</v>
      </c>
      <c r="W39" s="156">
        <f ca="1">Parameters!O225</f>
        <v>3.5076264734626326E-3</v>
      </c>
      <c r="X39" s="125">
        <f t="shared" ca="1" si="30"/>
        <v>3.7961867246217806E-3</v>
      </c>
      <c r="Y39" s="144">
        <f t="shared" ca="1" si="31"/>
        <v>8.2481069826024003E-3</v>
      </c>
      <c r="AA39" s="40"/>
      <c r="AB39" s="40"/>
      <c r="AC39" s="40"/>
      <c r="AD39" s="40"/>
      <c r="AE39" s="40"/>
      <c r="AF39" s="40"/>
      <c r="AG39" s="40"/>
      <c r="AH39" s="40"/>
      <c r="AI39" s="40"/>
    </row>
    <row r="40" spans="1:35" s="96" customFormat="1" x14ac:dyDescent="0.25">
      <c r="A40" s="143">
        <v>45</v>
      </c>
      <c r="B40" s="150">
        <f>Parameters!N169</f>
        <v>1.9521961194558405E-2</v>
      </c>
      <c r="C40" s="125">
        <f t="shared" si="16"/>
        <v>3.5725188986041885E-2</v>
      </c>
      <c r="D40" s="125">
        <f t="shared" si="17"/>
        <v>7.5745209434886607E-2</v>
      </c>
      <c r="E40" s="156">
        <f>Parameters!N188</f>
        <v>2.3277178234486664E-3</v>
      </c>
      <c r="F40" s="125">
        <f t="shared" si="18"/>
        <v>5.1675335680560399E-3</v>
      </c>
      <c r="G40" s="125">
        <f t="shared" si="19"/>
        <v>1.0404898670815538E-2</v>
      </c>
      <c r="H40" s="156">
        <f>Parameters!N207</f>
        <v>3.2033154650425952E-4</v>
      </c>
      <c r="I40" s="125">
        <f t="shared" si="20"/>
        <v>1.409458804618742E-3</v>
      </c>
      <c r="J40" s="125">
        <f t="shared" si="21"/>
        <v>4.5903510614060386E-3</v>
      </c>
      <c r="K40" s="156">
        <f>Parameters!N226</f>
        <v>9.0179947864856141E-3</v>
      </c>
      <c r="L40" s="125">
        <f t="shared" si="22"/>
        <v>9.6492544215396082E-3</v>
      </c>
      <c r="M40" s="144">
        <f t="shared" si="23"/>
        <v>2.1643187487565472E-2</v>
      </c>
      <c r="N40" s="150">
        <f ca="1">Parameters!O169</f>
        <v>2.1786519605046517E-2</v>
      </c>
      <c r="O40" s="125">
        <f t="shared" ca="1" si="24"/>
        <v>3.8405363002115826E-2</v>
      </c>
      <c r="P40" s="125">
        <f t="shared" ca="1" si="25"/>
        <v>6.795512980230535E-2</v>
      </c>
      <c r="Q40" s="156">
        <f ca="1">Parameters!O188</f>
        <v>2.2564167634685243E-3</v>
      </c>
      <c r="R40" s="125">
        <f t="shared" ca="1" si="26"/>
        <v>5.2540793132152012E-3</v>
      </c>
      <c r="S40" s="125">
        <f t="shared" ca="1" si="27"/>
        <v>1.1486195221172273E-2</v>
      </c>
      <c r="T40" s="156">
        <f ca="1">Parameters!O207</f>
        <v>3.8598456722449548E-4</v>
      </c>
      <c r="U40" s="125">
        <f t="shared" ca="1" si="28"/>
        <v>1.5399424406980515E-3</v>
      </c>
      <c r="V40" s="125">
        <f t="shared" ca="1" si="29"/>
        <v>6.5849516277371612E-3</v>
      </c>
      <c r="W40" s="156">
        <f ca="1">Parameters!O226</f>
        <v>9.5051002132573448E-3</v>
      </c>
      <c r="X40" s="125">
        <f t="shared" ca="1" si="30"/>
        <v>1.0287051805190336E-2</v>
      </c>
      <c r="Y40" s="144">
        <f t="shared" ca="1" si="31"/>
        <v>2.2351035388870823E-2</v>
      </c>
    </row>
    <row r="41" spans="1:35" s="96" customFormat="1" x14ac:dyDescent="0.25">
      <c r="A41" s="146">
        <v>50</v>
      </c>
      <c r="B41" s="150">
        <f>Parameters!N170</f>
        <v>2.0289644212289015E-2</v>
      </c>
      <c r="C41" s="125">
        <f t="shared" si="16"/>
        <v>3.7130048908488901E-2</v>
      </c>
      <c r="D41" s="125">
        <f t="shared" si="17"/>
        <v>7.8723819543681378E-2</v>
      </c>
      <c r="E41" s="156">
        <f>Parameters!N189</f>
        <v>5.0332149603064926E-3</v>
      </c>
      <c r="F41" s="125">
        <f t="shared" si="18"/>
        <v>1.1173737211880414E-2</v>
      </c>
      <c r="G41" s="125">
        <f t="shared" si="19"/>
        <v>2.2498470872570019E-2</v>
      </c>
      <c r="H41" s="156">
        <f>Parameters!N208</f>
        <v>3.4250634577002499E-4</v>
      </c>
      <c r="I41" s="125">
        <f t="shared" si="20"/>
        <v>1.5070279213881101E-3</v>
      </c>
      <c r="J41" s="125">
        <f t="shared" si="21"/>
        <v>4.9081159348844583E-3</v>
      </c>
      <c r="K41" s="156">
        <f>Parameters!N227</f>
        <v>9.2583513358754331E-3</v>
      </c>
      <c r="L41" s="125">
        <f t="shared" si="22"/>
        <v>9.9064359293867133E-3</v>
      </c>
      <c r="M41" s="144">
        <f t="shared" si="23"/>
        <v>2.2220043206101037E-2</v>
      </c>
      <c r="N41" s="150">
        <f ca="1">Parameters!O170</f>
        <v>2.0833309678371159E-2</v>
      </c>
      <c r="O41" s="125">
        <f t="shared" ca="1" si="24"/>
        <v>3.6725040770073429E-2</v>
      </c>
      <c r="P41" s="125">
        <f t="shared" ca="1" si="25"/>
        <v>6.4981937871223999E-2</v>
      </c>
      <c r="Q41" s="156">
        <f ca="1">Parameters!O189</f>
        <v>5.3618274131008725E-3</v>
      </c>
      <c r="R41" s="125">
        <f t="shared" ca="1" si="26"/>
        <v>1.2485045736364228E-2</v>
      </c>
      <c r="S41" s="125">
        <f t="shared" ca="1" si="27"/>
        <v>2.7294158333781956E-2</v>
      </c>
      <c r="T41" s="156">
        <f ca="1">Parameters!O208</f>
        <v>3.4858283805339063E-4</v>
      </c>
      <c r="U41" s="125">
        <f t="shared" ca="1" si="28"/>
        <v>1.3907227179504849E-3</v>
      </c>
      <c r="V41" s="125">
        <f t="shared" ca="1" si="29"/>
        <v>5.9468728072380886E-3</v>
      </c>
      <c r="W41" s="156">
        <f ca="1">Parameters!O227</f>
        <v>1.0761091179990578E-2</v>
      </c>
      <c r="X41" s="125">
        <f t="shared" ca="1" si="30"/>
        <v>1.1646368787836656E-2</v>
      </c>
      <c r="Y41" s="144">
        <f t="shared" ca="1" si="31"/>
        <v>2.530447069367717E-2</v>
      </c>
    </row>
    <row r="42" spans="1:35" s="96" customFormat="1" x14ac:dyDescent="0.25">
      <c r="A42" s="143">
        <v>55</v>
      </c>
      <c r="B42" s="150">
        <f>Parameters!N171</f>
        <v>6.9642082595310004E-2</v>
      </c>
      <c r="C42" s="125">
        <f t="shared" si="16"/>
        <v>0.1058559655448712</v>
      </c>
      <c r="D42" s="125">
        <f t="shared" si="17"/>
        <v>0.20822982695997694</v>
      </c>
      <c r="E42" s="156">
        <f>Parameters!N190</f>
        <v>4.4593362960897859E-3</v>
      </c>
      <c r="F42" s="125">
        <f t="shared" si="18"/>
        <v>1.7748158458437347E-2</v>
      </c>
      <c r="G42" s="125">
        <f t="shared" si="19"/>
        <v>6.7648131611682052E-2</v>
      </c>
      <c r="H42" s="156">
        <f>Parameters!N209</f>
        <v>2.8073530758951891E-4</v>
      </c>
      <c r="I42" s="125">
        <f t="shared" si="20"/>
        <v>1.2829603556841014E-3</v>
      </c>
      <c r="J42" s="125">
        <f t="shared" si="21"/>
        <v>5.3423929034285451E-3</v>
      </c>
      <c r="K42" s="156">
        <f>Parameters!N228</f>
        <v>2.1029089791591547E-2</v>
      </c>
      <c r="L42" s="125">
        <f t="shared" si="22"/>
        <v>3.1753925585303239E-2</v>
      </c>
      <c r="M42" s="144">
        <f t="shared" si="23"/>
        <v>5.2783015376894775E-2</v>
      </c>
      <c r="N42" s="150">
        <f ca="1">Parameters!O171</f>
        <v>7.0303515936985028E-2</v>
      </c>
      <c r="O42" s="125">
        <f t="shared" ca="1" si="24"/>
        <v>8.9252263238799062E-2</v>
      </c>
      <c r="P42" s="125">
        <f t="shared" ca="1" si="25"/>
        <v>0.21225919084697711</v>
      </c>
      <c r="Q42" s="156">
        <f ca="1">Parameters!O190</f>
        <v>4.3054155733495379E-3</v>
      </c>
      <c r="R42" s="125">
        <f t="shared" ca="1" si="26"/>
        <v>1.5098050160654053E-2</v>
      </c>
      <c r="S42" s="125">
        <f t="shared" ca="1" si="27"/>
        <v>6.6220920137463224E-2</v>
      </c>
      <c r="T42" s="156">
        <f ca="1">Parameters!O209</f>
        <v>2.5091015289160933E-4</v>
      </c>
      <c r="U42" s="125">
        <f t="shared" ca="1" si="28"/>
        <v>1.1636262553889175E-3</v>
      </c>
      <c r="V42" s="125">
        <f t="shared" ca="1" si="29"/>
        <v>5.1336503788877953E-3</v>
      </c>
      <c r="W42" s="156">
        <f ca="1">Parameters!O228</f>
        <v>2.7305744290243905E-2</v>
      </c>
      <c r="X42" s="125">
        <f t="shared" ca="1" si="30"/>
        <v>4.2505714571960451E-2</v>
      </c>
      <c r="Y42" s="144">
        <f t="shared" ca="1" si="31"/>
        <v>6.5282795681678524E-2</v>
      </c>
    </row>
    <row r="43" spans="1:35" s="96" customFormat="1" x14ac:dyDescent="0.25">
      <c r="A43" s="146">
        <v>60</v>
      </c>
      <c r="B43" s="150">
        <f>Parameters!N172</f>
        <v>7.2179204558453169E-2</v>
      </c>
      <c r="C43" s="125">
        <f t="shared" si="16"/>
        <v>0.10971239092884882</v>
      </c>
      <c r="D43" s="125">
        <f t="shared" si="17"/>
        <v>0.215815821629775</v>
      </c>
      <c r="E43" s="156">
        <f>Parameters!N191</f>
        <v>8.6223197719055792E-3</v>
      </c>
      <c r="F43" s="125">
        <f t="shared" si="18"/>
        <v>3.4316832692184204E-2</v>
      </c>
      <c r="G43" s="125">
        <f t="shared" si="19"/>
        <v>0.13080059093980764</v>
      </c>
      <c r="H43" s="156">
        <f>Parameters!N210</f>
        <v>3.2161207920028054E-4</v>
      </c>
      <c r="I43" s="125">
        <f t="shared" si="20"/>
        <v>1.4697672019452822E-3</v>
      </c>
      <c r="J43" s="125">
        <f t="shared" si="21"/>
        <v>6.1202778671813392E-3</v>
      </c>
      <c r="K43" s="156">
        <f>Parameters!N229</f>
        <v>2.1371740641681045E-2</v>
      </c>
      <c r="L43" s="125">
        <f t="shared" si="22"/>
        <v>3.2271328368938382E-2</v>
      </c>
      <c r="M43" s="144">
        <f t="shared" si="23"/>
        <v>5.3643069010619417E-2</v>
      </c>
      <c r="N43" s="150">
        <f ca="1">Parameters!O172</f>
        <v>6.3206926140043265E-2</v>
      </c>
      <c r="O43" s="125">
        <f t="shared" ca="1" si="24"/>
        <v>8.0242945678890051E-2</v>
      </c>
      <c r="P43" s="125">
        <f t="shared" ca="1" si="25"/>
        <v>0.19083328649502512</v>
      </c>
      <c r="Q43" s="156">
        <f ca="1">Parameters!O191</f>
        <v>7.1962522177541864E-3</v>
      </c>
      <c r="R43" s="125">
        <f t="shared" ca="1" si="26"/>
        <v>2.5235514458792036E-2</v>
      </c>
      <c r="S43" s="125">
        <f t="shared" ca="1" si="27"/>
        <v>0.11068442413567081</v>
      </c>
      <c r="T43" s="156">
        <f ca="1">Parameters!O210</f>
        <v>3.4371382077746926E-4</v>
      </c>
      <c r="U43" s="125">
        <f t="shared" ca="1" si="28"/>
        <v>1.5940145170987975E-3</v>
      </c>
      <c r="V43" s="125">
        <f t="shared" ca="1" si="29"/>
        <v>7.0324240208226082E-3</v>
      </c>
      <c r="W43" s="156">
        <f ca="1">Parameters!O229</f>
        <v>1.8831591203611699E-2</v>
      </c>
      <c r="X43" s="125">
        <f t="shared" ca="1" si="30"/>
        <v>2.9314353497500292E-2</v>
      </c>
      <c r="Y43" s="144">
        <f t="shared" ca="1" si="31"/>
        <v>4.502272151378503E-2</v>
      </c>
    </row>
    <row r="44" spans="1:35" s="96" customFormat="1" x14ac:dyDescent="0.25">
      <c r="A44" s="143">
        <v>65</v>
      </c>
      <c r="B44" s="150">
        <f>Parameters!N173</f>
        <v>0.14189314414417684</v>
      </c>
      <c r="C44" s="125">
        <f t="shared" si="16"/>
        <v>0.2241911677477994</v>
      </c>
      <c r="D44" s="125">
        <f t="shared" si="17"/>
        <v>0.39162507783792805</v>
      </c>
      <c r="E44" s="156">
        <f>Parameters!N192</f>
        <v>7.6741224017772124E-3</v>
      </c>
      <c r="F44" s="125">
        <f t="shared" si="18"/>
        <v>6.2390615126448744E-2</v>
      </c>
      <c r="G44" s="125">
        <f t="shared" si="19"/>
        <v>0.22784469410876546</v>
      </c>
      <c r="H44" s="156">
        <f>Parameters!N211</f>
        <v>1.0973280006425573E-3</v>
      </c>
      <c r="I44" s="125">
        <f t="shared" si="20"/>
        <v>8.5481851250055214E-3</v>
      </c>
      <c r="J44" s="125">
        <f t="shared" si="21"/>
        <v>3.1043409138177942E-2</v>
      </c>
      <c r="K44" s="156">
        <f>Parameters!N230</f>
        <v>5.7027580306318604E-2</v>
      </c>
      <c r="L44" s="125">
        <f t="shared" si="22"/>
        <v>7.014392377677188E-2</v>
      </c>
      <c r="M44" s="144">
        <f t="shared" si="23"/>
        <v>0.12374984926471137</v>
      </c>
      <c r="N44" s="150">
        <f ca="1">Parameters!O173</f>
        <v>0.14274072801635307</v>
      </c>
      <c r="O44" s="125">
        <f t="shared" ca="1" si="24"/>
        <v>0.23962869825572383</v>
      </c>
      <c r="P44" s="125">
        <f t="shared" ca="1" si="25"/>
        <v>0.40159438765741606</v>
      </c>
      <c r="Q44" s="156">
        <f ca="1">Parameters!O192</f>
        <v>7.0588428528667079E-3</v>
      </c>
      <c r="R44" s="125">
        <f t="shared" ca="1" si="26"/>
        <v>5.1509631746990421E-2</v>
      </c>
      <c r="S44" s="125">
        <f t="shared" ca="1" si="27"/>
        <v>0.20966042773495785</v>
      </c>
      <c r="T44" s="156">
        <f ca="1">Parameters!O211</f>
        <v>9.6207662585712803E-4</v>
      </c>
      <c r="U44" s="125">
        <f t="shared" ca="1" si="28"/>
        <v>7.4885409230799321E-3</v>
      </c>
      <c r="V44" s="125">
        <f t="shared" ca="1" si="29"/>
        <v>2.4509661397260858E-2</v>
      </c>
      <c r="W44" s="156">
        <f ca="1">Parameters!O230</f>
        <v>6.2398956379023263E-2</v>
      </c>
      <c r="X44" s="125">
        <f t="shared" ca="1" si="30"/>
        <v>7.8858981210363693E-2</v>
      </c>
      <c r="Y44" s="144">
        <f t="shared" ca="1" si="31"/>
        <v>0.12848020211848302</v>
      </c>
      <c r="Z44" s="40"/>
    </row>
    <row r="45" spans="1:35" s="96" customFormat="1" x14ac:dyDescent="0.25">
      <c r="A45" s="146">
        <v>70</v>
      </c>
      <c r="B45" s="150">
        <f>Parameters!N174</f>
        <v>0.14191615243649011</v>
      </c>
      <c r="C45" s="125">
        <f t="shared" si="16"/>
        <v>0.22422752084965439</v>
      </c>
      <c r="D45" s="125">
        <f t="shared" si="17"/>
        <v>0.39168858072471269</v>
      </c>
      <c r="E45" s="156">
        <f>Parameters!N193</f>
        <v>1.0370653123335389E-2</v>
      </c>
      <c r="F45" s="125">
        <f t="shared" si="18"/>
        <v>8.4313409892716726E-2</v>
      </c>
      <c r="G45" s="125">
        <f t="shared" si="19"/>
        <v>0.30790469123182773</v>
      </c>
      <c r="H45" s="156">
        <f>Parameters!N212</f>
        <v>1.0978681990340595E-3</v>
      </c>
      <c r="I45" s="125">
        <f t="shared" si="20"/>
        <v>8.5523932704753246E-3</v>
      </c>
      <c r="J45" s="125">
        <f t="shared" si="21"/>
        <v>3.1058691350673542E-2</v>
      </c>
      <c r="K45" s="156">
        <f>Parameters!N231</f>
        <v>5.7117973011614469E-2</v>
      </c>
      <c r="L45" s="125">
        <f t="shared" si="22"/>
        <v>7.0255106804285802E-2</v>
      </c>
      <c r="M45" s="144">
        <f t="shared" si="23"/>
        <v>0.12394600143520339</v>
      </c>
      <c r="N45" s="150">
        <f ca="1">Parameters!O174</f>
        <v>0.12698525848927417</v>
      </c>
      <c r="O45" s="125">
        <f t="shared" ca="1" si="24"/>
        <v>0.21317890564468217</v>
      </c>
      <c r="P45" s="125">
        <f t="shared" ca="1" si="25"/>
        <v>0.35726710822629643</v>
      </c>
      <c r="Q45" s="156">
        <f ca="1">Parameters!O193</f>
        <v>9.2669196329154963E-3</v>
      </c>
      <c r="R45" s="125">
        <f t="shared" ca="1" si="26"/>
        <v>6.7622360728228886E-2</v>
      </c>
      <c r="S45" s="125">
        <f t="shared" ca="1" si="27"/>
        <v>0.27524431050813047</v>
      </c>
      <c r="T45" s="156">
        <f ca="1">Parameters!O212</f>
        <v>9.8065289752049438E-4</v>
      </c>
      <c r="U45" s="125">
        <f t="shared" ca="1" si="28"/>
        <v>7.6331335332843796E-3</v>
      </c>
      <c r="V45" s="125">
        <f t="shared" ca="1" si="29"/>
        <v>2.4982906579875092E-2</v>
      </c>
      <c r="W45" s="156">
        <f ca="1">Parameters!O231</f>
        <v>5.5964959099660254E-2</v>
      </c>
      <c r="X45" s="125">
        <f t="shared" ca="1" si="30"/>
        <v>7.0727779985155628E-2</v>
      </c>
      <c r="Y45" s="144">
        <f t="shared" ca="1" si="31"/>
        <v>0.11523252429097015</v>
      </c>
      <c r="AA45" s="40"/>
      <c r="AB45" s="40"/>
      <c r="AC45" s="40"/>
      <c r="AD45" s="40"/>
      <c r="AE45" s="40"/>
      <c r="AF45" s="40"/>
      <c r="AG45" s="40"/>
      <c r="AH45" s="40"/>
      <c r="AI45" s="40"/>
    </row>
    <row r="46" spans="1:35" s="96" customFormat="1" x14ac:dyDescent="0.25">
      <c r="A46" s="143">
        <v>75</v>
      </c>
      <c r="B46" s="150">
        <f>Parameters!N175</f>
        <v>0.22714804410319012</v>
      </c>
      <c r="C46" s="125">
        <f t="shared" si="16"/>
        <v>0.29983541821621096</v>
      </c>
      <c r="D46" s="125">
        <f t="shared" si="17"/>
        <v>0.44975312732431644</v>
      </c>
      <c r="E46" s="156">
        <f>Parameters!N194</f>
        <v>1.5421006877818073E-2</v>
      </c>
      <c r="F46" s="125">
        <f t="shared" si="18"/>
        <v>0.10100759504970837</v>
      </c>
      <c r="G46" s="125">
        <f t="shared" si="19"/>
        <v>0.35483736825859385</v>
      </c>
      <c r="H46" s="156">
        <f>Parameters!N213</f>
        <v>1.3343463199329483E-3</v>
      </c>
      <c r="I46" s="125">
        <f t="shared" si="20"/>
        <v>8.6198772267668464E-3</v>
      </c>
      <c r="J46" s="125">
        <f t="shared" si="21"/>
        <v>3.003613566169067E-2</v>
      </c>
      <c r="K46" s="156">
        <f>Parameters!N232</f>
        <v>0.11783422312065009</v>
      </c>
      <c r="L46" s="125">
        <f t="shared" si="22"/>
        <v>0.13197432989512811</v>
      </c>
      <c r="M46" s="144">
        <f t="shared" si="23"/>
        <v>0.17439465021856213</v>
      </c>
      <c r="N46" s="150">
        <f ca="1">Parameters!O175</f>
        <v>0.23445327523111215</v>
      </c>
      <c r="O46" s="125">
        <f t="shared" ca="1" si="24"/>
        <v>0.31116867821541838</v>
      </c>
      <c r="P46" s="125">
        <f t="shared" ca="1" si="25"/>
        <v>0.52380272914894455</v>
      </c>
      <c r="Q46" s="156">
        <f ca="1">Parameters!O194</f>
        <v>1.5760411517834139E-2</v>
      </c>
      <c r="R46" s="125">
        <f t="shared" ca="1" si="26"/>
        <v>9.7216798584592007E-2</v>
      </c>
      <c r="S46" s="125">
        <f t="shared" ca="1" si="27"/>
        <v>0.38756891048258291</v>
      </c>
      <c r="T46" s="156">
        <f ca="1">Parameters!O213</f>
        <v>1.5166257375336389E-3</v>
      </c>
      <c r="U46" s="125">
        <f t="shared" ca="1" si="28"/>
        <v>1.0719683041647887E-2</v>
      </c>
      <c r="V46" s="125">
        <f t="shared" ca="1" si="29"/>
        <v>3.1326805970385008E-2</v>
      </c>
      <c r="W46" s="156">
        <f ca="1">Parameters!O232</f>
        <v>0.11333532868167917</v>
      </c>
      <c r="X46" s="125">
        <f t="shared" ca="1" si="30"/>
        <v>0.12786664800258155</v>
      </c>
      <c r="Y46" s="144">
        <f t="shared" ca="1" si="31"/>
        <v>0.16638913421552184</v>
      </c>
    </row>
    <row r="47" spans="1:35" s="96" customFormat="1" x14ac:dyDescent="0.25">
      <c r="A47" s="146">
        <v>80</v>
      </c>
      <c r="B47" s="150">
        <f>Parameters!N176</f>
        <v>0.22696263719409748</v>
      </c>
      <c r="C47" s="125">
        <f t="shared" si="16"/>
        <v>0.29959068109620868</v>
      </c>
      <c r="D47" s="125">
        <f t="shared" si="17"/>
        <v>0.44938602164431302</v>
      </c>
      <c r="E47" s="156">
        <f>Parameters!N195</f>
        <v>1.7345186475902226E-2</v>
      </c>
      <c r="F47" s="125">
        <f t="shared" si="18"/>
        <v>0.11361097141715958</v>
      </c>
      <c r="G47" s="125">
        <f t="shared" si="19"/>
        <v>0.39911274081051024</v>
      </c>
      <c r="H47" s="156">
        <f>Parameters!N214</f>
        <v>1.3348538643826475E-3</v>
      </c>
      <c r="I47" s="125">
        <f t="shared" si="20"/>
        <v>8.6231559639119021E-3</v>
      </c>
      <c r="J47" s="125">
        <f t="shared" si="21"/>
        <v>3.0047560487253398E-2</v>
      </c>
      <c r="K47" s="156">
        <f>Parameters!N233</f>
        <v>0.11773215117270529</v>
      </c>
      <c r="L47" s="125">
        <f t="shared" si="22"/>
        <v>0.13186000931342992</v>
      </c>
      <c r="M47" s="144">
        <f t="shared" si="23"/>
        <v>0.17424358373560384</v>
      </c>
      <c r="N47" s="150">
        <f ca="1">Parameters!O176</f>
        <v>0.23420271139208282</v>
      </c>
      <c r="O47" s="125">
        <f t="shared" ca="1" si="24"/>
        <v>0.31083612743948025</v>
      </c>
      <c r="P47" s="125">
        <f t="shared" ca="1" si="25"/>
        <v>0.52324293307622938</v>
      </c>
      <c r="Q47" s="156">
        <f ca="1">Parameters!O195</f>
        <v>1.8286381343809555E-2</v>
      </c>
      <c r="R47" s="125">
        <f t="shared" ca="1" si="26"/>
        <v>0.11279803512303714</v>
      </c>
      <c r="S47" s="125">
        <f t="shared" ca="1" si="27"/>
        <v>0.44968577667337817</v>
      </c>
      <c r="T47" s="156">
        <f ca="1">Parameters!O214</f>
        <v>1.0568934920776336E-3</v>
      </c>
      <c r="U47" s="125">
        <f t="shared" ca="1" si="28"/>
        <v>7.4702432930334826E-3</v>
      </c>
      <c r="V47" s="125">
        <f t="shared" ca="1" si="29"/>
        <v>2.183076321223535E-2</v>
      </c>
      <c r="W47" s="156">
        <f ca="1">Parameters!O233</f>
        <v>0.10222076931844368</v>
      </c>
      <c r="X47" s="125">
        <f t="shared" ca="1" si="30"/>
        <v>0.11532703245345079</v>
      </c>
      <c r="Y47" s="144">
        <f t="shared" ca="1" si="31"/>
        <v>0.15007169876845172</v>
      </c>
    </row>
    <row r="48" spans="1:35" s="96" customFormat="1" ht="15.75" thickBot="1" x14ac:dyDescent="0.3">
      <c r="A48" s="147">
        <v>85</v>
      </c>
      <c r="B48" s="151">
        <f>Parameters!N177</f>
        <v>0.22690263779525541</v>
      </c>
      <c r="C48" s="148">
        <f t="shared" si="16"/>
        <v>0.29951148188973714</v>
      </c>
      <c r="D48" s="148">
        <f t="shared" si="17"/>
        <v>0.44926722283460568</v>
      </c>
      <c r="E48" s="157">
        <f>Parameters!N196</f>
        <v>1.6211813909585242E-2</v>
      </c>
      <c r="F48" s="148">
        <f t="shared" si="18"/>
        <v>0.10618738110778334</v>
      </c>
      <c r="G48" s="148">
        <f t="shared" si="19"/>
        <v>0.37303383805955648</v>
      </c>
      <c r="H48" s="157">
        <f>Parameters!N215</f>
        <v>1.3348973522507624E-3</v>
      </c>
      <c r="I48" s="148">
        <f t="shared" si="20"/>
        <v>8.6234368955399252E-3</v>
      </c>
      <c r="J48" s="148">
        <f t="shared" si="21"/>
        <v>3.0048539399164666E-2</v>
      </c>
      <c r="K48" s="157">
        <f>Parameters!N234</f>
        <v>0.11801420097935571</v>
      </c>
      <c r="L48" s="148">
        <f t="shared" si="22"/>
        <v>0.1321759050968784</v>
      </c>
      <c r="M48" s="149">
        <f t="shared" si="23"/>
        <v>0.17466101744944645</v>
      </c>
      <c r="N48" s="151">
        <f ca="1">Parameters!O177</f>
        <v>0.23029026984098766</v>
      </c>
      <c r="O48" s="148">
        <f t="shared" ca="1" si="24"/>
        <v>0.30564349677629471</v>
      </c>
      <c r="P48" s="148">
        <f t="shared" ca="1" si="25"/>
        <v>0.51450196940199944</v>
      </c>
      <c r="Q48" s="157">
        <f ca="1">Parameters!O196</f>
        <v>1.6273059892507824E-2</v>
      </c>
      <c r="R48" s="148">
        <f t="shared" ca="1" si="26"/>
        <v>0.10037902780233639</v>
      </c>
      <c r="S48" s="148">
        <f t="shared" ca="1" si="27"/>
        <v>0.40017559729454322</v>
      </c>
      <c r="T48" s="157">
        <f ca="1">Parameters!O215</f>
        <v>1.2256318281942393E-3</v>
      </c>
      <c r="U48" s="148">
        <f t="shared" ca="1" si="28"/>
        <v>8.6629050258394905E-3</v>
      </c>
      <c r="V48" s="148">
        <f t="shared" ca="1" si="29"/>
        <v>2.5316153829360675E-2</v>
      </c>
      <c r="W48" s="157">
        <f ca="1">Parameters!O234</f>
        <v>8.3427875715801E-2</v>
      </c>
      <c r="X48" s="148">
        <f t="shared" ca="1" si="30"/>
        <v>9.412460299751077E-2</v>
      </c>
      <c r="Y48" s="149">
        <f t="shared" ca="1" si="31"/>
        <v>0.12248159661477431</v>
      </c>
    </row>
    <row r="49" spans="2:13" s="96" customFormat="1" x14ac:dyDescent="0.25"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</row>
    <row r="50" spans="2:13" s="96" customFormat="1" x14ac:dyDescent="0.25"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</row>
    <row r="51" spans="2:13" s="96" customFormat="1" x14ac:dyDescent="0.25"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</row>
    <row r="52" spans="2:13" s="96" customFormat="1" x14ac:dyDescent="0.25"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</row>
    <row r="53" spans="2:13" s="96" customFormat="1" x14ac:dyDescent="0.25"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</row>
    <row r="54" spans="2:13" s="96" customFormat="1" x14ac:dyDescent="0.25"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</row>
    <row r="55" spans="2:13" s="96" customFormat="1" x14ac:dyDescent="0.25"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</row>
    <row r="56" spans="2:13" s="96" customFormat="1" x14ac:dyDescent="0.25"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</row>
    <row r="57" spans="2:13" s="96" customFormat="1" x14ac:dyDescent="0.25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</row>
    <row r="58" spans="2:13" s="96" customFormat="1" x14ac:dyDescent="0.25"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</row>
    <row r="59" spans="2:13" s="96" customFormat="1" x14ac:dyDescent="0.25"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</row>
    <row r="60" spans="2:13" s="96" customFormat="1" x14ac:dyDescent="0.25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</row>
    <row r="61" spans="2:13" s="96" customFormat="1" x14ac:dyDescent="0.25"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</row>
    <row r="62" spans="2:13" s="96" customFormat="1" x14ac:dyDescent="0.25"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</row>
    <row r="63" spans="2:13" s="96" customFormat="1" x14ac:dyDescent="0.25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</row>
    <row r="64" spans="2:13" s="96" customFormat="1" x14ac:dyDescent="0.25"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</row>
    <row r="65" spans="2:13" s="96" customFormat="1" x14ac:dyDescent="0.25"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</row>
    <row r="66" spans="2:13" s="96" customFormat="1" x14ac:dyDescent="0.25"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</row>
    <row r="67" spans="2:13" s="96" customFormat="1" x14ac:dyDescent="0.25"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</row>
    <row r="68" spans="2:13" s="96" customFormat="1" x14ac:dyDescent="0.25"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</row>
    <row r="69" spans="2:13" s="96" customFormat="1" x14ac:dyDescent="0.25"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</row>
    <row r="70" spans="2:13" s="96" customFormat="1" x14ac:dyDescent="0.25"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</row>
    <row r="71" spans="2:13" s="96" customFormat="1" x14ac:dyDescent="0.25"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</row>
    <row r="72" spans="2:13" s="96" customFormat="1" x14ac:dyDescent="0.25"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</row>
    <row r="73" spans="2:13" s="96" customFormat="1" x14ac:dyDescent="0.25"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</row>
    <row r="74" spans="2:13" s="96" customFormat="1" x14ac:dyDescent="0.25"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</row>
    <row r="75" spans="2:13" s="96" customFormat="1" x14ac:dyDescent="0.25"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</row>
    <row r="76" spans="2:13" s="96" customFormat="1" x14ac:dyDescent="0.25"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</row>
    <row r="77" spans="2:13" s="96" customFormat="1" x14ac:dyDescent="0.25"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</row>
    <row r="78" spans="2:13" s="96" customFormat="1" x14ac:dyDescent="0.25"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</row>
    <row r="79" spans="2:13" s="96" customFormat="1" x14ac:dyDescent="0.25"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</row>
    <row r="80" spans="2:13" s="96" customFormat="1" x14ac:dyDescent="0.25"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</row>
    <row r="81" spans="2:13" s="96" customFormat="1" x14ac:dyDescent="0.25"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</row>
    <row r="82" spans="2:13" s="96" customFormat="1" x14ac:dyDescent="0.25"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</row>
    <row r="83" spans="2:13" s="96" customFormat="1" x14ac:dyDescent="0.25"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</row>
    <row r="84" spans="2:13" s="96" customFormat="1" x14ac:dyDescent="0.25"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</row>
    <row r="85" spans="2:13" s="96" customFormat="1" x14ac:dyDescent="0.25"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</row>
    <row r="86" spans="2:13" s="96" customFormat="1" x14ac:dyDescent="0.25"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</row>
    <row r="87" spans="2:13" s="96" customFormat="1" x14ac:dyDescent="0.25"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</row>
    <row r="88" spans="2:13" s="96" customFormat="1" x14ac:dyDescent="0.25"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</row>
    <row r="89" spans="2:13" s="96" customFormat="1" x14ac:dyDescent="0.25"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</row>
    <row r="90" spans="2:13" s="96" customFormat="1" x14ac:dyDescent="0.25"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</row>
    <row r="91" spans="2:13" s="96" customFormat="1" x14ac:dyDescent="0.25"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</row>
    <row r="92" spans="2:13" s="96" customFormat="1" x14ac:dyDescent="0.25"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</row>
    <row r="93" spans="2:13" s="96" customFormat="1" x14ac:dyDescent="0.25"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</row>
    <row r="94" spans="2:13" s="96" customFormat="1" x14ac:dyDescent="0.25"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</row>
    <row r="95" spans="2:13" s="96" customFormat="1" x14ac:dyDescent="0.25"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</row>
    <row r="96" spans="2:13" s="96" customFormat="1" x14ac:dyDescent="0.25"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</row>
    <row r="97" spans="2:13" s="96" customFormat="1" x14ac:dyDescent="0.25"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</row>
    <row r="98" spans="2:13" s="96" customFormat="1" x14ac:dyDescent="0.25"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</row>
    <row r="99" spans="2:13" s="96" customFormat="1" x14ac:dyDescent="0.25"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</row>
    <row r="100" spans="2:13" s="96" customFormat="1" x14ac:dyDescent="0.25"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</row>
    <row r="101" spans="2:13" s="96" customFormat="1" x14ac:dyDescent="0.25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</row>
    <row r="102" spans="2:13" s="96" customFormat="1" x14ac:dyDescent="0.25"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</row>
    <row r="103" spans="2:13" s="96" customFormat="1" x14ac:dyDescent="0.25"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</row>
    <row r="104" spans="2:13" s="96" customFormat="1" x14ac:dyDescent="0.25"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</row>
    <row r="105" spans="2:13" s="96" customFormat="1" x14ac:dyDescent="0.25"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</row>
    <row r="106" spans="2:13" s="96" customFormat="1" x14ac:dyDescent="0.25"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</row>
    <row r="107" spans="2:13" s="96" customFormat="1" x14ac:dyDescent="0.25"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</row>
    <row r="108" spans="2:13" s="96" customFormat="1" x14ac:dyDescent="0.25"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</row>
    <row r="109" spans="2:13" s="96" customFormat="1" x14ac:dyDescent="0.25"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</row>
    <row r="110" spans="2:13" s="96" customFormat="1" x14ac:dyDescent="0.25"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</row>
    <row r="111" spans="2:13" s="96" customFormat="1" x14ac:dyDescent="0.25"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</row>
    <row r="112" spans="2:13" s="96" customFormat="1" x14ac:dyDescent="0.25"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</row>
    <row r="113" spans="2:13" s="96" customFormat="1" x14ac:dyDescent="0.25"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</row>
    <row r="114" spans="2:13" s="96" customFormat="1" x14ac:dyDescent="0.25"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</row>
    <row r="115" spans="2:13" s="96" customFormat="1" x14ac:dyDescent="0.25"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</row>
    <row r="116" spans="2:13" s="96" customFormat="1" x14ac:dyDescent="0.25"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</row>
    <row r="117" spans="2:13" s="96" customFormat="1" x14ac:dyDescent="0.25"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</row>
    <row r="118" spans="2:13" s="96" customFormat="1" x14ac:dyDescent="0.25"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</row>
    <row r="119" spans="2:13" s="96" customFormat="1" x14ac:dyDescent="0.25"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</row>
    <row r="120" spans="2:13" s="96" customFormat="1" x14ac:dyDescent="0.25"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</row>
    <row r="121" spans="2:13" s="96" customFormat="1" x14ac:dyDescent="0.25"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</row>
    <row r="122" spans="2:13" s="96" customFormat="1" x14ac:dyDescent="0.25"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</row>
    <row r="123" spans="2:13" s="96" customFormat="1" x14ac:dyDescent="0.25"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</row>
    <row r="124" spans="2:13" s="96" customFormat="1" x14ac:dyDescent="0.25"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</row>
    <row r="125" spans="2:13" s="96" customFormat="1" x14ac:dyDescent="0.25"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</row>
    <row r="126" spans="2:13" s="96" customFormat="1" x14ac:dyDescent="0.25"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</row>
    <row r="127" spans="2:13" s="96" customFormat="1" x14ac:dyDescent="0.25"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</row>
    <row r="128" spans="2:13" s="96" customFormat="1" x14ac:dyDescent="0.25"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</row>
    <row r="129" spans="1:13" s="96" customFormat="1" x14ac:dyDescent="0.25"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</row>
    <row r="130" spans="1:13" s="96" customFormat="1" x14ac:dyDescent="0.25"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</row>
    <row r="131" spans="1:13" s="96" customFormat="1" x14ac:dyDescent="0.25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</row>
    <row r="132" spans="1:13" s="96" customFormat="1" x14ac:dyDescent="0.25"/>
    <row r="133" spans="1:13" s="96" customFormat="1" x14ac:dyDescent="0.25"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</row>
    <row r="134" spans="1:13" s="96" customFormat="1" x14ac:dyDescent="0.25"/>
    <row r="135" spans="1:13" s="96" customFormat="1" x14ac:dyDescent="0.25"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</row>
    <row r="136" spans="1:13" s="96" customFormat="1" x14ac:dyDescent="0.25"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</row>
    <row r="137" spans="1:13" s="96" customFormat="1" x14ac:dyDescent="0.25"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</row>
    <row r="138" spans="1:13" s="96" customFormat="1" x14ac:dyDescent="0.25"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</row>
    <row r="139" spans="1:13" s="96" customFormat="1" x14ac:dyDescent="0.25"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</row>
    <row r="140" spans="1:13" s="96" customFormat="1" x14ac:dyDescent="0.25"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</row>
    <row r="141" spans="1:13" s="96" customFormat="1" x14ac:dyDescent="0.25"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</row>
    <row r="142" spans="1:13" s="96" customFormat="1" x14ac:dyDescent="0.25"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</row>
    <row r="143" spans="1:13" s="96" customFormat="1" x14ac:dyDescent="0.25"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</row>
    <row r="144" spans="1:13" s="96" customFormat="1" x14ac:dyDescent="0.25"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</row>
    <row r="145" spans="2:13" s="96" customFormat="1" x14ac:dyDescent="0.25"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</row>
    <row r="146" spans="2:13" s="96" customFormat="1" x14ac:dyDescent="0.25"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</row>
    <row r="147" spans="2:13" s="96" customFormat="1" x14ac:dyDescent="0.25"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</row>
    <row r="148" spans="2:13" s="96" customFormat="1" x14ac:dyDescent="0.25"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</row>
    <row r="149" spans="2:13" s="96" customFormat="1" x14ac:dyDescent="0.25"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</row>
    <row r="150" spans="2:13" s="96" customFormat="1" x14ac:dyDescent="0.25"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</row>
    <row r="151" spans="2:13" s="96" customFormat="1" x14ac:dyDescent="0.25"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</row>
    <row r="152" spans="2:13" s="96" customFormat="1" x14ac:dyDescent="0.25"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</row>
    <row r="153" spans="2:13" s="96" customFormat="1" x14ac:dyDescent="0.25"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</row>
    <row r="154" spans="2:13" s="96" customFormat="1" x14ac:dyDescent="0.25"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</row>
    <row r="155" spans="2:13" s="96" customFormat="1" x14ac:dyDescent="0.25"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</row>
    <row r="156" spans="2:13" s="96" customFormat="1" x14ac:dyDescent="0.25"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</row>
    <row r="157" spans="2:13" s="96" customFormat="1" x14ac:dyDescent="0.25"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</row>
    <row r="158" spans="2:13" s="96" customFormat="1" x14ac:dyDescent="0.25"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</row>
    <row r="159" spans="2:13" s="96" customFormat="1" x14ac:dyDescent="0.25"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</row>
    <row r="160" spans="2:13" s="96" customFormat="1" x14ac:dyDescent="0.25"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</row>
    <row r="161" spans="2:13" s="96" customFormat="1" x14ac:dyDescent="0.25"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</row>
    <row r="162" spans="2:13" s="96" customFormat="1" x14ac:dyDescent="0.25"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</row>
    <row r="163" spans="2:13" s="96" customFormat="1" x14ac:dyDescent="0.25"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</row>
    <row r="164" spans="2:13" s="96" customFormat="1" x14ac:dyDescent="0.25"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</row>
    <row r="165" spans="2:13" s="96" customFormat="1" x14ac:dyDescent="0.25"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</row>
    <row r="166" spans="2:13" s="96" customFormat="1" x14ac:dyDescent="0.25"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</row>
    <row r="167" spans="2:13" s="96" customFormat="1" x14ac:dyDescent="0.25"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</row>
    <row r="168" spans="2:13" s="96" customFormat="1" x14ac:dyDescent="0.25"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</row>
    <row r="169" spans="2:13" s="96" customFormat="1" x14ac:dyDescent="0.25"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</row>
    <row r="170" spans="2:13" s="96" customFormat="1" x14ac:dyDescent="0.25"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</row>
    <row r="171" spans="2:13" s="96" customFormat="1" x14ac:dyDescent="0.25"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</row>
    <row r="172" spans="2:13" s="96" customFormat="1" x14ac:dyDescent="0.25"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</row>
    <row r="173" spans="2:13" s="96" customFormat="1" x14ac:dyDescent="0.25"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</row>
    <row r="174" spans="2:13" s="96" customFormat="1" x14ac:dyDescent="0.25"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</row>
    <row r="175" spans="2:13" s="96" customFormat="1" x14ac:dyDescent="0.25"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</row>
    <row r="176" spans="2:13" s="96" customFormat="1" x14ac:dyDescent="0.25"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</row>
    <row r="177" spans="2:13" s="96" customFormat="1" x14ac:dyDescent="0.25"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</row>
    <row r="178" spans="2:13" s="96" customFormat="1" x14ac:dyDescent="0.25"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</row>
    <row r="179" spans="2:13" s="96" customFormat="1" x14ac:dyDescent="0.25"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</row>
    <row r="180" spans="2:13" s="96" customFormat="1" x14ac:dyDescent="0.25"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</row>
    <row r="181" spans="2:13" s="96" customFormat="1" x14ac:dyDescent="0.25"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</row>
    <row r="182" spans="2:13" s="96" customFormat="1" x14ac:dyDescent="0.25"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</row>
    <row r="183" spans="2:13" s="96" customFormat="1" x14ac:dyDescent="0.25"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</row>
    <row r="184" spans="2:13" s="96" customFormat="1" x14ac:dyDescent="0.25"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</row>
    <row r="185" spans="2:13" s="96" customFormat="1" x14ac:dyDescent="0.25"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</row>
    <row r="186" spans="2:13" s="96" customFormat="1" x14ac:dyDescent="0.25"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</row>
    <row r="187" spans="2:13" s="96" customFormat="1" x14ac:dyDescent="0.25"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</row>
    <row r="188" spans="2:13" s="96" customFormat="1" x14ac:dyDescent="0.25"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</row>
    <row r="189" spans="2:13" s="96" customFormat="1" x14ac:dyDescent="0.25"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</row>
    <row r="190" spans="2:13" s="96" customFormat="1" x14ac:dyDescent="0.25"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</row>
    <row r="191" spans="2:13" s="96" customFormat="1" x14ac:dyDescent="0.25"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</row>
    <row r="192" spans="2:13" s="96" customFormat="1" x14ac:dyDescent="0.25"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</row>
    <row r="193" spans="2:13" s="96" customFormat="1" x14ac:dyDescent="0.25"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</row>
    <row r="194" spans="2:13" s="96" customFormat="1" x14ac:dyDescent="0.25"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</row>
    <row r="195" spans="2:13" s="96" customFormat="1" x14ac:dyDescent="0.25"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</row>
    <row r="196" spans="2:13" s="96" customFormat="1" x14ac:dyDescent="0.25"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</row>
    <row r="197" spans="2:13" s="96" customFormat="1" x14ac:dyDescent="0.25"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</row>
    <row r="198" spans="2:13" s="96" customFormat="1" x14ac:dyDescent="0.25"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</row>
    <row r="199" spans="2:13" s="96" customFormat="1" x14ac:dyDescent="0.25"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</row>
    <row r="200" spans="2:13" s="96" customFormat="1" x14ac:dyDescent="0.25"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</row>
    <row r="201" spans="2:13" s="96" customFormat="1" x14ac:dyDescent="0.25"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</row>
    <row r="202" spans="2:13" s="96" customFormat="1" x14ac:dyDescent="0.25"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</row>
    <row r="203" spans="2:13" s="96" customFormat="1" x14ac:dyDescent="0.25"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</row>
    <row r="204" spans="2:13" s="96" customFormat="1" x14ac:dyDescent="0.25"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</row>
    <row r="205" spans="2:13" s="96" customFormat="1" x14ac:dyDescent="0.25"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</row>
    <row r="206" spans="2:13" s="96" customFormat="1" x14ac:dyDescent="0.25"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</row>
    <row r="207" spans="2:13" s="96" customFormat="1" x14ac:dyDescent="0.25"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</row>
    <row r="208" spans="2:13" s="96" customFormat="1" x14ac:dyDescent="0.25"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</row>
    <row r="209" spans="2:13" s="96" customFormat="1" x14ac:dyDescent="0.25"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</row>
    <row r="210" spans="2:13" s="96" customFormat="1" x14ac:dyDescent="0.25"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</row>
    <row r="211" spans="2:13" s="96" customFormat="1" x14ac:dyDescent="0.25"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</row>
    <row r="212" spans="2:13" s="96" customFormat="1" x14ac:dyDescent="0.25"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</row>
    <row r="213" spans="2:13" s="96" customFormat="1" x14ac:dyDescent="0.25"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</row>
    <row r="214" spans="2:13" s="96" customFormat="1" x14ac:dyDescent="0.25"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</row>
    <row r="215" spans="2:13" s="96" customFormat="1" x14ac:dyDescent="0.25"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</row>
    <row r="216" spans="2:13" s="96" customFormat="1" x14ac:dyDescent="0.25"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</row>
    <row r="217" spans="2:13" s="96" customFormat="1" x14ac:dyDescent="0.25"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</row>
    <row r="218" spans="2:13" s="96" customFormat="1" x14ac:dyDescent="0.25"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</row>
    <row r="219" spans="2:13" s="96" customFormat="1" x14ac:dyDescent="0.25"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</row>
    <row r="220" spans="2:13" s="96" customFormat="1" x14ac:dyDescent="0.25"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</row>
    <row r="221" spans="2:13" s="96" customFormat="1" x14ac:dyDescent="0.25"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</row>
    <row r="222" spans="2:13" s="96" customFormat="1" x14ac:dyDescent="0.25"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</row>
    <row r="223" spans="2:13" s="96" customFormat="1" x14ac:dyDescent="0.25"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</row>
    <row r="224" spans="2:13" s="96" customFormat="1" x14ac:dyDescent="0.25"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</row>
    <row r="225" spans="2:35" s="96" customFormat="1" x14ac:dyDescent="0.25"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</row>
    <row r="226" spans="2:35" s="96" customFormat="1" x14ac:dyDescent="0.25"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</row>
    <row r="227" spans="2:35" s="96" customFormat="1" x14ac:dyDescent="0.25"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</row>
    <row r="228" spans="2:35" s="96" customFormat="1" x14ac:dyDescent="0.25"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</row>
    <row r="229" spans="2:35" s="96" customFormat="1" x14ac:dyDescent="0.25"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</row>
    <row r="230" spans="2:35" s="96" customFormat="1" x14ac:dyDescent="0.25"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</row>
    <row r="231" spans="2:35" s="96" customFormat="1" x14ac:dyDescent="0.25"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</row>
    <row r="232" spans="2:35" s="96" customFormat="1" x14ac:dyDescent="0.25"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</row>
    <row r="233" spans="2:35" s="96" customFormat="1" x14ac:dyDescent="0.25"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</row>
    <row r="234" spans="2:35" s="96" customFormat="1" x14ac:dyDescent="0.25"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</row>
    <row r="235" spans="2:35" s="96" customFormat="1" x14ac:dyDescent="0.25"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</row>
    <row r="236" spans="2:35" x14ac:dyDescent="0.25">
      <c r="AA236" s="96"/>
      <c r="AB236" s="96"/>
      <c r="AC236" s="96"/>
      <c r="AD236" s="96"/>
      <c r="AE236" s="96"/>
      <c r="AF236" s="96"/>
      <c r="AG236" s="96"/>
      <c r="AH236" s="96"/>
      <c r="AI236" s="96"/>
    </row>
  </sheetData>
  <sheetProtection algorithmName="SHA-512" hashValue="f+oEE8XcU89LJ5k17NvcE9ItoH8s4TzPQiNpjnfcm2GkJuFBQF7cxy8nhqD1TIqHYy9HQ7hU3BVJQ6prJ9dhqg==" saltValue="iL/wRmw5h9cYpeyDRsER5w==" spinCount="100000" sheet="1" objects="1" scenarios="1" selectLockedCells="1"/>
  <mergeCells count="35">
    <mergeCell ref="AA26:AI26"/>
    <mergeCell ref="AB27:AE27"/>
    <mergeCell ref="AF27:AI27"/>
    <mergeCell ref="AA1:AI1"/>
    <mergeCell ref="AA10:AI10"/>
    <mergeCell ref="AB11:AE11"/>
    <mergeCell ref="AF11:AI11"/>
    <mergeCell ref="AA18:AI18"/>
    <mergeCell ref="AB19:AE19"/>
    <mergeCell ref="AF19:AI19"/>
    <mergeCell ref="AA2:AI2"/>
    <mergeCell ref="AB3:AE3"/>
    <mergeCell ref="AF3:AI3"/>
    <mergeCell ref="A1:Y1"/>
    <mergeCell ref="A25:Y25"/>
    <mergeCell ref="B26:M26"/>
    <mergeCell ref="N26:Y26"/>
    <mergeCell ref="N27:P27"/>
    <mergeCell ref="Q27:S27"/>
    <mergeCell ref="T27:V27"/>
    <mergeCell ref="W27:Y27"/>
    <mergeCell ref="B27:D27"/>
    <mergeCell ref="E27:G27"/>
    <mergeCell ref="H27:J27"/>
    <mergeCell ref="K27:M27"/>
    <mergeCell ref="B2:M2"/>
    <mergeCell ref="N2:Y2"/>
    <mergeCell ref="N3:P3"/>
    <mergeCell ref="Q3:S3"/>
    <mergeCell ref="T3:V3"/>
    <mergeCell ref="W3:Y3"/>
    <mergeCell ref="B3:D3"/>
    <mergeCell ref="E3:G3"/>
    <mergeCell ref="H3:J3"/>
    <mergeCell ref="K3:M3"/>
  </mergeCells>
  <pageMargins left="0.7" right="0.7" top="0.75" bottom="0.75" header="0.3" footer="0.3"/>
  <pageSetup paperSize="9" scale="1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K1696"/>
  <sheetViews>
    <sheetView topLeftCell="A414" workbookViewId="0">
      <pane xSplit="1" topLeftCell="B1" activePane="topRight" state="frozen"/>
      <selection pane="topRight" activeCell="F434" sqref="F434"/>
    </sheetView>
  </sheetViews>
  <sheetFormatPr defaultRowHeight="15" x14ac:dyDescent="0.25"/>
  <cols>
    <col min="1" max="1" width="84.140625" bestFit="1" customWidth="1"/>
    <col min="2" max="2" width="17.5703125" style="93" bestFit="1" customWidth="1"/>
    <col min="3" max="3" width="18.42578125" style="98" bestFit="1" customWidth="1"/>
    <col min="4" max="4" width="11.5703125" style="91" bestFit="1" customWidth="1"/>
    <col min="5" max="5" width="11.5703125" style="93" customWidth="1"/>
    <col min="6" max="6" width="12" style="93" bestFit="1" customWidth="1"/>
    <col min="7" max="7" width="12.7109375" customWidth="1"/>
    <col min="8" max="8" width="11.7109375" style="93" customWidth="1"/>
    <col min="10" max="10" width="9.140625" style="93"/>
    <col min="11" max="11" width="7.7109375" style="93" bestFit="1" customWidth="1"/>
    <col min="12" max="12" width="12" bestFit="1" customWidth="1"/>
    <col min="13" max="14" width="14.140625" bestFit="1" customWidth="1"/>
    <col min="15" max="15" width="13.140625" style="93" bestFit="1" customWidth="1"/>
    <col min="16" max="16" width="14.140625" bestFit="1" customWidth="1"/>
    <col min="17" max="17" width="7.7109375" bestFit="1" customWidth="1"/>
    <col min="18" max="18" width="14.140625" bestFit="1" customWidth="1"/>
    <col min="19" max="19" width="9.140625" style="93"/>
    <col min="20" max="20" width="13.5703125" style="93" bestFit="1" customWidth="1"/>
    <col min="21" max="21" width="7.7109375" bestFit="1" customWidth="1"/>
    <col min="22" max="22" width="9.140625" style="93"/>
    <col min="23" max="23" width="7.7109375" style="93" bestFit="1" customWidth="1"/>
    <col min="24" max="24" width="14.140625" style="93" bestFit="1" customWidth="1"/>
    <col min="26" max="26" width="13.5703125" bestFit="1" customWidth="1"/>
    <col min="27" max="27" width="14.5703125" bestFit="1" customWidth="1"/>
    <col min="28" max="28" width="14.85546875" bestFit="1" customWidth="1"/>
  </cols>
  <sheetData>
    <row r="1" spans="1:24" x14ac:dyDescent="0.25">
      <c r="A1" s="563" t="s">
        <v>392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5"/>
      <c r="X1" s="98"/>
    </row>
    <row r="2" spans="1:24" x14ac:dyDescent="0.25">
      <c r="A2" s="112" t="s">
        <v>99</v>
      </c>
      <c r="B2" s="107" t="s">
        <v>155</v>
      </c>
      <c r="C2" s="106" t="s">
        <v>113</v>
      </c>
      <c r="D2" s="106" t="s">
        <v>15</v>
      </c>
      <c r="E2" s="107"/>
      <c r="F2" s="107" t="s">
        <v>4</v>
      </c>
      <c r="G2" s="106" t="s">
        <v>19</v>
      </c>
      <c r="H2" s="107"/>
      <c r="I2" s="108" t="s">
        <v>108</v>
      </c>
      <c r="J2" s="109" t="s">
        <v>22</v>
      </c>
      <c r="K2" s="109" t="s">
        <v>23</v>
      </c>
      <c r="L2" s="109" t="s">
        <v>100</v>
      </c>
      <c r="M2" s="107"/>
      <c r="N2" s="107" t="s">
        <v>14</v>
      </c>
      <c r="O2" s="107" t="s">
        <v>25</v>
      </c>
      <c r="P2" s="87"/>
      <c r="Q2" s="113" t="s">
        <v>71</v>
      </c>
      <c r="R2" s="98"/>
      <c r="S2"/>
      <c r="T2"/>
      <c r="V2"/>
      <c r="W2"/>
      <c r="X2"/>
    </row>
    <row r="3" spans="1:24" s="91" customFormat="1" x14ac:dyDescent="0.25">
      <c r="A3" s="114" t="s">
        <v>156</v>
      </c>
      <c r="B3" s="93">
        <v>1</v>
      </c>
      <c r="C3" s="98">
        <v>1</v>
      </c>
      <c r="D3" s="98" t="s">
        <v>17</v>
      </c>
      <c r="E3" s="93"/>
      <c r="F3" s="93">
        <f>'Program sheet'!J2</f>
        <v>1.9599999999999999E-2</v>
      </c>
      <c r="G3" s="98">
        <v>1.06122448979592E-2</v>
      </c>
      <c r="H3" s="93"/>
      <c r="I3" s="102">
        <f>IF($D3="Beta",((($F3*(1-$F3))/($G3^2))-1),"N/A")</f>
        <v>169.62585739644919</v>
      </c>
      <c r="J3" s="103">
        <f>IF($D3="Beta",($F3*$I3),IF($D3="Gamma",(($F3^2)/($G3^2)),"N/A"))</f>
        <v>3.3246668049704042</v>
      </c>
      <c r="K3" s="103">
        <f>IF($D3="Beta",($J3*((1-$F3)/$F3)),IF($D3="Gamma",(($G3^2)/$F3),"N/A"))</f>
        <v>166.30119059147879</v>
      </c>
      <c r="L3" s="103">
        <f ca="1">IF($D3="Beta",(_xlfn.BETA.INV(RAND(),$J3,$K3)),IF($D3="Gamma",(_xlfn.GAMMA.INV(RAND(),$J3,$K3)),IF($D3="Log Normal",EXP(_xlfn.NORM.INV(RAND(),LN($F3),((LN($F3+1.96*$G3)-LN($F3-1.96*$G3))/(2*1.96)))),_xlfn.NORM.INV(RAND(),$F3,$G3))))</f>
        <v>4.4978235893297747E-2</v>
      </c>
      <c r="M3" s="93"/>
      <c r="N3" s="165">
        <f>F3</f>
        <v>1.9599999999999999E-2</v>
      </c>
      <c r="O3" s="93">
        <f ca="1">IF($B3=1,IF($C3=1,$L3,$F3),0)</f>
        <v>4.4978235893297747E-2</v>
      </c>
      <c r="P3" s="93"/>
      <c r="Q3" s="111"/>
      <c r="R3" s="98"/>
    </row>
    <row r="4" spans="1:24" s="91" customFormat="1" x14ac:dyDescent="0.25">
      <c r="A4" s="114" t="s">
        <v>157</v>
      </c>
      <c r="B4" s="93">
        <v>1</v>
      </c>
      <c r="C4" s="98">
        <v>1</v>
      </c>
      <c r="D4" s="98" t="s">
        <v>17</v>
      </c>
      <c r="E4" s="93"/>
      <c r="F4" s="93">
        <f>'Program sheet'!J3</f>
        <v>5.1999999999999998E-2</v>
      </c>
      <c r="G4" s="98">
        <v>1.6301020408163301E-2</v>
      </c>
      <c r="H4" s="93"/>
      <c r="I4" s="102">
        <f>IF($D4="Beta",((($F4*(1-$F4))/($G4^2))-1),"N/A")</f>
        <v>184.51631054978719</v>
      </c>
      <c r="J4" s="103">
        <f>IF($D4="Beta",($F4*$I4),IF($D4="Gamma",(($F4^2)/($G4^2)),"N/A"))</f>
        <v>9.5948481485889339</v>
      </c>
      <c r="K4" s="103">
        <f>IF($D4="Beta",($J4*((1-$F4)/$F4)),IF($D4="Gamma",(($G4^2)/$F4),"N/A"))</f>
        <v>174.92146240119826</v>
      </c>
      <c r="L4" s="103">
        <f ca="1">IF($D4="Beta",(_xlfn.BETA.INV(RAND(),$J4,$K4)),IF($D4="Gamma",(_xlfn.GAMMA.INV(RAND(),$J4,$K4)),IF($D4="Log Normal",EXP(_xlfn.NORM.INV(RAND(),LN($F4),((LN($F4+1.96*$G4)-LN($F4-1.96*$G4))/(2*1.96)))),_xlfn.NORM.INV(RAND(),$F4,$G4))))</f>
        <v>4.0033267794108533E-2</v>
      </c>
      <c r="M4" s="93"/>
      <c r="N4" s="166">
        <f>F4</f>
        <v>5.1999999999999998E-2</v>
      </c>
      <c r="O4" s="93">
        <f ca="1">IF($B4=1,IF($C4=1,IF($L$4&lt;$L$3,$L$3,$L$4),$F4),0)</f>
        <v>4.4978235893297747E-2</v>
      </c>
      <c r="P4" s="93"/>
      <c r="Q4" s="111">
        <f ca="1">IF(PROB_QR_experimental&lt;PROB_QR_comparator,1,0)</f>
        <v>0</v>
      </c>
      <c r="R4" s="98"/>
    </row>
    <row r="5" spans="1:24" s="7" customFormat="1" ht="15.75" thickBot="1" x14ac:dyDescent="0.3">
      <c r="A5" s="163"/>
      <c r="B5" s="84"/>
      <c r="C5" s="84"/>
      <c r="D5" s="84"/>
      <c r="E5" s="84"/>
      <c r="F5" s="84"/>
      <c r="G5" s="84"/>
      <c r="H5" s="84"/>
      <c r="I5" s="164"/>
      <c r="J5" s="164"/>
      <c r="K5" s="164"/>
      <c r="L5" s="164"/>
      <c r="M5" s="84"/>
      <c r="N5" s="84"/>
      <c r="O5" s="84"/>
      <c r="P5" s="84"/>
      <c r="Q5" s="84"/>
    </row>
    <row r="6" spans="1:24" x14ac:dyDescent="0.25">
      <c r="A6" s="563" t="s">
        <v>415</v>
      </c>
      <c r="B6" s="564"/>
      <c r="C6" s="564"/>
      <c r="D6" s="564"/>
      <c r="E6" s="564"/>
      <c r="F6" s="564"/>
      <c r="G6" s="564"/>
      <c r="H6" s="564"/>
      <c r="I6" s="564"/>
      <c r="J6" s="564"/>
      <c r="K6" s="564"/>
      <c r="L6" s="564"/>
      <c r="M6" s="564"/>
      <c r="N6" s="564"/>
      <c r="O6" s="564"/>
      <c r="P6" s="564"/>
      <c r="Q6" s="564"/>
      <c r="R6" s="564"/>
      <c r="S6" s="564"/>
      <c r="T6" s="564"/>
      <c r="U6" s="564"/>
      <c r="V6" s="564"/>
      <c r="W6" s="565"/>
      <c r="X6" s="98"/>
    </row>
    <row r="7" spans="1:24" x14ac:dyDescent="0.25">
      <c r="A7" s="112" t="s">
        <v>99</v>
      </c>
      <c r="B7" s="107" t="s">
        <v>155</v>
      </c>
      <c r="C7" s="106" t="s">
        <v>113</v>
      </c>
      <c r="D7" s="106" t="s">
        <v>15</v>
      </c>
      <c r="E7" s="107"/>
      <c r="F7" s="107" t="s">
        <v>4</v>
      </c>
      <c r="G7" s="106" t="s">
        <v>19</v>
      </c>
      <c r="H7" s="107"/>
      <c r="I7" s="108" t="s">
        <v>108</v>
      </c>
      <c r="J7" s="109" t="s">
        <v>22</v>
      </c>
      <c r="K7" s="109" t="s">
        <v>23</v>
      </c>
      <c r="L7" s="109" t="s">
        <v>100</v>
      </c>
      <c r="M7" s="107"/>
      <c r="N7" s="107" t="s">
        <v>14</v>
      </c>
      <c r="O7" s="107" t="s">
        <v>25</v>
      </c>
      <c r="P7" s="105"/>
      <c r="Q7" s="104"/>
      <c r="R7" s="98"/>
      <c r="S7"/>
      <c r="T7"/>
      <c r="V7"/>
      <c r="W7"/>
      <c r="X7"/>
    </row>
    <row r="8" spans="1:24" x14ac:dyDescent="0.25">
      <c r="A8" s="114" t="s">
        <v>114</v>
      </c>
      <c r="B8" s="93">
        <v>1</v>
      </c>
      <c r="C8" s="98">
        <v>1</v>
      </c>
      <c r="D8" s="98" t="s">
        <v>17</v>
      </c>
      <c r="F8" s="345">
        <v>1.3855730328025888E-2</v>
      </c>
      <c r="G8" s="346">
        <v>3.5472317311866007E-4</v>
      </c>
      <c r="I8" s="102">
        <f t="shared" ref="I8:I14" si="0">IF($D8="Beta",((($F8*(1-$F8))/($G8^2))-1),"N/A")</f>
        <v>108589.23080261695</v>
      </c>
      <c r="J8" s="103">
        <f t="shared" ref="J8:J14" si="1">IF($D8="Beta",($F8*$I8),IF($D8="Gamma",(($F8^2)/($G8^2)),"N/A"))</f>
        <v>1504.5830985288226</v>
      </c>
      <c r="K8" s="103">
        <f t="shared" ref="K8:K14" si="2">IF($D8="Beta",($J8*((1-$F8)/$F8)),IF($D8="Gamma",(($G8^2)/$F8),"N/A"))</f>
        <v>107084.64770408813</v>
      </c>
      <c r="L8" s="103">
        <f t="shared" ref="L8:L14" ca="1" si="3">IF($D8="Beta",(_xlfn.BETA.INV(RAND(),$J8,$K8)),IF($D8="Gamma",(_xlfn.GAMMA.INV(RAND(),$J8,$K8)),IF($D8="Log Normal",EXP(_xlfn.NORM.INV(RAND(),LN($F8),((LN($F8+1.96*$G8)-LN($F8-1.96*$G8))/(2*1.96)))),_xlfn.NORM.INV(RAND(),$F8,$G8))))</f>
        <v>1.4055380656164518E-2</v>
      </c>
      <c r="M8" s="93"/>
      <c r="N8" s="93">
        <f>F8</f>
        <v>1.3855730328025888E-2</v>
      </c>
      <c r="O8" s="93">
        <f t="shared" ref="O8:O14" ca="1" si="4">IF($B8=1,IF($C8=1,$L8,$F8),0)</f>
        <v>1.4055380656164518E-2</v>
      </c>
      <c r="P8" s="93"/>
      <c r="Q8" s="98"/>
      <c r="R8" s="98"/>
      <c r="S8"/>
      <c r="T8"/>
      <c r="V8"/>
      <c r="W8"/>
      <c r="X8"/>
    </row>
    <row r="9" spans="1:24" x14ac:dyDescent="0.25">
      <c r="A9" s="114" t="s">
        <v>115</v>
      </c>
      <c r="B9" s="93">
        <v>1</v>
      </c>
      <c r="C9" s="98">
        <v>1</v>
      </c>
      <c r="D9" s="98" t="s">
        <v>17</v>
      </c>
      <c r="F9" s="347">
        <v>5.7166173429430818E-2</v>
      </c>
      <c r="G9" s="348">
        <v>1.0898186802480822E-3</v>
      </c>
      <c r="I9" s="102">
        <f t="shared" si="0"/>
        <v>45379.134903780025</v>
      </c>
      <c r="J9" s="103">
        <f t="shared" si="1"/>
        <v>2594.1514959870265</v>
      </c>
      <c r="K9" s="103">
        <f t="shared" si="2"/>
        <v>42784.983407792999</v>
      </c>
      <c r="L9" s="103">
        <f t="shared" ca="1" si="3"/>
        <v>5.6875367685460358E-2</v>
      </c>
      <c r="M9" s="93"/>
      <c r="N9" s="93">
        <f t="shared" ref="N9:N33" si="5">F9</f>
        <v>5.7166173429430818E-2</v>
      </c>
      <c r="O9" s="93">
        <f t="shared" ca="1" si="4"/>
        <v>5.6875367685460358E-2</v>
      </c>
      <c r="P9" s="93"/>
      <c r="Q9" s="98"/>
      <c r="R9" s="98"/>
      <c r="S9"/>
      <c r="T9"/>
      <c r="V9"/>
      <c r="W9"/>
      <c r="X9"/>
    </row>
    <row r="10" spans="1:24" x14ac:dyDescent="0.25">
      <c r="A10" s="114" t="s">
        <v>116</v>
      </c>
      <c r="B10" s="93">
        <v>1</v>
      </c>
      <c r="C10" s="98">
        <v>1</v>
      </c>
      <c r="D10" s="98" t="s">
        <v>17</v>
      </c>
      <c r="F10" s="347">
        <v>0.92897809624253913</v>
      </c>
      <c r="G10" s="348">
        <v>1.1485100815257639E-3</v>
      </c>
      <c r="I10" s="102">
        <f t="shared" si="0"/>
        <v>50017.211677419531</v>
      </c>
      <c r="J10" s="103">
        <f t="shared" si="1"/>
        <v>46464.89408344929</v>
      </c>
      <c r="K10" s="103">
        <f t="shared" si="2"/>
        <v>3552.3175939702378</v>
      </c>
      <c r="L10" s="103">
        <f t="shared" ca="1" si="3"/>
        <v>0.92953114574169193</v>
      </c>
      <c r="M10" s="93"/>
      <c r="N10" s="93">
        <f t="shared" si="5"/>
        <v>0.92897809624253913</v>
      </c>
      <c r="O10" s="93">
        <f t="shared" ca="1" si="4"/>
        <v>0.92953114574169193</v>
      </c>
      <c r="P10" s="93"/>
      <c r="Q10" s="98"/>
      <c r="R10" s="98"/>
      <c r="S10"/>
      <c r="T10"/>
      <c r="V10"/>
      <c r="W10"/>
      <c r="X10"/>
    </row>
    <row r="11" spans="1:24" x14ac:dyDescent="0.25">
      <c r="A11" s="114" t="s">
        <v>101</v>
      </c>
      <c r="B11" s="93">
        <v>1</v>
      </c>
      <c r="C11" s="98">
        <v>1</v>
      </c>
      <c r="D11" s="98" t="s">
        <v>17</v>
      </c>
      <c r="F11" s="347">
        <v>3.6151153498095775E-3</v>
      </c>
      <c r="G11" s="348">
        <v>8.2903977072183919E-5</v>
      </c>
      <c r="I11" s="102">
        <f t="shared" si="0"/>
        <v>524080.17445724283</v>
      </c>
      <c r="J11" s="103">
        <f t="shared" si="1"/>
        <v>1894.6102832112599</v>
      </c>
      <c r="K11" s="103">
        <f t="shared" si="2"/>
        <v>522185.56417403161</v>
      </c>
      <c r="L11" s="103">
        <f t="shared" ca="1" si="3"/>
        <v>3.5798310273412542E-3</v>
      </c>
      <c r="M11" s="93"/>
      <c r="N11" s="93">
        <f t="shared" si="5"/>
        <v>3.6151153498095775E-3</v>
      </c>
      <c r="O11" s="93">
        <f t="shared" ca="1" si="4"/>
        <v>3.5798310273412542E-3</v>
      </c>
      <c r="P11" s="93"/>
      <c r="Q11" s="98"/>
      <c r="R11" s="98"/>
      <c r="S11"/>
      <c r="T11"/>
      <c r="V11"/>
      <c r="W11"/>
      <c r="X11"/>
    </row>
    <row r="12" spans="1:24" x14ac:dyDescent="0.25">
      <c r="A12" s="114" t="s">
        <v>102</v>
      </c>
      <c r="B12" s="93">
        <v>1</v>
      </c>
      <c r="C12" s="98">
        <v>1</v>
      </c>
      <c r="D12" s="98" t="s">
        <v>17</v>
      </c>
      <c r="F12" s="347">
        <v>6.0073428290690718E-3</v>
      </c>
      <c r="G12" s="348">
        <v>2.2407227195006332E-4</v>
      </c>
      <c r="I12" s="102">
        <f t="shared" si="0"/>
        <v>118928.43563708084</v>
      </c>
      <c r="J12" s="103">
        <f t="shared" si="1"/>
        <v>714.4438849968202</v>
      </c>
      <c r="K12" s="103">
        <f t="shared" si="2"/>
        <v>118213.99175208401</v>
      </c>
      <c r="L12" s="103">
        <f t="shared" ca="1" si="3"/>
        <v>6.1914418528170589E-3</v>
      </c>
      <c r="M12" s="93"/>
      <c r="N12" s="93">
        <f t="shared" si="5"/>
        <v>6.0073428290690718E-3</v>
      </c>
      <c r="O12" s="93">
        <f t="shared" ca="1" si="4"/>
        <v>6.1914418528170589E-3</v>
      </c>
      <c r="P12" s="93"/>
      <c r="Q12" s="98"/>
      <c r="R12" s="98"/>
      <c r="S12"/>
      <c r="T12"/>
      <c r="V12"/>
      <c r="W12"/>
      <c r="X12"/>
    </row>
    <row r="13" spans="1:24" x14ac:dyDescent="0.25">
      <c r="A13" s="114" t="s">
        <v>117</v>
      </c>
      <c r="B13" s="93">
        <v>1</v>
      </c>
      <c r="C13" s="98">
        <v>1</v>
      </c>
      <c r="D13" s="98" t="s">
        <v>17</v>
      </c>
      <c r="F13" s="347">
        <v>2.0347796363534544E-2</v>
      </c>
      <c r="G13" s="348">
        <v>3.4124601757980655E-4</v>
      </c>
      <c r="I13" s="102">
        <f t="shared" si="0"/>
        <v>171179.43231655131</v>
      </c>
      <c r="J13" s="103">
        <f t="shared" si="1"/>
        <v>3483.1242304026305</v>
      </c>
      <c r="K13" s="103">
        <f t="shared" si="2"/>
        <v>167696.30808614867</v>
      </c>
      <c r="L13" s="103">
        <f t="shared" ca="1" si="3"/>
        <v>1.9726027794529727E-2</v>
      </c>
      <c r="M13" s="93"/>
      <c r="N13" s="93">
        <f t="shared" si="5"/>
        <v>2.0347796363534544E-2</v>
      </c>
      <c r="O13" s="93">
        <f t="shared" ca="1" si="4"/>
        <v>1.9726027794529727E-2</v>
      </c>
      <c r="P13" s="93"/>
      <c r="Q13" s="98"/>
      <c r="R13" s="98"/>
      <c r="S13"/>
      <c r="T13"/>
      <c r="V13"/>
      <c r="W13"/>
      <c r="X13"/>
    </row>
    <row r="14" spans="1:24" x14ac:dyDescent="0.25">
      <c r="A14" s="114" t="s">
        <v>118</v>
      </c>
      <c r="B14" s="93">
        <v>1</v>
      </c>
      <c r="C14" s="98">
        <v>1</v>
      </c>
      <c r="D14" s="98" t="s">
        <v>17</v>
      </c>
      <c r="F14" s="347">
        <v>0.97002974545758736</v>
      </c>
      <c r="G14" s="348">
        <v>4.1766927953471771E-4</v>
      </c>
      <c r="I14" s="102">
        <f t="shared" si="0"/>
        <v>166650.95665803811</v>
      </c>
      <c r="J14" s="103">
        <f t="shared" si="1"/>
        <v>161656.38506726013</v>
      </c>
      <c r="K14" s="103">
        <f t="shared" si="2"/>
        <v>4994.5715907779795</v>
      </c>
      <c r="L14" s="103">
        <f t="shared" ca="1" si="3"/>
        <v>0.96990663455363235</v>
      </c>
      <c r="M14" s="93"/>
      <c r="N14" s="93">
        <f t="shared" si="5"/>
        <v>0.97002974545758736</v>
      </c>
      <c r="O14" s="93">
        <f t="shared" ca="1" si="4"/>
        <v>0.96990663455363235</v>
      </c>
      <c r="P14" s="93"/>
      <c r="Q14" s="98"/>
      <c r="R14" s="98"/>
      <c r="S14"/>
      <c r="T14"/>
      <c r="V14"/>
      <c r="W14"/>
      <c r="X14"/>
    </row>
    <row r="15" spans="1:24" s="91" customFormat="1" ht="15.75" thickBot="1" x14ac:dyDescent="0.3">
      <c r="A15" s="114"/>
      <c r="B15" s="93"/>
      <c r="C15" s="98"/>
      <c r="D15" s="98"/>
      <c r="E15" s="93"/>
      <c r="F15" s="98"/>
      <c r="G15" s="98"/>
      <c r="H15" s="93"/>
      <c r="I15" s="102"/>
      <c r="J15" s="103"/>
      <c r="K15" s="103"/>
      <c r="L15" s="103"/>
      <c r="M15" s="93"/>
      <c r="N15" s="93"/>
      <c r="O15" s="93"/>
      <c r="P15" s="93"/>
      <c r="Q15" s="98"/>
      <c r="R15" s="98"/>
    </row>
    <row r="16" spans="1:24" s="91" customFormat="1" x14ac:dyDescent="0.25">
      <c r="A16" s="563" t="s">
        <v>416</v>
      </c>
      <c r="B16" s="564"/>
      <c r="C16" s="564"/>
      <c r="D16" s="564"/>
      <c r="E16" s="564"/>
      <c r="F16" s="564"/>
      <c r="G16" s="564"/>
      <c r="H16" s="564"/>
      <c r="I16" s="564"/>
      <c r="J16" s="564"/>
      <c r="K16" s="564"/>
      <c r="L16" s="564"/>
      <c r="M16" s="564"/>
      <c r="N16" s="564"/>
      <c r="O16" s="564"/>
      <c r="P16" s="564"/>
      <c r="Q16" s="564"/>
      <c r="R16" s="564"/>
      <c r="S16" s="564"/>
      <c r="T16" s="564"/>
      <c r="U16" s="564"/>
      <c r="V16" s="564"/>
      <c r="W16" s="565"/>
    </row>
    <row r="17" spans="1:24" s="91" customFormat="1" x14ac:dyDescent="0.25">
      <c r="A17" s="112" t="s">
        <v>99</v>
      </c>
      <c r="B17" s="107" t="s">
        <v>155</v>
      </c>
      <c r="C17" s="106" t="s">
        <v>113</v>
      </c>
      <c r="D17" s="106" t="s">
        <v>15</v>
      </c>
      <c r="E17" s="107"/>
      <c r="F17" s="107" t="s">
        <v>4</v>
      </c>
      <c r="G17" s="106" t="s">
        <v>19</v>
      </c>
      <c r="H17" s="107"/>
      <c r="I17" s="108" t="s">
        <v>108</v>
      </c>
      <c r="J17" s="109" t="s">
        <v>22</v>
      </c>
      <c r="K17" s="109" t="s">
        <v>23</v>
      </c>
      <c r="L17" s="109" t="s">
        <v>100</v>
      </c>
      <c r="M17" s="107"/>
      <c r="N17" s="107" t="s">
        <v>14</v>
      </c>
      <c r="O17" s="107" t="s">
        <v>25</v>
      </c>
      <c r="P17" s="105"/>
      <c r="Q17" s="104"/>
      <c r="R17" s="98"/>
    </row>
    <row r="18" spans="1:24" x14ac:dyDescent="0.25">
      <c r="A18" s="114" t="s">
        <v>403</v>
      </c>
      <c r="B18" s="93">
        <v>1</v>
      </c>
      <c r="C18" s="98">
        <v>1</v>
      </c>
      <c r="D18" s="98" t="s">
        <v>17</v>
      </c>
      <c r="F18" s="93">
        <v>0.37747233836702138</v>
      </c>
      <c r="G18" s="98">
        <v>5.7450279609256374E-3</v>
      </c>
      <c r="I18" s="102">
        <f>IF($D18="Beta",((($F18*(1-$F18))/($G18^2))-1),"N/A")</f>
        <v>7118.6638932222031</v>
      </c>
      <c r="J18" s="103">
        <f>IF($D18="Beta",($F18*$I18),IF($D18="Gamma",(($F18^2)/($G18^2)),"N/A"))</f>
        <v>2687.0987058234691</v>
      </c>
      <c r="K18" s="103">
        <f>IF($D18="Beta",($J18*((1-$F18)/$F18)),IF($D18="Gamma",(($G18^2)/$F18),"N/A"))</f>
        <v>4431.5651873987335</v>
      </c>
      <c r="L18" s="103">
        <f ca="1">IF($D18="Beta",(_xlfn.BETA.INV(RAND(),$J18,$K18)),IF($D18="Gamma",(_xlfn.GAMMA.INV(RAND(),$J18,$K18)),IF($D18="Log Normal",EXP(_xlfn.NORM.INV(RAND(),LN($F18),((LN($F18+1.96*$G18)-LN($F18-1.96*$G18))/(2*1.96)))),_xlfn.NORM.INV(RAND(),$F18,$G18))))</f>
        <v>0.38647663826742773</v>
      </c>
      <c r="M18" s="93"/>
      <c r="N18" s="93">
        <f t="shared" si="5"/>
        <v>0.37747233836702138</v>
      </c>
      <c r="O18" s="93">
        <f ca="1">IF($B18=1,IF($C18=1,$L18,$F18),0)</f>
        <v>0.38647663826742773</v>
      </c>
      <c r="P18" s="93"/>
      <c r="Q18" s="98"/>
      <c r="R18" s="98"/>
      <c r="S18"/>
      <c r="T18"/>
      <c r="V18"/>
      <c r="W18"/>
      <c r="X18"/>
    </row>
    <row r="19" spans="1:24" x14ac:dyDescent="0.25">
      <c r="A19" s="114" t="s">
        <v>404</v>
      </c>
      <c r="B19" s="93">
        <v>1</v>
      </c>
      <c r="C19" s="98">
        <v>1</v>
      </c>
      <c r="D19" s="98" t="s">
        <v>17</v>
      </c>
      <c r="F19" s="93">
        <v>0.25293178972979463</v>
      </c>
      <c r="G19" s="98">
        <v>2.2317458711627585E-3</v>
      </c>
      <c r="I19" s="102">
        <f>IF($D19="Beta",((($F19*(1-$F19))/($G19^2))-1),"N/A")</f>
        <v>37936.979151476444</v>
      </c>
      <c r="J19" s="103">
        <f>IF($D19="Beta",($F19*$I19),IF($D19="Gamma",(($F19^2)/($G19^2)),"N/A"))</f>
        <v>9595.4680337248428</v>
      </c>
      <c r="K19" s="103">
        <f>IF($D19="Beta",($J19*((1-$F19)/$F19)),IF($D19="Gamma",(($G19^2)/$F19),"N/A"))</f>
        <v>28341.511117751601</v>
      </c>
      <c r="L19" s="103">
        <f ca="1">IF($D19="Beta",(_xlfn.BETA.INV(RAND(),$J19,$K19)),IF($D19="Gamma",(_xlfn.GAMMA.INV(RAND(),$J19,$K19)),IF($D19="Log Normal",EXP(_xlfn.NORM.INV(RAND(),LN($F19),((LN($F19+1.96*$G19)-LN($F19-1.96*$G19))/(2*1.96)))),_xlfn.NORM.INV(RAND(),$F19,$G19))))</f>
        <v>0.2523919471028252</v>
      </c>
      <c r="M19" s="93"/>
      <c r="N19" s="93">
        <f t="shared" si="5"/>
        <v>0.25293178972979463</v>
      </c>
      <c r="O19" s="93">
        <f ca="1">IF($B19=1,IF($C19=1,$L19,$F19),0)</f>
        <v>0.2523919471028252</v>
      </c>
      <c r="P19" s="93"/>
      <c r="Q19" s="98"/>
      <c r="R19" s="98"/>
      <c r="S19"/>
      <c r="T19"/>
      <c r="V19"/>
      <c r="W19"/>
      <c r="X19"/>
    </row>
    <row r="20" spans="1:24" x14ac:dyDescent="0.25">
      <c r="A20" s="114" t="s">
        <v>405</v>
      </c>
      <c r="B20" s="93">
        <v>1</v>
      </c>
      <c r="C20" s="98">
        <v>1</v>
      </c>
      <c r="D20" s="98" t="s">
        <v>17</v>
      </c>
      <c r="F20" s="93">
        <v>0.26200038414313942</v>
      </c>
      <c r="G20" s="98">
        <v>2.9153497350309196E-3</v>
      </c>
      <c r="I20" s="102">
        <f>IF($D20="Beta",((($F20*(1-$F20))/($G20^2))-1),"N/A")</f>
        <v>22748.755871550798</v>
      </c>
      <c r="J20" s="103">
        <f>IF($D20="Beta",($F20*$I20),IF($D20="Gamma",(($F20^2)/($G20^2)),"N/A"))</f>
        <v>5960.1827771248072</v>
      </c>
      <c r="K20" s="103">
        <f>IF($D20="Beta",($J20*((1-$F20)/$F20)),IF($D20="Gamma",(($G20^2)/$F20),"N/A"))</f>
        <v>16788.573094425989</v>
      </c>
      <c r="L20" s="103">
        <f ca="1">IF($D20="Beta",(_xlfn.BETA.INV(RAND(),$J20,$K20)),IF($D20="Gamma",(_xlfn.GAMMA.INV(RAND(),$J20,$K20)),IF($D20="Log Normal",EXP(_xlfn.NORM.INV(RAND(),LN($F20),((LN($F20+1.96*$G20)-LN($F20-1.96*$G20))/(2*1.96)))),_xlfn.NORM.INV(RAND(),$F20,$G20))))</f>
        <v>0.25671472369980303</v>
      </c>
      <c r="M20" s="93"/>
      <c r="N20" s="93">
        <f t="shared" si="5"/>
        <v>0.26200038414313942</v>
      </c>
      <c r="O20" s="93">
        <f ca="1">IF($B20=1,IF($C20=1,$L20,$F20),0)</f>
        <v>0.25671472369980303</v>
      </c>
      <c r="P20" s="93"/>
      <c r="Q20" s="98"/>
      <c r="R20" s="98"/>
      <c r="S20"/>
      <c r="T20"/>
      <c r="V20"/>
      <c r="W20"/>
      <c r="X20"/>
    </row>
    <row r="21" spans="1:24" x14ac:dyDescent="0.25">
      <c r="A21" s="114" t="s">
        <v>406</v>
      </c>
      <c r="B21" s="93">
        <v>1</v>
      </c>
      <c r="C21" s="98">
        <v>1</v>
      </c>
      <c r="D21" s="98" t="s">
        <v>17</v>
      </c>
      <c r="F21" s="93">
        <v>5.9118359785268297E-2</v>
      </c>
      <c r="G21" s="98">
        <v>1.020141430003752E-3</v>
      </c>
      <c r="I21" s="102">
        <f>IF($D21="Beta",((($F21*(1-$F21))/($G21^2))-1),"N/A")</f>
        <v>53447.632643426827</v>
      </c>
      <c r="J21" s="103">
        <f>IF($D21="Beta",($F21*$I21),IF($D21="Gamma",(($F21^2)/($G21^2)),"N/A"))</f>
        <v>3159.7363762849577</v>
      </c>
      <c r="K21" s="103">
        <f>IF($D21="Beta",($J21*((1-$F21)/$F21)),IF($D21="Gamma",(($G21^2)/$F21),"N/A"))</f>
        <v>50287.89626714187</v>
      </c>
      <c r="L21" s="103">
        <f ca="1">IF($D21="Beta",(_xlfn.BETA.INV(RAND(),$J21,$K21)),IF($D21="Gamma",(_xlfn.GAMMA.INV(RAND(),$J21,$K21)),IF($D21="Log Normal",EXP(_xlfn.NORM.INV(RAND(),LN($F21),((LN($F21+1.96*$G21)-LN($F21-1.96*$G21))/(2*1.96)))),_xlfn.NORM.INV(RAND(),$F21,$G21))))</f>
        <v>5.9113419396127354E-2</v>
      </c>
      <c r="M21" s="93"/>
      <c r="N21" s="93">
        <f t="shared" si="5"/>
        <v>5.9118359785268297E-2</v>
      </c>
      <c r="O21" s="93">
        <f ca="1">IF($B21=1,IF($C21=1,$L21,$F21),0)</f>
        <v>5.9113419396127354E-2</v>
      </c>
      <c r="P21" s="93"/>
      <c r="Q21" s="98"/>
      <c r="R21" s="98"/>
      <c r="S21"/>
      <c r="T21"/>
      <c r="V21"/>
      <c r="W21"/>
      <c r="X21"/>
    </row>
    <row r="22" spans="1:24" s="91" customFormat="1" ht="15.75" thickBot="1" x14ac:dyDescent="0.3">
      <c r="A22" s="114"/>
      <c r="B22" s="93"/>
      <c r="C22" s="98"/>
      <c r="D22" s="98"/>
      <c r="E22" s="93"/>
      <c r="F22" s="98"/>
      <c r="G22" s="98"/>
      <c r="H22" s="93"/>
      <c r="I22" s="102"/>
      <c r="J22" s="103"/>
      <c r="K22" s="103"/>
      <c r="L22" s="103"/>
      <c r="M22" s="93"/>
      <c r="N22" s="93"/>
      <c r="O22" s="93"/>
      <c r="P22" s="93"/>
      <c r="Q22" s="98"/>
      <c r="R22" s="98"/>
    </row>
    <row r="23" spans="1:24" s="91" customFormat="1" x14ac:dyDescent="0.25">
      <c r="A23" s="563" t="s">
        <v>417</v>
      </c>
      <c r="B23" s="564"/>
      <c r="C23" s="564"/>
      <c r="D23" s="564"/>
      <c r="E23" s="564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5"/>
    </row>
    <row r="24" spans="1:24" s="91" customFormat="1" x14ac:dyDescent="0.25">
      <c r="A24" s="112" t="s">
        <v>99</v>
      </c>
      <c r="B24" s="107" t="s">
        <v>155</v>
      </c>
      <c r="C24" s="106" t="s">
        <v>113</v>
      </c>
      <c r="D24" s="106" t="s">
        <v>15</v>
      </c>
      <c r="E24" s="107"/>
      <c r="F24" s="107" t="s">
        <v>4</v>
      </c>
      <c r="G24" s="106" t="s">
        <v>19</v>
      </c>
      <c r="H24" s="107"/>
      <c r="I24" s="108" t="s">
        <v>108</v>
      </c>
      <c r="J24" s="109" t="s">
        <v>22</v>
      </c>
      <c r="K24" s="109" t="s">
        <v>23</v>
      </c>
      <c r="L24" s="109" t="s">
        <v>100</v>
      </c>
      <c r="M24" s="107"/>
      <c r="N24" s="107" t="s">
        <v>14</v>
      </c>
      <c r="O24" s="107" t="s">
        <v>25</v>
      </c>
      <c r="P24" s="105"/>
      <c r="Q24" s="104"/>
      <c r="R24" s="98"/>
    </row>
    <row r="25" spans="1:24" x14ac:dyDescent="0.25">
      <c r="A25" s="114" t="s">
        <v>407</v>
      </c>
      <c r="B25" s="93">
        <v>1</v>
      </c>
      <c r="C25" s="98">
        <v>1</v>
      </c>
      <c r="D25" s="98" t="s">
        <v>17</v>
      </c>
      <c r="F25" s="344">
        <v>0.57035604742854706</v>
      </c>
      <c r="G25" s="98">
        <v>5.6188123112237056E-3</v>
      </c>
      <c r="I25" s="102">
        <f>IF($D25="Beta",((($F25*(1-$F25))/($G25^2))-1),"N/A")</f>
        <v>7760.8581803943089</v>
      </c>
      <c r="J25" s="103">
        <f>IF($D25="Beta",($F25*$I25),IF($D25="Gamma",(($F25^2)/($G25^2)),"N/A"))</f>
        <v>4426.4523964232039</v>
      </c>
      <c r="K25" s="103">
        <f>IF($D25="Beta",($J25*((1-$F25)/$F25)),IF($D25="Gamma",(($G25^2)/$F25),"N/A"))</f>
        <v>3334.4057839711054</v>
      </c>
      <c r="L25" s="103">
        <f ca="1">IF($D25="Beta",(_xlfn.BETA.INV(RAND(),$J25,$K25)),IF($D25="Gamma",(_xlfn.GAMMA.INV(RAND(),$J25,$K25)),IF($D25="Log Normal",EXP(_xlfn.NORM.INV(RAND(),LN($F25),((LN($F25+1.96*$G25)-LN($F25-1.96*$G25))/(2*1.96)))),_xlfn.NORM.INV(RAND(),$F25,$G25))))</f>
        <v>0.57148634394923215</v>
      </c>
      <c r="M25" s="93"/>
      <c r="N25" s="93">
        <f t="shared" si="5"/>
        <v>0.57035604742854706</v>
      </c>
      <c r="O25" s="93">
        <f ca="1">IF($B25=1,IF($C25=1,$L25,$F25),0)</f>
        <v>0.57148634394923215</v>
      </c>
      <c r="P25" s="93"/>
      <c r="Q25" s="98"/>
      <c r="R25" s="98"/>
      <c r="S25"/>
      <c r="T25"/>
      <c r="V25"/>
      <c r="W25"/>
      <c r="X25"/>
    </row>
    <row r="26" spans="1:24" x14ac:dyDescent="0.25">
      <c r="A26" s="114" t="s">
        <v>408</v>
      </c>
      <c r="B26" s="93">
        <v>1</v>
      </c>
      <c r="C26" s="98">
        <v>1</v>
      </c>
      <c r="D26" s="98" t="s">
        <v>17</v>
      </c>
      <c r="F26" s="93">
        <v>2.6941954581366025E-2</v>
      </c>
      <c r="G26" s="98">
        <v>3.4944458610505964E-4</v>
      </c>
      <c r="I26" s="102">
        <f>IF($D26="Beta",((($F26*(1-$F26))/($G26^2))-1),"N/A")</f>
        <v>214688.70275136165</v>
      </c>
      <c r="J26" s="103">
        <f>IF($D26="Beta",($F26*$I26),IF($D26="Gamma",(($F26^2)/($G26^2)),"N/A"))</f>
        <v>5784.1332786595767</v>
      </c>
      <c r="K26" s="103">
        <f>IF($D26="Beta",($J26*((1-$F26)/$F26)),IF($D26="Gamma",(($G26^2)/$F26),"N/A"))</f>
        <v>208904.56947270205</v>
      </c>
      <c r="L26" s="103">
        <f ca="1">IF($D26="Beta",(_xlfn.BETA.INV(RAND(),$J26,$K26)),IF($D26="Gamma",(_xlfn.GAMMA.INV(RAND(),$J26,$K26)),IF($D26="Log Normal",EXP(_xlfn.NORM.INV(RAND(),LN($F26),((LN($F26+1.96*$G26)-LN($F26-1.96*$G26))/(2*1.96)))),_xlfn.NORM.INV(RAND(),$F26,$G26))))</f>
        <v>2.7287055447101083E-2</v>
      </c>
      <c r="M26" s="93"/>
      <c r="N26" s="93">
        <f t="shared" si="5"/>
        <v>2.6941954581366025E-2</v>
      </c>
      <c r="O26" s="93">
        <f ca="1">IF($B26=1,IF($C26=1,$L26,$F26),0)</f>
        <v>2.7287055447101083E-2</v>
      </c>
      <c r="P26" s="93"/>
      <c r="Q26" s="98"/>
      <c r="R26" s="98"/>
      <c r="S26"/>
      <c r="T26"/>
      <c r="V26"/>
      <c r="W26"/>
      <c r="X26"/>
    </row>
    <row r="27" spans="1:24" s="91" customFormat="1" ht="15.75" thickBot="1" x14ac:dyDescent="0.3">
      <c r="A27" s="114"/>
      <c r="B27" s="93"/>
      <c r="C27" s="98"/>
      <c r="D27" s="98"/>
      <c r="E27" s="93"/>
      <c r="F27" s="98"/>
      <c r="G27" s="98"/>
      <c r="H27" s="93"/>
      <c r="I27" s="102"/>
      <c r="J27" s="103"/>
      <c r="K27" s="103"/>
      <c r="L27" s="103"/>
      <c r="M27" s="93"/>
      <c r="N27" s="93"/>
      <c r="O27" s="93"/>
      <c r="P27" s="93"/>
      <c r="Q27" s="98"/>
      <c r="R27" s="98"/>
    </row>
    <row r="28" spans="1:24" s="91" customFormat="1" x14ac:dyDescent="0.25">
      <c r="A28" s="563" t="s">
        <v>418</v>
      </c>
      <c r="B28" s="564"/>
      <c r="C28" s="564"/>
      <c r="D28" s="564"/>
      <c r="E28" s="564"/>
      <c r="F28" s="564"/>
      <c r="G28" s="564"/>
      <c r="H28" s="564"/>
      <c r="I28" s="564"/>
      <c r="J28" s="564"/>
      <c r="K28" s="564"/>
      <c r="L28" s="564"/>
      <c r="M28" s="564"/>
      <c r="N28" s="564"/>
      <c r="O28" s="564"/>
      <c r="P28" s="564"/>
      <c r="Q28" s="564"/>
      <c r="R28" s="564"/>
      <c r="S28" s="564"/>
      <c r="T28" s="564"/>
      <c r="U28" s="564"/>
      <c r="V28" s="564"/>
      <c r="W28" s="565"/>
    </row>
    <row r="29" spans="1:24" s="91" customFormat="1" x14ac:dyDescent="0.25">
      <c r="A29" s="112" t="s">
        <v>99</v>
      </c>
      <c r="B29" s="107" t="s">
        <v>155</v>
      </c>
      <c r="C29" s="106" t="s">
        <v>113</v>
      </c>
      <c r="D29" s="106" t="s">
        <v>15</v>
      </c>
      <c r="E29" s="107"/>
      <c r="F29" s="107" t="s">
        <v>4</v>
      </c>
      <c r="G29" s="106" t="s">
        <v>19</v>
      </c>
      <c r="H29" s="107"/>
      <c r="I29" s="108" t="s">
        <v>108</v>
      </c>
      <c r="J29" s="109" t="s">
        <v>22</v>
      </c>
      <c r="K29" s="109" t="s">
        <v>23</v>
      </c>
      <c r="L29" s="109" t="s">
        <v>100</v>
      </c>
      <c r="M29" s="107"/>
      <c r="N29" s="107" t="s">
        <v>14</v>
      </c>
      <c r="O29" s="107" t="s">
        <v>25</v>
      </c>
      <c r="P29" s="105"/>
      <c r="Q29" s="104"/>
      <c r="R29" s="98"/>
    </row>
    <row r="30" spans="1:24" x14ac:dyDescent="0.25">
      <c r="A30" s="114" t="s">
        <v>409</v>
      </c>
      <c r="B30" s="93">
        <v>1</v>
      </c>
      <c r="C30" s="98">
        <v>1</v>
      </c>
      <c r="D30" s="98" t="s">
        <v>17</v>
      </c>
      <c r="F30" s="344">
        <v>6.0752905295406189E-2</v>
      </c>
      <c r="G30" s="98">
        <v>5.5642193411992158E-4</v>
      </c>
      <c r="I30" s="102">
        <f>IF($D30="Beta",((($F30*(1-$F30))/($G30^2))-1),"N/A")</f>
        <v>184304.55652285588</v>
      </c>
      <c r="J30" s="103">
        <f>IF($D30="Beta",($F30*$I30),IF($D30="Gamma",(($F30^2)/($G30^2)),"N/A"))</f>
        <v>11197.037267944901</v>
      </c>
      <c r="K30" s="103">
        <f>IF($D30="Beta",($J30*((1-$F30)/$F30)),IF($D30="Gamma",(($G30^2)/$F30),"N/A"))</f>
        <v>173107.51925491099</v>
      </c>
      <c r="L30" s="103">
        <f ca="1">IF($D30="Beta",(_xlfn.BETA.INV(RAND(),$J30,$K30)),IF($D30="Gamma",(_xlfn.GAMMA.INV(RAND(),$J30,$K30)),IF($D30="Log Normal",EXP(_xlfn.NORM.INV(RAND(),LN($F30),((LN($F30+1.96*$G30)-LN($F30-1.96*$G30))/(2*1.96)))),_xlfn.NORM.INV(RAND(),$F30,$G30))))</f>
        <v>6.1505685730778192E-2</v>
      </c>
      <c r="M30" s="93"/>
      <c r="N30" s="93">
        <f t="shared" si="5"/>
        <v>6.0752905295406189E-2</v>
      </c>
      <c r="O30" s="93">
        <f ca="1">IF($B30=1,IF($C30=1,$L30,$F30),0)</f>
        <v>6.1505685730778192E-2</v>
      </c>
      <c r="P30" s="93"/>
      <c r="Q30" s="98"/>
      <c r="R30" s="98"/>
      <c r="S30"/>
      <c r="T30"/>
      <c r="V30"/>
      <c r="W30"/>
      <c r="X30"/>
    </row>
    <row r="31" spans="1:24" x14ac:dyDescent="0.25">
      <c r="A31" s="114" t="s">
        <v>410</v>
      </c>
      <c r="B31" s="93">
        <v>1</v>
      </c>
      <c r="C31" s="98">
        <v>1</v>
      </c>
      <c r="D31" s="98" t="s">
        <v>17</v>
      </c>
      <c r="F31" s="93">
        <v>7.6129469648265786E-3</v>
      </c>
      <c r="G31" s="98">
        <v>5.1098999013774967E-4</v>
      </c>
      <c r="I31" s="102">
        <f>IF($D31="Beta",((($F31*(1-$F31))/($G31^2))-1),"N/A")</f>
        <v>28933.042064715875</v>
      </c>
      <c r="J31" s="103">
        <f>IF($D31="Beta",($F31*$I31),IF($D31="Gamma",(($F31^2)/($G31^2)),"N/A"))</f>
        <v>220.26571476977844</v>
      </c>
      <c r="K31" s="103">
        <f>IF($D31="Beta",($J31*((1-$F31)/$F31)),IF($D31="Gamma",(($G31^2)/$F31),"N/A"))</f>
        <v>28712.776349946096</v>
      </c>
      <c r="L31" s="103">
        <f ca="1">IF($D31="Beta",(_xlfn.BETA.INV(RAND(),$J31,$K31)),IF($D31="Gamma",(_xlfn.GAMMA.INV(RAND(),$J31,$K31)),IF($D31="Log Normal",EXP(_xlfn.NORM.INV(RAND(),LN($F31),((LN($F31+1.96*$G31)-LN($F31-1.96*$G31))/(2*1.96)))),_xlfn.NORM.INV(RAND(),$F31,$G31))))</f>
        <v>8.0819535084536431E-3</v>
      </c>
      <c r="M31" s="93"/>
      <c r="N31" s="93">
        <f t="shared" si="5"/>
        <v>7.6129469648265786E-3</v>
      </c>
      <c r="O31" s="93">
        <f ca="1">IF($B31=1,IF($C31=1,$L31,$F31),0)</f>
        <v>8.0819535084536431E-3</v>
      </c>
      <c r="P31" s="93"/>
      <c r="Q31" s="98"/>
      <c r="R31" s="98"/>
      <c r="S31"/>
      <c r="T31"/>
      <c r="V31"/>
      <c r="W31"/>
      <c r="X31"/>
    </row>
    <row r="32" spans="1:24" x14ac:dyDescent="0.25">
      <c r="A32" s="114" t="s">
        <v>411</v>
      </c>
      <c r="B32" s="93">
        <v>1</v>
      </c>
      <c r="C32" s="98">
        <v>1</v>
      </c>
      <c r="D32" s="98" t="s">
        <v>17</v>
      </c>
      <c r="F32" s="93">
        <v>1.5360924440585004E-2</v>
      </c>
      <c r="G32" s="98">
        <v>1.2278602546703806E-3</v>
      </c>
      <c r="I32" s="102">
        <f>IF($D32="Beta",((($F32*(1-$F32))/($G32^2))-1),"N/A")</f>
        <v>10031.208196251062</v>
      </c>
      <c r="J32" s="103">
        <f>IF($D32="Beta",($F32*$I32),IF($D32="Gamma",(($F32^2)/($G32^2)),"N/A"))</f>
        <v>154.08863115038955</v>
      </c>
      <c r="K32" s="103">
        <f>IF($D32="Beta",($J32*((1-$F32)/$F32)),IF($D32="Gamma",(($G32^2)/$F32),"N/A"))</f>
        <v>9877.1195651006728</v>
      </c>
      <c r="L32" s="103">
        <f ca="1">IF($D32="Beta",(_xlfn.BETA.INV(RAND(),$J32,$K32)),IF($D32="Gamma",(_xlfn.GAMMA.INV(RAND(),$J32,$K32)),IF($D32="Log Normal",EXP(_xlfn.NORM.INV(RAND(),LN($F32),((LN($F32+1.96*$G32)-LN($F32-1.96*$G32))/(2*1.96)))),_xlfn.NORM.INV(RAND(),$F32,$G32))))</f>
        <v>1.6989164973191251E-2</v>
      </c>
      <c r="M32" s="93"/>
      <c r="N32" s="93">
        <f t="shared" si="5"/>
        <v>1.5360924440585004E-2</v>
      </c>
      <c r="O32" s="93">
        <f ca="1">IF($B32=1,IF($C32=1,$L32,$F32),0)</f>
        <v>1.6989164973191251E-2</v>
      </c>
      <c r="P32" s="93"/>
      <c r="Q32" s="98"/>
      <c r="R32" s="98"/>
      <c r="S32"/>
      <c r="T32"/>
      <c r="V32"/>
      <c r="W32"/>
      <c r="X32"/>
    </row>
    <row r="33" spans="1:34" ht="15.75" thickBot="1" x14ac:dyDescent="0.3">
      <c r="A33" s="114" t="s">
        <v>412</v>
      </c>
      <c r="B33" s="86">
        <v>1</v>
      </c>
      <c r="C33" s="98">
        <v>1</v>
      </c>
      <c r="D33" s="26" t="s">
        <v>17</v>
      </c>
      <c r="E33" s="86"/>
      <c r="F33" s="86">
        <v>1.6109941848144384E-3</v>
      </c>
      <c r="G33" s="26">
        <v>4.0587762258726926E-5</v>
      </c>
      <c r="H33" s="86"/>
      <c r="I33" s="115">
        <f>IF($D33="Beta",((($F33*(1-$F33))/($G33^2))-1),"N/A")</f>
        <v>976344.54064504942</v>
      </c>
      <c r="J33" s="116">
        <f>IF($D33="Beta",($F33*$I33),IF($D33="Gamma",(($F33^2)/($G33^2)),"N/A"))</f>
        <v>1572.8853773544988</v>
      </c>
      <c r="K33" s="116">
        <f>IF($D33="Beta",($J33*((1-$F33)/$F33)),IF($D33="Gamma",(($G33^2)/$F33),"N/A"))</f>
        <v>974771.65526769497</v>
      </c>
      <c r="L33" s="116">
        <f ca="1">IF($D33="Beta",(_xlfn.BETA.INV(RAND(),$J33,$K33)),IF($D33="Gamma",(_xlfn.GAMMA.INV(RAND(),$J33,$K33)),IF($D33="Log Normal",EXP(_xlfn.NORM.INV(RAND(),LN($F33),((LN($F33+1.96*$G33)-LN($F33-1.96*$G33))/(2*1.96)))),_xlfn.NORM.INV(RAND(),$F33,$G33))))</f>
        <v>1.6708491521402191E-3</v>
      </c>
      <c r="M33" s="86"/>
      <c r="N33" s="93">
        <f t="shared" si="5"/>
        <v>1.6109941848144384E-3</v>
      </c>
      <c r="O33" s="86">
        <f ca="1">IF($B33=1,IF($C33=1,$L33,$F33),0)</f>
        <v>1.6708491521402191E-3</v>
      </c>
      <c r="P33" s="8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</row>
    <row r="34" spans="1:34" ht="15.75" thickBot="1" x14ac:dyDescent="0.3">
      <c r="A34" s="163"/>
      <c r="B34" s="84"/>
      <c r="C34" s="84"/>
      <c r="D34" s="84"/>
      <c r="E34" s="84"/>
      <c r="F34" s="84"/>
      <c r="G34" s="84"/>
      <c r="H34" s="84"/>
      <c r="I34" s="164"/>
      <c r="J34" s="164"/>
      <c r="K34" s="164"/>
      <c r="L34" s="16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</row>
    <row r="35" spans="1:34" s="98" customFormat="1" x14ac:dyDescent="0.25">
      <c r="A35" s="563" t="s">
        <v>419</v>
      </c>
      <c r="B35" s="564"/>
      <c r="C35" s="564"/>
      <c r="D35" s="564"/>
      <c r="E35" s="564"/>
      <c r="F35" s="564"/>
      <c r="G35" s="564"/>
      <c r="H35" s="564"/>
      <c r="I35" s="564"/>
      <c r="J35" s="564"/>
      <c r="K35" s="564"/>
      <c r="L35" s="564"/>
      <c r="M35" s="564"/>
      <c r="N35" s="564"/>
      <c r="O35" s="564"/>
      <c r="P35" s="564"/>
      <c r="Q35" s="564"/>
      <c r="R35" s="564"/>
      <c r="S35" s="564"/>
      <c r="T35" s="564"/>
      <c r="U35" s="564"/>
      <c r="V35" s="564"/>
      <c r="W35" s="565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</row>
    <row r="36" spans="1:34" s="98" customFormat="1" x14ac:dyDescent="0.25">
      <c r="A36" s="112" t="s">
        <v>99</v>
      </c>
      <c r="B36" s="107" t="s">
        <v>155</v>
      </c>
      <c r="C36" s="106" t="s">
        <v>113</v>
      </c>
      <c r="D36" s="106" t="s">
        <v>15</v>
      </c>
      <c r="E36" s="107"/>
      <c r="F36" s="107" t="s">
        <v>4</v>
      </c>
      <c r="G36" s="106" t="s">
        <v>19</v>
      </c>
      <c r="H36" s="107"/>
      <c r="I36" s="108" t="s">
        <v>108</v>
      </c>
      <c r="J36" s="109" t="s">
        <v>22</v>
      </c>
      <c r="K36" s="109" t="s">
        <v>23</v>
      </c>
      <c r="L36" s="109" t="s">
        <v>100</v>
      </c>
      <c r="M36" s="107"/>
      <c r="N36" s="107" t="s">
        <v>14</v>
      </c>
      <c r="O36" s="107" t="s">
        <v>25</v>
      </c>
      <c r="P36" s="105"/>
      <c r="Q36" s="104"/>
      <c r="S36" s="91"/>
      <c r="T36" s="91"/>
      <c r="U36" s="91"/>
      <c r="V36" s="91"/>
      <c r="W36" s="91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</row>
    <row r="37" spans="1:34" s="98" customFormat="1" x14ac:dyDescent="0.25">
      <c r="A37" s="114" t="s">
        <v>119</v>
      </c>
      <c r="B37" s="93">
        <v>1</v>
      </c>
      <c r="C37" s="98">
        <v>1</v>
      </c>
      <c r="D37" s="98" t="s">
        <v>17</v>
      </c>
      <c r="E37" s="93"/>
      <c r="F37" s="90">
        <v>1.440317699999998E-4</v>
      </c>
      <c r="G37" s="92">
        <v>3.0330994897959192E-5</v>
      </c>
      <c r="H37" s="93"/>
      <c r="I37" s="102">
        <f t="shared" ref="I37:I42" si="6">IF($D37="Beta",((($F37*(1-$F37))/($G37^2))-1),"N/A")</f>
        <v>156537.9545513808</v>
      </c>
      <c r="J37" s="103">
        <f t="shared" ref="J37:J42" si="7">IF($D37="Beta",($F37*$I37),IF($D37="Gamma",(($F37^2)/($G37^2)),"N/A"))</f>
        <v>22.5464386662149</v>
      </c>
      <c r="K37" s="103">
        <f t="shared" ref="K37:K42" si="8">IF($D37="Beta",($J37*((1-$F37)/$F37)),IF($D37="Gamma",(($G37^2)/$F37),"N/A"))</f>
        <v>156515.40811271459</v>
      </c>
      <c r="L37" s="103">
        <f t="shared" ref="L37:L42" ca="1" si="9">IF($D37="Beta",(_xlfn.BETA.INV(RAND(),$J37,$K37)),IF($D37="Gamma",(_xlfn.GAMMA.INV(RAND(),$J37,$K37)),IF($D37="Log Normal",EXP(_xlfn.NORM.INV(RAND(),LN($F37),((LN($F37+1.96*$G37)-LN($F37-1.96*$G37))/(2*1.96)))),_xlfn.NORM.INV(RAND(),$F37,$G37))))</f>
        <v>1.1228024331013989E-4</v>
      </c>
      <c r="M37" s="93"/>
      <c r="N37" s="93">
        <f t="shared" ref="N37:N42" si="10">F37</f>
        <v>1.440317699999998E-4</v>
      </c>
      <c r="O37" s="93">
        <f t="shared" ref="O37:O42" ca="1" si="11">IF($B37=1,IF($C37=1,$L37,$F37),0)</f>
        <v>1.1228024331013989E-4</v>
      </c>
      <c r="P37" s="93"/>
      <c r="S37" s="91"/>
      <c r="T37" s="91"/>
      <c r="U37" s="91"/>
      <c r="V37" s="91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</row>
    <row r="38" spans="1:34" s="98" customFormat="1" x14ac:dyDescent="0.25">
      <c r="A38" s="114" t="s">
        <v>120</v>
      </c>
      <c r="B38" s="93">
        <v>1</v>
      </c>
      <c r="C38" s="98">
        <v>1</v>
      </c>
      <c r="D38" s="98" t="s">
        <v>17</v>
      </c>
      <c r="E38" s="93"/>
      <c r="F38" s="343">
        <v>9.4658919999998391E-6</v>
      </c>
      <c r="G38" s="337">
        <v>5.2295918367346938E-6</v>
      </c>
      <c r="H38" s="93"/>
      <c r="I38" s="102">
        <f t="shared" si="6"/>
        <v>346115.13551825628</v>
      </c>
      <c r="J38" s="103">
        <f t="shared" si="7"/>
        <v>3.2762884923811222</v>
      </c>
      <c r="K38" s="103">
        <f t="shared" si="8"/>
        <v>346111.85922976385</v>
      </c>
      <c r="L38" s="103">
        <f t="shared" ca="1" si="9"/>
        <v>8.4717813102510979E-6</v>
      </c>
      <c r="M38" s="93"/>
      <c r="N38" s="93">
        <f t="shared" si="10"/>
        <v>9.4658919999998391E-6</v>
      </c>
      <c r="O38" s="93">
        <f t="shared" ca="1" si="11"/>
        <v>8.4717813102510979E-6</v>
      </c>
      <c r="P38" s="93"/>
      <c r="S38" s="91"/>
      <c r="T38" s="91"/>
      <c r="U38" s="91"/>
      <c r="V38" s="91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</row>
    <row r="39" spans="1:34" s="98" customFormat="1" x14ac:dyDescent="0.25">
      <c r="A39" s="114" t="s">
        <v>121</v>
      </c>
      <c r="B39" s="93">
        <v>1</v>
      </c>
      <c r="C39" s="98">
        <v>1</v>
      </c>
      <c r="D39" s="98" t="s">
        <v>17</v>
      </c>
      <c r="E39" s="93"/>
      <c r="F39" s="90">
        <v>2.7833911999999947E-4</v>
      </c>
      <c r="G39" s="92">
        <v>8.25E-5</v>
      </c>
      <c r="H39" s="93"/>
      <c r="I39" s="102">
        <f t="shared" si="6"/>
        <v>40882.253970141719</v>
      </c>
      <c r="J39" s="103">
        <f t="shared" si="7"/>
        <v>11.379130593665732</v>
      </c>
      <c r="K39" s="103">
        <f t="shared" si="8"/>
        <v>40870.874839548058</v>
      </c>
      <c r="L39" s="103">
        <f t="shared" ca="1" si="9"/>
        <v>2.8104742066437094E-4</v>
      </c>
      <c r="M39" s="93"/>
      <c r="N39" s="93">
        <f t="shared" si="10"/>
        <v>2.7833911999999947E-4</v>
      </c>
      <c r="O39" s="93">
        <f t="shared" ca="1" si="11"/>
        <v>2.8104742066437094E-4</v>
      </c>
      <c r="P39" s="93"/>
      <c r="S39" s="91"/>
      <c r="T39" s="91"/>
      <c r="U39" s="91"/>
      <c r="V39" s="91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</row>
    <row r="40" spans="1:34" s="92" customFormat="1" x14ac:dyDescent="0.25">
      <c r="A40" s="114" t="s">
        <v>122</v>
      </c>
      <c r="B40" s="93">
        <v>1</v>
      </c>
      <c r="C40" s="98">
        <v>1</v>
      </c>
      <c r="D40" s="98" t="s">
        <v>17</v>
      </c>
      <c r="E40" s="93"/>
      <c r="F40" s="90">
        <v>5.0731599999999045E-5</v>
      </c>
      <c r="G40" s="92">
        <v>3.1811224489795918E-5</v>
      </c>
      <c r="H40" s="93"/>
      <c r="I40" s="102">
        <f t="shared" si="6"/>
        <v>50128.774799340164</v>
      </c>
      <c r="J40" s="103">
        <f t="shared" si="7"/>
        <v>2.5431129516101576</v>
      </c>
      <c r="K40" s="103">
        <f t="shared" si="8"/>
        <v>50126.231686388557</v>
      </c>
      <c r="L40" s="103">
        <f t="shared" ca="1" si="9"/>
        <v>7.5945099368479596E-5</v>
      </c>
      <c r="M40" s="93"/>
      <c r="N40" s="93">
        <f t="shared" si="10"/>
        <v>5.0731599999999045E-5</v>
      </c>
      <c r="O40" s="93">
        <f t="shared" ca="1" si="11"/>
        <v>7.5945099368479596E-5</v>
      </c>
      <c r="P40" s="93"/>
      <c r="Q40" s="98"/>
      <c r="R40" s="98"/>
      <c r="S40" s="91"/>
      <c r="T40" s="91"/>
      <c r="U40" s="91"/>
      <c r="V40" s="91"/>
    </row>
    <row r="41" spans="1:34" s="92" customFormat="1" x14ac:dyDescent="0.25">
      <c r="A41" s="114" t="s">
        <v>123</v>
      </c>
      <c r="B41" s="93">
        <v>1</v>
      </c>
      <c r="C41" s="98">
        <v>1</v>
      </c>
      <c r="D41" s="98" t="s">
        <v>17</v>
      </c>
      <c r="E41" s="93"/>
      <c r="F41" s="90">
        <v>1.8648298999999959E-4</v>
      </c>
      <c r="G41" s="92">
        <v>4.0764030612244915E-5</v>
      </c>
      <c r="H41" s="93"/>
      <c r="I41" s="102">
        <f t="shared" si="6"/>
        <v>112201.87618800256</v>
      </c>
      <c r="J41" s="103">
        <f t="shared" si="7"/>
        <v>20.923741355148472</v>
      </c>
      <c r="K41" s="103">
        <f t="shared" si="8"/>
        <v>112180.95244664741</v>
      </c>
      <c r="L41" s="103">
        <f t="shared" ca="1" si="9"/>
        <v>1.6841244695505237E-4</v>
      </c>
      <c r="M41" s="93"/>
      <c r="N41" s="93">
        <f t="shared" si="10"/>
        <v>1.8648298999999959E-4</v>
      </c>
      <c r="O41" s="93">
        <f t="shared" ca="1" si="11"/>
        <v>1.6841244695505237E-4</v>
      </c>
      <c r="P41" s="93"/>
      <c r="Q41" s="98"/>
      <c r="R41" s="98"/>
      <c r="S41" s="91"/>
      <c r="T41" s="91"/>
      <c r="U41" s="91"/>
      <c r="V41" s="91"/>
    </row>
    <row r="42" spans="1:34" s="92" customFormat="1" x14ac:dyDescent="0.25">
      <c r="A42" s="114" t="s">
        <v>124</v>
      </c>
      <c r="B42" s="93">
        <v>1</v>
      </c>
      <c r="C42" s="98">
        <v>1</v>
      </c>
      <c r="D42" s="98" t="s">
        <v>17</v>
      </c>
      <c r="E42" s="93"/>
      <c r="F42" s="90">
        <v>6.1594290000000217E-5</v>
      </c>
      <c r="G42" s="337">
        <v>3.6734693877551033E-6</v>
      </c>
      <c r="H42" s="93"/>
      <c r="I42" s="102">
        <f t="shared" si="6"/>
        <v>4564158.9148271112</v>
      </c>
      <c r="J42" s="103">
        <f t="shared" si="7"/>
        <v>281.12612780594736</v>
      </c>
      <c r="K42" s="103">
        <f t="shared" si="8"/>
        <v>4563877.7886993056</v>
      </c>
      <c r="L42" s="103">
        <f t="shared" ca="1" si="9"/>
        <v>6.3189576675837245E-5</v>
      </c>
      <c r="M42" s="93"/>
      <c r="N42" s="93">
        <f t="shared" si="10"/>
        <v>6.1594290000000217E-5</v>
      </c>
      <c r="O42" s="93">
        <f t="shared" ca="1" si="11"/>
        <v>6.3189576675837245E-5</v>
      </c>
      <c r="P42" s="93"/>
      <c r="Q42" s="98"/>
      <c r="R42" s="98"/>
      <c r="S42" s="91"/>
      <c r="T42" s="91"/>
      <c r="U42" s="91"/>
      <c r="V42" s="91"/>
    </row>
    <row r="43" spans="1:34" s="92" customFormat="1" x14ac:dyDescent="0.25">
      <c r="A43" s="114"/>
      <c r="B43" s="98"/>
      <c r="C43" s="98"/>
      <c r="D43" s="98"/>
      <c r="E43" s="98"/>
      <c r="H43" s="98"/>
      <c r="I43" s="103"/>
      <c r="J43" s="103"/>
      <c r="K43" s="103"/>
      <c r="L43" s="103"/>
      <c r="M43" s="98"/>
      <c r="N43" s="98"/>
      <c r="O43" s="98"/>
      <c r="P43" s="98"/>
      <c r="Q43" s="98"/>
      <c r="R43" s="98"/>
      <c r="S43" s="91"/>
      <c r="T43" s="91"/>
      <c r="U43" s="91"/>
      <c r="V43" s="91"/>
    </row>
    <row r="44" spans="1:34" s="92" customFormat="1" x14ac:dyDescent="0.25">
      <c r="A44" s="569" t="s">
        <v>420</v>
      </c>
      <c r="B44" s="569"/>
      <c r="C44" s="569"/>
      <c r="D44" s="569"/>
      <c r="E44" s="569"/>
      <c r="F44" s="569"/>
      <c r="G44" s="569"/>
      <c r="H44" s="569"/>
      <c r="I44" s="569"/>
      <c r="J44" s="569"/>
      <c r="K44" s="569"/>
      <c r="L44" s="569"/>
      <c r="M44" s="569"/>
      <c r="N44" s="569"/>
      <c r="O44" s="569"/>
      <c r="P44" s="569"/>
      <c r="Q44" s="569"/>
      <c r="R44" s="569"/>
      <c r="S44" s="569"/>
      <c r="T44" s="569"/>
      <c r="U44" s="569"/>
      <c r="V44" s="569"/>
      <c r="W44" s="574"/>
    </row>
    <row r="45" spans="1:34" s="92" customFormat="1" x14ac:dyDescent="0.25">
      <c r="A45" s="106" t="s">
        <v>99</v>
      </c>
      <c r="B45" s="107" t="s">
        <v>155</v>
      </c>
      <c r="C45" s="106" t="s">
        <v>113</v>
      </c>
      <c r="D45" s="106" t="s">
        <v>15</v>
      </c>
      <c r="E45" s="107"/>
      <c r="F45" s="107" t="s">
        <v>4</v>
      </c>
      <c r="G45" s="106" t="s">
        <v>19</v>
      </c>
      <c r="H45" s="107"/>
      <c r="I45" s="108" t="s">
        <v>108</v>
      </c>
      <c r="J45" s="109" t="s">
        <v>22</v>
      </c>
      <c r="K45" s="109" t="s">
        <v>23</v>
      </c>
      <c r="L45" s="109" t="s">
        <v>100</v>
      </c>
      <c r="M45" s="107"/>
      <c r="N45" s="107" t="s">
        <v>14</v>
      </c>
      <c r="O45" s="107" t="s">
        <v>25</v>
      </c>
      <c r="P45" s="110"/>
    </row>
    <row r="46" spans="1:34" x14ac:dyDescent="0.25">
      <c r="A46" s="118" t="s">
        <v>163</v>
      </c>
      <c r="B46" s="120">
        <v>1</v>
      </c>
      <c r="C46" s="118">
        <v>1</v>
      </c>
      <c r="D46" s="118" t="s">
        <v>17</v>
      </c>
      <c r="E46" s="120"/>
      <c r="F46" s="349">
        <v>0.53</v>
      </c>
      <c r="G46" s="350">
        <v>4.5918367346938778E-2</v>
      </c>
      <c r="H46" s="120"/>
      <c r="I46" s="102">
        <f t="shared" ref="I46:I61" si="12">IF($D46="Beta",((($F46*(1-$F46))/($G46^2))-1),"N/A")</f>
        <v>117.14105679012344</v>
      </c>
      <c r="J46" s="103">
        <f t="shared" ref="J46:J61" si="13">IF($D46="Beta",($F46*$I46),IF($D46="Gamma",(($F46^2)/($G46^2)),"N/A"))</f>
        <v>62.084760098765429</v>
      </c>
      <c r="K46" s="103">
        <f t="shared" ref="K46:K61" si="14">IF($D46="Beta",($J46*((1-$F46)/$F46)),IF($D46="Gamma",(($G46^2)/$F46),"N/A"))</f>
        <v>55.056296691358014</v>
      </c>
      <c r="L46" s="103">
        <f t="shared" ref="L46:L61" ca="1" si="15">IF($D46="Beta",(_xlfn.BETA.INV(RAND(),$J46,$K46)),IF($D46="Gamma",(_xlfn.GAMMA.INV(RAND(),$J46,$K46)),IF($D46="Log Normal",EXP(_xlfn.NORM.INV(RAND(),LN($F46),((LN($F46+1.96*$G46)-LN($F46-1.96*$G46))/(2*1.96)))),_xlfn.NORM.INV(RAND(),$F46,$G46))))</f>
        <v>0.56085626723464332</v>
      </c>
      <c r="M46" s="120"/>
      <c r="N46">
        <f>F46</f>
        <v>0.53</v>
      </c>
      <c r="O46" s="120">
        <f t="shared" ref="O46:O61" ca="1" si="16">IF($B46=1,IF($C46=1,$L46,$F46),0)</f>
        <v>0.56085626723464332</v>
      </c>
      <c r="P46" s="120"/>
      <c r="Q46" s="93"/>
      <c r="R46" s="91"/>
      <c r="S46" s="91"/>
      <c r="T46" s="91"/>
      <c r="U46" s="91"/>
      <c r="V46" s="91"/>
      <c r="W46" s="91"/>
      <c r="X46" s="91"/>
      <c r="Y46" s="91"/>
      <c r="Z46" s="91"/>
      <c r="AA46" s="91"/>
    </row>
    <row r="47" spans="1:34" x14ac:dyDescent="0.25">
      <c r="A47" s="118" t="s">
        <v>171</v>
      </c>
      <c r="B47" s="120">
        <v>1</v>
      </c>
      <c r="C47" s="118">
        <v>1</v>
      </c>
      <c r="D47" s="118" t="s">
        <v>17</v>
      </c>
      <c r="E47" s="120"/>
      <c r="F47" s="349">
        <v>0.47</v>
      </c>
      <c r="G47" s="350">
        <v>4.5918367346938792E-2</v>
      </c>
      <c r="H47" s="120"/>
      <c r="I47" s="102">
        <f t="shared" si="12"/>
        <v>117.14105679012337</v>
      </c>
      <c r="J47" s="103">
        <f t="shared" si="13"/>
        <v>55.056296691357979</v>
      </c>
      <c r="K47" s="103">
        <f t="shared" si="14"/>
        <v>62.084760098765393</v>
      </c>
      <c r="L47" s="103">
        <f t="shared" ca="1" si="15"/>
        <v>0.50737608373015064</v>
      </c>
      <c r="M47" s="120"/>
      <c r="N47" s="91">
        <f t="shared" ref="N47:N61" si="17">F47</f>
        <v>0.47</v>
      </c>
      <c r="O47" s="120">
        <f t="shared" ca="1" si="16"/>
        <v>0.50737608373015064</v>
      </c>
      <c r="P47" s="120"/>
      <c r="Q47" s="93"/>
      <c r="R47" s="91"/>
      <c r="S47" s="91"/>
      <c r="T47" s="91"/>
      <c r="U47" s="91"/>
      <c r="V47" s="91"/>
      <c r="W47" s="91"/>
      <c r="X47" s="91"/>
      <c r="Y47" s="91"/>
      <c r="Z47" s="91"/>
      <c r="AA47" s="91"/>
    </row>
    <row r="48" spans="1:34" x14ac:dyDescent="0.25">
      <c r="A48" s="118" t="s">
        <v>164</v>
      </c>
      <c r="B48" s="120">
        <v>1</v>
      </c>
      <c r="C48" s="118">
        <v>1</v>
      </c>
      <c r="D48" s="118" t="s">
        <v>17</v>
      </c>
      <c r="E48" s="120"/>
      <c r="F48" s="349">
        <v>0.71</v>
      </c>
      <c r="G48" s="350">
        <v>5.6122448979591857E-2</v>
      </c>
      <c r="H48" s="120"/>
      <c r="I48" s="102">
        <f t="shared" si="12"/>
        <v>64.370697520661125</v>
      </c>
      <c r="J48" s="103">
        <f t="shared" si="13"/>
        <v>45.703195239669398</v>
      </c>
      <c r="K48" s="103">
        <f t="shared" si="14"/>
        <v>18.66750228099173</v>
      </c>
      <c r="L48" s="103">
        <f t="shared" ca="1" si="15"/>
        <v>0.62290123210010451</v>
      </c>
      <c r="M48" s="120"/>
      <c r="N48" s="91">
        <f t="shared" si="17"/>
        <v>0.71</v>
      </c>
      <c r="O48" s="120">
        <f t="shared" ca="1" si="16"/>
        <v>0.62290123210010451</v>
      </c>
      <c r="P48" s="120"/>
      <c r="Q48" s="93"/>
      <c r="R48" s="91"/>
      <c r="S48" s="91"/>
      <c r="T48" s="91"/>
      <c r="U48" s="91"/>
      <c r="V48" s="91"/>
      <c r="W48" s="91"/>
      <c r="X48" s="91"/>
      <c r="Y48" s="91"/>
      <c r="Z48" s="91"/>
      <c r="AA48" s="91"/>
    </row>
    <row r="49" spans="1:27" x14ac:dyDescent="0.25">
      <c r="A49" s="122" t="s">
        <v>172</v>
      </c>
      <c r="B49" s="120">
        <v>1</v>
      </c>
      <c r="C49" s="118">
        <v>1</v>
      </c>
      <c r="D49" s="118" t="s">
        <v>17</v>
      </c>
      <c r="E49" s="120"/>
      <c r="F49" s="349">
        <v>0.28999999999999998</v>
      </c>
      <c r="G49" s="350">
        <v>5.612244897959183E-2</v>
      </c>
      <c r="H49" s="120"/>
      <c r="I49" s="102">
        <f t="shared" si="12"/>
        <v>64.370697520661167</v>
      </c>
      <c r="J49" s="103">
        <f t="shared" si="13"/>
        <v>18.667502280991737</v>
      </c>
      <c r="K49" s="103">
        <f t="shared" si="14"/>
        <v>45.703195239669427</v>
      </c>
      <c r="L49" s="103">
        <f t="shared" ca="1" si="15"/>
        <v>0.24106607029281554</v>
      </c>
      <c r="M49" s="120"/>
      <c r="N49" s="91">
        <f t="shared" si="17"/>
        <v>0.28999999999999998</v>
      </c>
      <c r="O49" s="120">
        <f t="shared" ca="1" si="16"/>
        <v>0.24106607029281554</v>
      </c>
      <c r="P49" s="120"/>
      <c r="Q49" s="93"/>
      <c r="R49" s="91"/>
      <c r="S49" s="91"/>
      <c r="T49" s="91"/>
      <c r="U49" s="91"/>
      <c r="V49" s="91"/>
      <c r="W49" s="91"/>
      <c r="X49" s="91"/>
      <c r="Y49" s="91"/>
      <c r="Z49" s="91"/>
      <c r="AA49" s="91"/>
    </row>
    <row r="50" spans="1:27" x14ac:dyDescent="0.25">
      <c r="A50" s="118" t="s">
        <v>165</v>
      </c>
      <c r="B50" s="120">
        <v>1</v>
      </c>
      <c r="C50" s="118">
        <v>1</v>
      </c>
      <c r="D50" s="118" t="s">
        <v>17</v>
      </c>
      <c r="E50" s="120"/>
      <c r="F50" s="349">
        <v>0.13</v>
      </c>
      <c r="G50" s="350">
        <f>0.1*F50</f>
        <v>1.3000000000000001E-2</v>
      </c>
      <c r="H50" s="120"/>
      <c r="I50" s="102">
        <f t="shared" si="12"/>
        <v>668.23076923076906</v>
      </c>
      <c r="J50" s="103">
        <f t="shared" si="13"/>
        <v>86.869999999999976</v>
      </c>
      <c r="K50" s="103">
        <f t="shared" si="14"/>
        <v>581.36076923076905</v>
      </c>
      <c r="L50" s="103">
        <f t="shared" ca="1" si="15"/>
        <v>0.15064238163531285</v>
      </c>
      <c r="M50" s="120"/>
      <c r="N50" s="91">
        <f t="shared" si="17"/>
        <v>0.13</v>
      </c>
      <c r="O50" s="120">
        <f t="shared" ca="1" si="16"/>
        <v>0.15064238163531285</v>
      </c>
      <c r="P50" s="120"/>
      <c r="Q50" s="93"/>
      <c r="R50" s="91"/>
      <c r="S50" s="91"/>
      <c r="T50" s="91"/>
      <c r="U50" s="91"/>
      <c r="V50" s="91"/>
      <c r="W50" s="91"/>
      <c r="X50" s="91"/>
      <c r="Y50" s="91"/>
      <c r="Z50" s="91"/>
      <c r="AA50" s="91"/>
    </row>
    <row r="51" spans="1:27" x14ac:dyDescent="0.25">
      <c r="A51" s="122" t="s">
        <v>173</v>
      </c>
      <c r="B51" s="120">
        <v>1</v>
      </c>
      <c r="C51" s="118">
        <v>1</v>
      </c>
      <c r="D51" s="118" t="s">
        <v>17</v>
      </c>
      <c r="E51" s="120"/>
      <c r="F51" s="349">
        <v>0.87</v>
      </c>
      <c r="G51" s="350">
        <v>1.2999999999999999E-2</v>
      </c>
      <c r="H51" s="120"/>
      <c r="I51" s="102">
        <f t="shared" si="12"/>
        <v>668.23076923076928</v>
      </c>
      <c r="J51" s="103">
        <f t="shared" si="13"/>
        <v>581.36076923076928</v>
      </c>
      <c r="K51" s="103">
        <f t="shared" si="14"/>
        <v>86.870000000000019</v>
      </c>
      <c r="L51" s="103">
        <f t="shared" ca="1" si="15"/>
        <v>0.89077469182368196</v>
      </c>
      <c r="M51" s="120"/>
      <c r="N51" s="91">
        <f t="shared" si="17"/>
        <v>0.87</v>
      </c>
      <c r="O51" s="120">
        <f t="shared" ca="1" si="16"/>
        <v>0.89077469182368196</v>
      </c>
      <c r="P51" s="120"/>
      <c r="Q51" s="93"/>
      <c r="R51" s="91"/>
      <c r="S51" s="91"/>
      <c r="T51" s="91"/>
      <c r="U51" s="91"/>
      <c r="V51" s="91"/>
      <c r="W51" s="91"/>
      <c r="X51" s="91"/>
      <c r="Y51" s="91"/>
      <c r="Z51" s="91"/>
      <c r="AA51" s="91"/>
    </row>
    <row r="52" spans="1:27" s="91" customFormat="1" x14ac:dyDescent="0.25">
      <c r="A52" s="122" t="s">
        <v>166</v>
      </c>
      <c r="B52" s="120">
        <v>1</v>
      </c>
      <c r="C52" s="118">
        <v>1</v>
      </c>
      <c r="D52" s="118" t="s">
        <v>17</v>
      </c>
      <c r="E52" s="120"/>
      <c r="F52" s="349">
        <v>0.27</v>
      </c>
      <c r="G52" s="350">
        <v>3.3942099000000003E-2</v>
      </c>
      <c r="H52" s="120"/>
      <c r="I52" s="102">
        <f t="shared" si="12"/>
        <v>170.08393576322297</v>
      </c>
      <c r="J52" s="103">
        <f t="shared" si="13"/>
        <v>45.922662656070202</v>
      </c>
      <c r="K52" s="103">
        <f t="shared" si="14"/>
        <v>124.16127310715275</v>
      </c>
      <c r="L52" s="103">
        <f t="shared" ca="1" si="15"/>
        <v>0.30613868700252833</v>
      </c>
      <c r="M52" s="120"/>
      <c r="N52" s="91">
        <f t="shared" si="17"/>
        <v>0.27</v>
      </c>
      <c r="O52" s="120">
        <f t="shared" ca="1" si="16"/>
        <v>0.30613868700252833</v>
      </c>
      <c r="P52" s="120"/>
      <c r="Q52" s="93"/>
    </row>
    <row r="53" spans="1:27" s="91" customFormat="1" x14ac:dyDescent="0.25">
      <c r="A53" s="122" t="s">
        <v>174</v>
      </c>
      <c r="B53" s="120">
        <v>1</v>
      </c>
      <c r="C53" s="118">
        <v>1</v>
      </c>
      <c r="D53" s="118" t="s">
        <v>17</v>
      </c>
      <c r="E53" s="120"/>
      <c r="F53" s="349">
        <v>0.73</v>
      </c>
      <c r="G53" s="350">
        <v>3.3942099000000003E-2</v>
      </c>
      <c r="H53" s="120"/>
      <c r="I53" s="102">
        <f t="shared" si="12"/>
        <v>170.08393576322297</v>
      </c>
      <c r="J53" s="103">
        <f t="shared" si="13"/>
        <v>124.16127310715277</v>
      </c>
      <c r="K53" s="103">
        <f t="shared" si="14"/>
        <v>45.922662656070209</v>
      </c>
      <c r="L53" s="103">
        <f t="shared" ca="1" si="15"/>
        <v>0.73622355796274763</v>
      </c>
      <c r="M53" s="120"/>
      <c r="N53" s="91">
        <f t="shared" si="17"/>
        <v>0.73</v>
      </c>
      <c r="O53" s="120">
        <f t="shared" ca="1" si="16"/>
        <v>0.73622355796274763</v>
      </c>
      <c r="P53" s="120"/>
      <c r="Q53" s="93"/>
    </row>
    <row r="54" spans="1:27" s="91" customFormat="1" x14ac:dyDescent="0.25">
      <c r="A54" s="122" t="s">
        <v>168</v>
      </c>
      <c r="B54" s="120">
        <v>1</v>
      </c>
      <c r="C54" s="118">
        <v>1</v>
      </c>
      <c r="D54" s="118" t="s">
        <v>17</v>
      </c>
      <c r="E54" s="120"/>
      <c r="F54" s="349">
        <v>0.14000000000000001</v>
      </c>
      <c r="G54" s="350">
        <f>0.1*F54</f>
        <v>1.4000000000000002E-2</v>
      </c>
      <c r="H54" s="120"/>
      <c r="I54" s="102">
        <f t="shared" si="12"/>
        <v>613.28571428571422</v>
      </c>
      <c r="J54" s="103">
        <f t="shared" si="13"/>
        <v>85.86</v>
      </c>
      <c r="K54" s="103">
        <f t="shared" si="14"/>
        <v>527.42571428571421</v>
      </c>
      <c r="L54" s="103">
        <f t="shared" ca="1" si="15"/>
        <v>0.12908250603113663</v>
      </c>
      <c r="M54" s="120"/>
      <c r="N54" s="91">
        <f t="shared" si="17"/>
        <v>0.14000000000000001</v>
      </c>
      <c r="O54" s="120">
        <f t="shared" ca="1" si="16"/>
        <v>0.12908250603113663</v>
      </c>
      <c r="P54" s="120"/>
      <c r="Q54" s="93"/>
    </row>
    <row r="55" spans="1:27" s="91" customFormat="1" x14ac:dyDescent="0.25">
      <c r="A55" s="122" t="s">
        <v>175</v>
      </c>
      <c r="B55" s="120">
        <v>1</v>
      </c>
      <c r="C55" s="118">
        <v>1</v>
      </c>
      <c r="D55" s="118" t="s">
        <v>17</v>
      </c>
      <c r="E55" s="120"/>
      <c r="F55" s="349">
        <v>0.86</v>
      </c>
      <c r="G55" s="351">
        <v>1.4E-2</v>
      </c>
      <c r="H55" s="120"/>
      <c r="I55" s="102">
        <f t="shared" si="12"/>
        <v>613.28571428571422</v>
      </c>
      <c r="J55" s="103">
        <f t="shared" si="13"/>
        <v>527.42571428571421</v>
      </c>
      <c r="K55" s="103">
        <f t="shared" si="14"/>
        <v>85.86</v>
      </c>
      <c r="L55" s="103">
        <f t="shared" ca="1" si="15"/>
        <v>0.84541348245397585</v>
      </c>
      <c r="M55" s="120"/>
      <c r="N55" s="91">
        <f t="shared" si="17"/>
        <v>0.86</v>
      </c>
      <c r="O55" s="120">
        <f t="shared" ca="1" si="16"/>
        <v>0.84541348245397585</v>
      </c>
      <c r="P55" s="120"/>
      <c r="Q55" s="93"/>
    </row>
    <row r="56" spans="1:27" s="91" customFormat="1" x14ac:dyDescent="0.25">
      <c r="A56" s="118" t="s">
        <v>169</v>
      </c>
      <c r="B56" s="120">
        <v>1</v>
      </c>
      <c r="C56" s="118">
        <v>1</v>
      </c>
      <c r="D56" s="118" t="s">
        <v>17</v>
      </c>
      <c r="E56" s="120"/>
      <c r="F56" s="349">
        <v>0.5714285714285714</v>
      </c>
      <c r="G56" s="350">
        <v>8.2272902342000451E-2</v>
      </c>
      <c r="H56" s="120"/>
      <c r="I56" s="102">
        <f t="shared" si="12"/>
        <v>35.180247184351167</v>
      </c>
      <c r="J56" s="103">
        <f t="shared" si="13"/>
        <v>20.10299839105781</v>
      </c>
      <c r="K56" s="103">
        <f t="shared" si="14"/>
        <v>15.077248793293359</v>
      </c>
      <c r="L56" s="103">
        <f t="shared" ca="1" si="15"/>
        <v>0.45749369388630723</v>
      </c>
      <c r="M56" s="120"/>
      <c r="N56" s="91">
        <f t="shared" si="17"/>
        <v>0.5714285714285714</v>
      </c>
      <c r="O56" s="120">
        <f t="shared" ca="1" si="16"/>
        <v>0.45749369388630723</v>
      </c>
      <c r="P56" s="120"/>
      <c r="Q56" s="93"/>
    </row>
    <row r="57" spans="1:27" s="91" customFormat="1" x14ac:dyDescent="0.25">
      <c r="A57" s="122" t="s">
        <v>177</v>
      </c>
      <c r="B57" s="120">
        <v>1</v>
      </c>
      <c r="C57" s="118">
        <v>1</v>
      </c>
      <c r="D57" s="118" t="s">
        <v>17</v>
      </c>
      <c r="E57" s="120"/>
      <c r="F57" s="349">
        <v>0.4285714285714286</v>
      </c>
      <c r="G57" s="350">
        <v>8.2272902342000451E-2</v>
      </c>
      <c r="H57" s="120"/>
      <c r="I57" s="102">
        <f t="shared" si="12"/>
        <v>35.180247184351167</v>
      </c>
      <c r="J57" s="103">
        <f t="shared" si="13"/>
        <v>15.077248793293359</v>
      </c>
      <c r="K57" s="103">
        <f t="shared" si="14"/>
        <v>20.10299839105781</v>
      </c>
      <c r="L57" s="103">
        <f t="shared" ca="1" si="15"/>
        <v>0.56141047472402872</v>
      </c>
      <c r="M57" s="120"/>
      <c r="N57" s="91">
        <f t="shared" si="17"/>
        <v>0.4285714285714286</v>
      </c>
      <c r="O57" s="120">
        <f t="shared" ca="1" si="16"/>
        <v>0.56141047472402872</v>
      </c>
      <c r="P57" s="120"/>
      <c r="Q57" s="93"/>
    </row>
    <row r="58" spans="1:27" s="91" customFormat="1" x14ac:dyDescent="0.25">
      <c r="A58" s="118" t="s">
        <v>170</v>
      </c>
      <c r="B58" s="120">
        <v>1</v>
      </c>
      <c r="C58" s="118">
        <v>1</v>
      </c>
      <c r="D58" s="118" t="s">
        <v>17</v>
      </c>
      <c r="E58" s="120"/>
      <c r="F58" s="349">
        <v>8.6261668788331098E-3</v>
      </c>
      <c r="G58" s="350">
        <v>8.6261668788331105E-4</v>
      </c>
      <c r="H58" s="120"/>
      <c r="I58" s="102">
        <f t="shared" si="12"/>
        <v>11491.6345275536</v>
      </c>
      <c r="J58" s="103">
        <f t="shared" si="13"/>
        <v>99.128757145237842</v>
      </c>
      <c r="K58" s="103">
        <f t="shared" si="14"/>
        <v>11392.505770408363</v>
      </c>
      <c r="L58" s="103">
        <f t="shared" ca="1" si="15"/>
        <v>8.9740518272827252E-3</v>
      </c>
      <c r="M58" s="120"/>
      <c r="N58" s="91">
        <f t="shared" si="17"/>
        <v>8.6261668788331098E-3</v>
      </c>
      <c r="O58" s="120">
        <f t="shared" ca="1" si="16"/>
        <v>8.9740518272827252E-3</v>
      </c>
      <c r="P58" s="120"/>
      <c r="Q58" s="93"/>
    </row>
    <row r="59" spans="1:27" s="91" customFormat="1" x14ac:dyDescent="0.25">
      <c r="A59" s="122" t="s">
        <v>176</v>
      </c>
      <c r="B59" s="120">
        <v>1</v>
      </c>
      <c r="C59" s="118">
        <v>1</v>
      </c>
      <c r="D59" s="118" t="s">
        <v>17</v>
      </c>
      <c r="E59" s="120"/>
      <c r="F59" s="349">
        <v>0.99137383312116689</v>
      </c>
      <c r="G59" s="350">
        <v>8.6261668788331105E-4</v>
      </c>
      <c r="H59" s="120"/>
      <c r="I59" s="102">
        <f t="shared" si="12"/>
        <v>11491.634527553597</v>
      </c>
      <c r="J59" s="103">
        <f t="shared" si="13"/>
        <v>11392.505770408359</v>
      </c>
      <c r="K59" s="103">
        <f t="shared" si="14"/>
        <v>99.128757145237799</v>
      </c>
      <c r="L59" s="103">
        <f t="shared" ca="1" si="15"/>
        <v>0.99220836884374819</v>
      </c>
      <c r="M59" s="120"/>
      <c r="N59" s="91">
        <f t="shared" si="17"/>
        <v>0.99137383312116689</v>
      </c>
      <c r="O59" s="120">
        <f t="shared" ca="1" si="16"/>
        <v>0.99220836884374819</v>
      </c>
      <c r="P59" s="120"/>
      <c r="Q59" s="93"/>
    </row>
    <row r="60" spans="1:27" s="91" customFormat="1" x14ac:dyDescent="0.25">
      <c r="A60" s="119" t="s">
        <v>167</v>
      </c>
      <c r="B60" s="93">
        <v>1</v>
      </c>
      <c r="C60" s="118">
        <v>1</v>
      </c>
      <c r="D60" s="91" t="s">
        <v>17</v>
      </c>
      <c r="E60" s="93"/>
      <c r="F60" s="352">
        <v>0.25</v>
      </c>
      <c r="G60" s="320">
        <v>2.5000000000000001E-2</v>
      </c>
      <c r="H60" s="93"/>
      <c r="I60" s="102">
        <f t="shared" si="12"/>
        <v>298.99999999999994</v>
      </c>
      <c r="J60" s="103">
        <f t="shared" si="13"/>
        <v>74.749999999999986</v>
      </c>
      <c r="K60" s="103">
        <f t="shared" si="14"/>
        <v>224.24999999999994</v>
      </c>
      <c r="L60" s="103">
        <f t="shared" ca="1" si="15"/>
        <v>0.25487744352972097</v>
      </c>
      <c r="M60" s="93"/>
      <c r="N60" s="91">
        <f t="shared" si="17"/>
        <v>0.25</v>
      </c>
      <c r="O60" s="93">
        <f t="shared" ca="1" si="16"/>
        <v>0.25487744352972097</v>
      </c>
    </row>
    <row r="61" spans="1:27" s="91" customFormat="1" x14ac:dyDescent="0.25">
      <c r="A61" s="119" t="s">
        <v>178</v>
      </c>
      <c r="B61" s="93">
        <v>1</v>
      </c>
      <c r="C61" s="118">
        <v>1</v>
      </c>
      <c r="D61" s="91" t="s">
        <v>17</v>
      </c>
      <c r="E61" s="93"/>
      <c r="F61" s="352">
        <v>0.75</v>
      </c>
      <c r="G61" s="320">
        <v>2.5000000000000001E-2</v>
      </c>
      <c r="H61" s="93"/>
      <c r="I61" s="102">
        <f t="shared" si="12"/>
        <v>298.99999999999994</v>
      </c>
      <c r="J61" s="103">
        <f t="shared" si="13"/>
        <v>224.24999999999994</v>
      </c>
      <c r="K61" s="103">
        <f t="shared" si="14"/>
        <v>74.749999999999972</v>
      </c>
      <c r="L61" s="103">
        <f t="shared" ca="1" si="15"/>
        <v>0.69193347672094307</v>
      </c>
      <c r="M61" s="93"/>
      <c r="N61" s="91">
        <f t="shared" si="17"/>
        <v>0.75</v>
      </c>
      <c r="O61" s="93">
        <f t="shared" ca="1" si="16"/>
        <v>0.69193347672094307</v>
      </c>
    </row>
    <row r="62" spans="1:27" s="91" customFormat="1" x14ac:dyDescent="0.25">
      <c r="A62" s="119"/>
      <c r="B62" s="98"/>
      <c r="C62" s="98"/>
      <c r="E62" s="98"/>
      <c r="F62" s="98"/>
      <c r="G62" s="92"/>
      <c r="H62" s="98"/>
      <c r="I62" s="103"/>
      <c r="J62" s="103"/>
      <c r="K62" s="103"/>
      <c r="L62" s="103"/>
      <c r="M62" s="98"/>
      <c r="N62" s="98"/>
      <c r="O62" s="98"/>
    </row>
    <row r="63" spans="1:27" s="91" customFormat="1" x14ac:dyDescent="0.25">
      <c r="A63" s="569" t="s">
        <v>421</v>
      </c>
      <c r="B63" s="569"/>
      <c r="C63" s="569"/>
      <c r="D63" s="569"/>
      <c r="E63" s="569"/>
      <c r="F63" s="569"/>
      <c r="G63" s="569"/>
      <c r="H63" s="569"/>
      <c r="I63" s="569"/>
      <c r="J63" s="569"/>
      <c r="K63" s="569"/>
      <c r="L63" s="569"/>
      <c r="M63" s="569"/>
      <c r="N63" s="569"/>
      <c r="O63" s="569"/>
      <c r="P63" s="569"/>
      <c r="Q63" s="569"/>
      <c r="R63" s="569"/>
      <c r="S63" s="569"/>
      <c r="T63" s="569"/>
      <c r="U63" s="569"/>
      <c r="V63" s="569"/>
      <c r="W63" s="574"/>
    </row>
    <row r="64" spans="1:27" s="91" customFormat="1" x14ac:dyDescent="0.25">
      <c r="A64" s="106" t="s">
        <v>99</v>
      </c>
      <c r="B64" s="107" t="s">
        <v>155</v>
      </c>
      <c r="C64" s="106" t="s">
        <v>113</v>
      </c>
      <c r="D64" s="106" t="s">
        <v>15</v>
      </c>
      <c r="E64" s="107"/>
      <c r="F64" s="107" t="s">
        <v>4</v>
      </c>
      <c r="G64" s="106" t="s">
        <v>19</v>
      </c>
      <c r="H64" s="107"/>
      <c r="I64" s="108" t="s">
        <v>108</v>
      </c>
      <c r="J64" s="109" t="s">
        <v>22</v>
      </c>
      <c r="K64" s="109" t="s">
        <v>23</v>
      </c>
      <c r="L64" s="109" t="s">
        <v>100</v>
      </c>
      <c r="M64" s="107"/>
      <c r="N64" s="107" t="s">
        <v>14</v>
      </c>
      <c r="O64" s="107" t="s">
        <v>25</v>
      </c>
      <c r="P64" s="107"/>
      <c r="Q64" s="110"/>
    </row>
    <row r="65" spans="1:23" s="91" customFormat="1" x14ac:dyDescent="0.25">
      <c r="A65" t="s">
        <v>161</v>
      </c>
      <c r="B65" s="93">
        <v>1</v>
      </c>
      <c r="C65" s="98">
        <v>0</v>
      </c>
      <c r="D65" s="91" t="s">
        <v>17</v>
      </c>
      <c r="E65" s="93"/>
      <c r="F65" s="93">
        <v>0.51</v>
      </c>
      <c r="G65"/>
      <c r="H65" s="93"/>
      <c r="I65" s="102" t="e">
        <f>IF($D65="Beta",((($F65*(1-$F65))/($G65^2))-1),"N/A")</f>
        <v>#DIV/0!</v>
      </c>
      <c r="J65" s="103" t="e">
        <f>IF($D65="Beta",($F65*$I65),IF($D65="Gamma",(($F65^2)/($G65^2)),"N/A"))</f>
        <v>#DIV/0!</v>
      </c>
      <c r="K65" s="103" t="e">
        <f>IF($D65="Beta",($J65*((1-$F65)/$F65)),IF($D65="Gamma",(($G65^2)/$F65),"N/A"))</f>
        <v>#DIV/0!</v>
      </c>
      <c r="L65" s="103" t="e">
        <f ca="1">IF($D65="Beta",(_xlfn.BETA.INV(RAND(),$J65,$K65)),IF($D65="Gamma",(_xlfn.GAMMA.INV(RAND(),$J65,$K65)),IF($D65="Log Normal",EXP(_xlfn.NORM.INV(RAND(),LN($F65),((LN($F65+1.96*$G65)-LN($F65-1.96*$G65))/(2*1.96)))),_xlfn.NORM.INV(RAND(),$F65,$G65))))</f>
        <v>#DIV/0!</v>
      </c>
      <c r="M65" s="93"/>
      <c r="N65" s="91">
        <f>F65</f>
        <v>0.51</v>
      </c>
      <c r="O65" s="93">
        <f>IF($B65=1,IF($C65=1,$L65,$F65),0)</f>
        <v>0.51</v>
      </c>
      <c r="P65" s="93"/>
      <c r="Q65" s="93"/>
    </row>
    <row r="66" spans="1:23" s="91" customFormat="1" x14ac:dyDescent="0.25">
      <c r="A66" s="91" t="s">
        <v>162</v>
      </c>
      <c r="B66" s="98">
        <v>1</v>
      </c>
      <c r="C66" s="98">
        <v>1</v>
      </c>
      <c r="D66" s="91" t="s">
        <v>17</v>
      </c>
      <c r="E66" s="98"/>
      <c r="F66" s="98">
        <v>0.47749999999999998</v>
      </c>
      <c r="G66" s="91">
        <v>0.15154000000000001</v>
      </c>
      <c r="H66" s="98"/>
      <c r="I66" s="102">
        <f>IF($D66="Beta",((($F66*(1-$F66))/($G66^2))-1),"N/A")</f>
        <v>9.8643839398592537</v>
      </c>
      <c r="J66" s="103">
        <f>IF($D66="Beta",($F66*$I66),IF($D66="Gamma",(($F66^2)/($G66^2)),"N/A"))</f>
        <v>4.7102433312827934</v>
      </c>
      <c r="K66" s="103">
        <f>IF($D66="Beta",($J66*((1-$F66)/$F66)),IF($D66="Gamma",(($G66^2)/$F66),"N/A"))</f>
        <v>5.1541406085764594</v>
      </c>
      <c r="L66" s="103">
        <f ca="1">IF($D66="Beta",(_xlfn.BETA.INV(RAND(),$J66,$K66)),IF($D66="Gamma",(_xlfn.GAMMA.INV(RAND(),$J66,$K66)),IF($D66="Log Normal",EXP(_xlfn.NORM.INV(RAND(),LN($F66),((LN($F66+1.96*$G66)-LN($F66-1.96*$G66))/(2*1.96)))),_xlfn.NORM.INV(RAND(),$F66,$G66))))</f>
        <v>0.67419472026756089</v>
      </c>
      <c r="M66" s="93"/>
      <c r="N66" s="91">
        <f>F66</f>
        <v>0.47749999999999998</v>
      </c>
      <c r="O66" s="93">
        <f ca="1">IF($B66=1,IF($C66=1,$L66,$F66),0)</f>
        <v>0.67419472026756089</v>
      </c>
      <c r="P66" s="93"/>
      <c r="Q66" s="93"/>
    </row>
    <row r="67" spans="1:23" s="91" customFormat="1" x14ac:dyDescent="0.25">
      <c r="B67" s="98"/>
      <c r="C67" s="98"/>
      <c r="E67" s="98"/>
      <c r="F67" s="98"/>
      <c r="H67" s="98"/>
      <c r="I67" s="103"/>
      <c r="J67" s="103"/>
      <c r="K67" s="103"/>
      <c r="L67" s="103"/>
      <c r="M67" s="98"/>
      <c r="N67" s="98"/>
      <c r="O67" s="98"/>
      <c r="P67" s="98"/>
      <c r="Q67" s="98"/>
    </row>
    <row r="68" spans="1:23" s="91" customFormat="1" x14ac:dyDescent="0.25">
      <c r="A68" s="569" t="s">
        <v>422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69"/>
      <c r="P68" s="569"/>
      <c r="Q68" s="569"/>
      <c r="R68" s="569"/>
      <c r="S68" s="569"/>
      <c r="T68" s="569"/>
      <c r="U68" s="569"/>
      <c r="V68" s="569"/>
      <c r="W68" s="574"/>
    </row>
    <row r="69" spans="1:23" s="91" customFormat="1" x14ac:dyDescent="0.25">
      <c r="A69" s="106" t="s">
        <v>99</v>
      </c>
      <c r="B69" s="107" t="s">
        <v>155</v>
      </c>
      <c r="C69" s="106" t="s">
        <v>113</v>
      </c>
      <c r="D69" s="106" t="s">
        <v>15</v>
      </c>
      <c r="E69" s="107"/>
      <c r="F69" s="107" t="s">
        <v>4</v>
      </c>
      <c r="G69" s="106" t="s">
        <v>19</v>
      </c>
      <c r="H69" s="107"/>
      <c r="I69" s="108" t="s">
        <v>108</v>
      </c>
      <c r="J69" s="109" t="s">
        <v>22</v>
      </c>
      <c r="K69" s="109" t="s">
        <v>23</v>
      </c>
      <c r="L69" s="109" t="s">
        <v>100</v>
      </c>
      <c r="M69" s="107"/>
      <c r="N69" s="107" t="s">
        <v>14</v>
      </c>
      <c r="O69" s="107" t="s">
        <v>25</v>
      </c>
      <c r="P69" s="107"/>
      <c r="Q69" s="110"/>
    </row>
    <row r="70" spans="1:23" s="91" customFormat="1" x14ac:dyDescent="0.25">
      <c r="A70" s="122" t="s">
        <v>918</v>
      </c>
      <c r="B70" s="93">
        <v>1</v>
      </c>
      <c r="C70" s="98">
        <v>1</v>
      </c>
      <c r="D70" s="91" t="s">
        <v>17</v>
      </c>
      <c r="E70" s="93"/>
      <c r="F70" s="352">
        <v>0.18808420110295784</v>
      </c>
      <c r="G70" s="353">
        <v>8.0235298804824991E-3</v>
      </c>
      <c r="H70" s="93"/>
      <c r="I70" s="102">
        <f>IF($D70="Beta",((($F70*(1-$F70))/($G70^2))-1),"N/A")</f>
        <v>2371.0965422584163</v>
      </c>
      <c r="J70" s="103">
        <f>IF($D70="Beta",($F70*$I70),IF($D70="Gamma",(($F70^2)/($G70^2)),"N/A"))</f>
        <v>445.96579888865995</v>
      </c>
      <c r="K70" s="103">
        <f>IF($D70="Beta",($J70*((1-$F70)/$F70)),IF($D70="Gamma",(($G70^2)/$F70),"N/A"))</f>
        <v>1925.1307433697561</v>
      </c>
      <c r="L70" s="103">
        <f ca="1">IF($D70="Beta",(_xlfn.BETA.INV(RAND(),$J70,$K70)),IF($D70="Gamma",(_xlfn.GAMMA.INV(RAND(),$J70,$K70)),IF($D70="Log Normal",EXP(_xlfn.NORM.INV(RAND(),LN($F70),((LN($F70+1.96*$G70)-LN($F70-1.96*$G70))/(2*1.96)))),_xlfn.NORM.INV(RAND(),$F70,$G70))))</f>
        <v>0.19552205793265998</v>
      </c>
      <c r="M70" s="93"/>
      <c r="N70" s="91">
        <f t="shared" ref="N70:N79" si="18">F70</f>
        <v>0.18808420110295784</v>
      </c>
      <c r="O70" s="93">
        <f ca="1">IF($B70=1,IF($C70=1,$L70,$F70),0)</f>
        <v>0.19552205793265998</v>
      </c>
      <c r="P70" s="104"/>
      <c r="Q70" s="104"/>
    </row>
    <row r="71" spans="1:23" s="91" customFormat="1" x14ac:dyDescent="0.25">
      <c r="A71" s="122" t="s">
        <v>919</v>
      </c>
      <c r="B71" s="93">
        <v>1</v>
      </c>
      <c r="C71" s="98">
        <v>1</v>
      </c>
      <c r="D71" s="91" t="s">
        <v>17</v>
      </c>
      <c r="E71" s="93"/>
      <c r="F71" s="352">
        <v>8.0322003553876822E-2</v>
      </c>
      <c r="G71" s="353">
        <v>4.1295992365963929E-3</v>
      </c>
      <c r="H71" s="93"/>
      <c r="I71" s="102">
        <f t="shared" ref="I71:I79" si="19">IF($D71="Beta",((($F71*(1-$F71))/($G71^2))-1),"N/A")</f>
        <v>4330.661540326857</v>
      </c>
      <c r="J71" s="103">
        <f t="shared" ref="J71:J79" si="20">IF($D71="Beta",($F71*$I71),IF($D71="Gamma",(($F71^2)/($G71^2)),"N/A"))</f>
        <v>347.84741163277147</v>
      </c>
      <c r="K71" s="103">
        <f t="shared" ref="K71:K79" si="21">IF($D71="Beta",($J71*((1-$F71)/$F71)),IF($D71="Gamma",(($G71^2)/$F71),"N/A"))</f>
        <v>3982.8141286940854</v>
      </c>
      <c r="L71" s="103">
        <f t="shared" ref="L71:L79" ca="1" si="22">IF($D71="Beta",(_xlfn.BETA.INV(RAND(),$J71,$K71)),IF($D71="Gamma",(_xlfn.GAMMA.INV(RAND(),$J71,$K71)),IF($D71="Log Normal",EXP(_xlfn.NORM.INV(RAND(),LN($F71),((LN($F71+1.96*$G71)-LN($F71-1.96*$G71))/(2*1.96)))),_xlfn.NORM.INV(RAND(),$F71,$G71))))</f>
        <v>7.6415567682836805E-2</v>
      </c>
      <c r="M71" s="93"/>
      <c r="N71" s="91">
        <f t="shared" si="18"/>
        <v>8.0322003553876822E-2</v>
      </c>
      <c r="O71" s="93">
        <f t="shared" ref="O71:O79" ca="1" si="23">IF($B71=1,IF($C71=1,$L71,$F71),0)</f>
        <v>7.6415567682836805E-2</v>
      </c>
      <c r="P71" s="104"/>
      <c r="Q71" s="104"/>
    </row>
    <row r="72" spans="1:23" s="91" customFormat="1" x14ac:dyDescent="0.25">
      <c r="A72" s="122" t="s">
        <v>927</v>
      </c>
      <c r="B72" s="93">
        <v>1</v>
      </c>
      <c r="C72" s="98">
        <v>1</v>
      </c>
      <c r="D72" s="91" t="s">
        <v>17</v>
      </c>
      <c r="E72" s="93"/>
      <c r="F72" s="352">
        <v>6.5575634584596809E-2</v>
      </c>
      <c r="G72" s="353">
        <v>3.9090031180461417E-3</v>
      </c>
      <c r="H72" s="93"/>
      <c r="I72" s="102">
        <f t="shared" si="19"/>
        <v>4009.0946428779916</v>
      </c>
      <c r="J72" s="103">
        <f t="shared" si="20"/>
        <v>262.89892531643181</v>
      </c>
      <c r="K72" s="103">
        <f t="shared" si="21"/>
        <v>3746.1957175615598</v>
      </c>
      <c r="L72" s="103">
        <f t="shared" ca="1" si="22"/>
        <v>6.5497794712118196E-2</v>
      </c>
      <c r="M72" s="93"/>
      <c r="N72" s="91">
        <f t="shared" si="18"/>
        <v>6.5575634584596809E-2</v>
      </c>
      <c r="O72" s="93">
        <f t="shared" ca="1" si="23"/>
        <v>6.5497794712118196E-2</v>
      </c>
      <c r="P72" s="104"/>
      <c r="Q72" s="104"/>
    </row>
    <row r="73" spans="1:23" s="91" customFormat="1" x14ac:dyDescent="0.25">
      <c r="A73" s="122" t="s">
        <v>920</v>
      </c>
      <c r="B73" s="93">
        <v>1</v>
      </c>
      <c r="C73" s="98">
        <v>1</v>
      </c>
      <c r="D73" s="91" t="s">
        <v>17</v>
      </c>
      <c r="E73" s="93"/>
      <c r="F73" s="352">
        <v>2.6500909529550587E-2</v>
      </c>
      <c r="G73" s="353">
        <v>1.575699977812434E-3</v>
      </c>
      <c r="H73" s="93"/>
      <c r="I73" s="102">
        <f t="shared" si="19"/>
        <v>10389.806844893414</v>
      </c>
      <c r="J73" s="103">
        <f t="shared" si="20"/>
        <v>275.33933122602576</v>
      </c>
      <c r="K73" s="103">
        <f t="shared" si="21"/>
        <v>10114.467513667389</v>
      </c>
      <c r="L73" s="103">
        <f t="shared" ca="1" si="22"/>
        <v>2.8414888251096615E-2</v>
      </c>
      <c r="M73" s="93"/>
      <c r="N73" s="91">
        <f t="shared" si="18"/>
        <v>2.6500909529550587E-2</v>
      </c>
      <c r="O73" s="93">
        <f t="shared" ca="1" si="23"/>
        <v>2.8414888251096615E-2</v>
      </c>
      <c r="P73" s="104"/>
      <c r="Q73" s="104"/>
    </row>
    <row r="74" spans="1:23" s="91" customFormat="1" x14ac:dyDescent="0.25">
      <c r="A74" s="122" t="s">
        <v>921</v>
      </c>
      <c r="B74" s="93">
        <v>1</v>
      </c>
      <c r="C74" s="98">
        <v>1</v>
      </c>
      <c r="D74" s="91" t="s">
        <v>17</v>
      </c>
      <c r="E74" s="93"/>
      <c r="F74" s="352">
        <v>1.5201831243956284E-3</v>
      </c>
      <c r="G74" s="353">
        <v>1.2054425471225648E-4</v>
      </c>
      <c r="H74" s="93"/>
      <c r="I74" s="102">
        <f t="shared" si="19"/>
        <v>104457.11036677242</v>
      </c>
      <c r="J74" s="103">
        <f t="shared" si="20"/>
        <v>158.79393640269907</v>
      </c>
      <c r="K74" s="103">
        <f t="shared" si="21"/>
        <v>104298.31643036973</v>
      </c>
      <c r="L74" s="103">
        <f t="shared" ca="1" si="22"/>
        <v>1.5160145382125938E-3</v>
      </c>
      <c r="M74" s="93"/>
      <c r="N74" s="91">
        <f t="shared" si="18"/>
        <v>1.5201831243956284E-3</v>
      </c>
      <c r="O74" s="93">
        <f t="shared" ca="1" si="23"/>
        <v>1.5160145382125938E-3</v>
      </c>
      <c r="P74" s="104"/>
      <c r="Q74" s="104"/>
    </row>
    <row r="75" spans="1:23" s="91" customFormat="1" x14ac:dyDescent="0.25">
      <c r="A75" s="122" t="s">
        <v>922</v>
      </c>
      <c r="B75" s="93">
        <v>1</v>
      </c>
      <c r="C75" s="98">
        <v>1</v>
      </c>
      <c r="D75" s="91" t="s">
        <v>17</v>
      </c>
      <c r="E75" s="93"/>
      <c r="F75" s="352">
        <v>0.11534682466033405</v>
      </c>
      <c r="G75" s="353">
        <v>6.5064425942634721E-3</v>
      </c>
      <c r="H75" s="93"/>
      <c r="I75" s="102">
        <f>IF($D75="Beta",((($F75*(1-$F75))/($G75^2))-1),"N/A")</f>
        <v>2409.4131023647033</v>
      </c>
      <c r="J75" s="103">
        <f>IF($D75="Beta",($F75*$I75),IF($D75="Gamma",(($F75^2)/($G75^2)),"N/A"))</f>
        <v>277.91815065277291</v>
      </c>
      <c r="K75" s="103">
        <f>IF($D75="Beta",($J75*((1-$F75)/$F75)),IF($D75="Gamma",(($G75^2)/$F75),"N/A"))</f>
        <v>2131.4949517119303</v>
      </c>
      <c r="L75" s="103">
        <f ca="1">IF($D75="Beta",(_xlfn.BETA.INV(RAND(),$J75,$K75)),IF($D75="Gamma",(_xlfn.GAMMA.INV(RAND(),$J75,$K75)),IF($D75="Log Normal",EXP(_xlfn.NORM.INV(RAND(),LN($F75),((LN($F75+1.96*$G75)-LN($F75-1.96*$G75))/(2*1.96)))),_xlfn.NORM.INV(RAND(),$F75,$G75))))</f>
        <v>0.11476926787593622</v>
      </c>
      <c r="M75" s="93"/>
      <c r="N75" s="91">
        <f t="shared" si="18"/>
        <v>0.11534682466033405</v>
      </c>
      <c r="O75" s="93">
        <f ca="1">IF($B75=1,IF($C75=1,$L75,$F75),0)</f>
        <v>0.11476926787593622</v>
      </c>
      <c r="P75" s="104"/>
      <c r="Q75" s="104"/>
    </row>
    <row r="76" spans="1:23" s="91" customFormat="1" x14ac:dyDescent="0.25">
      <c r="A76" s="122" t="s">
        <v>923</v>
      </c>
      <c r="B76" s="93">
        <v>1</v>
      </c>
      <c r="C76" s="98">
        <v>1</v>
      </c>
      <c r="D76" s="91" t="s">
        <v>17</v>
      </c>
      <c r="E76" s="93"/>
      <c r="F76" s="352">
        <v>5.1904874129035238E-2</v>
      </c>
      <c r="G76" s="353">
        <v>3.314846805233689E-3</v>
      </c>
      <c r="H76" s="93"/>
      <c r="I76" s="102">
        <f t="shared" si="19"/>
        <v>4477.5056999082317</v>
      </c>
      <c r="J76" s="103">
        <f t="shared" si="20"/>
        <v>232.40436976577459</v>
      </c>
      <c r="K76" s="103">
        <f t="shared" si="21"/>
        <v>4245.1013301424573</v>
      </c>
      <c r="L76" s="103">
        <f t="shared" ca="1" si="22"/>
        <v>5.2922787929430948E-2</v>
      </c>
      <c r="M76" s="93"/>
      <c r="N76" s="91">
        <f t="shared" si="18"/>
        <v>5.1904874129035238E-2</v>
      </c>
      <c r="O76" s="93">
        <f t="shared" ca="1" si="23"/>
        <v>5.2922787929430948E-2</v>
      </c>
      <c r="P76" s="104"/>
      <c r="Q76" s="104"/>
    </row>
    <row r="77" spans="1:23" s="91" customFormat="1" x14ac:dyDescent="0.25">
      <c r="A77" s="122" t="s">
        <v>924</v>
      </c>
      <c r="B77" s="93">
        <v>1</v>
      </c>
      <c r="C77" s="98">
        <v>1</v>
      </c>
      <c r="D77" s="91" t="s">
        <v>17</v>
      </c>
      <c r="E77" s="93"/>
      <c r="F77" s="352">
        <v>4.0927886977295748E-2</v>
      </c>
      <c r="G77" s="353">
        <v>2.8581378572015937E-3</v>
      </c>
      <c r="H77" s="93"/>
      <c r="I77" s="102">
        <f t="shared" si="19"/>
        <v>4804.1200439326267</v>
      </c>
      <c r="J77" s="103">
        <f t="shared" si="20"/>
        <v>196.62248218343564</v>
      </c>
      <c r="K77" s="103">
        <f t="shared" si="21"/>
        <v>4607.4975617491918</v>
      </c>
      <c r="L77" s="103">
        <f t="shared" ca="1" si="22"/>
        <v>3.9136965524929464E-2</v>
      </c>
      <c r="M77" s="93"/>
      <c r="N77" s="91">
        <f t="shared" si="18"/>
        <v>4.0927886977295748E-2</v>
      </c>
      <c r="O77" s="93">
        <f t="shared" ca="1" si="23"/>
        <v>3.9136965524929464E-2</v>
      </c>
      <c r="P77" s="104"/>
      <c r="Q77" s="104"/>
    </row>
    <row r="78" spans="1:23" s="91" customFormat="1" x14ac:dyDescent="0.25">
      <c r="A78" s="122" t="s">
        <v>925</v>
      </c>
      <c r="B78" s="93">
        <v>1</v>
      </c>
      <c r="C78" s="98">
        <v>1</v>
      </c>
      <c r="D78" s="91" t="s">
        <v>17</v>
      </c>
      <c r="E78" s="93"/>
      <c r="F78" s="352">
        <v>1.5697620072600664E-2</v>
      </c>
      <c r="G78" s="353">
        <v>1.112474117582135E-3</v>
      </c>
      <c r="H78" s="93"/>
      <c r="I78" s="102">
        <f t="shared" si="19"/>
        <v>12483.826678840152</v>
      </c>
      <c r="J78" s="103">
        <f t="shared" si="20"/>
        <v>195.96636825662887</v>
      </c>
      <c r="K78" s="103">
        <f t="shared" si="21"/>
        <v>12287.860310583525</v>
      </c>
      <c r="L78" s="103">
        <f t="shared" ca="1" si="22"/>
        <v>1.6830246619999212E-2</v>
      </c>
      <c r="M78" s="93"/>
      <c r="N78" s="91">
        <f t="shared" si="18"/>
        <v>1.5697620072600664E-2</v>
      </c>
      <c r="O78" s="93">
        <f t="shared" ca="1" si="23"/>
        <v>1.6830246619999212E-2</v>
      </c>
      <c r="P78" s="104"/>
      <c r="Q78" s="104"/>
    </row>
    <row r="79" spans="1:23" s="91" customFormat="1" x14ac:dyDescent="0.25">
      <c r="A79" s="122" t="s">
        <v>926</v>
      </c>
      <c r="B79" s="93">
        <v>1</v>
      </c>
      <c r="C79" s="98">
        <v>1</v>
      </c>
      <c r="D79" s="91" t="s">
        <v>17</v>
      </c>
      <c r="E79" s="93"/>
      <c r="F79" s="352">
        <v>1.9288936901483743E-3</v>
      </c>
      <c r="G79" s="353">
        <v>1.3543807899287934E-4</v>
      </c>
      <c r="H79" s="93"/>
      <c r="I79" s="102">
        <f t="shared" si="19"/>
        <v>104950.39246301171</v>
      </c>
      <c r="J79" s="103">
        <f t="shared" si="20"/>
        <v>202.43814980049879</v>
      </c>
      <c r="K79" s="103">
        <f t="shared" si="21"/>
        <v>104747.9543132112</v>
      </c>
      <c r="L79" s="103">
        <f t="shared" ca="1" si="22"/>
        <v>1.9010168415812274E-3</v>
      </c>
      <c r="M79" s="93"/>
      <c r="N79" s="91">
        <f t="shared" si="18"/>
        <v>1.9288936901483743E-3</v>
      </c>
      <c r="O79" s="93">
        <f t="shared" ca="1" si="23"/>
        <v>1.9010168415812274E-3</v>
      </c>
      <c r="P79" s="104"/>
      <c r="Q79" s="104"/>
    </row>
    <row r="80" spans="1:23" s="91" customFormat="1" x14ac:dyDescent="0.25">
      <c r="A80" s="104"/>
      <c r="B80" s="104"/>
      <c r="C80" s="104"/>
      <c r="D80" s="104"/>
      <c r="E80" s="104"/>
      <c r="F80" s="104"/>
      <c r="G80" s="104"/>
      <c r="H80" s="104"/>
      <c r="I80" s="167"/>
      <c r="J80" s="167"/>
      <c r="K80" s="167"/>
      <c r="L80" s="167"/>
      <c r="M80" s="104"/>
      <c r="N80" s="104"/>
      <c r="O80" s="104"/>
      <c r="P80" s="104"/>
      <c r="Q80" s="104"/>
    </row>
    <row r="81" spans="1:23" s="91" customFormat="1" x14ac:dyDescent="0.25">
      <c r="A81" s="569" t="s">
        <v>423</v>
      </c>
      <c r="B81" s="569"/>
      <c r="C81" s="569"/>
      <c r="D81" s="569"/>
      <c r="E81" s="569"/>
      <c r="F81" s="569"/>
      <c r="G81" s="569"/>
      <c r="H81" s="569"/>
      <c r="I81" s="569"/>
      <c r="J81" s="569"/>
      <c r="K81" s="569"/>
      <c r="L81" s="569"/>
      <c r="M81" s="569"/>
      <c r="N81" s="569"/>
      <c r="O81" s="569"/>
      <c r="P81" s="569"/>
      <c r="Q81" s="569"/>
      <c r="R81" s="569"/>
      <c r="S81" s="569"/>
      <c r="T81" s="569"/>
      <c r="U81" s="569"/>
      <c r="V81" s="569"/>
      <c r="W81" s="574"/>
    </row>
    <row r="82" spans="1:23" s="91" customFormat="1" x14ac:dyDescent="0.25">
      <c r="A82" s="106" t="s">
        <v>99</v>
      </c>
      <c r="B82" s="107" t="s">
        <v>155</v>
      </c>
      <c r="C82" s="106" t="s">
        <v>113</v>
      </c>
      <c r="D82" s="106" t="s">
        <v>15</v>
      </c>
      <c r="E82" s="107"/>
      <c r="F82" s="107" t="s">
        <v>4</v>
      </c>
      <c r="G82" s="106" t="s">
        <v>19</v>
      </c>
      <c r="H82" s="107"/>
      <c r="I82" s="108" t="s">
        <v>108</v>
      </c>
      <c r="J82" s="109" t="s">
        <v>22</v>
      </c>
      <c r="K82" s="109" t="s">
        <v>23</v>
      </c>
      <c r="L82" s="109" t="s">
        <v>100</v>
      </c>
      <c r="M82" s="107"/>
      <c r="N82" s="107" t="s">
        <v>14</v>
      </c>
      <c r="O82" s="107" t="s">
        <v>25</v>
      </c>
      <c r="P82" s="107"/>
      <c r="Q82" s="110"/>
    </row>
    <row r="83" spans="1:23" s="91" customFormat="1" x14ac:dyDescent="0.25">
      <c r="A83" s="91" t="s">
        <v>188</v>
      </c>
      <c r="B83" s="120">
        <v>1</v>
      </c>
      <c r="C83" s="118">
        <v>1</v>
      </c>
      <c r="D83" s="118" t="s">
        <v>17</v>
      </c>
      <c r="E83" s="120"/>
      <c r="F83" s="349">
        <v>0</v>
      </c>
      <c r="G83" s="350">
        <v>0</v>
      </c>
      <c r="H83" s="120"/>
      <c r="I83" s="102" t="e">
        <f t="shared" ref="I83:I146" si="24">IF($D83="Beta",((($F83*(1-$F83))/($G83^2))-1),"N/A")</f>
        <v>#DIV/0!</v>
      </c>
      <c r="J83" s="103" t="e">
        <f t="shared" ref="J83:J146" si="25">IF($D83="Beta",($F83*$I83),IF($D83="Gamma",(($F83^2)/($G83^2)),"N/A"))</f>
        <v>#DIV/0!</v>
      </c>
      <c r="K83" s="103" t="e">
        <f t="shared" ref="K83:K146" si="26">IF($D83="Beta",($J83*((1-$F83)/$F83)),IF($D83="Gamma",(($G83^2)/$F83),"N/A"))</f>
        <v>#DIV/0!</v>
      </c>
      <c r="L83" s="103" t="e">
        <f t="shared" ref="L83:L146" ca="1" si="27">IF($D83="Beta",(_xlfn.BETA.INV(RAND(),$J83,$K83)),IF($D83="Gamma",(_xlfn.GAMMA.INV(RAND(),$J83,$K83)),IF($D83="Log Normal",EXP(_xlfn.NORM.INV(RAND(),LN($F83),((LN($F83+1.96*$G83)-LN($F83-1.96*$G83))/(2*1.96)))),_xlfn.NORM.INV(RAND(),$F83,$G83))))</f>
        <v>#DIV/0!</v>
      </c>
      <c r="M83" s="120"/>
      <c r="N83" s="91">
        <f>F83</f>
        <v>0</v>
      </c>
      <c r="O83" s="120">
        <f>IF(F83=0,0,IF($B83=1,IF($C83=1,$L83,$F83),0))</f>
        <v>0</v>
      </c>
      <c r="P83" s="104"/>
      <c r="Q83" s="104"/>
    </row>
    <row r="84" spans="1:23" s="91" customFormat="1" x14ac:dyDescent="0.25">
      <c r="A84" s="91" t="s">
        <v>189</v>
      </c>
      <c r="B84" s="120">
        <v>1</v>
      </c>
      <c r="C84" s="118">
        <v>1</v>
      </c>
      <c r="D84" s="118" t="s">
        <v>17</v>
      </c>
      <c r="E84" s="104"/>
      <c r="F84" s="350">
        <v>0</v>
      </c>
      <c r="G84" s="350">
        <v>0</v>
      </c>
      <c r="H84" s="104"/>
      <c r="I84" s="102" t="e">
        <f t="shared" si="24"/>
        <v>#DIV/0!</v>
      </c>
      <c r="J84" s="103" t="e">
        <f t="shared" si="25"/>
        <v>#DIV/0!</v>
      </c>
      <c r="K84" s="103" t="e">
        <f t="shared" si="26"/>
        <v>#DIV/0!</v>
      </c>
      <c r="L84" s="103" t="e">
        <f t="shared" ca="1" si="27"/>
        <v>#DIV/0!</v>
      </c>
      <c r="M84" s="120"/>
      <c r="N84" s="91">
        <f t="shared" ref="N84:N147" si="28">F84</f>
        <v>0</v>
      </c>
      <c r="O84" s="120">
        <f t="shared" ref="O84:O147" si="29">IF(F84=0,0,IF($B84=1,IF($C84=1,$L84,$F84),0))</f>
        <v>0</v>
      </c>
      <c r="P84" s="104"/>
      <c r="Q84" s="104"/>
    </row>
    <row r="85" spans="1:23" s="91" customFormat="1" x14ac:dyDescent="0.25">
      <c r="A85" s="91" t="s">
        <v>190</v>
      </c>
      <c r="B85" s="120">
        <v>1</v>
      </c>
      <c r="C85" s="118">
        <v>1</v>
      </c>
      <c r="D85" s="118" t="s">
        <v>17</v>
      </c>
      <c r="E85" s="104"/>
      <c r="F85" s="350">
        <v>0</v>
      </c>
      <c r="G85" s="350">
        <v>0</v>
      </c>
      <c r="H85" s="104"/>
      <c r="I85" s="102" t="e">
        <f t="shared" si="24"/>
        <v>#DIV/0!</v>
      </c>
      <c r="J85" s="103" t="e">
        <f t="shared" si="25"/>
        <v>#DIV/0!</v>
      </c>
      <c r="K85" s="103" t="e">
        <f t="shared" si="26"/>
        <v>#DIV/0!</v>
      </c>
      <c r="L85" s="103" t="e">
        <f t="shared" ca="1" si="27"/>
        <v>#DIV/0!</v>
      </c>
      <c r="M85" s="120"/>
      <c r="N85" s="91">
        <f t="shared" si="28"/>
        <v>0</v>
      </c>
      <c r="O85" s="120">
        <f t="shared" si="29"/>
        <v>0</v>
      </c>
      <c r="P85" s="104"/>
      <c r="Q85" s="104"/>
    </row>
    <row r="86" spans="1:23" s="91" customFormat="1" x14ac:dyDescent="0.25">
      <c r="A86" s="91" t="s">
        <v>191</v>
      </c>
      <c r="B86" s="120">
        <v>1</v>
      </c>
      <c r="C86" s="118">
        <v>1</v>
      </c>
      <c r="D86" s="118" t="s">
        <v>17</v>
      </c>
      <c r="E86" s="104"/>
      <c r="F86" s="350">
        <v>0</v>
      </c>
      <c r="G86" s="350">
        <v>0</v>
      </c>
      <c r="H86" s="104"/>
      <c r="I86" s="102" t="e">
        <f t="shared" si="24"/>
        <v>#DIV/0!</v>
      </c>
      <c r="J86" s="103" t="e">
        <f t="shared" si="25"/>
        <v>#DIV/0!</v>
      </c>
      <c r="K86" s="103" t="e">
        <f t="shared" si="26"/>
        <v>#DIV/0!</v>
      </c>
      <c r="L86" s="103" t="e">
        <f t="shared" ca="1" si="27"/>
        <v>#DIV/0!</v>
      </c>
      <c r="M86" s="120"/>
      <c r="N86" s="91">
        <f t="shared" si="28"/>
        <v>0</v>
      </c>
      <c r="O86" s="120">
        <f t="shared" si="29"/>
        <v>0</v>
      </c>
      <c r="P86" s="104"/>
      <c r="Q86" s="104"/>
    </row>
    <row r="87" spans="1:23" s="91" customFormat="1" x14ac:dyDescent="0.25">
      <c r="A87" s="91" t="s">
        <v>192</v>
      </c>
      <c r="B87" s="120">
        <v>1</v>
      </c>
      <c r="C87" s="118">
        <v>1</v>
      </c>
      <c r="D87" s="118" t="s">
        <v>17</v>
      </c>
      <c r="E87" s="104"/>
      <c r="F87" s="350">
        <v>9.9985574329489093E-4</v>
      </c>
      <c r="G87" s="350">
        <v>9.8882346806258183E-5</v>
      </c>
      <c r="H87" s="104"/>
      <c r="I87" s="102">
        <f t="shared" si="24"/>
        <v>102155.34974302066</v>
      </c>
      <c r="J87" s="103">
        <f t="shared" si="25"/>
        <v>102.14061314885747</v>
      </c>
      <c r="K87" s="103">
        <f t="shared" si="26"/>
        <v>102053.2091298718</v>
      </c>
      <c r="L87" s="103">
        <f t="shared" ca="1" si="27"/>
        <v>9.2527870908314114E-4</v>
      </c>
      <c r="M87" s="120"/>
      <c r="N87" s="91">
        <f t="shared" si="28"/>
        <v>9.9985574329489093E-4</v>
      </c>
      <c r="O87" s="120">
        <f t="shared" ca="1" si="29"/>
        <v>9.2527870908314114E-4</v>
      </c>
      <c r="P87" s="104"/>
      <c r="Q87" s="104"/>
    </row>
    <row r="88" spans="1:23" s="91" customFormat="1" x14ac:dyDescent="0.25">
      <c r="A88" s="24" t="s">
        <v>193</v>
      </c>
      <c r="B88" s="120">
        <v>1</v>
      </c>
      <c r="C88" s="118">
        <v>1</v>
      </c>
      <c r="D88" s="118" t="s">
        <v>17</v>
      </c>
      <c r="E88" s="104"/>
      <c r="F88" s="350">
        <v>1.0010216957031688E-3</v>
      </c>
      <c r="G88" s="350">
        <v>1.0089437479438944E-4</v>
      </c>
      <c r="H88" s="104"/>
      <c r="I88" s="102">
        <f t="shared" si="24"/>
        <v>98235.895039878422</v>
      </c>
      <c r="J88" s="103">
        <f t="shared" si="25"/>
        <v>98.336262231737606</v>
      </c>
      <c r="K88" s="103">
        <f t="shared" si="26"/>
        <v>98137.558777646671</v>
      </c>
      <c r="L88" s="103">
        <f t="shared" ca="1" si="27"/>
        <v>1.0811867512284801E-3</v>
      </c>
      <c r="M88" s="120"/>
      <c r="N88" s="91">
        <f t="shared" si="28"/>
        <v>1.0010216957031688E-3</v>
      </c>
      <c r="O88" s="120">
        <f t="shared" ca="1" si="29"/>
        <v>1.0811867512284801E-3</v>
      </c>
      <c r="P88" s="104"/>
      <c r="Q88" s="104"/>
    </row>
    <row r="89" spans="1:23" s="91" customFormat="1" x14ac:dyDescent="0.25">
      <c r="A89" s="24" t="s">
        <v>194</v>
      </c>
      <c r="B89" s="120">
        <v>1</v>
      </c>
      <c r="C89" s="118">
        <v>1</v>
      </c>
      <c r="D89" s="118" t="s">
        <v>17</v>
      </c>
      <c r="E89" s="104"/>
      <c r="F89" s="350">
        <v>1.0014521924646387E-3</v>
      </c>
      <c r="G89" s="350">
        <v>1.0131397422532289E-4</v>
      </c>
      <c r="H89" s="104"/>
      <c r="I89" s="102">
        <f t="shared" si="24"/>
        <v>97465.725391633299</v>
      </c>
      <c r="J89" s="103">
        <f t="shared" si="25"/>
        <v>97.607264383607571</v>
      </c>
      <c r="K89" s="103">
        <f t="shared" si="26"/>
        <v>97368.118127249691</v>
      </c>
      <c r="L89" s="103">
        <f t="shared" ca="1" si="27"/>
        <v>1.0625716255632245E-3</v>
      </c>
      <c r="M89" s="120"/>
      <c r="N89" s="91">
        <f t="shared" si="28"/>
        <v>1.0014521924646387E-3</v>
      </c>
      <c r="O89" s="120">
        <f t="shared" ca="1" si="29"/>
        <v>1.0625716255632245E-3</v>
      </c>
      <c r="P89" s="104"/>
      <c r="Q89" s="104"/>
    </row>
    <row r="90" spans="1:23" s="91" customFormat="1" x14ac:dyDescent="0.25">
      <c r="A90" s="24" t="s">
        <v>195</v>
      </c>
      <c r="B90" s="120">
        <v>1</v>
      </c>
      <c r="C90" s="118">
        <v>1</v>
      </c>
      <c r="D90" s="118" t="s">
        <v>17</v>
      </c>
      <c r="E90" s="104"/>
      <c r="F90" s="350">
        <v>9.9662260921433736E-4</v>
      </c>
      <c r="G90" s="350">
        <v>9.9858699175222837E-5</v>
      </c>
      <c r="H90" s="104"/>
      <c r="I90" s="102">
        <f t="shared" si="24"/>
        <v>99843.899241608815</v>
      </c>
      <c r="J90" s="103">
        <f t="shared" si="25"/>
        <v>99.506687376305578</v>
      </c>
      <c r="K90" s="103">
        <f t="shared" si="26"/>
        <v>99744.392554232516</v>
      </c>
      <c r="L90" s="103">
        <f t="shared" ca="1" si="27"/>
        <v>1.1266603936537223E-3</v>
      </c>
      <c r="M90" s="120"/>
      <c r="N90" s="91">
        <f t="shared" si="28"/>
        <v>9.9662260921433736E-4</v>
      </c>
      <c r="O90" s="120">
        <f t="shared" ca="1" si="29"/>
        <v>1.1266603936537223E-3</v>
      </c>
      <c r="P90" s="104"/>
      <c r="Q90" s="104"/>
    </row>
    <row r="91" spans="1:23" s="91" customFormat="1" x14ac:dyDescent="0.25">
      <c r="A91" s="24" t="s">
        <v>196</v>
      </c>
      <c r="B91" s="120">
        <v>1</v>
      </c>
      <c r="C91" s="118">
        <v>1</v>
      </c>
      <c r="D91" s="118" t="s">
        <v>17</v>
      </c>
      <c r="E91" s="104"/>
      <c r="F91" s="350">
        <v>1.4835135217989663E-3</v>
      </c>
      <c r="G91" s="350">
        <v>1.7404807390105557E-4</v>
      </c>
      <c r="H91" s="104"/>
      <c r="I91" s="102">
        <f t="shared" si="24"/>
        <v>48898.937715349573</v>
      </c>
      <c r="J91" s="103">
        <f t="shared" si="25"/>
        <v>72.542235302326546</v>
      </c>
      <c r="K91" s="103">
        <f t="shared" si="26"/>
        <v>48826.395480047242</v>
      </c>
      <c r="L91" s="103">
        <f t="shared" ca="1" si="27"/>
        <v>1.6859703630129896E-3</v>
      </c>
      <c r="M91" s="120"/>
      <c r="N91" s="91">
        <f t="shared" si="28"/>
        <v>1.4835135217989663E-3</v>
      </c>
      <c r="O91" s="120">
        <f t="shared" ca="1" si="29"/>
        <v>1.6859703630129896E-3</v>
      </c>
      <c r="P91" s="104"/>
      <c r="Q91" s="104"/>
    </row>
    <row r="92" spans="1:23" s="91" customFormat="1" x14ac:dyDescent="0.25">
      <c r="A92" s="24" t="s">
        <v>197</v>
      </c>
      <c r="B92" s="120">
        <v>1</v>
      </c>
      <c r="C92" s="118">
        <v>1</v>
      </c>
      <c r="D92" s="118" t="s">
        <v>17</v>
      </c>
      <c r="E92" s="104"/>
      <c r="F92" s="350">
        <v>1.4843285603841918E-3</v>
      </c>
      <c r="G92" s="350">
        <v>1.7103452423985083E-4</v>
      </c>
      <c r="H92" s="104"/>
      <c r="I92" s="102">
        <f t="shared" si="24"/>
        <v>50665.086643387935</v>
      </c>
      <c r="J92" s="103">
        <f t="shared" si="25"/>
        <v>75.203635119120349</v>
      </c>
      <c r="K92" s="103">
        <f t="shared" si="26"/>
        <v>50589.883008268807</v>
      </c>
      <c r="L92" s="103">
        <f t="shared" ca="1" si="27"/>
        <v>1.3751245127838147E-3</v>
      </c>
      <c r="M92" s="120"/>
      <c r="N92" s="91">
        <f t="shared" si="28"/>
        <v>1.4843285603841918E-3</v>
      </c>
      <c r="O92" s="120">
        <f t="shared" ca="1" si="29"/>
        <v>1.3751245127838147E-3</v>
      </c>
      <c r="P92" s="104"/>
      <c r="Q92" s="104"/>
    </row>
    <row r="93" spans="1:23" s="91" customFormat="1" x14ac:dyDescent="0.25">
      <c r="A93" s="24" t="s">
        <v>198</v>
      </c>
      <c r="B93" s="120">
        <v>1</v>
      </c>
      <c r="C93" s="118">
        <v>1</v>
      </c>
      <c r="D93" s="118" t="s">
        <v>17</v>
      </c>
      <c r="E93" s="104"/>
      <c r="F93" s="350">
        <v>6.4326729343500491E-3</v>
      </c>
      <c r="G93" s="350">
        <v>7.3290928580870744E-4</v>
      </c>
      <c r="H93" s="104"/>
      <c r="I93" s="102">
        <f t="shared" si="24"/>
        <v>11897.393391734871</v>
      </c>
      <c r="J93" s="103">
        <f t="shared" si="25"/>
        <v>76.532040460328034</v>
      </c>
      <c r="K93" s="103">
        <f t="shared" si="26"/>
        <v>11820.861351274543</v>
      </c>
      <c r="L93" s="103">
        <f t="shared" ca="1" si="27"/>
        <v>5.5587625501810354E-3</v>
      </c>
      <c r="M93" s="120"/>
      <c r="N93" s="91">
        <f t="shared" si="28"/>
        <v>6.4326729343500491E-3</v>
      </c>
      <c r="O93" s="120">
        <f t="shared" ca="1" si="29"/>
        <v>5.5587625501810354E-3</v>
      </c>
      <c r="P93" s="104"/>
      <c r="Q93" s="104"/>
    </row>
    <row r="94" spans="1:23" s="91" customFormat="1" x14ac:dyDescent="0.25">
      <c r="A94" s="24" t="s">
        <v>199</v>
      </c>
      <c r="B94" s="120">
        <v>1</v>
      </c>
      <c r="C94" s="118">
        <v>1</v>
      </c>
      <c r="D94" s="118" t="s">
        <v>17</v>
      </c>
      <c r="E94" s="104"/>
      <c r="F94" s="350">
        <v>6.5959827814811075E-3</v>
      </c>
      <c r="G94" s="350">
        <v>7.6386168780246658E-4</v>
      </c>
      <c r="H94" s="104"/>
      <c r="I94" s="102">
        <f t="shared" si="24"/>
        <v>11228.902067093353</v>
      </c>
      <c r="J94" s="103">
        <f t="shared" si="25"/>
        <v>74.065644689485367</v>
      </c>
      <c r="K94" s="103">
        <f t="shared" si="26"/>
        <v>11154.836422403867</v>
      </c>
      <c r="L94" s="103">
        <f t="shared" ca="1" si="27"/>
        <v>8.8913786051216803E-3</v>
      </c>
      <c r="M94" s="120"/>
      <c r="N94" s="91">
        <f t="shared" si="28"/>
        <v>6.5959827814811075E-3</v>
      </c>
      <c r="O94" s="120">
        <f t="shared" ca="1" si="29"/>
        <v>8.8913786051216803E-3</v>
      </c>
      <c r="P94" s="104"/>
      <c r="Q94" s="104"/>
    </row>
    <row r="95" spans="1:23" s="91" customFormat="1" x14ac:dyDescent="0.25">
      <c r="A95" s="24" t="s">
        <v>200</v>
      </c>
      <c r="B95" s="120">
        <v>1</v>
      </c>
      <c r="C95" s="118">
        <v>1</v>
      </c>
      <c r="D95" s="118" t="s">
        <v>17</v>
      </c>
      <c r="E95" s="104"/>
      <c r="F95" s="350">
        <v>2.4104077305186773E-2</v>
      </c>
      <c r="G95" s="350">
        <v>2.7084602648810392E-3</v>
      </c>
      <c r="H95" s="104"/>
      <c r="I95" s="102">
        <f t="shared" si="24"/>
        <v>3205.6316730234312</v>
      </c>
      <c r="J95" s="103">
        <f t="shared" si="25"/>
        <v>77.268793658511996</v>
      </c>
      <c r="K95" s="103">
        <f t="shared" si="26"/>
        <v>3128.3628793649191</v>
      </c>
      <c r="L95" s="103">
        <f t="shared" ca="1" si="27"/>
        <v>2.4809584692703335E-2</v>
      </c>
      <c r="M95" s="120"/>
      <c r="N95" s="91">
        <f t="shared" si="28"/>
        <v>2.4104077305186773E-2</v>
      </c>
      <c r="O95" s="120">
        <f t="shared" ca="1" si="29"/>
        <v>2.4809584692703335E-2</v>
      </c>
      <c r="P95" s="104"/>
      <c r="Q95" s="104"/>
    </row>
    <row r="96" spans="1:23" s="91" customFormat="1" x14ac:dyDescent="0.25">
      <c r="A96" s="24" t="s">
        <v>201</v>
      </c>
      <c r="B96" s="120">
        <v>1</v>
      </c>
      <c r="C96" s="118">
        <v>1</v>
      </c>
      <c r="D96" s="118" t="s">
        <v>17</v>
      </c>
      <c r="E96" s="104"/>
      <c r="F96" s="350">
        <v>3.013519855024888E-2</v>
      </c>
      <c r="G96" s="350">
        <v>4.9531390524429428E-3</v>
      </c>
      <c r="H96" s="104"/>
      <c r="I96" s="102">
        <f t="shared" si="24"/>
        <v>1190.3084289957933</v>
      </c>
      <c r="J96" s="103">
        <f t="shared" si="25"/>
        <v>35.87018084382305</v>
      </c>
      <c r="K96" s="103">
        <f t="shared" si="26"/>
        <v>1154.4382481519701</v>
      </c>
      <c r="L96" s="103">
        <f t="shared" ca="1" si="27"/>
        <v>3.0379278479688909E-2</v>
      </c>
      <c r="M96" s="120"/>
      <c r="N96" s="91">
        <f t="shared" si="28"/>
        <v>3.013519855024888E-2</v>
      </c>
      <c r="O96" s="120">
        <f t="shared" ca="1" si="29"/>
        <v>3.0379278479688909E-2</v>
      </c>
      <c r="P96" s="104"/>
      <c r="Q96" s="104"/>
    </row>
    <row r="97" spans="1:17" s="91" customFormat="1" x14ac:dyDescent="0.25">
      <c r="A97" s="24" t="s">
        <v>202</v>
      </c>
      <c r="B97" s="120">
        <v>1</v>
      </c>
      <c r="C97" s="118">
        <v>1</v>
      </c>
      <c r="D97" s="118" t="s">
        <v>17</v>
      </c>
      <c r="E97" s="104"/>
      <c r="F97" s="350">
        <v>7.7758832958360002E-2</v>
      </c>
      <c r="G97" s="350">
        <v>1.1429634298913683E-2</v>
      </c>
      <c r="H97" s="104"/>
      <c r="I97" s="102">
        <f t="shared" si="24"/>
        <v>547.94592846484375</v>
      </c>
      <c r="J97" s="103">
        <f t="shared" si="25"/>
        <v>42.607635921711264</v>
      </c>
      <c r="K97" s="103">
        <f t="shared" si="26"/>
        <v>505.33829254313241</v>
      </c>
      <c r="L97" s="103">
        <f t="shared" ca="1" si="27"/>
        <v>8.3392117511561614E-2</v>
      </c>
      <c r="M97" s="120"/>
      <c r="N97" s="91">
        <f t="shared" si="28"/>
        <v>7.7758832958360002E-2</v>
      </c>
      <c r="O97" s="120">
        <f t="shared" ca="1" si="29"/>
        <v>8.3392117511561614E-2</v>
      </c>
      <c r="P97" s="104"/>
      <c r="Q97" s="104"/>
    </row>
    <row r="98" spans="1:17" s="91" customFormat="1" x14ac:dyDescent="0.25">
      <c r="A98" s="24" t="s">
        <v>203</v>
      </c>
      <c r="B98" s="120">
        <v>1</v>
      </c>
      <c r="C98" s="118">
        <v>1</v>
      </c>
      <c r="D98" s="118" t="s">
        <v>17</v>
      </c>
      <c r="E98" s="104"/>
      <c r="F98" s="350">
        <v>7.7599615429192734E-2</v>
      </c>
      <c r="G98" s="350">
        <v>1.1766157884358372E-2</v>
      </c>
      <c r="H98" s="104"/>
      <c r="I98" s="102">
        <f t="shared" si="24"/>
        <v>516.02280674033591</v>
      </c>
      <c r="J98" s="103">
        <f t="shared" si="25"/>
        <v>40.043171355742707</v>
      </c>
      <c r="K98" s="103">
        <f t="shared" si="26"/>
        <v>475.97963538459317</v>
      </c>
      <c r="L98" s="103">
        <f t="shared" ca="1" si="27"/>
        <v>9.0579931454930374E-2</v>
      </c>
      <c r="M98" s="120"/>
      <c r="N98" s="91">
        <f t="shared" si="28"/>
        <v>7.7599615429192734E-2</v>
      </c>
      <c r="O98" s="120">
        <f t="shared" ca="1" si="29"/>
        <v>9.0579931454930374E-2</v>
      </c>
      <c r="P98" s="104"/>
      <c r="Q98" s="104"/>
    </row>
    <row r="99" spans="1:17" s="91" customFormat="1" x14ac:dyDescent="0.25">
      <c r="A99" s="24" t="s">
        <v>204</v>
      </c>
      <c r="B99" s="120">
        <v>1</v>
      </c>
      <c r="C99" s="118">
        <v>1</v>
      </c>
      <c r="D99" s="118" t="s">
        <v>17</v>
      </c>
      <c r="E99" s="104"/>
      <c r="F99" s="350">
        <v>0.16130214561846257</v>
      </c>
      <c r="G99" s="350">
        <v>1.9629315339312937E-2</v>
      </c>
      <c r="H99" s="104"/>
      <c r="I99" s="102">
        <f t="shared" si="24"/>
        <v>350.10367281654385</v>
      </c>
      <c r="J99" s="103">
        <f t="shared" si="25"/>
        <v>56.472473614212731</v>
      </c>
      <c r="K99" s="103">
        <f t="shared" si="26"/>
        <v>293.63119920233112</v>
      </c>
      <c r="L99" s="103">
        <f t="shared" ca="1" si="27"/>
        <v>0.14740541810070013</v>
      </c>
      <c r="M99" s="120"/>
      <c r="N99" s="91">
        <f t="shared" si="28"/>
        <v>0.16130214561846257</v>
      </c>
      <c r="O99" s="120">
        <f t="shared" ca="1" si="29"/>
        <v>0.14740541810070013</v>
      </c>
      <c r="P99" s="104"/>
      <c r="Q99" s="104"/>
    </row>
    <row r="100" spans="1:17" s="91" customFormat="1" x14ac:dyDescent="0.25">
      <c r="A100" s="24" t="s">
        <v>205</v>
      </c>
      <c r="B100" s="120">
        <v>1</v>
      </c>
      <c r="C100" s="118">
        <v>1</v>
      </c>
      <c r="D100" s="118" t="s">
        <v>17</v>
      </c>
      <c r="E100" s="104"/>
      <c r="F100" s="350">
        <v>0.16104731369600905</v>
      </c>
      <c r="G100" s="350">
        <v>1.9654600799679983E-2</v>
      </c>
      <c r="H100" s="104"/>
      <c r="I100" s="102">
        <f t="shared" si="24"/>
        <v>348.75384638743253</v>
      </c>
      <c r="J100" s="103">
        <f t="shared" si="25"/>
        <v>56.1658701018466</v>
      </c>
      <c r="K100" s="103">
        <f t="shared" si="26"/>
        <v>292.58797628558591</v>
      </c>
      <c r="L100" s="103">
        <f t="shared" ca="1" si="27"/>
        <v>0.12449188736732049</v>
      </c>
      <c r="M100" s="120"/>
      <c r="N100" s="91">
        <f t="shared" si="28"/>
        <v>0.16104731369600905</v>
      </c>
      <c r="O100" s="120">
        <f t="shared" ca="1" si="29"/>
        <v>0.12449188736732049</v>
      </c>
      <c r="P100" s="104"/>
      <c r="Q100" s="104"/>
    </row>
    <row r="101" spans="1:17" s="91" customFormat="1" x14ac:dyDescent="0.25">
      <c r="A101" s="24" t="s">
        <v>206</v>
      </c>
      <c r="B101" s="120">
        <v>1</v>
      </c>
      <c r="C101" s="118">
        <v>1</v>
      </c>
      <c r="D101" s="118" t="s">
        <v>17</v>
      </c>
      <c r="E101" s="104"/>
      <c r="F101" s="350">
        <v>0.16113417937467944</v>
      </c>
      <c r="G101" s="350">
        <v>1.9901325637483088E-2</v>
      </c>
      <c r="H101" s="104"/>
      <c r="I101" s="102">
        <f t="shared" si="24"/>
        <v>340.28418154053594</v>
      </c>
      <c r="J101" s="103">
        <f t="shared" si="25"/>
        <v>54.8314123467187</v>
      </c>
      <c r="K101" s="103">
        <f t="shared" si="26"/>
        <v>285.45276919381723</v>
      </c>
      <c r="L101" s="103">
        <f t="shared" ca="1" si="27"/>
        <v>0.16720028966269684</v>
      </c>
      <c r="M101" s="120"/>
      <c r="N101" s="91">
        <f t="shared" si="28"/>
        <v>0.16113417937467944</v>
      </c>
      <c r="O101" s="120">
        <f t="shared" ca="1" si="29"/>
        <v>0.16720028966269684</v>
      </c>
      <c r="P101" s="104"/>
      <c r="Q101" s="104"/>
    </row>
    <row r="102" spans="1:17" s="91" customFormat="1" x14ac:dyDescent="0.25">
      <c r="A102" s="24" t="s">
        <v>207</v>
      </c>
      <c r="B102" s="120">
        <v>1</v>
      </c>
      <c r="C102" s="118">
        <v>1</v>
      </c>
      <c r="D102" s="118" t="s">
        <v>17</v>
      </c>
      <c r="E102" s="104"/>
      <c r="F102" s="350">
        <v>5.9022572407648988E-5</v>
      </c>
      <c r="G102" s="350">
        <v>5.816844968608569E-6</v>
      </c>
      <c r="H102" s="104"/>
      <c r="I102" s="102">
        <f t="shared" si="24"/>
        <v>1744284.3030866806</v>
      </c>
      <c r="J102" s="103">
        <f t="shared" si="25"/>
        <v>102.95214657845916</v>
      </c>
      <c r="K102" s="103">
        <f t="shared" si="26"/>
        <v>1744181.3509401022</v>
      </c>
      <c r="L102" s="103">
        <f t="shared" ca="1" si="27"/>
        <v>5.6314613825690224E-5</v>
      </c>
      <c r="M102" s="120"/>
      <c r="N102" s="91">
        <f t="shared" si="28"/>
        <v>5.9022572407648988E-5</v>
      </c>
      <c r="O102" s="120">
        <f t="shared" ca="1" si="29"/>
        <v>5.6314613825690224E-5</v>
      </c>
      <c r="P102" s="104"/>
      <c r="Q102" s="104"/>
    </row>
    <row r="103" spans="1:17" s="91" customFormat="1" x14ac:dyDescent="0.25">
      <c r="A103" s="91" t="s">
        <v>208</v>
      </c>
      <c r="B103" s="120">
        <v>1</v>
      </c>
      <c r="C103" s="118">
        <v>1</v>
      </c>
      <c r="D103" s="118" t="s">
        <v>17</v>
      </c>
      <c r="E103" s="104"/>
      <c r="F103" s="350">
        <v>6.0132602524398558E-5</v>
      </c>
      <c r="G103" s="350">
        <v>6.043710348233522E-6</v>
      </c>
      <c r="H103" s="104"/>
      <c r="I103" s="102">
        <f t="shared" si="24"/>
        <v>1646176.2677138238</v>
      </c>
      <c r="J103" s="103">
        <f t="shared" si="25"/>
        <v>98.988863191533284</v>
      </c>
      <c r="K103" s="103">
        <f t="shared" si="26"/>
        <v>1646077.2788506323</v>
      </c>
      <c r="L103" s="103">
        <f t="shared" ca="1" si="27"/>
        <v>6.7350826985945744E-5</v>
      </c>
      <c r="M103" s="120"/>
      <c r="N103" s="91">
        <f t="shared" si="28"/>
        <v>6.0132602524398558E-5</v>
      </c>
      <c r="O103" s="120">
        <f t="shared" ca="1" si="29"/>
        <v>6.7350826985945744E-5</v>
      </c>
      <c r="P103" s="104"/>
      <c r="Q103" s="104"/>
    </row>
    <row r="104" spans="1:17" s="91" customFormat="1" x14ac:dyDescent="0.25">
      <c r="A104" s="91" t="s">
        <v>209</v>
      </c>
      <c r="B104" s="120">
        <v>1</v>
      </c>
      <c r="C104" s="118">
        <v>1</v>
      </c>
      <c r="D104" s="118" t="s">
        <v>17</v>
      </c>
      <c r="E104" s="104"/>
      <c r="F104" s="350">
        <v>2.3127650607176692E-4</v>
      </c>
      <c r="G104" s="350">
        <v>2.2916114251891214E-5</v>
      </c>
      <c r="H104" s="104"/>
      <c r="I104" s="102">
        <f t="shared" si="24"/>
        <v>440299.42674281867</v>
      </c>
      <c r="J104" s="103">
        <f t="shared" si="25"/>
        <v>101.830913042481</v>
      </c>
      <c r="K104" s="103">
        <f t="shared" si="26"/>
        <v>440197.59582977626</v>
      </c>
      <c r="L104" s="103">
        <f t="shared" ca="1" si="27"/>
        <v>2.2698285139712522E-4</v>
      </c>
      <c r="M104" s="120"/>
      <c r="N104" s="91">
        <f t="shared" si="28"/>
        <v>2.3127650607176692E-4</v>
      </c>
      <c r="O104" s="120">
        <f t="shared" ca="1" si="29"/>
        <v>2.2698285139712522E-4</v>
      </c>
      <c r="P104" s="104"/>
      <c r="Q104" s="104"/>
    </row>
    <row r="105" spans="1:17" s="91" customFormat="1" x14ac:dyDescent="0.25">
      <c r="A105" s="91" t="s">
        <v>210</v>
      </c>
      <c r="B105" s="120">
        <v>1</v>
      </c>
      <c r="C105" s="118">
        <v>1</v>
      </c>
      <c r="D105" s="118" t="s">
        <v>17</v>
      </c>
      <c r="E105" s="104"/>
      <c r="F105" s="350">
        <v>3.1309561898364179E-4</v>
      </c>
      <c r="G105" s="350">
        <v>3.1036816839303403E-5</v>
      </c>
      <c r="H105" s="104"/>
      <c r="I105" s="102">
        <f t="shared" si="24"/>
        <v>324926.63325678429</v>
      </c>
      <c r="J105" s="103">
        <f t="shared" si="25"/>
        <v>101.73310536380365</v>
      </c>
      <c r="K105" s="103">
        <f t="shared" si="26"/>
        <v>324824.9001514205</v>
      </c>
      <c r="L105" s="103">
        <f t="shared" ca="1" si="27"/>
        <v>2.7386852851761891E-4</v>
      </c>
      <c r="M105" s="120"/>
      <c r="N105" s="91">
        <f t="shared" si="28"/>
        <v>3.1309561898364179E-4</v>
      </c>
      <c r="O105" s="120">
        <f t="shared" ca="1" si="29"/>
        <v>2.7386852851761891E-4</v>
      </c>
      <c r="P105" s="104"/>
      <c r="Q105" s="104"/>
    </row>
    <row r="106" spans="1:17" s="91" customFormat="1" x14ac:dyDescent="0.25">
      <c r="A106" s="91" t="s">
        <v>211</v>
      </c>
      <c r="B106" s="120">
        <v>1</v>
      </c>
      <c r="C106" s="118">
        <v>1</v>
      </c>
      <c r="D106" s="118" t="s">
        <v>17</v>
      </c>
      <c r="E106" s="104"/>
      <c r="F106" s="350">
        <v>3.1324597019768041E-4</v>
      </c>
      <c r="G106" s="350">
        <v>3.0789667193902631E-5</v>
      </c>
      <c r="H106" s="104"/>
      <c r="I106" s="102">
        <f t="shared" si="24"/>
        <v>330322.47683827311</v>
      </c>
      <c r="J106" s="103">
        <f t="shared" si="25"/>
        <v>103.47218473530567</v>
      </c>
      <c r="K106" s="103">
        <f t="shared" si="26"/>
        <v>330219.00465353782</v>
      </c>
      <c r="L106" s="103">
        <f t="shared" ca="1" si="27"/>
        <v>3.3831047237586898E-4</v>
      </c>
      <c r="M106" s="120"/>
      <c r="N106" s="91">
        <f t="shared" si="28"/>
        <v>3.1324597019768041E-4</v>
      </c>
      <c r="O106" s="120">
        <f t="shared" ca="1" si="29"/>
        <v>3.3831047237586898E-4</v>
      </c>
      <c r="P106" s="104"/>
      <c r="Q106" s="104"/>
    </row>
    <row r="107" spans="1:17" s="91" customFormat="1" x14ac:dyDescent="0.25">
      <c r="A107" s="91" t="s">
        <v>212</v>
      </c>
      <c r="B107" s="120">
        <v>1</v>
      </c>
      <c r="C107" s="118">
        <v>1</v>
      </c>
      <c r="D107" s="118" t="s">
        <v>17</v>
      </c>
      <c r="E107" s="104"/>
      <c r="F107" s="350">
        <v>1.2921976543645128E-4</v>
      </c>
      <c r="G107" s="350">
        <v>1.2832849011354271E-5</v>
      </c>
      <c r="H107" s="104"/>
      <c r="I107" s="102">
        <f t="shared" si="24"/>
        <v>784559.89252230956</v>
      </c>
      <c r="J107" s="103">
        <f t="shared" si="25"/>
        <v>101.38064528258026</v>
      </c>
      <c r="K107" s="103">
        <f t="shared" si="26"/>
        <v>784458.51187702699</v>
      </c>
      <c r="L107" s="103">
        <f t="shared" ca="1" si="27"/>
        <v>1.1422127348732726E-4</v>
      </c>
      <c r="M107" s="120"/>
      <c r="N107" s="91">
        <f t="shared" si="28"/>
        <v>1.2921976543645128E-4</v>
      </c>
      <c r="O107" s="120">
        <f t="shared" ca="1" si="29"/>
        <v>1.1422127348732726E-4</v>
      </c>
      <c r="P107" s="104"/>
      <c r="Q107" s="104"/>
    </row>
    <row r="108" spans="1:17" s="91" customFormat="1" x14ac:dyDescent="0.25">
      <c r="A108" s="91" t="s">
        <v>213</v>
      </c>
      <c r="B108" s="120">
        <v>1</v>
      </c>
      <c r="C108" s="118">
        <v>1</v>
      </c>
      <c r="D108" s="118" t="s">
        <v>17</v>
      </c>
      <c r="E108" s="104"/>
      <c r="F108" s="350">
        <v>1.9618838432659597E-4</v>
      </c>
      <c r="G108" s="350">
        <v>1.9958868077288875E-5</v>
      </c>
      <c r="H108" s="104"/>
      <c r="I108" s="102">
        <f t="shared" si="24"/>
        <v>492396.98104062915</v>
      </c>
      <c r="J108" s="103">
        <f t="shared" si="25"/>
        <v>96.602568157654545</v>
      </c>
      <c r="K108" s="103">
        <f t="shared" si="26"/>
        <v>492300.37847247155</v>
      </c>
      <c r="L108" s="103">
        <f t="shared" ca="1" si="27"/>
        <v>2.1122896440872729E-4</v>
      </c>
      <c r="M108" s="120"/>
      <c r="N108" s="91">
        <f t="shared" si="28"/>
        <v>1.9618838432659597E-4</v>
      </c>
      <c r="O108" s="120">
        <f t="shared" ca="1" si="29"/>
        <v>2.1122896440872729E-4</v>
      </c>
      <c r="P108" s="104"/>
      <c r="Q108" s="104"/>
    </row>
    <row r="109" spans="1:17" s="91" customFormat="1" x14ac:dyDescent="0.25">
      <c r="A109" s="24" t="s">
        <v>214</v>
      </c>
      <c r="B109" s="120">
        <v>1</v>
      </c>
      <c r="C109" s="118">
        <v>1</v>
      </c>
      <c r="D109" s="118" t="s">
        <v>17</v>
      </c>
      <c r="E109" s="104"/>
      <c r="F109" s="350">
        <v>3.6534758690028919E-4</v>
      </c>
      <c r="G109" s="350">
        <v>3.660649405518446E-5</v>
      </c>
      <c r="H109" s="104"/>
      <c r="I109" s="102">
        <f t="shared" si="24"/>
        <v>272539.64044122328</v>
      </c>
      <c r="J109" s="103">
        <f t="shared" si="25"/>
        <v>99.571699969873393</v>
      </c>
      <c r="K109" s="103">
        <f t="shared" si="26"/>
        <v>272440.0687412534</v>
      </c>
      <c r="L109" s="103">
        <f t="shared" ca="1" si="27"/>
        <v>4.0952503320201838E-4</v>
      </c>
      <c r="M109" s="120"/>
      <c r="N109" s="91">
        <f t="shared" si="28"/>
        <v>3.6534758690028919E-4</v>
      </c>
      <c r="O109" s="120">
        <f t="shared" ca="1" si="29"/>
        <v>4.0952503320201838E-4</v>
      </c>
      <c r="P109" s="104"/>
      <c r="Q109" s="104"/>
    </row>
    <row r="110" spans="1:17" s="91" customFormat="1" x14ac:dyDescent="0.25">
      <c r="A110" s="91" t="s">
        <v>215</v>
      </c>
      <c r="B110" s="120">
        <v>1</v>
      </c>
      <c r="C110" s="118">
        <v>1</v>
      </c>
      <c r="D110" s="118" t="s">
        <v>17</v>
      </c>
      <c r="E110" s="104"/>
      <c r="F110" s="350">
        <v>3.8314006217921687E-4</v>
      </c>
      <c r="G110" s="350">
        <v>4.6478197152845683E-5</v>
      </c>
      <c r="H110" s="104"/>
      <c r="I110" s="102">
        <f t="shared" si="24"/>
        <v>177292.40880784151</v>
      </c>
      <c r="J110" s="103">
        <f t="shared" si="25"/>
        <v>67.927824534539539</v>
      </c>
      <c r="K110" s="103">
        <f t="shared" si="26"/>
        <v>177224.480983307</v>
      </c>
      <c r="L110" s="103">
        <f t="shared" ca="1" si="27"/>
        <v>3.1812114942323272E-4</v>
      </c>
      <c r="M110" s="120"/>
      <c r="N110" s="91">
        <f t="shared" si="28"/>
        <v>3.8314006217921687E-4</v>
      </c>
      <c r="O110" s="120">
        <f t="shared" ca="1" si="29"/>
        <v>3.1812114942323272E-4</v>
      </c>
      <c r="P110" s="104"/>
      <c r="Q110" s="104"/>
    </row>
    <row r="111" spans="1:17" s="91" customFormat="1" x14ac:dyDescent="0.25">
      <c r="A111" s="91" t="s">
        <v>216</v>
      </c>
      <c r="B111" s="120">
        <v>1</v>
      </c>
      <c r="C111" s="118">
        <v>1</v>
      </c>
      <c r="D111" s="118" t="s">
        <v>17</v>
      </c>
      <c r="E111" s="104"/>
      <c r="F111" s="350">
        <v>1.012962899656531E-3</v>
      </c>
      <c r="G111" s="350">
        <v>1.197399741027341E-4</v>
      </c>
      <c r="H111" s="104"/>
      <c r="I111" s="102">
        <f t="shared" si="24"/>
        <v>70577.93039327157</v>
      </c>
      <c r="J111" s="103">
        <f t="shared" si="25"/>
        <v>71.492825022925174</v>
      </c>
      <c r="K111" s="103">
        <f t="shared" si="26"/>
        <v>70506.437568248642</v>
      </c>
      <c r="L111" s="103">
        <f t="shared" ca="1" si="27"/>
        <v>9.789068399594968E-4</v>
      </c>
      <c r="M111" s="120"/>
      <c r="N111" s="91">
        <f t="shared" si="28"/>
        <v>1.012962899656531E-3</v>
      </c>
      <c r="O111" s="120">
        <f t="shared" ca="1" si="29"/>
        <v>9.789068399594968E-4</v>
      </c>
      <c r="P111" s="104"/>
      <c r="Q111" s="104"/>
    </row>
    <row r="112" spans="1:17" s="91" customFormat="1" x14ac:dyDescent="0.25">
      <c r="A112" s="91" t="s">
        <v>217</v>
      </c>
      <c r="B112" s="120">
        <v>1</v>
      </c>
      <c r="C112" s="118">
        <v>1</v>
      </c>
      <c r="D112" s="118" t="s">
        <v>17</v>
      </c>
      <c r="E112" s="104"/>
      <c r="F112" s="350">
        <v>2.364586560424689E-3</v>
      </c>
      <c r="G112" s="350">
        <v>2.8628694966618799E-4</v>
      </c>
      <c r="H112" s="104"/>
      <c r="I112" s="102">
        <f t="shared" si="24"/>
        <v>28781.19899072027</v>
      </c>
      <c r="J112" s="103">
        <f t="shared" si="25"/>
        <v>68.055636326365772</v>
      </c>
      <c r="K112" s="103">
        <f t="shared" si="26"/>
        <v>28713.143354393902</v>
      </c>
      <c r="L112" s="103">
        <f t="shared" ca="1" si="27"/>
        <v>2.349915215640572E-3</v>
      </c>
      <c r="M112" s="120"/>
      <c r="N112" s="91">
        <f t="shared" si="28"/>
        <v>2.364586560424689E-3</v>
      </c>
      <c r="O112" s="120">
        <f t="shared" ca="1" si="29"/>
        <v>2.349915215640572E-3</v>
      </c>
      <c r="P112" s="104"/>
      <c r="Q112" s="104"/>
    </row>
    <row r="113" spans="1:17" s="91" customFormat="1" x14ac:dyDescent="0.25">
      <c r="A113" s="91" t="s">
        <v>218</v>
      </c>
      <c r="B113" s="120">
        <v>1</v>
      </c>
      <c r="C113" s="118">
        <v>1</v>
      </c>
      <c r="D113" s="118" t="s">
        <v>17</v>
      </c>
      <c r="E113" s="104"/>
      <c r="F113" s="350">
        <v>5.2414338740440708E-3</v>
      </c>
      <c r="G113" s="350">
        <v>6.2725538335779555E-4</v>
      </c>
      <c r="H113" s="104"/>
      <c r="I113" s="102">
        <f t="shared" si="24"/>
        <v>13250.926064176963</v>
      </c>
      <c r="J113" s="103">
        <f t="shared" si="25"/>
        <v>69.453852735230612</v>
      </c>
      <c r="K113" s="103">
        <f t="shared" si="26"/>
        <v>13181.472211441733</v>
      </c>
      <c r="L113" s="103">
        <f t="shared" ca="1" si="27"/>
        <v>4.5466354345039279E-3</v>
      </c>
      <c r="M113" s="120"/>
      <c r="N113" s="91">
        <f t="shared" si="28"/>
        <v>5.2414338740440708E-3</v>
      </c>
      <c r="O113" s="120">
        <f t="shared" ca="1" si="29"/>
        <v>4.5466354345039279E-3</v>
      </c>
      <c r="P113" s="104"/>
      <c r="Q113" s="104"/>
    </row>
    <row r="114" spans="1:17" s="91" customFormat="1" x14ac:dyDescent="0.25">
      <c r="A114" s="91" t="s">
        <v>219</v>
      </c>
      <c r="B114" s="120">
        <v>1</v>
      </c>
      <c r="C114" s="118">
        <v>1</v>
      </c>
      <c r="D114" s="118" t="s">
        <v>17</v>
      </c>
      <c r="E114" s="104"/>
      <c r="F114" s="350">
        <v>6.1430361733954839E-3</v>
      </c>
      <c r="G114" s="350">
        <v>7.4594909157493989E-4</v>
      </c>
      <c r="H114" s="104"/>
      <c r="I114" s="102">
        <f t="shared" si="24"/>
        <v>10971.070235515896</v>
      </c>
      <c r="J114" s="103">
        <f t="shared" si="25"/>
        <v>67.395681317636658</v>
      </c>
      <c r="K114" s="103">
        <f t="shared" si="26"/>
        <v>10903.674554198258</v>
      </c>
      <c r="L114" s="103">
        <f t="shared" ca="1" si="27"/>
        <v>6.234512432404804E-3</v>
      </c>
      <c r="M114" s="120"/>
      <c r="N114" s="91">
        <f t="shared" si="28"/>
        <v>6.1430361733954839E-3</v>
      </c>
      <c r="O114" s="120">
        <f t="shared" ca="1" si="29"/>
        <v>6.234512432404804E-3</v>
      </c>
      <c r="P114" s="104"/>
      <c r="Q114" s="104"/>
    </row>
    <row r="115" spans="1:17" s="91" customFormat="1" x14ac:dyDescent="0.25">
      <c r="A115" s="91" t="s">
        <v>220</v>
      </c>
      <c r="B115" s="120">
        <v>1</v>
      </c>
      <c r="C115" s="118">
        <v>1</v>
      </c>
      <c r="D115" s="118" t="s">
        <v>17</v>
      </c>
      <c r="E115" s="104"/>
      <c r="F115" s="350">
        <v>1.1837130630311473E-2</v>
      </c>
      <c r="G115" s="350">
        <v>1.9953669998370102E-3</v>
      </c>
      <c r="H115" s="104"/>
      <c r="I115" s="102">
        <f t="shared" si="24"/>
        <v>2936.8485299036215</v>
      </c>
      <c r="J115" s="103">
        <f t="shared" si="25"/>
        <v>34.763859689907378</v>
      </c>
      <c r="K115" s="103">
        <f t="shared" si="26"/>
        <v>2902.0846702137142</v>
      </c>
      <c r="L115" s="103">
        <f t="shared" ca="1" si="27"/>
        <v>1.1389339432904936E-2</v>
      </c>
      <c r="M115" s="120"/>
      <c r="N115" s="91">
        <f t="shared" si="28"/>
        <v>1.1837130630311473E-2</v>
      </c>
      <c r="O115" s="120">
        <f t="shared" ca="1" si="29"/>
        <v>1.1389339432904936E-2</v>
      </c>
      <c r="P115" s="104"/>
      <c r="Q115" s="104"/>
    </row>
    <row r="116" spans="1:17" s="91" customFormat="1" x14ac:dyDescent="0.25">
      <c r="A116" s="91" t="s">
        <v>221</v>
      </c>
      <c r="B116" s="120">
        <v>1</v>
      </c>
      <c r="C116" s="118">
        <v>1</v>
      </c>
      <c r="D116" s="118" t="s">
        <v>17</v>
      </c>
      <c r="E116" s="104"/>
      <c r="F116" s="350">
        <v>6.3159294090039033E-3</v>
      </c>
      <c r="G116" s="350">
        <v>1.4378697462371778E-3</v>
      </c>
      <c r="H116" s="104"/>
      <c r="I116" s="102">
        <f t="shared" si="24"/>
        <v>3034.6136942183784</v>
      </c>
      <c r="J116" s="103">
        <f t="shared" si="25"/>
        <v>19.166405876279835</v>
      </c>
      <c r="K116" s="103">
        <f t="shared" si="26"/>
        <v>3015.447288342099</v>
      </c>
      <c r="L116" s="103">
        <f t="shared" ca="1" si="27"/>
        <v>5.5364055457379942E-3</v>
      </c>
      <c r="M116" s="120"/>
      <c r="N116" s="91">
        <f t="shared" si="28"/>
        <v>6.3159294090039033E-3</v>
      </c>
      <c r="O116" s="120">
        <f t="shared" ca="1" si="29"/>
        <v>5.5364055457379942E-3</v>
      </c>
      <c r="P116" s="104"/>
      <c r="Q116" s="104"/>
    </row>
    <row r="117" spans="1:17" s="91" customFormat="1" x14ac:dyDescent="0.25">
      <c r="A117" s="91" t="s">
        <v>222</v>
      </c>
      <c r="B117" s="120">
        <v>1</v>
      </c>
      <c r="C117" s="118">
        <v>1</v>
      </c>
      <c r="D117" s="118" t="s">
        <v>17</v>
      </c>
      <c r="E117" s="104"/>
      <c r="F117" s="350">
        <v>7.6924280411417786E-3</v>
      </c>
      <c r="G117" s="350">
        <v>1.7561118127462378E-3</v>
      </c>
      <c r="H117" s="104"/>
      <c r="I117" s="102">
        <f t="shared" si="24"/>
        <v>2474.1722031635518</v>
      </c>
      <c r="J117" s="103">
        <f t="shared" si="25"/>
        <v>19.032391634228841</v>
      </c>
      <c r="K117" s="103">
        <f t="shared" si="26"/>
        <v>2455.1398115293232</v>
      </c>
      <c r="L117" s="103">
        <f t="shared" ca="1" si="27"/>
        <v>9.1431327160219622E-3</v>
      </c>
      <c r="M117" s="120"/>
      <c r="N117" s="91">
        <f t="shared" si="28"/>
        <v>7.6924280411417786E-3</v>
      </c>
      <c r="O117" s="120">
        <f t="shared" ca="1" si="29"/>
        <v>9.1431327160219622E-3</v>
      </c>
      <c r="P117" s="104"/>
      <c r="Q117" s="104"/>
    </row>
    <row r="118" spans="1:17" s="91" customFormat="1" x14ac:dyDescent="0.25">
      <c r="A118" s="91" t="s">
        <v>223</v>
      </c>
      <c r="B118" s="120">
        <v>1</v>
      </c>
      <c r="C118" s="118">
        <v>1</v>
      </c>
      <c r="D118" s="118" t="s">
        <v>17</v>
      </c>
      <c r="E118" s="104"/>
      <c r="F118" s="350">
        <v>1.8034159488017995E-2</v>
      </c>
      <c r="G118" s="350">
        <v>4.2456380951160959E-3</v>
      </c>
      <c r="H118" s="104"/>
      <c r="I118" s="102">
        <f t="shared" si="24"/>
        <v>981.44069463231267</v>
      </c>
      <c r="J118" s="103">
        <f t="shared" si="25"/>
        <v>17.699458015030292</v>
      </c>
      <c r="K118" s="103">
        <f t="shared" si="26"/>
        <v>963.7412366172822</v>
      </c>
      <c r="L118" s="103">
        <f t="shared" ca="1" si="27"/>
        <v>1.4457934201866224E-2</v>
      </c>
      <c r="M118" s="120"/>
      <c r="N118" s="91">
        <f t="shared" si="28"/>
        <v>1.8034159488017995E-2</v>
      </c>
      <c r="O118" s="120">
        <f t="shared" ca="1" si="29"/>
        <v>1.4457934201866224E-2</v>
      </c>
      <c r="P118" s="104"/>
      <c r="Q118" s="104"/>
    </row>
    <row r="119" spans="1:17" s="91" customFormat="1" x14ac:dyDescent="0.25">
      <c r="A119" s="91" t="s">
        <v>224</v>
      </c>
      <c r="B119" s="120">
        <v>1</v>
      </c>
      <c r="C119" s="118">
        <v>1</v>
      </c>
      <c r="D119" s="118" t="s">
        <v>17</v>
      </c>
      <c r="E119" s="104"/>
      <c r="F119" s="350">
        <v>1.794427303036741E-2</v>
      </c>
      <c r="G119" s="350">
        <v>4.2500268833010352E-3</v>
      </c>
      <c r="H119" s="104"/>
      <c r="I119" s="102">
        <f t="shared" si="24"/>
        <v>974.61539981136627</v>
      </c>
      <c r="J119" s="103">
        <f t="shared" si="25"/>
        <v>17.48876483381585</v>
      </c>
      <c r="K119" s="103">
        <f t="shared" si="26"/>
        <v>957.12663497755045</v>
      </c>
      <c r="L119" s="103">
        <f t="shared" ca="1" si="27"/>
        <v>1.5473385862399474E-2</v>
      </c>
      <c r="M119" s="120"/>
      <c r="N119" s="91">
        <f t="shared" si="28"/>
        <v>1.794427303036741E-2</v>
      </c>
      <c r="O119" s="120">
        <f t="shared" ca="1" si="29"/>
        <v>1.5473385862399474E-2</v>
      </c>
      <c r="P119" s="104"/>
      <c r="Q119" s="104"/>
    </row>
    <row r="120" spans="1:17" s="91" customFormat="1" x14ac:dyDescent="0.25">
      <c r="A120" s="91" t="s">
        <v>225</v>
      </c>
      <c r="B120" s="120">
        <v>1</v>
      </c>
      <c r="C120" s="118">
        <v>1</v>
      </c>
      <c r="D120" s="118" t="s">
        <v>17</v>
      </c>
      <c r="E120" s="104"/>
      <c r="F120" s="350">
        <v>1.4009400025163926E-2</v>
      </c>
      <c r="G120" s="350">
        <v>3.3517265529301732E-3</v>
      </c>
      <c r="H120" s="104"/>
      <c r="I120" s="102">
        <f t="shared" si="24"/>
        <v>1228.5753584556442</v>
      </c>
      <c r="J120" s="103">
        <f t="shared" si="25"/>
        <v>17.211603657664281</v>
      </c>
      <c r="K120" s="103">
        <f t="shared" si="26"/>
        <v>1211.3637547979799</v>
      </c>
      <c r="L120" s="103">
        <f t="shared" ca="1" si="27"/>
        <v>1.4347847927703494E-2</v>
      </c>
      <c r="M120" s="120"/>
      <c r="N120" s="91">
        <f t="shared" si="28"/>
        <v>1.4009400025163926E-2</v>
      </c>
      <c r="O120" s="120">
        <f t="shared" ca="1" si="29"/>
        <v>1.4347847927703494E-2</v>
      </c>
      <c r="P120" s="104"/>
      <c r="Q120" s="104"/>
    </row>
    <row r="121" spans="1:17" s="91" customFormat="1" x14ac:dyDescent="0.25">
      <c r="A121" s="24" t="s">
        <v>226</v>
      </c>
      <c r="B121" s="120">
        <v>1</v>
      </c>
      <c r="C121" s="118">
        <v>1</v>
      </c>
      <c r="D121" s="118" t="s">
        <v>17</v>
      </c>
      <c r="E121" s="104"/>
      <c r="F121" s="350">
        <v>1.9983642879480307E-5</v>
      </c>
      <c r="G121" s="350">
        <v>1.9995883114708774E-6</v>
      </c>
      <c r="H121" s="104"/>
      <c r="I121" s="102">
        <f t="shared" si="24"/>
        <v>4997867.2366284998</v>
      </c>
      <c r="J121" s="103">
        <f t="shared" si="25"/>
        <v>99.875594015839042</v>
      </c>
      <c r="K121" s="103">
        <f t="shared" si="26"/>
        <v>4997767.3610344846</v>
      </c>
      <c r="L121" s="103">
        <f t="shared" ca="1" si="27"/>
        <v>2.0553548849555625E-5</v>
      </c>
      <c r="M121" s="120"/>
      <c r="N121" s="91">
        <f t="shared" si="28"/>
        <v>1.9983642879480307E-5</v>
      </c>
      <c r="O121" s="120">
        <f t="shared" ca="1" si="29"/>
        <v>2.0553548849555625E-5</v>
      </c>
      <c r="P121" s="104"/>
      <c r="Q121" s="104"/>
    </row>
    <row r="122" spans="1:17" s="91" customFormat="1" x14ac:dyDescent="0.25">
      <c r="A122" s="91" t="s">
        <v>227</v>
      </c>
      <c r="B122" s="120">
        <v>1</v>
      </c>
      <c r="C122" s="118">
        <v>1</v>
      </c>
      <c r="D122" s="118" t="s">
        <v>17</v>
      </c>
      <c r="E122" s="104"/>
      <c r="F122" s="350">
        <v>2.0019615585344803E-5</v>
      </c>
      <c r="G122" s="350">
        <v>1.9619224060778787E-6</v>
      </c>
      <c r="H122" s="104"/>
      <c r="I122" s="102">
        <f t="shared" si="24"/>
        <v>5200957.4629146699</v>
      </c>
      <c r="J122" s="103">
        <f t="shared" si="25"/>
        <v>104.12116908328188</v>
      </c>
      <c r="K122" s="103">
        <f t="shared" si="26"/>
        <v>5200853.3417455861</v>
      </c>
      <c r="L122" s="103">
        <f t="shared" ca="1" si="27"/>
        <v>1.7391730717738948E-5</v>
      </c>
      <c r="M122" s="120"/>
      <c r="N122" s="91">
        <f t="shared" si="28"/>
        <v>2.0019615585344803E-5</v>
      </c>
      <c r="O122" s="120">
        <f t="shared" ca="1" si="29"/>
        <v>1.7391730717738948E-5</v>
      </c>
      <c r="P122" s="104"/>
      <c r="Q122" s="104"/>
    </row>
    <row r="123" spans="1:17" s="91" customFormat="1" x14ac:dyDescent="0.25">
      <c r="A123" s="91" t="s">
        <v>228</v>
      </c>
      <c r="B123" s="120">
        <v>1</v>
      </c>
      <c r="C123" s="118">
        <v>1</v>
      </c>
      <c r="D123" s="118" t="s">
        <v>17</v>
      </c>
      <c r="E123" s="104"/>
      <c r="F123" s="350">
        <v>1.9964288001999379E-5</v>
      </c>
      <c r="G123" s="350">
        <v>1.9852418305679644E-6</v>
      </c>
      <c r="H123" s="104"/>
      <c r="I123" s="102">
        <f t="shared" si="24"/>
        <v>5065452.3577549132</v>
      </c>
      <c r="J123" s="103">
        <f t="shared" si="25"/>
        <v>101.12814973062588</v>
      </c>
      <c r="K123" s="103">
        <f t="shared" si="26"/>
        <v>5065351.2296051821</v>
      </c>
      <c r="L123" s="103">
        <f t="shared" ca="1" si="27"/>
        <v>2.0790503249434877E-5</v>
      </c>
      <c r="M123" s="120"/>
      <c r="N123" s="91">
        <f t="shared" si="28"/>
        <v>1.9964288001999379E-5</v>
      </c>
      <c r="O123" s="120">
        <f t="shared" ca="1" si="29"/>
        <v>2.0790503249434877E-5</v>
      </c>
      <c r="P123" s="104"/>
      <c r="Q123" s="104"/>
    </row>
    <row r="124" spans="1:17" s="91" customFormat="1" x14ac:dyDescent="0.25">
      <c r="A124" s="91" t="s">
        <v>229</v>
      </c>
      <c r="B124" s="120">
        <v>1</v>
      </c>
      <c r="C124" s="118">
        <v>1</v>
      </c>
      <c r="D124" s="118" t="s">
        <v>17</v>
      </c>
      <c r="E124" s="104"/>
      <c r="F124" s="350">
        <v>1.9970877978928797E-5</v>
      </c>
      <c r="G124" s="350">
        <v>2.0051108386055047E-6</v>
      </c>
      <c r="H124" s="104"/>
      <c r="I124" s="102">
        <f t="shared" si="24"/>
        <v>4967199.7875394346</v>
      </c>
      <c r="J124" s="103">
        <f t="shared" si="25"/>
        <v>99.199340853911096</v>
      </c>
      <c r="K124" s="103">
        <f t="shared" si="26"/>
        <v>4967100.5881985808</v>
      </c>
      <c r="L124" s="103">
        <f t="shared" ca="1" si="27"/>
        <v>2.1518176789192545E-5</v>
      </c>
      <c r="M124" s="120"/>
      <c r="N124" s="91">
        <f t="shared" si="28"/>
        <v>1.9970877978928797E-5</v>
      </c>
      <c r="O124" s="120">
        <f t="shared" ca="1" si="29"/>
        <v>2.1518176789192545E-5</v>
      </c>
      <c r="P124" s="104"/>
      <c r="Q124" s="104"/>
    </row>
    <row r="125" spans="1:17" s="91" customFormat="1" x14ac:dyDescent="0.25">
      <c r="A125" s="91" t="s">
        <v>230</v>
      </c>
      <c r="B125" s="120">
        <v>1</v>
      </c>
      <c r="C125" s="118">
        <v>1</v>
      </c>
      <c r="D125" s="118" t="s">
        <v>17</v>
      </c>
      <c r="E125" s="104"/>
      <c r="F125" s="350">
        <v>2.000477804837773E-5</v>
      </c>
      <c r="G125" s="350">
        <v>1.9872331862031216E-6</v>
      </c>
      <c r="H125" s="104"/>
      <c r="I125" s="102">
        <f t="shared" si="24"/>
        <v>5065558.1033448577</v>
      </c>
      <c r="J125" s="103">
        <f t="shared" si="25"/>
        <v>101.33536554857514</v>
      </c>
      <c r="K125" s="103">
        <f t="shared" si="26"/>
        <v>5065456.767979309</v>
      </c>
      <c r="L125" s="103">
        <f t="shared" ca="1" si="27"/>
        <v>2.507449697009001E-5</v>
      </c>
      <c r="M125" s="120"/>
      <c r="N125" s="91">
        <f t="shared" si="28"/>
        <v>2.000477804837773E-5</v>
      </c>
      <c r="O125" s="120">
        <f t="shared" ca="1" si="29"/>
        <v>2.507449697009001E-5</v>
      </c>
      <c r="P125" s="104"/>
      <c r="Q125" s="104"/>
    </row>
    <row r="126" spans="1:17" s="91" customFormat="1" x14ac:dyDescent="0.25">
      <c r="A126" s="91" t="s">
        <v>231</v>
      </c>
      <c r="B126" s="120">
        <v>1</v>
      </c>
      <c r="C126" s="118">
        <v>1</v>
      </c>
      <c r="D126" s="118" t="s">
        <v>17</v>
      </c>
      <c r="E126" s="104"/>
      <c r="F126" s="350">
        <v>1.9989380868149015E-5</v>
      </c>
      <c r="G126" s="350">
        <v>1.9824956832005746E-6</v>
      </c>
      <c r="H126" s="104"/>
      <c r="I126" s="102">
        <f t="shared" si="24"/>
        <v>5085879.6087177768</v>
      </c>
      <c r="J126" s="103">
        <f t="shared" si="25"/>
        <v>101.66358454821233</v>
      </c>
      <c r="K126" s="103">
        <f t="shared" si="26"/>
        <v>5085777.9451332288</v>
      </c>
      <c r="L126" s="103">
        <f t="shared" ca="1" si="27"/>
        <v>1.9909659536201151E-5</v>
      </c>
      <c r="M126" s="120"/>
      <c r="N126" s="91">
        <f t="shared" si="28"/>
        <v>1.9989380868149015E-5</v>
      </c>
      <c r="O126" s="120">
        <f t="shared" ca="1" si="29"/>
        <v>1.9909659536201151E-5</v>
      </c>
      <c r="P126" s="104"/>
      <c r="Q126" s="104"/>
    </row>
    <row r="127" spans="1:17" s="91" customFormat="1" x14ac:dyDescent="0.25">
      <c r="A127" s="91" t="s">
        <v>232</v>
      </c>
      <c r="B127" s="120">
        <v>1</v>
      </c>
      <c r="C127" s="118">
        <v>1</v>
      </c>
      <c r="D127" s="118" t="s">
        <v>17</v>
      </c>
      <c r="E127" s="104"/>
      <c r="F127" s="350">
        <v>2.003093704502779E-5</v>
      </c>
      <c r="G127" s="350">
        <v>2.0092551028672905E-6</v>
      </c>
      <c r="H127" s="104"/>
      <c r="I127" s="102">
        <f t="shared" si="24"/>
        <v>4961606.5146958334</v>
      </c>
      <c r="J127" s="103">
        <f t="shared" si="25"/>
        <v>99.385627738071989</v>
      </c>
      <c r="K127" s="103">
        <f t="shared" si="26"/>
        <v>4961507.1290680952</v>
      </c>
      <c r="L127" s="103">
        <f t="shared" ca="1" si="27"/>
        <v>1.9442930382378477E-5</v>
      </c>
      <c r="M127" s="120"/>
      <c r="N127" s="91">
        <f t="shared" si="28"/>
        <v>2.003093704502779E-5</v>
      </c>
      <c r="O127" s="120">
        <f t="shared" ca="1" si="29"/>
        <v>1.9442930382378477E-5</v>
      </c>
      <c r="P127" s="104"/>
      <c r="Q127" s="104"/>
    </row>
    <row r="128" spans="1:17" s="91" customFormat="1" x14ac:dyDescent="0.25">
      <c r="A128" s="24" t="s">
        <v>233</v>
      </c>
      <c r="B128" s="120">
        <v>1</v>
      </c>
      <c r="C128" s="118">
        <v>1</v>
      </c>
      <c r="D128" s="118" t="s">
        <v>17</v>
      </c>
      <c r="E128" s="104"/>
      <c r="F128" s="350">
        <v>1.9992538237829331E-5</v>
      </c>
      <c r="G128" s="350">
        <v>2.0404054911349621E-6</v>
      </c>
      <c r="H128" s="104"/>
      <c r="I128" s="102">
        <f t="shared" si="24"/>
        <v>4802044.6612697411</v>
      </c>
      <c r="J128" s="103">
        <f t="shared" si="25"/>
        <v>96.005061510199496</v>
      </c>
      <c r="K128" s="103">
        <f t="shared" si="26"/>
        <v>4801948.6562082311</v>
      </c>
      <c r="L128" s="103">
        <f t="shared" ca="1" si="27"/>
        <v>2.1081003932610365E-5</v>
      </c>
      <c r="M128" s="120"/>
      <c r="N128" s="91">
        <f t="shared" si="28"/>
        <v>1.9992538237829331E-5</v>
      </c>
      <c r="O128" s="120">
        <f t="shared" ca="1" si="29"/>
        <v>2.1081003932610365E-5</v>
      </c>
      <c r="P128" s="104"/>
      <c r="Q128" s="104"/>
    </row>
    <row r="129" spans="1:17" s="91" customFormat="1" x14ac:dyDescent="0.25">
      <c r="A129" s="91" t="s">
        <v>234</v>
      </c>
      <c r="B129" s="120">
        <v>1</v>
      </c>
      <c r="C129" s="118">
        <v>1</v>
      </c>
      <c r="D129" s="118" t="s">
        <v>17</v>
      </c>
      <c r="E129" s="104"/>
      <c r="F129" s="350">
        <v>5.3592680201679312E-6</v>
      </c>
      <c r="G129" s="350">
        <v>6.9848715723179868E-7</v>
      </c>
      <c r="H129" s="104"/>
      <c r="I129" s="102">
        <f t="shared" si="24"/>
        <v>10984650.897087486</v>
      </c>
      <c r="J129" s="103">
        <f t="shared" si="25"/>
        <v>58.869688265469939</v>
      </c>
      <c r="K129" s="103">
        <f t="shared" si="26"/>
        <v>10984592.02739922</v>
      </c>
      <c r="L129" s="103">
        <f t="shared" ca="1" si="27"/>
        <v>5.0303556950351435E-6</v>
      </c>
      <c r="M129" s="120"/>
      <c r="N129" s="91">
        <f t="shared" si="28"/>
        <v>5.3592680201679312E-6</v>
      </c>
      <c r="O129" s="120">
        <f t="shared" ca="1" si="29"/>
        <v>5.0303556950351435E-6</v>
      </c>
      <c r="P129" s="104"/>
      <c r="Q129" s="104"/>
    </row>
    <row r="130" spans="1:17" s="91" customFormat="1" x14ac:dyDescent="0.25">
      <c r="A130" s="91" t="s">
        <v>235</v>
      </c>
      <c r="B130" s="120">
        <v>1</v>
      </c>
      <c r="C130" s="118">
        <v>1</v>
      </c>
      <c r="D130" s="118" t="s">
        <v>17</v>
      </c>
      <c r="E130" s="104"/>
      <c r="F130" s="350">
        <v>5.361079704682874E-6</v>
      </c>
      <c r="G130" s="350">
        <v>6.8971640665285027E-7</v>
      </c>
      <c r="H130" s="104"/>
      <c r="I130" s="102">
        <f t="shared" si="24"/>
        <v>11269607.312849367</v>
      </c>
      <c r="J130" s="103">
        <f t="shared" si="25"/>
        <v>60.417263044662441</v>
      </c>
      <c r="K130" s="103">
        <f t="shared" si="26"/>
        <v>11269546.895586323</v>
      </c>
      <c r="L130" s="103">
        <f t="shared" ca="1" si="27"/>
        <v>5.2256190069498197E-6</v>
      </c>
      <c r="M130" s="120"/>
      <c r="N130" s="91">
        <f t="shared" si="28"/>
        <v>5.361079704682874E-6</v>
      </c>
      <c r="O130" s="120">
        <f t="shared" ca="1" si="29"/>
        <v>5.2256190069498197E-6</v>
      </c>
      <c r="P130" s="104"/>
      <c r="Q130" s="104"/>
    </row>
    <row r="131" spans="1:17" s="91" customFormat="1" x14ac:dyDescent="0.25">
      <c r="A131" s="91" t="s">
        <v>236</v>
      </c>
      <c r="B131" s="120">
        <v>1</v>
      </c>
      <c r="C131" s="118">
        <v>1</v>
      </c>
      <c r="D131" s="118" t="s">
        <v>17</v>
      </c>
      <c r="E131" s="104"/>
      <c r="F131" s="350">
        <v>1.8534671855133559E-4</v>
      </c>
      <c r="G131" s="350">
        <v>2.4178568302525473E-5</v>
      </c>
      <c r="H131" s="104"/>
      <c r="I131" s="102">
        <f t="shared" si="24"/>
        <v>316987.30281662045</v>
      </c>
      <c r="J131" s="103">
        <f t="shared" si="25"/>
        <v>58.752556399499134</v>
      </c>
      <c r="K131" s="103">
        <f t="shared" si="26"/>
        <v>316928.55026022095</v>
      </c>
      <c r="L131" s="103">
        <f t="shared" ca="1" si="27"/>
        <v>1.4807498939123029E-4</v>
      </c>
      <c r="M131" s="120"/>
      <c r="N131" s="91">
        <f t="shared" si="28"/>
        <v>1.8534671855133559E-4</v>
      </c>
      <c r="O131" s="120">
        <f t="shared" ca="1" si="29"/>
        <v>1.4807498939123029E-4</v>
      </c>
      <c r="P131" s="104"/>
      <c r="Q131" s="104"/>
    </row>
    <row r="132" spans="1:17" s="91" customFormat="1" x14ac:dyDescent="0.25">
      <c r="A132" s="91" t="s">
        <v>237</v>
      </c>
      <c r="B132" s="120">
        <v>1</v>
      </c>
      <c r="C132" s="118">
        <v>1</v>
      </c>
      <c r="D132" s="118" t="s">
        <v>17</v>
      </c>
      <c r="E132" s="104"/>
      <c r="F132" s="350">
        <v>1.9415843602330689E-4</v>
      </c>
      <c r="G132" s="350">
        <v>2.5208470096268244E-5</v>
      </c>
      <c r="H132" s="104"/>
      <c r="I132" s="102">
        <f t="shared" si="24"/>
        <v>305476.30934984813</v>
      </c>
      <c r="J132" s="103">
        <f t="shared" si="25"/>
        <v>59.310802465538394</v>
      </c>
      <c r="K132" s="103">
        <f t="shared" si="26"/>
        <v>305416.99854738259</v>
      </c>
      <c r="L132" s="103">
        <f t="shared" ca="1" si="27"/>
        <v>1.8386807753539998E-4</v>
      </c>
      <c r="M132" s="120"/>
      <c r="N132" s="91">
        <f t="shared" si="28"/>
        <v>1.9415843602330689E-4</v>
      </c>
      <c r="O132" s="120">
        <f t="shared" ca="1" si="29"/>
        <v>1.8386807753539998E-4</v>
      </c>
      <c r="P132" s="104"/>
      <c r="Q132" s="104"/>
    </row>
    <row r="133" spans="1:17" s="91" customFormat="1" x14ac:dyDescent="0.25">
      <c r="A133" s="91" t="s">
        <v>238</v>
      </c>
      <c r="B133" s="120">
        <v>1</v>
      </c>
      <c r="C133" s="118">
        <v>1</v>
      </c>
      <c r="D133" s="118" t="s">
        <v>17</v>
      </c>
      <c r="E133" s="104"/>
      <c r="F133" s="350">
        <v>1.3640986854819066E-4</v>
      </c>
      <c r="G133" s="350">
        <v>1.7848957719058711E-5</v>
      </c>
      <c r="H133" s="104"/>
      <c r="I133" s="102">
        <f t="shared" si="24"/>
        <v>428114.37276776053</v>
      </c>
      <c r="J133" s="103">
        <f t="shared" si="25"/>
        <v>58.39902531284131</v>
      </c>
      <c r="K133" s="103">
        <f t="shared" si="26"/>
        <v>428055.97374244768</v>
      </c>
      <c r="L133" s="103">
        <f t="shared" ca="1" si="27"/>
        <v>1.3993818636659494E-4</v>
      </c>
      <c r="M133" s="120"/>
      <c r="N133" s="91">
        <f t="shared" si="28"/>
        <v>1.3640986854819066E-4</v>
      </c>
      <c r="O133" s="120">
        <f t="shared" ca="1" si="29"/>
        <v>1.3993818636659494E-4</v>
      </c>
      <c r="P133" s="104"/>
      <c r="Q133" s="104"/>
    </row>
    <row r="134" spans="1:17" s="91" customFormat="1" x14ac:dyDescent="0.25">
      <c r="A134" s="91" t="s">
        <v>239</v>
      </c>
      <c r="B134" s="120">
        <v>1</v>
      </c>
      <c r="C134" s="118">
        <v>1</v>
      </c>
      <c r="D134" s="118" t="s">
        <v>17</v>
      </c>
      <c r="E134" s="104"/>
      <c r="F134" s="350">
        <v>2.3455407461653874E-4</v>
      </c>
      <c r="G134" s="350">
        <v>6.0461597091424883E-5</v>
      </c>
      <c r="H134" s="104"/>
      <c r="I134" s="102">
        <f t="shared" si="24"/>
        <v>64146.815965197624</v>
      </c>
      <c r="J134" s="103">
        <f t="shared" si="25"/>
        <v>15.045897058314342</v>
      </c>
      <c r="K134" s="103">
        <f t="shared" si="26"/>
        <v>64131.770068139303</v>
      </c>
      <c r="L134" s="103">
        <f t="shared" ca="1" si="27"/>
        <v>2.6925104662745003E-4</v>
      </c>
      <c r="M134" s="120"/>
      <c r="N134" s="91">
        <f t="shared" si="28"/>
        <v>2.3455407461653874E-4</v>
      </c>
      <c r="O134" s="120">
        <f t="shared" ca="1" si="29"/>
        <v>2.6925104662745003E-4</v>
      </c>
      <c r="P134" s="104"/>
      <c r="Q134" s="104"/>
    </row>
    <row r="135" spans="1:17" s="91" customFormat="1" x14ac:dyDescent="0.25">
      <c r="A135" s="91" t="s">
        <v>240</v>
      </c>
      <c r="B135" s="120">
        <v>1</v>
      </c>
      <c r="C135" s="118">
        <v>1</v>
      </c>
      <c r="D135" s="118" t="s">
        <v>17</v>
      </c>
      <c r="E135" s="104"/>
      <c r="F135" s="350">
        <v>6.0330645901234524E-4</v>
      </c>
      <c r="G135" s="350">
        <v>1.5344808454065888E-4</v>
      </c>
      <c r="H135" s="104"/>
      <c r="I135" s="102">
        <f t="shared" si="24"/>
        <v>25605.66029107941</v>
      </c>
      <c r="J135" s="103">
        <f t="shared" si="25"/>
        <v>15.448060240884136</v>
      </c>
      <c r="K135" s="103">
        <f t="shared" si="26"/>
        <v>25590.212230838526</v>
      </c>
      <c r="L135" s="103">
        <f t="shared" ca="1" si="27"/>
        <v>1.0811151496515903E-3</v>
      </c>
      <c r="M135" s="120"/>
      <c r="N135" s="91">
        <f t="shared" si="28"/>
        <v>6.0330645901234524E-4</v>
      </c>
      <c r="O135" s="120">
        <f t="shared" ca="1" si="29"/>
        <v>1.0811151496515903E-3</v>
      </c>
      <c r="P135" s="104"/>
      <c r="Q135" s="104"/>
    </row>
    <row r="136" spans="1:17" s="91" customFormat="1" x14ac:dyDescent="0.25">
      <c r="A136" s="91" t="s">
        <v>241</v>
      </c>
      <c r="B136" s="120">
        <v>1</v>
      </c>
      <c r="C136" s="118">
        <v>1</v>
      </c>
      <c r="D136" s="118" t="s">
        <v>17</v>
      </c>
      <c r="E136" s="104"/>
      <c r="F136" s="350">
        <v>6.0260931599125827E-4</v>
      </c>
      <c r="G136" s="350">
        <v>1.5356085432520922E-4</v>
      </c>
      <c r="H136" s="104"/>
      <c r="I136" s="102">
        <f t="shared" si="24"/>
        <v>25538.536619179973</v>
      </c>
      <c r="J136" s="103">
        <f t="shared" si="25"/>
        <v>15.389760083501745</v>
      </c>
      <c r="K136" s="103">
        <f t="shared" si="26"/>
        <v>25523.146859096472</v>
      </c>
      <c r="L136" s="103">
        <f t="shared" ca="1" si="27"/>
        <v>4.8029930191354186E-4</v>
      </c>
      <c r="M136" s="120"/>
      <c r="N136" s="91">
        <f t="shared" si="28"/>
        <v>6.0260931599125827E-4</v>
      </c>
      <c r="O136" s="120">
        <f t="shared" ca="1" si="29"/>
        <v>4.8029930191354186E-4</v>
      </c>
      <c r="P136" s="104"/>
      <c r="Q136" s="104"/>
    </row>
    <row r="137" spans="1:17" s="91" customFormat="1" x14ac:dyDescent="0.25">
      <c r="A137" s="91" t="s">
        <v>242</v>
      </c>
      <c r="B137" s="120">
        <v>1</v>
      </c>
      <c r="C137" s="118">
        <v>1</v>
      </c>
      <c r="D137" s="118" t="s">
        <v>17</v>
      </c>
      <c r="E137" s="104"/>
      <c r="F137" s="350">
        <v>6.3201048089828844E-4</v>
      </c>
      <c r="G137" s="350">
        <v>1.6456090378625255E-4</v>
      </c>
      <c r="H137" s="104"/>
      <c r="I137" s="102">
        <f t="shared" si="24"/>
        <v>23322.643101498772</v>
      </c>
      <c r="J137" s="103">
        <f t="shared" si="25"/>
        <v>14.740154882397388</v>
      </c>
      <c r="K137" s="103">
        <f t="shared" si="26"/>
        <v>23307.90294661637</v>
      </c>
      <c r="L137" s="103">
        <f t="shared" ca="1" si="27"/>
        <v>8.2163118739708718E-4</v>
      </c>
      <c r="M137" s="120"/>
      <c r="N137" s="91">
        <f t="shared" si="28"/>
        <v>6.3201048089828844E-4</v>
      </c>
      <c r="O137" s="120">
        <f t="shared" ca="1" si="29"/>
        <v>8.2163118739708718E-4</v>
      </c>
      <c r="P137" s="104"/>
      <c r="Q137" s="104"/>
    </row>
    <row r="138" spans="1:17" s="91" customFormat="1" x14ac:dyDescent="0.25">
      <c r="A138" s="91" t="s">
        <v>243</v>
      </c>
      <c r="B138" s="120">
        <v>1</v>
      </c>
      <c r="C138" s="118">
        <v>1</v>
      </c>
      <c r="D138" s="118" t="s">
        <v>17</v>
      </c>
      <c r="E138" s="104"/>
      <c r="F138" s="350">
        <v>6.318892431148933E-4</v>
      </c>
      <c r="G138" s="350">
        <v>1.6295677176295206E-4</v>
      </c>
      <c r="H138" s="104"/>
      <c r="I138" s="102">
        <f t="shared" si="24"/>
        <v>23779.535195182223</v>
      </c>
      <c r="J138" s="103">
        <f t="shared" si="25"/>
        <v>15.026032496107661</v>
      </c>
      <c r="K138" s="103">
        <f t="shared" si="26"/>
        <v>23764.509162686118</v>
      </c>
      <c r="L138" s="103">
        <f t="shared" ca="1" si="27"/>
        <v>1.2227377315807697E-3</v>
      </c>
      <c r="M138" s="120"/>
      <c r="N138" s="91">
        <f t="shared" si="28"/>
        <v>6.318892431148933E-4</v>
      </c>
      <c r="O138" s="120">
        <f t="shared" ca="1" si="29"/>
        <v>1.2227377315807697E-3</v>
      </c>
      <c r="P138" s="104"/>
      <c r="Q138" s="104"/>
    </row>
    <row r="139" spans="1:17" s="91" customFormat="1" x14ac:dyDescent="0.25">
      <c r="A139" s="91" t="s">
        <v>244</v>
      </c>
      <c r="B139" s="120">
        <v>1</v>
      </c>
      <c r="C139" s="118">
        <v>1</v>
      </c>
      <c r="D139" s="118" t="s">
        <v>17</v>
      </c>
      <c r="E139" s="104"/>
      <c r="F139" s="350">
        <v>6.3219628717565534E-4</v>
      </c>
      <c r="G139" s="350">
        <v>1.6444978583761912E-4</v>
      </c>
      <c r="H139" s="104"/>
      <c r="I139" s="102">
        <f t="shared" si="24"/>
        <v>23361.035002446562</v>
      </c>
      <c r="J139" s="103">
        <f t="shared" si="25"/>
        <v>14.768759593127243</v>
      </c>
      <c r="K139" s="103">
        <f t="shared" si="26"/>
        <v>23346.266242853435</v>
      </c>
      <c r="L139" s="103">
        <f t="shared" ca="1" si="27"/>
        <v>6.9367354248328628E-4</v>
      </c>
      <c r="M139" s="120"/>
      <c r="N139" s="91">
        <f t="shared" si="28"/>
        <v>6.3219628717565534E-4</v>
      </c>
      <c r="O139" s="120">
        <f t="shared" ca="1" si="29"/>
        <v>6.9367354248328628E-4</v>
      </c>
      <c r="P139" s="104"/>
      <c r="Q139" s="104"/>
    </row>
    <row r="140" spans="1:17" s="91" customFormat="1" x14ac:dyDescent="0.25">
      <c r="A140" s="24" t="s">
        <v>245</v>
      </c>
      <c r="B140" s="120">
        <v>1</v>
      </c>
      <c r="C140" s="118">
        <v>1</v>
      </c>
      <c r="D140" s="118" t="s">
        <v>17</v>
      </c>
      <c r="E140" s="104"/>
      <c r="F140" s="350">
        <v>0</v>
      </c>
      <c r="G140" s="350">
        <v>0</v>
      </c>
      <c r="H140" s="104"/>
      <c r="I140" s="102" t="e">
        <f t="shared" si="24"/>
        <v>#DIV/0!</v>
      </c>
      <c r="J140" s="103" t="e">
        <f t="shared" si="25"/>
        <v>#DIV/0!</v>
      </c>
      <c r="K140" s="103" t="e">
        <f t="shared" si="26"/>
        <v>#DIV/0!</v>
      </c>
      <c r="L140" s="103" t="e">
        <f t="shared" ca="1" si="27"/>
        <v>#DIV/0!</v>
      </c>
      <c r="M140" s="120"/>
      <c r="N140" s="91">
        <f t="shared" si="28"/>
        <v>0</v>
      </c>
      <c r="O140" s="120">
        <f t="shared" si="29"/>
        <v>0</v>
      </c>
      <c r="P140" s="104"/>
      <c r="Q140" s="104"/>
    </row>
    <row r="141" spans="1:17" s="91" customFormat="1" x14ac:dyDescent="0.25">
      <c r="A141" s="24" t="s">
        <v>246</v>
      </c>
      <c r="B141" s="120">
        <v>1</v>
      </c>
      <c r="C141" s="118">
        <v>1</v>
      </c>
      <c r="D141" s="118" t="s">
        <v>17</v>
      </c>
      <c r="E141" s="104"/>
      <c r="F141" s="350">
        <v>0</v>
      </c>
      <c r="G141" s="350">
        <v>0</v>
      </c>
      <c r="H141" s="104"/>
      <c r="I141" s="102" t="e">
        <f t="shared" si="24"/>
        <v>#DIV/0!</v>
      </c>
      <c r="J141" s="103" t="e">
        <f t="shared" si="25"/>
        <v>#DIV/0!</v>
      </c>
      <c r="K141" s="103" t="e">
        <f t="shared" si="26"/>
        <v>#DIV/0!</v>
      </c>
      <c r="L141" s="103" t="e">
        <f t="shared" ca="1" si="27"/>
        <v>#DIV/0!</v>
      </c>
      <c r="M141" s="120"/>
      <c r="N141" s="91">
        <f t="shared" si="28"/>
        <v>0</v>
      </c>
      <c r="O141" s="120">
        <f t="shared" si="29"/>
        <v>0</v>
      </c>
      <c r="P141" s="104"/>
      <c r="Q141" s="104"/>
    </row>
    <row r="142" spans="1:17" s="91" customFormat="1" x14ac:dyDescent="0.25">
      <c r="A142" s="24" t="s">
        <v>247</v>
      </c>
      <c r="B142" s="120">
        <v>1</v>
      </c>
      <c r="C142" s="118">
        <v>1</v>
      </c>
      <c r="D142" s="118" t="s">
        <v>17</v>
      </c>
      <c r="E142" s="104"/>
      <c r="F142" s="350">
        <v>0</v>
      </c>
      <c r="G142" s="350">
        <v>0</v>
      </c>
      <c r="H142" s="104"/>
      <c r="I142" s="102" t="e">
        <f t="shared" si="24"/>
        <v>#DIV/0!</v>
      </c>
      <c r="J142" s="103" t="e">
        <f t="shared" si="25"/>
        <v>#DIV/0!</v>
      </c>
      <c r="K142" s="103" t="e">
        <f t="shared" si="26"/>
        <v>#DIV/0!</v>
      </c>
      <c r="L142" s="103" t="e">
        <f t="shared" ca="1" si="27"/>
        <v>#DIV/0!</v>
      </c>
      <c r="M142" s="120"/>
      <c r="N142" s="91">
        <f t="shared" si="28"/>
        <v>0</v>
      </c>
      <c r="O142" s="120">
        <f t="shared" si="29"/>
        <v>0</v>
      </c>
      <c r="P142" s="104"/>
      <c r="Q142" s="104"/>
    </row>
    <row r="143" spans="1:17" s="91" customFormat="1" x14ac:dyDescent="0.25">
      <c r="A143" s="24" t="s">
        <v>248</v>
      </c>
      <c r="B143" s="120">
        <v>1</v>
      </c>
      <c r="C143" s="118">
        <v>1</v>
      </c>
      <c r="D143" s="118" t="s">
        <v>17</v>
      </c>
      <c r="E143" s="104"/>
      <c r="F143" s="350">
        <v>0</v>
      </c>
      <c r="G143" s="350">
        <v>0</v>
      </c>
      <c r="H143" s="104"/>
      <c r="I143" s="102" t="e">
        <f t="shared" si="24"/>
        <v>#DIV/0!</v>
      </c>
      <c r="J143" s="103" t="e">
        <f t="shared" si="25"/>
        <v>#DIV/0!</v>
      </c>
      <c r="K143" s="103" t="e">
        <f t="shared" si="26"/>
        <v>#DIV/0!</v>
      </c>
      <c r="L143" s="103" t="e">
        <f t="shared" ca="1" si="27"/>
        <v>#DIV/0!</v>
      </c>
      <c r="M143" s="120"/>
      <c r="N143" s="91">
        <f t="shared" si="28"/>
        <v>0</v>
      </c>
      <c r="O143" s="120">
        <f t="shared" si="29"/>
        <v>0</v>
      </c>
      <c r="P143" s="104"/>
      <c r="Q143" s="104"/>
    </row>
    <row r="144" spans="1:17" s="91" customFormat="1" x14ac:dyDescent="0.25">
      <c r="A144" s="24" t="s">
        <v>249</v>
      </c>
      <c r="B144" s="120">
        <v>1</v>
      </c>
      <c r="C144" s="118">
        <v>1</v>
      </c>
      <c r="D144" s="118" t="s">
        <v>17</v>
      </c>
      <c r="E144" s="104"/>
      <c r="F144" s="350">
        <v>1.9985283426720382E-3</v>
      </c>
      <c r="G144" s="350">
        <v>2.0185876430121386E-4</v>
      </c>
      <c r="H144" s="104"/>
      <c r="I144" s="102">
        <f t="shared" si="24"/>
        <v>48948.276010699272</v>
      </c>
      <c r="J144" s="103">
        <f t="shared" si="25"/>
        <v>97.8245169323163</v>
      </c>
      <c r="K144" s="103">
        <f t="shared" si="26"/>
        <v>48850.451493766959</v>
      </c>
      <c r="L144" s="103">
        <f t="shared" ca="1" si="27"/>
        <v>2.444759536243013E-3</v>
      </c>
      <c r="M144" s="120"/>
      <c r="N144" s="91">
        <f t="shared" si="28"/>
        <v>1.9985283426720382E-3</v>
      </c>
      <c r="O144" s="120">
        <f t="shared" ca="1" si="29"/>
        <v>2.444759536243013E-3</v>
      </c>
      <c r="P144" s="104"/>
      <c r="Q144" s="104"/>
    </row>
    <row r="145" spans="1:17" s="91" customFormat="1" x14ac:dyDescent="0.25">
      <c r="A145" s="24" t="s">
        <v>250</v>
      </c>
      <c r="B145" s="120">
        <v>1</v>
      </c>
      <c r="C145" s="118">
        <v>1</v>
      </c>
      <c r="D145" s="118" t="s">
        <v>17</v>
      </c>
      <c r="E145" s="104"/>
      <c r="F145" s="350">
        <v>1.9994103978967196E-3</v>
      </c>
      <c r="G145" s="350">
        <v>2.0184344811592756E-4</v>
      </c>
      <c r="H145" s="104"/>
      <c r="I145" s="102">
        <f t="shared" si="24"/>
        <v>48977.268852122441</v>
      </c>
      <c r="J145" s="103">
        <f t="shared" si="25"/>
        <v>97.925660603516732</v>
      </c>
      <c r="K145" s="103">
        <f t="shared" si="26"/>
        <v>48879.343191518914</v>
      </c>
      <c r="L145" s="103">
        <f t="shared" ca="1" si="27"/>
        <v>2.525997802686919E-3</v>
      </c>
      <c r="M145" s="120"/>
      <c r="N145" s="91">
        <f t="shared" si="28"/>
        <v>1.9994103978967196E-3</v>
      </c>
      <c r="O145" s="120">
        <f t="shared" ca="1" si="29"/>
        <v>2.525997802686919E-3</v>
      </c>
      <c r="P145" s="104"/>
      <c r="Q145" s="104"/>
    </row>
    <row r="146" spans="1:17" s="91" customFormat="1" x14ac:dyDescent="0.25">
      <c r="A146" s="24" t="s">
        <v>251</v>
      </c>
      <c r="B146" s="120">
        <v>1</v>
      </c>
      <c r="C146" s="118">
        <v>1</v>
      </c>
      <c r="D146" s="118" t="s">
        <v>17</v>
      </c>
      <c r="E146" s="104"/>
      <c r="F146" s="350">
        <v>1.0008742557703505E-3</v>
      </c>
      <c r="G146" s="350">
        <v>1.0106524809171602E-4</v>
      </c>
      <c r="H146" s="104"/>
      <c r="I146" s="102">
        <f t="shared" si="24"/>
        <v>97889.587255412698</v>
      </c>
      <c r="J146" s="103">
        <f t="shared" si="25"/>
        <v>97.975167791927973</v>
      </c>
      <c r="K146" s="103">
        <f t="shared" si="26"/>
        <v>97791.612087620771</v>
      </c>
      <c r="L146" s="103">
        <f t="shared" ca="1" si="27"/>
        <v>9.2919636128795861E-4</v>
      </c>
      <c r="M146" s="120"/>
      <c r="N146" s="91">
        <f t="shared" si="28"/>
        <v>1.0008742557703505E-3</v>
      </c>
      <c r="O146" s="120">
        <f t="shared" ca="1" si="29"/>
        <v>9.2919636128795861E-4</v>
      </c>
      <c r="P146" s="104"/>
      <c r="Q146" s="104"/>
    </row>
    <row r="147" spans="1:17" s="91" customFormat="1" x14ac:dyDescent="0.25">
      <c r="A147" s="24" t="s">
        <v>252</v>
      </c>
      <c r="B147" s="120">
        <v>1</v>
      </c>
      <c r="C147" s="118">
        <v>1</v>
      </c>
      <c r="D147" s="118" t="s">
        <v>17</v>
      </c>
      <c r="E147" s="104"/>
      <c r="F147" s="350">
        <v>1.0017040941786737E-3</v>
      </c>
      <c r="G147" s="350">
        <v>1.0002609998880855E-4</v>
      </c>
      <c r="H147" s="104"/>
      <c r="I147" s="102">
        <f t="shared" ref="I147:I210" si="30">IF($D147="Beta",((($F147*(1-$F147))/($G147^2))-1),"N/A")</f>
        <v>100016.85219886675</v>
      </c>
      <c r="J147" s="103">
        <f t="shared" ref="J147:J210" si="31">IF($D147="Beta",($F147*$I147),IF($D147="Gamma",(($F147^2)/($G147^2)),"N/A"))</f>
        <v>100.1872903344681</v>
      </c>
      <c r="K147" s="103">
        <f t="shared" ref="K147:K210" si="32">IF($D147="Beta",($J147*((1-$F147)/$F147)),IF($D147="Gamma",(($G147^2)/$F147),"N/A"))</f>
        <v>99916.664908532272</v>
      </c>
      <c r="L147" s="103">
        <f t="shared" ref="L147:L210" ca="1" si="33">IF($D147="Beta",(_xlfn.BETA.INV(RAND(),$J147,$K147)),IF($D147="Gamma",(_xlfn.GAMMA.INV(RAND(),$J147,$K147)),IF($D147="Log Normal",EXP(_xlfn.NORM.INV(RAND(),LN($F147),((LN($F147+1.96*$G147)-LN($F147-1.96*$G147))/(2*1.96)))),_xlfn.NORM.INV(RAND(),$F147,$G147))))</f>
        <v>1.1171752527285861E-3</v>
      </c>
      <c r="M147" s="120"/>
      <c r="N147" s="91">
        <f t="shared" si="28"/>
        <v>1.0017040941786737E-3</v>
      </c>
      <c r="O147" s="120">
        <f t="shared" ca="1" si="29"/>
        <v>1.1171752527285861E-3</v>
      </c>
      <c r="P147" s="104"/>
      <c r="Q147" s="104"/>
    </row>
    <row r="148" spans="1:17" s="91" customFormat="1" x14ac:dyDescent="0.25">
      <c r="A148" s="24" t="s">
        <v>253</v>
      </c>
      <c r="B148" s="120">
        <v>1</v>
      </c>
      <c r="C148" s="118">
        <v>1</v>
      </c>
      <c r="D148" s="118" t="s">
        <v>17</v>
      </c>
      <c r="E148" s="104"/>
      <c r="F148" s="350">
        <v>3.1155741972321697E-3</v>
      </c>
      <c r="G148" s="350">
        <v>3.3728419328329619E-4</v>
      </c>
      <c r="H148" s="104"/>
      <c r="I148" s="102">
        <f t="shared" si="30"/>
        <v>27300.778088788025</v>
      </c>
      <c r="J148" s="103">
        <f t="shared" si="31"/>
        <v>85.057599777789363</v>
      </c>
      <c r="K148" s="103">
        <f t="shared" si="32"/>
        <v>27215.720489010237</v>
      </c>
      <c r="L148" s="103">
        <f t="shared" ca="1" si="33"/>
        <v>3.1420087481203174E-3</v>
      </c>
      <c r="M148" s="120"/>
      <c r="N148" s="91">
        <f t="shared" ref="N148:N211" si="34">F148</f>
        <v>3.1155741972321697E-3</v>
      </c>
      <c r="O148" s="120">
        <f t="shared" ref="O148:O211" ca="1" si="35">IF(F148=0,0,IF($B148=1,IF($C148=1,$L148,$F148),0))</f>
        <v>3.1420087481203174E-3</v>
      </c>
      <c r="P148" s="104"/>
      <c r="Q148" s="104"/>
    </row>
    <row r="149" spans="1:17" s="91" customFormat="1" x14ac:dyDescent="0.25">
      <c r="A149" s="24" t="s">
        <v>254</v>
      </c>
      <c r="B149" s="120">
        <v>1</v>
      </c>
      <c r="C149" s="118">
        <v>1</v>
      </c>
      <c r="D149" s="118" t="s">
        <v>17</v>
      </c>
      <c r="E149" s="104"/>
      <c r="F149" s="350">
        <v>3.1149328298971431E-3</v>
      </c>
      <c r="G149" s="350">
        <v>3.3586505245366465E-4</v>
      </c>
      <c r="H149" s="104"/>
      <c r="I149" s="102">
        <f t="shared" si="30"/>
        <v>27526.33339928155</v>
      </c>
      <c r="J149" s="103">
        <f t="shared" si="31"/>
        <v>85.742679592116332</v>
      </c>
      <c r="K149" s="103">
        <f t="shared" si="32"/>
        <v>27440.590719689433</v>
      </c>
      <c r="L149" s="103">
        <f t="shared" ca="1" si="33"/>
        <v>3.3321933200914922E-3</v>
      </c>
      <c r="M149" s="120"/>
      <c r="N149" s="91">
        <f t="shared" si="34"/>
        <v>3.1149328298971431E-3</v>
      </c>
      <c r="O149" s="120">
        <f t="shared" ca="1" si="35"/>
        <v>3.3321933200914922E-3</v>
      </c>
      <c r="P149" s="104"/>
      <c r="Q149" s="104"/>
    </row>
    <row r="150" spans="1:17" s="91" customFormat="1" x14ac:dyDescent="0.25">
      <c r="A150" s="24" t="s">
        <v>255</v>
      </c>
      <c r="B150" s="120">
        <v>1</v>
      </c>
      <c r="C150" s="118">
        <v>1</v>
      </c>
      <c r="D150" s="118" t="s">
        <v>17</v>
      </c>
      <c r="E150" s="104"/>
      <c r="F150" s="350">
        <v>7.0133107149167526E-3</v>
      </c>
      <c r="G150" s="350">
        <v>7.5779362193588917E-4</v>
      </c>
      <c r="H150" s="104"/>
      <c r="I150" s="102">
        <f t="shared" si="30"/>
        <v>12126.313812757948</v>
      </c>
      <c r="J150" s="103">
        <f t="shared" si="31"/>
        <v>85.045606595458338</v>
      </c>
      <c r="K150" s="103">
        <f t="shared" si="32"/>
        <v>12041.268206162491</v>
      </c>
      <c r="L150" s="103">
        <f t="shared" ca="1" si="33"/>
        <v>8.0811333508719052E-3</v>
      </c>
      <c r="M150" s="120"/>
      <c r="N150" s="91">
        <f t="shared" si="34"/>
        <v>7.0133107149167526E-3</v>
      </c>
      <c r="O150" s="120">
        <f t="shared" ca="1" si="35"/>
        <v>8.0811333508719052E-3</v>
      </c>
      <c r="P150" s="104"/>
      <c r="Q150" s="104"/>
    </row>
    <row r="151" spans="1:17" s="91" customFormat="1" x14ac:dyDescent="0.25">
      <c r="A151" s="24" t="s">
        <v>256</v>
      </c>
      <c r="B151" s="120">
        <v>1</v>
      </c>
      <c r="C151" s="118">
        <v>1</v>
      </c>
      <c r="D151" s="118" t="s">
        <v>17</v>
      </c>
      <c r="E151" s="104"/>
      <c r="F151" s="350">
        <v>7.1482738527478646E-3</v>
      </c>
      <c r="G151" s="350">
        <v>7.6659046144119715E-4</v>
      </c>
      <c r="H151" s="104"/>
      <c r="I151" s="102">
        <f t="shared" si="30"/>
        <v>12075.991346648501</v>
      </c>
      <c r="J151" s="103">
        <f t="shared" si="31"/>
        <v>86.32249318925696</v>
      </c>
      <c r="K151" s="103">
        <f t="shared" si="32"/>
        <v>11989.668853459245</v>
      </c>
      <c r="L151" s="103">
        <f t="shared" ca="1" si="33"/>
        <v>9.1150407001882039E-3</v>
      </c>
      <c r="M151" s="120"/>
      <c r="N151" s="91">
        <f t="shared" si="34"/>
        <v>7.1482738527478646E-3</v>
      </c>
      <c r="O151" s="120">
        <f t="shared" ca="1" si="35"/>
        <v>9.1150407001882039E-3</v>
      </c>
      <c r="P151" s="104"/>
      <c r="Q151" s="104"/>
    </row>
    <row r="152" spans="1:17" s="91" customFormat="1" x14ac:dyDescent="0.25">
      <c r="A152" s="24" t="s">
        <v>257</v>
      </c>
      <c r="B152" s="120">
        <v>1</v>
      </c>
      <c r="C152" s="118">
        <v>1</v>
      </c>
      <c r="D152" s="118" t="s">
        <v>17</v>
      </c>
      <c r="E152" s="104"/>
      <c r="F152" s="350">
        <v>1.9173284550144162E-2</v>
      </c>
      <c r="G152" s="350">
        <v>2.0270590085362272E-3</v>
      </c>
      <c r="H152" s="104"/>
      <c r="I152" s="102">
        <f t="shared" si="30"/>
        <v>4575.7376830659077</v>
      </c>
      <c r="J152" s="103">
        <f t="shared" si="31"/>
        <v>87.731920624240004</v>
      </c>
      <c r="K152" s="103">
        <f t="shared" si="32"/>
        <v>4488.0057624416677</v>
      </c>
      <c r="L152" s="103">
        <f t="shared" ca="1" si="33"/>
        <v>1.6483161489578707E-2</v>
      </c>
      <c r="M152" s="120"/>
      <c r="N152" s="91">
        <f t="shared" si="34"/>
        <v>1.9173284550144162E-2</v>
      </c>
      <c r="O152" s="120">
        <f t="shared" ca="1" si="35"/>
        <v>1.6483161489578707E-2</v>
      </c>
      <c r="P152" s="104"/>
      <c r="Q152" s="104"/>
    </row>
    <row r="153" spans="1:17" s="91" customFormat="1" x14ac:dyDescent="0.25">
      <c r="A153" s="24" t="s">
        <v>258</v>
      </c>
      <c r="B153" s="120">
        <v>1</v>
      </c>
      <c r="C153" s="118">
        <v>1</v>
      </c>
      <c r="D153" s="118" t="s">
        <v>17</v>
      </c>
      <c r="E153" s="104"/>
      <c r="F153" s="350">
        <v>2.1419106103106017E-2</v>
      </c>
      <c r="G153" s="350">
        <v>2.6625774550396277E-3</v>
      </c>
      <c r="H153" s="104"/>
      <c r="I153" s="102">
        <f t="shared" si="30"/>
        <v>2955.6068153730025</v>
      </c>
      <c r="J153" s="103">
        <f t="shared" si="31"/>
        <v>63.306455977537617</v>
      </c>
      <c r="K153" s="103">
        <f t="shared" si="32"/>
        <v>2892.300359395465</v>
      </c>
      <c r="L153" s="103">
        <f t="shared" ca="1" si="33"/>
        <v>1.8782193455830518E-2</v>
      </c>
      <c r="M153" s="120"/>
      <c r="N153" s="91">
        <f t="shared" si="34"/>
        <v>2.1419106103106017E-2</v>
      </c>
      <c r="O153" s="120">
        <f t="shared" ca="1" si="35"/>
        <v>1.8782193455830518E-2</v>
      </c>
      <c r="P153" s="104"/>
      <c r="Q153" s="104"/>
    </row>
    <row r="154" spans="1:17" s="91" customFormat="1" x14ac:dyDescent="0.25">
      <c r="A154" s="24" t="s">
        <v>259</v>
      </c>
      <c r="B154" s="120">
        <v>1</v>
      </c>
      <c r="C154" s="118">
        <v>1</v>
      </c>
      <c r="D154" s="118" t="s">
        <v>17</v>
      </c>
      <c r="E154" s="104"/>
      <c r="F154" s="350">
        <v>3.6903094217513005E-2</v>
      </c>
      <c r="G154" s="350">
        <v>4.8154181670384769E-3</v>
      </c>
      <c r="H154" s="104"/>
      <c r="I154" s="102">
        <f t="shared" si="30"/>
        <v>1531.7268163844399</v>
      </c>
      <c r="J154" s="103">
        <f t="shared" si="31"/>
        <v>56.525459020526228</v>
      </c>
      <c r="K154" s="103">
        <f t="shared" si="32"/>
        <v>1475.2013573639138</v>
      </c>
      <c r="L154" s="103">
        <f t="shared" ca="1" si="33"/>
        <v>5.0219458901920699E-2</v>
      </c>
      <c r="M154" s="120"/>
      <c r="N154" s="91">
        <f t="shared" si="34"/>
        <v>3.6903094217513005E-2</v>
      </c>
      <c r="O154" s="120">
        <f t="shared" ca="1" si="35"/>
        <v>5.0219458901920699E-2</v>
      </c>
      <c r="P154" s="104"/>
      <c r="Q154" s="104"/>
    </row>
    <row r="155" spans="1:17" s="91" customFormat="1" x14ac:dyDescent="0.25">
      <c r="A155" s="24" t="s">
        <v>260</v>
      </c>
      <c r="B155" s="120">
        <v>1</v>
      </c>
      <c r="C155" s="118">
        <v>1</v>
      </c>
      <c r="D155" s="118" t="s">
        <v>17</v>
      </c>
      <c r="E155" s="104"/>
      <c r="F155" s="350">
        <v>3.6885906427876466E-2</v>
      </c>
      <c r="G155" s="350">
        <v>4.847806384740823E-3</v>
      </c>
      <c r="H155" s="104"/>
      <c r="I155" s="102">
        <f t="shared" si="30"/>
        <v>1510.6375294766333</v>
      </c>
      <c r="J155" s="103">
        <f t="shared" si="31"/>
        <v>55.721234558713576</v>
      </c>
      <c r="K155" s="103">
        <f t="shared" si="32"/>
        <v>1454.9162949179197</v>
      </c>
      <c r="L155" s="103">
        <f t="shared" ca="1" si="33"/>
        <v>4.1083508287125148E-2</v>
      </c>
      <c r="M155" s="120"/>
      <c r="N155" s="91">
        <f t="shared" si="34"/>
        <v>3.6885906427876466E-2</v>
      </c>
      <c r="O155" s="120">
        <f t="shared" ca="1" si="35"/>
        <v>4.1083508287125148E-2</v>
      </c>
      <c r="P155" s="104"/>
      <c r="Q155" s="104"/>
    </row>
    <row r="156" spans="1:17" s="91" customFormat="1" x14ac:dyDescent="0.25">
      <c r="A156" s="24" t="s">
        <v>261</v>
      </c>
      <c r="B156" s="120">
        <v>1</v>
      </c>
      <c r="C156" s="118">
        <v>1</v>
      </c>
      <c r="D156" s="118" t="s">
        <v>17</v>
      </c>
      <c r="E156" s="104"/>
      <c r="F156" s="350">
        <v>0.10020819690299278</v>
      </c>
      <c r="G156" s="350">
        <v>1.1718486229313228E-2</v>
      </c>
      <c r="H156" s="104"/>
      <c r="I156" s="102">
        <f t="shared" si="30"/>
        <v>655.60207706338315</v>
      </c>
      <c r="J156" s="103">
        <f t="shared" si="31"/>
        <v>65.696702028378539</v>
      </c>
      <c r="K156" s="103">
        <f t="shared" si="32"/>
        <v>589.90537503500457</v>
      </c>
      <c r="L156" s="103">
        <f t="shared" ca="1" si="33"/>
        <v>8.1452374655993046E-2</v>
      </c>
      <c r="M156" s="120"/>
      <c r="N156" s="91">
        <f t="shared" si="34"/>
        <v>0.10020819690299278</v>
      </c>
      <c r="O156" s="120">
        <f t="shared" ca="1" si="35"/>
        <v>8.1452374655993046E-2</v>
      </c>
      <c r="P156" s="104"/>
      <c r="Q156" s="104"/>
    </row>
    <row r="157" spans="1:17" s="91" customFormat="1" x14ac:dyDescent="0.25">
      <c r="A157" s="24" t="s">
        <v>262</v>
      </c>
      <c r="B157" s="120">
        <v>1</v>
      </c>
      <c r="C157" s="118">
        <v>1</v>
      </c>
      <c r="D157" s="118" t="s">
        <v>17</v>
      </c>
      <c r="E157" s="104"/>
      <c r="F157" s="350">
        <v>0.10046324655546535</v>
      </c>
      <c r="G157" s="350">
        <v>1.1977079269047421E-2</v>
      </c>
      <c r="H157" s="104"/>
      <c r="I157" s="102">
        <f t="shared" si="30"/>
        <v>628.9763899084229</v>
      </c>
      <c r="J157" s="103">
        <f t="shared" si="31"/>
        <v>63.189010136936396</v>
      </c>
      <c r="K157" s="103">
        <f t="shared" si="32"/>
        <v>565.7873797714866</v>
      </c>
      <c r="L157" s="103">
        <f t="shared" ca="1" si="33"/>
        <v>0.11778888381357355</v>
      </c>
      <c r="M157" s="120"/>
      <c r="N157" s="91">
        <f t="shared" si="34"/>
        <v>0.10046324655546535</v>
      </c>
      <c r="O157" s="120">
        <f t="shared" ca="1" si="35"/>
        <v>0.11778888381357355</v>
      </c>
      <c r="P157" s="104"/>
      <c r="Q157" s="104"/>
    </row>
    <row r="158" spans="1:17" s="91" customFormat="1" x14ac:dyDescent="0.25">
      <c r="A158" s="24" t="s">
        <v>263</v>
      </c>
      <c r="B158" s="120">
        <v>1</v>
      </c>
      <c r="C158" s="118">
        <v>1</v>
      </c>
      <c r="D158" s="118" t="s">
        <v>17</v>
      </c>
      <c r="E158" s="104"/>
      <c r="F158" s="350">
        <v>0.10039733040873304</v>
      </c>
      <c r="G158" s="350">
        <v>1.1865914012251325E-2</v>
      </c>
      <c r="H158" s="104"/>
      <c r="I158" s="102">
        <f t="shared" si="30"/>
        <v>640.46136901784212</v>
      </c>
      <c r="J158" s="103">
        <f t="shared" si="31"/>
        <v>64.300611679313789</v>
      </c>
      <c r="K158" s="103">
        <f t="shared" si="32"/>
        <v>576.16075733852836</v>
      </c>
      <c r="L158" s="103">
        <f t="shared" ca="1" si="33"/>
        <v>8.0399405077631839E-2</v>
      </c>
      <c r="M158" s="120"/>
      <c r="N158" s="91">
        <f t="shared" si="34"/>
        <v>0.10039733040873304</v>
      </c>
      <c r="O158" s="120">
        <f t="shared" ca="1" si="35"/>
        <v>8.0399405077631839E-2</v>
      </c>
      <c r="P158" s="104"/>
      <c r="Q158" s="104"/>
    </row>
    <row r="159" spans="1:17" s="91" customFormat="1" x14ac:dyDescent="0.25">
      <c r="A159" s="91" t="s">
        <v>264</v>
      </c>
      <c r="B159" s="120">
        <v>1</v>
      </c>
      <c r="C159" s="118">
        <v>1</v>
      </c>
      <c r="D159" s="118" t="s">
        <v>17</v>
      </c>
      <c r="E159" s="104"/>
      <c r="F159" s="350">
        <v>0</v>
      </c>
      <c r="G159" s="350">
        <v>0</v>
      </c>
      <c r="H159" s="104"/>
      <c r="I159" s="102" t="e">
        <f t="shared" si="30"/>
        <v>#DIV/0!</v>
      </c>
      <c r="J159" s="103" t="e">
        <f t="shared" si="31"/>
        <v>#DIV/0!</v>
      </c>
      <c r="K159" s="103" t="e">
        <f t="shared" si="32"/>
        <v>#DIV/0!</v>
      </c>
      <c r="L159" s="103" t="e">
        <f t="shared" ca="1" si="33"/>
        <v>#DIV/0!</v>
      </c>
      <c r="M159" s="120"/>
      <c r="N159" s="91">
        <f t="shared" si="34"/>
        <v>0</v>
      </c>
      <c r="O159" s="120">
        <f t="shared" si="35"/>
        <v>0</v>
      </c>
      <c r="P159" s="104"/>
      <c r="Q159" s="104"/>
    </row>
    <row r="160" spans="1:17" s="91" customFormat="1" x14ac:dyDescent="0.25">
      <c r="A160" s="91" t="s">
        <v>265</v>
      </c>
      <c r="B160" s="120">
        <v>1</v>
      </c>
      <c r="C160" s="118">
        <v>1</v>
      </c>
      <c r="D160" s="118" t="s">
        <v>17</v>
      </c>
      <c r="E160" s="104"/>
      <c r="F160" s="350">
        <v>0</v>
      </c>
      <c r="G160" s="350">
        <v>0</v>
      </c>
      <c r="H160" s="104"/>
      <c r="I160" s="102" t="e">
        <f t="shared" si="30"/>
        <v>#DIV/0!</v>
      </c>
      <c r="J160" s="103" t="e">
        <f t="shared" si="31"/>
        <v>#DIV/0!</v>
      </c>
      <c r="K160" s="103" t="e">
        <f t="shared" si="32"/>
        <v>#DIV/0!</v>
      </c>
      <c r="L160" s="103" t="e">
        <f t="shared" ca="1" si="33"/>
        <v>#DIV/0!</v>
      </c>
      <c r="M160" s="120"/>
      <c r="N160" s="91">
        <f t="shared" si="34"/>
        <v>0</v>
      </c>
      <c r="O160" s="120">
        <f t="shared" si="35"/>
        <v>0</v>
      </c>
      <c r="P160" s="104"/>
      <c r="Q160" s="104"/>
    </row>
    <row r="161" spans="1:17" s="91" customFormat="1" x14ac:dyDescent="0.25">
      <c r="A161" s="91" t="s">
        <v>266</v>
      </c>
      <c r="B161" s="120">
        <v>1</v>
      </c>
      <c r="C161" s="118">
        <v>1</v>
      </c>
      <c r="D161" s="118" t="s">
        <v>17</v>
      </c>
      <c r="E161" s="104"/>
      <c r="F161" s="350">
        <v>0</v>
      </c>
      <c r="G161" s="350">
        <v>0</v>
      </c>
      <c r="H161" s="104"/>
      <c r="I161" s="102" t="e">
        <f t="shared" si="30"/>
        <v>#DIV/0!</v>
      </c>
      <c r="J161" s="103" t="e">
        <f t="shared" si="31"/>
        <v>#DIV/0!</v>
      </c>
      <c r="K161" s="103" t="e">
        <f t="shared" si="32"/>
        <v>#DIV/0!</v>
      </c>
      <c r="L161" s="103" t="e">
        <f t="shared" ca="1" si="33"/>
        <v>#DIV/0!</v>
      </c>
      <c r="M161" s="120"/>
      <c r="N161" s="91">
        <f t="shared" si="34"/>
        <v>0</v>
      </c>
      <c r="O161" s="120">
        <f t="shared" si="35"/>
        <v>0</v>
      </c>
      <c r="P161" s="104"/>
      <c r="Q161" s="104"/>
    </row>
    <row r="162" spans="1:17" s="91" customFormat="1" x14ac:dyDescent="0.25">
      <c r="A162" s="91" t="s">
        <v>267</v>
      </c>
      <c r="B162" s="120">
        <v>1</v>
      </c>
      <c r="C162" s="118">
        <v>1</v>
      </c>
      <c r="D162" s="118" t="s">
        <v>17</v>
      </c>
      <c r="E162" s="104"/>
      <c r="F162" s="350">
        <v>0</v>
      </c>
      <c r="G162" s="350">
        <v>0</v>
      </c>
      <c r="H162" s="104"/>
      <c r="I162" s="102" t="e">
        <f t="shared" si="30"/>
        <v>#DIV/0!</v>
      </c>
      <c r="J162" s="103" t="e">
        <f t="shared" si="31"/>
        <v>#DIV/0!</v>
      </c>
      <c r="K162" s="103" t="e">
        <f t="shared" si="32"/>
        <v>#DIV/0!</v>
      </c>
      <c r="L162" s="103" t="e">
        <f t="shared" ca="1" si="33"/>
        <v>#DIV/0!</v>
      </c>
      <c r="M162" s="120"/>
      <c r="N162" s="91">
        <f t="shared" si="34"/>
        <v>0</v>
      </c>
      <c r="O162" s="120">
        <f t="shared" si="35"/>
        <v>0</v>
      </c>
      <c r="P162" s="104"/>
      <c r="Q162" s="104"/>
    </row>
    <row r="163" spans="1:17" s="91" customFormat="1" x14ac:dyDescent="0.25">
      <c r="A163" s="91" t="s">
        <v>268</v>
      </c>
      <c r="B163" s="120">
        <v>1</v>
      </c>
      <c r="C163" s="118">
        <v>1</v>
      </c>
      <c r="D163" s="118" t="s">
        <v>17</v>
      </c>
      <c r="E163" s="104"/>
      <c r="F163" s="350">
        <v>9.9999844568059572E-4</v>
      </c>
      <c r="G163" s="350">
        <v>9.8583486209658121E-5</v>
      </c>
      <c r="H163" s="104"/>
      <c r="I163" s="102">
        <f t="shared" si="30"/>
        <v>102790.32630780883</v>
      </c>
      <c r="J163" s="103">
        <f t="shared" si="31"/>
        <v>102.79016653881008</v>
      </c>
      <c r="K163" s="103">
        <f t="shared" si="32"/>
        <v>102687.53614127003</v>
      </c>
      <c r="L163" s="103">
        <f t="shared" ca="1" si="33"/>
        <v>9.1630163761139295E-4</v>
      </c>
      <c r="M163" s="120"/>
      <c r="N163" s="91">
        <f t="shared" si="34"/>
        <v>9.9999844568059572E-4</v>
      </c>
      <c r="O163" s="120">
        <f t="shared" ca="1" si="35"/>
        <v>9.1630163761139295E-4</v>
      </c>
      <c r="P163" s="104"/>
      <c r="Q163" s="104"/>
    </row>
    <row r="164" spans="1:17" s="91" customFormat="1" x14ac:dyDescent="0.25">
      <c r="A164" s="24" t="s">
        <v>269</v>
      </c>
      <c r="B164" s="120">
        <v>1</v>
      </c>
      <c r="C164" s="118">
        <v>1</v>
      </c>
      <c r="D164" s="118" t="s">
        <v>17</v>
      </c>
      <c r="E164" s="104"/>
      <c r="F164" s="350">
        <v>9.9879842177987921E-4</v>
      </c>
      <c r="G164" s="350">
        <v>9.951996950905551E-5</v>
      </c>
      <c r="H164" s="104"/>
      <c r="I164" s="102">
        <f t="shared" si="30"/>
        <v>100743.97407747914</v>
      </c>
      <c r="J164" s="103">
        <f t="shared" si="31"/>
        <v>100.62292231241923</v>
      </c>
      <c r="K164" s="103">
        <f t="shared" si="32"/>
        <v>100643.35115516673</v>
      </c>
      <c r="L164" s="103">
        <f t="shared" ca="1" si="33"/>
        <v>1.0690151051825358E-3</v>
      </c>
      <c r="M164" s="120"/>
      <c r="N164" s="91">
        <f t="shared" si="34"/>
        <v>9.9879842177987921E-4</v>
      </c>
      <c r="O164" s="120">
        <f t="shared" ca="1" si="35"/>
        <v>1.0690151051825358E-3</v>
      </c>
      <c r="P164" s="104"/>
      <c r="Q164" s="104"/>
    </row>
    <row r="165" spans="1:17" s="91" customFormat="1" x14ac:dyDescent="0.25">
      <c r="A165" s="24" t="s">
        <v>270</v>
      </c>
      <c r="B165" s="120">
        <v>1</v>
      </c>
      <c r="C165" s="118">
        <v>1</v>
      </c>
      <c r="D165" s="118" t="s">
        <v>17</v>
      </c>
      <c r="E165" s="104"/>
      <c r="F165" s="350">
        <v>2.0035176366287517E-3</v>
      </c>
      <c r="G165" s="350">
        <v>2.0084098826061268E-4</v>
      </c>
      <c r="H165" s="104"/>
      <c r="I165" s="102">
        <f t="shared" si="30"/>
        <v>49568.835871618867</v>
      </c>
      <c r="J165" s="103">
        <f t="shared" si="31"/>
        <v>99.312036895944317</v>
      </c>
      <c r="K165" s="103">
        <f t="shared" si="32"/>
        <v>49469.523834722924</v>
      </c>
      <c r="L165" s="103">
        <f t="shared" ca="1" si="33"/>
        <v>2.163165793680033E-3</v>
      </c>
      <c r="M165" s="120"/>
      <c r="N165" s="91">
        <f t="shared" si="34"/>
        <v>2.0035176366287517E-3</v>
      </c>
      <c r="O165" s="120">
        <f t="shared" ca="1" si="35"/>
        <v>2.163165793680033E-3</v>
      </c>
      <c r="P165" s="104"/>
      <c r="Q165" s="104"/>
    </row>
    <row r="166" spans="1:17" s="91" customFormat="1" x14ac:dyDescent="0.25">
      <c r="A166" s="24" t="s">
        <v>271</v>
      </c>
      <c r="B166" s="120">
        <v>1</v>
      </c>
      <c r="C166" s="118">
        <v>1</v>
      </c>
      <c r="D166" s="118" t="s">
        <v>17</v>
      </c>
      <c r="E166" s="104"/>
      <c r="F166" s="350">
        <v>1.9991839594574014E-3</v>
      </c>
      <c r="G166" s="350">
        <v>1.9747953522518025E-4</v>
      </c>
      <c r="H166" s="104"/>
      <c r="I166" s="102">
        <f t="shared" si="30"/>
        <v>51160.05153122123</v>
      </c>
      <c r="J166" s="103">
        <f t="shared" si="31"/>
        <v>102.27835438623156</v>
      </c>
      <c r="K166" s="103">
        <f t="shared" si="32"/>
        <v>51057.773176834999</v>
      </c>
      <c r="L166" s="103">
        <f t="shared" ca="1" si="33"/>
        <v>1.7983639754085305E-3</v>
      </c>
      <c r="M166" s="120"/>
      <c r="N166" s="91">
        <f t="shared" si="34"/>
        <v>1.9991839594574014E-3</v>
      </c>
      <c r="O166" s="120">
        <f t="shared" ca="1" si="35"/>
        <v>1.7983639754085305E-3</v>
      </c>
      <c r="P166" s="104"/>
      <c r="Q166" s="104"/>
    </row>
    <row r="167" spans="1:17" s="91" customFormat="1" x14ac:dyDescent="0.25">
      <c r="A167" s="24" t="s">
        <v>272</v>
      </c>
      <c r="B167" s="120">
        <v>1</v>
      </c>
      <c r="C167" s="118">
        <v>1</v>
      </c>
      <c r="D167" s="118" t="s">
        <v>17</v>
      </c>
      <c r="E167" s="104"/>
      <c r="F167" s="350">
        <v>3.2558774090907391E-3</v>
      </c>
      <c r="G167" s="350">
        <v>3.6982029610394402E-4</v>
      </c>
      <c r="H167" s="104"/>
      <c r="I167" s="102">
        <f t="shared" si="30"/>
        <v>23727.497747965088</v>
      </c>
      <c r="J167" s="103">
        <f t="shared" si="31"/>
        <v>77.253823891850914</v>
      </c>
      <c r="K167" s="103">
        <f t="shared" si="32"/>
        <v>23650.243924073235</v>
      </c>
      <c r="L167" s="103">
        <f t="shared" ca="1" si="33"/>
        <v>2.8854492577260098E-3</v>
      </c>
      <c r="M167" s="120"/>
      <c r="N167" s="91">
        <f t="shared" si="34"/>
        <v>3.2558774090907391E-3</v>
      </c>
      <c r="O167" s="120">
        <f t="shared" ca="1" si="35"/>
        <v>2.8854492577260098E-3</v>
      </c>
      <c r="P167" s="104"/>
      <c r="Q167" s="104"/>
    </row>
    <row r="168" spans="1:17" s="91" customFormat="1" x14ac:dyDescent="0.25">
      <c r="A168" s="24" t="s">
        <v>273</v>
      </c>
      <c r="B168" s="120">
        <v>1</v>
      </c>
      <c r="C168" s="118">
        <v>1</v>
      </c>
      <c r="D168" s="118" t="s">
        <v>17</v>
      </c>
      <c r="E168" s="104"/>
      <c r="F168" s="350">
        <v>3.2652351126433751E-3</v>
      </c>
      <c r="G168" s="350">
        <v>3.7649676297662229E-4</v>
      </c>
      <c r="H168" s="104"/>
      <c r="I168" s="102">
        <f t="shared" si="30"/>
        <v>22958.983467848953</v>
      </c>
      <c r="J168" s="103">
        <f t="shared" si="31"/>
        <v>74.966478969819164</v>
      </c>
      <c r="K168" s="103">
        <f t="shared" si="32"/>
        <v>22884.016988879132</v>
      </c>
      <c r="L168" s="103">
        <f t="shared" ca="1" si="33"/>
        <v>3.72164078299142E-3</v>
      </c>
      <c r="M168" s="120"/>
      <c r="N168" s="91">
        <f t="shared" si="34"/>
        <v>3.2652351126433751E-3</v>
      </c>
      <c r="O168" s="120">
        <f t="shared" ca="1" si="35"/>
        <v>3.72164078299142E-3</v>
      </c>
      <c r="P168" s="104"/>
      <c r="Q168" s="104"/>
    </row>
    <row r="169" spans="1:17" s="91" customFormat="1" x14ac:dyDescent="0.25">
      <c r="A169" s="24" t="s">
        <v>274</v>
      </c>
      <c r="B169" s="120">
        <v>1</v>
      </c>
      <c r="C169" s="118">
        <v>1</v>
      </c>
      <c r="D169" s="118" t="s">
        <v>17</v>
      </c>
      <c r="E169" s="104"/>
      <c r="F169" s="350">
        <v>1.9521961194558405E-2</v>
      </c>
      <c r="G169" s="350">
        <v>2.2378028263836118E-3</v>
      </c>
      <c r="H169" s="104"/>
      <c r="I169" s="102">
        <f t="shared" si="30"/>
        <v>3821.2375935387918</v>
      </c>
      <c r="J169" s="103">
        <f t="shared" si="31"/>
        <v>74.598052016252041</v>
      </c>
      <c r="K169" s="103">
        <f t="shared" si="32"/>
        <v>3746.6395415225402</v>
      </c>
      <c r="L169" s="103">
        <f t="shared" ca="1" si="33"/>
        <v>2.1786519605046517E-2</v>
      </c>
      <c r="M169" s="120"/>
      <c r="N169" s="91">
        <f t="shared" si="34"/>
        <v>1.9521961194558405E-2</v>
      </c>
      <c r="O169" s="120">
        <f t="shared" ca="1" si="35"/>
        <v>2.1786519605046517E-2</v>
      </c>
      <c r="P169" s="104"/>
      <c r="Q169" s="104"/>
    </row>
    <row r="170" spans="1:17" s="91" customFormat="1" x14ac:dyDescent="0.25">
      <c r="A170" s="24" t="s">
        <v>275</v>
      </c>
      <c r="B170" s="120">
        <v>1</v>
      </c>
      <c r="C170" s="118">
        <v>1</v>
      </c>
      <c r="D170" s="118" t="s">
        <v>17</v>
      </c>
      <c r="E170" s="104"/>
      <c r="F170" s="350">
        <v>2.0289644212289015E-2</v>
      </c>
      <c r="G170" s="350">
        <v>2.3336088491645902E-3</v>
      </c>
      <c r="H170" s="104"/>
      <c r="I170" s="102">
        <f t="shared" si="30"/>
        <v>3649.1944822263713</v>
      </c>
      <c r="J170" s="103">
        <f t="shared" si="31"/>
        <v>74.04085770582131</v>
      </c>
      <c r="K170" s="103">
        <f t="shared" si="32"/>
        <v>3575.1536245205502</v>
      </c>
      <c r="L170" s="103">
        <f t="shared" ca="1" si="33"/>
        <v>2.0833309678371159E-2</v>
      </c>
      <c r="M170" s="120"/>
      <c r="N170" s="91">
        <f t="shared" si="34"/>
        <v>2.0289644212289015E-2</v>
      </c>
      <c r="O170" s="120">
        <f t="shared" ca="1" si="35"/>
        <v>2.0833309678371159E-2</v>
      </c>
      <c r="P170" s="104"/>
      <c r="Q170" s="104"/>
    </row>
    <row r="171" spans="1:17" s="91" customFormat="1" x14ac:dyDescent="0.25">
      <c r="A171" s="24" t="s">
        <v>276</v>
      </c>
      <c r="B171" s="120">
        <v>1</v>
      </c>
      <c r="C171" s="118">
        <v>1</v>
      </c>
      <c r="D171" s="118" t="s">
        <v>17</v>
      </c>
      <c r="E171" s="104"/>
      <c r="F171" s="350">
        <v>6.9642082595310004E-2</v>
      </c>
      <c r="G171" s="350">
        <v>7.7706463953294896E-3</v>
      </c>
      <c r="H171" s="104"/>
      <c r="I171" s="102">
        <f t="shared" si="30"/>
        <v>1072.0192523162304</v>
      </c>
      <c r="J171" s="103">
        <f t="shared" si="31"/>
        <v>74.657653313569398</v>
      </c>
      <c r="K171" s="103">
        <f t="shared" si="32"/>
        <v>997.36159900266114</v>
      </c>
      <c r="L171" s="103">
        <f t="shared" ca="1" si="33"/>
        <v>7.0303515936985028E-2</v>
      </c>
      <c r="M171" s="120"/>
      <c r="N171" s="91">
        <f t="shared" si="34"/>
        <v>6.9642082595310004E-2</v>
      </c>
      <c r="O171" s="120">
        <f t="shared" ca="1" si="35"/>
        <v>7.0303515936985028E-2</v>
      </c>
      <c r="P171" s="104"/>
      <c r="Q171" s="104"/>
    </row>
    <row r="172" spans="1:17" s="91" customFormat="1" x14ac:dyDescent="0.25">
      <c r="A172" s="24" t="s">
        <v>277</v>
      </c>
      <c r="B172" s="120">
        <v>1</v>
      </c>
      <c r="C172" s="118">
        <v>1</v>
      </c>
      <c r="D172" s="118" t="s">
        <v>17</v>
      </c>
      <c r="E172" s="104"/>
      <c r="F172" s="350">
        <v>7.2179204558453169E-2</v>
      </c>
      <c r="G172" s="350">
        <v>8.2982268081665308E-3</v>
      </c>
      <c r="H172" s="104"/>
      <c r="I172" s="102">
        <f t="shared" si="30"/>
        <v>971.53578902190441</v>
      </c>
      <c r="J172" s="103">
        <f t="shared" si="31"/>
        <v>70.124680451670244</v>
      </c>
      <c r="K172" s="103">
        <f t="shared" si="32"/>
        <v>901.41110857023421</v>
      </c>
      <c r="L172" s="103">
        <f t="shared" ca="1" si="33"/>
        <v>6.3206926140043265E-2</v>
      </c>
      <c r="M172" s="120"/>
      <c r="N172" s="91">
        <f t="shared" si="34"/>
        <v>7.2179204558453169E-2</v>
      </c>
      <c r="O172" s="120">
        <f t="shared" ca="1" si="35"/>
        <v>6.3206926140043265E-2</v>
      </c>
      <c r="P172" s="104"/>
      <c r="Q172" s="104"/>
    </row>
    <row r="173" spans="1:17" s="91" customFormat="1" x14ac:dyDescent="0.25">
      <c r="A173" s="24" t="s">
        <v>278</v>
      </c>
      <c r="B173" s="120">
        <v>1</v>
      </c>
      <c r="C173" s="118">
        <v>1</v>
      </c>
      <c r="D173" s="118" t="s">
        <v>17</v>
      </c>
      <c r="E173" s="104"/>
      <c r="F173" s="350">
        <v>0.14189314414417684</v>
      </c>
      <c r="G173" s="350">
        <v>1.59538792177824E-2</v>
      </c>
      <c r="H173" s="104"/>
      <c r="I173" s="102">
        <f t="shared" si="30"/>
        <v>477.37688255261071</v>
      </c>
      <c r="J173" s="103">
        <f t="shared" si="31"/>
        <v>67.73650680713537</v>
      </c>
      <c r="K173" s="103">
        <f t="shared" si="32"/>
        <v>409.64037574547535</v>
      </c>
      <c r="L173" s="103">
        <f t="shared" ca="1" si="33"/>
        <v>0.14274072801635307</v>
      </c>
      <c r="M173" s="120"/>
      <c r="N173" s="91">
        <f t="shared" si="34"/>
        <v>0.14189314414417684</v>
      </c>
      <c r="O173" s="120">
        <f t="shared" ca="1" si="35"/>
        <v>0.14274072801635307</v>
      </c>
      <c r="P173" s="104"/>
      <c r="Q173" s="104"/>
    </row>
    <row r="174" spans="1:17" s="91" customFormat="1" x14ac:dyDescent="0.25">
      <c r="A174" s="24" t="s">
        <v>279</v>
      </c>
      <c r="B174" s="120">
        <v>1</v>
      </c>
      <c r="C174" s="118">
        <v>1</v>
      </c>
      <c r="D174" s="118" t="s">
        <v>17</v>
      </c>
      <c r="E174" s="104"/>
      <c r="F174" s="350">
        <v>0.14191615243649011</v>
      </c>
      <c r="G174" s="350">
        <v>1.5867158980803174E-2</v>
      </c>
      <c r="H174" s="104"/>
      <c r="I174" s="102">
        <f t="shared" si="30"/>
        <v>482.68565664065568</v>
      </c>
      <c r="J174" s="103">
        <f t="shared" si="31"/>
        <v>68.500891226722615</v>
      </c>
      <c r="K174" s="103">
        <f t="shared" si="32"/>
        <v>414.18476541393306</v>
      </c>
      <c r="L174" s="103">
        <f t="shared" ca="1" si="33"/>
        <v>0.12698525848927417</v>
      </c>
      <c r="M174" s="120"/>
      <c r="N174" s="91">
        <f t="shared" si="34"/>
        <v>0.14191615243649011</v>
      </c>
      <c r="O174" s="120">
        <f t="shared" ca="1" si="35"/>
        <v>0.12698525848927417</v>
      </c>
      <c r="P174" s="104"/>
      <c r="Q174" s="104"/>
    </row>
    <row r="175" spans="1:17" s="91" customFormat="1" x14ac:dyDescent="0.25">
      <c r="A175" s="24" t="s">
        <v>280</v>
      </c>
      <c r="B175" s="120">
        <v>1</v>
      </c>
      <c r="C175" s="118">
        <v>1</v>
      </c>
      <c r="D175" s="118" t="s">
        <v>17</v>
      </c>
      <c r="E175" s="104"/>
      <c r="F175" s="350">
        <v>0.22714804410319012</v>
      </c>
      <c r="G175" s="350">
        <v>2.5504473748506038E-2</v>
      </c>
      <c r="H175" s="104"/>
      <c r="I175" s="102">
        <f t="shared" si="30"/>
        <v>268.88116625618932</v>
      </c>
      <c r="J175" s="103">
        <f t="shared" si="31"/>
        <v>61.075831011278083</v>
      </c>
      <c r="K175" s="103">
        <f t="shared" si="32"/>
        <v>207.80533524491122</v>
      </c>
      <c r="L175" s="103">
        <f t="shared" ca="1" si="33"/>
        <v>0.23445327523111215</v>
      </c>
      <c r="M175" s="120"/>
      <c r="N175" s="91">
        <f t="shared" si="34"/>
        <v>0.22714804410319012</v>
      </c>
      <c r="O175" s="120">
        <f t="shared" ca="1" si="35"/>
        <v>0.23445327523111215</v>
      </c>
      <c r="P175" s="104"/>
      <c r="Q175" s="104"/>
    </row>
    <row r="176" spans="1:17" s="91" customFormat="1" x14ac:dyDescent="0.25">
      <c r="A176" s="24" t="s">
        <v>281</v>
      </c>
      <c r="B176" s="120">
        <v>1</v>
      </c>
      <c r="C176" s="118">
        <v>1</v>
      </c>
      <c r="D176" s="118" t="s">
        <v>17</v>
      </c>
      <c r="E176" s="104"/>
      <c r="F176" s="350">
        <v>0.22696263719409748</v>
      </c>
      <c r="G176" s="350">
        <v>2.5301438220583498E-2</v>
      </c>
      <c r="H176" s="104"/>
      <c r="I176" s="102">
        <f t="shared" si="30"/>
        <v>273.07185341213096</v>
      </c>
      <c r="J176" s="103">
        <f t="shared" si="31"/>
        <v>61.977107993897249</v>
      </c>
      <c r="K176" s="103">
        <f t="shared" si="32"/>
        <v>211.09474541823371</v>
      </c>
      <c r="L176" s="103">
        <f t="shared" ca="1" si="33"/>
        <v>0.23420271139208282</v>
      </c>
      <c r="M176" s="120"/>
      <c r="N176" s="91">
        <f t="shared" si="34"/>
        <v>0.22696263719409748</v>
      </c>
      <c r="O176" s="120">
        <f t="shared" ca="1" si="35"/>
        <v>0.23420271139208282</v>
      </c>
      <c r="P176" s="104"/>
      <c r="Q176" s="104"/>
    </row>
    <row r="177" spans="1:17" s="91" customFormat="1" x14ac:dyDescent="0.25">
      <c r="A177" s="24" t="s">
        <v>282</v>
      </c>
      <c r="B177" s="120">
        <v>1</v>
      </c>
      <c r="C177" s="118">
        <v>1</v>
      </c>
      <c r="D177" s="118" t="s">
        <v>17</v>
      </c>
      <c r="E177" s="104"/>
      <c r="F177" s="350">
        <v>0.22690263779525541</v>
      </c>
      <c r="G177" s="350">
        <v>2.5626605060638886E-2</v>
      </c>
      <c r="H177" s="104"/>
      <c r="I177" s="102">
        <f t="shared" si="30"/>
        <v>266.11088382465624</v>
      </c>
      <c r="J177" s="103">
        <f t="shared" si="31"/>
        <v>60.381261485841264</v>
      </c>
      <c r="K177" s="103">
        <f t="shared" si="32"/>
        <v>205.72962233881495</v>
      </c>
      <c r="L177" s="103">
        <f t="shared" ca="1" si="33"/>
        <v>0.23029026984098766</v>
      </c>
      <c r="M177" s="120"/>
      <c r="N177" s="91">
        <f t="shared" si="34"/>
        <v>0.22690263779525541</v>
      </c>
      <c r="O177" s="120">
        <f t="shared" ca="1" si="35"/>
        <v>0.23029026984098766</v>
      </c>
      <c r="P177" s="104"/>
      <c r="Q177" s="104"/>
    </row>
    <row r="178" spans="1:17" s="91" customFormat="1" x14ac:dyDescent="0.25">
      <c r="A178" s="24" t="s">
        <v>283</v>
      </c>
      <c r="B178" s="120">
        <v>1</v>
      </c>
      <c r="C178" s="118">
        <v>1</v>
      </c>
      <c r="D178" s="118" t="s">
        <v>17</v>
      </c>
      <c r="E178" s="104"/>
      <c r="F178" s="350">
        <v>0</v>
      </c>
      <c r="G178" s="350">
        <v>0</v>
      </c>
      <c r="H178" s="104"/>
      <c r="I178" s="102" t="e">
        <f t="shared" si="30"/>
        <v>#DIV/0!</v>
      </c>
      <c r="J178" s="103" t="e">
        <f t="shared" si="31"/>
        <v>#DIV/0!</v>
      </c>
      <c r="K178" s="103" t="e">
        <f t="shared" si="32"/>
        <v>#DIV/0!</v>
      </c>
      <c r="L178" s="103" t="e">
        <f t="shared" ca="1" si="33"/>
        <v>#DIV/0!</v>
      </c>
      <c r="M178" s="120"/>
      <c r="N178" s="91">
        <f t="shared" si="34"/>
        <v>0</v>
      </c>
      <c r="O178" s="120">
        <f t="shared" si="35"/>
        <v>0</v>
      </c>
      <c r="P178" s="104"/>
      <c r="Q178" s="104"/>
    </row>
    <row r="179" spans="1:17" s="91" customFormat="1" x14ac:dyDescent="0.25">
      <c r="A179" s="91" t="s">
        <v>284</v>
      </c>
      <c r="B179" s="120">
        <v>1</v>
      </c>
      <c r="C179" s="118">
        <v>1</v>
      </c>
      <c r="D179" s="118" t="s">
        <v>17</v>
      </c>
      <c r="E179" s="104"/>
      <c r="F179" s="350">
        <v>1.0004045184682006E-4</v>
      </c>
      <c r="G179" s="350">
        <v>9.9564375916364823E-6</v>
      </c>
      <c r="H179" s="104"/>
      <c r="I179" s="102">
        <f t="shared" si="30"/>
        <v>1009075.8520437834</v>
      </c>
      <c r="J179" s="103">
        <f t="shared" si="31"/>
        <v>100.94840418617504</v>
      </c>
      <c r="K179" s="103">
        <f t="shared" si="32"/>
        <v>1008974.9036395972</v>
      </c>
      <c r="L179" s="103">
        <f t="shared" ca="1" si="33"/>
        <v>9.385877678968918E-5</v>
      </c>
      <c r="M179" s="120"/>
      <c r="N179" s="91">
        <f t="shared" si="34"/>
        <v>1.0004045184682006E-4</v>
      </c>
      <c r="O179" s="120">
        <f t="shared" ca="1" si="35"/>
        <v>9.385877678968918E-5</v>
      </c>
      <c r="P179" s="104"/>
      <c r="Q179" s="104"/>
    </row>
    <row r="180" spans="1:17" s="91" customFormat="1" x14ac:dyDescent="0.25">
      <c r="A180" s="91" t="s">
        <v>285</v>
      </c>
      <c r="B180" s="120">
        <v>1</v>
      </c>
      <c r="C180" s="118">
        <v>1</v>
      </c>
      <c r="D180" s="118" t="s">
        <v>17</v>
      </c>
      <c r="E180" s="104"/>
      <c r="F180" s="350">
        <v>2.0017595528866821E-4</v>
      </c>
      <c r="G180" s="350">
        <v>2.0052203604616301E-5</v>
      </c>
      <c r="H180" s="104"/>
      <c r="I180" s="102">
        <f t="shared" si="30"/>
        <v>497736.94956782775</v>
      </c>
      <c r="J180" s="103">
        <f t="shared" si="31"/>
        <v>99.634969362207585</v>
      </c>
      <c r="K180" s="103">
        <f t="shared" si="32"/>
        <v>497637.31459846557</v>
      </c>
      <c r="L180" s="103">
        <f t="shared" ca="1" si="33"/>
        <v>1.9356038178017348E-4</v>
      </c>
      <c r="M180" s="120"/>
      <c r="N180" s="91">
        <f t="shared" si="34"/>
        <v>2.0017595528866821E-4</v>
      </c>
      <c r="O180" s="120">
        <f t="shared" ca="1" si="35"/>
        <v>1.9356038178017348E-4</v>
      </c>
      <c r="P180" s="104"/>
      <c r="Q180" s="104"/>
    </row>
    <row r="181" spans="1:17" s="91" customFormat="1" x14ac:dyDescent="0.25">
      <c r="A181" s="91" t="s">
        <v>286</v>
      </c>
      <c r="B181" s="120">
        <v>1</v>
      </c>
      <c r="C181" s="118">
        <v>1</v>
      </c>
      <c r="D181" s="118" t="s">
        <v>17</v>
      </c>
      <c r="E181" s="104"/>
      <c r="F181" s="350">
        <v>3.0038392386315046E-4</v>
      </c>
      <c r="G181" s="350">
        <v>3.0061197934804664E-5</v>
      </c>
      <c r="H181" s="104"/>
      <c r="I181" s="102">
        <f t="shared" si="30"/>
        <v>332301.52791104594</v>
      </c>
      <c r="J181" s="103">
        <f t="shared" si="31"/>
        <v>99.818036859640188</v>
      </c>
      <c r="K181" s="103">
        <f t="shared" si="32"/>
        <v>332201.70987418626</v>
      </c>
      <c r="L181" s="103">
        <f t="shared" ca="1" si="33"/>
        <v>3.0499339760514665E-4</v>
      </c>
      <c r="M181" s="120"/>
      <c r="N181" s="91">
        <f t="shared" si="34"/>
        <v>3.0038392386315046E-4</v>
      </c>
      <c r="O181" s="120">
        <f t="shared" ca="1" si="35"/>
        <v>3.0499339760514665E-4</v>
      </c>
      <c r="P181" s="104"/>
      <c r="Q181" s="104"/>
    </row>
    <row r="182" spans="1:17" s="91" customFormat="1" x14ac:dyDescent="0.25">
      <c r="A182" s="91" t="s">
        <v>287</v>
      </c>
      <c r="B182" s="120">
        <v>1</v>
      </c>
      <c r="C182" s="118">
        <v>1</v>
      </c>
      <c r="D182" s="118" t="s">
        <v>17</v>
      </c>
      <c r="E182" s="104"/>
      <c r="F182" s="350">
        <v>2.9971339408463489E-4</v>
      </c>
      <c r="G182" s="350">
        <v>2.9968649704761303E-5</v>
      </c>
      <c r="H182" s="104"/>
      <c r="I182" s="102">
        <f t="shared" si="30"/>
        <v>333610.96454838413</v>
      </c>
      <c r="J182" s="103">
        <f t="shared" si="31"/>
        <v>99.987674488645013</v>
      </c>
      <c r="K182" s="103">
        <f t="shared" si="32"/>
        <v>333510.9768738955</v>
      </c>
      <c r="L182" s="103">
        <f t="shared" ca="1" si="33"/>
        <v>2.8083376420340409E-4</v>
      </c>
      <c r="M182" s="120"/>
      <c r="N182" s="91">
        <f t="shared" si="34"/>
        <v>2.9971339408463489E-4</v>
      </c>
      <c r="O182" s="120">
        <f t="shared" ca="1" si="35"/>
        <v>2.8083376420340409E-4</v>
      </c>
      <c r="P182" s="104"/>
      <c r="Q182" s="104"/>
    </row>
    <row r="183" spans="1:17" s="91" customFormat="1" x14ac:dyDescent="0.25">
      <c r="A183" s="91" t="s">
        <v>288</v>
      </c>
      <c r="B183" s="120">
        <v>1</v>
      </c>
      <c r="C183" s="118">
        <v>1</v>
      </c>
      <c r="D183" s="118" t="s">
        <v>17</v>
      </c>
      <c r="E183" s="104"/>
      <c r="F183" s="350">
        <v>3.0028481590652144E-4</v>
      </c>
      <c r="G183" s="350">
        <v>2.9696462070629282E-5</v>
      </c>
      <c r="H183" s="104"/>
      <c r="I183" s="102">
        <f t="shared" si="30"/>
        <v>340402.10785855114</v>
      </c>
      <c r="J183" s="103">
        <f t="shared" si="31"/>
        <v>102.21758429249688</v>
      </c>
      <c r="K183" s="103">
        <f t="shared" si="32"/>
        <v>340299.89027425868</v>
      </c>
      <c r="L183" s="103">
        <f t="shared" ca="1" si="33"/>
        <v>3.0590212363257319E-4</v>
      </c>
      <c r="M183" s="120"/>
      <c r="N183" s="91">
        <f t="shared" si="34"/>
        <v>3.0028481590652144E-4</v>
      </c>
      <c r="O183" s="120">
        <f t="shared" ca="1" si="35"/>
        <v>3.0590212363257319E-4</v>
      </c>
      <c r="P183" s="104"/>
      <c r="Q183" s="104"/>
    </row>
    <row r="184" spans="1:17" s="91" customFormat="1" x14ac:dyDescent="0.25">
      <c r="A184" s="91" t="s">
        <v>289</v>
      </c>
      <c r="B184" s="120">
        <v>1</v>
      </c>
      <c r="C184" s="118">
        <v>1</v>
      </c>
      <c r="D184" s="118" t="s">
        <v>17</v>
      </c>
      <c r="E184" s="104"/>
      <c r="F184" s="350">
        <v>4.0007290413777915E-4</v>
      </c>
      <c r="G184" s="350">
        <v>3.9111445729368459E-5</v>
      </c>
      <c r="H184" s="104"/>
      <c r="I184" s="102">
        <f t="shared" si="30"/>
        <v>261430.31970588511</v>
      </c>
      <c r="J184" s="103">
        <f t="shared" si="31"/>
        <v>104.59118723440153</v>
      </c>
      <c r="K184" s="103">
        <f t="shared" si="32"/>
        <v>261325.72851865069</v>
      </c>
      <c r="L184" s="103">
        <f t="shared" ca="1" si="33"/>
        <v>4.7843938884517545E-4</v>
      </c>
      <c r="M184" s="120"/>
      <c r="N184" s="91">
        <f t="shared" si="34"/>
        <v>4.0007290413777915E-4</v>
      </c>
      <c r="O184" s="120">
        <f t="shared" ca="1" si="35"/>
        <v>4.7843938884517545E-4</v>
      </c>
      <c r="P184" s="104"/>
      <c r="Q184" s="104"/>
    </row>
    <row r="185" spans="1:17" s="91" customFormat="1" x14ac:dyDescent="0.25">
      <c r="A185" s="24" t="s">
        <v>290</v>
      </c>
      <c r="B185" s="120">
        <v>1</v>
      </c>
      <c r="C185" s="118">
        <v>1</v>
      </c>
      <c r="D185" s="118" t="s">
        <v>17</v>
      </c>
      <c r="E185" s="104"/>
      <c r="F185" s="350">
        <v>4.99443851809738E-4</v>
      </c>
      <c r="G185" s="350">
        <v>4.9841468292270148E-5</v>
      </c>
      <c r="H185" s="104"/>
      <c r="I185" s="102">
        <f t="shared" si="30"/>
        <v>200949.02092419573</v>
      </c>
      <c r="J185" s="103">
        <f t="shared" si="31"/>
        <v>100.36275302777595</v>
      </c>
      <c r="K185" s="103">
        <f t="shared" si="32"/>
        <v>200848.65817116795</v>
      </c>
      <c r="L185" s="103">
        <f t="shared" ca="1" si="33"/>
        <v>5.488468690063586E-4</v>
      </c>
      <c r="M185" s="120"/>
      <c r="N185" s="91">
        <f t="shared" si="34"/>
        <v>4.99443851809738E-4</v>
      </c>
      <c r="O185" s="120">
        <f t="shared" ca="1" si="35"/>
        <v>5.488468690063586E-4</v>
      </c>
      <c r="P185" s="104"/>
      <c r="Q185" s="104"/>
    </row>
    <row r="186" spans="1:17" s="91" customFormat="1" x14ac:dyDescent="0.25">
      <c r="A186" s="91" t="s">
        <v>291</v>
      </c>
      <c r="B186" s="120">
        <v>1</v>
      </c>
      <c r="C186" s="118">
        <v>1</v>
      </c>
      <c r="D186" s="118" t="s">
        <v>17</v>
      </c>
      <c r="E186" s="104"/>
      <c r="F186" s="350">
        <v>4.3640792469860657E-4</v>
      </c>
      <c r="G186" s="350">
        <v>5.1026465245502269E-5</v>
      </c>
      <c r="H186" s="104"/>
      <c r="I186" s="102">
        <f t="shared" si="30"/>
        <v>167536.52228677785</v>
      </c>
      <c r="J186" s="103">
        <f t="shared" si="31"/>
        <v>73.114266002394572</v>
      </c>
      <c r="K186" s="103">
        <f t="shared" si="32"/>
        <v>167463.40802077547</v>
      </c>
      <c r="L186" s="103">
        <f t="shared" ca="1" si="33"/>
        <v>4.1696236460131474E-4</v>
      </c>
      <c r="M186" s="120"/>
      <c r="N186" s="91">
        <f t="shared" si="34"/>
        <v>4.3640792469860657E-4</v>
      </c>
      <c r="O186" s="120">
        <f t="shared" ca="1" si="35"/>
        <v>4.1696236460131474E-4</v>
      </c>
      <c r="P186" s="104"/>
      <c r="Q186" s="104"/>
    </row>
    <row r="187" spans="1:17" s="91" customFormat="1" x14ac:dyDescent="0.25">
      <c r="A187" s="91" t="s">
        <v>292</v>
      </c>
      <c r="B187" s="120">
        <v>1</v>
      </c>
      <c r="C187" s="118">
        <v>1</v>
      </c>
      <c r="D187" s="118" t="s">
        <v>17</v>
      </c>
      <c r="E187" s="104"/>
      <c r="F187" s="350">
        <v>1.0675178111135076E-3</v>
      </c>
      <c r="G187" s="350">
        <v>1.2387999133525499E-4</v>
      </c>
      <c r="H187" s="104"/>
      <c r="I187" s="102">
        <f t="shared" si="30"/>
        <v>69486.859266259227</v>
      </c>
      <c r="J187" s="103">
        <f t="shared" si="31"/>
        <v>74.178459905069403</v>
      </c>
      <c r="K187" s="103">
        <f t="shared" si="32"/>
        <v>69412.680806354168</v>
      </c>
      <c r="L187" s="103">
        <f t="shared" ca="1" si="33"/>
        <v>1.0559014811222251E-3</v>
      </c>
      <c r="M187" s="120"/>
      <c r="N187" s="91">
        <f t="shared" si="34"/>
        <v>1.0675178111135076E-3</v>
      </c>
      <c r="O187" s="120">
        <f t="shared" ca="1" si="35"/>
        <v>1.0559014811222251E-3</v>
      </c>
      <c r="P187" s="104"/>
      <c r="Q187" s="104"/>
    </row>
    <row r="188" spans="1:17" s="91" customFormat="1" x14ac:dyDescent="0.25">
      <c r="A188" s="91" t="s">
        <v>293</v>
      </c>
      <c r="B188" s="120">
        <v>1</v>
      </c>
      <c r="C188" s="118">
        <v>1</v>
      </c>
      <c r="D188" s="118" t="s">
        <v>17</v>
      </c>
      <c r="E188" s="104"/>
      <c r="F188" s="350">
        <v>2.3277178234486664E-3</v>
      </c>
      <c r="G188" s="350">
        <v>2.7061857572769434E-4</v>
      </c>
      <c r="H188" s="104"/>
      <c r="I188" s="102">
        <f t="shared" si="30"/>
        <v>31709.495671097058</v>
      </c>
      <c r="J188" s="103">
        <f t="shared" si="31"/>
        <v>73.810758246180953</v>
      </c>
      <c r="K188" s="103">
        <f t="shared" si="32"/>
        <v>31635.684912850877</v>
      </c>
      <c r="L188" s="103">
        <f t="shared" ca="1" si="33"/>
        <v>2.2564167634685243E-3</v>
      </c>
      <c r="M188" s="120"/>
      <c r="N188" s="91">
        <f t="shared" si="34"/>
        <v>2.3277178234486664E-3</v>
      </c>
      <c r="O188" s="120">
        <f t="shared" ca="1" si="35"/>
        <v>2.2564167634685243E-3</v>
      </c>
      <c r="P188" s="104"/>
      <c r="Q188" s="104"/>
    </row>
    <row r="189" spans="1:17" s="91" customFormat="1" x14ac:dyDescent="0.25">
      <c r="A189" s="91" t="s">
        <v>294</v>
      </c>
      <c r="B189" s="120">
        <v>1</v>
      </c>
      <c r="C189" s="118">
        <v>1</v>
      </c>
      <c r="D189" s="118" t="s">
        <v>17</v>
      </c>
      <c r="E189" s="104"/>
      <c r="F189" s="350">
        <v>5.0332149603064926E-3</v>
      </c>
      <c r="G189" s="350">
        <v>5.7242423588807457E-4</v>
      </c>
      <c r="H189" s="104"/>
      <c r="I189" s="102">
        <f t="shared" si="30"/>
        <v>15282.331583613201</v>
      </c>
      <c r="J189" s="103">
        <f t="shared" si="31"/>
        <v>76.919259955006368</v>
      </c>
      <c r="K189" s="103">
        <f t="shared" si="32"/>
        <v>15205.412323658193</v>
      </c>
      <c r="L189" s="103">
        <f t="shared" ca="1" si="33"/>
        <v>5.3618274131008725E-3</v>
      </c>
      <c r="M189" s="120"/>
      <c r="N189" s="91">
        <f t="shared" si="34"/>
        <v>5.0332149603064926E-3</v>
      </c>
      <c r="O189" s="120">
        <f t="shared" ca="1" si="35"/>
        <v>5.3618274131008725E-3</v>
      </c>
      <c r="P189" s="104"/>
      <c r="Q189" s="104"/>
    </row>
    <row r="190" spans="1:17" s="91" customFormat="1" x14ac:dyDescent="0.25">
      <c r="A190" s="91" t="s">
        <v>295</v>
      </c>
      <c r="B190" s="120">
        <v>1</v>
      </c>
      <c r="C190" s="118">
        <v>1</v>
      </c>
      <c r="D190" s="118" t="s">
        <v>17</v>
      </c>
      <c r="E190" s="104"/>
      <c r="F190" s="350">
        <v>4.4593362960897859E-3</v>
      </c>
      <c r="G190" s="350">
        <v>5.7065961463099936E-4</v>
      </c>
      <c r="H190" s="104"/>
      <c r="I190" s="102">
        <f t="shared" si="30"/>
        <v>13631.482590463478</v>
      </c>
      <c r="J190" s="103">
        <f t="shared" si="31"/>
        <v>60.787365085169803</v>
      </c>
      <c r="K190" s="103">
        <f t="shared" si="32"/>
        <v>13570.695225378309</v>
      </c>
      <c r="L190" s="103">
        <f t="shared" ca="1" si="33"/>
        <v>4.3054155733495379E-3</v>
      </c>
      <c r="M190" s="120"/>
      <c r="N190" s="91">
        <f t="shared" si="34"/>
        <v>4.4593362960897859E-3</v>
      </c>
      <c r="O190" s="120">
        <f t="shared" ca="1" si="35"/>
        <v>4.3054155733495379E-3</v>
      </c>
      <c r="P190" s="104"/>
      <c r="Q190" s="104"/>
    </row>
    <row r="191" spans="1:17" s="91" customFormat="1" x14ac:dyDescent="0.25">
      <c r="A191" s="91" t="s">
        <v>296</v>
      </c>
      <c r="B191" s="120">
        <v>1</v>
      </c>
      <c r="C191" s="118">
        <v>1</v>
      </c>
      <c r="D191" s="118" t="s">
        <v>17</v>
      </c>
      <c r="E191" s="104"/>
      <c r="F191" s="350">
        <v>8.6223197719055792E-3</v>
      </c>
      <c r="G191" s="350">
        <v>1.0483095767057802E-3</v>
      </c>
      <c r="H191" s="104"/>
      <c r="I191" s="102">
        <f t="shared" si="30"/>
        <v>7777.2904435343298</v>
      </c>
      <c r="J191" s="103">
        <f t="shared" si="31"/>
        <v>67.058285163138365</v>
      </c>
      <c r="K191" s="103">
        <f t="shared" si="32"/>
        <v>7710.2321583711919</v>
      </c>
      <c r="L191" s="103">
        <f t="shared" ca="1" si="33"/>
        <v>7.1962522177541864E-3</v>
      </c>
      <c r="M191" s="120"/>
      <c r="N191" s="91">
        <f t="shared" si="34"/>
        <v>8.6223197719055792E-3</v>
      </c>
      <c r="O191" s="120">
        <f t="shared" ca="1" si="35"/>
        <v>7.1962522177541864E-3</v>
      </c>
      <c r="P191" s="104"/>
      <c r="Q191" s="104"/>
    </row>
    <row r="192" spans="1:17" s="91" customFormat="1" x14ac:dyDescent="0.25">
      <c r="A192" s="91" t="s">
        <v>297</v>
      </c>
      <c r="B192" s="120">
        <v>1</v>
      </c>
      <c r="C192" s="118">
        <v>1</v>
      </c>
      <c r="D192" s="118" t="s">
        <v>17</v>
      </c>
      <c r="E192" s="104"/>
      <c r="F192" s="350">
        <v>7.6741224017772124E-3</v>
      </c>
      <c r="G192" s="350">
        <v>9.5354166929162432E-4</v>
      </c>
      <c r="H192" s="104"/>
      <c r="I192" s="102">
        <f t="shared" si="30"/>
        <v>8374.3639113530662</v>
      </c>
      <c r="J192" s="103">
        <f t="shared" si="31"/>
        <v>64.265893692749202</v>
      </c>
      <c r="K192" s="103">
        <f t="shared" si="32"/>
        <v>8310.0980176603171</v>
      </c>
      <c r="L192" s="103">
        <f t="shared" ca="1" si="33"/>
        <v>7.0588428528667079E-3</v>
      </c>
      <c r="M192" s="120"/>
      <c r="N192" s="91">
        <f t="shared" si="34"/>
        <v>7.6741224017772124E-3</v>
      </c>
      <c r="O192" s="120">
        <f t="shared" ca="1" si="35"/>
        <v>7.0588428528667079E-3</v>
      </c>
      <c r="P192" s="104"/>
      <c r="Q192" s="104"/>
    </row>
    <row r="193" spans="1:17" s="91" customFormat="1" x14ac:dyDescent="0.25">
      <c r="A193" s="91" t="s">
        <v>298</v>
      </c>
      <c r="B193" s="120">
        <v>1</v>
      </c>
      <c r="C193" s="118">
        <v>1</v>
      </c>
      <c r="D193" s="118" t="s">
        <v>17</v>
      </c>
      <c r="E193" s="104"/>
      <c r="F193" s="350">
        <v>1.0370653123335389E-2</v>
      </c>
      <c r="G193" s="350">
        <v>1.2802102898439457E-3</v>
      </c>
      <c r="H193" s="104"/>
      <c r="I193" s="102">
        <f t="shared" si="30"/>
        <v>6261.0430172404722</v>
      </c>
      <c r="J193" s="103">
        <f t="shared" si="31"/>
        <v>64.931105322082132</v>
      </c>
      <c r="K193" s="103">
        <f t="shared" si="32"/>
        <v>6196.1119119183904</v>
      </c>
      <c r="L193" s="103">
        <f t="shared" ca="1" si="33"/>
        <v>9.2669196329154963E-3</v>
      </c>
      <c r="M193" s="120"/>
      <c r="N193" s="91">
        <f t="shared" si="34"/>
        <v>1.0370653123335389E-2</v>
      </c>
      <c r="O193" s="120">
        <f t="shared" ca="1" si="35"/>
        <v>9.2669196329154963E-3</v>
      </c>
      <c r="P193" s="104"/>
      <c r="Q193" s="104"/>
    </row>
    <row r="194" spans="1:17" s="91" customFormat="1" x14ac:dyDescent="0.25">
      <c r="A194" s="91" t="s">
        <v>299</v>
      </c>
      <c r="B194" s="120">
        <v>1</v>
      </c>
      <c r="C194" s="118">
        <v>1</v>
      </c>
      <c r="D194" s="118" t="s">
        <v>17</v>
      </c>
      <c r="E194" s="104"/>
      <c r="F194" s="350">
        <v>1.5421006877818073E-2</v>
      </c>
      <c r="G194" s="350">
        <v>1.9334155289891762E-3</v>
      </c>
      <c r="H194" s="104"/>
      <c r="I194" s="102">
        <f t="shared" si="30"/>
        <v>4060.7472151511233</v>
      </c>
      <c r="J194" s="103">
        <f t="shared" si="31"/>
        <v>62.620810733926056</v>
      </c>
      <c r="K194" s="103">
        <f t="shared" si="32"/>
        <v>3998.1264044171971</v>
      </c>
      <c r="L194" s="103">
        <f t="shared" ca="1" si="33"/>
        <v>1.5760411517834139E-2</v>
      </c>
      <c r="M194" s="120"/>
      <c r="N194" s="91">
        <f t="shared" si="34"/>
        <v>1.5421006877818073E-2</v>
      </c>
      <c r="O194" s="120">
        <f t="shared" ca="1" si="35"/>
        <v>1.5760411517834139E-2</v>
      </c>
      <c r="P194" s="104"/>
      <c r="Q194" s="104"/>
    </row>
    <row r="195" spans="1:17" s="91" customFormat="1" x14ac:dyDescent="0.25">
      <c r="A195" s="91" t="s">
        <v>300</v>
      </c>
      <c r="B195" s="120">
        <v>1</v>
      </c>
      <c r="C195" s="118">
        <v>1</v>
      </c>
      <c r="D195" s="118" t="s">
        <v>17</v>
      </c>
      <c r="E195" s="104"/>
      <c r="F195" s="350">
        <v>1.7345186475902226E-2</v>
      </c>
      <c r="G195" s="350">
        <v>2.1315152672515126E-3</v>
      </c>
      <c r="H195" s="104"/>
      <c r="I195" s="102">
        <f t="shared" si="30"/>
        <v>3750.4836996186941</v>
      </c>
      <c r="J195" s="103">
        <f t="shared" si="31"/>
        <v>65.052839144717922</v>
      </c>
      <c r="K195" s="103">
        <f t="shared" si="32"/>
        <v>3685.4308604739767</v>
      </c>
      <c r="L195" s="103">
        <f t="shared" ca="1" si="33"/>
        <v>1.8286381343809555E-2</v>
      </c>
      <c r="M195" s="120"/>
      <c r="N195" s="91">
        <f t="shared" si="34"/>
        <v>1.7345186475902226E-2</v>
      </c>
      <c r="O195" s="120">
        <f t="shared" ca="1" si="35"/>
        <v>1.8286381343809555E-2</v>
      </c>
      <c r="P195" s="104"/>
      <c r="Q195" s="104"/>
    </row>
    <row r="196" spans="1:17" s="91" customFormat="1" x14ac:dyDescent="0.25">
      <c r="A196" s="91" t="s">
        <v>301</v>
      </c>
      <c r="B196" s="120">
        <v>1</v>
      </c>
      <c r="C196" s="118">
        <v>1</v>
      </c>
      <c r="D196" s="118" t="s">
        <v>17</v>
      </c>
      <c r="E196" s="104"/>
      <c r="F196" s="350">
        <v>1.6211813909585242E-2</v>
      </c>
      <c r="G196" s="350">
        <v>1.9989793555641312E-3</v>
      </c>
      <c r="H196" s="104"/>
      <c r="I196" s="102">
        <f t="shared" si="30"/>
        <v>3990.3204293699064</v>
      </c>
      <c r="J196" s="103">
        <f t="shared" si="31"/>
        <v>64.690332240561204</v>
      </c>
      <c r="K196" s="103">
        <f t="shared" si="32"/>
        <v>3925.6300971293449</v>
      </c>
      <c r="L196" s="103">
        <f t="shared" ca="1" si="33"/>
        <v>1.6273059892507824E-2</v>
      </c>
      <c r="M196" s="120"/>
      <c r="N196" s="91">
        <f t="shared" si="34"/>
        <v>1.6211813909585242E-2</v>
      </c>
      <c r="O196" s="120">
        <f t="shared" ca="1" si="35"/>
        <v>1.6273059892507824E-2</v>
      </c>
      <c r="P196" s="104"/>
      <c r="Q196" s="104"/>
    </row>
    <row r="197" spans="1:17" s="91" customFormat="1" x14ac:dyDescent="0.25">
      <c r="A197" s="24" t="s">
        <v>302</v>
      </c>
      <c r="B197" s="120">
        <v>1</v>
      </c>
      <c r="C197" s="118">
        <v>1</v>
      </c>
      <c r="D197" s="118" t="s">
        <v>17</v>
      </c>
      <c r="E197" s="104"/>
      <c r="F197" s="350">
        <v>1.9998000197906443E-5</v>
      </c>
      <c r="G197" s="350">
        <v>2.0254801523926154E-6</v>
      </c>
      <c r="H197" s="104"/>
      <c r="I197" s="102">
        <f t="shared" si="30"/>
        <v>4874407.2416849472</v>
      </c>
      <c r="J197" s="103">
        <f t="shared" si="31"/>
        <v>97.478396983892168</v>
      </c>
      <c r="K197" s="103">
        <f t="shared" si="32"/>
        <v>4874309.7632879633</v>
      </c>
      <c r="L197" s="103">
        <f t="shared" ca="1" si="33"/>
        <v>2.0053179020762535E-5</v>
      </c>
      <c r="M197" s="120"/>
      <c r="N197" s="91">
        <f t="shared" si="34"/>
        <v>1.9998000197906443E-5</v>
      </c>
      <c r="O197" s="120">
        <f t="shared" ca="1" si="35"/>
        <v>2.0053179020762535E-5</v>
      </c>
      <c r="P197" s="104"/>
      <c r="Q197" s="104"/>
    </row>
    <row r="198" spans="1:17" s="91" customFormat="1" x14ac:dyDescent="0.25">
      <c r="A198" s="91" t="s">
        <v>303</v>
      </c>
      <c r="B198" s="120">
        <v>1</v>
      </c>
      <c r="C198" s="118">
        <v>1</v>
      </c>
      <c r="D198" s="118" t="s">
        <v>17</v>
      </c>
      <c r="E198" s="104"/>
      <c r="F198" s="350">
        <v>1.9974296506674823E-5</v>
      </c>
      <c r="G198" s="350">
        <v>1.9897126124436202E-6</v>
      </c>
      <c r="H198" s="104"/>
      <c r="I198" s="102">
        <f t="shared" si="30"/>
        <v>5045242.2714317581</v>
      </c>
      <c r="J198" s="103">
        <f t="shared" si="31"/>
        <v>100.77516507758752</v>
      </c>
      <c r="K198" s="103">
        <f t="shared" si="32"/>
        <v>5045141.4962666798</v>
      </c>
      <c r="L198" s="103">
        <f t="shared" ca="1" si="33"/>
        <v>2.1168304158214468E-5</v>
      </c>
      <c r="M198" s="120"/>
      <c r="N198" s="91">
        <f t="shared" si="34"/>
        <v>1.9974296506674823E-5</v>
      </c>
      <c r="O198" s="120">
        <f t="shared" ca="1" si="35"/>
        <v>2.1168304158214468E-5</v>
      </c>
      <c r="P198" s="104"/>
      <c r="Q198" s="104"/>
    </row>
    <row r="199" spans="1:17" s="91" customFormat="1" x14ac:dyDescent="0.25">
      <c r="A199" s="91" t="s">
        <v>304</v>
      </c>
      <c r="B199" s="120">
        <v>1</v>
      </c>
      <c r="C199" s="118">
        <v>1</v>
      </c>
      <c r="D199" s="118" t="s">
        <v>17</v>
      </c>
      <c r="E199" s="104"/>
      <c r="F199" s="350">
        <v>2.0004763451873426E-5</v>
      </c>
      <c r="G199" s="350">
        <v>2.0065640975043125E-6</v>
      </c>
      <c r="H199" s="104"/>
      <c r="I199" s="102">
        <f t="shared" si="30"/>
        <v>4968423.0761603443</v>
      </c>
      <c r="J199" s="103">
        <f t="shared" si="31"/>
        <v>99.392128367417001</v>
      </c>
      <c r="K199" s="103">
        <f t="shared" si="32"/>
        <v>4968323.6840319773</v>
      </c>
      <c r="L199" s="103">
        <f t="shared" ca="1" si="33"/>
        <v>1.7843145538074229E-5</v>
      </c>
      <c r="M199" s="120"/>
      <c r="N199" s="91">
        <f t="shared" si="34"/>
        <v>2.0004763451873426E-5</v>
      </c>
      <c r="O199" s="120">
        <f t="shared" ca="1" si="35"/>
        <v>1.7843145538074229E-5</v>
      </c>
      <c r="P199" s="104"/>
      <c r="Q199" s="104"/>
    </row>
    <row r="200" spans="1:17" s="91" customFormat="1" x14ac:dyDescent="0.25">
      <c r="A200" s="91" t="s">
        <v>305</v>
      </c>
      <c r="B200" s="120">
        <v>1</v>
      </c>
      <c r="C200" s="118">
        <v>1</v>
      </c>
      <c r="D200" s="118" t="s">
        <v>17</v>
      </c>
      <c r="E200" s="104"/>
      <c r="F200" s="350">
        <v>2.0003168327571975E-5</v>
      </c>
      <c r="G200" s="350">
        <v>2.0047735018298367E-6</v>
      </c>
      <c r="H200" s="104"/>
      <c r="I200" s="102">
        <f t="shared" si="30"/>
        <v>4976905.4269260857</v>
      </c>
      <c r="J200" s="103">
        <f t="shared" si="31"/>
        <v>99.55387700520896</v>
      </c>
      <c r="K200" s="103">
        <f t="shared" si="32"/>
        <v>4976805.8730490804</v>
      </c>
      <c r="L200" s="103">
        <f t="shared" ca="1" si="33"/>
        <v>2.3523913579071021E-5</v>
      </c>
      <c r="M200" s="120"/>
      <c r="N200" s="91">
        <f t="shared" si="34"/>
        <v>2.0003168327571975E-5</v>
      </c>
      <c r="O200" s="120">
        <f t="shared" ca="1" si="35"/>
        <v>2.3523913579071021E-5</v>
      </c>
      <c r="P200" s="104"/>
      <c r="Q200" s="104"/>
    </row>
    <row r="201" spans="1:17" s="91" customFormat="1" x14ac:dyDescent="0.25">
      <c r="A201" s="91" t="s">
        <v>306</v>
      </c>
      <c r="B201" s="120">
        <v>1</v>
      </c>
      <c r="C201" s="118">
        <v>1</v>
      </c>
      <c r="D201" s="118" t="s">
        <v>17</v>
      </c>
      <c r="E201" s="104"/>
      <c r="F201" s="350">
        <v>2.0000751110923094E-5</v>
      </c>
      <c r="G201" s="350">
        <v>1.9726038125534842E-6</v>
      </c>
      <c r="H201" s="104"/>
      <c r="I201" s="102">
        <f t="shared" si="30"/>
        <v>5139937.0294186883</v>
      </c>
      <c r="J201" s="103">
        <f t="shared" si="31"/>
        <v>102.80260125122058</v>
      </c>
      <c r="K201" s="103">
        <f t="shared" si="32"/>
        <v>5139834.2268174365</v>
      </c>
      <c r="L201" s="103">
        <f t="shared" ca="1" si="33"/>
        <v>1.8223228547659661E-5</v>
      </c>
      <c r="M201" s="120"/>
      <c r="N201" s="91">
        <f t="shared" si="34"/>
        <v>2.0000751110923094E-5</v>
      </c>
      <c r="O201" s="120">
        <f t="shared" ca="1" si="35"/>
        <v>1.8223228547659661E-5</v>
      </c>
      <c r="P201" s="104"/>
      <c r="Q201" s="104"/>
    </row>
    <row r="202" spans="1:17" s="91" customFormat="1" x14ac:dyDescent="0.25">
      <c r="A202" s="91" t="s">
        <v>307</v>
      </c>
      <c r="B202" s="120">
        <v>1</v>
      </c>
      <c r="C202" s="118">
        <v>1</v>
      </c>
      <c r="D202" s="118" t="s">
        <v>17</v>
      </c>
      <c r="E202" s="104"/>
      <c r="F202" s="350">
        <v>1.9980453086450261E-5</v>
      </c>
      <c r="G202" s="350">
        <v>2.007597781803957E-6</v>
      </c>
      <c r="H202" s="104"/>
      <c r="I202" s="102">
        <f t="shared" si="30"/>
        <v>4957276.6120390622</v>
      </c>
      <c r="J202" s="103">
        <f t="shared" si="31"/>
        <v>99.048632783403576</v>
      </c>
      <c r="K202" s="103">
        <f t="shared" si="32"/>
        <v>4957177.5634062784</v>
      </c>
      <c r="L202" s="103">
        <f t="shared" ca="1" si="33"/>
        <v>2.1589794683030128E-5</v>
      </c>
      <c r="M202" s="120"/>
      <c r="N202" s="91">
        <f t="shared" si="34"/>
        <v>1.9980453086450261E-5</v>
      </c>
      <c r="O202" s="120">
        <f t="shared" ca="1" si="35"/>
        <v>2.1589794683030128E-5</v>
      </c>
      <c r="P202" s="104"/>
      <c r="Q202" s="104"/>
    </row>
    <row r="203" spans="1:17" s="91" customFormat="1" x14ac:dyDescent="0.25">
      <c r="A203" s="91" t="s">
        <v>308</v>
      </c>
      <c r="B203" s="120">
        <v>1</v>
      </c>
      <c r="C203" s="118">
        <v>1</v>
      </c>
      <c r="D203" s="118" t="s">
        <v>17</v>
      </c>
      <c r="E203" s="104"/>
      <c r="F203" s="350">
        <v>1.9985096791895671E-5</v>
      </c>
      <c r="G203" s="350">
        <v>2.0167527195996951E-6</v>
      </c>
      <c r="H203" s="104"/>
      <c r="I203" s="102">
        <f t="shared" si="30"/>
        <v>4913513.8613043064</v>
      </c>
      <c r="J203" s="103">
        <f t="shared" si="31"/>
        <v>98.197050106487609</v>
      </c>
      <c r="K203" s="103">
        <f t="shared" si="32"/>
        <v>4913415.6642541997</v>
      </c>
      <c r="L203" s="103">
        <f t="shared" ca="1" si="33"/>
        <v>1.7615975335065563E-5</v>
      </c>
      <c r="M203" s="120"/>
      <c r="N203" s="91">
        <f t="shared" si="34"/>
        <v>1.9985096791895671E-5</v>
      </c>
      <c r="O203" s="120">
        <f t="shared" ca="1" si="35"/>
        <v>1.7615975335065563E-5</v>
      </c>
      <c r="P203" s="104"/>
      <c r="Q203" s="104"/>
    </row>
    <row r="204" spans="1:17" s="91" customFormat="1" x14ac:dyDescent="0.25">
      <c r="A204" s="24" t="s">
        <v>309</v>
      </c>
      <c r="B204" s="120">
        <v>1</v>
      </c>
      <c r="C204" s="118">
        <v>1</v>
      </c>
      <c r="D204" s="118" t="s">
        <v>17</v>
      </c>
      <c r="E204" s="104"/>
      <c r="F204" s="350">
        <v>1.998546168799374E-5</v>
      </c>
      <c r="G204" s="350">
        <v>2.0429175499287852E-6</v>
      </c>
      <c r="H204" s="104"/>
      <c r="I204" s="102">
        <f t="shared" si="30"/>
        <v>4788546.802131</v>
      </c>
      <c r="J204" s="103">
        <f t="shared" si="31"/>
        <v>95.70131865515404</v>
      </c>
      <c r="K204" s="103">
        <f t="shared" si="32"/>
        <v>4788451.1008123448</v>
      </c>
      <c r="L204" s="103">
        <f t="shared" ca="1" si="33"/>
        <v>2.3044741065847418E-5</v>
      </c>
      <c r="M204" s="120"/>
      <c r="N204" s="91">
        <f t="shared" si="34"/>
        <v>1.998546168799374E-5</v>
      </c>
      <c r="O204" s="120">
        <f t="shared" ca="1" si="35"/>
        <v>2.3044741065847418E-5</v>
      </c>
      <c r="P204" s="104"/>
      <c r="Q204" s="104"/>
    </row>
    <row r="205" spans="1:17" s="91" customFormat="1" x14ac:dyDescent="0.25">
      <c r="A205" s="91" t="s">
        <v>310</v>
      </c>
      <c r="B205" s="120">
        <v>1</v>
      </c>
      <c r="C205" s="118">
        <v>1</v>
      </c>
      <c r="D205" s="118" t="s">
        <v>17</v>
      </c>
      <c r="E205" s="104"/>
      <c r="F205" s="350">
        <v>4.183917002932255E-6</v>
      </c>
      <c r="G205" s="350">
        <v>5.2716839582861425E-7</v>
      </c>
      <c r="H205" s="104"/>
      <c r="I205" s="102">
        <f t="shared" si="30"/>
        <v>15055059.725086153</v>
      </c>
      <c r="J205" s="103">
        <f t="shared" si="31"/>
        <v>62.989120363948551</v>
      </c>
      <c r="K205" s="103">
        <f t="shared" si="32"/>
        <v>15054996.735965788</v>
      </c>
      <c r="L205" s="103">
        <f t="shared" ca="1" si="33"/>
        <v>4.648257044381765E-6</v>
      </c>
      <c r="M205" s="120"/>
      <c r="N205" s="91">
        <f t="shared" si="34"/>
        <v>4.183917002932255E-6</v>
      </c>
      <c r="O205" s="120">
        <f t="shared" ca="1" si="35"/>
        <v>4.648257044381765E-6</v>
      </c>
      <c r="P205" s="104"/>
      <c r="Q205" s="104"/>
    </row>
    <row r="206" spans="1:17" s="91" customFormat="1" x14ac:dyDescent="0.25">
      <c r="A206" s="91" t="s">
        <v>311</v>
      </c>
      <c r="B206" s="120">
        <v>1</v>
      </c>
      <c r="C206" s="118">
        <v>1</v>
      </c>
      <c r="D206" s="118" t="s">
        <v>17</v>
      </c>
      <c r="E206" s="104"/>
      <c r="F206" s="350">
        <v>4.1903044893503278E-6</v>
      </c>
      <c r="G206" s="350">
        <v>5.3456819155589126E-7</v>
      </c>
      <c r="H206" s="104"/>
      <c r="I206" s="102">
        <f t="shared" si="30"/>
        <v>14663495.359931404</v>
      </c>
      <c r="J206" s="103">
        <f t="shared" si="31"/>
        <v>61.444510436288262</v>
      </c>
      <c r="K206" s="103">
        <f t="shared" si="32"/>
        <v>14663433.915420966</v>
      </c>
      <c r="L206" s="103">
        <f t="shared" ca="1" si="33"/>
        <v>4.5880861391234262E-6</v>
      </c>
      <c r="M206" s="120"/>
      <c r="N206" s="91">
        <f t="shared" si="34"/>
        <v>4.1903044893503278E-6</v>
      </c>
      <c r="O206" s="120">
        <f t="shared" ca="1" si="35"/>
        <v>4.5880861391234262E-6</v>
      </c>
      <c r="P206" s="104"/>
      <c r="Q206" s="104"/>
    </row>
    <row r="207" spans="1:17" s="91" customFormat="1" x14ac:dyDescent="0.25">
      <c r="A207" s="91" t="s">
        <v>312</v>
      </c>
      <c r="B207" s="120">
        <v>1</v>
      </c>
      <c r="C207" s="118">
        <v>1</v>
      </c>
      <c r="D207" s="118" t="s">
        <v>17</v>
      </c>
      <c r="E207" s="104"/>
      <c r="F207" s="350">
        <v>3.2033154650425952E-4</v>
      </c>
      <c r="G207" s="350">
        <v>4.0963238432107073E-5</v>
      </c>
      <c r="H207" s="104"/>
      <c r="I207" s="102">
        <f t="shared" si="30"/>
        <v>190840.14045318583</v>
      </c>
      <c r="J207" s="103">
        <f t="shared" si="31"/>
        <v>61.132117326459117</v>
      </c>
      <c r="K207" s="103">
        <f t="shared" si="32"/>
        <v>190779.0083358594</v>
      </c>
      <c r="L207" s="103">
        <f t="shared" ca="1" si="33"/>
        <v>3.8598456722449548E-4</v>
      </c>
      <c r="M207" s="120"/>
      <c r="N207" s="91">
        <f t="shared" si="34"/>
        <v>3.2033154650425952E-4</v>
      </c>
      <c r="O207" s="120">
        <f t="shared" ca="1" si="35"/>
        <v>3.8598456722449548E-4</v>
      </c>
      <c r="P207" s="104"/>
      <c r="Q207" s="104"/>
    </row>
    <row r="208" spans="1:17" s="91" customFormat="1" x14ac:dyDescent="0.25">
      <c r="A208" s="91" t="s">
        <v>313</v>
      </c>
      <c r="B208" s="120">
        <v>1</v>
      </c>
      <c r="C208" s="118">
        <v>1</v>
      </c>
      <c r="D208" s="118" t="s">
        <v>17</v>
      </c>
      <c r="E208" s="104"/>
      <c r="F208" s="350">
        <v>3.4250634577002499E-4</v>
      </c>
      <c r="G208" s="350">
        <v>4.3287984899499455E-5</v>
      </c>
      <c r="H208" s="104"/>
      <c r="I208" s="102">
        <f t="shared" si="30"/>
        <v>182718.58884787836</v>
      </c>
      <c r="J208" s="103">
        <f t="shared" si="31"/>
        <v>62.582276170542457</v>
      </c>
      <c r="K208" s="103">
        <f t="shared" si="32"/>
        <v>182656.00657170781</v>
      </c>
      <c r="L208" s="103">
        <f t="shared" ca="1" si="33"/>
        <v>3.4858283805339063E-4</v>
      </c>
      <c r="M208" s="120"/>
      <c r="N208" s="91">
        <f t="shared" si="34"/>
        <v>3.4250634577002499E-4</v>
      </c>
      <c r="O208" s="120">
        <f t="shared" ca="1" si="35"/>
        <v>3.4858283805339063E-4</v>
      </c>
      <c r="P208" s="104"/>
      <c r="Q208" s="104"/>
    </row>
    <row r="209" spans="1:17" s="91" customFormat="1" x14ac:dyDescent="0.25">
      <c r="A209" s="91" t="s">
        <v>314</v>
      </c>
      <c r="B209" s="120">
        <v>1</v>
      </c>
      <c r="C209" s="118">
        <v>1</v>
      </c>
      <c r="D209" s="118" t="s">
        <v>17</v>
      </c>
      <c r="E209" s="104"/>
      <c r="F209" s="350">
        <v>2.8073530758951891E-4</v>
      </c>
      <c r="G209" s="350">
        <v>3.6376621664065507E-5</v>
      </c>
      <c r="H209" s="104"/>
      <c r="I209" s="102">
        <f t="shared" si="30"/>
        <v>212093.97107658494</v>
      </c>
      <c r="J209" s="103">
        <f t="shared" si="31"/>
        <v>59.542266208067602</v>
      </c>
      <c r="K209" s="103">
        <f t="shared" si="32"/>
        <v>212034.42881037688</v>
      </c>
      <c r="L209" s="103">
        <f t="shared" ca="1" si="33"/>
        <v>2.5091015289160933E-4</v>
      </c>
      <c r="M209" s="120"/>
      <c r="N209" s="91">
        <f t="shared" si="34"/>
        <v>2.8073530758951891E-4</v>
      </c>
      <c r="O209" s="120">
        <f t="shared" ca="1" si="35"/>
        <v>2.5091015289160933E-4</v>
      </c>
      <c r="P209" s="104"/>
      <c r="Q209" s="104"/>
    </row>
    <row r="210" spans="1:17" s="91" customFormat="1" x14ac:dyDescent="0.25">
      <c r="A210" s="91" t="s">
        <v>315</v>
      </c>
      <c r="B210" s="120">
        <v>1</v>
      </c>
      <c r="C210" s="118">
        <v>1</v>
      </c>
      <c r="D210" s="118" t="s">
        <v>17</v>
      </c>
      <c r="E210" s="104"/>
      <c r="F210" s="350">
        <v>3.2161207920028054E-4</v>
      </c>
      <c r="G210" s="350">
        <v>3.9268919159798354E-5</v>
      </c>
      <c r="H210" s="104"/>
      <c r="I210" s="102">
        <f t="shared" si="30"/>
        <v>208493.57498941844</v>
      </c>
      <c r="J210" s="103">
        <f t="shared" si="31"/>
        <v>67.05405215224647</v>
      </c>
      <c r="K210" s="103">
        <f t="shared" si="32"/>
        <v>208426.52093726621</v>
      </c>
      <c r="L210" s="103">
        <f t="shared" ca="1" si="33"/>
        <v>3.4371382077746926E-4</v>
      </c>
      <c r="M210" s="120"/>
      <c r="N210" s="91">
        <f t="shared" si="34"/>
        <v>3.2161207920028054E-4</v>
      </c>
      <c r="O210" s="120">
        <f t="shared" ca="1" si="35"/>
        <v>3.4371382077746926E-4</v>
      </c>
      <c r="P210" s="104"/>
      <c r="Q210" s="104"/>
    </row>
    <row r="211" spans="1:17" s="91" customFormat="1" x14ac:dyDescent="0.25">
      <c r="A211" s="91" t="s">
        <v>316</v>
      </c>
      <c r="B211" s="120">
        <v>1</v>
      </c>
      <c r="C211" s="118">
        <v>1</v>
      </c>
      <c r="D211" s="118" t="s">
        <v>17</v>
      </c>
      <c r="E211" s="104"/>
      <c r="F211" s="350">
        <v>1.0973280006425573E-3</v>
      </c>
      <c r="G211" s="350">
        <v>1.3636462856291671E-4</v>
      </c>
      <c r="H211" s="104"/>
      <c r="I211" s="102">
        <f t="shared" ref="I211:I234" si="36">IF($D211="Beta",((($F211*(1-$F211))/($G211^2))-1),"N/A")</f>
        <v>58945.248196018314</v>
      </c>
      <c r="J211" s="103">
        <f t="shared" ref="J211:J234" si="37">IF($D211="Beta",($F211*$I211),IF($D211="Gamma",(($F211^2)/($G211^2)),"N/A"))</f>
        <v>64.682271350316086</v>
      </c>
      <c r="K211" s="103">
        <f t="shared" ref="K211:K234" si="38">IF($D211="Beta",($J211*((1-$F211)/$F211)),IF($D211="Gamma",(($G211^2)/$F211),"N/A"))</f>
        <v>58880.565924668001</v>
      </c>
      <c r="L211" s="103">
        <f t="shared" ref="L211:L234" ca="1" si="39">IF($D211="Beta",(_xlfn.BETA.INV(RAND(),$J211,$K211)),IF($D211="Gamma",(_xlfn.GAMMA.INV(RAND(),$J211,$K211)),IF($D211="Log Normal",EXP(_xlfn.NORM.INV(RAND(),LN($F211),((LN($F211+1.96*$G211)-LN($F211-1.96*$G211))/(2*1.96)))),_xlfn.NORM.INV(RAND(),$F211,$G211))))</f>
        <v>9.6207662585712803E-4</v>
      </c>
      <c r="M211" s="120"/>
      <c r="N211" s="91">
        <f t="shared" si="34"/>
        <v>1.0973280006425573E-3</v>
      </c>
      <c r="O211" s="120">
        <f t="shared" ca="1" si="35"/>
        <v>9.6207662585712803E-4</v>
      </c>
      <c r="P211" s="104"/>
      <c r="Q211" s="104"/>
    </row>
    <row r="212" spans="1:17" s="91" customFormat="1" x14ac:dyDescent="0.25">
      <c r="A212" s="91" t="s">
        <v>317</v>
      </c>
      <c r="B212" s="120">
        <v>1</v>
      </c>
      <c r="C212" s="118">
        <v>1</v>
      </c>
      <c r="D212" s="118" t="s">
        <v>17</v>
      </c>
      <c r="E212" s="104"/>
      <c r="F212" s="350">
        <v>1.0978681990340595E-3</v>
      </c>
      <c r="G212" s="350">
        <v>1.3587921962816975E-4</v>
      </c>
      <c r="H212" s="104"/>
      <c r="I212" s="102">
        <f t="shared" si="36"/>
        <v>59396.348354680988</v>
      </c>
      <c r="J212" s="103">
        <f t="shared" si="37"/>
        <v>65.209361997353241</v>
      </c>
      <c r="K212" s="103">
        <f t="shared" si="38"/>
        <v>59331.138992683635</v>
      </c>
      <c r="L212" s="103">
        <f t="shared" ca="1" si="39"/>
        <v>9.8065289752049438E-4</v>
      </c>
      <c r="M212" s="120"/>
      <c r="N212" s="91">
        <f t="shared" ref="N212:N234" si="40">F212</f>
        <v>1.0978681990340595E-3</v>
      </c>
      <c r="O212" s="120">
        <f t="shared" ref="O212:O234" ca="1" si="41">IF(F212=0,0,IF($B212=1,IF($C212=1,$L212,$F212),0))</f>
        <v>9.8065289752049438E-4</v>
      </c>
      <c r="P212" s="104"/>
      <c r="Q212" s="104"/>
    </row>
    <row r="213" spans="1:17" s="91" customFormat="1" x14ac:dyDescent="0.25">
      <c r="A213" s="91" t="s">
        <v>318</v>
      </c>
      <c r="B213" s="120">
        <v>1</v>
      </c>
      <c r="C213" s="118">
        <v>1</v>
      </c>
      <c r="D213" s="118" t="s">
        <v>17</v>
      </c>
      <c r="E213" s="104"/>
      <c r="F213" s="350">
        <v>1.3343463199329483E-3</v>
      </c>
      <c r="G213" s="350">
        <v>1.63807997000713E-4</v>
      </c>
      <c r="H213" s="104"/>
      <c r="I213" s="102">
        <f t="shared" si="36"/>
        <v>49660.344838120611</v>
      </c>
      <c r="J213" s="103">
        <f t="shared" si="37"/>
        <v>66.264098381347424</v>
      </c>
      <c r="K213" s="103">
        <f t="shared" si="38"/>
        <v>49594.080739739264</v>
      </c>
      <c r="L213" s="103">
        <f t="shared" ca="1" si="39"/>
        <v>1.5166257375336389E-3</v>
      </c>
      <c r="M213" s="120"/>
      <c r="N213" s="91">
        <f t="shared" si="40"/>
        <v>1.3343463199329483E-3</v>
      </c>
      <c r="O213" s="120">
        <f t="shared" ca="1" si="41"/>
        <v>1.5166257375336389E-3</v>
      </c>
      <c r="P213" s="104"/>
      <c r="Q213" s="104"/>
    </row>
    <row r="214" spans="1:17" s="91" customFormat="1" x14ac:dyDescent="0.25">
      <c r="A214" s="91" t="s">
        <v>319</v>
      </c>
      <c r="B214" s="120">
        <v>1</v>
      </c>
      <c r="C214" s="118">
        <v>1</v>
      </c>
      <c r="D214" s="118" t="s">
        <v>17</v>
      </c>
      <c r="E214" s="104"/>
      <c r="F214" s="350">
        <v>1.3348538643826475E-3</v>
      </c>
      <c r="G214" s="350">
        <v>1.6555290355885739E-4</v>
      </c>
      <c r="H214" s="104"/>
      <c r="I214" s="102">
        <f t="shared" si="36"/>
        <v>48637.481984053542</v>
      </c>
      <c r="J214" s="103">
        <f t="shared" si="37"/>
        <v>64.923930780255262</v>
      </c>
      <c r="K214" s="103">
        <f t="shared" si="38"/>
        <v>48572.558053273286</v>
      </c>
      <c r="L214" s="103">
        <f t="shared" ca="1" si="39"/>
        <v>1.0568934920776336E-3</v>
      </c>
      <c r="M214" s="120"/>
      <c r="N214" s="91">
        <f t="shared" si="40"/>
        <v>1.3348538643826475E-3</v>
      </c>
      <c r="O214" s="120">
        <f t="shared" ca="1" si="41"/>
        <v>1.0568934920776336E-3</v>
      </c>
      <c r="P214" s="104"/>
      <c r="Q214" s="104"/>
    </row>
    <row r="215" spans="1:17" s="91" customFormat="1" x14ac:dyDescent="0.25">
      <c r="A215" s="91" t="s">
        <v>320</v>
      </c>
      <c r="B215" s="120">
        <v>1</v>
      </c>
      <c r="C215" s="118">
        <v>1</v>
      </c>
      <c r="D215" s="118" t="s">
        <v>17</v>
      </c>
      <c r="E215" s="104"/>
      <c r="F215" s="350">
        <v>1.3348973522507624E-3</v>
      </c>
      <c r="G215" s="350">
        <v>1.6549588330122799E-4</v>
      </c>
      <c r="H215" s="104"/>
      <c r="I215" s="102">
        <f t="shared" si="36"/>
        <v>48672.587296332058</v>
      </c>
      <c r="J215" s="103">
        <f t="shared" si="37"/>
        <v>64.972907909067757</v>
      </c>
      <c r="K215" s="103">
        <f t="shared" si="38"/>
        <v>48607.61438842299</v>
      </c>
      <c r="L215" s="103">
        <f t="shared" ca="1" si="39"/>
        <v>1.2256318281942393E-3</v>
      </c>
      <c r="M215" s="120"/>
      <c r="N215" s="91">
        <f t="shared" si="40"/>
        <v>1.3348973522507624E-3</v>
      </c>
      <c r="O215" s="120">
        <f t="shared" ca="1" si="41"/>
        <v>1.2256318281942393E-3</v>
      </c>
      <c r="P215" s="104"/>
      <c r="Q215" s="104"/>
    </row>
    <row r="216" spans="1:17" s="91" customFormat="1" x14ac:dyDescent="0.25">
      <c r="A216" s="24" t="s">
        <v>321</v>
      </c>
      <c r="B216" s="120">
        <v>1</v>
      </c>
      <c r="C216" s="118">
        <v>1</v>
      </c>
      <c r="D216" s="118" t="s">
        <v>17</v>
      </c>
      <c r="E216" s="104"/>
      <c r="F216" s="350">
        <v>0</v>
      </c>
      <c r="G216" s="350">
        <v>0</v>
      </c>
      <c r="H216" s="104"/>
      <c r="I216" s="102" t="e">
        <f t="shared" si="36"/>
        <v>#DIV/0!</v>
      </c>
      <c r="J216" s="103" t="e">
        <f t="shared" si="37"/>
        <v>#DIV/0!</v>
      </c>
      <c r="K216" s="103" t="e">
        <f t="shared" si="38"/>
        <v>#DIV/0!</v>
      </c>
      <c r="L216" s="103" t="e">
        <f t="shared" ca="1" si="39"/>
        <v>#DIV/0!</v>
      </c>
      <c r="M216" s="120"/>
      <c r="N216" s="91">
        <f t="shared" si="40"/>
        <v>0</v>
      </c>
      <c r="O216" s="120">
        <f t="shared" si="41"/>
        <v>0</v>
      </c>
      <c r="P216" s="104"/>
      <c r="Q216" s="104"/>
    </row>
    <row r="217" spans="1:17" s="91" customFormat="1" x14ac:dyDescent="0.25">
      <c r="A217" s="24" t="s">
        <v>322</v>
      </c>
      <c r="B217" s="120">
        <v>1</v>
      </c>
      <c r="C217" s="118">
        <v>1</v>
      </c>
      <c r="D217" s="118" t="s">
        <v>17</v>
      </c>
      <c r="E217" s="104"/>
      <c r="F217" s="350">
        <v>0</v>
      </c>
      <c r="G217" s="350">
        <v>0</v>
      </c>
      <c r="H217" s="104"/>
      <c r="I217" s="102" t="e">
        <f t="shared" si="36"/>
        <v>#DIV/0!</v>
      </c>
      <c r="J217" s="103" t="e">
        <f t="shared" si="37"/>
        <v>#DIV/0!</v>
      </c>
      <c r="K217" s="103" t="e">
        <f t="shared" si="38"/>
        <v>#DIV/0!</v>
      </c>
      <c r="L217" s="103" t="e">
        <f t="shared" ca="1" si="39"/>
        <v>#DIV/0!</v>
      </c>
      <c r="M217" s="120"/>
      <c r="N217" s="91">
        <f t="shared" si="40"/>
        <v>0</v>
      </c>
      <c r="O217" s="120">
        <f t="shared" si="41"/>
        <v>0</v>
      </c>
      <c r="P217" s="104"/>
      <c r="Q217" s="104"/>
    </row>
    <row r="218" spans="1:17" s="91" customFormat="1" x14ac:dyDescent="0.25">
      <c r="A218" s="24" t="s">
        <v>323</v>
      </c>
      <c r="B218" s="120">
        <v>1</v>
      </c>
      <c r="C218" s="118">
        <v>1</v>
      </c>
      <c r="D218" s="118" t="s">
        <v>17</v>
      </c>
      <c r="E218" s="104"/>
      <c r="F218" s="350">
        <v>0</v>
      </c>
      <c r="G218" s="350">
        <v>0</v>
      </c>
      <c r="H218" s="104"/>
      <c r="I218" s="102" t="e">
        <f t="shared" si="36"/>
        <v>#DIV/0!</v>
      </c>
      <c r="J218" s="103" t="e">
        <f t="shared" si="37"/>
        <v>#DIV/0!</v>
      </c>
      <c r="K218" s="103" t="e">
        <f t="shared" si="38"/>
        <v>#DIV/0!</v>
      </c>
      <c r="L218" s="103" t="e">
        <f t="shared" ca="1" si="39"/>
        <v>#DIV/0!</v>
      </c>
      <c r="M218" s="120"/>
      <c r="N218" s="91">
        <f t="shared" si="40"/>
        <v>0</v>
      </c>
      <c r="O218" s="120">
        <f t="shared" si="41"/>
        <v>0</v>
      </c>
      <c r="P218" s="104"/>
      <c r="Q218" s="104"/>
    </row>
    <row r="219" spans="1:17" s="91" customFormat="1" x14ac:dyDescent="0.25">
      <c r="A219" s="24" t="s">
        <v>324</v>
      </c>
      <c r="B219" s="120">
        <v>1</v>
      </c>
      <c r="C219" s="118">
        <v>1</v>
      </c>
      <c r="D219" s="118" t="s">
        <v>17</v>
      </c>
      <c r="E219" s="104"/>
      <c r="F219" s="350">
        <v>0</v>
      </c>
      <c r="G219" s="350">
        <v>0</v>
      </c>
      <c r="H219" s="104"/>
      <c r="I219" s="102" t="e">
        <f t="shared" si="36"/>
        <v>#DIV/0!</v>
      </c>
      <c r="J219" s="103" t="e">
        <f t="shared" si="37"/>
        <v>#DIV/0!</v>
      </c>
      <c r="K219" s="103" t="e">
        <f t="shared" si="38"/>
        <v>#DIV/0!</v>
      </c>
      <c r="L219" s="103" t="e">
        <f t="shared" ca="1" si="39"/>
        <v>#DIV/0!</v>
      </c>
      <c r="M219" s="120"/>
      <c r="N219" s="91">
        <f t="shared" si="40"/>
        <v>0</v>
      </c>
      <c r="O219" s="120">
        <f t="shared" si="41"/>
        <v>0</v>
      </c>
      <c r="P219" s="104"/>
      <c r="Q219" s="104"/>
    </row>
    <row r="220" spans="1:17" s="91" customFormat="1" x14ac:dyDescent="0.25">
      <c r="A220" s="24" t="s">
        <v>325</v>
      </c>
      <c r="B220" s="120">
        <v>1</v>
      </c>
      <c r="C220" s="118">
        <v>1</v>
      </c>
      <c r="D220" s="118" t="s">
        <v>17</v>
      </c>
      <c r="E220" s="104"/>
      <c r="F220" s="350">
        <v>0</v>
      </c>
      <c r="G220" s="350">
        <v>0</v>
      </c>
      <c r="H220" s="104"/>
      <c r="I220" s="102" t="e">
        <f t="shared" si="36"/>
        <v>#DIV/0!</v>
      </c>
      <c r="J220" s="103" t="e">
        <f t="shared" si="37"/>
        <v>#DIV/0!</v>
      </c>
      <c r="K220" s="103" t="e">
        <f t="shared" si="38"/>
        <v>#DIV/0!</v>
      </c>
      <c r="L220" s="103" t="e">
        <f t="shared" ca="1" si="39"/>
        <v>#DIV/0!</v>
      </c>
      <c r="M220" s="120"/>
      <c r="N220" s="91">
        <f t="shared" si="40"/>
        <v>0</v>
      </c>
      <c r="O220" s="120">
        <f t="shared" si="41"/>
        <v>0</v>
      </c>
      <c r="P220" s="104"/>
      <c r="Q220" s="104"/>
    </row>
    <row r="221" spans="1:17" s="91" customFormat="1" x14ac:dyDescent="0.25">
      <c r="A221" s="24" t="s">
        <v>326</v>
      </c>
      <c r="B221" s="120">
        <v>1</v>
      </c>
      <c r="C221" s="118">
        <v>1</v>
      </c>
      <c r="D221" s="118" t="s">
        <v>17</v>
      </c>
      <c r="E221" s="104"/>
      <c r="F221" s="350">
        <v>0</v>
      </c>
      <c r="G221" s="350">
        <v>0</v>
      </c>
      <c r="H221" s="104"/>
      <c r="I221" s="102" t="e">
        <f t="shared" si="36"/>
        <v>#DIV/0!</v>
      </c>
      <c r="J221" s="103" t="e">
        <f t="shared" si="37"/>
        <v>#DIV/0!</v>
      </c>
      <c r="K221" s="103" t="e">
        <f t="shared" si="38"/>
        <v>#DIV/0!</v>
      </c>
      <c r="L221" s="103" t="e">
        <f t="shared" ca="1" si="39"/>
        <v>#DIV/0!</v>
      </c>
      <c r="M221" s="120"/>
      <c r="N221" s="91">
        <f t="shared" si="40"/>
        <v>0</v>
      </c>
      <c r="O221" s="120">
        <f t="shared" si="41"/>
        <v>0</v>
      </c>
      <c r="P221" s="104"/>
      <c r="Q221" s="104"/>
    </row>
    <row r="222" spans="1:17" s="91" customFormat="1" x14ac:dyDescent="0.25">
      <c r="A222" s="24" t="s">
        <v>327</v>
      </c>
      <c r="B222" s="120">
        <v>1</v>
      </c>
      <c r="C222" s="118">
        <v>1</v>
      </c>
      <c r="D222" s="118" t="s">
        <v>17</v>
      </c>
      <c r="E222" s="104"/>
      <c r="F222" s="350">
        <v>0</v>
      </c>
      <c r="G222" s="350">
        <v>0</v>
      </c>
      <c r="H222" s="104"/>
      <c r="I222" s="102" t="e">
        <f t="shared" si="36"/>
        <v>#DIV/0!</v>
      </c>
      <c r="J222" s="103" t="e">
        <f t="shared" si="37"/>
        <v>#DIV/0!</v>
      </c>
      <c r="K222" s="103" t="e">
        <f t="shared" si="38"/>
        <v>#DIV/0!</v>
      </c>
      <c r="L222" s="103" t="e">
        <f t="shared" ca="1" si="39"/>
        <v>#DIV/0!</v>
      </c>
      <c r="M222" s="120"/>
      <c r="N222" s="91">
        <f t="shared" si="40"/>
        <v>0</v>
      </c>
      <c r="O222" s="120">
        <f t="shared" si="41"/>
        <v>0</v>
      </c>
      <c r="P222" s="104"/>
      <c r="Q222" s="104"/>
    </row>
    <row r="223" spans="1:17" s="91" customFormat="1" x14ac:dyDescent="0.25">
      <c r="A223" s="24" t="s">
        <v>328</v>
      </c>
      <c r="B223" s="120">
        <v>1</v>
      </c>
      <c r="C223" s="118">
        <v>1</v>
      </c>
      <c r="D223" s="118" t="s">
        <v>17</v>
      </c>
      <c r="E223" s="104"/>
      <c r="F223" s="350">
        <v>0</v>
      </c>
      <c r="G223" s="350">
        <v>0</v>
      </c>
      <c r="H223" s="104"/>
      <c r="I223" s="102" t="e">
        <f t="shared" si="36"/>
        <v>#DIV/0!</v>
      </c>
      <c r="J223" s="103" t="e">
        <f t="shared" si="37"/>
        <v>#DIV/0!</v>
      </c>
      <c r="K223" s="103" t="e">
        <f t="shared" si="38"/>
        <v>#DIV/0!</v>
      </c>
      <c r="L223" s="103" t="e">
        <f t="shared" ca="1" si="39"/>
        <v>#DIV/0!</v>
      </c>
      <c r="M223" s="120"/>
      <c r="N223" s="91">
        <f t="shared" si="40"/>
        <v>0</v>
      </c>
      <c r="O223" s="120">
        <f t="shared" si="41"/>
        <v>0</v>
      </c>
      <c r="P223" s="104"/>
      <c r="Q223" s="104"/>
    </row>
    <row r="224" spans="1:17" s="91" customFormat="1" x14ac:dyDescent="0.25">
      <c r="A224" s="24" t="s">
        <v>329</v>
      </c>
      <c r="B224" s="120">
        <v>1</v>
      </c>
      <c r="C224" s="118">
        <v>1</v>
      </c>
      <c r="D224" s="118" t="s">
        <v>17</v>
      </c>
      <c r="E224" s="104"/>
      <c r="F224" s="350">
        <v>3.7545776157857404E-3</v>
      </c>
      <c r="G224" s="350">
        <v>4.1217426510160231E-4</v>
      </c>
      <c r="H224" s="104"/>
      <c r="I224" s="102">
        <f t="shared" si="36"/>
        <v>22016.382177489606</v>
      </c>
      <c r="J224" s="103">
        <f t="shared" si="37"/>
        <v>82.662215704186593</v>
      </c>
      <c r="K224" s="103">
        <f t="shared" si="38"/>
        <v>21933.71996178542</v>
      </c>
      <c r="L224" s="103">
        <f t="shared" ca="1" si="39"/>
        <v>3.6798746923550505E-3</v>
      </c>
      <c r="M224" s="120"/>
      <c r="N224" s="91">
        <f t="shared" si="40"/>
        <v>3.7545776157857404E-3</v>
      </c>
      <c r="O224" s="120">
        <f t="shared" ca="1" si="41"/>
        <v>3.6798746923550505E-3</v>
      </c>
      <c r="P224" s="104"/>
      <c r="Q224" s="104"/>
    </row>
    <row r="225" spans="1:23" s="91" customFormat="1" x14ac:dyDescent="0.25">
      <c r="A225" s="24" t="s">
        <v>330</v>
      </c>
      <c r="B225" s="120">
        <v>1</v>
      </c>
      <c r="C225" s="118">
        <v>1</v>
      </c>
      <c r="D225" s="118" t="s">
        <v>17</v>
      </c>
      <c r="E225" s="104"/>
      <c r="F225" s="350">
        <v>3.7521178974776158E-3</v>
      </c>
      <c r="G225" s="350">
        <v>4.1232344288575604E-4</v>
      </c>
      <c r="H225" s="104"/>
      <c r="I225" s="102">
        <f t="shared" si="36"/>
        <v>21986.09395102198</v>
      </c>
      <c r="J225" s="103">
        <f t="shared" si="37"/>
        <v>82.494416609253918</v>
      </c>
      <c r="K225" s="103">
        <f t="shared" si="38"/>
        <v>21903.599534412726</v>
      </c>
      <c r="L225" s="103">
        <f t="shared" ca="1" si="39"/>
        <v>3.5076264734626326E-3</v>
      </c>
      <c r="M225" s="120"/>
      <c r="N225" s="91">
        <f t="shared" si="40"/>
        <v>3.7521178974776158E-3</v>
      </c>
      <c r="O225" s="120">
        <f t="shared" ca="1" si="41"/>
        <v>3.5076264734626326E-3</v>
      </c>
      <c r="P225" s="104"/>
      <c r="Q225" s="104"/>
    </row>
    <row r="226" spans="1:23" s="91" customFormat="1" x14ac:dyDescent="0.25">
      <c r="A226" s="24" t="s">
        <v>331</v>
      </c>
      <c r="B226" s="120">
        <v>1</v>
      </c>
      <c r="C226" s="118">
        <v>1</v>
      </c>
      <c r="D226" s="118" t="s">
        <v>17</v>
      </c>
      <c r="E226" s="104"/>
      <c r="F226" s="350">
        <v>9.0179947864856141E-3</v>
      </c>
      <c r="G226" s="350">
        <v>1.0031603596893923E-3</v>
      </c>
      <c r="H226" s="104"/>
      <c r="I226" s="102">
        <f t="shared" si="36"/>
        <v>8879.4510208365518</v>
      </c>
      <c r="J226" s="103">
        <f t="shared" si="37"/>
        <v>80.074843012758393</v>
      </c>
      <c r="K226" s="103">
        <f t="shared" si="38"/>
        <v>8799.3761778237949</v>
      </c>
      <c r="L226" s="103">
        <f t="shared" ca="1" si="39"/>
        <v>9.5051002132573448E-3</v>
      </c>
      <c r="M226" s="120"/>
      <c r="N226" s="91">
        <f t="shared" si="40"/>
        <v>9.0179947864856141E-3</v>
      </c>
      <c r="O226" s="120">
        <f t="shared" ca="1" si="41"/>
        <v>9.5051002132573448E-3</v>
      </c>
      <c r="P226" s="104"/>
      <c r="Q226" s="104"/>
    </row>
    <row r="227" spans="1:23" s="91" customFormat="1" x14ac:dyDescent="0.25">
      <c r="A227" s="24" t="s">
        <v>332</v>
      </c>
      <c r="B227" s="120">
        <v>1</v>
      </c>
      <c r="C227" s="118">
        <v>1</v>
      </c>
      <c r="D227" s="118" t="s">
        <v>17</v>
      </c>
      <c r="E227" s="104"/>
      <c r="F227" s="350">
        <v>9.2583513358754331E-3</v>
      </c>
      <c r="G227" s="350">
        <v>1.0235055169413052E-3</v>
      </c>
      <c r="H227" s="104"/>
      <c r="I227" s="102">
        <f t="shared" si="36"/>
        <v>8755.160259563716</v>
      </c>
      <c r="J227" s="103">
        <f t="shared" si="37"/>
        <v>81.058349684935237</v>
      </c>
      <c r="K227" s="103">
        <f t="shared" si="38"/>
        <v>8674.101909878782</v>
      </c>
      <c r="L227" s="103">
        <f t="shared" ca="1" si="39"/>
        <v>1.0761091179990578E-2</v>
      </c>
      <c r="M227" s="120"/>
      <c r="N227" s="91">
        <f t="shared" si="40"/>
        <v>9.2583513358754331E-3</v>
      </c>
      <c r="O227" s="120">
        <f t="shared" ca="1" si="41"/>
        <v>1.0761091179990578E-2</v>
      </c>
      <c r="P227" s="104"/>
      <c r="Q227" s="104"/>
    </row>
    <row r="228" spans="1:23" s="91" customFormat="1" x14ac:dyDescent="0.25">
      <c r="A228" s="24" t="s">
        <v>333</v>
      </c>
      <c r="B228" s="120">
        <v>1</v>
      </c>
      <c r="C228" s="118">
        <v>1</v>
      </c>
      <c r="D228" s="118" t="s">
        <v>17</v>
      </c>
      <c r="E228" s="104"/>
      <c r="F228" s="350">
        <v>2.1029089791591547E-2</v>
      </c>
      <c r="G228" s="350">
        <v>2.3037573832641132E-3</v>
      </c>
      <c r="H228" s="104"/>
      <c r="I228" s="102">
        <f t="shared" si="36"/>
        <v>3877.9732289668777</v>
      </c>
      <c r="J228" s="103">
        <f t="shared" si="37"/>
        <v>81.55024724133267</v>
      </c>
      <c r="K228" s="103">
        <f t="shared" si="38"/>
        <v>3796.4229817255446</v>
      </c>
      <c r="L228" s="103">
        <f t="shared" ca="1" si="39"/>
        <v>2.7305744290243905E-2</v>
      </c>
      <c r="M228" s="120"/>
      <c r="N228" s="91">
        <f t="shared" si="40"/>
        <v>2.1029089791591547E-2</v>
      </c>
      <c r="O228" s="120">
        <f t="shared" ca="1" si="41"/>
        <v>2.7305744290243905E-2</v>
      </c>
      <c r="P228" s="104"/>
      <c r="Q228" s="104"/>
    </row>
    <row r="229" spans="1:23" s="91" customFormat="1" x14ac:dyDescent="0.25">
      <c r="A229" s="24" t="s">
        <v>334</v>
      </c>
      <c r="B229" s="120">
        <v>1</v>
      </c>
      <c r="C229" s="118">
        <v>1</v>
      </c>
      <c r="D229" s="118" t="s">
        <v>17</v>
      </c>
      <c r="E229" s="104"/>
      <c r="F229" s="350">
        <v>2.1371740641681045E-2</v>
      </c>
      <c r="G229" s="350">
        <v>2.4687362748340254E-3</v>
      </c>
      <c r="H229" s="104"/>
      <c r="I229" s="102">
        <f t="shared" si="36"/>
        <v>3430.6915922967873</v>
      </c>
      <c r="J229" s="103">
        <f t="shared" si="37"/>
        <v>73.319850932162709</v>
      </c>
      <c r="K229" s="103">
        <f t="shared" si="38"/>
        <v>3357.371741364625</v>
      </c>
      <c r="L229" s="103">
        <f t="shared" ca="1" si="39"/>
        <v>1.8831591203611699E-2</v>
      </c>
      <c r="M229" s="120"/>
      <c r="N229" s="91">
        <f t="shared" si="40"/>
        <v>2.1371740641681045E-2</v>
      </c>
      <c r="O229" s="120">
        <f t="shared" ca="1" si="41"/>
        <v>1.8831591203611699E-2</v>
      </c>
      <c r="P229" s="104"/>
      <c r="Q229" s="104"/>
    </row>
    <row r="230" spans="1:23" s="91" customFormat="1" x14ac:dyDescent="0.25">
      <c r="A230" s="24" t="s">
        <v>335</v>
      </c>
      <c r="B230" s="120">
        <v>1</v>
      </c>
      <c r="C230" s="118">
        <v>1</v>
      </c>
      <c r="D230" s="118" t="s">
        <v>17</v>
      </c>
      <c r="E230" s="104"/>
      <c r="F230" s="350">
        <v>5.7027580306318604E-2</v>
      </c>
      <c r="G230" s="350">
        <v>6.3640670193997745E-3</v>
      </c>
      <c r="H230" s="104"/>
      <c r="I230" s="102">
        <f t="shared" si="36"/>
        <v>1326.7443019077946</v>
      </c>
      <c r="J230" s="103">
        <f t="shared" si="37"/>
        <v>75.661017222997373</v>
      </c>
      <c r="K230" s="103">
        <f t="shared" si="38"/>
        <v>1251.0832846847973</v>
      </c>
      <c r="L230" s="103">
        <f t="shared" ca="1" si="39"/>
        <v>6.2398956379023263E-2</v>
      </c>
      <c r="M230" s="120"/>
      <c r="N230" s="91">
        <f t="shared" si="40"/>
        <v>5.7027580306318604E-2</v>
      </c>
      <c r="O230" s="120">
        <f t="shared" ca="1" si="41"/>
        <v>6.2398956379023263E-2</v>
      </c>
      <c r="P230" s="104"/>
      <c r="Q230" s="104"/>
    </row>
    <row r="231" spans="1:23" s="91" customFormat="1" x14ac:dyDescent="0.25">
      <c r="A231" s="24" t="s">
        <v>336</v>
      </c>
      <c r="B231" s="120">
        <v>1</v>
      </c>
      <c r="C231" s="118">
        <v>1</v>
      </c>
      <c r="D231" s="118" t="s">
        <v>17</v>
      </c>
      <c r="E231" s="104"/>
      <c r="F231" s="350">
        <v>5.7117973011614469E-2</v>
      </c>
      <c r="G231" s="350">
        <v>6.2235966245892324E-3</v>
      </c>
      <c r="H231" s="104"/>
      <c r="I231" s="102">
        <f t="shared" si="36"/>
        <v>1389.424050049631</v>
      </c>
      <c r="J231" s="103">
        <f t="shared" si="37"/>
        <v>79.361085392422893</v>
      </c>
      <c r="K231" s="103">
        <f t="shared" si="38"/>
        <v>1310.0629646572081</v>
      </c>
      <c r="L231" s="103">
        <f t="shared" ca="1" si="39"/>
        <v>5.5964959099660254E-2</v>
      </c>
      <c r="M231" s="120"/>
      <c r="N231" s="91">
        <f t="shared" si="40"/>
        <v>5.7117973011614469E-2</v>
      </c>
      <c r="O231" s="120">
        <f t="shared" ca="1" si="41"/>
        <v>5.5964959099660254E-2</v>
      </c>
      <c r="P231" s="104"/>
      <c r="Q231" s="104"/>
    </row>
    <row r="232" spans="1:23" s="91" customFormat="1" x14ac:dyDescent="0.25">
      <c r="A232" s="24" t="s">
        <v>337</v>
      </c>
      <c r="B232" s="120">
        <v>1</v>
      </c>
      <c r="C232" s="118">
        <v>1</v>
      </c>
      <c r="D232" s="118" t="s">
        <v>17</v>
      </c>
      <c r="E232" s="104"/>
      <c r="F232" s="350">
        <v>0.11783422312065009</v>
      </c>
      <c r="G232" s="350">
        <v>1.3036007155645067E-2</v>
      </c>
      <c r="H232" s="104"/>
      <c r="I232" s="102">
        <f t="shared" si="36"/>
        <v>610.69153158580002</v>
      </c>
      <c r="J232" s="103">
        <f t="shared" si="37"/>
        <v>71.960362190772685</v>
      </c>
      <c r="K232" s="103">
        <f t="shared" si="38"/>
        <v>538.73116939502734</v>
      </c>
      <c r="L232" s="103">
        <f t="shared" ca="1" si="39"/>
        <v>0.11333532868167917</v>
      </c>
      <c r="M232" s="120"/>
      <c r="N232" s="91">
        <f t="shared" si="40"/>
        <v>0.11783422312065009</v>
      </c>
      <c r="O232" s="120">
        <f t="shared" ca="1" si="41"/>
        <v>0.11333532868167917</v>
      </c>
      <c r="P232" s="104"/>
      <c r="Q232" s="104"/>
    </row>
    <row r="233" spans="1:23" s="91" customFormat="1" x14ac:dyDescent="0.25">
      <c r="A233" s="24" t="s">
        <v>338</v>
      </c>
      <c r="B233" s="120">
        <v>1</v>
      </c>
      <c r="C233" s="118">
        <v>1</v>
      </c>
      <c r="D233" s="118" t="s">
        <v>17</v>
      </c>
      <c r="E233" s="104"/>
      <c r="F233" s="350">
        <v>0.11773215117270529</v>
      </c>
      <c r="G233" s="350">
        <v>1.2869126350180641E-2</v>
      </c>
      <c r="H233" s="104"/>
      <c r="I233" s="102">
        <f t="shared" si="36"/>
        <v>626.18751261307489</v>
      </c>
      <c r="J233" s="103">
        <f t="shared" si="37"/>
        <v>73.722402897422825</v>
      </c>
      <c r="K233" s="103">
        <f t="shared" si="38"/>
        <v>552.46510971565203</v>
      </c>
      <c r="L233" s="103">
        <f t="shared" ca="1" si="39"/>
        <v>0.10222076931844368</v>
      </c>
      <c r="M233" s="120"/>
      <c r="N233" s="91">
        <f t="shared" si="40"/>
        <v>0.11773215117270529</v>
      </c>
      <c r="O233" s="120">
        <f t="shared" ca="1" si="41"/>
        <v>0.10222076931844368</v>
      </c>
      <c r="P233" s="104"/>
      <c r="Q233" s="104"/>
    </row>
    <row r="234" spans="1:23" s="91" customFormat="1" x14ac:dyDescent="0.25">
      <c r="A234" s="24" t="s">
        <v>339</v>
      </c>
      <c r="B234" s="120">
        <v>1</v>
      </c>
      <c r="C234" s="118">
        <v>1</v>
      </c>
      <c r="D234" s="118" t="s">
        <v>17</v>
      </c>
      <c r="E234" s="104"/>
      <c r="F234" s="350">
        <v>0.11801420097935571</v>
      </c>
      <c r="G234" s="350">
        <v>1.3139386015337283E-2</v>
      </c>
      <c r="H234" s="104"/>
      <c r="I234" s="102">
        <f t="shared" si="36"/>
        <v>601.90060461275698</v>
      </c>
      <c r="J234" s="103">
        <f t="shared" si="37"/>
        <v>71.032818922365621</v>
      </c>
      <c r="K234" s="103">
        <f t="shared" si="38"/>
        <v>530.86778569039143</v>
      </c>
      <c r="L234" s="103">
        <f t="shared" ca="1" si="39"/>
        <v>8.3427875715801E-2</v>
      </c>
      <c r="M234" s="120"/>
      <c r="N234" s="91">
        <f t="shared" si="40"/>
        <v>0.11801420097935571</v>
      </c>
      <c r="O234" s="120">
        <f t="shared" ca="1" si="41"/>
        <v>8.3427875715801E-2</v>
      </c>
      <c r="P234" s="104"/>
      <c r="Q234" s="104"/>
    </row>
    <row r="235" spans="1:23" s="91" customFormat="1" x14ac:dyDescent="0.25">
      <c r="A235" s="24"/>
      <c r="B235" s="118"/>
      <c r="C235" s="118"/>
      <c r="D235" s="118"/>
      <c r="E235" s="104"/>
      <c r="F235" s="118"/>
      <c r="G235" s="118"/>
      <c r="H235" s="104"/>
      <c r="I235" s="103"/>
      <c r="J235" s="103"/>
      <c r="K235" s="103"/>
      <c r="L235" s="103"/>
      <c r="M235" s="118"/>
      <c r="O235" s="118"/>
      <c r="P235" s="104"/>
      <c r="Q235" s="104"/>
    </row>
    <row r="236" spans="1:23" s="91" customFormat="1" x14ac:dyDescent="0.25">
      <c r="A236" s="569" t="s">
        <v>860</v>
      </c>
      <c r="B236" s="569"/>
      <c r="C236" s="569"/>
      <c r="D236" s="569"/>
      <c r="E236" s="569"/>
      <c r="F236" s="569"/>
      <c r="G236" s="569"/>
      <c r="H236" s="569"/>
      <c r="I236" s="569"/>
      <c r="J236" s="569"/>
      <c r="K236" s="569"/>
      <c r="L236" s="569"/>
      <c r="M236" s="569"/>
      <c r="N236" s="569"/>
      <c r="O236" s="569"/>
      <c r="P236" s="569"/>
      <c r="Q236" s="569"/>
      <c r="R236" s="569"/>
      <c r="S236" s="569"/>
      <c r="T236" s="569"/>
      <c r="U236" s="569"/>
      <c r="V236" s="569"/>
      <c r="W236" s="574"/>
    </row>
    <row r="237" spans="1:23" s="91" customFormat="1" x14ac:dyDescent="0.25">
      <c r="A237" s="106" t="s">
        <v>99</v>
      </c>
      <c r="B237" s="107" t="s">
        <v>155</v>
      </c>
      <c r="C237" s="106" t="s">
        <v>113</v>
      </c>
      <c r="D237" s="106" t="s">
        <v>15</v>
      </c>
      <c r="E237" s="107"/>
      <c r="F237" s="107" t="s">
        <v>4</v>
      </c>
      <c r="G237" s="106" t="s">
        <v>19</v>
      </c>
      <c r="H237" s="107"/>
      <c r="I237" s="108" t="s">
        <v>108</v>
      </c>
      <c r="J237" s="109" t="s">
        <v>22</v>
      </c>
      <c r="K237" s="109" t="s">
        <v>23</v>
      </c>
      <c r="L237" s="109" t="s">
        <v>100</v>
      </c>
      <c r="M237" s="107"/>
      <c r="N237" s="107" t="s">
        <v>14</v>
      </c>
      <c r="O237" s="107" t="s">
        <v>25</v>
      </c>
      <c r="P237" s="107"/>
      <c r="Q237" s="110"/>
    </row>
    <row r="238" spans="1:23" s="91" customFormat="1" x14ac:dyDescent="0.25">
      <c r="A238" s="91" t="s">
        <v>1034</v>
      </c>
      <c r="B238" s="120">
        <v>1</v>
      </c>
      <c r="C238" s="118">
        <v>1</v>
      </c>
      <c r="D238" s="118" t="s">
        <v>17</v>
      </c>
      <c r="E238" s="120"/>
      <c r="F238" s="120">
        <v>1.6043940105914801E-2</v>
      </c>
      <c r="G238" s="118">
        <v>3.8710019410007792E-3</v>
      </c>
      <c r="H238" s="120"/>
      <c r="I238" s="102">
        <f t="shared" ref="I238:I277" si="42">IF($D238="Beta",((($F238*(1-$F238))/($G238^2))-1),"N/A")</f>
        <v>1052.5131445862726</v>
      </c>
      <c r="J238" s="103">
        <f t="shared" ref="J238:J277" si="43">IF($D238="Beta",($F238*$I238),IF($D238="Gamma",(($F238^2)/($G238^2)),"N/A"))</f>
        <v>16.886457852430201</v>
      </c>
      <c r="K238" s="103">
        <f t="shared" ref="K238:K277" si="44">IF($D238="Beta",($J238*((1-$F238)/$F238)),IF($D238="Gamma",(($G238^2)/$F238),"N/A"))</f>
        <v>1035.6266867338422</v>
      </c>
      <c r="L238" s="103">
        <f t="shared" ref="L238:L277" ca="1" si="45">IF($D238="Beta",(_xlfn.BETA.INV(RAND(),$J238,$K238)),IF($D238="Gamma",(_xlfn.GAMMA.INV(RAND(),$J238,$K238)),IF($D238="Log Normal",EXP(_xlfn.NORM.INV(RAND(),LN($F238),((LN($F238+1.96*$G238)-LN($F238-1.96*$G238))/(2*1.96)))),_xlfn.NORM.INV(RAND(),$F238,$G238))))</f>
        <v>1.5554436166822599E-2</v>
      </c>
      <c r="M238" s="120"/>
      <c r="N238" s="91">
        <f>F238</f>
        <v>1.6043940105914801E-2</v>
      </c>
      <c r="O238" s="120">
        <f ca="1">IF(F238=0,0,IF($B238=1,IF($C238=1,$L238,$F238),0))</f>
        <v>1.5554436166822599E-2</v>
      </c>
      <c r="P238" s="104"/>
      <c r="Q238" s="104"/>
    </row>
    <row r="239" spans="1:23" s="91" customFormat="1" x14ac:dyDescent="0.25">
      <c r="A239" s="91" t="s">
        <v>1035</v>
      </c>
      <c r="B239" s="120">
        <v>1</v>
      </c>
      <c r="C239" s="118">
        <v>1</v>
      </c>
      <c r="D239" s="118" t="s">
        <v>17</v>
      </c>
      <c r="E239" s="120"/>
      <c r="F239" s="120">
        <v>2.1496480657142367E-2</v>
      </c>
      <c r="G239" s="118">
        <v>2.2828430584001117E-3</v>
      </c>
      <c r="H239" s="120"/>
      <c r="I239" s="102">
        <f t="shared" si="42"/>
        <v>4035.2461639271214</v>
      </c>
      <c r="J239" s="103">
        <f t="shared" si="43"/>
        <v>86.743591109667307</v>
      </c>
      <c r="K239" s="103">
        <f t="shared" si="44"/>
        <v>3948.5025728174542</v>
      </c>
      <c r="L239" s="103">
        <f t="shared" ca="1" si="45"/>
        <v>2.1211312564179973E-2</v>
      </c>
      <c r="M239" s="120"/>
      <c r="N239" s="91">
        <f t="shared" ref="N239:N243" si="46">F239</f>
        <v>2.1496480657142367E-2</v>
      </c>
      <c r="O239" s="120">
        <f t="shared" ref="O239:O243" ca="1" si="47">IF(F239=0,0,IF($B239=1,IF($C239=1,$L239,$F239),0))</f>
        <v>2.1211312564179973E-2</v>
      </c>
      <c r="P239" s="104"/>
      <c r="Q239" s="104"/>
    </row>
    <row r="240" spans="1:23" s="91" customFormat="1" x14ac:dyDescent="0.25">
      <c r="A240" s="91" t="s">
        <v>861</v>
      </c>
      <c r="B240" s="120">
        <v>1</v>
      </c>
      <c r="C240" s="118">
        <v>1</v>
      </c>
      <c r="D240" s="118" t="s">
        <v>17</v>
      </c>
      <c r="E240" s="120"/>
      <c r="F240" s="120">
        <v>0.10626515128307298</v>
      </c>
      <c r="G240" s="118">
        <v>1.0969912012302444E-2</v>
      </c>
      <c r="H240" s="120"/>
      <c r="I240" s="102">
        <f t="shared" si="42"/>
        <v>788.21125263877786</v>
      </c>
      <c r="J240" s="103">
        <f t="shared" si="43"/>
        <v>83.75938800468019</v>
      </c>
      <c r="K240" s="103">
        <f t="shared" si="44"/>
        <v>704.45186463409766</v>
      </c>
      <c r="L240" s="103">
        <f t="shared" ca="1" si="45"/>
        <v>0.1215234417372163</v>
      </c>
      <c r="M240" s="120"/>
      <c r="N240" s="91">
        <f t="shared" si="46"/>
        <v>0.10626515128307298</v>
      </c>
      <c r="O240" s="120">
        <f t="shared" ca="1" si="47"/>
        <v>0.1215234417372163</v>
      </c>
      <c r="P240" s="104"/>
      <c r="Q240" s="104"/>
    </row>
    <row r="241" spans="1:17" s="91" customFormat="1" x14ac:dyDescent="0.25">
      <c r="A241" s="91" t="s">
        <v>862</v>
      </c>
      <c r="B241" s="120">
        <v>1</v>
      </c>
      <c r="C241" s="118">
        <v>1</v>
      </c>
      <c r="D241" s="118" t="s">
        <v>17</v>
      </c>
      <c r="E241" s="120"/>
      <c r="F241" s="120">
        <v>9.4445570047653096E-2</v>
      </c>
      <c r="G241" s="118">
        <v>1.17914792100945E-2</v>
      </c>
      <c r="H241" s="120"/>
      <c r="I241" s="102">
        <f t="shared" si="42"/>
        <v>614.11960990440525</v>
      </c>
      <c r="J241" s="103">
        <f t="shared" si="43"/>
        <v>58.0008766348639</v>
      </c>
      <c r="K241" s="103">
        <f t="shared" si="44"/>
        <v>556.11873326954139</v>
      </c>
      <c r="L241" s="103">
        <f t="shared" ca="1" si="45"/>
        <v>0.111396363958429</v>
      </c>
      <c r="M241" s="120"/>
      <c r="N241" s="91">
        <f t="shared" si="46"/>
        <v>9.4445570047653096E-2</v>
      </c>
      <c r="O241" s="120">
        <f t="shared" ca="1" si="47"/>
        <v>0.111396363958429</v>
      </c>
      <c r="P241" s="104"/>
      <c r="Q241" s="104"/>
    </row>
    <row r="242" spans="1:17" s="91" customFormat="1" x14ac:dyDescent="0.25">
      <c r="A242" s="91" t="s">
        <v>863</v>
      </c>
      <c r="B242" s="120">
        <v>1</v>
      </c>
      <c r="C242" s="118">
        <v>1</v>
      </c>
      <c r="D242" s="118" t="s">
        <v>17</v>
      </c>
      <c r="E242" s="120"/>
      <c r="F242" s="120">
        <v>0.24338929071233301</v>
      </c>
      <c r="G242" s="118">
        <v>2.3774648252089484E-2</v>
      </c>
      <c r="H242" s="120"/>
      <c r="I242" s="102">
        <f t="shared" si="42"/>
        <v>324.79600062616743</v>
      </c>
      <c r="J242" s="103">
        <f t="shared" si="43"/>
        <v>79.051868218605364</v>
      </c>
      <c r="K242" s="103">
        <f t="shared" si="44"/>
        <v>245.74413240756212</v>
      </c>
      <c r="L242" s="103">
        <f t="shared" ca="1" si="45"/>
        <v>0.26102754406928708</v>
      </c>
      <c r="M242" s="120"/>
      <c r="N242" s="91">
        <f t="shared" si="46"/>
        <v>0.24338929071233301</v>
      </c>
      <c r="O242" s="120">
        <f t="shared" ca="1" si="47"/>
        <v>0.26102754406928708</v>
      </c>
      <c r="P242" s="104"/>
      <c r="Q242" s="104"/>
    </row>
    <row r="243" spans="1:17" s="91" customFormat="1" x14ac:dyDescent="0.25">
      <c r="A243" s="91" t="s">
        <v>1036</v>
      </c>
      <c r="B243" s="120">
        <v>1</v>
      </c>
      <c r="C243" s="118">
        <v>1</v>
      </c>
      <c r="D243" s="118" t="s">
        <v>17</v>
      </c>
      <c r="E243" s="120"/>
      <c r="F243" s="120">
        <v>2.949274224796377E-2</v>
      </c>
      <c r="G243" s="118">
        <v>7.94274192162942E-3</v>
      </c>
      <c r="H243" s="120"/>
      <c r="I243" s="102">
        <f t="shared" si="42"/>
        <v>452.70445091232943</v>
      </c>
      <c r="J243" s="103">
        <f t="shared" si="43"/>
        <v>13.351495685263298</v>
      </c>
      <c r="K243" s="103">
        <f t="shared" si="44"/>
        <v>439.35295522706616</v>
      </c>
      <c r="L243" s="103">
        <f t="shared" ca="1" si="45"/>
        <v>2.8269159906332653E-2</v>
      </c>
      <c r="M243" s="120"/>
      <c r="N243" s="91">
        <f t="shared" si="46"/>
        <v>2.949274224796377E-2</v>
      </c>
      <c r="O243" s="120">
        <f t="shared" ca="1" si="47"/>
        <v>2.8269159906332653E-2</v>
      </c>
      <c r="P243" s="104"/>
      <c r="Q243" s="104"/>
    </row>
    <row r="244" spans="1:17" s="91" customFormat="1" x14ac:dyDescent="0.25">
      <c r="A244" s="91" t="s">
        <v>1037</v>
      </c>
      <c r="B244" s="120">
        <v>1</v>
      </c>
      <c r="C244" s="118">
        <v>1</v>
      </c>
      <c r="D244" s="118" t="s">
        <v>17</v>
      </c>
      <c r="E244" s="120"/>
      <c r="F244" s="120">
        <v>2.8159485524959872E-2</v>
      </c>
      <c r="G244" s="118">
        <v>5.5069204381535952E-3</v>
      </c>
      <c r="H244" s="120"/>
      <c r="I244" s="102">
        <f t="shared" si="42"/>
        <v>901.40628646693006</v>
      </c>
      <c r="J244" s="103">
        <f t="shared" si="43"/>
        <v>25.383137275873349</v>
      </c>
      <c r="K244" s="103">
        <f t="shared" si="44"/>
        <v>876.02314919105675</v>
      </c>
      <c r="L244" s="103">
        <f t="shared" ca="1" si="45"/>
        <v>2.1117571340520249E-2</v>
      </c>
      <c r="M244" s="120"/>
      <c r="N244" s="91">
        <f t="shared" ref="N244:N277" si="48">F244</f>
        <v>2.8159485524959872E-2</v>
      </c>
      <c r="O244" s="120">
        <f t="shared" ref="O244:O277" ca="1" si="49">IF(F244=0,0,IF($B244=1,IF($C244=1,$L244,$F244),0))</f>
        <v>2.1117571340520249E-2</v>
      </c>
      <c r="P244" s="104"/>
      <c r="Q244" s="104"/>
    </row>
    <row r="245" spans="1:17" s="91" customFormat="1" x14ac:dyDescent="0.25">
      <c r="A245" s="91" t="s">
        <v>864</v>
      </c>
      <c r="B245" s="120">
        <v>1</v>
      </c>
      <c r="C245" s="118">
        <v>1</v>
      </c>
      <c r="D245" s="118" t="s">
        <v>17</v>
      </c>
      <c r="E245" s="120"/>
      <c r="F245" s="120">
        <v>0.13486958523648684</v>
      </c>
      <c r="G245" s="118">
        <v>1.4268303510338585E-2</v>
      </c>
      <c r="H245" s="120"/>
      <c r="I245" s="102">
        <f t="shared" si="42"/>
        <v>572.12707389483728</v>
      </c>
      <c r="J245" s="103">
        <f t="shared" si="43"/>
        <v>77.16254115876157</v>
      </c>
      <c r="K245" s="103">
        <f t="shared" si="44"/>
        <v>494.96453273607574</v>
      </c>
      <c r="L245" s="103">
        <f t="shared" ca="1" si="45"/>
        <v>0.12247613559101155</v>
      </c>
      <c r="M245" s="120"/>
      <c r="N245" s="91">
        <f t="shared" si="48"/>
        <v>0.13486958523648684</v>
      </c>
      <c r="O245" s="120">
        <f t="shared" ca="1" si="49"/>
        <v>0.12247613559101155</v>
      </c>
      <c r="P245" s="104"/>
      <c r="Q245" s="104"/>
    </row>
    <row r="246" spans="1:17" s="91" customFormat="1" x14ac:dyDescent="0.25">
      <c r="A246" s="91" t="s">
        <v>865</v>
      </c>
      <c r="B246" s="120">
        <v>1</v>
      </c>
      <c r="C246" s="118">
        <v>1</v>
      </c>
      <c r="D246" s="118" t="s">
        <v>17</v>
      </c>
      <c r="E246" s="120"/>
      <c r="F246" s="120">
        <v>0.24617375629338203</v>
      </c>
      <c r="G246" s="118">
        <v>2.4149949234215588E-2</v>
      </c>
      <c r="H246" s="120"/>
      <c r="I246" s="102">
        <f t="shared" si="42"/>
        <v>317.18562931320105</v>
      </c>
      <c r="J246" s="103">
        <f t="shared" si="43"/>
        <v>78.082777810310972</v>
      </c>
      <c r="K246" s="103">
        <f t="shared" si="44"/>
        <v>239.1028515028901</v>
      </c>
      <c r="L246" s="103">
        <f t="shared" ca="1" si="45"/>
        <v>0.22894504726864304</v>
      </c>
      <c r="M246" s="120"/>
      <c r="N246" s="91">
        <f t="shared" si="48"/>
        <v>0.24617375629338203</v>
      </c>
      <c r="O246" s="120">
        <f t="shared" ca="1" si="49"/>
        <v>0.22894504726864304</v>
      </c>
      <c r="P246" s="104"/>
      <c r="Q246" s="104"/>
    </row>
    <row r="247" spans="1:17" s="91" customFormat="1" x14ac:dyDescent="0.25">
      <c r="A247" s="91" t="s">
        <v>866</v>
      </c>
      <c r="B247" s="120">
        <v>1</v>
      </c>
      <c r="C247" s="118">
        <v>1</v>
      </c>
      <c r="D247" s="118" t="s">
        <v>17</v>
      </c>
      <c r="E247" s="120"/>
      <c r="F247" s="120">
        <v>0.28390447015795517</v>
      </c>
      <c r="G247" s="118">
        <v>2.7412673342712645E-2</v>
      </c>
      <c r="H247" s="120"/>
      <c r="I247" s="102">
        <f t="shared" si="42"/>
        <v>269.54556031091175</v>
      </c>
      <c r="J247" s="103">
        <f t="shared" si="43"/>
        <v>76.525189483498551</v>
      </c>
      <c r="K247" s="103">
        <f t="shared" si="44"/>
        <v>193.02037082741319</v>
      </c>
      <c r="L247" s="103">
        <f t="shared" ca="1" si="45"/>
        <v>0.24649082898397459</v>
      </c>
      <c r="M247" s="120"/>
      <c r="N247" s="91">
        <f t="shared" si="48"/>
        <v>0.28390447015795517</v>
      </c>
      <c r="O247" s="120">
        <f t="shared" ca="1" si="49"/>
        <v>0.24649082898397459</v>
      </c>
      <c r="P247" s="104"/>
      <c r="Q247" s="104"/>
    </row>
    <row r="248" spans="1:17" s="91" customFormat="1" x14ac:dyDescent="0.25">
      <c r="A248" s="91" t="s">
        <v>1038</v>
      </c>
      <c r="B248" s="120">
        <v>1</v>
      </c>
      <c r="C248" s="118">
        <v>1</v>
      </c>
      <c r="D248" s="118" t="s">
        <v>17</v>
      </c>
      <c r="E248" s="120"/>
      <c r="F248" s="120">
        <v>2.0481476224486008E-2</v>
      </c>
      <c r="G248" s="118">
        <v>5.1662831370392565E-3</v>
      </c>
      <c r="H248" s="120"/>
      <c r="I248" s="102">
        <f t="shared" si="42"/>
        <v>750.65318363360905</v>
      </c>
      <c r="J248" s="103">
        <f t="shared" si="43"/>
        <v>15.374485333426493</v>
      </c>
      <c r="K248" s="103">
        <f t="shared" si="44"/>
        <v>735.27869830018255</v>
      </c>
      <c r="L248" s="103">
        <f t="shared" ca="1" si="45"/>
        <v>1.1303096256552882E-2</v>
      </c>
      <c r="M248" s="120"/>
      <c r="N248" s="91">
        <f t="shared" si="48"/>
        <v>2.0481476224486008E-2</v>
      </c>
      <c r="O248" s="120">
        <f t="shared" ca="1" si="49"/>
        <v>1.1303096256552882E-2</v>
      </c>
      <c r="P248" s="104"/>
      <c r="Q248" s="104"/>
    </row>
    <row r="249" spans="1:17" s="91" customFormat="1" x14ac:dyDescent="0.25">
      <c r="A249" s="91" t="s">
        <v>1039</v>
      </c>
      <c r="B249" s="120">
        <v>1</v>
      </c>
      <c r="C249" s="118">
        <v>1</v>
      </c>
      <c r="D249" s="118" t="s">
        <v>17</v>
      </c>
      <c r="E249" s="120"/>
      <c r="F249" s="120">
        <v>3.7488318742549216E-2</v>
      </c>
      <c r="G249" s="118">
        <v>1.0268569100427866E-2</v>
      </c>
      <c r="H249" s="120"/>
      <c r="I249" s="102">
        <f t="shared" si="42"/>
        <v>341.20166069490989</v>
      </c>
      <c r="J249" s="103">
        <f t="shared" si="43"/>
        <v>12.791076611617909</v>
      </c>
      <c r="K249" s="103">
        <f t="shared" si="44"/>
        <v>328.41058408329201</v>
      </c>
      <c r="L249" s="103">
        <f t="shared" ca="1" si="45"/>
        <v>4.1043830696345318E-2</v>
      </c>
      <c r="M249" s="120"/>
      <c r="N249" s="91">
        <f t="shared" si="48"/>
        <v>3.7488318742549216E-2</v>
      </c>
      <c r="O249" s="120">
        <f t="shared" ca="1" si="49"/>
        <v>4.1043830696345318E-2</v>
      </c>
      <c r="P249" s="104"/>
      <c r="Q249" s="104"/>
    </row>
    <row r="250" spans="1:17" s="91" customFormat="1" x14ac:dyDescent="0.25">
      <c r="A250" s="91" t="s">
        <v>867</v>
      </c>
      <c r="B250" s="120">
        <v>1</v>
      </c>
      <c r="C250" s="118">
        <v>1</v>
      </c>
      <c r="D250" s="118" t="s">
        <v>17</v>
      </c>
      <c r="E250" s="120"/>
      <c r="F250" s="120">
        <v>0.12573700901104562</v>
      </c>
      <c r="G250" s="118">
        <v>1.5220917139579009E-2</v>
      </c>
      <c r="H250" s="120"/>
      <c r="I250" s="102">
        <f t="shared" si="42"/>
        <v>473.48618941525956</v>
      </c>
      <c r="J250" s="103">
        <f t="shared" si="43"/>
        <v>59.534737265112142</v>
      </c>
      <c r="K250" s="103">
        <f t="shared" si="44"/>
        <v>413.95145215014736</v>
      </c>
      <c r="L250" s="103">
        <f t="shared" ca="1" si="45"/>
        <v>0.12637562134352176</v>
      </c>
      <c r="M250" s="120"/>
      <c r="N250" s="91">
        <f t="shared" si="48"/>
        <v>0.12573700901104562</v>
      </c>
      <c r="O250" s="120">
        <f t="shared" ca="1" si="49"/>
        <v>0.12637562134352176</v>
      </c>
      <c r="P250" s="104"/>
      <c r="Q250" s="104"/>
    </row>
    <row r="251" spans="1:17" s="91" customFormat="1" x14ac:dyDescent="0.25">
      <c r="A251" s="91" t="s">
        <v>868</v>
      </c>
      <c r="B251" s="120">
        <v>1</v>
      </c>
      <c r="C251" s="118">
        <v>1</v>
      </c>
      <c r="D251" s="118" t="s">
        <v>17</v>
      </c>
      <c r="E251" s="120"/>
      <c r="F251" s="120">
        <v>0.25243858207193387</v>
      </c>
      <c r="G251" s="118">
        <v>2.7226167041725421E-2</v>
      </c>
      <c r="H251" s="120"/>
      <c r="I251" s="102">
        <f t="shared" si="42"/>
        <v>253.5831183224268</v>
      </c>
      <c r="J251" s="103">
        <f t="shared" si="43"/>
        <v>64.014162826692854</v>
      </c>
      <c r="K251" s="103">
        <f t="shared" si="44"/>
        <v>189.56895549573395</v>
      </c>
      <c r="L251" s="103">
        <f t="shared" ca="1" si="45"/>
        <v>0.276876570924384</v>
      </c>
      <c r="M251" s="120"/>
      <c r="N251" s="91">
        <f t="shared" si="48"/>
        <v>0.25243858207193387</v>
      </c>
      <c r="O251" s="120">
        <f t="shared" ca="1" si="49"/>
        <v>0.276876570924384</v>
      </c>
      <c r="P251" s="104"/>
      <c r="Q251" s="104"/>
    </row>
    <row r="252" spans="1:17" s="91" customFormat="1" x14ac:dyDescent="0.25">
      <c r="A252" s="91" t="s">
        <v>869</v>
      </c>
      <c r="B252" s="120">
        <v>1</v>
      </c>
      <c r="C252" s="118">
        <v>1</v>
      </c>
      <c r="D252" s="118" t="s">
        <v>17</v>
      </c>
      <c r="E252" s="120"/>
      <c r="F252" s="120">
        <v>0.29066800057554348</v>
      </c>
      <c r="G252" s="118">
        <v>3.0588120938417233E-2</v>
      </c>
      <c r="H252" s="120"/>
      <c r="I252" s="102">
        <f t="shared" si="42"/>
        <v>219.36426954321047</v>
      </c>
      <c r="J252" s="103">
        <f t="shared" si="43"/>
        <v>63.76217362583958</v>
      </c>
      <c r="K252" s="103">
        <f t="shared" si="44"/>
        <v>155.60209591737089</v>
      </c>
      <c r="L252" s="103">
        <f t="shared" ca="1" si="45"/>
        <v>0.31172112309048261</v>
      </c>
      <c r="M252" s="120"/>
      <c r="N252" s="91">
        <f t="shared" si="48"/>
        <v>0.29066800057554348</v>
      </c>
      <c r="O252" s="120">
        <f t="shared" ca="1" si="49"/>
        <v>0.31172112309048261</v>
      </c>
      <c r="P252" s="104"/>
      <c r="Q252" s="104"/>
    </row>
    <row r="253" spans="1:17" s="91" customFormat="1" x14ac:dyDescent="0.25">
      <c r="A253" s="91" t="s">
        <v>1040</v>
      </c>
      <c r="B253" s="120">
        <v>1</v>
      </c>
      <c r="C253" s="118">
        <v>1</v>
      </c>
      <c r="D253" s="118" t="s">
        <v>17</v>
      </c>
      <c r="E253" s="120"/>
      <c r="F253" s="120">
        <v>3.7488318742549216E-2</v>
      </c>
      <c r="G253" s="118">
        <v>1.0268569100427866E-2</v>
      </c>
      <c r="H253" s="120"/>
      <c r="I253" s="102">
        <f t="shared" si="42"/>
        <v>341.20166069490989</v>
      </c>
      <c r="J253" s="103">
        <f t="shared" si="43"/>
        <v>12.791076611617909</v>
      </c>
      <c r="K253" s="103">
        <f t="shared" si="44"/>
        <v>328.41058408329201</v>
      </c>
      <c r="L253" s="103">
        <f t="shared" ca="1" si="45"/>
        <v>4.944721541968411E-2</v>
      </c>
      <c r="M253" s="120"/>
      <c r="N253" s="91">
        <f t="shared" si="48"/>
        <v>3.7488318742549216E-2</v>
      </c>
      <c r="O253" s="120">
        <f t="shared" ca="1" si="49"/>
        <v>4.944721541968411E-2</v>
      </c>
      <c r="P253" s="104"/>
      <c r="Q253" s="104"/>
    </row>
    <row r="254" spans="1:17" s="91" customFormat="1" x14ac:dyDescent="0.25">
      <c r="A254" s="91" t="s">
        <v>1041</v>
      </c>
      <c r="B254" s="120">
        <v>1</v>
      </c>
      <c r="C254" s="118">
        <v>1</v>
      </c>
      <c r="D254" s="118" t="s">
        <v>17</v>
      </c>
      <c r="E254" s="120"/>
      <c r="F254" s="120">
        <v>3.5822848956698856E-2</v>
      </c>
      <c r="G254" s="118">
        <v>7.4386636922148435E-3</v>
      </c>
      <c r="H254" s="120"/>
      <c r="I254" s="102">
        <f t="shared" si="42"/>
        <v>623.20480664746344</v>
      </c>
      <c r="J254" s="103">
        <f t="shared" si="43"/>
        <v>22.324971657620797</v>
      </c>
      <c r="K254" s="103">
        <f t="shared" si="44"/>
        <v>600.87983498984261</v>
      </c>
      <c r="L254" s="103">
        <f t="shared" ca="1" si="45"/>
        <v>4.5476250187524103E-2</v>
      </c>
      <c r="M254" s="120"/>
      <c r="N254" s="91">
        <f t="shared" si="48"/>
        <v>3.5822848956698856E-2</v>
      </c>
      <c r="O254" s="120">
        <f t="shared" ca="1" si="49"/>
        <v>4.5476250187524103E-2</v>
      </c>
      <c r="P254" s="104"/>
      <c r="Q254" s="104"/>
    </row>
    <row r="255" spans="1:17" s="91" customFormat="1" x14ac:dyDescent="0.25">
      <c r="A255" s="91" t="s">
        <v>870</v>
      </c>
      <c r="B255" s="120">
        <v>1</v>
      </c>
      <c r="C255" s="118">
        <v>1</v>
      </c>
      <c r="D255" s="118" t="s">
        <v>17</v>
      </c>
      <c r="E255" s="120"/>
      <c r="F255" s="120">
        <v>0.17333970638027871</v>
      </c>
      <c r="G255" s="118">
        <v>2.020526151568669E-2</v>
      </c>
      <c r="H255" s="120"/>
      <c r="I255" s="102">
        <f t="shared" si="42"/>
        <v>349.99116345675753</v>
      </c>
      <c r="J255" s="103">
        <f t="shared" si="43"/>
        <v>60.667365509286483</v>
      </c>
      <c r="K255" s="103">
        <f t="shared" si="44"/>
        <v>289.32379794747106</v>
      </c>
      <c r="L255" s="103">
        <f t="shared" ca="1" si="45"/>
        <v>0.12488295107324174</v>
      </c>
      <c r="M255" s="120"/>
      <c r="N255" s="91">
        <f t="shared" si="48"/>
        <v>0.17333970638027871</v>
      </c>
      <c r="O255" s="120">
        <f t="shared" ca="1" si="49"/>
        <v>0.12488295107324174</v>
      </c>
      <c r="P255" s="104"/>
      <c r="Q255" s="104"/>
    </row>
    <row r="256" spans="1:17" s="91" customFormat="1" x14ac:dyDescent="0.25">
      <c r="A256" s="91" t="s">
        <v>871</v>
      </c>
      <c r="B256" s="120">
        <v>1</v>
      </c>
      <c r="C256" s="118">
        <v>1</v>
      </c>
      <c r="D256" s="118" t="s">
        <v>17</v>
      </c>
      <c r="E256" s="120"/>
      <c r="F256" s="120">
        <v>0.2895484218376253</v>
      </c>
      <c r="G256" s="118">
        <v>3.0889804331580416E-2</v>
      </c>
      <c r="H256" s="120"/>
      <c r="I256" s="102">
        <f t="shared" si="42"/>
        <v>214.58839080550877</v>
      </c>
      <c r="J256" s="103">
        <f t="shared" si="43"/>
        <v>62.13372990241065</v>
      </c>
      <c r="K256" s="103">
        <f t="shared" si="44"/>
        <v>152.45466090309813</v>
      </c>
      <c r="L256" s="103">
        <f t="shared" ca="1" si="45"/>
        <v>0.25690983611750362</v>
      </c>
      <c r="M256" s="120"/>
      <c r="N256" s="91">
        <f t="shared" si="48"/>
        <v>0.2895484218376253</v>
      </c>
      <c r="O256" s="120">
        <f t="shared" ca="1" si="49"/>
        <v>0.25690983611750362</v>
      </c>
      <c r="P256" s="104"/>
      <c r="Q256" s="104"/>
    </row>
    <row r="257" spans="1:17" s="91" customFormat="1" x14ac:dyDescent="0.25">
      <c r="A257" s="91" t="s">
        <v>872</v>
      </c>
      <c r="B257" s="120">
        <v>1</v>
      </c>
      <c r="C257" s="118">
        <v>1</v>
      </c>
      <c r="D257" s="118" t="s">
        <v>17</v>
      </c>
      <c r="E257" s="120"/>
      <c r="F257" s="120">
        <v>0.33130394436488553</v>
      </c>
      <c r="G257" s="118">
        <v>3.4067195229309684E-2</v>
      </c>
      <c r="H257" s="120"/>
      <c r="I257" s="102">
        <f t="shared" si="42"/>
        <v>189.88975002786222</v>
      </c>
      <c r="J257" s="103">
        <f t="shared" si="43"/>
        <v>62.911223178692886</v>
      </c>
      <c r="K257" s="103">
        <f t="shared" si="44"/>
        <v>126.97852684916936</v>
      </c>
      <c r="L257" s="103">
        <f t="shared" ca="1" si="45"/>
        <v>0.33523343481770229</v>
      </c>
      <c r="M257" s="120"/>
      <c r="N257" s="91">
        <f t="shared" si="48"/>
        <v>0.33130394436488553</v>
      </c>
      <c r="O257" s="120">
        <f t="shared" ca="1" si="49"/>
        <v>0.33523343481770229</v>
      </c>
      <c r="P257" s="104"/>
      <c r="Q257" s="104"/>
    </row>
    <row r="258" spans="1:17" s="91" customFormat="1" x14ac:dyDescent="0.25">
      <c r="A258" s="91" t="s">
        <v>1042</v>
      </c>
      <c r="B258" s="120">
        <v>1</v>
      </c>
      <c r="C258" s="118">
        <v>1</v>
      </c>
      <c r="D258" s="118" t="s">
        <v>17</v>
      </c>
      <c r="E258" s="120"/>
      <c r="F258" s="120">
        <v>9.5107960164295749E-3</v>
      </c>
      <c r="G258" s="118">
        <v>2.2874743846517365E-3</v>
      </c>
      <c r="H258" s="120"/>
      <c r="I258" s="102">
        <f t="shared" si="42"/>
        <v>1799.3383571063455</v>
      </c>
      <c r="J258" s="103">
        <f t="shared" si="43"/>
        <v>17.113140078975967</v>
      </c>
      <c r="K258" s="103">
        <f t="shared" si="44"/>
        <v>1782.2252170273696</v>
      </c>
      <c r="L258" s="103">
        <f t="shared" ca="1" si="45"/>
        <v>1.0563716468322548E-2</v>
      </c>
      <c r="M258" s="120"/>
      <c r="N258" s="91">
        <f t="shared" si="48"/>
        <v>9.5107960164295749E-3</v>
      </c>
      <c r="O258" s="120">
        <f t="shared" ca="1" si="49"/>
        <v>1.0563716468322548E-2</v>
      </c>
      <c r="P258" s="104"/>
      <c r="Q258" s="104"/>
    </row>
    <row r="259" spans="1:17" s="91" customFormat="1" x14ac:dyDescent="0.25">
      <c r="A259" s="91" t="s">
        <v>1043</v>
      </c>
      <c r="B259" s="120">
        <v>1</v>
      </c>
      <c r="C259" s="118">
        <v>1</v>
      </c>
      <c r="D259" s="118" t="s">
        <v>17</v>
      </c>
      <c r="E259" s="120"/>
      <c r="F259" s="120">
        <v>1.2767579509410033E-2</v>
      </c>
      <c r="G259" s="118">
        <v>1.3556925666374029E-3</v>
      </c>
      <c r="H259" s="120"/>
      <c r="I259" s="102">
        <f t="shared" si="42"/>
        <v>6857.1274321429228</v>
      </c>
      <c r="J259" s="103">
        <f t="shared" si="43"/>
        <v>87.548919696041409</v>
      </c>
      <c r="K259" s="103">
        <f t="shared" si="44"/>
        <v>6769.5785124468812</v>
      </c>
      <c r="L259" s="103">
        <f t="shared" ca="1" si="45"/>
        <v>1.3908868219107862E-2</v>
      </c>
      <c r="M259" s="120"/>
      <c r="N259" s="91">
        <f t="shared" si="48"/>
        <v>1.2767579509410033E-2</v>
      </c>
      <c r="O259" s="120">
        <f t="shared" ca="1" si="49"/>
        <v>1.3908868219107862E-2</v>
      </c>
      <c r="P259" s="104"/>
      <c r="Q259" s="104"/>
    </row>
    <row r="260" spans="1:17" s="91" customFormat="1" x14ac:dyDescent="0.25">
      <c r="A260" s="91" t="s">
        <v>873</v>
      </c>
      <c r="B260" s="120">
        <v>1</v>
      </c>
      <c r="C260" s="118">
        <v>1</v>
      </c>
      <c r="D260" s="118" t="s">
        <v>17</v>
      </c>
      <c r="E260" s="120"/>
      <c r="F260" s="120">
        <v>5.5623232488370651E-2</v>
      </c>
      <c r="G260" s="118">
        <v>6.13517493720945E-3</v>
      </c>
      <c r="H260" s="120"/>
      <c r="I260" s="102">
        <f t="shared" si="42"/>
        <v>1394.5571209421325</v>
      </c>
      <c r="J260" s="103">
        <f t="shared" si="43"/>
        <v>77.569774956477062</v>
      </c>
      <c r="K260" s="103">
        <f t="shared" si="44"/>
        <v>1316.9873459856553</v>
      </c>
      <c r="L260" s="103">
        <f t="shared" ca="1" si="45"/>
        <v>5.3401484621430996E-2</v>
      </c>
      <c r="M260" s="120"/>
      <c r="N260" s="91">
        <f t="shared" si="48"/>
        <v>5.5623232488370651E-2</v>
      </c>
      <c r="O260" s="120">
        <f t="shared" ca="1" si="49"/>
        <v>5.3401484621430996E-2</v>
      </c>
      <c r="P260" s="104"/>
      <c r="Q260" s="104"/>
    </row>
    <row r="261" spans="1:17" s="91" customFormat="1" x14ac:dyDescent="0.25">
      <c r="A261" s="91" t="s">
        <v>874</v>
      </c>
      <c r="B261" s="120">
        <v>1</v>
      </c>
      <c r="C261" s="118">
        <v>1</v>
      </c>
      <c r="D261" s="118" t="s">
        <v>17</v>
      </c>
      <c r="E261" s="120"/>
      <c r="F261" s="120">
        <v>9.5550684912285203E-2</v>
      </c>
      <c r="G261" s="118">
        <v>1.0669372092578828E-2</v>
      </c>
      <c r="H261" s="120"/>
      <c r="I261" s="102">
        <f t="shared" si="42"/>
        <v>758.17223431932894</v>
      </c>
      <c r="J261" s="103">
        <f t="shared" si="43"/>
        <v>72.443876270689458</v>
      </c>
      <c r="K261" s="103">
        <f t="shared" si="44"/>
        <v>685.72835804863928</v>
      </c>
      <c r="L261" s="103">
        <f t="shared" ca="1" si="45"/>
        <v>0.10401790546587575</v>
      </c>
      <c r="M261" s="120"/>
      <c r="N261" s="91">
        <f t="shared" si="48"/>
        <v>9.5550684912285203E-2</v>
      </c>
      <c r="O261" s="120">
        <f t="shared" ca="1" si="49"/>
        <v>0.10401790546587575</v>
      </c>
      <c r="P261" s="104"/>
      <c r="Q261" s="104"/>
    </row>
    <row r="262" spans="1:17" s="91" customFormat="1" x14ac:dyDescent="0.25">
      <c r="A262" s="91" t="s">
        <v>875</v>
      </c>
      <c r="B262" s="120">
        <v>1</v>
      </c>
      <c r="C262" s="118">
        <v>1</v>
      </c>
      <c r="D262" s="118" t="s">
        <v>17</v>
      </c>
      <c r="E262" s="120"/>
      <c r="F262" s="120">
        <v>0.20130297014648915</v>
      </c>
      <c r="G262" s="118">
        <v>1.9745669839182592E-2</v>
      </c>
      <c r="H262" s="120"/>
      <c r="I262" s="102">
        <f t="shared" si="42"/>
        <v>411.37137428517053</v>
      </c>
      <c r="J262" s="103">
        <f t="shared" si="43"/>
        <v>82.810279476847896</v>
      </c>
      <c r="K262" s="103">
        <f t="shared" si="44"/>
        <v>328.56109480832259</v>
      </c>
      <c r="L262" s="103">
        <f t="shared" ca="1" si="45"/>
        <v>0.18320673904106871</v>
      </c>
      <c r="M262" s="120"/>
      <c r="N262" s="91">
        <f t="shared" si="48"/>
        <v>0.20130297014648915</v>
      </c>
      <c r="O262" s="120">
        <f t="shared" ca="1" si="49"/>
        <v>0.18320673904106871</v>
      </c>
      <c r="P262" s="104"/>
      <c r="Q262" s="104"/>
    </row>
    <row r="263" spans="1:17" s="91" customFormat="1" x14ac:dyDescent="0.25">
      <c r="A263" s="91" t="s">
        <v>1044</v>
      </c>
      <c r="B263" s="120">
        <v>1</v>
      </c>
      <c r="C263" s="118">
        <v>1</v>
      </c>
      <c r="D263" s="118" t="s">
        <v>17</v>
      </c>
      <c r="E263" s="120"/>
      <c r="F263" s="120">
        <v>1.7584258115968133E-2</v>
      </c>
      <c r="G263" s="118">
        <v>4.7446127291685628E-3</v>
      </c>
      <c r="H263" s="120"/>
      <c r="I263" s="102">
        <f t="shared" si="42"/>
        <v>766.39298269589369</v>
      </c>
      <c r="J263" s="103">
        <f t="shared" si="43"/>
        <v>13.476452025991293</v>
      </c>
      <c r="K263" s="103">
        <f t="shared" si="44"/>
        <v>752.91653066990239</v>
      </c>
      <c r="L263" s="103">
        <f t="shared" ca="1" si="45"/>
        <v>1.5523139063808949E-2</v>
      </c>
      <c r="M263" s="120"/>
      <c r="N263" s="91">
        <f t="shared" si="48"/>
        <v>1.7584258115968133E-2</v>
      </c>
      <c r="O263" s="120">
        <f t="shared" ca="1" si="49"/>
        <v>1.5523139063808949E-2</v>
      </c>
      <c r="P263" s="104"/>
      <c r="Q263" s="104"/>
    </row>
    <row r="264" spans="1:17" s="91" customFormat="1" x14ac:dyDescent="0.25">
      <c r="A264" s="91" t="s">
        <v>1045</v>
      </c>
      <c r="B264" s="120">
        <v>1</v>
      </c>
      <c r="C264" s="118">
        <v>1</v>
      </c>
      <c r="D264" s="118" t="s">
        <v>17</v>
      </c>
      <c r="E264" s="120"/>
      <c r="F264" s="120">
        <v>1.6781879594605833E-2</v>
      </c>
      <c r="G264" s="118">
        <v>3.3098686221059233E-3</v>
      </c>
      <c r="H264" s="120"/>
      <c r="I264" s="102">
        <f t="shared" si="42"/>
        <v>1505.1525560537968</v>
      </c>
      <c r="J264" s="103">
        <f t="shared" si="43"/>
        <v>25.259288967208025</v>
      </c>
      <c r="K264" s="103">
        <f t="shared" si="44"/>
        <v>1479.8932670865888</v>
      </c>
      <c r="L264" s="103">
        <f t="shared" ca="1" si="45"/>
        <v>1.5037257316835579E-2</v>
      </c>
      <c r="M264" s="120"/>
      <c r="N264" s="91">
        <f t="shared" si="48"/>
        <v>1.6781879594605833E-2</v>
      </c>
      <c r="O264" s="120">
        <f t="shared" ca="1" si="49"/>
        <v>1.5037257316835579E-2</v>
      </c>
      <c r="P264" s="104"/>
      <c r="Q264" s="104"/>
    </row>
    <row r="265" spans="1:17" s="91" customFormat="1" x14ac:dyDescent="0.25">
      <c r="A265" s="91" t="s">
        <v>876</v>
      </c>
      <c r="B265" s="120">
        <v>1</v>
      </c>
      <c r="C265" s="118">
        <v>1</v>
      </c>
      <c r="D265" s="118" t="s">
        <v>17</v>
      </c>
      <c r="E265" s="120"/>
      <c r="F265" s="120">
        <v>7.9410692391993581E-2</v>
      </c>
      <c r="G265" s="118">
        <v>8.7628696445195015E-3</v>
      </c>
      <c r="H265" s="120"/>
      <c r="I265" s="102">
        <f t="shared" si="42"/>
        <v>951.03344760081143</v>
      </c>
      <c r="J265" s="103">
        <f t="shared" si="43"/>
        <v>75.522224561925185</v>
      </c>
      <c r="K265" s="103">
        <f t="shared" si="44"/>
        <v>875.51122303888621</v>
      </c>
      <c r="L265" s="103">
        <f t="shared" ca="1" si="45"/>
        <v>0.10554119120640826</v>
      </c>
      <c r="M265" s="120"/>
      <c r="N265" s="91">
        <f t="shared" si="48"/>
        <v>7.9410692391993581E-2</v>
      </c>
      <c r="O265" s="120">
        <f t="shared" ca="1" si="49"/>
        <v>0.10554119120640826</v>
      </c>
      <c r="P265" s="104"/>
      <c r="Q265" s="104"/>
    </row>
    <row r="266" spans="1:17" s="91" customFormat="1" x14ac:dyDescent="0.25">
      <c r="A266" s="91" t="s">
        <v>877</v>
      </c>
      <c r="B266" s="120">
        <v>1</v>
      </c>
      <c r="C266" s="118">
        <v>1</v>
      </c>
      <c r="D266" s="118" t="s">
        <v>17</v>
      </c>
      <c r="E266" s="120"/>
      <c r="F266" s="120">
        <v>0.18550871929409266</v>
      </c>
      <c r="G266" s="118">
        <v>1.8477608795381913E-2</v>
      </c>
      <c r="H266" s="120"/>
      <c r="I266" s="102">
        <f t="shared" si="42"/>
        <v>441.54682622045021</v>
      </c>
      <c r="J266" s="103">
        <f t="shared" si="43"/>
        <v>81.910786240527003</v>
      </c>
      <c r="K266" s="103">
        <f t="shared" si="44"/>
        <v>359.63603997992317</v>
      </c>
      <c r="L266" s="103">
        <f t="shared" ca="1" si="45"/>
        <v>0.17978060773001686</v>
      </c>
      <c r="M266" s="120"/>
      <c r="N266" s="91">
        <f t="shared" si="48"/>
        <v>0.18550871929409266</v>
      </c>
      <c r="O266" s="120">
        <f t="shared" ca="1" si="49"/>
        <v>0.17978060773001686</v>
      </c>
      <c r="P266" s="104"/>
      <c r="Q266" s="104"/>
    </row>
    <row r="267" spans="1:17" s="91" customFormat="1" x14ac:dyDescent="0.25">
      <c r="A267" s="91" t="s">
        <v>878</v>
      </c>
      <c r="B267" s="120">
        <v>1</v>
      </c>
      <c r="C267" s="118">
        <v>1</v>
      </c>
      <c r="D267" s="118" t="s">
        <v>17</v>
      </c>
      <c r="E267" s="120"/>
      <c r="F267" s="120">
        <v>0.23693361415875239</v>
      </c>
      <c r="G267" s="118">
        <v>2.3334111109431465E-2</v>
      </c>
      <c r="H267" s="120"/>
      <c r="I267" s="102">
        <f t="shared" si="42"/>
        <v>331.05228934198175</v>
      </c>
      <c r="J267" s="103">
        <f t="shared" si="43"/>
        <v>78.437415389324755</v>
      </c>
      <c r="K267" s="103">
        <f t="shared" si="44"/>
        <v>252.61487395265698</v>
      </c>
      <c r="L267" s="103">
        <f t="shared" ca="1" si="45"/>
        <v>0.25844033297905222</v>
      </c>
      <c r="M267" s="120"/>
      <c r="N267" s="91">
        <f t="shared" si="48"/>
        <v>0.23693361415875239</v>
      </c>
      <c r="O267" s="120">
        <f t="shared" ca="1" si="49"/>
        <v>0.25844033297905222</v>
      </c>
      <c r="P267" s="104"/>
      <c r="Q267" s="104"/>
    </row>
    <row r="268" spans="1:17" s="91" customFormat="1" x14ac:dyDescent="0.25">
      <c r="A268" s="91" t="s">
        <v>1047</v>
      </c>
      <c r="B268" s="120">
        <v>1</v>
      </c>
      <c r="C268" s="118">
        <v>1</v>
      </c>
      <c r="D268" s="118" t="s">
        <v>17</v>
      </c>
      <c r="E268" s="120"/>
      <c r="F268" s="120">
        <v>1.2168751795935231E-2</v>
      </c>
      <c r="G268" s="118">
        <v>3.0943403235385806E-3</v>
      </c>
      <c r="H268" s="120"/>
      <c r="I268" s="102">
        <f t="shared" si="42"/>
        <v>1254.4303961436433</v>
      </c>
      <c r="J268" s="103">
        <f t="shared" si="43"/>
        <v>15.264852135948702</v>
      </c>
      <c r="K268" s="103">
        <f t="shared" si="44"/>
        <v>1239.1655440076945</v>
      </c>
      <c r="L268" s="103">
        <f t="shared" ca="1" si="45"/>
        <v>1.4787994127197002E-2</v>
      </c>
      <c r="M268" s="120"/>
      <c r="N268" s="91">
        <f t="shared" si="48"/>
        <v>1.2168751795935231E-2</v>
      </c>
      <c r="O268" s="120">
        <f t="shared" ca="1" si="49"/>
        <v>1.4787994127197002E-2</v>
      </c>
      <c r="P268" s="104"/>
      <c r="Q268" s="104"/>
    </row>
    <row r="269" spans="1:17" s="91" customFormat="1" x14ac:dyDescent="0.25">
      <c r="A269" s="91" t="s">
        <v>1046</v>
      </c>
      <c r="B269" s="120">
        <v>1</v>
      </c>
      <c r="C269" s="118">
        <v>1</v>
      </c>
      <c r="D269" s="118" t="s">
        <v>17</v>
      </c>
      <c r="E269" s="120"/>
      <c r="F269" s="120">
        <v>1.6324565031859944E-2</v>
      </c>
      <c r="G269" s="118">
        <v>2.1059476407992231E-3</v>
      </c>
      <c r="H269" s="120"/>
      <c r="I269" s="102">
        <f t="shared" si="42"/>
        <v>3619.748052008888</v>
      </c>
      <c r="J269" s="103">
        <f t="shared" si="43"/>
        <v>59.090812473967446</v>
      </c>
      <c r="K269" s="103">
        <f t="shared" si="44"/>
        <v>3560.6572395349203</v>
      </c>
      <c r="L269" s="103">
        <f t="shared" ca="1" si="45"/>
        <v>1.53053820853993E-2</v>
      </c>
      <c r="M269" s="120"/>
      <c r="N269" s="91">
        <f t="shared" si="48"/>
        <v>1.6324565031859944E-2</v>
      </c>
      <c r="O269" s="120">
        <f t="shared" ca="1" si="49"/>
        <v>1.53053820853993E-2</v>
      </c>
      <c r="P269" s="104"/>
      <c r="Q269" s="104"/>
    </row>
    <row r="270" spans="1:17" s="91" customFormat="1" x14ac:dyDescent="0.25">
      <c r="A270" s="91" t="s">
        <v>879</v>
      </c>
      <c r="B270" s="120">
        <v>1</v>
      </c>
      <c r="C270" s="118">
        <v>1</v>
      </c>
      <c r="D270" s="118" t="s">
        <v>17</v>
      </c>
      <c r="E270" s="120"/>
      <c r="F270" s="120">
        <v>8.2963430123414866E-2</v>
      </c>
      <c r="G270" s="118">
        <v>1.0152221271756983E-2</v>
      </c>
      <c r="H270" s="120"/>
      <c r="I270" s="102">
        <f t="shared" si="42"/>
        <v>737.16118531981158</v>
      </c>
      <c r="J270" s="103">
        <f t="shared" si="43"/>
        <v>61.157420487973866</v>
      </c>
      <c r="K270" s="103">
        <f t="shared" si="44"/>
        <v>676.00376483183766</v>
      </c>
      <c r="L270" s="103">
        <f t="shared" ca="1" si="45"/>
        <v>7.5563860242009923E-2</v>
      </c>
      <c r="M270" s="120"/>
      <c r="N270" s="91">
        <f t="shared" si="48"/>
        <v>8.2963430123414866E-2</v>
      </c>
      <c r="O270" s="120">
        <f t="shared" ca="1" si="49"/>
        <v>7.5563860242009923E-2</v>
      </c>
      <c r="P270" s="104"/>
      <c r="Q270" s="104"/>
    </row>
    <row r="271" spans="1:17" s="91" customFormat="1" x14ac:dyDescent="0.25">
      <c r="A271" s="91" t="s">
        <v>880</v>
      </c>
      <c r="B271" s="120">
        <v>1</v>
      </c>
      <c r="C271" s="118">
        <v>1</v>
      </c>
      <c r="D271" s="118" t="s">
        <v>17</v>
      </c>
      <c r="E271" s="120"/>
      <c r="F271" s="120">
        <v>0.19092662750357051</v>
      </c>
      <c r="G271" s="118">
        <v>2.1482639088469056E-2</v>
      </c>
      <c r="H271" s="120"/>
      <c r="I271" s="102">
        <f t="shared" si="42"/>
        <v>333.71805946094292</v>
      </c>
      <c r="J271" s="103">
        <f t="shared" si="43"/>
        <v>63.715663629913841</v>
      </c>
      <c r="K271" s="103">
        <f t="shared" si="44"/>
        <v>270.00239583102905</v>
      </c>
      <c r="L271" s="103">
        <f t="shared" ca="1" si="45"/>
        <v>0.16565388034104217</v>
      </c>
      <c r="M271" s="120"/>
      <c r="N271" s="91">
        <f t="shared" si="48"/>
        <v>0.19092662750357051</v>
      </c>
      <c r="O271" s="120">
        <f t="shared" ca="1" si="49"/>
        <v>0.16565388034104217</v>
      </c>
      <c r="P271" s="104"/>
      <c r="Q271" s="104"/>
    </row>
    <row r="272" spans="1:17" s="91" customFormat="1" x14ac:dyDescent="0.25">
      <c r="A272" s="91" t="s">
        <v>881</v>
      </c>
      <c r="B272" s="120">
        <v>1</v>
      </c>
      <c r="C272" s="118">
        <v>1</v>
      </c>
      <c r="D272" s="118" t="s">
        <v>17</v>
      </c>
      <c r="E272" s="120"/>
      <c r="F272" s="120">
        <v>0.24331652696663628</v>
      </c>
      <c r="G272" s="118">
        <v>2.5973475865230806E-2</v>
      </c>
      <c r="H272" s="120"/>
      <c r="I272" s="102">
        <f t="shared" si="42"/>
        <v>271.91393577090037</v>
      </c>
      <c r="J272" s="103">
        <f t="shared" si="43"/>
        <v>66.161154485604484</v>
      </c>
      <c r="K272" s="103">
        <f t="shared" si="44"/>
        <v>205.7527812852959</v>
      </c>
      <c r="L272" s="103">
        <f t="shared" ca="1" si="45"/>
        <v>0.2626342778101729</v>
      </c>
      <c r="M272" s="120"/>
      <c r="N272" s="91">
        <f t="shared" si="48"/>
        <v>0.24331652696663628</v>
      </c>
      <c r="O272" s="120">
        <f t="shared" ca="1" si="49"/>
        <v>0.2626342778101729</v>
      </c>
      <c r="P272" s="104"/>
      <c r="Q272" s="104"/>
    </row>
    <row r="273" spans="1:34" s="91" customFormat="1" x14ac:dyDescent="0.25">
      <c r="A273" s="91" t="s">
        <v>1048</v>
      </c>
      <c r="B273" s="120">
        <v>1</v>
      </c>
      <c r="C273" s="118">
        <v>1</v>
      </c>
      <c r="D273" s="118" t="s">
        <v>17</v>
      </c>
      <c r="E273" s="120"/>
      <c r="F273" s="120">
        <v>2.2438956492639852E-2</v>
      </c>
      <c r="G273" s="118">
        <v>6.2642682764076189E-3</v>
      </c>
      <c r="H273" s="120"/>
      <c r="I273" s="102">
        <f t="shared" si="42"/>
        <v>557.99232537157491</v>
      </c>
      <c r="J273" s="103">
        <f t="shared" si="43"/>
        <v>12.520765512239709</v>
      </c>
      <c r="K273" s="103">
        <f t="shared" si="44"/>
        <v>545.47155985933523</v>
      </c>
      <c r="L273" s="103">
        <f t="shared" ca="1" si="45"/>
        <v>2.4304459028460124E-2</v>
      </c>
      <c r="M273" s="120"/>
      <c r="N273" s="91">
        <f t="shared" si="48"/>
        <v>2.2438956492639852E-2</v>
      </c>
      <c r="O273" s="120">
        <f t="shared" ca="1" si="49"/>
        <v>2.4304459028460124E-2</v>
      </c>
      <c r="P273" s="104"/>
      <c r="Q273" s="104"/>
    </row>
    <row r="274" spans="1:34" s="91" customFormat="1" x14ac:dyDescent="0.25">
      <c r="A274" s="91" t="s">
        <v>1049</v>
      </c>
      <c r="B274" s="120">
        <v>1</v>
      </c>
      <c r="C274" s="118">
        <v>1</v>
      </c>
      <c r="D274" s="118" t="s">
        <v>17</v>
      </c>
      <c r="E274" s="120"/>
      <c r="F274" s="120">
        <v>2.1425781063562712E-2</v>
      </c>
      <c r="G274" s="118">
        <v>4.5341979345917176E-3</v>
      </c>
      <c r="H274" s="120"/>
      <c r="I274" s="102">
        <f t="shared" si="42"/>
        <v>1018.8339915838675</v>
      </c>
      <c r="J274" s="103">
        <f t="shared" si="43"/>
        <v>21.829314043791641</v>
      </c>
      <c r="K274" s="103">
        <f t="shared" si="44"/>
        <v>997.00467754007582</v>
      </c>
      <c r="L274" s="103">
        <f t="shared" ca="1" si="45"/>
        <v>1.9432776932759951E-2</v>
      </c>
      <c r="M274" s="120"/>
      <c r="N274" s="91">
        <f t="shared" si="48"/>
        <v>2.1425781063562712E-2</v>
      </c>
      <c r="O274" s="120">
        <f t="shared" ca="1" si="49"/>
        <v>1.9432776932759951E-2</v>
      </c>
      <c r="P274" s="104"/>
      <c r="Q274" s="104"/>
    </row>
    <row r="275" spans="1:34" s="91" customFormat="1" x14ac:dyDescent="0.25">
      <c r="A275" s="91" t="s">
        <v>882</v>
      </c>
      <c r="B275" s="120">
        <v>1</v>
      </c>
      <c r="C275" s="118">
        <v>1</v>
      </c>
      <c r="D275" s="118" t="s">
        <v>17</v>
      </c>
      <c r="E275" s="120"/>
      <c r="F275" s="120">
        <v>9.3264870639192032E-2</v>
      </c>
      <c r="G275" s="118">
        <v>1.180553793726186E-2</v>
      </c>
      <c r="H275" s="120"/>
      <c r="I275" s="102">
        <f t="shared" si="42"/>
        <v>605.77401186135614</v>
      </c>
      <c r="J275" s="103">
        <f t="shared" si="43"/>
        <v>56.497434852833763</v>
      </c>
      <c r="K275" s="103">
        <f t="shared" si="44"/>
        <v>549.27657700852239</v>
      </c>
      <c r="L275" s="103">
        <f t="shared" ca="1" si="45"/>
        <v>9.6586345540125684E-2</v>
      </c>
      <c r="M275" s="120"/>
      <c r="N275" s="91">
        <f t="shared" si="48"/>
        <v>9.3264870639192032E-2</v>
      </c>
      <c r="O275" s="120">
        <f t="shared" ca="1" si="49"/>
        <v>9.6586345540125684E-2</v>
      </c>
      <c r="P275" s="104"/>
      <c r="Q275" s="104"/>
    </row>
    <row r="276" spans="1:34" s="91" customFormat="1" x14ac:dyDescent="0.25">
      <c r="A276" s="91" t="s">
        <v>883</v>
      </c>
      <c r="B276" s="120">
        <v>1</v>
      </c>
      <c r="C276" s="118">
        <v>1</v>
      </c>
      <c r="D276" s="118" t="s">
        <v>17</v>
      </c>
      <c r="E276" s="120"/>
      <c r="F276" s="120">
        <v>0.22242820739403901</v>
      </c>
      <c r="G276" s="118">
        <v>2.5091872576257206E-2</v>
      </c>
      <c r="H276" s="120"/>
      <c r="I276" s="102">
        <f t="shared" si="42"/>
        <v>273.70351252017036</v>
      </c>
      <c r="J276" s="103">
        <f t="shared" si="43"/>
        <v>60.879381647313409</v>
      </c>
      <c r="K276" s="103">
        <f t="shared" si="44"/>
        <v>212.82413087285695</v>
      </c>
      <c r="L276" s="103">
        <f t="shared" ca="1" si="45"/>
        <v>0.24388272758637386</v>
      </c>
      <c r="M276" s="120"/>
      <c r="N276" s="91">
        <f t="shared" si="48"/>
        <v>0.22242820739403901</v>
      </c>
      <c r="O276" s="120">
        <f t="shared" ca="1" si="49"/>
        <v>0.24388272758637386</v>
      </c>
      <c r="P276" s="104"/>
      <c r="Q276" s="104"/>
    </row>
    <row r="277" spans="1:34" s="91" customFormat="1" x14ac:dyDescent="0.25">
      <c r="A277" s="91" t="s">
        <v>884</v>
      </c>
      <c r="B277" s="120">
        <v>1</v>
      </c>
      <c r="C277" s="118">
        <v>1</v>
      </c>
      <c r="D277" s="118" t="s">
        <v>17</v>
      </c>
      <c r="E277" s="120"/>
      <c r="F277" s="120">
        <v>0.28072146099324691</v>
      </c>
      <c r="G277" s="118">
        <v>2.9615396079223366E-2</v>
      </c>
      <c r="H277" s="120"/>
      <c r="I277" s="102">
        <f t="shared" si="42"/>
        <v>229.21712569291884</v>
      </c>
      <c r="J277" s="103">
        <f t="shared" si="43"/>
        <v>64.346166409188896</v>
      </c>
      <c r="K277" s="103">
        <f t="shared" si="44"/>
        <v>164.87095928372997</v>
      </c>
      <c r="L277" s="103">
        <f t="shared" ca="1" si="45"/>
        <v>0.29565722218586865</v>
      </c>
      <c r="M277" s="120"/>
      <c r="N277" s="91">
        <f t="shared" si="48"/>
        <v>0.28072146099324691</v>
      </c>
      <c r="O277" s="120">
        <f t="shared" ca="1" si="49"/>
        <v>0.29565722218586865</v>
      </c>
      <c r="P277" s="104"/>
      <c r="Q277" s="104"/>
    </row>
    <row r="278" spans="1:34" s="92" customFormat="1" x14ac:dyDescent="0.25">
      <c r="A278" s="114"/>
      <c r="B278" s="98"/>
      <c r="C278" s="98"/>
      <c r="D278" s="98"/>
      <c r="E278" s="98"/>
      <c r="H278" s="98"/>
      <c r="I278" s="103"/>
      <c r="J278" s="103"/>
      <c r="K278" s="103"/>
      <c r="L278" s="103"/>
      <c r="M278" s="98"/>
      <c r="N278" s="98"/>
      <c r="O278" s="98"/>
      <c r="P278" s="98"/>
      <c r="Q278" s="98"/>
      <c r="R278" s="98"/>
      <c r="S278" s="91"/>
      <c r="T278" s="91"/>
      <c r="U278" s="91"/>
      <c r="V278" s="91"/>
    </row>
    <row r="279" spans="1:34" x14ac:dyDescent="0.25">
      <c r="A279" s="568" t="s">
        <v>393</v>
      </c>
      <c r="B279" s="569"/>
      <c r="C279" s="569"/>
      <c r="D279" s="569"/>
      <c r="E279" s="569"/>
      <c r="F279" s="569"/>
      <c r="G279" s="569"/>
      <c r="H279" s="569"/>
      <c r="I279" s="569"/>
      <c r="J279" s="569"/>
      <c r="K279" s="569"/>
      <c r="L279" s="569"/>
      <c r="M279" s="569"/>
      <c r="N279" s="569"/>
      <c r="O279" s="569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  <c r="AA279" s="98"/>
      <c r="AB279" s="98"/>
      <c r="AC279" s="98"/>
      <c r="AD279" s="98"/>
      <c r="AE279" s="98"/>
      <c r="AF279" s="98"/>
      <c r="AG279" s="98"/>
      <c r="AH279" s="98"/>
    </row>
    <row r="280" spans="1:34" x14ac:dyDescent="0.25">
      <c r="A280" s="112" t="s">
        <v>99</v>
      </c>
      <c r="B280" s="107" t="s">
        <v>155</v>
      </c>
      <c r="C280" s="106" t="s">
        <v>113</v>
      </c>
      <c r="D280" s="106" t="s">
        <v>15</v>
      </c>
      <c r="E280" s="107"/>
      <c r="F280" s="107" t="s">
        <v>4</v>
      </c>
      <c r="G280" s="571" t="s">
        <v>394</v>
      </c>
      <c r="H280" s="572"/>
      <c r="I280" s="107"/>
      <c r="J280" s="108" t="s">
        <v>109</v>
      </c>
      <c r="K280" s="573" t="s">
        <v>395</v>
      </c>
      <c r="L280" s="573"/>
      <c r="M280" s="109" t="s">
        <v>100</v>
      </c>
      <c r="N280" s="107"/>
      <c r="O280" s="107" t="s">
        <v>14</v>
      </c>
      <c r="P280" s="107" t="s">
        <v>25</v>
      </c>
      <c r="Q280" s="105"/>
      <c r="R280" s="104"/>
      <c r="S280" s="98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</row>
    <row r="281" spans="1:34" x14ac:dyDescent="0.25">
      <c r="A281" s="114" t="s">
        <v>396</v>
      </c>
      <c r="B281" s="98">
        <v>1</v>
      </c>
      <c r="C281" s="98">
        <v>1</v>
      </c>
      <c r="D281" s="98" t="s">
        <v>187</v>
      </c>
      <c r="E281" s="98"/>
      <c r="F281" s="98">
        <v>1.7675312792559759</v>
      </c>
      <c r="G281" s="98">
        <v>1.3655151990486678</v>
      </c>
      <c r="H281" s="98">
        <v>2.2621325903599625</v>
      </c>
      <c r="I281" s="98"/>
      <c r="J281" s="103">
        <f>LN(F281)</f>
        <v>0.5695838155236439</v>
      </c>
      <c r="K281" s="103">
        <f>LN(G281)</f>
        <v>0.31153179262666475</v>
      </c>
      <c r="L281" s="103">
        <f>LN(H281)</f>
        <v>0.81630799240397633</v>
      </c>
      <c r="M281" s="103">
        <f ca="1">_xlfn.NORM.INV(RAND(),J281,((L281-K281)/(2*1.96)))</f>
        <v>0.64438327959627639</v>
      </c>
      <c r="N281" s="98"/>
      <c r="O281" s="98">
        <f>F281</f>
        <v>1.7675312792559759</v>
      </c>
      <c r="P281" s="93">
        <f t="shared" ref="P281:P288" ca="1" si="50">IF($B281=1,IF($C281=1,EXP($M281),$F281),0)</f>
        <v>1.9048119305726554</v>
      </c>
      <c r="Q281" s="98"/>
      <c r="R281" s="98"/>
      <c r="S281" s="98"/>
      <c r="T281" s="98"/>
      <c r="U281" s="98"/>
      <c r="V281" s="98"/>
      <c r="W281" s="98"/>
      <c r="X281" s="98"/>
      <c r="Y281" s="98"/>
      <c r="Z281" s="98"/>
      <c r="AA281" s="98"/>
      <c r="AB281" s="98"/>
      <c r="AC281" s="98"/>
      <c r="AD281" s="98"/>
      <c r="AE281" s="98"/>
      <c r="AF281" s="98"/>
      <c r="AG281" s="98"/>
      <c r="AH281" s="98"/>
    </row>
    <row r="282" spans="1:34" x14ac:dyDescent="0.25">
      <c r="A282" s="114" t="s">
        <v>397</v>
      </c>
      <c r="B282" s="98">
        <v>1</v>
      </c>
      <c r="C282" s="98">
        <v>1</v>
      </c>
      <c r="D282" s="98" t="s">
        <v>187</v>
      </c>
      <c r="E282" s="98"/>
      <c r="F282" s="98">
        <v>1.297620275140924</v>
      </c>
      <c r="G282" s="98">
        <v>1.1645679541901783</v>
      </c>
      <c r="H282" s="98">
        <v>1.4391263149913887</v>
      </c>
      <c r="I282" s="98"/>
      <c r="J282" s="103">
        <f t="shared" ref="J282:J288" si="51">LN(F282)</f>
        <v>0.26053202936554432</v>
      </c>
      <c r="K282" s="103">
        <f t="shared" ref="K282:K288" si="52">LN(G282)</f>
        <v>0.15235016346164731</v>
      </c>
      <c r="L282" s="103">
        <f t="shared" ref="L282:L288" si="53">LN(H282)</f>
        <v>0.36403620375496454</v>
      </c>
      <c r="M282" s="103">
        <f t="shared" ref="M282:M288" ca="1" si="54">_xlfn.NORM.INV(RAND(),J282,((L282-K282)/(2*1.96)))</f>
        <v>0.2845562693147578</v>
      </c>
      <c r="N282" s="98"/>
      <c r="O282" s="98">
        <f t="shared" ref="O282:O288" si="55">F282</f>
        <v>1.297620275140924</v>
      </c>
      <c r="P282" s="93">
        <f t="shared" ca="1" si="50"/>
        <v>1.3291721027991896</v>
      </c>
      <c r="Q282" s="98"/>
      <c r="R282" s="98"/>
      <c r="S282" s="98"/>
      <c r="T282" s="98"/>
      <c r="U282" s="98"/>
      <c r="V282" s="98"/>
      <c r="W282" s="98"/>
      <c r="X282" s="98"/>
      <c r="Y282" s="98"/>
      <c r="Z282" s="98"/>
      <c r="AA282" s="98"/>
      <c r="AB282" s="98"/>
      <c r="AC282" s="98"/>
      <c r="AD282" s="98"/>
      <c r="AE282" s="98"/>
      <c r="AF282" s="98"/>
      <c r="AG282" s="98"/>
      <c r="AH282" s="98"/>
    </row>
    <row r="283" spans="1:34" s="26" customFormat="1" ht="15.75" thickBot="1" x14ac:dyDescent="0.3">
      <c r="A283" s="114" t="s">
        <v>398</v>
      </c>
      <c r="B283" s="98">
        <v>1</v>
      </c>
      <c r="C283" s="98">
        <v>1</v>
      </c>
      <c r="D283" s="98" t="s">
        <v>187</v>
      </c>
      <c r="E283" s="98"/>
      <c r="F283" s="98">
        <v>1.6176490132886625</v>
      </c>
      <c r="G283" s="98">
        <v>1.4693231790762253</v>
      </c>
      <c r="H283" s="98">
        <v>1.7761265462152351</v>
      </c>
      <c r="I283" s="98"/>
      <c r="J283" s="103">
        <f t="shared" si="51"/>
        <v>0.48097386883038917</v>
      </c>
      <c r="K283" s="103">
        <f t="shared" si="52"/>
        <v>0.38480187236658137</v>
      </c>
      <c r="L283" s="103">
        <f t="shared" si="53"/>
        <v>0.57443489553113758</v>
      </c>
      <c r="M283" s="103">
        <f t="shared" ca="1" si="54"/>
        <v>0.49770793193591722</v>
      </c>
      <c r="N283" s="98"/>
      <c r="O283" s="98">
        <f t="shared" si="55"/>
        <v>1.6176490132886625</v>
      </c>
      <c r="P283" s="93">
        <f t="shared" ca="1" si="50"/>
        <v>1.6449466168632745</v>
      </c>
      <c r="Q283" s="98"/>
      <c r="R283" s="98"/>
      <c r="S283" s="98"/>
      <c r="T283" s="98"/>
      <c r="U283" s="98"/>
      <c r="V283" s="98"/>
      <c r="W283" s="98"/>
      <c r="X283" s="98"/>
      <c r="Y283" s="98"/>
      <c r="Z283" s="98"/>
      <c r="AA283" s="98"/>
      <c r="AB283" s="98"/>
      <c r="AC283" s="98"/>
      <c r="AD283" s="98"/>
      <c r="AE283" s="98"/>
      <c r="AF283" s="98"/>
      <c r="AG283" s="98"/>
      <c r="AH283" s="98"/>
    </row>
    <row r="284" spans="1:34" s="84" customFormat="1" x14ac:dyDescent="0.25">
      <c r="A284" s="114" t="s">
        <v>399</v>
      </c>
      <c r="B284" s="98">
        <v>1</v>
      </c>
      <c r="C284" s="98">
        <v>1</v>
      </c>
      <c r="D284" s="98" t="s">
        <v>187</v>
      </c>
      <c r="E284" s="98"/>
      <c r="F284" s="98">
        <v>1.5998282906259926</v>
      </c>
      <c r="G284" s="98">
        <v>1.0978060701970747</v>
      </c>
      <c r="H284" s="98">
        <v>2.2274708337809561</v>
      </c>
      <c r="I284" s="98"/>
      <c r="J284" s="103">
        <f t="shared" si="51"/>
        <v>0.46989630512795383</v>
      </c>
      <c r="K284" s="103">
        <f t="shared" si="52"/>
        <v>9.331370653818119E-2</v>
      </c>
      <c r="L284" s="103">
        <f t="shared" si="53"/>
        <v>0.80086678657607424</v>
      </c>
      <c r="M284" s="103">
        <f t="shared" ca="1" si="54"/>
        <v>0.39524582511249895</v>
      </c>
      <c r="N284" s="98"/>
      <c r="O284" s="98">
        <f t="shared" si="55"/>
        <v>1.5998282906259926</v>
      </c>
      <c r="P284" s="93">
        <f t="shared" ca="1" si="50"/>
        <v>1.484749134685972</v>
      </c>
      <c r="Q284" s="98"/>
      <c r="R284" s="98"/>
      <c r="S284" s="98"/>
      <c r="T284" s="98"/>
      <c r="U284" s="98"/>
      <c r="V284" s="98"/>
      <c r="W284" s="98"/>
      <c r="X284" s="98"/>
      <c r="Y284" s="98"/>
      <c r="Z284" s="98"/>
      <c r="AA284" s="98"/>
      <c r="AB284" s="98"/>
      <c r="AC284" s="98"/>
      <c r="AD284" s="98"/>
      <c r="AE284" s="98"/>
      <c r="AF284" s="98"/>
      <c r="AG284" s="98"/>
      <c r="AH284" s="98"/>
    </row>
    <row r="285" spans="1:34" s="98" customFormat="1" x14ac:dyDescent="0.25">
      <c r="A285" s="114" t="s">
        <v>400</v>
      </c>
      <c r="B285" s="98">
        <v>1</v>
      </c>
      <c r="C285" s="98">
        <v>1</v>
      </c>
      <c r="D285" s="98" t="s">
        <v>187</v>
      </c>
      <c r="F285" s="98">
        <v>0.51948592203591482</v>
      </c>
      <c r="G285" s="98">
        <v>0.39842908265770571</v>
      </c>
      <c r="H285" s="98">
        <v>0.6683084689774248</v>
      </c>
      <c r="J285" s="103">
        <f t="shared" si="51"/>
        <v>-0.6549155678746903</v>
      </c>
      <c r="K285" s="103">
        <f t="shared" si="52"/>
        <v>-0.92022575729714529</v>
      </c>
      <c r="L285" s="103">
        <f t="shared" si="53"/>
        <v>-0.40300543212669565</v>
      </c>
      <c r="M285" s="103">
        <f t="shared" ca="1" si="54"/>
        <v>-0.69437185171622495</v>
      </c>
      <c r="O285" s="98">
        <f t="shared" si="55"/>
        <v>0.51948592203591482</v>
      </c>
      <c r="P285" s="93">
        <f t="shared" ca="1" si="50"/>
        <v>0.49938803922370184</v>
      </c>
    </row>
    <row r="286" spans="1:34" s="91" customFormat="1" x14ac:dyDescent="0.25">
      <c r="A286" s="114" t="s">
        <v>401</v>
      </c>
      <c r="B286" s="98">
        <v>1</v>
      </c>
      <c r="C286" s="98">
        <v>1</v>
      </c>
      <c r="D286" s="98" t="s">
        <v>187</v>
      </c>
      <c r="E286" s="98"/>
      <c r="F286" s="98">
        <v>1.2505149945709295</v>
      </c>
      <c r="G286" s="98">
        <v>1.1969368797495936</v>
      </c>
      <c r="H286" s="98">
        <v>1.3062923830900619</v>
      </c>
      <c r="I286" s="98"/>
      <c r="J286" s="103">
        <f t="shared" si="51"/>
        <v>0.22355546212404634</v>
      </c>
      <c r="K286" s="103">
        <f t="shared" si="52"/>
        <v>0.17976569314668436</v>
      </c>
      <c r="L286" s="103">
        <f t="shared" si="53"/>
        <v>0.26719288258934792</v>
      </c>
      <c r="M286" s="103">
        <f t="shared" ca="1" si="54"/>
        <v>0.21572060234077317</v>
      </c>
      <c r="N286" s="98"/>
      <c r="O286" s="98">
        <f t="shared" si="55"/>
        <v>1.2505149945709295</v>
      </c>
      <c r="P286" s="93">
        <f t="shared" ca="1" si="50"/>
        <v>1.2407556663387267</v>
      </c>
      <c r="Q286" s="98"/>
      <c r="R286" s="98"/>
      <c r="S286" s="98"/>
      <c r="T286" s="98"/>
      <c r="U286" s="98"/>
      <c r="V286" s="98"/>
      <c r="W286" s="98"/>
      <c r="X286" s="98"/>
      <c r="Y286" s="98"/>
      <c r="Z286" s="98"/>
      <c r="AA286" s="98"/>
      <c r="AB286" s="98"/>
      <c r="AC286" s="98"/>
      <c r="AD286" s="98"/>
      <c r="AE286" s="98"/>
      <c r="AF286" s="98"/>
      <c r="AG286" s="98"/>
      <c r="AH286" s="98"/>
    </row>
    <row r="287" spans="1:34" s="98" customFormat="1" x14ac:dyDescent="0.25">
      <c r="A287" s="114" t="s">
        <v>402</v>
      </c>
      <c r="B287" s="98">
        <v>1</v>
      </c>
      <c r="C287" s="98">
        <v>1</v>
      </c>
      <c r="D287" s="98" t="s">
        <v>187</v>
      </c>
      <c r="F287" s="92">
        <v>1.82</v>
      </c>
      <c r="G287" s="92">
        <v>1.67</v>
      </c>
      <c r="H287" s="92">
        <v>1.97</v>
      </c>
      <c r="J287" s="103">
        <f t="shared" si="51"/>
        <v>0.59883650108870401</v>
      </c>
      <c r="K287" s="103">
        <f t="shared" si="52"/>
        <v>0.51282362642866375</v>
      </c>
      <c r="L287" s="103">
        <f t="shared" si="53"/>
        <v>0.67803354274989713</v>
      </c>
      <c r="M287" s="103">
        <f t="shared" ca="1" si="54"/>
        <v>0.59965287221604546</v>
      </c>
      <c r="O287" s="98">
        <f t="shared" si="55"/>
        <v>1.82</v>
      </c>
      <c r="P287" s="93">
        <f t="shared" ca="1" si="50"/>
        <v>1.8214864020970869</v>
      </c>
    </row>
    <row r="288" spans="1:34" s="98" customFormat="1" x14ac:dyDescent="0.25">
      <c r="A288" s="114" t="s">
        <v>103</v>
      </c>
      <c r="B288" s="98">
        <v>1</v>
      </c>
      <c r="C288" s="98">
        <v>1</v>
      </c>
      <c r="D288" s="98" t="s">
        <v>187</v>
      </c>
      <c r="F288" s="92">
        <v>1.26</v>
      </c>
      <c r="G288" s="92">
        <v>1.19</v>
      </c>
      <c r="H288" s="92">
        <v>1.34</v>
      </c>
      <c r="J288" s="103">
        <f t="shared" si="51"/>
        <v>0.23111172096338664</v>
      </c>
      <c r="K288" s="103">
        <f t="shared" si="52"/>
        <v>0.17395330712343798</v>
      </c>
      <c r="L288" s="103">
        <f t="shared" si="53"/>
        <v>0.29266961396282004</v>
      </c>
      <c r="M288" s="103">
        <f t="shared" ca="1" si="54"/>
        <v>0.29485845520025944</v>
      </c>
      <c r="O288" s="98">
        <f t="shared" si="55"/>
        <v>1.26</v>
      </c>
      <c r="P288" s="93">
        <f t="shared" ca="1" si="50"/>
        <v>1.342936259588897</v>
      </c>
    </row>
    <row r="289" spans="1:16" s="98" customFormat="1" x14ac:dyDescent="0.25">
      <c r="A289" s="114"/>
      <c r="J289" s="103"/>
      <c r="K289" s="103"/>
      <c r="L289" s="103"/>
      <c r="M289" s="103"/>
    </row>
    <row r="290" spans="1:16" s="98" customFormat="1" x14ac:dyDescent="0.25">
      <c r="A290" s="568" t="s">
        <v>424</v>
      </c>
      <c r="B290" s="569"/>
      <c r="C290" s="569"/>
      <c r="D290" s="569"/>
      <c r="E290" s="569"/>
      <c r="F290" s="569"/>
      <c r="G290" s="569"/>
      <c r="H290" s="569"/>
      <c r="I290" s="569"/>
      <c r="J290" s="569"/>
      <c r="K290" s="569"/>
      <c r="L290" s="569"/>
      <c r="M290" s="569"/>
      <c r="N290" s="569"/>
      <c r="O290" s="569"/>
    </row>
    <row r="291" spans="1:16" s="98" customFormat="1" x14ac:dyDescent="0.25">
      <c r="A291" s="112" t="s">
        <v>99</v>
      </c>
      <c r="B291" s="107" t="s">
        <v>155</v>
      </c>
      <c r="C291" s="106" t="s">
        <v>113</v>
      </c>
      <c r="D291" s="106" t="s">
        <v>15</v>
      </c>
      <c r="E291" s="107"/>
      <c r="F291" s="107" t="s">
        <v>4</v>
      </c>
      <c r="G291" s="571" t="s">
        <v>394</v>
      </c>
      <c r="H291" s="572"/>
      <c r="I291" s="107"/>
      <c r="J291" s="108" t="s">
        <v>109</v>
      </c>
      <c r="K291" s="573" t="s">
        <v>395</v>
      </c>
      <c r="L291" s="573"/>
      <c r="M291" s="109" t="s">
        <v>100</v>
      </c>
      <c r="N291" s="107"/>
      <c r="O291" s="107" t="s">
        <v>14</v>
      </c>
      <c r="P291" s="107" t="s">
        <v>25</v>
      </c>
    </row>
    <row r="292" spans="1:16" s="98" customFormat="1" x14ac:dyDescent="0.25">
      <c r="A292" s="207" t="s">
        <v>732</v>
      </c>
      <c r="B292" s="98">
        <v>1</v>
      </c>
      <c r="C292" s="98">
        <v>1</v>
      </c>
      <c r="D292" s="98" t="s">
        <v>187</v>
      </c>
      <c r="E292" s="104"/>
      <c r="F292" s="354">
        <v>1.7499999999999998</v>
      </c>
      <c r="G292" s="355">
        <f>F292-(1.96*(0.1*F292))</f>
        <v>1.4069999999999998</v>
      </c>
      <c r="H292" s="355">
        <f>F292+(1.96*(0.1*F292))</f>
        <v>2.093</v>
      </c>
      <c r="I292" s="104"/>
      <c r="J292" s="103">
        <f>LN(F292)</f>
        <v>0.55961578793542255</v>
      </c>
      <c r="K292" s="103">
        <f>LN(G292)</f>
        <v>0.34145977813225187</v>
      </c>
      <c r="L292" s="103">
        <f>LN(H292)</f>
        <v>0.73859844346386272</v>
      </c>
      <c r="M292" s="103">
        <f ca="1">_xlfn.NORM.INV(RAND(),J292,((L292-K292)/(2*1.96)))</f>
        <v>0.60790691371806649</v>
      </c>
      <c r="O292" s="98">
        <f>F292</f>
        <v>1.7499999999999998</v>
      </c>
      <c r="P292" s="93">
        <f t="shared" ref="P292:P303" ca="1" si="56">IF($B292=1,IF($C292=1,EXP($M292),$F292),0)</f>
        <v>1.836583245731088</v>
      </c>
    </row>
    <row r="293" spans="1:16" s="98" customFormat="1" x14ac:dyDescent="0.25">
      <c r="A293" s="207" t="s">
        <v>733</v>
      </c>
      <c r="B293" s="98">
        <v>1</v>
      </c>
      <c r="C293" s="98">
        <v>1</v>
      </c>
      <c r="D293" s="98" t="s">
        <v>187</v>
      </c>
      <c r="E293" s="104"/>
      <c r="F293" s="354">
        <v>2.0249999999999999</v>
      </c>
      <c r="G293" s="355">
        <f t="shared" ref="G293:G303" si="57">F293-(1.96*(0.1*F293))</f>
        <v>1.6280999999999999</v>
      </c>
      <c r="H293" s="355">
        <f t="shared" ref="H293:H303" si="58">F293+(1.96*(0.1*F293))</f>
        <v>2.4218999999999999</v>
      </c>
      <c r="I293" s="104"/>
      <c r="J293" s="103">
        <f t="shared" ref="J293:J303" si="59">LN(F293)</f>
        <v>0.70556970055850243</v>
      </c>
      <c r="K293" s="103">
        <f t="shared" ref="K293:K303" si="60">LN(G293)</f>
        <v>0.4874136907553317</v>
      </c>
      <c r="L293" s="103">
        <f t="shared" ref="L293:L303" si="61">LN(H293)</f>
        <v>0.88455235608694238</v>
      </c>
      <c r="M293" s="103">
        <f t="shared" ref="M293:M303" ca="1" si="62">_xlfn.NORM.INV(RAND(),J293,((L293-K293)/(2*1.96)))</f>
        <v>0.77416717581747363</v>
      </c>
      <c r="O293" s="98">
        <f t="shared" ref="O293:O303" si="63">F293</f>
        <v>2.0249999999999999</v>
      </c>
      <c r="P293" s="93">
        <f t="shared" ca="1" si="56"/>
        <v>2.1687851581177324</v>
      </c>
    </row>
    <row r="294" spans="1:16" s="98" customFormat="1" x14ac:dyDescent="0.25">
      <c r="A294" s="207" t="s">
        <v>734</v>
      </c>
      <c r="B294" s="98">
        <v>1</v>
      </c>
      <c r="C294" s="98">
        <v>1</v>
      </c>
      <c r="D294" s="98" t="s">
        <v>187</v>
      </c>
      <c r="E294" s="104"/>
      <c r="F294" s="354">
        <v>2.1368421052631579</v>
      </c>
      <c r="G294" s="355">
        <f t="shared" si="57"/>
        <v>1.7180210526315789</v>
      </c>
      <c r="H294" s="355">
        <f t="shared" si="58"/>
        <v>2.5556631578947369</v>
      </c>
      <c r="I294" s="104"/>
      <c r="J294" s="103">
        <f t="shared" si="59"/>
        <v>0.7593290874412465</v>
      </c>
      <c r="K294" s="103">
        <f t="shared" si="60"/>
        <v>0.54117307763807576</v>
      </c>
      <c r="L294" s="103">
        <f t="shared" si="61"/>
        <v>0.93831174296968645</v>
      </c>
      <c r="M294" s="103">
        <f t="shared" ca="1" si="62"/>
        <v>0.85953284949355813</v>
      </c>
      <c r="O294" s="98">
        <f t="shared" si="63"/>
        <v>2.1368421052631579</v>
      </c>
      <c r="P294" s="93">
        <f t="shared" ca="1" si="56"/>
        <v>2.3620569998065801</v>
      </c>
    </row>
    <row r="295" spans="1:16" s="98" customFormat="1" x14ac:dyDescent="0.25">
      <c r="A295" s="207" t="s">
        <v>735</v>
      </c>
      <c r="B295" s="98">
        <v>1</v>
      </c>
      <c r="C295" s="98">
        <v>1</v>
      </c>
      <c r="D295" s="98" t="s">
        <v>187</v>
      </c>
      <c r="E295" s="104"/>
      <c r="F295" s="354">
        <v>1.9831223628691983</v>
      </c>
      <c r="G295" s="355">
        <f t="shared" si="57"/>
        <v>1.5944303797468353</v>
      </c>
      <c r="H295" s="355">
        <f t="shared" si="58"/>
        <v>2.3718143459915613</v>
      </c>
      <c r="I295" s="104"/>
      <c r="J295" s="103">
        <f t="shared" si="59"/>
        <v>0.68467255356897305</v>
      </c>
      <c r="K295" s="103">
        <f t="shared" si="60"/>
        <v>0.46651654376580232</v>
      </c>
      <c r="L295" s="103">
        <f t="shared" si="61"/>
        <v>0.86365520909741311</v>
      </c>
      <c r="M295" s="103">
        <f t="shared" ca="1" si="62"/>
        <v>0.81073911033835255</v>
      </c>
      <c r="O295" s="98">
        <f t="shared" si="63"/>
        <v>1.9831223628691983</v>
      </c>
      <c r="P295" s="93">
        <f t="shared" ca="1" si="56"/>
        <v>2.2495700528585751</v>
      </c>
    </row>
    <row r="296" spans="1:16" s="98" customFormat="1" x14ac:dyDescent="0.25">
      <c r="A296" s="207" t="s">
        <v>736</v>
      </c>
      <c r="B296" s="98">
        <v>1</v>
      </c>
      <c r="C296" s="98">
        <v>1</v>
      </c>
      <c r="D296" s="98" t="s">
        <v>187</v>
      </c>
      <c r="E296" s="104"/>
      <c r="F296" s="354">
        <v>1.5727002967359049</v>
      </c>
      <c r="G296" s="355">
        <f t="shared" si="57"/>
        <v>1.2644510385756675</v>
      </c>
      <c r="H296" s="355">
        <f t="shared" si="58"/>
        <v>1.8809495548961424</v>
      </c>
      <c r="I296" s="104"/>
      <c r="J296" s="103">
        <f t="shared" si="59"/>
        <v>0.45279407619380574</v>
      </c>
      <c r="K296" s="103">
        <f t="shared" si="60"/>
        <v>0.23463806639063503</v>
      </c>
      <c r="L296" s="103">
        <f t="shared" si="61"/>
        <v>0.63177673172224569</v>
      </c>
      <c r="M296" s="103">
        <f t="shared" ca="1" si="62"/>
        <v>0.34211884165523987</v>
      </c>
      <c r="O296" s="98">
        <f t="shared" si="63"/>
        <v>1.5727002967359049</v>
      </c>
      <c r="P296" s="93">
        <f t="shared" ca="1" si="56"/>
        <v>1.407927608019572</v>
      </c>
    </row>
    <row r="297" spans="1:16" s="98" customFormat="1" x14ac:dyDescent="0.25">
      <c r="A297" s="207" t="s">
        <v>737</v>
      </c>
      <c r="B297" s="98">
        <v>1</v>
      </c>
      <c r="C297" s="98">
        <v>1</v>
      </c>
      <c r="D297" s="98" t="s">
        <v>187</v>
      </c>
      <c r="E297" s="104"/>
      <c r="F297" s="354">
        <v>1.2971530249110319</v>
      </c>
      <c r="G297" s="355">
        <f t="shared" si="57"/>
        <v>1.0429110320284696</v>
      </c>
      <c r="H297" s="355">
        <f t="shared" si="58"/>
        <v>1.5513950177935942</v>
      </c>
      <c r="I297" s="104"/>
      <c r="J297" s="103">
        <f t="shared" si="59"/>
        <v>0.260171882114967</v>
      </c>
      <c r="K297" s="103">
        <f t="shared" si="60"/>
        <v>4.2015872311796224E-2</v>
      </c>
      <c r="L297" s="103">
        <f t="shared" si="61"/>
        <v>0.43915453764340701</v>
      </c>
      <c r="M297" s="103">
        <f t="shared" ca="1" si="62"/>
        <v>0.37650351200592913</v>
      </c>
      <c r="O297" s="98">
        <f t="shared" si="63"/>
        <v>1.2971530249110319</v>
      </c>
      <c r="P297" s="93">
        <f t="shared" ca="1" si="56"/>
        <v>1.4571806570423305</v>
      </c>
    </row>
    <row r="298" spans="1:16" s="98" customFormat="1" x14ac:dyDescent="0.25">
      <c r="A298" s="207" t="s">
        <v>738</v>
      </c>
      <c r="B298" s="98">
        <v>1</v>
      </c>
      <c r="C298" s="98">
        <v>1</v>
      </c>
      <c r="D298" s="98" t="s">
        <v>187</v>
      </c>
      <c r="E298" s="104"/>
      <c r="F298" s="354">
        <v>1.25</v>
      </c>
      <c r="G298" s="355">
        <f t="shared" si="57"/>
        <v>1.0049999999999999</v>
      </c>
      <c r="H298" s="355">
        <f t="shared" si="58"/>
        <v>1.4950000000000001</v>
      </c>
      <c r="I298" s="104"/>
      <c r="J298" s="103">
        <f t="shared" si="59"/>
        <v>0.22314355131420976</v>
      </c>
      <c r="K298" s="103">
        <f t="shared" si="60"/>
        <v>4.9875415110389679E-3</v>
      </c>
      <c r="L298" s="103">
        <f t="shared" si="61"/>
        <v>0.40212620684264982</v>
      </c>
      <c r="M298" s="103">
        <f t="shared" ca="1" si="62"/>
        <v>1.7134871337878166E-2</v>
      </c>
      <c r="O298" s="98">
        <f t="shared" si="63"/>
        <v>1.25</v>
      </c>
      <c r="P298" s="93">
        <f t="shared" ca="1" si="56"/>
        <v>1.0172825153271732</v>
      </c>
    </row>
    <row r="299" spans="1:16" s="98" customFormat="1" x14ac:dyDescent="0.25">
      <c r="A299" s="207" t="s">
        <v>739</v>
      </c>
      <c r="B299" s="98">
        <v>1</v>
      </c>
      <c r="C299" s="98">
        <v>1</v>
      </c>
      <c r="D299" s="98" t="s">
        <v>187</v>
      </c>
      <c r="E299" s="104"/>
      <c r="F299" s="354">
        <v>1.2250000000000001</v>
      </c>
      <c r="G299" s="355">
        <f t="shared" si="57"/>
        <v>0.98490000000000011</v>
      </c>
      <c r="H299" s="355">
        <f t="shared" si="58"/>
        <v>1.4651000000000001</v>
      </c>
      <c r="I299" s="104"/>
      <c r="J299" s="103">
        <f t="shared" si="59"/>
        <v>0.20294084399669038</v>
      </c>
      <c r="K299" s="103">
        <f t="shared" si="60"/>
        <v>-1.5215165806480264E-2</v>
      </c>
      <c r="L299" s="103">
        <f t="shared" si="61"/>
        <v>0.38192349952513033</v>
      </c>
      <c r="M299" s="103">
        <f t="shared" ca="1" si="62"/>
        <v>-4.6050981469973662E-2</v>
      </c>
      <c r="O299" s="98">
        <f t="shared" si="63"/>
        <v>1.2250000000000001</v>
      </c>
      <c r="P299" s="93">
        <f t="shared" ca="1" si="56"/>
        <v>0.95499327398870426</v>
      </c>
    </row>
    <row r="300" spans="1:16" s="98" customFormat="1" x14ac:dyDescent="0.25">
      <c r="A300" s="207" t="s">
        <v>740</v>
      </c>
      <c r="B300" s="98">
        <v>1</v>
      </c>
      <c r="C300" s="98">
        <v>1</v>
      </c>
      <c r="D300" s="98" t="s">
        <v>187</v>
      </c>
      <c r="E300" s="104"/>
      <c r="F300" s="354">
        <v>1.4105263157894736</v>
      </c>
      <c r="G300" s="355">
        <f t="shared" si="57"/>
        <v>1.1340631578947367</v>
      </c>
      <c r="H300" s="355">
        <f t="shared" si="58"/>
        <v>1.6869894736842106</v>
      </c>
      <c r="I300" s="104"/>
      <c r="J300" s="103">
        <f t="shared" si="59"/>
        <v>0.34396290835037052</v>
      </c>
      <c r="K300" s="103">
        <f t="shared" si="60"/>
        <v>0.1258068985471997</v>
      </c>
      <c r="L300" s="103">
        <f t="shared" si="61"/>
        <v>0.52294556387881053</v>
      </c>
      <c r="M300" s="103">
        <f t="shared" ca="1" si="62"/>
        <v>0.34970713669530828</v>
      </c>
      <c r="O300" s="98">
        <f t="shared" si="63"/>
        <v>1.4105263157894736</v>
      </c>
      <c r="P300" s="93">
        <f t="shared" ca="1" si="56"/>
        <v>1.4186520166313972</v>
      </c>
    </row>
    <row r="301" spans="1:16" s="98" customFormat="1" x14ac:dyDescent="0.25">
      <c r="A301" s="207" t="s">
        <v>741</v>
      </c>
      <c r="B301" s="98">
        <v>1</v>
      </c>
      <c r="C301" s="98">
        <v>1</v>
      </c>
      <c r="D301" s="98" t="s">
        <v>187</v>
      </c>
      <c r="E301" s="104"/>
      <c r="F301" s="354">
        <v>1.3333333333333335</v>
      </c>
      <c r="G301" s="355">
        <f t="shared" si="57"/>
        <v>1.0720000000000001</v>
      </c>
      <c r="H301" s="355">
        <f t="shared" si="58"/>
        <v>1.5946666666666669</v>
      </c>
      <c r="I301" s="104"/>
      <c r="J301" s="103">
        <f t="shared" si="59"/>
        <v>0.28768207245178101</v>
      </c>
      <c r="K301" s="103">
        <f t="shared" si="60"/>
        <v>6.9526062648610304E-2</v>
      </c>
      <c r="L301" s="103">
        <f t="shared" si="61"/>
        <v>0.46666472798022107</v>
      </c>
      <c r="M301" s="103">
        <f t="shared" ca="1" si="62"/>
        <v>0.17853885378681988</v>
      </c>
      <c r="O301" s="98">
        <f t="shared" si="63"/>
        <v>1.3333333333333335</v>
      </c>
      <c r="P301" s="93">
        <f t="shared" ca="1" si="56"/>
        <v>1.195469330881672</v>
      </c>
    </row>
    <row r="302" spans="1:16" s="98" customFormat="1" x14ac:dyDescent="0.25">
      <c r="A302" s="207" t="s">
        <v>742</v>
      </c>
      <c r="B302" s="98">
        <v>1</v>
      </c>
      <c r="C302" s="98">
        <v>1</v>
      </c>
      <c r="D302" s="98" t="s">
        <v>187</v>
      </c>
      <c r="E302" s="104"/>
      <c r="F302" s="354">
        <v>1.1468842729970326</v>
      </c>
      <c r="G302" s="355">
        <f t="shared" si="57"/>
        <v>0.92209495548961418</v>
      </c>
      <c r="H302" s="355">
        <f t="shared" si="58"/>
        <v>1.371673590504451</v>
      </c>
      <c r="I302" s="104"/>
      <c r="J302" s="103">
        <f t="shared" si="59"/>
        <v>0.13704893767511483</v>
      </c>
      <c r="K302" s="103">
        <f t="shared" si="60"/>
        <v>-8.1107072128055832E-2</v>
      </c>
      <c r="L302" s="103">
        <f t="shared" si="61"/>
        <v>0.31603159320355489</v>
      </c>
      <c r="M302" s="103">
        <f t="shared" ca="1" si="62"/>
        <v>0.23937738959572835</v>
      </c>
      <c r="O302" s="98">
        <f t="shared" si="63"/>
        <v>1.1468842729970326</v>
      </c>
      <c r="P302" s="93">
        <f t="shared" ca="1" si="56"/>
        <v>1.2704579037187369</v>
      </c>
    </row>
    <row r="303" spans="1:16" s="98" customFormat="1" x14ac:dyDescent="0.25">
      <c r="A303" s="207" t="s">
        <v>743</v>
      </c>
      <c r="B303" s="98">
        <v>1</v>
      </c>
      <c r="C303" s="98">
        <v>1</v>
      </c>
      <c r="D303" s="98" t="s">
        <v>187</v>
      </c>
      <c r="F303" s="354">
        <v>1.0658362989323844</v>
      </c>
      <c r="G303" s="355">
        <f t="shared" si="57"/>
        <v>0.8569323843416371</v>
      </c>
      <c r="H303" s="355">
        <f t="shared" si="58"/>
        <v>1.2747402135231318</v>
      </c>
      <c r="J303" s="103">
        <f t="shared" si="59"/>
        <v>6.3759748221758339E-2</v>
      </c>
      <c r="K303" s="103">
        <f t="shared" si="60"/>
        <v>-0.15439626158141231</v>
      </c>
      <c r="L303" s="103">
        <f t="shared" si="61"/>
        <v>0.2427424037501984</v>
      </c>
      <c r="M303" s="103">
        <f t="shared" ca="1" si="62"/>
        <v>0.26328570902087117</v>
      </c>
      <c r="O303" s="98">
        <f t="shared" si="63"/>
        <v>1.0658362989323844</v>
      </c>
      <c r="P303" s="93">
        <f t="shared" ca="1" si="56"/>
        <v>1.3011984299779871</v>
      </c>
    </row>
    <row r="304" spans="1:16" s="98" customFormat="1" x14ac:dyDescent="0.25">
      <c r="A304" s="114"/>
      <c r="J304" s="103"/>
      <c r="K304" s="103"/>
      <c r="L304" s="103"/>
      <c r="M304" s="103"/>
    </row>
    <row r="305" spans="1:16" s="98" customFormat="1" x14ac:dyDescent="0.25">
      <c r="A305" s="568" t="s">
        <v>425</v>
      </c>
      <c r="B305" s="569"/>
      <c r="C305" s="569"/>
      <c r="D305" s="569"/>
      <c r="E305" s="569"/>
      <c r="F305" s="569"/>
      <c r="G305" s="569"/>
      <c r="H305" s="569"/>
      <c r="I305" s="569"/>
      <c r="J305" s="569"/>
      <c r="K305" s="569"/>
      <c r="L305" s="569"/>
      <c r="M305" s="569"/>
      <c r="N305" s="569"/>
      <c r="O305" s="569"/>
    </row>
    <row r="306" spans="1:16" s="98" customFormat="1" x14ac:dyDescent="0.25">
      <c r="A306" s="112" t="s">
        <v>99</v>
      </c>
      <c r="B306" s="107" t="s">
        <v>155</v>
      </c>
      <c r="C306" s="106" t="s">
        <v>113</v>
      </c>
      <c r="D306" s="106" t="s">
        <v>15</v>
      </c>
      <c r="E306" s="107"/>
      <c r="F306" s="107" t="s">
        <v>4</v>
      </c>
      <c r="G306" s="571" t="s">
        <v>394</v>
      </c>
      <c r="H306" s="572"/>
      <c r="I306" s="107"/>
      <c r="J306" s="108" t="s">
        <v>109</v>
      </c>
      <c r="K306" s="573" t="s">
        <v>395</v>
      </c>
      <c r="L306" s="573"/>
      <c r="M306" s="109" t="s">
        <v>100</v>
      </c>
      <c r="N306" s="107"/>
      <c r="O306" s="107" t="s">
        <v>14</v>
      </c>
      <c r="P306" s="107" t="s">
        <v>25</v>
      </c>
    </row>
    <row r="307" spans="1:16" s="98" customFormat="1" x14ac:dyDescent="0.25">
      <c r="A307" s="207" t="s">
        <v>751</v>
      </c>
      <c r="B307" s="98">
        <v>1</v>
      </c>
      <c r="C307" s="98">
        <v>1</v>
      </c>
      <c r="D307" s="98" t="s">
        <v>187</v>
      </c>
      <c r="E307" s="118"/>
      <c r="F307" s="354">
        <v>4.9800000000000004</v>
      </c>
      <c r="G307" s="355">
        <f>F307-(1.96*(0.1*F307))</f>
        <v>4.0039200000000008</v>
      </c>
      <c r="H307" s="355">
        <f>F307+(1.96*(0.1*F307))</f>
        <v>5.95608</v>
      </c>
      <c r="I307" s="104"/>
      <c r="J307" s="103">
        <f>LN(F307)</f>
        <v>1.6054298910365616</v>
      </c>
      <c r="K307" s="103">
        <f>LN(G307)</f>
        <v>1.3872738812333911</v>
      </c>
      <c r="L307" s="103">
        <f>LN(H307)</f>
        <v>1.7844125465650016</v>
      </c>
      <c r="M307" s="103">
        <f ca="1">_xlfn.NORM.INV(RAND(),J307,((L307-K307)/(2*1.96)))</f>
        <v>1.6451028289249319</v>
      </c>
      <c r="O307" s="98">
        <f>F307</f>
        <v>4.9800000000000004</v>
      </c>
      <c r="P307" s="93">
        <f t="shared" ref="P307:P370" ca="1" si="64">IF($B307=1,IF($C307=1,EXP($M307),$F307),0)</f>
        <v>5.1815426920196872</v>
      </c>
    </row>
    <row r="308" spans="1:16" s="98" customFormat="1" x14ac:dyDescent="0.25">
      <c r="A308" s="207" t="s">
        <v>752</v>
      </c>
      <c r="B308" s="98">
        <v>1</v>
      </c>
      <c r="C308" s="98">
        <v>1</v>
      </c>
      <c r="D308" s="98" t="s">
        <v>187</v>
      </c>
      <c r="E308" s="118"/>
      <c r="F308" s="354">
        <v>3.25</v>
      </c>
      <c r="G308" s="355">
        <f t="shared" ref="G308:G370" si="65">F308-(1.96*(0.1*F308))</f>
        <v>2.613</v>
      </c>
      <c r="H308" s="355">
        <f t="shared" ref="H308:H370" si="66">F308+(1.96*(0.1*F308))</f>
        <v>3.887</v>
      </c>
      <c r="I308" s="104"/>
      <c r="J308" s="103">
        <f t="shared" ref="J308:J370" si="67">LN(F308)</f>
        <v>1.1786549963416462</v>
      </c>
      <c r="K308" s="103">
        <f t="shared" ref="K308:K370" si="68">LN(G308)</f>
        <v>0.96049898653847543</v>
      </c>
      <c r="L308" s="103">
        <f t="shared" ref="L308:L370" si="69">LN(H308)</f>
        <v>1.3576376518700861</v>
      </c>
      <c r="M308" s="103">
        <f t="shared" ref="M308:M370" ca="1" si="70">_xlfn.NORM.INV(RAND(),J308,((L308-K308)/(2*1.96)))</f>
        <v>1.063219006388227</v>
      </c>
      <c r="O308" s="98">
        <f t="shared" ref="O308:O370" si="71">F308</f>
        <v>3.25</v>
      </c>
      <c r="P308" s="93">
        <f t="shared" ca="1" si="64"/>
        <v>2.8956772062712783</v>
      </c>
    </row>
    <row r="309" spans="1:16" s="98" customFormat="1" x14ac:dyDescent="0.25">
      <c r="A309" s="207" t="s">
        <v>753</v>
      </c>
      <c r="B309" s="98">
        <v>1</v>
      </c>
      <c r="C309" s="98">
        <v>1</v>
      </c>
      <c r="D309" s="98" t="s">
        <v>187</v>
      </c>
      <c r="E309" s="118"/>
      <c r="F309" s="354">
        <v>3.29</v>
      </c>
      <c r="G309" s="355">
        <f t="shared" si="65"/>
        <v>2.6451600000000002</v>
      </c>
      <c r="H309" s="355">
        <f t="shared" si="66"/>
        <v>3.9348399999999999</v>
      </c>
      <c r="I309" s="104"/>
      <c r="J309" s="103">
        <f t="shared" si="67"/>
        <v>1.1908875647772805</v>
      </c>
      <c r="K309" s="103">
        <f t="shared" si="68"/>
        <v>0.9727315549741099</v>
      </c>
      <c r="L309" s="103">
        <f t="shared" si="69"/>
        <v>1.3698702203057205</v>
      </c>
      <c r="M309" s="103">
        <f t="shared" ca="1" si="70"/>
        <v>1.3537570225778133</v>
      </c>
      <c r="O309" s="98">
        <f t="shared" si="71"/>
        <v>3.29</v>
      </c>
      <c r="P309" s="93">
        <f t="shared" ca="1" si="64"/>
        <v>3.8719452238364607</v>
      </c>
    </row>
    <row r="310" spans="1:16" s="98" customFormat="1" x14ac:dyDescent="0.25">
      <c r="A310" s="207" t="s">
        <v>754</v>
      </c>
      <c r="B310" s="98">
        <v>1</v>
      </c>
      <c r="C310" s="98">
        <v>1</v>
      </c>
      <c r="D310" s="98" t="s">
        <v>187</v>
      </c>
      <c r="E310" s="118"/>
      <c r="F310" s="356">
        <v>2.25</v>
      </c>
      <c r="G310" s="355">
        <f t="shared" si="65"/>
        <v>1.8089999999999999</v>
      </c>
      <c r="H310" s="355">
        <f t="shared" si="66"/>
        <v>2.6909999999999998</v>
      </c>
      <c r="I310" s="104"/>
      <c r="J310" s="103">
        <f t="shared" si="67"/>
        <v>0.81093021621632877</v>
      </c>
      <c r="K310" s="103">
        <f t="shared" si="68"/>
        <v>0.59277420641315803</v>
      </c>
      <c r="L310" s="103">
        <f t="shared" si="69"/>
        <v>0.98991287174476872</v>
      </c>
      <c r="M310" s="103">
        <f t="shared" ca="1" si="70"/>
        <v>0.89698896965884045</v>
      </c>
      <c r="O310" s="98">
        <f t="shared" si="71"/>
        <v>2.25</v>
      </c>
      <c r="P310" s="93">
        <f t="shared" ca="1" si="64"/>
        <v>2.4522083101341274</v>
      </c>
    </row>
    <row r="311" spans="1:16" s="98" customFormat="1" x14ac:dyDescent="0.25">
      <c r="A311" s="207" t="s">
        <v>755</v>
      </c>
      <c r="B311" s="98">
        <v>1</v>
      </c>
      <c r="C311" s="98">
        <v>1</v>
      </c>
      <c r="D311" s="98" t="s">
        <v>187</v>
      </c>
      <c r="E311" s="118"/>
      <c r="F311" s="356">
        <v>6.43</v>
      </c>
      <c r="G311" s="355">
        <f t="shared" si="65"/>
        <v>5.1697199999999999</v>
      </c>
      <c r="H311" s="355">
        <f t="shared" si="66"/>
        <v>7.6902799999999996</v>
      </c>
      <c r="I311" s="104"/>
      <c r="J311" s="103">
        <f t="shared" si="67"/>
        <v>1.860974538249528</v>
      </c>
      <c r="K311" s="103">
        <f t="shared" si="68"/>
        <v>1.6428185284463572</v>
      </c>
      <c r="L311" s="103">
        <f t="shared" si="69"/>
        <v>2.0399571937779681</v>
      </c>
      <c r="M311" s="103">
        <f t="shared" ca="1" si="70"/>
        <v>1.9968175138143427</v>
      </c>
      <c r="O311" s="98">
        <f t="shared" si="71"/>
        <v>6.43</v>
      </c>
      <c r="P311" s="93">
        <f t="shared" ca="1" si="64"/>
        <v>7.3655779092938642</v>
      </c>
    </row>
    <row r="312" spans="1:16" s="98" customFormat="1" x14ac:dyDescent="0.25">
      <c r="A312" s="207" t="s">
        <v>756</v>
      </c>
      <c r="B312" s="98">
        <v>1</v>
      </c>
      <c r="C312" s="98">
        <v>1</v>
      </c>
      <c r="D312" s="98" t="s">
        <v>187</v>
      </c>
      <c r="E312" s="118"/>
      <c r="F312" s="356">
        <v>9</v>
      </c>
      <c r="G312" s="355">
        <f t="shared" si="65"/>
        <v>7.2359999999999998</v>
      </c>
      <c r="H312" s="355">
        <f t="shared" si="66"/>
        <v>10.763999999999999</v>
      </c>
      <c r="I312" s="104"/>
      <c r="J312" s="103">
        <f t="shared" si="67"/>
        <v>2.1972245773362196</v>
      </c>
      <c r="K312" s="103">
        <f t="shared" si="68"/>
        <v>1.9790685675330486</v>
      </c>
      <c r="L312" s="103">
        <f t="shared" si="69"/>
        <v>2.3762072328646595</v>
      </c>
      <c r="M312" s="103">
        <f t="shared" ca="1" si="70"/>
        <v>2.3064712383151074</v>
      </c>
      <c r="O312" s="98">
        <f t="shared" si="71"/>
        <v>9</v>
      </c>
      <c r="P312" s="93">
        <f t="shared" ca="1" si="64"/>
        <v>10.038937061748094</v>
      </c>
    </row>
    <row r="313" spans="1:16" s="98" customFormat="1" x14ac:dyDescent="0.25">
      <c r="A313" s="207" t="s">
        <v>757</v>
      </c>
      <c r="B313" s="98">
        <v>1</v>
      </c>
      <c r="C313" s="98">
        <v>1</v>
      </c>
      <c r="D313" s="98" t="s">
        <v>187</v>
      </c>
      <c r="E313" s="118"/>
      <c r="F313" s="356">
        <v>38.89</v>
      </c>
      <c r="G313" s="355">
        <f t="shared" si="65"/>
        <v>31.26756</v>
      </c>
      <c r="H313" s="355">
        <f t="shared" si="66"/>
        <v>46.512439999999998</v>
      </c>
      <c r="I313" s="104"/>
      <c r="J313" s="103">
        <f t="shared" si="67"/>
        <v>3.6607371481676561</v>
      </c>
      <c r="K313" s="103">
        <f t="shared" si="68"/>
        <v>3.4425811383644853</v>
      </c>
      <c r="L313" s="103">
        <f t="shared" si="69"/>
        <v>3.839719803696096</v>
      </c>
      <c r="M313" s="103">
        <f t="shared" ca="1" si="70"/>
        <v>3.6862105087626942</v>
      </c>
      <c r="O313" s="98">
        <f t="shared" si="71"/>
        <v>38.89</v>
      </c>
      <c r="P313" s="93">
        <f t="shared" ca="1" si="64"/>
        <v>39.893384524676485</v>
      </c>
    </row>
    <row r="314" spans="1:16" s="98" customFormat="1" x14ac:dyDescent="0.25">
      <c r="A314" s="207" t="s">
        <v>758</v>
      </c>
      <c r="B314" s="98">
        <v>1</v>
      </c>
      <c r="C314" s="98">
        <v>1</v>
      </c>
      <c r="D314" s="98" t="s">
        <v>187</v>
      </c>
      <c r="E314" s="118"/>
      <c r="F314" s="356">
        <v>20.96</v>
      </c>
      <c r="G314" s="355">
        <f t="shared" si="65"/>
        <v>16.851840000000003</v>
      </c>
      <c r="H314" s="355">
        <f t="shared" si="66"/>
        <v>25.068159999999999</v>
      </c>
      <c r="I314" s="104"/>
      <c r="J314" s="103">
        <f t="shared" si="67"/>
        <v>3.0426158594528414</v>
      </c>
      <c r="K314" s="103">
        <f t="shared" si="68"/>
        <v>2.8244598496496711</v>
      </c>
      <c r="L314" s="103">
        <f t="shared" si="69"/>
        <v>3.2215985149812814</v>
      </c>
      <c r="M314" s="103">
        <f t="shared" ca="1" si="70"/>
        <v>3.1594859258859285</v>
      </c>
      <c r="O314" s="98">
        <f t="shared" si="71"/>
        <v>20.96</v>
      </c>
      <c r="P314" s="93">
        <f t="shared" ca="1" si="64"/>
        <v>23.558482009840677</v>
      </c>
    </row>
    <row r="315" spans="1:16" s="98" customFormat="1" x14ac:dyDescent="0.25">
      <c r="A315" s="207" t="s">
        <v>759</v>
      </c>
      <c r="B315" s="98">
        <v>1</v>
      </c>
      <c r="C315" s="98">
        <v>1</v>
      </c>
      <c r="D315" s="98" t="s">
        <v>187</v>
      </c>
      <c r="E315" s="118"/>
      <c r="F315" s="356">
        <v>13.3</v>
      </c>
      <c r="G315" s="355">
        <f t="shared" si="65"/>
        <v>10.693200000000001</v>
      </c>
      <c r="H315" s="355">
        <f t="shared" si="66"/>
        <v>15.9068</v>
      </c>
      <c r="I315" s="104"/>
      <c r="J315" s="103">
        <f t="shared" si="67"/>
        <v>2.5877640352277083</v>
      </c>
      <c r="K315" s="103">
        <f t="shared" si="68"/>
        <v>2.3696080254245375</v>
      </c>
      <c r="L315" s="103">
        <f t="shared" si="69"/>
        <v>2.7667466907561482</v>
      </c>
      <c r="M315" s="103">
        <f t="shared" ca="1" si="70"/>
        <v>2.6344073649775135</v>
      </c>
      <c r="O315" s="98">
        <f t="shared" si="71"/>
        <v>13.3</v>
      </c>
      <c r="P315" s="93">
        <f t="shared" ca="1" si="64"/>
        <v>13.935051615943188</v>
      </c>
    </row>
    <row r="316" spans="1:16" s="98" customFormat="1" x14ac:dyDescent="0.25">
      <c r="A316" s="207" t="s">
        <v>760</v>
      </c>
      <c r="B316" s="98">
        <v>1</v>
      </c>
      <c r="C316" s="98">
        <v>1</v>
      </c>
      <c r="D316" s="98" t="s">
        <v>187</v>
      </c>
      <c r="E316" s="118"/>
      <c r="F316" s="356">
        <v>18.95</v>
      </c>
      <c r="G316" s="355">
        <f t="shared" si="65"/>
        <v>15.235799999999999</v>
      </c>
      <c r="H316" s="355">
        <f t="shared" si="66"/>
        <v>22.664200000000001</v>
      </c>
      <c r="I316" s="104"/>
      <c r="J316" s="103">
        <f t="shared" si="67"/>
        <v>2.9418039315284354</v>
      </c>
      <c r="K316" s="103">
        <f t="shared" si="68"/>
        <v>2.7236479217252647</v>
      </c>
      <c r="L316" s="103">
        <f t="shared" si="69"/>
        <v>3.1207865870568754</v>
      </c>
      <c r="M316" s="103">
        <f t="shared" ca="1" si="70"/>
        <v>2.9761481555727949</v>
      </c>
      <c r="O316" s="98">
        <f t="shared" si="71"/>
        <v>18.95</v>
      </c>
      <c r="P316" s="93">
        <f t="shared" ca="1" si="64"/>
        <v>19.612128101762409</v>
      </c>
    </row>
    <row r="317" spans="1:16" s="98" customFormat="1" x14ac:dyDescent="0.25">
      <c r="A317" s="207" t="s">
        <v>761</v>
      </c>
      <c r="B317" s="98">
        <v>1</v>
      </c>
      <c r="C317" s="98">
        <v>1</v>
      </c>
      <c r="D317" s="98" t="s">
        <v>187</v>
      </c>
      <c r="E317" s="118"/>
      <c r="F317" s="356">
        <v>23.65</v>
      </c>
      <c r="G317" s="355">
        <f t="shared" si="65"/>
        <v>19.014599999999998</v>
      </c>
      <c r="H317" s="355">
        <f t="shared" si="66"/>
        <v>28.285399999999999</v>
      </c>
      <c r="I317" s="104"/>
      <c r="J317" s="103">
        <f t="shared" si="67"/>
        <v>3.1633631149379418</v>
      </c>
      <c r="K317" s="103">
        <f t="shared" si="68"/>
        <v>2.945207105134771</v>
      </c>
      <c r="L317" s="103">
        <f t="shared" si="69"/>
        <v>3.3423457704663821</v>
      </c>
      <c r="M317" s="103">
        <f t="shared" ca="1" si="70"/>
        <v>3.1535553173640927</v>
      </c>
      <c r="O317" s="98">
        <f t="shared" si="71"/>
        <v>23.65</v>
      </c>
      <c r="P317" s="93">
        <f t="shared" ca="1" si="64"/>
        <v>23.419179358713741</v>
      </c>
    </row>
    <row r="318" spans="1:16" s="98" customFormat="1" x14ac:dyDescent="0.25">
      <c r="A318" s="207" t="s">
        <v>762</v>
      </c>
      <c r="B318" s="98">
        <v>1</v>
      </c>
      <c r="C318" s="98">
        <v>1</v>
      </c>
      <c r="D318" s="98" t="s">
        <v>187</v>
      </c>
      <c r="E318" s="118"/>
      <c r="F318" s="356">
        <v>23.08</v>
      </c>
      <c r="G318" s="355">
        <f t="shared" si="65"/>
        <v>18.556319999999999</v>
      </c>
      <c r="H318" s="355">
        <f t="shared" si="66"/>
        <v>27.603679999999997</v>
      </c>
      <c r="I318" s="104"/>
      <c r="J318" s="103">
        <f t="shared" si="67"/>
        <v>3.1389664416398988</v>
      </c>
      <c r="K318" s="103">
        <f t="shared" si="68"/>
        <v>2.9208104318367281</v>
      </c>
      <c r="L318" s="103">
        <f t="shared" si="69"/>
        <v>3.3179490971683387</v>
      </c>
      <c r="M318" s="103">
        <f t="shared" ca="1" si="70"/>
        <v>3.0242182322177977</v>
      </c>
      <c r="O318" s="98">
        <f t="shared" si="71"/>
        <v>23.08</v>
      </c>
      <c r="P318" s="93">
        <f t="shared" ca="1" si="64"/>
        <v>20.577911273291562</v>
      </c>
    </row>
    <row r="319" spans="1:16" s="98" customFormat="1" x14ac:dyDescent="0.25">
      <c r="A319" s="207" t="s">
        <v>763</v>
      </c>
      <c r="B319" s="98">
        <v>1</v>
      </c>
      <c r="C319" s="98">
        <v>1</v>
      </c>
      <c r="D319" s="98" t="s">
        <v>187</v>
      </c>
      <c r="E319" s="118"/>
      <c r="F319" s="356">
        <v>2.44</v>
      </c>
      <c r="G319" s="355">
        <f t="shared" si="65"/>
        <v>1.9617599999999999</v>
      </c>
      <c r="H319" s="355">
        <f t="shared" si="66"/>
        <v>2.9182399999999999</v>
      </c>
      <c r="I319" s="104"/>
      <c r="J319" s="103">
        <f t="shared" si="67"/>
        <v>0.89199803930511046</v>
      </c>
      <c r="K319" s="103">
        <f t="shared" si="68"/>
        <v>0.67384202950193983</v>
      </c>
      <c r="L319" s="103">
        <f t="shared" si="69"/>
        <v>1.0709806948335505</v>
      </c>
      <c r="M319" s="103">
        <f t="shared" ca="1" si="70"/>
        <v>0.97071989040594509</v>
      </c>
      <c r="O319" s="98">
        <f t="shared" si="71"/>
        <v>2.44</v>
      </c>
      <c r="P319" s="93">
        <f t="shared" ca="1" si="64"/>
        <v>2.6398441739729788</v>
      </c>
    </row>
    <row r="320" spans="1:16" s="98" customFormat="1" x14ac:dyDescent="0.25">
      <c r="A320" s="207" t="s">
        <v>764</v>
      </c>
      <c r="B320" s="98">
        <v>1</v>
      </c>
      <c r="C320" s="98">
        <v>1</v>
      </c>
      <c r="D320" s="98" t="s">
        <v>187</v>
      </c>
      <c r="E320" s="118"/>
      <c r="F320" s="356">
        <v>1.98</v>
      </c>
      <c r="G320" s="355">
        <f t="shared" si="65"/>
        <v>1.59192</v>
      </c>
      <c r="H320" s="355">
        <f t="shared" si="66"/>
        <v>2.36808</v>
      </c>
      <c r="I320" s="104"/>
      <c r="J320" s="103">
        <f t="shared" si="67"/>
        <v>0.68309684470644383</v>
      </c>
      <c r="K320" s="103">
        <f t="shared" si="68"/>
        <v>0.4649408349032732</v>
      </c>
      <c r="L320" s="103">
        <f t="shared" si="69"/>
        <v>0.86207950023488389</v>
      </c>
      <c r="M320" s="103">
        <f t="shared" ca="1" si="70"/>
        <v>0.82160032651000714</v>
      </c>
      <c r="O320" s="98">
        <f t="shared" si="71"/>
        <v>1.98</v>
      </c>
      <c r="P320" s="93">
        <f t="shared" ca="1" si="64"/>
        <v>2.2741362875909985</v>
      </c>
    </row>
    <row r="321" spans="1:16" s="98" customFormat="1" x14ac:dyDescent="0.25">
      <c r="A321" s="207" t="s">
        <v>765</v>
      </c>
      <c r="B321" s="98">
        <v>1</v>
      </c>
      <c r="C321" s="98">
        <v>1</v>
      </c>
      <c r="D321" s="98" t="s">
        <v>187</v>
      </c>
      <c r="E321" s="118"/>
      <c r="F321" s="356">
        <v>2.27</v>
      </c>
      <c r="G321" s="355">
        <f t="shared" si="65"/>
        <v>1.82508</v>
      </c>
      <c r="H321" s="355">
        <f t="shared" si="66"/>
        <v>2.7149200000000002</v>
      </c>
      <c r="I321" s="104"/>
      <c r="J321" s="103">
        <f t="shared" si="67"/>
        <v>0.81977983149331135</v>
      </c>
      <c r="K321" s="103">
        <f t="shared" si="68"/>
        <v>0.60162382169014061</v>
      </c>
      <c r="L321" s="103">
        <f t="shared" si="69"/>
        <v>0.99876248702175141</v>
      </c>
      <c r="M321" s="103">
        <f t="shared" ca="1" si="70"/>
        <v>0.71153937837155823</v>
      </c>
      <c r="O321" s="98">
        <f t="shared" si="71"/>
        <v>2.27</v>
      </c>
      <c r="P321" s="93">
        <f t="shared" ca="1" si="64"/>
        <v>2.0371247519954112</v>
      </c>
    </row>
    <row r="322" spans="1:16" s="98" customFormat="1" x14ac:dyDescent="0.25">
      <c r="A322" s="207" t="s">
        <v>766</v>
      </c>
      <c r="B322" s="98">
        <v>1</v>
      </c>
      <c r="C322" s="98">
        <v>1</v>
      </c>
      <c r="D322" s="98" t="s">
        <v>187</v>
      </c>
      <c r="E322" s="118"/>
      <c r="F322" s="356">
        <v>1.7</v>
      </c>
      <c r="G322" s="355">
        <f t="shared" si="65"/>
        <v>1.3668</v>
      </c>
      <c r="H322" s="355">
        <f t="shared" si="66"/>
        <v>2.0331999999999999</v>
      </c>
      <c r="I322" s="104"/>
      <c r="J322" s="103">
        <f t="shared" si="67"/>
        <v>0.53062825106217038</v>
      </c>
      <c r="K322" s="103">
        <f t="shared" si="68"/>
        <v>0.31247224125899975</v>
      </c>
      <c r="L322" s="103">
        <f t="shared" si="69"/>
        <v>0.70961090659061032</v>
      </c>
      <c r="M322" s="103">
        <f t="shared" ca="1" si="70"/>
        <v>0.56287095280329746</v>
      </c>
      <c r="O322" s="98">
        <f t="shared" si="71"/>
        <v>1.7</v>
      </c>
      <c r="P322" s="93">
        <f t="shared" ca="1" si="64"/>
        <v>1.7557058201731808</v>
      </c>
    </row>
    <row r="323" spans="1:16" s="98" customFormat="1" x14ac:dyDescent="0.25">
      <c r="A323" s="207" t="s">
        <v>767</v>
      </c>
      <c r="B323" s="98">
        <v>1</v>
      </c>
      <c r="C323" s="98">
        <v>1</v>
      </c>
      <c r="D323" s="98" t="s">
        <v>187</v>
      </c>
      <c r="E323" s="118"/>
      <c r="F323" s="356">
        <v>2.23</v>
      </c>
      <c r="G323" s="355">
        <f t="shared" si="65"/>
        <v>1.7929200000000001</v>
      </c>
      <c r="H323" s="355">
        <f t="shared" si="66"/>
        <v>2.6670799999999999</v>
      </c>
      <c r="I323" s="104"/>
      <c r="J323" s="103">
        <f t="shared" si="67"/>
        <v>0.80200158547202738</v>
      </c>
      <c r="K323" s="103">
        <f t="shared" si="68"/>
        <v>0.58384557566885675</v>
      </c>
      <c r="L323" s="103">
        <f t="shared" si="69"/>
        <v>0.98098424100046733</v>
      </c>
      <c r="M323" s="103">
        <f t="shared" ca="1" si="70"/>
        <v>0.85977846831231874</v>
      </c>
      <c r="O323" s="98">
        <f t="shared" si="71"/>
        <v>2.23</v>
      </c>
      <c r="P323" s="93">
        <f t="shared" ca="1" si="64"/>
        <v>2.3626372367123527</v>
      </c>
    </row>
    <row r="324" spans="1:16" s="98" customFormat="1" x14ac:dyDescent="0.25">
      <c r="A324" s="207" t="s">
        <v>768</v>
      </c>
      <c r="B324" s="98">
        <v>1</v>
      </c>
      <c r="C324" s="98">
        <v>1</v>
      </c>
      <c r="D324" s="98" t="s">
        <v>187</v>
      </c>
      <c r="E324" s="118"/>
      <c r="F324" s="356">
        <v>1.21</v>
      </c>
      <c r="G324" s="355">
        <f t="shared" si="65"/>
        <v>0.97283999999999993</v>
      </c>
      <c r="H324" s="355">
        <f t="shared" si="66"/>
        <v>1.44716</v>
      </c>
      <c r="I324" s="104"/>
      <c r="J324" s="103">
        <f t="shared" si="67"/>
        <v>0.1906203596086497</v>
      </c>
      <c r="K324" s="103">
        <f t="shared" si="68"/>
        <v>-2.7535650194521036E-2</v>
      </c>
      <c r="L324" s="103">
        <f t="shared" si="69"/>
        <v>0.36960301513708971</v>
      </c>
      <c r="M324" s="103">
        <f t="shared" ca="1" si="70"/>
        <v>0.25166087268719639</v>
      </c>
      <c r="O324" s="98">
        <f t="shared" si="71"/>
        <v>1.21</v>
      </c>
      <c r="P324" s="93">
        <f t="shared" ca="1" si="64"/>
        <v>1.28615979140368</v>
      </c>
    </row>
    <row r="325" spans="1:16" s="98" customFormat="1" x14ac:dyDescent="0.25">
      <c r="A325" s="207" t="s">
        <v>769</v>
      </c>
      <c r="B325" s="98">
        <v>1</v>
      </c>
      <c r="C325" s="98">
        <v>1</v>
      </c>
      <c r="D325" s="98" t="s">
        <v>187</v>
      </c>
      <c r="E325" s="118"/>
      <c r="F325" s="356">
        <v>1.56</v>
      </c>
      <c r="G325" s="355">
        <f t="shared" si="65"/>
        <v>1.25424</v>
      </c>
      <c r="H325" s="355">
        <f t="shared" si="66"/>
        <v>1.8657600000000001</v>
      </c>
      <c r="I325" s="104"/>
      <c r="J325" s="103">
        <f t="shared" si="67"/>
        <v>0.44468582126144574</v>
      </c>
      <c r="K325" s="103">
        <f t="shared" si="68"/>
        <v>0.22652981145827503</v>
      </c>
      <c r="L325" s="103">
        <f t="shared" si="69"/>
        <v>0.62366847678988568</v>
      </c>
      <c r="M325" s="103">
        <f t="shared" ca="1" si="70"/>
        <v>0.42793303400482469</v>
      </c>
      <c r="O325" s="98">
        <f t="shared" si="71"/>
        <v>1.56</v>
      </c>
      <c r="P325" s="93">
        <f t="shared" ca="1" si="64"/>
        <v>1.5340833461097929</v>
      </c>
    </row>
    <row r="326" spans="1:16" s="98" customFormat="1" x14ac:dyDescent="0.25">
      <c r="A326" s="207" t="s">
        <v>770</v>
      </c>
      <c r="B326" s="98">
        <v>1</v>
      </c>
      <c r="C326" s="98">
        <v>1</v>
      </c>
      <c r="D326" s="98" t="s">
        <v>187</v>
      </c>
      <c r="E326" s="118"/>
      <c r="F326" s="356">
        <v>1.27</v>
      </c>
      <c r="G326" s="355">
        <f t="shared" si="65"/>
        <v>1.02108</v>
      </c>
      <c r="H326" s="355">
        <f t="shared" si="66"/>
        <v>1.51892</v>
      </c>
      <c r="I326" s="104"/>
      <c r="J326" s="103">
        <f t="shared" si="67"/>
        <v>0.23901690047049992</v>
      </c>
      <c r="K326" s="103">
        <f t="shared" si="68"/>
        <v>2.0860890667329209E-2</v>
      </c>
      <c r="L326" s="103">
        <f t="shared" si="69"/>
        <v>0.41799955599893995</v>
      </c>
      <c r="M326" s="103">
        <f t="shared" ca="1" si="70"/>
        <v>0.24920343113422921</v>
      </c>
      <c r="O326" s="98">
        <f t="shared" si="71"/>
        <v>1.27</v>
      </c>
      <c r="P326" s="93">
        <f t="shared" ca="1" si="64"/>
        <v>1.2830030092809654</v>
      </c>
    </row>
    <row r="327" spans="1:16" s="98" customFormat="1" x14ac:dyDescent="0.25">
      <c r="A327" s="207" t="s">
        <v>771</v>
      </c>
      <c r="B327" s="98">
        <v>1</v>
      </c>
      <c r="C327" s="98">
        <v>1</v>
      </c>
      <c r="D327" s="98" t="s">
        <v>187</v>
      </c>
      <c r="E327" s="118"/>
      <c r="F327" s="356">
        <v>1.85</v>
      </c>
      <c r="G327" s="355">
        <f t="shared" si="65"/>
        <v>1.4874000000000001</v>
      </c>
      <c r="H327" s="355">
        <f t="shared" si="66"/>
        <v>2.2126000000000001</v>
      </c>
      <c r="I327" s="104"/>
      <c r="J327" s="103">
        <f t="shared" si="67"/>
        <v>0.61518563909023349</v>
      </c>
      <c r="K327" s="103">
        <f t="shared" si="68"/>
        <v>0.39702962928706281</v>
      </c>
      <c r="L327" s="103">
        <f t="shared" si="69"/>
        <v>0.79416829461867355</v>
      </c>
      <c r="M327" s="103">
        <f t="shared" ca="1" si="70"/>
        <v>0.6595738117561547</v>
      </c>
      <c r="O327" s="98">
        <f t="shared" si="71"/>
        <v>1.85</v>
      </c>
      <c r="P327" s="93">
        <f t="shared" ca="1" si="64"/>
        <v>1.9339679243442434</v>
      </c>
    </row>
    <row r="328" spans="1:16" s="98" customFormat="1" x14ac:dyDescent="0.25">
      <c r="A328" s="207" t="s">
        <v>772</v>
      </c>
      <c r="B328" s="98">
        <v>1</v>
      </c>
      <c r="C328" s="98">
        <v>1</v>
      </c>
      <c r="D328" s="98" t="s">
        <v>187</v>
      </c>
      <c r="E328" s="118"/>
      <c r="F328" s="356">
        <v>4.84</v>
      </c>
      <c r="G328" s="355">
        <f t="shared" si="65"/>
        <v>3.8913599999999997</v>
      </c>
      <c r="H328" s="355">
        <f t="shared" si="66"/>
        <v>5.78864</v>
      </c>
      <c r="I328" s="104"/>
      <c r="J328" s="103">
        <f t="shared" si="67"/>
        <v>1.5769147207285403</v>
      </c>
      <c r="K328" s="103">
        <f t="shared" si="68"/>
        <v>1.3587587109253696</v>
      </c>
      <c r="L328" s="103">
        <f t="shared" si="69"/>
        <v>1.7558973762569803</v>
      </c>
      <c r="M328" s="103">
        <f t="shared" ca="1" si="70"/>
        <v>1.5443943507344777</v>
      </c>
      <c r="O328" s="98">
        <f t="shared" si="71"/>
        <v>4.84</v>
      </c>
      <c r="P328" s="93">
        <f t="shared" ca="1" si="64"/>
        <v>4.6851332200756222</v>
      </c>
    </row>
    <row r="329" spans="1:16" s="98" customFormat="1" x14ac:dyDescent="0.25">
      <c r="A329" s="207" t="s">
        <v>773</v>
      </c>
      <c r="B329" s="98">
        <v>1</v>
      </c>
      <c r="C329" s="98">
        <v>1</v>
      </c>
      <c r="D329" s="98" t="s">
        <v>187</v>
      </c>
      <c r="E329" s="118"/>
      <c r="F329" s="356">
        <v>15.72</v>
      </c>
      <c r="G329" s="355">
        <f t="shared" si="65"/>
        <v>12.63888</v>
      </c>
      <c r="H329" s="355">
        <f t="shared" si="66"/>
        <v>18.801120000000001</v>
      </c>
      <c r="I329" s="104"/>
      <c r="J329" s="103">
        <f t="shared" si="67"/>
        <v>2.7549337870010606</v>
      </c>
      <c r="K329" s="103">
        <f t="shared" si="68"/>
        <v>2.5367777771978899</v>
      </c>
      <c r="L329" s="103">
        <f t="shared" si="69"/>
        <v>2.9339164425295006</v>
      </c>
      <c r="M329" s="103">
        <f t="shared" ca="1" si="70"/>
        <v>2.6693030227265058</v>
      </c>
      <c r="O329" s="98">
        <f t="shared" si="71"/>
        <v>15.72</v>
      </c>
      <c r="P329" s="93">
        <f t="shared" ca="1" si="64"/>
        <v>14.429908368935612</v>
      </c>
    </row>
    <row r="330" spans="1:16" s="98" customFormat="1" x14ac:dyDescent="0.25">
      <c r="A330" s="207" t="s">
        <v>774</v>
      </c>
      <c r="B330" s="98">
        <v>1</v>
      </c>
      <c r="C330" s="98">
        <v>1</v>
      </c>
      <c r="D330" s="98" t="s">
        <v>187</v>
      </c>
      <c r="E330" s="118"/>
      <c r="F330" s="356">
        <v>7.06</v>
      </c>
      <c r="G330" s="355">
        <f t="shared" si="65"/>
        <v>5.67624</v>
      </c>
      <c r="H330" s="355">
        <f t="shared" si="66"/>
        <v>8.4437599999999993</v>
      </c>
      <c r="I330" s="104"/>
      <c r="J330" s="103">
        <f t="shared" si="67"/>
        <v>1.9544450515051506</v>
      </c>
      <c r="K330" s="103">
        <f t="shared" si="68"/>
        <v>1.7362890417019801</v>
      </c>
      <c r="L330" s="103">
        <f t="shared" si="69"/>
        <v>2.1334277070335905</v>
      </c>
      <c r="M330" s="103">
        <f t="shared" ca="1" si="70"/>
        <v>1.8800844334830678</v>
      </c>
      <c r="O330" s="98">
        <f t="shared" si="71"/>
        <v>7.06</v>
      </c>
      <c r="P330" s="93">
        <f t="shared" ca="1" si="64"/>
        <v>6.5540582207936335</v>
      </c>
    </row>
    <row r="331" spans="1:16" s="98" customFormat="1" x14ac:dyDescent="0.25">
      <c r="A331" s="207" t="s">
        <v>775</v>
      </c>
      <c r="B331" s="98">
        <v>1</v>
      </c>
      <c r="C331" s="98">
        <v>1</v>
      </c>
      <c r="D331" s="98" t="s">
        <v>187</v>
      </c>
      <c r="E331" s="118"/>
      <c r="F331" s="356">
        <v>2.64</v>
      </c>
      <c r="G331" s="355">
        <f t="shared" si="65"/>
        <v>2.12256</v>
      </c>
      <c r="H331" s="355">
        <f t="shared" si="66"/>
        <v>3.1574400000000002</v>
      </c>
      <c r="I331" s="104"/>
      <c r="J331" s="103">
        <f t="shared" si="67"/>
        <v>0.97077891715822484</v>
      </c>
      <c r="K331" s="103">
        <f t="shared" si="68"/>
        <v>0.7526229073550541</v>
      </c>
      <c r="L331" s="103">
        <f t="shared" si="69"/>
        <v>1.1497615726866648</v>
      </c>
      <c r="M331" s="103">
        <f t="shared" ca="1" si="70"/>
        <v>0.90098716461346473</v>
      </c>
      <c r="O331" s="98">
        <f t="shared" si="71"/>
        <v>2.64</v>
      </c>
      <c r="P331" s="93">
        <f t="shared" ca="1" si="64"/>
        <v>2.4620323431401046</v>
      </c>
    </row>
    <row r="332" spans="1:16" s="98" customFormat="1" x14ac:dyDescent="0.25">
      <c r="A332" s="207" t="s">
        <v>776</v>
      </c>
      <c r="B332" s="98">
        <v>1</v>
      </c>
      <c r="C332" s="98">
        <v>1</v>
      </c>
      <c r="D332" s="98" t="s">
        <v>187</v>
      </c>
      <c r="E332" s="118"/>
      <c r="F332" s="356">
        <v>5</v>
      </c>
      <c r="G332" s="355">
        <f t="shared" si="65"/>
        <v>4.0199999999999996</v>
      </c>
      <c r="H332" s="355">
        <f t="shared" si="66"/>
        <v>5.98</v>
      </c>
      <c r="I332" s="104"/>
      <c r="J332" s="103">
        <f t="shared" si="67"/>
        <v>1.6094379124341003</v>
      </c>
      <c r="K332" s="103">
        <f t="shared" si="68"/>
        <v>1.3912819026309295</v>
      </c>
      <c r="L332" s="103">
        <f t="shared" si="69"/>
        <v>1.7884205679625405</v>
      </c>
      <c r="M332" s="103">
        <f t="shared" ca="1" si="70"/>
        <v>1.5883980798774651</v>
      </c>
      <c r="O332" s="98">
        <f t="shared" si="71"/>
        <v>5</v>
      </c>
      <c r="P332" s="93">
        <f t="shared" ca="1" si="64"/>
        <v>4.895899802757075</v>
      </c>
    </row>
    <row r="333" spans="1:16" s="98" customFormat="1" x14ac:dyDescent="0.25">
      <c r="A333" s="207" t="s">
        <v>777</v>
      </c>
      <c r="B333" s="98">
        <v>1</v>
      </c>
      <c r="C333" s="98">
        <v>1</v>
      </c>
      <c r="D333" s="98" t="s">
        <v>187</v>
      </c>
      <c r="E333" s="118"/>
      <c r="F333" s="356">
        <v>6.8</v>
      </c>
      <c r="G333" s="355">
        <f t="shared" si="65"/>
        <v>5.4672000000000001</v>
      </c>
      <c r="H333" s="355">
        <f t="shared" si="66"/>
        <v>8.1327999999999996</v>
      </c>
      <c r="I333" s="104"/>
      <c r="J333" s="103">
        <f t="shared" si="67"/>
        <v>1.9169226121820611</v>
      </c>
      <c r="K333" s="103">
        <f t="shared" si="68"/>
        <v>1.6987666023788903</v>
      </c>
      <c r="L333" s="103">
        <f t="shared" si="69"/>
        <v>2.095905267710501</v>
      </c>
      <c r="M333" s="103">
        <f t="shared" ca="1" si="70"/>
        <v>1.9161753522374014</v>
      </c>
      <c r="O333" s="98">
        <f t="shared" si="71"/>
        <v>6.8</v>
      </c>
      <c r="P333" s="93">
        <f t="shared" ca="1" si="64"/>
        <v>6.7949205304547444</v>
      </c>
    </row>
    <row r="334" spans="1:16" s="98" customFormat="1" x14ac:dyDescent="0.25">
      <c r="A334" s="207" t="s">
        <v>778</v>
      </c>
      <c r="B334" s="98">
        <v>1</v>
      </c>
      <c r="C334" s="98">
        <v>1</v>
      </c>
      <c r="D334" s="98" t="s">
        <v>187</v>
      </c>
      <c r="E334" s="118"/>
      <c r="F334" s="356">
        <v>6.38</v>
      </c>
      <c r="G334" s="355">
        <f t="shared" si="65"/>
        <v>5.1295199999999994</v>
      </c>
      <c r="H334" s="355">
        <f t="shared" si="66"/>
        <v>7.6304800000000004</v>
      </c>
      <c r="I334" s="104"/>
      <c r="J334" s="103">
        <f t="shared" si="67"/>
        <v>1.8531680973566984</v>
      </c>
      <c r="K334" s="103">
        <f t="shared" si="68"/>
        <v>1.6350120875535277</v>
      </c>
      <c r="L334" s="103">
        <f t="shared" si="69"/>
        <v>2.0321507528851384</v>
      </c>
      <c r="M334" s="103">
        <f t="shared" ca="1" si="70"/>
        <v>2.0022957341720002</v>
      </c>
      <c r="O334" s="98">
        <f t="shared" si="71"/>
        <v>6.38</v>
      </c>
      <c r="P334" s="93">
        <f t="shared" ca="1" si="64"/>
        <v>7.4060388940484998</v>
      </c>
    </row>
    <row r="335" spans="1:16" s="98" customFormat="1" x14ac:dyDescent="0.25">
      <c r="A335" s="207" t="s">
        <v>779</v>
      </c>
      <c r="B335" s="98">
        <v>1</v>
      </c>
      <c r="C335" s="98">
        <v>1</v>
      </c>
      <c r="D335" s="98" t="s">
        <v>187</v>
      </c>
      <c r="E335" s="118"/>
      <c r="F335" s="356">
        <v>1</v>
      </c>
      <c r="G335" s="355">
        <f t="shared" si="65"/>
        <v>0.80400000000000005</v>
      </c>
      <c r="H335" s="355">
        <f t="shared" si="66"/>
        <v>1.196</v>
      </c>
      <c r="I335" s="104"/>
      <c r="J335" s="103">
        <f t="shared" si="67"/>
        <v>0</v>
      </c>
      <c r="K335" s="103">
        <f t="shared" si="68"/>
        <v>-0.21815600980317063</v>
      </c>
      <c r="L335" s="103">
        <f t="shared" si="69"/>
        <v>0.17898265552843995</v>
      </c>
      <c r="M335" s="103">
        <f t="shared" ca="1" si="70"/>
        <v>1.8697797731362556E-2</v>
      </c>
      <c r="O335" s="98">
        <f t="shared" si="71"/>
        <v>1</v>
      </c>
      <c r="P335" s="93">
        <f t="shared" ca="1" si="64"/>
        <v>1.0188736961453537</v>
      </c>
    </row>
    <row r="336" spans="1:16" s="98" customFormat="1" x14ac:dyDescent="0.25">
      <c r="A336" s="207" t="s">
        <v>780</v>
      </c>
      <c r="B336" s="98">
        <v>1</v>
      </c>
      <c r="C336" s="98">
        <v>1</v>
      </c>
      <c r="D336" s="98" t="s">
        <v>187</v>
      </c>
      <c r="E336" s="118"/>
      <c r="F336" s="356">
        <v>1.1000000000000001</v>
      </c>
      <c r="G336" s="355">
        <f t="shared" si="65"/>
        <v>0.88440000000000007</v>
      </c>
      <c r="H336" s="355">
        <f t="shared" si="66"/>
        <v>1.3156000000000001</v>
      </c>
      <c r="I336" s="104"/>
      <c r="J336" s="103">
        <f t="shared" si="67"/>
        <v>9.5310179804324935E-2</v>
      </c>
      <c r="K336" s="103">
        <f t="shared" si="68"/>
        <v>-0.12284582999884573</v>
      </c>
      <c r="L336" s="103">
        <f t="shared" si="69"/>
        <v>0.27429283533276494</v>
      </c>
      <c r="M336" s="103">
        <f t="shared" ca="1" si="70"/>
        <v>-5.8139814803877893E-2</v>
      </c>
      <c r="O336" s="98">
        <f t="shared" si="71"/>
        <v>1.1000000000000001</v>
      </c>
      <c r="P336" s="93">
        <f t="shared" ca="1" si="64"/>
        <v>0.94351802042735766</v>
      </c>
    </row>
    <row r="337" spans="1:16" s="98" customFormat="1" x14ac:dyDescent="0.25">
      <c r="A337" s="207" t="s">
        <v>781</v>
      </c>
      <c r="B337" s="98">
        <v>1</v>
      </c>
      <c r="C337" s="98">
        <v>1</v>
      </c>
      <c r="D337" s="98" t="s">
        <v>187</v>
      </c>
      <c r="E337" s="118"/>
      <c r="F337" s="356">
        <v>1.24</v>
      </c>
      <c r="G337" s="355">
        <f t="shared" si="65"/>
        <v>0.99695999999999996</v>
      </c>
      <c r="H337" s="355">
        <f t="shared" si="66"/>
        <v>1.4830399999999999</v>
      </c>
      <c r="I337" s="104"/>
      <c r="J337" s="103">
        <f t="shared" si="67"/>
        <v>0.21511137961694549</v>
      </c>
      <c r="K337" s="103">
        <f t="shared" si="68"/>
        <v>-3.0446301862252284E-3</v>
      </c>
      <c r="L337" s="103">
        <f t="shared" si="69"/>
        <v>0.39409403514538544</v>
      </c>
      <c r="M337" s="103">
        <f t="shared" ca="1" si="70"/>
        <v>0.34152091949662799</v>
      </c>
      <c r="O337" s="98">
        <f t="shared" si="71"/>
        <v>1.24</v>
      </c>
      <c r="P337" s="93">
        <f t="shared" ca="1" si="64"/>
        <v>1.407086028529601</v>
      </c>
    </row>
    <row r="338" spans="1:16" s="98" customFormat="1" x14ac:dyDescent="0.25">
      <c r="A338" s="207" t="s">
        <v>782</v>
      </c>
      <c r="B338" s="98">
        <v>1</v>
      </c>
      <c r="C338" s="98">
        <v>1</v>
      </c>
      <c r="D338" s="98" t="s">
        <v>187</v>
      </c>
      <c r="E338" s="118"/>
      <c r="F338" s="356">
        <v>1.1000000000000001</v>
      </c>
      <c r="G338" s="355">
        <f t="shared" si="65"/>
        <v>0.88440000000000007</v>
      </c>
      <c r="H338" s="355">
        <f t="shared" si="66"/>
        <v>1.3156000000000001</v>
      </c>
      <c r="I338" s="104"/>
      <c r="J338" s="103">
        <f t="shared" si="67"/>
        <v>9.5310179804324935E-2</v>
      </c>
      <c r="K338" s="103">
        <f t="shared" si="68"/>
        <v>-0.12284582999884573</v>
      </c>
      <c r="L338" s="103">
        <f t="shared" si="69"/>
        <v>0.27429283533276494</v>
      </c>
      <c r="M338" s="103">
        <f t="shared" ca="1" si="70"/>
        <v>0.22412018267954198</v>
      </c>
      <c r="O338" s="98">
        <f t="shared" si="71"/>
        <v>1.1000000000000001</v>
      </c>
      <c r="P338" s="93">
        <f t="shared" ca="1" si="64"/>
        <v>1.2512213855312941</v>
      </c>
    </row>
    <row r="339" spans="1:16" s="98" customFormat="1" x14ac:dyDescent="0.25">
      <c r="A339" s="207" t="s">
        <v>783</v>
      </c>
      <c r="B339" s="98">
        <v>1</v>
      </c>
      <c r="C339" s="98">
        <v>1</v>
      </c>
      <c r="D339" s="98" t="s">
        <v>187</v>
      </c>
      <c r="E339" s="118"/>
      <c r="F339" s="356">
        <v>3.88</v>
      </c>
      <c r="G339" s="355">
        <f t="shared" si="65"/>
        <v>3.1195199999999996</v>
      </c>
      <c r="H339" s="355">
        <f t="shared" si="66"/>
        <v>4.6404800000000002</v>
      </c>
      <c r="I339" s="104"/>
      <c r="J339" s="103">
        <f t="shared" si="67"/>
        <v>1.355835153635182</v>
      </c>
      <c r="K339" s="103">
        <f t="shared" si="68"/>
        <v>1.1376791438320113</v>
      </c>
      <c r="L339" s="103">
        <f t="shared" si="69"/>
        <v>1.5348178091636222</v>
      </c>
      <c r="M339" s="103">
        <f t="shared" ca="1" si="70"/>
        <v>1.1375562197404774</v>
      </c>
      <c r="O339" s="98">
        <f t="shared" si="71"/>
        <v>3.88</v>
      </c>
      <c r="P339" s="93">
        <f t="shared" ca="1" si="64"/>
        <v>3.1191365594055038</v>
      </c>
    </row>
    <row r="340" spans="1:16" s="98" customFormat="1" x14ac:dyDescent="0.25">
      <c r="A340" s="207" t="s">
        <v>784</v>
      </c>
      <c r="B340" s="98">
        <v>1</v>
      </c>
      <c r="C340" s="98">
        <v>1</v>
      </c>
      <c r="D340" s="98" t="s">
        <v>187</v>
      </c>
      <c r="E340" s="118"/>
      <c r="F340" s="356">
        <v>2.99</v>
      </c>
      <c r="G340" s="355">
        <f t="shared" si="65"/>
        <v>2.4039600000000001</v>
      </c>
      <c r="H340" s="355">
        <f t="shared" si="66"/>
        <v>3.5760400000000003</v>
      </c>
      <c r="I340" s="104"/>
      <c r="J340" s="103">
        <f t="shared" si="67"/>
        <v>1.0952733874025951</v>
      </c>
      <c r="K340" s="103">
        <f t="shared" si="68"/>
        <v>0.87711737759942443</v>
      </c>
      <c r="L340" s="103">
        <f t="shared" si="69"/>
        <v>1.2742560429310352</v>
      </c>
      <c r="M340" s="103">
        <f t="shared" ca="1" si="70"/>
        <v>1.1049863153476931</v>
      </c>
      <c r="O340" s="98">
        <f t="shared" si="71"/>
        <v>2.99</v>
      </c>
      <c r="P340" s="93">
        <f t="shared" ca="1" si="64"/>
        <v>3.0191831520521797</v>
      </c>
    </row>
    <row r="341" spans="1:16" s="98" customFormat="1" x14ac:dyDescent="0.25">
      <c r="A341" s="207" t="s">
        <v>785</v>
      </c>
      <c r="B341" s="98">
        <v>1</v>
      </c>
      <c r="C341" s="98">
        <v>1</v>
      </c>
      <c r="D341" s="98" t="s">
        <v>187</v>
      </c>
      <c r="E341" s="118"/>
      <c r="F341" s="356">
        <v>2.76</v>
      </c>
      <c r="G341" s="355">
        <f t="shared" si="65"/>
        <v>2.2190399999999997</v>
      </c>
      <c r="H341" s="355">
        <f t="shared" si="66"/>
        <v>3.3009599999999999</v>
      </c>
      <c r="I341" s="104"/>
      <c r="J341" s="103">
        <f t="shared" si="67"/>
        <v>1.0152306797290584</v>
      </c>
      <c r="K341" s="103">
        <f t="shared" si="68"/>
        <v>0.79707466992588782</v>
      </c>
      <c r="L341" s="103">
        <f t="shared" si="69"/>
        <v>1.1942133352574986</v>
      </c>
      <c r="M341" s="103">
        <f t="shared" ca="1" si="70"/>
        <v>1.0344126994966059</v>
      </c>
      <c r="O341" s="98">
        <f t="shared" si="71"/>
        <v>2.76</v>
      </c>
      <c r="P341" s="93">
        <f t="shared" ca="1" si="64"/>
        <v>2.8134534077156133</v>
      </c>
    </row>
    <row r="342" spans="1:16" s="98" customFormat="1" x14ac:dyDescent="0.25">
      <c r="A342" s="207" t="s">
        <v>786</v>
      </c>
      <c r="B342" s="98">
        <v>1</v>
      </c>
      <c r="C342" s="98">
        <v>1</v>
      </c>
      <c r="D342" s="98" t="s">
        <v>187</v>
      </c>
      <c r="E342" s="118"/>
      <c r="F342" s="356">
        <v>1.98</v>
      </c>
      <c r="G342" s="355">
        <f t="shared" si="65"/>
        <v>1.59192</v>
      </c>
      <c r="H342" s="355">
        <f t="shared" si="66"/>
        <v>2.36808</v>
      </c>
      <c r="I342" s="104"/>
      <c r="J342" s="103">
        <f t="shared" si="67"/>
        <v>0.68309684470644383</v>
      </c>
      <c r="K342" s="103">
        <f t="shared" si="68"/>
        <v>0.4649408349032732</v>
      </c>
      <c r="L342" s="103">
        <f t="shared" si="69"/>
        <v>0.86207950023488389</v>
      </c>
      <c r="M342" s="103">
        <f t="shared" ca="1" si="70"/>
        <v>0.80385882706113232</v>
      </c>
      <c r="O342" s="98">
        <f t="shared" si="71"/>
        <v>1.98</v>
      </c>
      <c r="P342" s="93">
        <f t="shared" ca="1" si="64"/>
        <v>2.2341454971469537</v>
      </c>
    </row>
    <row r="343" spans="1:16" s="98" customFormat="1" x14ac:dyDescent="0.25">
      <c r="A343" s="207" t="s">
        <v>787</v>
      </c>
      <c r="B343" s="98">
        <v>1</v>
      </c>
      <c r="C343" s="98">
        <v>1</v>
      </c>
      <c r="D343" s="98" t="s">
        <v>187</v>
      </c>
      <c r="E343" s="118"/>
      <c r="F343" s="356">
        <v>4.47</v>
      </c>
      <c r="G343" s="355">
        <f t="shared" si="65"/>
        <v>3.5938799999999995</v>
      </c>
      <c r="H343" s="355">
        <f t="shared" si="66"/>
        <v>5.34612</v>
      </c>
      <c r="I343" s="104"/>
      <c r="J343" s="103">
        <f t="shared" si="67"/>
        <v>1.4973884086254774</v>
      </c>
      <c r="K343" s="103">
        <f t="shared" si="68"/>
        <v>1.2792323988223067</v>
      </c>
      <c r="L343" s="103">
        <f t="shared" si="69"/>
        <v>1.6763710641539173</v>
      </c>
      <c r="M343" s="103">
        <f t="shared" ca="1" si="70"/>
        <v>1.6273678465887864</v>
      </c>
      <c r="O343" s="98">
        <f t="shared" si="71"/>
        <v>4.47</v>
      </c>
      <c r="P343" s="93">
        <f t="shared" ca="1" si="64"/>
        <v>5.0904582021966078</v>
      </c>
    </row>
    <row r="344" spans="1:16" s="98" customFormat="1" x14ac:dyDescent="0.25">
      <c r="A344" s="207" t="s">
        <v>788</v>
      </c>
      <c r="B344" s="98">
        <v>1</v>
      </c>
      <c r="C344" s="98">
        <v>1</v>
      </c>
      <c r="D344" s="98" t="s">
        <v>187</v>
      </c>
      <c r="E344" s="118"/>
      <c r="F344" s="356">
        <v>15.17</v>
      </c>
      <c r="G344" s="355">
        <f t="shared" si="65"/>
        <v>12.196680000000001</v>
      </c>
      <c r="H344" s="355">
        <f t="shared" si="66"/>
        <v>18.143319999999999</v>
      </c>
      <c r="I344" s="104"/>
      <c r="J344" s="103">
        <f t="shared" si="67"/>
        <v>2.7193197933604409</v>
      </c>
      <c r="K344" s="103">
        <f t="shared" si="68"/>
        <v>2.5011637835572702</v>
      </c>
      <c r="L344" s="103">
        <f t="shared" si="69"/>
        <v>2.8983024488888809</v>
      </c>
      <c r="M344" s="103">
        <f t="shared" ca="1" si="70"/>
        <v>2.7331227612437066</v>
      </c>
      <c r="O344" s="98">
        <f t="shared" si="71"/>
        <v>15.17</v>
      </c>
      <c r="P344" s="93">
        <f t="shared" ca="1" si="64"/>
        <v>15.380842803507701</v>
      </c>
    </row>
    <row r="345" spans="1:16" s="98" customFormat="1" x14ac:dyDescent="0.25">
      <c r="A345" s="207" t="s">
        <v>789</v>
      </c>
      <c r="B345" s="98">
        <v>1</v>
      </c>
      <c r="C345" s="98">
        <v>1</v>
      </c>
      <c r="D345" s="98" t="s">
        <v>187</v>
      </c>
      <c r="E345" s="118"/>
      <c r="F345" s="356">
        <v>29.69</v>
      </c>
      <c r="G345" s="355">
        <f t="shared" si="65"/>
        <v>23.870760000000001</v>
      </c>
      <c r="H345" s="355">
        <f t="shared" si="66"/>
        <v>35.509240000000005</v>
      </c>
      <c r="I345" s="104"/>
      <c r="J345" s="103">
        <f t="shared" si="67"/>
        <v>3.3908102887756684</v>
      </c>
      <c r="K345" s="103">
        <f t="shared" si="68"/>
        <v>3.1726542789724976</v>
      </c>
      <c r="L345" s="103">
        <f t="shared" si="69"/>
        <v>3.5697929443041088</v>
      </c>
      <c r="M345" s="103">
        <f t="shared" ca="1" si="70"/>
        <v>3.3912080749470226</v>
      </c>
      <c r="O345" s="98">
        <f t="shared" si="71"/>
        <v>29.69</v>
      </c>
      <c r="P345" s="93">
        <f t="shared" ca="1" si="64"/>
        <v>29.701812620720325</v>
      </c>
    </row>
    <row r="346" spans="1:16" s="98" customFormat="1" x14ac:dyDescent="0.25">
      <c r="A346" s="207" t="s">
        <v>790</v>
      </c>
      <c r="B346" s="98">
        <v>1</v>
      </c>
      <c r="C346" s="98">
        <v>1</v>
      </c>
      <c r="D346" s="98" t="s">
        <v>187</v>
      </c>
      <c r="E346" s="118"/>
      <c r="F346" s="356">
        <v>23.01</v>
      </c>
      <c r="G346" s="355">
        <f t="shared" si="65"/>
        <v>18.500040000000002</v>
      </c>
      <c r="H346" s="355">
        <f t="shared" si="66"/>
        <v>27.519960000000001</v>
      </c>
      <c r="I346" s="104"/>
      <c r="J346" s="103">
        <f t="shared" si="67"/>
        <v>3.1359289040472746</v>
      </c>
      <c r="K346" s="103">
        <f t="shared" si="68"/>
        <v>2.9177728942441039</v>
      </c>
      <c r="L346" s="103">
        <f t="shared" si="69"/>
        <v>3.3149115595757146</v>
      </c>
      <c r="M346" s="103">
        <f t="shared" ca="1" si="70"/>
        <v>3.2023924708598064</v>
      </c>
      <c r="O346" s="98">
        <f t="shared" si="71"/>
        <v>23.01</v>
      </c>
      <c r="P346" s="93">
        <f t="shared" ca="1" si="64"/>
        <v>24.591293827830469</v>
      </c>
    </row>
    <row r="347" spans="1:16" s="98" customFormat="1" x14ac:dyDescent="0.25">
      <c r="A347" s="207" t="s">
        <v>791</v>
      </c>
      <c r="B347" s="98">
        <v>1</v>
      </c>
      <c r="C347" s="98">
        <v>1</v>
      </c>
      <c r="D347" s="98" t="s">
        <v>187</v>
      </c>
      <c r="E347" s="118"/>
      <c r="F347" s="356">
        <v>14.33</v>
      </c>
      <c r="G347" s="355">
        <f t="shared" si="65"/>
        <v>11.521319999999999</v>
      </c>
      <c r="H347" s="355">
        <f t="shared" si="66"/>
        <v>17.138680000000001</v>
      </c>
      <c r="I347" s="104"/>
      <c r="J347" s="103">
        <f t="shared" si="67"/>
        <v>2.6623552418400807</v>
      </c>
      <c r="K347" s="103">
        <f t="shared" si="68"/>
        <v>2.4441992320369099</v>
      </c>
      <c r="L347" s="103">
        <f t="shared" si="69"/>
        <v>2.8413378973685206</v>
      </c>
      <c r="M347" s="103">
        <f t="shared" ca="1" si="70"/>
        <v>2.8367448809427414</v>
      </c>
      <c r="O347" s="98">
        <f t="shared" si="71"/>
        <v>14.33</v>
      </c>
      <c r="P347" s="93">
        <f t="shared" ca="1" si="64"/>
        <v>17.060142261872446</v>
      </c>
    </row>
    <row r="348" spans="1:16" s="98" customFormat="1" x14ac:dyDescent="0.25">
      <c r="A348" s="207" t="s">
        <v>792</v>
      </c>
      <c r="B348" s="98">
        <v>1</v>
      </c>
      <c r="C348" s="98">
        <v>1</v>
      </c>
      <c r="D348" s="98" t="s">
        <v>187</v>
      </c>
      <c r="E348" s="118"/>
      <c r="F348" s="356">
        <v>19.03</v>
      </c>
      <c r="G348" s="355">
        <f t="shared" si="65"/>
        <v>15.30012</v>
      </c>
      <c r="H348" s="355">
        <f t="shared" si="66"/>
        <v>22.759880000000003</v>
      </c>
      <c r="I348" s="104"/>
      <c r="J348" s="103">
        <f t="shared" si="67"/>
        <v>2.9460166813080582</v>
      </c>
      <c r="K348" s="103">
        <f t="shared" si="68"/>
        <v>2.7278606715048874</v>
      </c>
      <c r="L348" s="103">
        <f t="shared" si="69"/>
        <v>3.1249993368364981</v>
      </c>
      <c r="M348" s="103">
        <f t="shared" ca="1" si="70"/>
        <v>3.0184773415045179</v>
      </c>
      <c r="O348" s="98">
        <f t="shared" si="71"/>
        <v>19.03</v>
      </c>
      <c r="P348" s="93">
        <f t="shared" ca="1" si="64"/>
        <v>20.460114187190666</v>
      </c>
    </row>
    <row r="349" spans="1:16" s="98" customFormat="1" x14ac:dyDescent="0.25">
      <c r="A349" s="207" t="s">
        <v>793</v>
      </c>
      <c r="B349" s="98">
        <v>1</v>
      </c>
      <c r="C349" s="98">
        <v>1</v>
      </c>
      <c r="D349" s="98" t="s">
        <v>187</v>
      </c>
      <c r="E349" s="118"/>
      <c r="F349" s="356">
        <v>28.29</v>
      </c>
      <c r="G349" s="355">
        <f t="shared" si="65"/>
        <v>22.745159999999998</v>
      </c>
      <c r="H349" s="355">
        <f t="shared" si="66"/>
        <v>33.83484</v>
      </c>
      <c r="I349" s="104"/>
      <c r="J349" s="103">
        <f t="shared" si="67"/>
        <v>3.3425083853134758</v>
      </c>
      <c r="K349" s="103">
        <f t="shared" si="68"/>
        <v>3.1243523755103051</v>
      </c>
      <c r="L349" s="103">
        <f t="shared" si="69"/>
        <v>3.5214910408419158</v>
      </c>
      <c r="M349" s="103">
        <f t="shared" ca="1" si="70"/>
        <v>3.2377285613937548</v>
      </c>
      <c r="O349" s="98">
        <f t="shared" si="71"/>
        <v>28.29</v>
      </c>
      <c r="P349" s="93">
        <f t="shared" ca="1" si="64"/>
        <v>25.475789285936393</v>
      </c>
    </row>
    <row r="350" spans="1:16" s="98" customFormat="1" x14ac:dyDescent="0.25">
      <c r="A350" s="207" t="s">
        <v>794</v>
      </c>
      <c r="B350" s="98">
        <v>1</v>
      </c>
      <c r="C350" s="98">
        <v>1</v>
      </c>
      <c r="D350" s="98" t="s">
        <v>187</v>
      </c>
      <c r="E350" s="118"/>
      <c r="F350" s="356">
        <v>22.51</v>
      </c>
      <c r="G350" s="355">
        <f t="shared" si="65"/>
        <v>18.098040000000001</v>
      </c>
      <c r="H350" s="355">
        <f t="shared" si="66"/>
        <v>26.921960000000002</v>
      </c>
      <c r="I350" s="104"/>
      <c r="J350" s="103">
        <f t="shared" si="67"/>
        <v>3.113959654918641</v>
      </c>
      <c r="K350" s="103">
        <f t="shared" si="68"/>
        <v>2.8958036451154703</v>
      </c>
      <c r="L350" s="103">
        <f t="shared" si="69"/>
        <v>3.292942310447081</v>
      </c>
      <c r="M350" s="103">
        <f t="shared" ca="1" si="70"/>
        <v>3.0279861941170965</v>
      </c>
      <c r="O350" s="98">
        <f t="shared" si="71"/>
        <v>22.51</v>
      </c>
      <c r="P350" s="93">
        <f t="shared" ca="1" si="64"/>
        <v>20.655594320408383</v>
      </c>
    </row>
    <row r="351" spans="1:16" s="98" customFormat="1" x14ac:dyDescent="0.25">
      <c r="A351" s="207" t="s">
        <v>795</v>
      </c>
      <c r="B351" s="98">
        <v>1</v>
      </c>
      <c r="C351" s="98">
        <v>1</v>
      </c>
      <c r="D351" s="98" t="s">
        <v>187</v>
      </c>
      <c r="E351" s="118"/>
      <c r="F351" s="356">
        <v>2.4</v>
      </c>
      <c r="G351" s="355">
        <f t="shared" si="65"/>
        <v>1.9296</v>
      </c>
      <c r="H351" s="355">
        <f t="shared" si="66"/>
        <v>2.8704000000000001</v>
      </c>
      <c r="I351" s="104"/>
      <c r="J351" s="103">
        <f t="shared" si="67"/>
        <v>0.87546873735389985</v>
      </c>
      <c r="K351" s="103">
        <f t="shared" si="68"/>
        <v>0.65731272755072923</v>
      </c>
      <c r="L351" s="103">
        <f t="shared" si="69"/>
        <v>1.05445139288234</v>
      </c>
      <c r="M351" s="103">
        <f t="shared" ca="1" si="70"/>
        <v>0.85504412701084642</v>
      </c>
      <c r="O351" s="98">
        <f t="shared" si="71"/>
        <v>2.4</v>
      </c>
      <c r="P351" s="93">
        <f t="shared" ca="1" si="64"/>
        <v>2.3514781419870214</v>
      </c>
    </row>
    <row r="352" spans="1:16" s="98" customFormat="1" x14ac:dyDescent="0.25">
      <c r="A352" s="207" t="s">
        <v>796</v>
      </c>
      <c r="B352" s="98">
        <v>1</v>
      </c>
      <c r="C352" s="98">
        <v>1</v>
      </c>
      <c r="D352" s="98" t="s">
        <v>187</v>
      </c>
      <c r="E352" s="118"/>
      <c r="F352" s="356">
        <v>2.5099999999999998</v>
      </c>
      <c r="G352" s="355">
        <f t="shared" si="65"/>
        <v>2.0180399999999996</v>
      </c>
      <c r="H352" s="355">
        <f t="shared" si="66"/>
        <v>3.00196</v>
      </c>
      <c r="I352" s="104"/>
      <c r="J352" s="103">
        <f t="shared" si="67"/>
        <v>0.92028275314369246</v>
      </c>
      <c r="K352" s="103">
        <f t="shared" si="68"/>
        <v>0.70212674334052161</v>
      </c>
      <c r="L352" s="103">
        <f t="shared" si="69"/>
        <v>1.0992654086721325</v>
      </c>
      <c r="M352" s="103">
        <f t="shared" ca="1" si="70"/>
        <v>0.87163144212581611</v>
      </c>
      <c r="O352" s="98">
        <f t="shared" si="71"/>
        <v>2.5099999999999998</v>
      </c>
      <c r="P352" s="93">
        <f t="shared" ca="1" si="64"/>
        <v>2.39080813867445</v>
      </c>
    </row>
    <row r="353" spans="1:16" s="98" customFormat="1" x14ac:dyDescent="0.25">
      <c r="A353" s="207" t="s">
        <v>797</v>
      </c>
      <c r="B353" s="98">
        <v>1</v>
      </c>
      <c r="C353" s="98">
        <v>1</v>
      </c>
      <c r="D353" s="98" t="s">
        <v>187</v>
      </c>
      <c r="E353" s="118"/>
      <c r="F353" s="356">
        <v>2.17</v>
      </c>
      <c r="G353" s="355">
        <f t="shared" si="65"/>
        <v>1.74468</v>
      </c>
      <c r="H353" s="355">
        <f t="shared" si="66"/>
        <v>2.5953200000000001</v>
      </c>
      <c r="I353" s="104"/>
      <c r="J353" s="103">
        <f t="shared" si="67"/>
        <v>0.77472716755236815</v>
      </c>
      <c r="K353" s="103">
        <f t="shared" si="68"/>
        <v>0.55657115774919752</v>
      </c>
      <c r="L353" s="103">
        <f t="shared" si="69"/>
        <v>0.95370982308080821</v>
      </c>
      <c r="M353" s="103">
        <f t="shared" ca="1" si="70"/>
        <v>0.72222627280816265</v>
      </c>
      <c r="O353" s="98">
        <f t="shared" si="71"/>
        <v>2.17</v>
      </c>
      <c r="P353" s="93">
        <f t="shared" ca="1" si="64"/>
        <v>2.0590120344011775</v>
      </c>
    </row>
    <row r="354" spans="1:16" s="98" customFormat="1" x14ac:dyDescent="0.25">
      <c r="A354" s="207" t="s">
        <v>798</v>
      </c>
      <c r="B354" s="98">
        <v>1</v>
      </c>
      <c r="C354" s="98">
        <v>1</v>
      </c>
      <c r="D354" s="98" t="s">
        <v>187</v>
      </c>
      <c r="E354" s="118"/>
      <c r="F354" s="356">
        <v>1.48</v>
      </c>
      <c r="G354" s="355">
        <f t="shared" si="65"/>
        <v>1.1899199999999999</v>
      </c>
      <c r="H354" s="355">
        <f t="shared" si="66"/>
        <v>1.7700800000000001</v>
      </c>
      <c r="I354" s="104"/>
      <c r="J354" s="103">
        <f t="shared" si="67"/>
        <v>0.39204208777602367</v>
      </c>
      <c r="K354" s="103">
        <f t="shared" si="68"/>
        <v>0.17388607797285291</v>
      </c>
      <c r="L354" s="103">
        <f t="shared" si="69"/>
        <v>0.57102474330446373</v>
      </c>
      <c r="M354" s="103">
        <f t="shared" ca="1" si="70"/>
        <v>0.38397829226752828</v>
      </c>
      <c r="O354" s="98">
        <f t="shared" si="71"/>
        <v>1.48</v>
      </c>
      <c r="P354" s="93">
        <f t="shared" ca="1" si="64"/>
        <v>1.4681135719194232</v>
      </c>
    </row>
    <row r="355" spans="1:16" s="98" customFormat="1" x14ac:dyDescent="0.25">
      <c r="A355" s="207" t="s">
        <v>799</v>
      </c>
      <c r="B355" s="98">
        <v>1</v>
      </c>
      <c r="C355" s="98">
        <v>1</v>
      </c>
      <c r="D355" s="98" t="s">
        <v>187</v>
      </c>
      <c r="E355" s="118"/>
      <c r="F355" s="356">
        <v>1.83</v>
      </c>
      <c r="G355" s="355">
        <f t="shared" si="65"/>
        <v>1.47132</v>
      </c>
      <c r="H355" s="355">
        <f t="shared" si="66"/>
        <v>2.1886800000000002</v>
      </c>
      <c r="I355" s="104"/>
      <c r="J355" s="103">
        <f t="shared" si="67"/>
        <v>0.60431596685332956</v>
      </c>
      <c r="K355" s="103">
        <f t="shared" si="68"/>
        <v>0.38615995705015888</v>
      </c>
      <c r="L355" s="103">
        <f t="shared" si="69"/>
        <v>0.78329862238176962</v>
      </c>
      <c r="M355" s="103">
        <f t="shared" ca="1" si="70"/>
        <v>0.56690569956886139</v>
      </c>
      <c r="O355" s="98">
        <f t="shared" si="71"/>
        <v>1.83</v>
      </c>
      <c r="P355" s="93">
        <f t="shared" ca="1" si="64"/>
        <v>1.7628039585184505</v>
      </c>
    </row>
    <row r="356" spans="1:16" s="98" customFormat="1" x14ac:dyDescent="0.25">
      <c r="A356" s="207" t="s">
        <v>800</v>
      </c>
      <c r="B356" s="98">
        <v>1</v>
      </c>
      <c r="C356" s="98">
        <v>1</v>
      </c>
      <c r="D356" s="98" t="s">
        <v>187</v>
      </c>
      <c r="E356" s="118"/>
      <c r="F356" s="356">
        <v>1.52</v>
      </c>
      <c r="G356" s="355">
        <f t="shared" si="65"/>
        <v>1.2220800000000001</v>
      </c>
      <c r="H356" s="355">
        <f t="shared" si="66"/>
        <v>1.81792</v>
      </c>
      <c r="I356" s="104"/>
      <c r="J356" s="103">
        <f t="shared" si="67"/>
        <v>0.41871033485818504</v>
      </c>
      <c r="K356" s="103">
        <f t="shared" si="68"/>
        <v>0.20055432505501439</v>
      </c>
      <c r="L356" s="103">
        <f t="shared" si="69"/>
        <v>0.59769299038662504</v>
      </c>
      <c r="M356" s="103">
        <f t="shared" ca="1" si="70"/>
        <v>0.23864496786177264</v>
      </c>
      <c r="O356" s="98">
        <f t="shared" si="71"/>
        <v>1.52</v>
      </c>
      <c r="P356" s="93">
        <f t="shared" ca="1" si="64"/>
        <v>1.2695277334180315</v>
      </c>
    </row>
    <row r="357" spans="1:16" s="98" customFormat="1" x14ac:dyDescent="0.25">
      <c r="A357" s="207" t="s">
        <v>801</v>
      </c>
      <c r="B357" s="98">
        <v>1</v>
      </c>
      <c r="C357" s="98">
        <v>1</v>
      </c>
      <c r="D357" s="98" t="s">
        <v>187</v>
      </c>
      <c r="E357" s="118"/>
      <c r="F357" s="356">
        <v>1.58</v>
      </c>
      <c r="G357" s="355">
        <f t="shared" si="65"/>
        <v>1.2703199999999999</v>
      </c>
      <c r="H357" s="355">
        <f t="shared" si="66"/>
        <v>1.8896800000000002</v>
      </c>
      <c r="I357" s="104"/>
      <c r="J357" s="103">
        <f t="shared" si="67"/>
        <v>0.45742484703887548</v>
      </c>
      <c r="K357" s="103">
        <f t="shared" si="68"/>
        <v>0.23926883723570466</v>
      </c>
      <c r="L357" s="103">
        <f t="shared" si="69"/>
        <v>0.6364075025673156</v>
      </c>
      <c r="M357" s="103">
        <f t="shared" ca="1" si="70"/>
        <v>0.51806074093379795</v>
      </c>
      <c r="O357" s="98">
        <f t="shared" si="71"/>
        <v>1.58</v>
      </c>
      <c r="P357" s="93">
        <f t="shared" ca="1" si="64"/>
        <v>1.6787689231084124</v>
      </c>
    </row>
    <row r="358" spans="1:16" s="98" customFormat="1" x14ac:dyDescent="0.25">
      <c r="A358" s="207" t="s">
        <v>802</v>
      </c>
      <c r="B358" s="98">
        <v>1</v>
      </c>
      <c r="C358" s="98">
        <v>1</v>
      </c>
      <c r="D358" s="98" t="s">
        <v>187</v>
      </c>
      <c r="E358" s="118"/>
      <c r="F358" s="356">
        <v>1.32</v>
      </c>
      <c r="G358" s="355">
        <f t="shared" si="65"/>
        <v>1.06128</v>
      </c>
      <c r="H358" s="355">
        <f t="shared" si="66"/>
        <v>1.5787200000000001</v>
      </c>
      <c r="I358" s="104"/>
      <c r="J358" s="103">
        <f t="shared" si="67"/>
        <v>0.27763173659827955</v>
      </c>
      <c r="K358" s="103">
        <f t="shared" si="68"/>
        <v>5.9475726795108805E-2</v>
      </c>
      <c r="L358" s="103">
        <f t="shared" si="69"/>
        <v>0.45661439212671956</v>
      </c>
      <c r="M358" s="103">
        <f t="shared" ca="1" si="70"/>
        <v>0.28307882354372893</v>
      </c>
      <c r="O358" s="98">
        <f t="shared" si="71"/>
        <v>1.32</v>
      </c>
      <c r="P358" s="93">
        <f t="shared" ca="1" si="64"/>
        <v>1.3272097730717733</v>
      </c>
    </row>
    <row r="359" spans="1:16" s="98" customFormat="1" x14ac:dyDescent="0.25">
      <c r="A359" s="207" t="s">
        <v>803</v>
      </c>
      <c r="B359" s="98">
        <v>1</v>
      </c>
      <c r="C359" s="98">
        <v>1</v>
      </c>
      <c r="D359" s="98" t="s">
        <v>187</v>
      </c>
      <c r="E359" s="118"/>
      <c r="F359" s="356">
        <v>2.2200000000000002</v>
      </c>
      <c r="G359" s="355">
        <f t="shared" si="65"/>
        <v>1.7848800000000002</v>
      </c>
      <c r="H359" s="355">
        <f t="shared" si="66"/>
        <v>2.6551200000000001</v>
      </c>
      <c r="I359" s="104"/>
      <c r="J359" s="103">
        <f t="shared" si="67"/>
        <v>0.79750719588418817</v>
      </c>
      <c r="K359" s="103">
        <f t="shared" si="68"/>
        <v>0.57935118608101754</v>
      </c>
      <c r="L359" s="103">
        <f t="shared" si="69"/>
        <v>0.97648985141262812</v>
      </c>
      <c r="M359" s="103">
        <f t="shared" ca="1" si="70"/>
        <v>0.8452267347726331</v>
      </c>
      <c r="O359" s="98">
        <f t="shared" si="71"/>
        <v>2.2200000000000002</v>
      </c>
      <c r="P359" s="93">
        <f t="shared" ca="1" si="64"/>
        <v>2.3285057079343456</v>
      </c>
    </row>
    <row r="360" spans="1:16" s="98" customFormat="1" x14ac:dyDescent="0.25">
      <c r="A360" s="207" t="s">
        <v>804</v>
      </c>
      <c r="B360" s="98">
        <v>1</v>
      </c>
      <c r="C360" s="98">
        <v>1</v>
      </c>
      <c r="D360" s="98" t="s">
        <v>187</v>
      </c>
      <c r="E360" s="118"/>
      <c r="F360" s="356">
        <v>3.98</v>
      </c>
      <c r="G360" s="355">
        <f t="shared" si="65"/>
        <v>3.1999200000000001</v>
      </c>
      <c r="H360" s="355">
        <f t="shared" si="66"/>
        <v>4.7600800000000003</v>
      </c>
      <c r="I360" s="104"/>
      <c r="J360" s="103">
        <f t="shared" si="67"/>
        <v>1.3812818192963463</v>
      </c>
      <c r="K360" s="103">
        <f t="shared" si="68"/>
        <v>1.1631258094931758</v>
      </c>
      <c r="L360" s="103">
        <f t="shared" si="69"/>
        <v>1.5602644748247865</v>
      </c>
      <c r="M360" s="103">
        <f t="shared" ca="1" si="70"/>
        <v>1.2546919411112043</v>
      </c>
      <c r="O360" s="98">
        <f t="shared" si="71"/>
        <v>3.98</v>
      </c>
      <c r="P360" s="93">
        <f t="shared" ca="1" si="64"/>
        <v>3.5067579199812373</v>
      </c>
    </row>
    <row r="361" spans="1:16" s="98" customFormat="1" x14ac:dyDescent="0.25">
      <c r="A361" s="207" t="s">
        <v>805</v>
      </c>
      <c r="B361" s="98">
        <v>1</v>
      </c>
      <c r="C361" s="98">
        <v>1</v>
      </c>
      <c r="D361" s="98" t="s">
        <v>187</v>
      </c>
      <c r="E361" s="118"/>
      <c r="F361" s="356">
        <v>8.1300000000000008</v>
      </c>
      <c r="G361" s="355">
        <f t="shared" si="65"/>
        <v>6.5365200000000003</v>
      </c>
      <c r="H361" s="355">
        <f t="shared" si="66"/>
        <v>9.7234800000000003</v>
      </c>
      <c r="I361" s="104"/>
      <c r="J361" s="103">
        <f t="shared" si="67"/>
        <v>2.0955609235597192</v>
      </c>
      <c r="K361" s="103">
        <f t="shared" si="68"/>
        <v>1.8774049137565485</v>
      </c>
      <c r="L361" s="103">
        <f t="shared" si="69"/>
        <v>2.2745435790881592</v>
      </c>
      <c r="M361" s="103">
        <f t="shared" ca="1" si="70"/>
        <v>1.9874876781847155</v>
      </c>
      <c r="O361" s="98">
        <f t="shared" si="71"/>
        <v>8.1300000000000008</v>
      </c>
      <c r="P361" s="93">
        <f t="shared" ca="1" si="64"/>
        <v>7.2971778548762485</v>
      </c>
    </row>
    <row r="362" spans="1:16" s="98" customFormat="1" x14ac:dyDescent="0.25">
      <c r="A362" s="207" t="s">
        <v>806</v>
      </c>
      <c r="B362" s="98">
        <v>1</v>
      </c>
      <c r="C362" s="98">
        <v>1</v>
      </c>
      <c r="D362" s="98" t="s">
        <v>187</v>
      </c>
      <c r="E362" s="118"/>
      <c r="F362" s="356">
        <v>6.55</v>
      </c>
      <c r="G362" s="355">
        <f t="shared" si="65"/>
        <v>5.2661999999999995</v>
      </c>
      <c r="H362" s="355">
        <f t="shared" si="66"/>
        <v>7.8338000000000001</v>
      </c>
      <c r="I362" s="104"/>
      <c r="J362" s="103">
        <f t="shared" si="67"/>
        <v>1.8794650496471605</v>
      </c>
      <c r="K362" s="103">
        <f t="shared" si="68"/>
        <v>1.6613090398439898</v>
      </c>
      <c r="L362" s="103">
        <f t="shared" si="69"/>
        <v>2.0584477051756007</v>
      </c>
      <c r="M362" s="103">
        <f t="shared" ca="1" si="70"/>
        <v>1.8194423258517134</v>
      </c>
      <c r="O362" s="98">
        <f t="shared" si="71"/>
        <v>6.55</v>
      </c>
      <c r="P362" s="93">
        <f t="shared" ca="1" si="64"/>
        <v>6.168417523526184</v>
      </c>
    </row>
    <row r="363" spans="1:16" s="98" customFormat="1" x14ac:dyDescent="0.25">
      <c r="A363" s="207" t="s">
        <v>807</v>
      </c>
      <c r="B363" s="98">
        <v>1</v>
      </c>
      <c r="C363" s="98">
        <v>1</v>
      </c>
      <c r="D363" s="98" t="s">
        <v>187</v>
      </c>
      <c r="E363" s="118"/>
      <c r="F363" s="356">
        <v>4.4000000000000004</v>
      </c>
      <c r="G363" s="355">
        <f t="shared" si="65"/>
        <v>3.5376000000000003</v>
      </c>
      <c r="H363" s="355">
        <f t="shared" si="66"/>
        <v>5.2624000000000004</v>
      </c>
      <c r="I363" s="104"/>
      <c r="J363" s="103">
        <f t="shared" si="67"/>
        <v>1.4816045409242156</v>
      </c>
      <c r="K363" s="103">
        <f t="shared" si="68"/>
        <v>1.2634485311210448</v>
      </c>
      <c r="L363" s="103">
        <f t="shared" si="69"/>
        <v>1.6605871964526555</v>
      </c>
      <c r="M363" s="103">
        <f t="shared" ca="1" si="70"/>
        <v>1.3837029311572044</v>
      </c>
      <c r="O363" s="98">
        <f t="shared" si="71"/>
        <v>4.4000000000000004</v>
      </c>
      <c r="P363" s="93">
        <f t="shared" ca="1" si="64"/>
        <v>3.9896476995734229</v>
      </c>
    </row>
    <row r="364" spans="1:16" s="98" customFormat="1" x14ac:dyDescent="0.25">
      <c r="A364" s="207" t="s">
        <v>808</v>
      </c>
      <c r="B364" s="98">
        <v>1</v>
      </c>
      <c r="C364" s="98">
        <v>1</v>
      </c>
      <c r="D364" s="98" t="s">
        <v>187</v>
      </c>
      <c r="E364" s="118"/>
      <c r="F364" s="356">
        <v>4.57</v>
      </c>
      <c r="G364" s="355">
        <f t="shared" si="65"/>
        <v>3.6742800000000004</v>
      </c>
      <c r="H364" s="355">
        <f t="shared" si="66"/>
        <v>5.4657200000000001</v>
      </c>
      <c r="I364" s="104"/>
      <c r="J364" s="103">
        <f t="shared" si="67"/>
        <v>1.5195132049061133</v>
      </c>
      <c r="K364" s="103">
        <f t="shared" si="68"/>
        <v>1.3013571951029428</v>
      </c>
      <c r="L364" s="103">
        <f t="shared" si="69"/>
        <v>1.6984958604345533</v>
      </c>
      <c r="M364" s="103">
        <f t="shared" ca="1" si="70"/>
        <v>1.5342015718535682</v>
      </c>
      <c r="O364" s="98">
        <f t="shared" si="71"/>
        <v>4.57</v>
      </c>
      <c r="P364" s="93">
        <f t="shared" ca="1" si="64"/>
        <v>4.6376212440139577</v>
      </c>
    </row>
    <row r="365" spans="1:16" s="98" customFormat="1" x14ac:dyDescent="0.25">
      <c r="A365" s="207" t="s">
        <v>809</v>
      </c>
      <c r="B365" s="98">
        <v>1</v>
      </c>
      <c r="C365" s="98">
        <v>1</v>
      </c>
      <c r="D365" s="98" t="s">
        <v>187</v>
      </c>
      <c r="E365" s="118"/>
      <c r="F365" s="356">
        <v>7.79</v>
      </c>
      <c r="G365" s="355">
        <f t="shared" si="65"/>
        <v>6.2631600000000001</v>
      </c>
      <c r="H365" s="355">
        <f t="shared" si="66"/>
        <v>9.3168399999999991</v>
      </c>
      <c r="I365" s="104"/>
      <c r="J365" s="103">
        <f t="shared" si="67"/>
        <v>2.0528408598826569</v>
      </c>
      <c r="K365" s="103">
        <f t="shared" si="68"/>
        <v>1.8346848500794861</v>
      </c>
      <c r="L365" s="103">
        <f t="shared" si="69"/>
        <v>2.2318235154110968</v>
      </c>
      <c r="M365" s="103">
        <f t="shared" ca="1" si="70"/>
        <v>2.0520351540557815</v>
      </c>
      <c r="O365" s="98">
        <f t="shared" si="71"/>
        <v>7.79</v>
      </c>
      <c r="P365" s="93">
        <f t="shared" ca="1" si="64"/>
        <v>7.7837260794152261</v>
      </c>
    </row>
    <row r="366" spans="1:16" s="98" customFormat="1" x14ac:dyDescent="0.25">
      <c r="A366" s="207" t="s">
        <v>810</v>
      </c>
      <c r="B366" s="98">
        <v>1</v>
      </c>
      <c r="C366" s="98">
        <v>1</v>
      </c>
      <c r="D366" s="98" t="s">
        <v>187</v>
      </c>
      <c r="E366" s="118"/>
      <c r="F366" s="356">
        <v>6.46</v>
      </c>
      <c r="G366" s="355">
        <f t="shared" si="65"/>
        <v>5.1938399999999998</v>
      </c>
      <c r="H366" s="355">
        <f t="shared" si="66"/>
        <v>7.7261600000000001</v>
      </c>
      <c r="I366" s="104"/>
      <c r="J366" s="103">
        <f t="shared" si="67"/>
        <v>1.8656293177945105</v>
      </c>
      <c r="K366" s="103">
        <f t="shared" si="68"/>
        <v>1.6474733079913397</v>
      </c>
      <c r="L366" s="103">
        <f t="shared" si="69"/>
        <v>2.0446119733229504</v>
      </c>
      <c r="M366" s="103">
        <f t="shared" ca="1" si="70"/>
        <v>1.9555936305060275</v>
      </c>
      <c r="O366" s="98">
        <f t="shared" si="71"/>
        <v>6.46</v>
      </c>
      <c r="P366" s="93">
        <f t="shared" ca="1" si="64"/>
        <v>7.068113626424676</v>
      </c>
    </row>
    <row r="367" spans="1:16" s="98" customFormat="1" x14ac:dyDescent="0.25">
      <c r="A367" s="207" t="s">
        <v>811</v>
      </c>
      <c r="B367" s="98">
        <v>1</v>
      </c>
      <c r="C367" s="98">
        <v>1</v>
      </c>
      <c r="D367" s="98" t="s">
        <v>187</v>
      </c>
      <c r="E367" s="118"/>
      <c r="F367" s="356">
        <v>1.07</v>
      </c>
      <c r="G367" s="355">
        <f t="shared" si="65"/>
        <v>0.86028000000000004</v>
      </c>
      <c r="H367" s="355">
        <f t="shared" si="66"/>
        <v>1.2797200000000002</v>
      </c>
      <c r="I367" s="104"/>
      <c r="J367" s="103">
        <f t="shared" si="67"/>
        <v>6.7658648473814864E-2</v>
      </c>
      <c r="K367" s="103">
        <f t="shared" si="68"/>
        <v>-0.15049736132935582</v>
      </c>
      <c r="L367" s="103">
        <f t="shared" si="69"/>
        <v>0.24664130400225495</v>
      </c>
      <c r="M367" s="103">
        <f t="shared" ca="1" si="70"/>
        <v>7.9057479022757476E-2</v>
      </c>
      <c r="O367" s="98">
        <f t="shared" si="71"/>
        <v>1.07</v>
      </c>
      <c r="P367" s="93">
        <f t="shared" ca="1" si="64"/>
        <v>1.0822665279049195</v>
      </c>
    </row>
    <row r="368" spans="1:16" s="98" customFormat="1" x14ac:dyDescent="0.25">
      <c r="A368" s="207" t="s">
        <v>812</v>
      </c>
      <c r="B368" s="98">
        <v>1</v>
      </c>
      <c r="C368" s="98">
        <v>1</v>
      </c>
      <c r="D368" s="98" t="s">
        <v>187</v>
      </c>
      <c r="E368" s="118"/>
      <c r="F368" s="356">
        <v>1.51</v>
      </c>
      <c r="G368" s="355">
        <f t="shared" si="65"/>
        <v>1.21404</v>
      </c>
      <c r="H368" s="355">
        <f t="shared" si="66"/>
        <v>1.80596</v>
      </c>
      <c r="I368" s="104"/>
      <c r="J368" s="103">
        <f t="shared" si="67"/>
        <v>0.41210965082683298</v>
      </c>
      <c r="K368" s="103">
        <f t="shared" si="68"/>
        <v>0.19395364102366228</v>
      </c>
      <c r="L368" s="103">
        <f t="shared" si="69"/>
        <v>0.59109230635527299</v>
      </c>
      <c r="M368" s="103">
        <f t="shared" ca="1" si="70"/>
        <v>0.44254143378894961</v>
      </c>
      <c r="O368" s="98">
        <f t="shared" si="71"/>
        <v>1.51</v>
      </c>
      <c r="P368" s="93">
        <f t="shared" ca="1" si="64"/>
        <v>1.5566583397306391</v>
      </c>
    </row>
    <row r="369" spans="1:16" s="98" customFormat="1" x14ac:dyDescent="0.25">
      <c r="A369" s="207" t="s">
        <v>813</v>
      </c>
      <c r="B369" s="98">
        <v>1</v>
      </c>
      <c r="C369" s="98">
        <v>1</v>
      </c>
      <c r="D369" s="98" t="s">
        <v>187</v>
      </c>
      <c r="E369" s="118"/>
      <c r="F369" s="356">
        <v>1.23</v>
      </c>
      <c r="G369" s="355">
        <f t="shared" si="65"/>
        <v>0.98892000000000002</v>
      </c>
      <c r="H369" s="355">
        <f t="shared" si="66"/>
        <v>1.4710799999999999</v>
      </c>
      <c r="I369" s="104"/>
      <c r="J369" s="103">
        <f t="shared" si="67"/>
        <v>0.20701416938432612</v>
      </c>
      <c r="K369" s="103">
        <f t="shared" si="68"/>
        <v>-1.1141840418844534E-2</v>
      </c>
      <c r="L369" s="103">
        <f t="shared" si="69"/>
        <v>0.3859968249127661</v>
      </c>
      <c r="M369" s="103">
        <f t="shared" ca="1" si="70"/>
        <v>0.2341126588599326</v>
      </c>
      <c r="O369" s="98">
        <f t="shared" si="71"/>
        <v>1.23</v>
      </c>
      <c r="P369" s="93">
        <f t="shared" ca="1" si="64"/>
        <v>1.2637868609750309</v>
      </c>
    </row>
    <row r="370" spans="1:16" s="98" customFormat="1" x14ac:dyDescent="0.25">
      <c r="A370" s="207" t="s">
        <v>814</v>
      </c>
      <c r="B370" s="98">
        <v>1</v>
      </c>
      <c r="C370" s="98">
        <v>1</v>
      </c>
      <c r="D370" s="98" t="s">
        <v>187</v>
      </c>
      <c r="E370" s="118"/>
      <c r="F370" s="356">
        <v>1.1200000000000001</v>
      </c>
      <c r="G370" s="355">
        <f t="shared" si="65"/>
        <v>0.90048000000000006</v>
      </c>
      <c r="H370" s="355">
        <f t="shared" si="66"/>
        <v>1.33952</v>
      </c>
      <c r="I370" s="104"/>
      <c r="J370" s="103">
        <f t="shared" si="67"/>
        <v>0.11332868530700327</v>
      </c>
      <c r="K370" s="103">
        <f t="shared" si="68"/>
        <v>-0.10482732449616744</v>
      </c>
      <c r="L370" s="103">
        <f t="shared" si="69"/>
        <v>0.29231134083544319</v>
      </c>
      <c r="M370" s="103">
        <f t="shared" ca="1" si="70"/>
        <v>0.1206369735740212</v>
      </c>
      <c r="O370" s="98">
        <f t="shared" si="71"/>
        <v>1.1200000000000001</v>
      </c>
      <c r="P370" s="93">
        <f t="shared" ca="1" si="64"/>
        <v>1.128215266059853</v>
      </c>
    </row>
    <row r="371" spans="1:16" s="98" customFormat="1" x14ac:dyDescent="0.25">
      <c r="A371" s="207"/>
      <c r="B371" s="118"/>
      <c r="C371" s="118"/>
      <c r="D371" s="118"/>
      <c r="E371" s="118"/>
      <c r="F371" s="118"/>
      <c r="G371" s="161"/>
      <c r="H371" s="161"/>
      <c r="I371" s="104"/>
      <c r="J371" s="167"/>
      <c r="K371" s="169"/>
      <c r="L371" s="169"/>
      <c r="M371" s="167"/>
      <c r="N371" s="104"/>
      <c r="O371" s="104"/>
      <c r="P371" s="104"/>
    </row>
    <row r="372" spans="1:16" s="98" customFormat="1" x14ac:dyDescent="0.25">
      <c r="A372" s="568" t="s">
        <v>426</v>
      </c>
      <c r="B372" s="569"/>
      <c r="C372" s="569"/>
      <c r="D372" s="569"/>
      <c r="E372" s="569"/>
      <c r="F372" s="569"/>
      <c r="G372" s="569"/>
      <c r="H372" s="569"/>
      <c r="I372" s="569"/>
      <c r="J372" s="569"/>
      <c r="K372" s="569"/>
      <c r="L372" s="569"/>
      <c r="M372" s="569"/>
      <c r="N372" s="569"/>
      <c r="O372" s="569"/>
    </row>
    <row r="373" spans="1:16" s="98" customFormat="1" x14ac:dyDescent="0.25">
      <c r="A373" s="112" t="s">
        <v>99</v>
      </c>
      <c r="B373" s="107" t="s">
        <v>155</v>
      </c>
      <c r="C373" s="106" t="s">
        <v>113</v>
      </c>
      <c r="D373" s="106" t="s">
        <v>15</v>
      </c>
      <c r="E373" s="107"/>
      <c r="F373" s="107" t="s">
        <v>4</v>
      </c>
      <c r="G373" s="571" t="s">
        <v>394</v>
      </c>
      <c r="H373" s="572"/>
      <c r="I373" s="107"/>
      <c r="J373" s="108" t="s">
        <v>109</v>
      </c>
      <c r="K373" s="573" t="s">
        <v>395</v>
      </c>
      <c r="L373" s="573"/>
      <c r="M373" s="109" t="s">
        <v>100</v>
      </c>
      <c r="N373" s="107"/>
      <c r="O373" s="107" t="s">
        <v>14</v>
      </c>
      <c r="P373" s="107" t="s">
        <v>25</v>
      </c>
    </row>
    <row r="374" spans="1:16" s="98" customFormat="1" x14ac:dyDescent="0.25">
      <c r="A374" s="207" t="s">
        <v>849</v>
      </c>
      <c r="B374" s="98">
        <v>1</v>
      </c>
      <c r="C374" s="98">
        <v>1</v>
      </c>
      <c r="D374" s="98" t="s">
        <v>187</v>
      </c>
      <c r="E374" s="118"/>
      <c r="F374" s="354">
        <v>1.976264</v>
      </c>
      <c r="G374" s="355">
        <v>1.759298</v>
      </c>
      <c r="H374" s="355">
        <v>2.2199870000000002</v>
      </c>
      <c r="I374" s="118"/>
      <c r="J374" s="103">
        <f t="shared" ref="J374:L377" si="72">LN(F374)</f>
        <v>0.68120819364042462</v>
      </c>
      <c r="K374" s="103">
        <f t="shared" si="72"/>
        <v>0.56491486584643824</v>
      </c>
      <c r="L374" s="103">
        <f t="shared" si="72"/>
        <v>0.79750134001118667</v>
      </c>
      <c r="M374" s="103">
        <f ca="1">_xlfn.NORM.INV(RAND(),J374,((L374-K374)/(2*1.96)))</f>
        <v>0.7584561142125601</v>
      </c>
      <c r="O374" s="98">
        <f>F374</f>
        <v>1.976264</v>
      </c>
      <c r="P374" s="93">
        <f ca="1">IF($B374=1,IF($C374=1,EXP($M374),$F374),0)</f>
        <v>2.1349775132991811</v>
      </c>
    </row>
    <row r="375" spans="1:16" s="98" customFormat="1" x14ac:dyDescent="0.25">
      <c r="A375" s="207" t="s">
        <v>850</v>
      </c>
      <c r="B375" s="98">
        <v>1</v>
      </c>
      <c r="C375" s="98">
        <v>1</v>
      </c>
      <c r="D375" s="98" t="s">
        <v>187</v>
      </c>
      <c r="E375" s="118"/>
      <c r="F375" s="354">
        <v>1.5902449999999999</v>
      </c>
      <c r="G375" s="355">
        <v>1.2936810000000001</v>
      </c>
      <c r="H375" s="355">
        <v>1.954793</v>
      </c>
      <c r="I375" s="118"/>
      <c r="J375" s="103">
        <f t="shared" si="72"/>
        <v>0.46388809241211032</v>
      </c>
      <c r="K375" s="103">
        <f t="shared" si="72"/>
        <v>0.2574916432759361</v>
      </c>
      <c r="L375" s="103">
        <f t="shared" si="72"/>
        <v>0.67028430547845586</v>
      </c>
      <c r="M375" s="103">
        <f ca="1">_xlfn.NORM.INV(RAND(),J375,((L375-K375)/(2*1.96)))</f>
        <v>0.52110483003191532</v>
      </c>
      <c r="O375" s="98">
        <f>F375</f>
        <v>1.5902449999999999</v>
      </c>
      <c r="P375" s="93">
        <f ca="1">IF($B375=1,IF($C375=1,EXP($M375),$F375),0)</f>
        <v>1.6838870313219769</v>
      </c>
    </row>
    <row r="376" spans="1:16" s="98" customFormat="1" x14ac:dyDescent="0.25">
      <c r="A376" s="207" t="s">
        <v>851</v>
      </c>
      <c r="B376" s="98">
        <v>1</v>
      </c>
      <c r="C376" s="98">
        <v>1</v>
      </c>
      <c r="D376" s="98" t="s">
        <v>187</v>
      </c>
      <c r="E376" s="118"/>
      <c r="F376" s="354">
        <v>1.4504649999999999</v>
      </c>
      <c r="G376" s="355">
        <v>1.1323289999999999</v>
      </c>
      <c r="H376" s="355">
        <v>1.8579840000000001</v>
      </c>
      <c r="I376" s="118"/>
      <c r="J376" s="103">
        <f t="shared" si="72"/>
        <v>0.37188419467771872</v>
      </c>
      <c r="K376" s="103">
        <f t="shared" si="72"/>
        <v>0.12427657359692086</v>
      </c>
      <c r="L376" s="103">
        <f t="shared" si="72"/>
        <v>0.61949202894444999</v>
      </c>
      <c r="M376" s="103">
        <f ca="1">_xlfn.NORM.INV(RAND(),J376,((L376-K376)/(2*1.96)))</f>
        <v>0.43011131064240588</v>
      </c>
      <c r="O376" s="98">
        <f>F376</f>
        <v>1.4504649999999999</v>
      </c>
      <c r="P376" s="93">
        <f ca="1">IF($B376=1,IF($C376=1,EXP($M376),$F376),0)</f>
        <v>1.5374286461944799</v>
      </c>
    </row>
    <row r="377" spans="1:16" s="98" customFormat="1" x14ac:dyDescent="0.25">
      <c r="A377" s="207" t="s">
        <v>852</v>
      </c>
      <c r="B377" s="98">
        <v>1</v>
      </c>
      <c r="C377" s="98">
        <v>1</v>
      </c>
      <c r="D377" s="98" t="s">
        <v>187</v>
      </c>
      <c r="E377" s="118"/>
      <c r="F377" s="356">
        <v>0.90868400000000005</v>
      </c>
      <c r="G377" s="355">
        <v>0.73277740000000002</v>
      </c>
      <c r="H377" s="355">
        <v>1.1268180000000001</v>
      </c>
      <c r="I377" s="118"/>
      <c r="J377" s="103">
        <f t="shared" si="72"/>
        <v>-9.575788000710643E-2</v>
      </c>
      <c r="K377" s="103">
        <f t="shared" si="72"/>
        <v>-0.31091330670915163</v>
      </c>
      <c r="L377" s="103">
        <f t="shared" si="72"/>
        <v>0.11939773133338512</v>
      </c>
      <c r="M377" s="103">
        <f ca="1">_xlfn.NORM.INV(RAND(),J377,((L377-K377)/(2*1.96)))</f>
        <v>-0.15577391412232572</v>
      </c>
      <c r="O377" s="98">
        <f>F377</f>
        <v>0.90868400000000005</v>
      </c>
      <c r="P377" s="93">
        <f ca="1">IF($B377=1,IF($C377=1,EXP($M377),$F377),0)</f>
        <v>0.85575264208900248</v>
      </c>
    </row>
    <row r="378" spans="1:16" s="98" customFormat="1" x14ac:dyDescent="0.25">
      <c r="A378" s="207"/>
      <c r="E378" s="118"/>
      <c r="F378" s="122"/>
      <c r="G378" s="210"/>
      <c r="H378" s="210"/>
      <c r="I378" s="118"/>
      <c r="J378" s="103"/>
      <c r="K378" s="103"/>
      <c r="L378" s="103"/>
      <c r="M378" s="103"/>
    </row>
    <row r="379" spans="1:16" s="98" customFormat="1" x14ac:dyDescent="0.25">
      <c r="A379" s="568" t="s">
        <v>885</v>
      </c>
      <c r="B379" s="569"/>
      <c r="C379" s="569"/>
      <c r="D379" s="569"/>
      <c r="E379" s="569"/>
      <c r="F379" s="569"/>
      <c r="G379" s="569"/>
      <c r="H379" s="569"/>
      <c r="I379" s="569"/>
      <c r="J379" s="569"/>
      <c r="K379" s="569"/>
      <c r="L379" s="569"/>
      <c r="M379" s="569"/>
      <c r="N379" s="569"/>
      <c r="O379" s="569"/>
    </row>
    <row r="380" spans="1:16" s="98" customFormat="1" x14ac:dyDescent="0.25">
      <c r="A380" s="112" t="s">
        <v>99</v>
      </c>
      <c r="B380" s="107" t="s">
        <v>155</v>
      </c>
      <c r="C380" s="106" t="s">
        <v>113</v>
      </c>
      <c r="D380" s="106" t="s">
        <v>15</v>
      </c>
      <c r="E380" s="107"/>
      <c r="F380" s="107" t="s">
        <v>4</v>
      </c>
      <c r="G380" s="571" t="s">
        <v>394</v>
      </c>
      <c r="H380" s="572"/>
      <c r="I380" s="107"/>
      <c r="J380" s="108" t="s">
        <v>109</v>
      </c>
      <c r="K380" s="573" t="s">
        <v>395</v>
      </c>
      <c r="L380" s="573"/>
      <c r="M380" s="109" t="s">
        <v>100</v>
      </c>
      <c r="N380" s="107"/>
      <c r="O380" s="107" t="s">
        <v>14</v>
      </c>
      <c r="P380" s="107" t="s">
        <v>25</v>
      </c>
    </row>
    <row r="381" spans="1:16" s="98" customFormat="1" x14ac:dyDescent="0.25">
      <c r="A381" s="207" t="s">
        <v>1050</v>
      </c>
      <c r="B381" s="98">
        <v>1</v>
      </c>
      <c r="C381" s="98">
        <v>1</v>
      </c>
      <c r="D381" s="98" t="s">
        <v>187</v>
      </c>
      <c r="E381" s="118"/>
      <c r="F381" s="118">
        <v>2.9679147375911534</v>
      </c>
      <c r="G381" s="210">
        <v>0.65655473052434243</v>
      </c>
      <c r="H381" s="210">
        <v>8.3376958832050114</v>
      </c>
      <c r="I381" s="118"/>
      <c r="J381" s="103">
        <f t="shared" ref="J381:L381" si="73">LN(F381)</f>
        <v>1.087859597665799</v>
      </c>
      <c r="K381" s="103">
        <f t="shared" si="73"/>
        <v>-0.42074922157880529</v>
      </c>
      <c r="L381" s="103">
        <f t="shared" si="73"/>
        <v>2.1207869052032393</v>
      </c>
      <c r="M381" s="103">
        <f ca="1">_xlfn.NORM.INV(RAND(),J381,((L381-K381)/(2*1.96)))</f>
        <v>1.6966563773024155</v>
      </c>
      <c r="O381" s="98">
        <f>F381</f>
        <v>2.9679147375911534</v>
      </c>
      <c r="P381" s="93">
        <f ca="1">IF($B381=1,IF($C381=1,EXP($M381),$F381),0)</f>
        <v>5.4556751417610565</v>
      </c>
    </row>
    <row r="382" spans="1:16" s="98" customFormat="1" x14ac:dyDescent="0.25">
      <c r="A382" s="207" t="s">
        <v>1051</v>
      </c>
      <c r="B382" s="98">
        <v>1</v>
      </c>
      <c r="C382" s="98">
        <v>1</v>
      </c>
      <c r="D382" s="98" t="s">
        <v>187</v>
      </c>
      <c r="E382" s="118"/>
      <c r="F382" s="118">
        <v>1.2039434197149439</v>
      </c>
      <c r="G382" s="210">
        <v>0.94307149087878428</v>
      </c>
      <c r="H382" s="210">
        <v>1.5364711181970847</v>
      </c>
      <c r="I382" s="118"/>
      <c r="J382" s="103">
        <f t="shared" ref="J382:J390" si="74">LN(F382)</f>
        <v>0.18560235219015656</v>
      </c>
      <c r="K382" s="103">
        <f t="shared" ref="K382:K390" si="75">LN(G382)</f>
        <v>-5.8613187049653244E-2</v>
      </c>
      <c r="L382" s="103">
        <f t="shared" ref="L382:L390" si="76">LN(H382)</f>
        <v>0.42948830527348769</v>
      </c>
      <c r="M382" s="103">
        <f t="shared" ref="M382:M390" ca="1" si="77">_xlfn.NORM.INV(RAND(),J382,((L382-K382)/(2*1.96)))</f>
        <v>5.9621051045279511E-2</v>
      </c>
      <c r="O382" s="98">
        <f t="shared" ref="O382:O390" si="78">F382</f>
        <v>1.2039434197149439</v>
      </c>
      <c r="P382" s="93">
        <f t="shared" ref="P382:P390" ca="1" si="79">IF($B382=1,IF($C382=1,EXP($M382),$F382),0)</f>
        <v>1.0614342409274233</v>
      </c>
    </row>
    <row r="383" spans="1:16" s="98" customFormat="1" x14ac:dyDescent="0.25">
      <c r="A383" s="207" t="s">
        <v>1052</v>
      </c>
      <c r="B383" s="98">
        <v>1</v>
      </c>
      <c r="C383" s="98">
        <v>1</v>
      </c>
      <c r="D383" s="98" t="s">
        <v>187</v>
      </c>
      <c r="E383" s="118"/>
      <c r="F383" s="118">
        <v>1.1775663897153537</v>
      </c>
      <c r="G383" s="210">
        <v>0.98892607566608293</v>
      </c>
      <c r="H383" s="210">
        <v>1.3858338171508293</v>
      </c>
      <c r="I383" s="118"/>
      <c r="J383" s="103">
        <f t="shared" si="74"/>
        <v>0.16344992724290205</v>
      </c>
      <c r="K383" s="103">
        <f t="shared" si="75"/>
        <v>-1.1135696699009431E-2</v>
      </c>
      <c r="L383" s="103">
        <f t="shared" si="76"/>
        <v>0.32630199253342879</v>
      </c>
      <c r="M383" s="103">
        <f t="shared" ca="1" si="77"/>
        <v>0.20111453944917274</v>
      </c>
      <c r="O383" s="98">
        <f t="shared" si="78"/>
        <v>1.1775663897153537</v>
      </c>
      <c r="P383" s="93">
        <f t="shared" ca="1" si="79"/>
        <v>1.2227648186115245</v>
      </c>
    </row>
    <row r="384" spans="1:16" s="98" customFormat="1" x14ac:dyDescent="0.25">
      <c r="A384" s="207" t="s">
        <v>1053</v>
      </c>
      <c r="B384" s="98">
        <v>1</v>
      </c>
      <c r="C384" s="98">
        <v>1</v>
      </c>
      <c r="D384" s="98" t="s">
        <v>187</v>
      </c>
      <c r="E384" s="118"/>
      <c r="F384" s="118">
        <v>1.1681667936878493</v>
      </c>
      <c r="G384" s="210">
        <v>0.98941262322655699</v>
      </c>
      <c r="H384" s="210">
        <v>1.36474735480049</v>
      </c>
      <c r="I384" s="118"/>
      <c r="J384" s="103">
        <f t="shared" si="74"/>
        <v>0.15543567702562339</v>
      </c>
      <c r="K384" s="103">
        <f t="shared" si="75"/>
        <v>-1.0643821803617608E-2</v>
      </c>
      <c r="L384" s="103">
        <f t="shared" si="76"/>
        <v>0.31096932344776551</v>
      </c>
      <c r="M384" s="103">
        <f t="shared" ca="1" si="77"/>
        <v>0.20768789539161389</v>
      </c>
      <c r="O384" s="98">
        <f t="shared" si="78"/>
        <v>1.1681667936878493</v>
      </c>
      <c r="P384" s="93">
        <f t="shared" ca="1" si="79"/>
        <v>1.230828962204306</v>
      </c>
    </row>
    <row r="385" spans="1:16" s="98" customFormat="1" x14ac:dyDescent="0.25">
      <c r="A385" s="207" t="s">
        <v>1054</v>
      </c>
      <c r="B385" s="98">
        <v>1</v>
      </c>
      <c r="C385" s="98">
        <v>1</v>
      </c>
      <c r="D385" s="98" t="s">
        <v>187</v>
      </c>
      <c r="E385" s="118"/>
      <c r="F385" s="118">
        <v>1.1440219656262569</v>
      </c>
      <c r="G385" s="210">
        <v>0.99041618769638118</v>
      </c>
      <c r="H385" s="210">
        <v>1.3075132001496597</v>
      </c>
      <c r="I385" s="118"/>
      <c r="J385" s="103">
        <f t="shared" si="74"/>
        <v>0.13455009349552718</v>
      </c>
      <c r="K385" s="103">
        <f t="shared" si="75"/>
        <v>-9.6300325807917933E-3</v>
      </c>
      <c r="L385" s="103">
        <f t="shared" si="76"/>
        <v>0.26812701262273642</v>
      </c>
      <c r="M385" s="103">
        <f t="shared" ca="1" si="77"/>
        <v>0.15559762588017176</v>
      </c>
      <c r="O385" s="98">
        <f t="shared" si="78"/>
        <v>1.1440219656262569</v>
      </c>
      <c r="P385" s="93">
        <f t="shared" ca="1" si="79"/>
        <v>1.1683559922818427</v>
      </c>
    </row>
    <row r="386" spans="1:16" s="98" customFormat="1" x14ac:dyDescent="0.25">
      <c r="A386" s="207" t="s">
        <v>1055</v>
      </c>
      <c r="B386" s="98">
        <v>1</v>
      </c>
      <c r="C386" s="98">
        <v>1</v>
      </c>
      <c r="D386" s="98" t="s">
        <v>187</v>
      </c>
      <c r="E386" s="118"/>
      <c r="F386" s="118">
        <v>3.0235435167723286</v>
      </c>
      <c r="G386" s="210">
        <v>0.65328105172196538</v>
      </c>
      <c r="H386" s="210">
        <v>8.634026944742379</v>
      </c>
      <c r="I386" s="118"/>
      <c r="J386" s="103">
        <f t="shared" si="74"/>
        <v>1.1064294934743639</v>
      </c>
      <c r="K386" s="103">
        <f t="shared" si="75"/>
        <v>-0.42574784150222766</v>
      </c>
      <c r="L386" s="103">
        <f t="shared" si="76"/>
        <v>2.1557110179000607</v>
      </c>
      <c r="M386" s="103">
        <f t="shared" ca="1" si="77"/>
        <v>0.45953124043969329</v>
      </c>
      <c r="O386" s="98">
        <f t="shared" si="78"/>
        <v>3.0235435167723286</v>
      </c>
      <c r="P386" s="93">
        <f t="shared" ca="1" si="79"/>
        <v>1.5833316091812561</v>
      </c>
    </row>
    <row r="387" spans="1:16" s="98" customFormat="1" x14ac:dyDescent="0.25">
      <c r="A387" s="207" t="s">
        <v>1056</v>
      </c>
      <c r="B387" s="98">
        <v>1</v>
      </c>
      <c r="C387" s="98">
        <v>1</v>
      </c>
      <c r="D387" s="98" t="s">
        <v>187</v>
      </c>
      <c r="E387" s="118"/>
      <c r="F387" s="118">
        <v>1.0539608835129828</v>
      </c>
      <c r="G387" s="210">
        <v>0.8838465429995046</v>
      </c>
      <c r="H387" s="210">
        <v>1.2464757896162613</v>
      </c>
      <c r="I387" s="118"/>
      <c r="J387" s="103">
        <f t="shared" si="74"/>
        <v>5.2555337013962942E-2</v>
      </c>
      <c r="K387" s="103">
        <f t="shared" si="75"/>
        <v>-0.12347182530562037</v>
      </c>
      <c r="L387" s="103">
        <f t="shared" si="76"/>
        <v>0.22032020110232817</v>
      </c>
      <c r="M387" s="103">
        <f t="shared" ca="1" si="77"/>
        <v>5.8645427879464626E-2</v>
      </c>
      <c r="O387" s="98">
        <f t="shared" si="78"/>
        <v>1.0539608835129828</v>
      </c>
      <c r="P387" s="93">
        <f t="shared" ca="1" si="79"/>
        <v>1.060399186086826</v>
      </c>
    </row>
    <row r="388" spans="1:16" s="98" customFormat="1" x14ac:dyDescent="0.25">
      <c r="A388" s="207" t="s">
        <v>1057</v>
      </c>
      <c r="B388" s="98">
        <v>1</v>
      </c>
      <c r="C388" s="98">
        <v>1</v>
      </c>
      <c r="D388" s="98" t="s">
        <v>187</v>
      </c>
      <c r="E388" s="118"/>
      <c r="F388" s="118">
        <v>1.1901537426864104</v>
      </c>
      <c r="G388" s="210">
        <v>0.98833416993301004</v>
      </c>
      <c r="H388" s="210">
        <v>1.4158249780668202</v>
      </c>
      <c r="I388" s="118"/>
      <c r="J388" s="103">
        <f t="shared" si="74"/>
        <v>0.17408249431321232</v>
      </c>
      <c r="K388" s="103">
        <f t="shared" si="75"/>
        <v>-1.1734409743558223E-2</v>
      </c>
      <c r="L388" s="103">
        <f t="shared" si="76"/>
        <v>0.34771238457188502</v>
      </c>
      <c r="M388" s="103">
        <f t="shared" ca="1" si="77"/>
        <v>0.18866468876874121</v>
      </c>
      <c r="O388" s="98">
        <f t="shared" si="78"/>
        <v>1.1901537426864104</v>
      </c>
      <c r="P388" s="93">
        <f t="shared" ca="1" si="79"/>
        <v>1.2076359506883336</v>
      </c>
    </row>
    <row r="389" spans="1:16" s="98" customFormat="1" x14ac:dyDescent="0.25">
      <c r="A389" s="207" t="s">
        <v>1058</v>
      </c>
      <c r="B389" s="98">
        <v>1</v>
      </c>
      <c r="C389" s="98">
        <v>1</v>
      </c>
      <c r="D389" s="98" t="s">
        <v>187</v>
      </c>
      <c r="E389" s="118"/>
      <c r="F389" s="118">
        <v>1.1747870166004171</v>
      </c>
      <c r="G389" s="210">
        <v>0.98924228256844782</v>
      </c>
      <c r="H389" s="210">
        <v>1.3811198375367313</v>
      </c>
      <c r="I389" s="118"/>
      <c r="J389" s="103">
        <f t="shared" si="74"/>
        <v>0.16108686869836555</v>
      </c>
      <c r="K389" s="103">
        <f t="shared" si="75"/>
        <v>-1.0816000042512222E-2</v>
      </c>
      <c r="L389" s="103">
        <f t="shared" si="76"/>
        <v>0.32289464657597927</v>
      </c>
      <c r="M389" s="103">
        <f t="shared" ca="1" si="77"/>
        <v>4.8207002293801857E-2</v>
      </c>
      <c r="O389" s="98">
        <f t="shared" si="78"/>
        <v>1.1747870166004171</v>
      </c>
      <c r="P389" s="93">
        <f t="shared" ca="1" si="79"/>
        <v>1.0493878585367182</v>
      </c>
    </row>
    <row r="390" spans="1:16" s="98" customFormat="1" x14ac:dyDescent="0.25">
      <c r="A390" s="207" t="s">
        <v>1059</v>
      </c>
      <c r="B390" s="98">
        <v>1</v>
      </c>
      <c r="C390" s="98">
        <v>1</v>
      </c>
      <c r="D390" s="98" t="s">
        <v>187</v>
      </c>
      <c r="E390" s="118"/>
      <c r="F390" s="118">
        <v>1.1539167539560833</v>
      </c>
      <c r="G390" s="210">
        <v>0.99024673687989329</v>
      </c>
      <c r="H390" s="210">
        <v>1.329709325498921</v>
      </c>
      <c r="I390" s="118"/>
      <c r="J390" s="103">
        <f t="shared" si="74"/>
        <v>0.14316202853077861</v>
      </c>
      <c r="K390" s="103">
        <f t="shared" si="75"/>
        <v>-9.8011377343227117E-3</v>
      </c>
      <c r="L390" s="103">
        <f t="shared" si="76"/>
        <v>0.2849603660911873</v>
      </c>
      <c r="M390" s="103">
        <f t="shared" ca="1" si="77"/>
        <v>0.16923501165770247</v>
      </c>
      <c r="O390" s="98">
        <f t="shared" si="78"/>
        <v>1.1539167539560833</v>
      </c>
      <c r="P390" s="93">
        <f t="shared" ca="1" si="79"/>
        <v>1.1843984536630598</v>
      </c>
    </row>
    <row r="391" spans="1:16" s="98" customFormat="1" x14ac:dyDescent="0.25">
      <c r="A391" s="168"/>
      <c r="B391" s="104"/>
      <c r="C391" s="104"/>
      <c r="D391" s="104"/>
      <c r="E391" s="104"/>
      <c r="F391" s="104"/>
      <c r="G391" s="161"/>
      <c r="H391" s="161"/>
      <c r="I391" s="104"/>
      <c r="J391" s="167"/>
      <c r="K391" s="169"/>
      <c r="L391" s="169"/>
      <c r="M391" s="167"/>
      <c r="N391" s="104"/>
      <c r="O391" s="104"/>
      <c r="P391" s="104"/>
    </row>
    <row r="392" spans="1:16" s="98" customFormat="1" x14ac:dyDescent="0.25">
      <c r="A392" s="568" t="s">
        <v>427</v>
      </c>
      <c r="B392" s="569"/>
      <c r="C392" s="569"/>
      <c r="D392" s="569"/>
      <c r="E392" s="569"/>
      <c r="F392" s="569"/>
      <c r="G392" s="569"/>
      <c r="H392" s="569"/>
      <c r="I392" s="569"/>
      <c r="J392" s="569"/>
      <c r="K392" s="569"/>
      <c r="L392" s="569"/>
      <c r="M392" s="569"/>
      <c r="N392" s="569"/>
      <c r="O392" s="569"/>
    </row>
    <row r="393" spans="1:16" s="98" customFormat="1" x14ac:dyDescent="0.25">
      <c r="A393" s="112" t="s">
        <v>99</v>
      </c>
      <c r="B393" s="107" t="s">
        <v>155</v>
      </c>
      <c r="C393" s="106" t="s">
        <v>113</v>
      </c>
      <c r="D393" s="106" t="s">
        <v>15</v>
      </c>
      <c r="E393" s="107"/>
      <c r="F393" s="107" t="s">
        <v>4</v>
      </c>
      <c r="G393" s="571" t="s">
        <v>394</v>
      </c>
      <c r="H393" s="572"/>
      <c r="I393" s="107"/>
      <c r="J393" s="108" t="s">
        <v>109</v>
      </c>
      <c r="K393" s="573" t="s">
        <v>395</v>
      </c>
      <c r="L393" s="573"/>
      <c r="M393" s="109" t="s">
        <v>100</v>
      </c>
      <c r="N393" s="107"/>
      <c r="O393" s="107" t="s">
        <v>14</v>
      </c>
      <c r="P393" s="107" t="s">
        <v>25</v>
      </c>
    </row>
    <row r="394" spans="1:16" s="98" customFormat="1" x14ac:dyDescent="0.25">
      <c r="A394" s="207" t="s">
        <v>1065</v>
      </c>
      <c r="B394" s="98">
        <v>1</v>
      </c>
      <c r="C394" s="98">
        <v>1</v>
      </c>
      <c r="D394" s="98" t="s">
        <v>187</v>
      </c>
      <c r="E394" s="118"/>
      <c r="F394" s="354">
        <v>1.8618203356012215</v>
      </c>
      <c r="G394" s="355">
        <v>1.5415454360028109</v>
      </c>
      <c r="H394" s="355">
        <v>2.2308146437840963</v>
      </c>
      <c r="I394" s="118"/>
      <c r="J394" s="103">
        <f>LN(F394)</f>
        <v>0.62155468418932969</v>
      </c>
      <c r="K394" s="103">
        <f>LN(G394)</f>
        <v>0.43278544309801331</v>
      </c>
      <c r="L394" s="103">
        <f>LN(H394)</f>
        <v>0.80236682987611307</v>
      </c>
      <c r="M394" s="103">
        <f ca="1">_xlfn.NORM.INV(RAND(),J394,((L394-K394)/(2*1.96)))</f>
        <v>0.75109939679455018</v>
      </c>
      <c r="O394" s="98">
        <f>F394</f>
        <v>1.8618203356012215</v>
      </c>
      <c r="P394" s="93">
        <f ca="1">IF($B394=1,IF($C394=1,EXP($M394),$F394),0)</f>
        <v>2.1193287194946899</v>
      </c>
    </row>
    <row r="395" spans="1:16" s="98" customFormat="1" x14ac:dyDescent="0.25">
      <c r="A395" s="207" t="s">
        <v>1066</v>
      </c>
      <c r="B395" s="98">
        <v>1</v>
      </c>
      <c r="C395" s="98">
        <v>1</v>
      </c>
      <c r="D395" s="98" t="s">
        <v>187</v>
      </c>
      <c r="E395" s="118"/>
      <c r="F395" s="354">
        <v>2.0394758744603214</v>
      </c>
      <c r="G395" s="355">
        <v>1.6368223491453706</v>
      </c>
      <c r="H395" s="355">
        <v>2.5174697211943728</v>
      </c>
      <c r="I395" s="118"/>
      <c r="J395" s="103">
        <f t="shared" ref="J395:J396" si="80">LN(F395)</f>
        <v>0.71269285056127063</v>
      </c>
      <c r="K395" s="103">
        <f t="shared" ref="K395:K396" si="81">LN(G395)</f>
        <v>0.49275677029195547</v>
      </c>
      <c r="L395" s="103">
        <f t="shared" ref="L395:L396" si="82">LN(H395)</f>
        <v>0.92325431820731707</v>
      </c>
      <c r="M395" s="103">
        <f t="shared" ref="M395:M396" ca="1" si="83">_xlfn.NORM.INV(RAND(),J395,((L395-K395)/(2*1.96)))</f>
        <v>0.76237962161026396</v>
      </c>
      <c r="O395" s="98">
        <f t="shared" ref="O395:O396" si="84">F395</f>
        <v>2.0394758744603214</v>
      </c>
      <c r="P395" s="93">
        <f t="shared" ref="P395:P396" ca="1" si="85">IF($B395=1,IF($C395=1,EXP($M395),$F395),0)</f>
        <v>2.1433705677052433</v>
      </c>
    </row>
    <row r="396" spans="1:16" s="98" customFormat="1" x14ac:dyDescent="0.25">
      <c r="A396" s="207" t="s">
        <v>1067</v>
      </c>
      <c r="B396" s="98">
        <v>1</v>
      </c>
      <c r="C396" s="98">
        <v>1</v>
      </c>
      <c r="D396" s="98" t="s">
        <v>187</v>
      </c>
      <c r="E396" s="118"/>
      <c r="F396" s="354">
        <v>2.0694222644941687</v>
      </c>
      <c r="G396" s="355">
        <v>1.6521753854173924</v>
      </c>
      <c r="H396" s="355">
        <v>2.5665722654497567</v>
      </c>
      <c r="I396" s="118"/>
      <c r="J396" s="103">
        <f t="shared" si="80"/>
        <v>0.72726946904364631</v>
      </c>
      <c r="K396" s="103">
        <f t="shared" si="81"/>
        <v>0.50209283497052382</v>
      </c>
      <c r="L396" s="103">
        <f t="shared" si="82"/>
        <v>0.94257125982023893</v>
      </c>
      <c r="M396" s="103">
        <f t="shared" ca="1" si="83"/>
        <v>0.69151714668118835</v>
      </c>
      <c r="O396" s="98">
        <f t="shared" si="84"/>
        <v>2.0694222644941687</v>
      </c>
      <c r="P396" s="93">
        <f t="shared" ca="1" si="85"/>
        <v>1.9967425878098477</v>
      </c>
    </row>
    <row r="397" spans="1:16" s="98" customFormat="1" x14ac:dyDescent="0.25">
      <c r="A397" s="168"/>
      <c r="B397" s="104"/>
      <c r="C397" s="104"/>
      <c r="D397" s="104"/>
      <c r="E397" s="104"/>
      <c r="F397" s="104"/>
      <c r="G397" s="161"/>
      <c r="H397" s="161"/>
      <c r="I397" s="104"/>
      <c r="J397" s="167"/>
      <c r="K397" s="169"/>
      <c r="L397" s="169"/>
      <c r="M397" s="167"/>
      <c r="N397" s="104"/>
      <c r="O397" s="104"/>
      <c r="P397" s="104"/>
    </row>
    <row r="398" spans="1:16" s="98" customFormat="1" x14ac:dyDescent="0.25">
      <c r="A398" s="568" t="s">
        <v>428</v>
      </c>
      <c r="B398" s="569"/>
      <c r="C398" s="569"/>
      <c r="D398" s="569"/>
      <c r="E398" s="569"/>
      <c r="F398" s="569"/>
      <c r="G398" s="569"/>
      <c r="H398" s="569"/>
      <c r="I398" s="569"/>
      <c r="J398" s="569"/>
      <c r="K398" s="569"/>
      <c r="L398" s="569"/>
      <c r="M398" s="569"/>
      <c r="N398" s="569"/>
      <c r="O398" s="569"/>
      <c r="P398" s="104"/>
    </row>
    <row r="399" spans="1:16" s="98" customFormat="1" x14ac:dyDescent="0.25">
      <c r="A399" s="112" t="s">
        <v>99</v>
      </c>
      <c r="B399" s="107" t="s">
        <v>155</v>
      </c>
      <c r="C399" s="106" t="s">
        <v>113</v>
      </c>
      <c r="D399" s="106" t="s">
        <v>15</v>
      </c>
      <c r="E399" s="107"/>
      <c r="F399" s="107" t="s">
        <v>4</v>
      </c>
      <c r="G399" s="106" t="s">
        <v>19</v>
      </c>
      <c r="H399" s="107"/>
      <c r="I399" s="108" t="s">
        <v>108</v>
      </c>
      <c r="J399" s="109" t="s">
        <v>22</v>
      </c>
      <c r="K399" s="109" t="s">
        <v>23</v>
      </c>
      <c r="L399" s="109" t="s">
        <v>100</v>
      </c>
      <c r="M399" s="107"/>
      <c r="N399" s="107" t="s">
        <v>14</v>
      </c>
      <c r="O399" s="107" t="s">
        <v>25</v>
      </c>
      <c r="P399" s="104"/>
    </row>
    <row r="400" spans="1:16" s="98" customFormat="1" x14ac:dyDescent="0.25">
      <c r="A400" s="114" t="s">
        <v>125</v>
      </c>
      <c r="B400" s="93">
        <v>1</v>
      </c>
      <c r="C400" s="98">
        <v>1</v>
      </c>
      <c r="D400" s="98" t="s">
        <v>159</v>
      </c>
      <c r="E400" s="93"/>
      <c r="F400" s="98">
        <v>1.0569999999999999</v>
      </c>
      <c r="G400" s="98">
        <v>8.6734693877551106E-3</v>
      </c>
      <c r="H400" s="93"/>
      <c r="I400" s="102" t="str">
        <f t="shared" ref="I400:I411" si="86">IF($D400="Beta",((($F400*(1-$F400))/($G400^2))-1),"N/A")</f>
        <v>N/A</v>
      </c>
      <c r="J400" s="103" t="str">
        <f t="shared" ref="J400:J411" si="87">IF($D400="Beta",($F400*$I400),IF($D400="Gamma",(($F400^2)/($G400^2)),"N/A"))</f>
        <v>N/A</v>
      </c>
      <c r="K400" s="103" t="str">
        <f t="shared" ref="K400:K411" si="88">IF($D400="Beta",($J400*((1-$F400)/$F400)),IF($D400="Gamma",(($G400^2)/$F400),"N/A"))</f>
        <v>N/A</v>
      </c>
      <c r="L400" s="103">
        <f t="shared" ref="L400:L411" ca="1" si="89">IF($D400="Beta",(_xlfn.BETA.INV(RAND(),$J400,$K400)),IF($D400="Gamma",(_xlfn.GAMMA.INV(RAND(),$J400,$K400)),IF($D400="Log Normal",EXP(_xlfn.NORM.INV(RAND(),LN($F400),((LN($F400+1.96*$G400)-LN($F400-1.96*$G400))/(2*1.96)))),_xlfn.NORM.INV(RAND(),$F400,$G400))))</f>
        <v>1.0505110375673348</v>
      </c>
      <c r="M400" s="93"/>
      <c r="N400" s="98">
        <f>F400</f>
        <v>1.0569999999999999</v>
      </c>
      <c r="O400" s="93">
        <f t="shared" ref="O400:O411" ca="1" si="90">IF($B400=1,IF($C400=1,$L400,$F400),0)</f>
        <v>1.0505110375673348</v>
      </c>
      <c r="P400" s="104"/>
    </row>
    <row r="401" spans="1:16" s="98" customFormat="1" x14ac:dyDescent="0.25">
      <c r="A401" s="114" t="s">
        <v>160</v>
      </c>
      <c r="B401" s="93">
        <v>1</v>
      </c>
      <c r="C401" s="98">
        <v>1</v>
      </c>
      <c r="D401" s="98" t="s">
        <v>159</v>
      </c>
      <c r="E401" s="93"/>
      <c r="F401" s="98">
        <v>3.1E-2</v>
      </c>
      <c r="G401" s="98">
        <v>6.8877551020408165E-3</v>
      </c>
      <c r="H401" s="93"/>
      <c r="I401" s="102" t="str">
        <f t="shared" si="86"/>
        <v>N/A</v>
      </c>
      <c r="J401" s="103" t="str">
        <f t="shared" si="87"/>
        <v>N/A</v>
      </c>
      <c r="K401" s="103" t="str">
        <f t="shared" si="88"/>
        <v>N/A</v>
      </c>
      <c r="L401" s="103">
        <f t="shared" ca="1" si="89"/>
        <v>3.5689170333962607E-2</v>
      </c>
      <c r="M401" s="93"/>
      <c r="N401" s="98">
        <f t="shared" ref="N401:N411" si="91">F401</f>
        <v>3.1E-2</v>
      </c>
      <c r="O401" s="93">
        <f t="shared" ca="1" si="90"/>
        <v>3.5689170333962607E-2</v>
      </c>
      <c r="P401" s="104"/>
    </row>
    <row r="402" spans="1:16" s="98" customFormat="1" x14ac:dyDescent="0.25">
      <c r="A402" s="114" t="s">
        <v>126</v>
      </c>
      <c r="B402" s="93">
        <v>1</v>
      </c>
      <c r="C402" s="98">
        <v>1</v>
      </c>
      <c r="D402" s="98" t="s">
        <v>159</v>
      </c>
      <c r="E402" s="93"/>
      <c r="F402" s="98">
        <v>3.3000000000000002E-2</v>
      </c>
      <c r="G402" s="98">
        <v>7.1428571428571435E-3</v>
      </c>
      <c r="H402" s="93"/>
      <c r="I402" s="102" t="str">
        <f t="shared" si="86"/>
        <v>N/A</v>
      </c>
      <c r="J402" s="103" t="str">
        <f t="shared" si="87"/>
        <v>N/A</v>
      </c>
      <c r="K402" s="103" t="str">
        <f t="shared" si="88"/>
        <v>N/A</v>
      </c>
      <c r="L402" s="103">
        <f t="shared" ca="1" si="89"/>
        <v>3.3389751544707649E-2</v>
      </c>
      <c r="M402" s="93"/>
      <c r="N402" s="98">
        <f t="shared" si="91"/>
        <v>3.3000000000000002E-2</v>
      </c>
      <c r="O402" s="93">
        <f t="shared" ca="1" si="90"/>
        <v>3.3389751544707649E-2</v>
      </c>
      <c r="P402" s="104"/>
    </row>
    <row r="403" spans="1:16" s="98" customFormat="1" x14ac:dyDescent="0.25">
      <c r="A403" s="114" t="s">
        <v>127</v>
      </c>
      <c r="B403" s="93">
        <v>1</v>
      </c>
      <c r="C403" s="98">
        <v>1</v>
      </c>
      <c r="D403" s="98" t="s">
        <v>159</v>
      </c>
      <c r="E403" s="93"/>
      <c r="F403" s="98">
        <v>6.2E-2</v>
      </c>
      <c r="G403" s="98">
        <v>1.0204081632653062E-2</v>
      </c>
      <c r="H403" s="93"/>
      <c r="I403" s="102" t="str">
        <f t="shared" si="86"/>
        <v>N/A</v>
      </c>
      <c r="J403" s="103" t="str">
        <f t="shared" si="87"/>
        <v>N/A</v>
      </c>
      <c r="K403" s="103" t="str">
        <f t="shared" si="88"/>
        <v>N/A</v>
      </c>
      <c r="L403" s="103">
        <f t="shared" ca="1" si="89"/>
        <v>6.4994845571539075E-2</v>
      </c>
      <c r="M403" s="93"/>
      <c r="N403" s="98">
        <f t="shared" si="91"/>
        <v>6.2E-2</v>
      </c>
      <c r="O403" s="93">
        <f t="shared" ca="1" si="90"/>
        <v>6.4994845571539075E-2</v>
      </c>
      <c r="P403" s="104"/>
    </row>
    <row r="404" spans="1:16" s="98" customFormat="1" x14ac:dyDescent="0.25">
      <c r="A404" s="114" t="s">
        <v>128</v>
      </c>
      <c r="B404" s="93">
        <v>1</v>
      </c>
      <c r="C404" s="98">
        <v>1</v>
      </c>
      <c r="D404" s="98" t="s">
        <v>159</v>
      </c>
      <c r="E404" s="93"/>
      <c r="F404" s="98">
        <v>2.3E-2</v>
      </c>
      <c r="G404" s="98">
        <v>4.336734693877551E-3</v>
      </c>
      <c r="H404" s="93"/>
      <c r="I404" s="102" t="str">
        <f t="shared" si="86"/>
        <v>N/A</v>
      </c>
      <c r="J404" s="103" t="str">
        <f t="shared" si="87"/>
        <v>N/A</v>
      </c>
      <c r="K404" s="103" t="str">
        <f t="shared" si="88"/>
        <v>N/A</v>
      </c>
      <c r="L404" s="103">
        <f t="shared" ca="1" si="89"/>
        <v>1.6264866748239008E-2</v>
      </c>
      <c r="M404" s="93"/>
      <c r="N404" s="98">
        <f t="shared" si="91"/>
        <v>2.3E-2</v>
      </c>
      <c r="O404" s="93">
        <f t="shared" ca="1" si="90"/>
        <v>1.6264866748239008E-2</v>
      </c>
      <c r="P404" s="104"/>
    </row>
    <row r="405" spans="1:16" s="98" customFormat="1" x14ac:dyDescent="0.25">
      <c r="A405" s="114" t="s">
        <v>129</v>
      </c>
      <c r="B405" s="93">
        <v>1</v>
      </c>
      <c r="C405" s="98">
        <v>1</v>
      </c>
      <c r="D405" s="98" t="s">
        <v>159</v>
      </c>
      <c r="E405" s="93"/>
      <c r="F405" s="98">
        <v>1.4E-2</v>
      </c>
      <c r="G405" s="98">
        <v>3.8265306122448983E-3</v>
      </c>
      <c r="H405" s="93"/>
      <c r="I405" s="102" t="str">
        <f t="shared" si="86"/>
        <v>N/A</v>
      </c>
      <c r="J405" s="103" t="str">
        <f t="shared" si="87"/>
        <v>N/A</v>
      </c>
      <c r="K405" s="103" t="str">
        <f t="shared" si="88"/>
        <v>N/A</v>
      </c>
      <c r="L405" s="103">
        <f t="shared" ca="1" si="89"/>
        <v>-9.2420005435604052E-4</v>
      </c>
      <c r="M405" s="93"/>
      <c r="N405" s="98">
        <f t="shared" si="91"/>
        <v>1.4E-2</v>
      </c>
      <c r="O405" s="93">
        <f t="shared" ca="1" si="90"/>
        <v>-9.2420005435604052E-4</v>
      </c>
      <c r="P405" s="104"/>
    </row>
    <row r="406" spans="1:16" s="98" customFormat="1" x14ac:dyDescent="0.25">
      <c r="A406" s="114" t="s">
        <v>130</v>
      </c>
      <c r="B406" s="93">
        <v>1</v>
      </c>
      <c r="C406" s="98">
        <v>1</v>
      </c>
      <c r="D406" s="98" t="s">
        <v>159</v>
      </c>
      <c r="E406" s="93"/>
      <c r="F406" s="98">
        <v>3.3000000000000002E-2</v>
      </c>
      <c r="G406" s="98">
        <v>6.3775510204081625E-3</v>
      </c>
      <c r="H406" s="93"/>
      <c r="I406" s="102" t="str">
        <f t="shared" si="86"/>
        <v>N/A</v>
      </c>
      <c r="J406" s="103" t="str">
        <f t="shared" si="87"/>
        <v>N/A</v>
      </c>
      <c r="K406" s="103" t="str">
        <f t="shared" si="88"/>
        <v>N/A</v>
      </c>
      <c r="L406" s="103">
        <f t="shared" ca="1" si="89"/>
        <v>3.8952207472912524E-2</v>
      </c>
      <c r="M406" s="93"/>
      <c r="N406" s="98">
        <f t="shared" si="91"/>
        <v>3.3000000000000002E-2</v>
      </c>
      <c r="O406" s="93">
        <f t="shared" ca="1" si="90"/>
        <v>3.8952207472912524E-2</v>
      </c>
      <c r="P406" s="104"/>
    </row>
    <row r="407" spans="1:16" s="98" customFormat="1" x14ac:dyDescent="0.25">
      <c r="A407" s="114" t="s">
        <v>131</v>
      </c>
      <c r="B407" s="93">
        <v>1</v>
      </c>
      <c r="C407" s="98">
        <v>1</v>
      </c>
      <c r="D407" s="98" t="s">
        <v>159</v>
      </c>
      <c r="E407" s="93"/>
      <c r="F407" s="98">
        <v>4.5999999999999999E-2</v>
      </c>
      <c r="G407" s="98">
        <v>7.3979591836734688E-3</v>
      </c>
      <c r="H407" s="93"/>
      <c r="I407" s="102" t="str">
        <f t="shared" si="86"/>
        <v>N/A</v>
      </c>
      <c r="J407" s="103" t="str">
        <f t="shared" si="87"/>
        <v>N/A</v>
      </c>
      <c r="K407" s="103" t="str">
        <f t="shared" si="88"/>
        <v>N/A</v>
      </c>
      <c r="L407" s="103">
        <f t="shared" ca="1" si="89"/>
        <v>4.961083138809539E-2</v>
      </c>
      <c r="M407" s="93"/>
      <c r="N407" s="98">
        <f t="shared" si="91"/>
        <v>4.5999999999999999E-2</v>
      </c>
      <c r="O407" s="93">
        <f t="shared" ca="1" si="90"/>
        <v>4.961083138809539E-2</v>
      </c>
      <c r="P407" s="104"/>
    </row>
    <row r="408" spans="1:16" s="98" customFormat="1" x14ac:dyDescent="0.25">
      <c r="A408" s="114" t="s">
        <v>132</v>
      </c>
      <c r="B408" s="93">
        <v>1</v>
      </c>
      <c r="C408" s="98">
        <v>1</v>
      </c>
      <c r="D408" s="98" t="s">
        <v>159</v>
      </c>
      <c r="E408" s="93"/>
      <c r="F408" s="98">
        <v>0.08</v>
      </c>
      <c r="G408" s="98">
        <v>7.6530612244897957E-3</v>
      </c>
      <c r="H408" s="93"/>
      <c r="I408" s="102" t="str">
        <f t="shared" si="86"/>
        <v>N/A</v>
      </c>
      <c r="J408" s="103" t="str">
        <f t="shared" si="87"/>
        <v>N/A</v>
      </c>
      <c r="K408" s="103" t="str">
        <f t="shared" si="88"/>
        <v>N/A</v>
      </c>
      <c r="L408" s="103">
        <f t="shared" ca="1" si="89"/>
        <v>7.9516538282869559E-2</v>
      </c>
      <c r="M408" s="93"/>
      <c r="N408" s="98">
        <f t="shared" si="91"/>
        <v>0.08</v>
      </c>
      <c r="O408" s="93">
        <f t="shared" ca="1" si="90"/>
        <v>7.9516538282869559E-2</v>
      </c>
      <c r="P408" s="104"/>
    </row>
    <row r="409" spans="1:16" s="98" customFormat="1" x14ac:dyDescent="0.25">
      <c r="A409" s="114" t="s">
        <v>133</v>
      </c>
      <c r="B409" s="93">
        <v>1</v>
      </c>
      <c r="C409" s="98">
        <v>1</v>
      </c>
      <c r="D409" s="98" t="s">
        <v>159</v>
      </c>
      <c r="E409" s="93"/>
      <c r="F409" s="98">
        <v>0.1</v>
      </c>
      <c r="G409" s="98">
        <v>7.9081632653061219E-3</v>
      </c>
      <c r="H409" s="93"/>
      <c r="I409" s="102" t="str">
        <f t="shared" si="86"/>
        <v>N/A</v>
      </c>
      <c r="J409" s="103" t="str">
        <f t="shared" si="87"/>
        <v>N/A</v>
      </c>
      <c r="K409" s="103" t="str">
        <f t="shared" si="88"/>
        <v>N/A</v>
      </c>
      <c r="L409" s="103">
        <f t="shared" ca="1" si="89"/>
        <v>0.10871035683019248</v>
      </c>
      <c r="M409" s="93"/>
      <c r="N409" s="98">
        <f t="shared" si="91"/>
        <v>0.1</v>
      </c>
      <c r="O409" s="93">
        <f t="shared" ca="1" si="90"/>
        <v>0.10871035683019248</v>
      </c>
      <c r="P409" s="104"/>
    </row>
    <row r="410" spans="1:16" s="98" customFormat="1" x14ac:dyDescent="0.25">
      <c r="A410" s="114" t="s">
        <v>134</v>
      </c>
      <c r="B410" s="93">
        <v>1</v>
      </c>
      <c r="C410" s="98">
        <v>1</v>
      </c>
      <c r="D410" s="98" t="s">
        <v>159</v>
      </c>
      <c r="E410" s="93"/>
      <c r="F410" s="98">
        <v>0.107</v>
      </c>
      <c r="G410" s="98">
        <v>9.4387755102040838E-3</v>
      </c>
      <c r="H410" s="93"/>
      <c r="I410" s="102" t="str">
        <f t="shared" si="86"/>
        <v>N/A</v>
      </c>
      <c r="J410" s="103" t="str">
        <f t="shared" si="87"/>
        <v>N/A</v>
      </c>
      <c r="K410" s="103" t="str">
        <f t="shared" si="88"/>
        <v>N/A</v>
      </c>
      <c r="L410" s="103">
        <f t="shared" ca="1" si="89"/>
        <v>0.1072776990303228</v>
      </c>
      <c r="M410" s="93"/>
      <c r="N410" s="98">
        <f t="shared" si="91"/>
        <v>0.107</v>
      </c>
      <c r="O410" s="93">
        <f t="shared" ca="1" si="90"/>
        <v>0.1072776990303228</v>
      </c>
      <c r="P410" s="104"/>
    </row>
    <row r="411" spans="1:16" s="98" customFormat="1" x14ac:dyDescent="0.25">
      <c r="A411" s="114" t="s">
        <v>135</v>
      </c>
      <c r="B411" s="93">
        <v>1</v>
      </c>
      <c r="C411" s="98">
        <v>1</v>
      </c>
      <c r="D411" s="98" t="s">
        <v>159</v>
      </c>
      <c r="E411" s="93"/>
      <c r="F411" s="98">
        <v>0.11899999999999999</v>
      </c>
      <c r="G411" s="98">
        <v>1.0714285714285716E-2</v>
      </c>
      <c r="H411" s="93"/>
      <c r="I411" s="102" t="str">
        <f t="shared" si="86"/>
        <v>N/A</v>
      </c>
      <c r="J411" s="103" t="str">
        <f t="shared" si="87"/>
        <v>N/A</v>
      </c>
      <c r="K411" s="103" t="str">
        <f t="shared" si="88"/>
        <v>N/A</v>
      </c>
      <c r="L411" s="103">
        <f t="shared" ca="1" si="89"/>
        <v>0.1114111698703002</v>
      </c>
      <c r="M411" s="93"/>
      <c r="N411" s="98">
        <f t="shared" si="91"/>
        <v>0.11899999999999999</v>
      </c>
      <c r="O411" s="93">
        <f t="shared" ca="1" si="90"/>
        <v>0.1114111698703002</v>
      </c>
      <c r="P411" s="104"/>
    </row>
    <row r="412" spans="1:16" s="98" customFormat="1" x14ac:dyDescent="0.25">
      <c r="A412" s="168"/>
      <c r="B412" s="104"/>
      <c r="C412" s="104"/>
      <c r="D412" s="104"/>
      <c r="E412" s="104"/>
      <c r="F412" s="104"/>
      <c r="G412" s="161"/>
      <c r="H412" s="161"/>
      <c r="I412" s="104"/>
      <c r="J412" s="167"/>
      <c r="K412" s="169"/>
      <c r="L412" s="169"/>
      <c r="M412" s="167"/>
      <c r="N412" s="104"/>
      <c r="O412" s="104"/>
      <c r="P412" s="104"/>
    </row>
    <row r="413" spans="1:16" s="98" customFormat="1" x14ac:dyDescent="0.25">
      <c r="A413" s="568" t="s">
        <v>429</v>
      </c>
      <c r="B413" s="569"/>
      <c r="C413" s="569"/>
      <c r="D413" s="569"/>
      <c r="E413" s="569"/>
      <c r="F413" s="569"/>
      <c r="G413" s="569"/>
      <c r="H413" s="569"/>
      <c r="I413" s="569"/>
      <c r="J413" s="569"/>
      <c r="K413" s="569"/>
      <c r="L413" s="569"/>
      <c r="M413" s="569"/>
      <c r="N413" s="569"/>
      <c r="O413" s="569"/>
      <c r="P413" s="104"/>
    </row>
    <row r="414" spans="1:16" s="98" customFormat="1" x14ac:dyDescent="0.25">
      <c r="A414" s="112" t="s">
        <v>99</v>
      </c>
      <c r="B414" s="107" t="s">
        <v>155</v>
      </c>
      <c r="C414" s="106" t="s">
        <v>113</v>
      </c>
      <c r="D414" s="106" t="s">
        <v>15</v>
      </c>
      <c r="E414" s="107"/>
      <c r="F414" s="107" t="s">
        <v>4</v>
      </c>
      <c r="G414" s="106" t="s">
        <v>19</v>
      </c>
      <c r="H414" s="107"/>
      <c r="I414" s="108" t="s">
        <v>108</v>
      </c>
      <c r="J414" s="109" t="s">
        <v>22</v>
      </c>
      <c r="K414" s="109" t="s">
        <v>23</v>
      </c>
      <c r="L414" s="109" t="s">
        <v>100</v>
      </c>
      <c r="M414" s="107"/>
      <c r="N414" s="107" t="s">
        <v>14</v>
      </c>
      <c r="O414" s="107" t="s">
        <v>25</v>
      </c>
      <c r="P414" s="104"/>
    </row>
    <row r="415" spans="1:16" s="98" customFormat="1" x14ac:dyDescent="0.25">
      <c r="A415" s="114" t="s">
        <v>136</v>
      </c>
      <c r="B415" s="93">
        <v>1</v>
      </c>
      <c r="C415" s="98">
        <v>1</v>
      </c>
      <c r="D415" s="98" t="s">
        <v>17</v>
      </c>
      <c r="E415" s="93"/>
      <c r="F415" s="98">
        <v>0.01</v>
      </c>
      <c r="G415" s="98">
        <v>1E-3</v>
      </c>
      <c r="H415" s="93"/>
      <c r="I415" s="102">
        <f>IF($D415="Beta",((($F415*(1-$F415))/($G415^2))-1),"N/A")</f>
        <v>9899.0000000000018</v>
      </c>
      <c r="J415" s="103">
        <f>IF($D415="Beta",($F415*$I415),IF($D415="Gamma",(($F415^2)/($G415^2)),"N/A"))</f>
        <v>98.990000000000023</v>
      </c>
      <c r="K415" s="103">
        <f>IF($D415="Beta",($J415*((1-$F415)/$F415)),IF($D415="Gamma",(($G415^2)/$F415),"N/A"))</f>
        <v>9800.010000000002</v>
      </c>
      <c r="L415" s="103">
        <f ca="1">IF($D415="Beta",(_xlfn.BETA.INV(RAND(),$J415,$K415)),IF($D415="Gamma",(_xlfn.GAMMA.INV(RAND(),$J415,$K415)),IF($D415="Log Normal",EXP(_xlfn.NORM.INV(RAND(),LN($F415),((LN($F415+1.96*$G415)-LN($F415-1.96*$G415))/(2*1.96)))),_xlfn.NORM.INV(RAND(),$F415,$G415))))</f>
        <v>1.0321673792347386E-2</v>
      </c>
      <c r="M415" s="93"/>
      <c r="N415" s="98">
        <f>F415</f>
        <v>0.01</v>
      </c>
      <c r="O415" s="93">
        <f ca="1">IF($B415=1,IF($C415=1,$L415,$F415),0)</f>
        <v>1.0321673792347386E-2</v>
      </c>
      <c r="P415" s="104"/>
    </row>
    <row r="416" spans="1:16" s="98" customFormat="1" x14ac:dyDescent="0.25">
      <c r="A416" s="114" t="s">
        <v>137</v>
      </c>
      <c r="B416" s="93">
        <v>1</v>
      </c>
      <c r="C416" s="98">
        <v>1</v>
      </c>
      <c r="D416" s="98" t="s">
        <v>17</v>
      </c>
      <c r="E416" s="93"/>
      <c r="F416" s="98">
        <v>0.1</v>
      </c>
      <c r="G416" s="98">
        <v>1.0000000000000002E-2</v>
      </c>
      <c r="H416" s="93"/>
      <c r="I416" s="102">
        <f>IF($D416="Beta",((($F416*(1-$F416))/($G416^2))-1),"N/A")</f>
        <v>898.99999999999966</v>
      </c>
      <c r="J416" s="103">
        <f>IF($D416="Beta",($F416*$I416),IF($D416="Gamma",(($F416^2)/($G416^2)),"N/A"))</f>
        <v>89.899999999999977</v>
      </c>
      <c r="K416" s="103">
        <f>IF($D416="Beta",($J416*((1-$F416)/$F416)),IF($D416="Gamma",(($G416^2)/$F416),"N/A"))</f>
        <v>809.0999999999998</v>
      </c>
      <c r="L416" s="103">
        <f ca="1">IF($D416="Beta",(_xlfn.BETA.INV(RAND(),$J416,$K416)),IF($D416="Gamma",(_xlfn.GAMMA.INV(RAND(),$J416,$K416)),IF($D416="Log Normal",EXP(_xlfn.NORM.INV(RAND(),LN($F416),((LN($F416+1.96*$G416)-LN($F416-1.96*$G416))/(2*1.96)))),_xlfn.NORM.INV(RAND(),$F416,$G416))))</f>
        <v>9.9462236768973755E-2</v>
      </c>
      <c r="M416" s="93"/>
      <c r="N416" s="98">
        <f>F416</f>
        <v>0.1</v>
      </c>
      <c r="O416" s="93">
        <f ca="1">IF($B416=1,IF($C416=1,$L416,$F416),0)</f>
        <v>9.9462236768973755E-2</v>
      </c>
      <c r="P416" s="104"/>
    </row>
    <row r="417" spans="1:23" s="98" customFormat="1" x14ac:dyDescent="0.25">
      <c r="A417" s="168"/>
      <c r="B417" s="104"/>
      <c r="C417" s="104"/>
      <c r="D417" s="104"/>
      <c r="E417" s="104"/>
      <c r="F417" s="104"/>
      <c r="G417" s="161"/>
      <c r="H417" s="161"/>
      <c r="I417" s="104"/>
      <c r="J417" s="167"/>
      <c r="K417" s="169"/>
      <c r="L417" s="169"/>
      <c r="M417" s="167"/>
      <c r="N417" s="104"/>
      <c r="O417" s="104"/>
      <c r="P417" s="104"/>
    </row>
    <row r="418" spans="1:23" s="98" customFormat="1" x14ac:dyDescent="0.25">
      <c r="A418" s="568" t="s">
        <v>430</v>
      </c>
      <c r="B418" s="569"/>
      <c r="C418" s="569"/>
      <c r="D418" s="569"/>
      <c r="E418" s="569"/>
      <c r="F418" s="569"/>
      <c r="G418" s="569"/>
      <c r="H418" s="569"/>
      <c r="I418" s="569"/>
      <c r="J418" s="569"/>
      <c r="K418" s="569"/>
      <c r="L418" s="569"/>
      <c r="M418" s="569"/>
      <c r="N418" s="569"/>
      <c r="O418" s="569"/>
      <c r="P418" s="104"/>
    </row>
    <row r="419" spans="1:23" s="98" customFormat="1" x14ac:dyDescent="0.25">
      <c r="A419" s="112" t="s">
        <v>99</v>
      </c>
      <c r="B419" s="107" t="s">
        <v>155</v>
      </c>
      <c r="C419" s="106" t="s">
        <v>113</v>
      </c>
      <c r="D419" s="106" t="s">
        <v>15</v>
      </c>
      <c r="E419" s="107"/>
      <c r="F419" s="107" t="s">
        <v>4</v>
      </c>
      <c r="G419" s="106" t="s">
        <v>19</v>
      </c>
      <c r="H419" s="107"/>
      <c r="I419" s="108" t="s">
        <v>108</v>
      </c>
      <c r="J419" s="109" t="s">
        <v>22</v>
      </c>
      <c r="K419" s="109" t="s">
        <v>23</v>
      </c>
      <c r="L419" s="109" t="s">
        <v>100</v>
      </c>
      <c r="M419" s="107"/>
      <c r="N419" s="107" t="s">
        <v>14</v>
      </c>
      <c r="O419" s="107" t="s">
        <v>25</v>
      </c>
      <c r="P419" s="104"/>
    </row>
    <row r="420" spans="1:23" s="98" customFormat="1" x14ac:dyDescent="0.25">
      <c r="A420" s="122" t="s">
        <v>179</v>
      </c>
      <c r="B420" s="120">
        <v>1</v>
      </c>
      <c r="C420" s="122">
        <v>1</v>
      </c>
      <c r="D420" s="122" t="s">
        <v>17</v>
      </c>
      <c r="E420" s="120"/>
      <c r="F420" s="120">
        <v>0.73</v>
      </c>
      <c r="G420" s="122">
        <v>0.3</v>
      </c>
      <c r="H420" s="120"/>
      <c r="I420" s="102">
        <f>IF($D420="Beta",((($F420*(1-$F420))/($G420^2))-1),"N/A")</f>
        <v>1.19</v>
      </c>
      <c r="J420" s="103">
        <f>IF($D420="Beta",($F420*$I420),IF($D420="Gamma",(($F420^2)/($G420^2)),"N/A"))</f>
        <v>0.86869999999999992</v>
      </c>
      <c r="K420" s="103">
        <f>IF($D420="Beta",($J420*((1-$F420)/$F420)),IF($D420="Gamma",(($G420^2)/$F420),"N/A"))</f>
        <v>0.32129999999999997</v>
      </c>
      <c r="L420" s="103">
        <f ca="1">IF($D420="Beta",(_xlfn.BETA.INV(RAND(),$J420,$K420)),IF($D420="Gamma",(_xlfn.GAMMA.INV(RAND(),$J420,$K420)),IF($D420="Log Normal",EXP(_xlfn.NORM.INV(RAND(),LN($F420),((LN($F420+1.96*$G420)-LN($F420-1.96*$G420))/(2*1.96)))),_xlfn.NORM.INV(RAND(),$F420,$G420))))</f>
        <v>0.1579828410752866</v>
      </c>
      <c r="M420" s="120"/>
      <c r="N420" s="98">
        <f>DET_UTIL_chd</f>
        <v>0.73</v>
      </c>
      <c r="O420" s="120">
        <f ca="1">IF($B420=1,IF($C420=1,$L420,$F420),0)</f>
        <v>0.1579828410752866</v>
      </c>
      <c r="P420" s="120"/>
      <c r="Q420" s="120"/>
    </row>
    <row r="421" spans="1:23" s="98" customFormat="1" x14ac:dyDescent="0.25">
      <c r="A421" s="122" t="s">
        <v>180</v>
      </c>
      <c r="B421" s="120">
        <v>1</v>
      </c>
      <c r="C421" s="122">
        <v>1</v>
      </c>
      <c r="D421" s="122" t="s">
        <v>17</v>
      </c>
      <c r="E421" s="120"/>
      <c r="F421" s="120">
        <v>0.73</v>
      </c>
      <c r="G421" s="122">
        <v>0.23</v>
      </c>
      <c r="H421" s="120"/>
      <c r="I421" s="102">
        <f>IF($D421="Beta",((($F421*(1-$F421))/($G421^2))-1),"N/A")</f>
        <v>2.7258979206049148</v>
      </c>
      <c r="J421" s="103">
        <f>IF($D421="Beta",($F421*$I421),IF($D421="Gamma",(($F421^2)/($G421^2)),"N/A"))</f>
        <v>1.9899054820415878</v>
      </c>
      <c r="K421" s="103">
        <f>IF($D421="Beta",($J421*((1-$F421)/$F421)),IF($D421="Gamma",(($G421^2)/$F421),"N/A"))</f>
        <v>0.73599243856332708</v>
      </c>
      <c r="L421" s="103">
        <f ca="1">IF($D421="Beta",(_xlfn.BETA.INV(RAND(),$J421,$K421)),IF($D421="Gamma",(_xlfn.GAMMA.INV(RAND(),$J421,$K421)),IF($D421="Log Normal",EXP(_xlfn.NORM.INV(RAND(),LN($F421),((LN($F421+1.96*$G421)-LN($F421-1.96*$G421))/(2*1.96)))),_xlfn.NORM.INV(RAND(),$F421,$G421))))</f>
        <v>0.91685897293411278</v>
      </c>
      <c r="M421" s="120"/>
      <c r="N421" s="98">
        <f>DET_UTIL_copd</f>
        <v>0.73</v>
      </c>
      <c r="O421" s="120">
        <f ca="1">IF($B421=1,IF($C421=1,$L421,$F421),0)</f>
        <v>0.91685897293411278</v>
      </c>
      <c r="P421" s="120"/>
      <c r="Q421" s="120"/>
    </row>
    <row r="422" spans="1:23" s="98" customFormat="1" x14ac:dyDescent="0.25">
      <c r="A422" s="122" t="s">
        <v>181</v>
      </c>
      <c r="B422" s="120">
        <v>1</v>
      </c>
      <c r="C422" s="122">
        <v>1</v>
      </c>
      <c r="D422" s="122" t="s">
        <v>17</v>
      </c>
      <c r="E422" s="120"/>
      <c r="F422" s="120">
        <v>0.67</v>
      </c>
      <c r="G422" s="122">
        <v>0.22</v>
      </c>
      <c r="H422" s="120"/>
      <c r="I422" s="102">
        <f>IF($D422="Beta",((($F422*(1-$F422))/($G422^2))-1),"N/A")</f>
        <v>3.5681818181818183</v>
      </c>
      <c r="J422" s="103">
        <f>IF($D422="Beta",($F422*$I422),IF($D422="Gamma",(($F422^2)/($G422^2)),"N/A"))</f>
        <v>2.3906818181818186</v>
      </c>
      <c r="K422" s="103">
        <f>IF($D422="Beta",($J422*((1-$F422)/$F422)),IF($D422="Gamma",(($G422^2)/$F422),"N/A"))</f>
        <v>1.1775</v>
      </c>
      <c r="L422" s="103">
        <f ca="1">IF($D422="Beta",(_xlfn.BETA.INV(RAND(),$J422,$K422)),IF($D422="Gamma",(_xlfn.GAMMA.INV(RAND(),$J422,$K422)),IF($D422="Log Normal",EXP(_xlfn.NORM.INV(RAND(),LN($F422),((LN($F422+1.96*$G422)-LN($F422-1.96*$G422))/(2*1.96)))),_xlfn.NORM.INV(RAND(),$F422,$G422))))</f>
        <v>0.93981115885763411</v>
      </c>
      <c r="M422" s="120"/>
      <c r="N422" s="98">
        <f>DET_UTIL_lc</f>
        <v>0.67</v>
      </c>
      <c r="O422" s="120">
        <f ca="1">IF($B422=1,IF($C422=1,$L422,$F422),0)</f>
        <v>0.93981115885763411</v>
      </c>
      <c r="P422" s="120"/>
      <c r="Q422" s="120"/>
    </row>
    <row r="423" spans="1:23" s="98" customFormat="1" x14ac:dyDescent="0.25">
      <c r="A423" s="122" t="s">
        <v>182</v>
      </c>
      <c r="B423" s="120">
        <v>1</v>
      </c>
      <c r="C423" s="122">
        <v>1</v>
      </c>
      <c r="D423" s="122" t="s">
        <v>17</v>
      </c>
      <c r="E423" s="120"/>
      <c r="F423" s="120">
        <v>0.72</v>
      </c>
      <c r="G423" s="122">
        <v>0.32</v>
      </c>
      <c r="H423" s="120"/>
      <c r="I423" s="102">
        <f>IF($D423="Beta",((($F423*(1-$F423))/($G423^2))-1),"N/A")</f>
        <v>0.96875</v>
      </c>
      <c r="J423" s="103">
        <f>IF($D423="Beta",($F423*$I423),IF($D423="Gamma",(($F423^2)/($G423^2)),"N/A"))</f>
        <v>0.69750000000000001</v>
      </c>
      <c r="K423" s="103">
        <f>IF($D423="Beta",($J423*((1-$F423)/$F423)),IF($D423="Gamma",(($G423^2)/$F423),"N/A"))</f>
        <v>0.27125000000000005</v>
      </c>
      <c r="L423" s="103">
        <f ca="1">IF($D423="Beta",(_xlfn.BETA.INV(RAND(),$J423,$K423)),IF($D423="Gamma",(_xlfn.GAMMA.INV(RAND(),$J423,$K423)),IF($D423="Log Normal",EXP(_xlfn.NORM.INV(RAND(),LN($F423),((LN($F423+1.96*$G423)-LN($F423-1.96*$G423))/(2*1.96)))),_xlfn.NORM.INV(RAND(),$F423,$G423))))</f>
        <v>0.52335056797389112</v>
      </c>
      <c r="M423" s="120"/>
      <c r="N423" s="98">
        <f>DET_UTIL_stroke</f>
        <v>0.72</v>
      </c>
      <c r="O423" s="120">
        <f ca="1">IF($B423=1,IF($C423=1,$L423,$F423),0)</f>
        <v>0.52335056797389112</v>
      </c>
      <c r="P423" s="120"/>
      <c r="Q423" s="120"/>
    </row>
    <row r="424" spans="1:23" s="98" customFormat="1" x14ac:dyDescent="0.25">
      <c r="A424" s="168"/>
      <c r="B424" s="104"/>
      <c r="C424" s="104"/>
      <c r="D424" s="104"/>
      <c r="E424" s="104"/>
      <c r="F424" s="104"/>
      <c r="G424" s="161"/>
      <c r="H424" s="161"/>
      <c r="I424" s="104"/>
      <c r="J424" s="167"/>
      <c r="K424" s="169"/>
      <c r="L424" s="169"/>
      <c r="M424" s="167"/>
      <c r="N424" s="104"/>
      <c r="O424" s="104"/>
      <c r="P424" s="104"/>
    </row>
    <row r="425" spans="1:23" s="98" customFormat="1" x14ac:dyDescent="0.25">
      <c r="A425" s="568" t="s">
        <v>431</v>
      </c>
      <c r="B425" s="569"/>
      <c r="C425" s="569"/>
      <c r="D425" s="569"/>
      <c r="E425" s="569"/>
      <c r="F425" s="569"/>
      <c r="G425" s="569"/>
      <c r="H425" s="569"/>
      <c r="I425" s="569"/>
      <c r="J425" s="569"/>
      <c r="K425" s="569"/>
      <c r="L425" s="569"/>
      <c r="M425" s="569"/>
      <c r="N425" s="569"/>
      <c r="O425" s="569"/>
      <c r="P425" s="104"/>
    </row>
    <row r="426" spans="1:23" s="98" customFormat="1" x14ac:dyDescent="0.25">
      <c r="A426" s="112" t="s">
        <v>99</v>
      </c>
      <c r="B426" s="107" t="s">
        <v>155</v>
      </c>
      <c r="C426" s="106" t="s">
        <v>113</v>
      </c>
      <c r="D426" s="106" t="s">
        <v>15</v>
      </c>
      <c r="E426" s="107"/>
      <c r="F426" s="107" t="s">
        <v>4</v>
      </c>
      <c r="G426" s="106" t="s">
        <v>19</v>
      </c>
      <c r="H426" s="107"/>
      <c r="I426" s="108" t="s">
        <v>108</v>
      </c>
      <c r="J426" s="109" t="s">
        <v>22</v>
      </c>
      <c r="K426" s="109" t="s">
        <v>23</v>
      </c>
      <c r="L426" s="109" t="s">
        <v>100</v>
      </c>
      <c r="M426" s="107"/>
      <c r="N426" s="107" t="s">
        <v>14</v>
      </c>
      <c r="O426" s="107" t="s">
        <v>25</v>
      </c>
      <c r="P426" s="104"/>
    </row>
    <row r="427" spans="1:23" s="98" customFormat="1" x14ac:dyDescent="0.25">
      <c r="A427" s="114" t="s">
        <v>910</v>
      </c>
      <c r="B427" s="93">
        <v>1</v>
      </c>
      <c r="C427" s="98">
        <v>0</v>
      </c>
      <c r="D427" s="98" t="s">
        <v>17</v>
      </c>
      <c r="E427" s="93"/>
      <c r="F427" s="98">
        <v>1</v>
      </c>
      <c r="G427" s="98">
        <v>0</v>
      </c>
      <c r="H427" s="93"/>
      <c r="I427" s="102" t="e">
        <f>IF($D427="Beta",((($F427*(1-$F427))/($G427^2))-1),"N/A")</f>
        <v>#DIV/0!</v>
      </c>
      <c r="J427" s="103" t="e">
        <f>IF($D427="Beta",($F427*$I427),IF($D427="Gamma",(($F427^2)/($G427^2)),"N/A"))</f>
        <v>#DIV/0!</v>
      </c>
      <c r="K427" s="103" t="e">
        <f>IF($D427="Beta",($J427*((1-$F427)/$F427)),IF($D427="Gamma",(($G427^2)/$F427),"N/A"))</f>
        <v>#DIV/0!</v>
      </c>
      <c r="L427" s="103" t="e">
        <f ca="1">IF($D427="Beta",(_xlfn.BETA.INV(RAND(),$J427,$K427)),IF($D427="Gamma",(_xlfn.GAMMA.INV(RAND(),$J427,$K427)),IF($D427="Log Normal",EXP(_xlfn.NORM.INV(RAND(),LN($F427),((LN($F427+1.96*$G427)-LN($F427-1.96*$G427))/(2*1.96)))),_xlfn.NORM.INV(RAND(),$F427,$G427))))</f>
        <v>#DIV/0!</v>
      </c>
      <c r="M427" s="93"/>
      <c r="N427" s="98">
        <f>F427</f>
        <v>1</v>
      </c>
      <c r="O427" s="93">
        <f>IF($B427=1,IF($C427=1,$L427,$F427),0)</f>
        <v>1</v>
      </c>
      <c r="P427" s="104"/>
    </row>
    <row r="428" spans="1:23" s="98" customFormat="1" x14ac:dyDescent="0.25">
      <c r="A428" s="114" t="s">
        <v>909</v>
      </c>
      <c r="B428" s="93">
        <v>1</v>
      </c>
      <c r="C428" s="98">
        <v>1</v>
      </c>
      <c r="D428" s="98" t="s">
        <v>17</v>
      </c>
      <c r="E428" s="93"/>
      <c r="F428" s="98">
        <v>0.9</v>
      </c>
      <c r="G428" s="98">
        <v>0.18</v>
      </c>
      <c r="H428" s="93"/>
      <c r="I428" s="102">
        <f>IF($D428="Beta",((($F428*(1-$F428))/($G428^2))-1),"N/A")</f>
        <v>1.7777777777777772</v>
      </c>
      <c r="J428" s="103">
        <f>IF($D428="Beta",($F428*$I428),IF($D428="Gamma",(($F428^2)/($G428^2)),"N/A"))</f>
        <v>1.5999999999999996</v>
      </c>
      <c r="K428" s="103">
        <f>IF($D428="Beta",($J428*((1-$F428)/$F428)),IF($D428="Gamma",(($G428^2)/$F428),"N/A"))</f>
        <v>0.17777777777777767</v>
      </c>
      <c r="L428" s="103">
        <f ca="1">IF($D428="Beta",(_xlfn.BETA.INV(RAND(),$J428,$K428)),IF($D428="Gamma",(_xlfn.GAMMA.INV(RAND(),$J428,$K428)),IF($D428="Log Normal",EXP(_xlfn.NORM.INV(RAND(),LN($F428),((LN($F428+1.96*$G428)-LN($F428-1.96*$G428))/(2*1.96)))),_xlfn.NORM.INV(RAND(),$F428,$G428))))</f>
        <v>0.99999999998335021</v>
      </c>
      <c r="M428" s="93"/>
      <c r="N428" s="98">
        <f>F428</f>
        <v>0.9</v>
      </c>
      <c r="O428" s="93">
        <f ca="1">IF($B428=1,IF($C428=1,$L428,$F428),0)</f>
        <v>0.99999999998335021</v>
      </c>
      <c r="P428" s="104"/>
    </row>
    <row r="429" spans="1:23" s="98" customFormat="1" x14ac:dyDescent="0.25">
      <c r="A429" s="168"/>
      <c r="B429" s="104"/>
      <c r="C429" s="104"/>
      <c r="D429" s="104"/>
      <c r="E429" s="104"/>
      <c r="F429" s="104"/>
      <c r="G429" s="161"/>
      <c r="H429" s="161"/>
      <c r="I429" s="104"/>
      <c r="J429" s="167"/>
      <c r="K429" s="169"/>
      <c r="L429" s="169"/>
      <c r="M429" s="167"/>
      <c r="N429" s="104"/>
      <c r="O429" s="104"/>
      <c r="P429" s="104"/>
    </row>
    <row r="430" spans="1:23" s="98" customFormat="1" x14ac:dyDescent="0.25">
      <c r="A430" s="568" t="s">
        <v>432</v>
      </c>
      <c r="B430" s="569"/>
      <c r="C430" s="569"/>
      <c r="D430" s="569"/>
      <c r="E430" s="569"/>
      <c r="F430" s="569"/>
      <c r="G430" s="569"/>
      <c r="H430" s="569"/>
      <c r="I430" s="569"/>
      <c r="J430" s="569"/>
      <c r="K430" s="569"/>
      <c r="L430" s="569"/>
      <c r="M430" s="569"/>
      <c r="N430" s="569"/>
      <c r="O430" s="569"/>
      <c r="P430" s="569"/>
      <c r="Q430" s="569"/>
      <c r="R430" s="569"/>
      <c r="S430" s="569"/>
      <c r="T430" s="569"/>
      <c r="U430" s="569"/>
      <c r="V430" s="569"/>
      <c r="W430" s="570"/>
    </row>
    <row r="431" spans="1:23" s="98" customFormat="1" x14ac:dyDescent="0.25">
      <c r="A431" s="112" t="s">
        <v>99</v>
      </c>
      <c r="B431" s="107" t="s">
        <v>155</v>
      </c>
      <c r="C431" s="106" t="s">
        <v>113</v>
      </c>
      <c r="D431" s="106" t="s">
        <v>15</v>
      </c>
      <c r="E431" s="107"/>
      <c r="F431" s="107" t="s">
        <v>4</v>
      </c>
      <c r="G431" s="106" t="s">
        <v>19</v>
      </c>
      <c r="H431" s="107"/>
      <c r="I431" s="108" t="s">
        <v>108</v>
      </c>
      <c r="J431" s="109" t="s">
        <v>22</v>
      </c>
      <c r="K431" s="109" t="s">
        <v>23</v>
      </c>
      <c r="L431" s="109" t="s">
        <v>100</v>
      </c>
      <c r="M431" s="107"/>
      <c r="N431" s="107" t="s">
        <v>14</v>
      </c>
      <c r="O431" s="107" t="s">
        <v>25</v>
      </c>
      <c r="Q431" s="91"/>
      <c r="R431" s="91"/>
      <c r="S431" s="91"/>
      <c r="T431" s="91"/>
      <c r="U431" s="91"/>
      <c r="V431" s="91"/>
      <c r="W431" s="91"/>
    </row>
    <row r="432" spans="1:23" s="98" customFormat="1" x14ac:dyDescent="0.25">
      <c r="A432" s="162" t="s">
        <v>1029</v>
      </c>
      <c r="B432" s="93">
        <v>1</v>
      </c>
      <c r="C432" s="98">
        <v>1</v>
      </c>
      <c r="D432" s="98" t="s">
        <v>158</v>
      </c>
      <c r="E432" s="93"/>
      <c r="F432" s="93">
        <f>'Program sheet'!J6</f>
        <v>0</v>
      </c>
      <c r="G432" s="98">
        <f>'Program sheet'!K6</f>
        <v>0</v>
      </c>
      <c r="H432" s="93"/>
      <c r="I432" s="102" t="str">
        <f>IF($D432="Beta",((($F432*(1-$F432))/($G432^2))-1),"N/A")</f>
        <v>N/A</v>
      </c>
      <c r="J432" s="103" t="e">
        <f>IF($D432="Beta",($F432*$I432),IF($D432="Gamma",(($F432^2)/($G432^2)),"N/A"))</f>
        <v>#DIV/0!</v>
      </c>
      <c r="K432" s="103" t="e">
        <f>IF($D432="Beta",($J432*((1-$F432)/$F432)),IF($D432="Gamma",(($G432^2)/$F432),"N/A"))</f>
        <v>#DIV/0!</v>
      </c>
      <c r="L432" s="103" t="e">
        <f ca="1">IF($D432="Beta",(_xlfn.BETA.INV(RAND(),$J432,$K432)),IF($D432="Gamma",(_xlfn.GAMMA.INV(RAND(),$J432,$K432)),IF($D432="Log Normal",EXP(_xlfn.NORM.INV(RAND(),LN($F432),((LN($F432+1.96*$G432)-LN($F432-1.96*$G432))/(2*1.96)))),_xlfn.NORM.INV(RAND(),$F432,$G432))))</f>
        <v>#DIV/0!</v>
      </c>
      <c r="M432" s="93"/>
      <c r="N432" s="166">
        <f>F432</f>
        <v>0</v>
      </c>
      <c r="O432" s="93">
        <f>IF($F432=0,0,IF($B432=1,IF($C432=1,$L432,$F432),0))</f>
        <v>0</v>
      </c>
      <c r="Q432" s="91"/>
      <c r="R432" s="91"/>
      <c r="S432" s="91"/>
      <c r="T432" s="91"/>
      <c r="U432" s="91"/>
      <c r="V432" s="91"/>
      <c r="W432" s="91"/>
    </row>
    <row r="433" spans="1:24" s="98" customFormat="1" ht="15.75" thickBot="1" x14ac:dyDescent="0.3">
      <c r="A433" s="170" t="s">
        <v>1030</v>
      </c>
      <c r="B433" s="86">
        <v>1</v>
      </c>
      <c r="C433" s="88">
        <v>1</v>
      </c>
      <c r="D433" s="88" t="s">
        <v>158</v>
      </c>
      <c r="E433" s="86"/>
      <c r="F433" s="86">
        <f>'Program sheet'!J7</f>
        <v>3.04</v>
      </c>
      <c r="G433" s="26">
        <f>'Program sheet'!K7</f>
        <v>0</v>
      </c>
      <c r="H433" s="86"/>
      <c r="I433" s="115" t="str">
        <f>IF($D433="Beta",((($F433*(1-$F433))/($G433^2))-1),"N/A")</f>
        <v>N/A</v>
      </c>
      <c r="J433" s="116" t="e">
        <f>IF($D433="Beta",($F433*$I433),IF($D433="Gamma",(($F433^2)/($G433^2)),"N/A"))</f>
        <v>#DIV/0!</v>
      </c>
      <c r="K433" s="116">
        <f>IF($D433="Beta",($J433*((1-$F433)/$F433)),IF($D433="Gamma",(($G433^2)/$F433),"N/A"))</f>
        <v>0</v>
      </c>
      <c r="L433" s="103" t="e">
        <f ca="1">IF($D433="Beta",(_xlfn.BETA.INV(RAND(),$J433,$K433)),IF($D433="Gamma",(_xlfn.GAMMA.INV(RAND(),$J433,$K433)),IF($D433="Log Normal",EXP(_xlfn.NORM.INV(RAND(),LN($F433),((LN($F433+1.96*$G433)-LN($F433-1.96*$G433))/(2*1.96)))),_xlfn.NORM.INV(RAND(),$F433,$G433))))</f>
        <v>#DIV/0!</v>
      </c>
      <c r="M433" s="86"/>
      <c r="N433" s="166">
        <f>F433</f>
        <v>3.04</v>
      </c>
      <c r="O433" s="93" t="e">
        <f ca="1">IF($F433=0,0,IF($B433=1,IF($C433=1,$L433,$F433),0))</f>
        <v>#DIV/0!</v>
      </c>
      <c r="Q433" s="91"/>
      <c r="R433" s="91"/>
      <c r="S433" s="91"/>
      <c r="T433" s="91"/>
      <c r="U433" s="91"/>
      <c r="V433" s="91"/>
      <c r="W433" s="91"/>
    </row>
    <row r="434" spans="1:24" s="98" customFormat="1" x14ac:dyDescent="0.25">
      <c r="A434" s="168"/>
      <c r="B434" s="104"/>
      <c r="C434" s="104"/>
      <c r="D434" s="104"/>
      <c r="E434" s="104"/>
      <c r="F434" s="104"/>
      <c r="G434" s="161"/>
      <c r="H434" s="161"/>
      <c r="I434" s="104"/>
      <c r="J434" s="167"/>
      <c r="K434" s="169"/>
      <c r="L434" s="169"/>
      <c r="M434" s="167"/>
      <c r="N434" s="104"/>
      <c r="O434" s="104"/>
      <c r="P434" s="104"/>
    </row>
    <row r="435" spans="1:24" s="98" customFormat="1" x14ac:dyDescent="0.25">
      <c r="A435" s="168"/>
      <c r="B435" s="104"/>
      <c r="C435" s="104"/>
      <c r="D435" s="104"/>
      <c r="E435" s="104"/>
      <c r="F435" s="104"/>
      <c r="G435" s="161"/>
      <c r="H435" s="161"/>
      <c r="I435" s="104"/>
      <c r="J435" s="167"/>
      <c r="K435" s="169"/>
      <c r="L435" s="169"/>
      <c r="M435" s="167"/>
      <c r="N435" s="104"/>
      <c r="O435" s="104"/>
      <c r="P435" s="104"/>
    </row>
    <row r="436" spans="1:24" s="91" customFormat="1" x14ac:dyDescent="0.25">
      <c r="A436" s="568" t="s">
        <v>413</v>
      </c>
      <c r="B436" s="569"/>
      <c r="C436" s="569"/>
      <c r="D436" s="569"/>
      <c r="E436" s="569"/>
      <c r="F436" s="569"/>
      <c r="G436" s="569"/>
      <c r="H436" s="569"/>
      <c r="I436" s="569"/>
      <c r="J436" s="569"/>
      <c r="K436" s="569"/>
      <c r="L436" s="569"/>
      <c r="M436" s="569"/>
      <c r="N436" s="569"/>
      <c r="O436" s="569"/>
      <c r="P436" s="569"/>
      <c r="Q436" s="569"/>
      <c r="R436" s="569"/>
      <c r="S436" s="569"/>
      <c r="T436" s="569"/>
      <c r="U436" s="569"/>
      <c r="V436" s="569"/>
      <c r="W436" s="570"/>
    </row>
    <row r="437" spans="1:24" s="91" customFormat="1" x14ac:dyDescent="0.25">
      <c r="A437" s="112" t="s">
        <v>99</v>
      </c>
      <c r="B437" s="107" t="s">
        <v>155</v>
      </c>
      <c r="C437" s="106" t="s">
        <v>113</v>
      </c>
      <c r="D437" s="106" t="s">
        <v>15</v>
      </c>
      <c r="E437" s="107"/>
      <c r="F437" s="107" t="s">
        <v>4</v>
      </c>
      <c r="G437" s="106" t="s">
        <v>19</v>
      </c>
      <c r="H437" s="107"/>
      <c r="I437" s="108" t="s">
        <v>108</v>
      </c>
      <c r="J437" s="109" t="s">
        <v>22</v>
      </c>
      <c r="K437" s="109" t="s">
        <v>23</v>
      </c>
      <c r="L437" s="109" t="s">
        <v>100</v>
      </c>
      <c r="M437" s="107"/>
      <c r="N437" s="107" t="s">
        <v>14</v>
      </c>
      <c r="O437" s="107" t="s">
        <v>25</v>
      </c>
      <c r="P437" s="98"/>
    </row>
    <row r="438" spans="1:24" x14ac:dyDescent="0.25">
      <c r="A438" s="114" t="s">
        <v>138</v>
      </c>
      <c r="B438" s="93">
        <v>1</v>
      </c>
      <c r="C438" s="98">
        <v>1</v>
      </c>
      <c r="D438" s="98" t="s">
        <v>158</v>
      </c>
      <c r="F438" s="357">
        <v>578.07492083968611</v>
      </c>
      <c r="G438" s="357">
        <f>SQRT(((F438^2)/J438))</f>
        <v>226.30502802149789</v>
      </c>
      <c r="I438" s="102" t="str">
        <f t="shared" ref="I438:I451" si="92">IF($D438="Beta",((($F438*(1-$F438))/($G438^2))-1),"N/A")</f>
        <v>N/A</v>
      </c>
      <c r="J438" s="103">
        <v>6.5249899999999998</v>
      </c>
      <c r="K438" s="103">
        <v>88.593993376186958</v>
      </c>
      <c r="L438" s="103">
        <f t="shared" ref="L438:L451" ca="1" si="93">IF($D438="Beta",(_xlfn.BETA.INV(RAND(),$J438,$K438)),IF($D438="Gamma",(_xlfn.GAMMA.INV(RAND(),$J438,$K438)),IF($D438="Log Normal",EXP(_xlfn.NORM.INV(RAND(),LN($F438),((LN($F438+1.96*$G438)-LN($F438-1.96*$G438))/(2*1.96)))),_xlfn.NORM.INV(RAND(),$F438,$G438))))</f>
        <v>554.75445382701685</v>
      </c>
      <c r="M438" s="93"/>
      <c r="N438" s="85">
        <f>F438</f>
        <v>578.07492083968611</v>
      </c>
      <c r="O438" s="93">
        <f ca="1">IF($B438=1,IF($C438=1,$L438,$F438),0)</f>
        <v>554.75445382701685</v>
      </c>
      <c r="P438" s="98"/>
      <c r="S438"/>
      <c r="T438"/>
      <c r="V438"/>
      <c r="W438"/>
      <c r="X438"/>
    </row>
    <row r="439" spans="1:24" x14ac:dyDescent="0.25">
      <c r="A439" s="114" t="s">
        <v>139</v>
      </c>
      <c r="B439" s="93">
        <v>1</v>
      </c>
      <c r="C439" s="98">
        <v>1</v>
      </c>
      <c r="D439" s="98" t="s">
        <v>158</v>
      </c>
      <c r="F439" s="357">
        <v>1202.376244866424</v>
      </c>
      <c r="G439" s="357">
        <f t="shared" ref="G439:G451" si="94">SQRT(((F439^2)/J439))</f>
        <v>559.71295233619958</v>
      </c>
      <c r="I439" s="102" t="str">
        <f t="shared" si="92"/>
        <v>N/A</v>
      </c>
      <c r="J439" s="103">
        <v>4.61477</v>
      </c>
      <c r="K439" s="103">
        <v>260.54954956940952</v>
      </c>
      <c r="L439" s="103">
        <f t="shared" ca="1" si="93"/>
        <v>1083.6099006482716</v>
      </c>
      <c r="M439" s="93"/>
      <c r="N439" s="85">
        <f t="shared" ref="N439:N451" si="95">F439</f>
        <v>1202.376244866424</v>
      </c>
      <c r="O439" s="93">
        <f t="shared" ref="O439:O451" ca="1" si="96">IF($B439=1,IF($C439=1,$L439,$F439),0)</f>
        <v>1083.6099006482716</v>
      </c>
      <c r="P439" s="98"/>
      <c r="S439"/>
      <c r="T439"/>
      <c r="V439"/>
      <c r="W439"/>
      <c r="X439"/>
    </row>
    <row r="440" spans="1:24" x14ac:dyDescent="0.25">
      <c r="A440" s="114" t="s">
        <v>140</v>
      </c>
      <c r="B440" s="93">
        <v>1</v>
      </c>
      <c r="C440" s="98">
        <v>1</v>
      </c>
      <c r="D440" s="98" t="s">
        <v>158</v>
      </c>
      <c r="F440" s="357">
        <v>657.88931802672619</v>
      </c>
      <c r="G440" s="357">
        <f t="shared" si="94"/>
        <v>329.59749660125743</v>
      </c>
      <c r="I440" s="102" t="str">
        <f t="shared" si="92"/>
        <v>N/A</v>
      </c>
      <c r="J440" s="103">
        <v>3.9841700000000002</v>
      </c>
      <c r="K440" s="103">
        <v>165.12581491922438</v>
      </c>
      <c r="L440" s="103">
        <f t="shared" ca="1" si="93"/>
        <v>837.85811115132913</v>
      </c>
      <c r="M440" s="93"/>
      <c r="N440" s="85">
        <f t="shared" si="95"/>
        <v>657.88931802672619</v>
      </c>
      <c r="O440" s="93">
        <f t="shared" ca="1" si="96"/>
        <v>837.85811115132913</v>
      </c>
      <c r="P440" s="98"/>
      <c r="S440"/>
      <c r="T440"/>
      <c r="V440"/>
      <c r="W440"/>
      <c r="X440"/>
    </row>
    <row r="441" spans="1:24" x14ac:dyDescent="0.25">
      <c r="A441" s="114" t="s">
        <v>141</v>
      </c>
      <c r="B441" s="93">
        <v>1</v>
      </c>
      <c r="C441" s="98">
        <v>1</v>
      </c>
      <c r="D441" s="98" t="s">
        <v>158</v>
      </c>
      <c r="F441" s="357">
        <v>1224.0374908791337</v>
      </c>
      <c r="G441" s="357">
        <f t="shared" si="94"/>
        <v>521.77009032807791</v>
      </c>
      <c r="I441" s="102" t="str">
        <f t="shared" si="92"/>
        <v>N/A</v>
      </c>
      <c r="J441" s="103">
        <v>5.5034000000000001</v>
      </c>
      <c r="K441" s="103">
        <v>222.41477829689532</v>
      </c>
      <c r="L441" s="103">
        <f t="shared" ca="1" si="93"/>
        <v>2480.6840200045067</v>
      </c>
      <c r="M441" s="93"/>
      <c r="N441" s="85">
        <f t="shared" si="95"/>
        <v>1224.0374908791337</v>
      </c>
      <c r="O441" s="93">
        <f t="shared" ca="1" si="96"/>
        <v>2480.6840200045067</v>
      </c>
      <c r="P441" s="98"/>
      <c r="S441"/>
      <c r="T441"/>
      <c r="V441"/>
      <c r="W441"/>
      <c r="X441"/>
    </row>
    <row r="442" spans="1:24" x14ac:dyDescent="0.25">
      <c r="A442" s="114" t="s">
        <v>142</v>
      </c>
      <c r="B442" s="93">
        <v>1</v>
      </c>
      <c r="C442" s="98">
        <v>1</v>
      </c>
      <c r="D442" s="98" t="s">
        <v>158</v>
      </c>
      <c r="F442" s="357">
        <v>55.512544975107701</v>
      </c>
      <c r="G442" s="357">
        <f t="shared" si="94"/>
        <v>17.289433432200457</v>
      </c>
      <c r="I442" s="102" t="str">
        <f t="shared" si="92"/>
        <v>N/A</v>
      </c>
      <c r="J442" s="103">
        <v>10.309100000000001</v>
      </c>
      <c r="K442" s="103">
        <v>5.3848100197987891</v>
      </c>
      <c r="L442" s="103">
        <f t="shared" ca="1" si="93"/>
        <v>44.121125770075984</v>
      </c>
      <c r="M442" s="93"/>
      <c r="N442" s="85">
        <f t="shared" si="95"/>
        <v>55.512544975107701</v>
      </c>
      <c r="O442" s="93">
        <f t="shared" ca="1" si="96"/>
        <v>44.121125770075984</v>
      </c>
      <c r="P442" s="98"/>
      <c r="S442"/>
      <c r="T442"/>
      <c r="V442"/>
      <c r="W442"/>
      <c r="X442"/>
    </row>
    <row r="443" spans="1:24" x14ac:dyDescent="0.25">
      <c r="A443" s="114" t="s">
        <v>143</v>
      </c>
      <c r="B443" s="93">
        <v>1</v>
      </c>
      <c r="C443" s="98">
        <v>1</v>
      </c>
      <c r="D443" s="98" t="s">
        <v>158</v>
      </c>
      <c r="F443" s="357">
        <v>146.38337008279024</v>
      </c>
      <c r="G443" s="357">
        <f t="shared" si="94"/>
        <v>68.30507530421049</v>
      </c>
      <c r="I443" s="102" t="str">
        <f t="shared" si="92"/>
        <v>N/A</v>
      </c>
      <c r="J443" s="103">
        <v>4.5928000000000004</v>
      </c>
      <c r="K443" s="103">
        <v>31.872358927623718</v>
      </c>
      <c r="L443" s="103">
        <f t="shared" ca="1" si="93"/>
        <v>203.35057681261497</v>
      </c>
      <c r="M443" s="93"/>
      <c r="N443" s="85">
        <f t="shared" si="95"/>
        <v>146.38337008279024</v>
      </c>
      <c r="O443" s="93">
        <f t="shared" ca="1" si="96"/>
        <v>203.35057681261497</v>
      </c>
      <c r="P443" s="98"/>
      <c r="S443"/>
      <c r="T443"/>
      <c r="V443"/>
      <c r="W443"/>
      <c r="X443"/>
    </row>
    <row r="444" spans="1:24" x14ac:dyDescent="0.25">
      <c r="A444" s="114" t="s">
        <v>144</v>
      </c>
      <c r="B444" s="93">
        <v>1</v>
      </c>
      <c r="C444" s="98">
        <v>1</v>
      </c>
      <c r="D444" s="98" t="s">
        <v>158</v>
      </c>
      <c r="F444" s="357">
        <v>113.90385184108965</v>
      </c>
      <c r="G444" s="357">
        <f t="shared" si="94"/>
        <v>62.857820636321833</v>
      </c>
      <c r="I444" s="102" t="str">
        <f t="shared" si="92"/>
        <v>N/A</v>
      </c>
      <c r="J444" s="103">
        <v>3.2836599999999998</v>
      </c>
      <c r="K444" s="103">
        <v>34.688077279952751</v>
      </c>
      <c r="L444" s="103">
        <f t="shared" ca="1" si="93"/>
        <v>90.057054384619462</v>
      </c>
      <c r="M444" s="93"/>
      <c r="N444" s="85">
        <f t="shared" si="95"/>
        <v>113.90385184108965</v>
      </c>
      <c r="O444" s="93">
        <f t="shared" ca="1" si="96"/>
        <v>90.057054384619462</v>
      </c>
      <c r="P444" s="98"/>
      <c r="S444"/>
      <c r="T444"/>
      <c r="V444"/>
      <c r="W444"/>
      <c r="X444"/>
    </row>
    <row r="445" spans="1:24" x14ac:dyDescent="0.25">
      <c r="A445" s="114" t="s">
        <v>145</v>
      </c>
      <c r="B445" s="93">
        <v>1</v>
      </c>
      <c r="C445" s="98">
        <v>1</v>
      </c>
      <c r="D445" s="98" t="s">
        <v>158</v>
      </c>
      <c r="F445" s="357">
        <v>110.76971029936129</v>
      </c>
      <c r="G445" s="357">
        <f t="shared" si="94"/>
        <v>60.649724072448699</v>
      </c>
      <c r="I445" s="102" t="str">
        <f t="shared" si="92"/>
        <v>N/A</v>
      </c>
      <c r="J445" s="103">
        <v>3.33568</v>
      </c>
      <c r="K445" s="103">
        <v>33.207534985178825</v>
      </c>
      <c r="L445" s="103">
        <f t="shared" ca="1" si="93"/>
        <v>94.627956898525255</v>
      </c>
      <c r="M445" s="93"/>
      <c r="N445" s="85">
        <f t="shared" si="95"/>
        <v>110.76971029936129</v>
      </c>
      <c r="O445" s="93">
        <f t="shared" ca="1" si="96"/>
        <v>94.627956898525255</v>
      </c>
      <c r="P445" s="98"/>
      <c r="S445"/>
      <c r="T445"/>
      <c r="V445"/>
      <c r="W445"/>
      <c r="X445"/>
    </row>
    <row r="446" spans="1:24" x14ac:dyDescent="0.25">
      <c r="A446" s="114" t="s">
        <v>146</v>
      </c>
      <c r="B446" s="93">
        <v>1</v>
      </c>
      <c r="C446" s="98">
        <v>1</v>
      </c>
      <c r="D446" s="98" t="s">
        <v>158</v>
      </c>
      <c r="F446" s="357">
        <v>131.81466255033556</v>
      </c>
      <c r="G446" s="357">
        <f t="shared" si="94"/>
        <v>50.980251368739445</v>
      </c>
      <c r="I446" s="102" t="str">
        <f t="shared" si="92"/>
        <v>N/A</v>
      </c>
      <c r="J446" s="103">
        <v>6.6853400000000001</v>
      </c>
      <c r="K446" s="103">
        <v>19.716972143576175</v>
      </c>
      <c r="L446" s="103">
        <f t="shared" ca="1" si="93"/>
        <v>98.050900360967404</v>
      </c>
      <c r="M446" s="93"/>
      <c r="N446" s="85">
        <f t="shared" si="95"/>
        <v>131.81466255033556</v>
      </c>
      <c r="O446" s="93">
        <f t="shared" ca="1" si="96"/>
        <v>98.050900360967404</v>
      </c>
      <c r="P446" s="98"/>
      <c r="S446"/>
      <c r="T446"/>
      <c r="V446"/>
      <c r="W446"/>
      <c r="X446"/>
    </row>
    <row r="447" spans="1:24" x14ac:dyDescent="0.25">
      <c r="A447" s="114" t="s">
        <v>147</v>
      </c>
      <c r="B447" s="93">
        <v>1</v>
      </c>
      <c r="C447" s="98">
        <v>1</v>
      </c>
      <c r="D447" s="98" t="s">
        <v>158</v>
      </c>
      <c r="F447" s="357">
        <v>2497.0454029743241</v>
      </c>
      <c r="G447" s="357">
        <f t="shared" si="94"/>
        <v>745.03159995873989</v>
      </c>
      <c r="I447" s="102" t="str">
        <f t="shared" si="92"/>
        <v>N/A</v>
      </c>
      <c r="J447" s="103">
        <v>11.2332</v>
      </c>
      <c r="K447" s="103">
        <v>222.29154675197844</v>
      </c>
      <c r="L447" s="103">
        <f t="shared" ca="1" si="93"/>
        <v>2827.6866284727985</v>
      </c>
      <c r="M447" s="93"/>
      <c r="N447" s="85">
        <f t="shared" si="95"/>
        <v>2497.0454029743241</v>
      </c>
      <c r="O447" s="93">
        <f t="shared" ca="1" si="96"/>
        <v>2827.6866284727985</v>
      </c>
      <c r="P447" s="98"/>
      <c r="S447"/>
      <c r="T447"/>
      <c r="V447"/>
      <c r="W447"/>
      <c r="X447"/>
    </row>
    <row r="448" spans="1:24" x14ac:dyDescent="0.25">
      <c r="A448" s="114" t="s">
        <v>148</v>
      </c>
      <c r="B448" s="93">
        <v>1</v>
      </c>
      <c r="C448" s="98">
        <v>1</v>
      </c>
      <c r="D448" s="98" t="s">
        <v>158</v>
      </c>
      <c r="F448" s="357">
        <v>4180.5446157666047</v>
      </c>
      <c r="G448" s="357">
        <f t="shared" si="94"/>
        <v>1214.0133911842695</v>
      </c>
      <c r="I448" s="102" t="str">
        <f t="shared" si="92"/>
        <v>N/A</v>
      </c>
      <c r="J448" s="103">
        <v>11.8582</v>
      </c>
      <c r="K448" s="103">
        <v>352.54462024308958</v>
      </c>
      <c r="L448" s="103">
        <f t="shared" ca="1" si="93"/>
        <v>2878.7212065624394</v>
      </c>
      <c r="M448" s="93"/>
      <c r="N448" s="85">
        <f t="shared" si="95"/>
        <v>4180.5446157666047</v>
      </c>
      <c r="O448" s="93">
        <f t="shared" ca="1" si="96"/>
        <v>2878.7212065624394</v>
      </c>
      <c r="P448" s="98"/>
      <c r="S448"/>
      <c r="T448"/>
      <c r="V448"/>
      <c r="W448"/>
      <c r="X448"/>
    </row>
    <row r="449" spans="1:24" x14ac:dyDescent="0.25">
      <c r="A449" s="114" t="s">
        <v>149</v>
      </c>
      <c r="B449" s="93">
        <v>1</v>
      </c>
      <c r="C449" s="98">
        <v>1</v>
      </c>
      <c r="D449" s="98" t="s">
        <v>158</v>
      </c>
      <c r="F449" s="357">
        <v>3781.2751914536216</v>
      </c>
      <c r="G449" s="357">
        <f t="shared" si="94"/>
        <v>1072.9364283621387</v>
      </c>
      <c r="I449" s="102" t="str">
        <f t="shared" si="92"/>
        <v>N/A</v>
      </c>
      <c r="J449" s="103">
        <v>12.420199999999999</v>
      </c>
      <c r="K449" s="103">
        <v>304.44559600116116</v>
      </c>
      <c r="L449" s="103">
        <f t="shared" ca="1" si="93"/>
        <v>4790.8290571260786</v>
      </c>
      <c r="M449" s="93"/>
      <c r="N449" s="85">
        <f t="shared" si="95"/>
        <v>3781.2751914536216</v>
      </c>
      <c r="O449" s="93">
        <f t="shared" ca="1" si="96"/>
        <v>4790.8290571260786</v>
      </c>
      <c r="P449" s="98"/>
      <c r="S449"/>
      <c r="T449"/>
      <c r="V449"/>
      <c r="W449"/>
      <c r="X449"/>
    </row>
    <row r="450" spans="1:24" x14ac:dyDescent="0.25">
      <c r="A450" s="114" t="s">
        <v>150</v>
      </c>
      <c r="B450" s="93">
        <v>1</v>
      </c>
      <c r="C450" s="98">
        <v>1</v>
      </c>
      <c r="D450" s="98" t="s">
        <v>158</v>
      </c>
      <c r="F450" s="357">
        <v>345.23959737187926</v>
      </c>
      <c r="G450" s="357">
        <f t="shared" si="94"/>
        <v>206.70991616280051</v>
      </c>
      <c r="I450" s="102" t="str">
        <f t="shared" si="92"/>
        <v>N/A</v>
      </c>
      <c r="J450" s="103">
        <v>2.78945</v>
      </c>
      <c r="K450" s="103">
        <v>123.76618952549042</v>
      </c>
      <c r="L450" s="103">
        <f t="shared" ca="1" si="93"/>
        <v>208.21717291136358</v>
      </c>
      <c r="M450" s="93"/>
      <c r="N450" s="85">
        <f t="shared" si="95"/>
        <v>345.23959737187926</v>
      </c>
      <c r="O450" s="93">
        <f t="shared" ca="1" si="96"/>
        <v>208.21717291136358</v>
      </c>
      <c r="P450" s="98"/>
      <c r="S450"/>
      <c r="T450"/>
      <c r="V450"/>
      <c r="W450"/>
      <c r="X450"/>
    </row>
    <row r="451" spans="1:24" ht="15.75" thickBot="1" x14ac:dyDescent="0.3">
      <c r="A451" s="117" t="s">
        <v>151</v>
      </c>
      <c r="B451" s="86">
        <v>1</v>
      </c>
      <c r="C451" s="26">
        <v>1</v>
      </c>
      <c r="D451" s="26" t="s">
        <v>158</v>
      </c>
      <c r="E451" s="86"/>
      <c r="F451" s="358">
        <v>1630.979878917379</v>
      </c>
      <c r="G451" s="363">
        <f t="shared" si="94"/>
        <v>854.11051262857382</v>
      </c>
      <c r="H451" s="86"/>
      <c r="I451" s="115" t="str">
        <f t="shared" si="92"/>
        <v>N/A</v>
      </c>
      <c r="J451" s="116">
        <v>3.6464400000000001</v>
      </c>
      <c r="K451" s="116">
        <v>447.28005367354979</v>
      </c>
      <c r="L451" s="103">
        <f t="shared" ca="1" si="93"/>
        <v>2650.9736306066748</v>
      </c>
      <c r="M451" s="86"/>
      <c r="N451" s="85">
        <f t="shared" si="95"/>
        <v>1630.979878917379</v>
      </c>
      <c r="O451" s="86">
        <f t="shared" ca="1" si="96"/>
        <v>2650.9736306066748</v>
      </c>
      <c r="P451" s="98"/>
      <c r="S451"/>
      <c r="T451"/>
      <c r="V451"/>
      <c r="W451"/>
      <c r="X451"/>
    </row>
    <row r="452" spans="1:24" s="91" customFormat="1" x14ac:dyDescent="0.25">
      <c r="A452" s="114"/>
      <c r="B452" s="98"/>
      <c r="C452" s="98"/>
      <c r="D452" s="98"/>
      <c r="E452" s="98"/>
      <c r="F452" s="98"/>
      <c r="G452" s="98"/>
      <c r="H452" s="98"/>
      <c r="I452" s="103"/>
      <c r="J452" s="103"/>
      <c r="K452" s="103"/>
      <c r="L452" s="103"/>
      <c r="M452" s="98"/>
      <c r="N452" s="98"/>
      <c r="O452" s="98"/>
      <c r="P452" s="98"/>
    </row>
    <row r="453" spans="1:24" s="91" customFormat="1" x14ac:dyDescent="0.25">
      <c r="A453" s="568" t="s">
        <v>414</v>
      </c>
      <c r="B453" s="569"/>
      <c r="C453" s="569"/>
      <c r="D453" s="569"/>
      <c r="E453" s="569"/>
      <c r="F453" s="569"/>
      <c r="G453" s="569"/>
      <c r="H453" s="569"/>
      <c r="I453" s="569"/>
      <c r="J453" s="569"/>
      <c r="K453" s="569"/>
      <c r="L453" s="569"/>
      <c r="M453" s="569"/>
      <c r="N453" s="569"/>
      <c r="O453" s="569"/>
      <c r="P453" s="569"/>
      <c r="Q453" s="569"/>
      <c r="R453" s="569"/>
      <c r="S453" s="569"/>
      <c r="T453" s="569"/>
      <c r="U453" s="569"/>
      <c r="V453" s="569"/>
      <c r="W453" s="570"/>
    </row>
    <row r="454" spans="1:24" s="91" customFormat="1" x14ac:dyDescent="0.25">
      <c r="A454" s="112" t="s">
        <v>99</v>
      </c>
      <c r="B454" s="107" t="s">
        <v>155</v>
      </c>
      <c r="C454" s="106" t="s">
        <v>113</v>
      </c>
      <c r="D454" s="106" t="s">
        <v>15</v>
      </c>
      <c r="E454" s="107"/>
      <c r="F454" s="107" t="s">
        <v>4</v>
      </c>
      <c r="G454" s="106" t="s">
        <v>19</v>
      </c>
      <c r="H454" s="107"/>
      <c r="I454" s="108" t="s">
        <v>108</v>
      </c>
      <c r="J454" s="109" t="s">
        <v>22</v>
      </c>
      <c r="K454" s="109" t="s">
        <v>23</v>
      </c>
      <c r="L454" s="109" t="s">
        <v>100</v>
      </c>
      <c r="M454" s="107"/>
      <c r="N454" s="107" t="s">
        <v>14</v>
      </c>
      <c r="O454" s="107" t="s">
        <v>25</v>
      </c>
      <c r="P454" s="98"/>
    </row>
    <row r="455" spans="1:24" s="91" customFormat="1" x14ac:dyDescent="0.25">
      <c r="A455" t="s">
        <v>152</v>
      </c>
      <c r="B455" s="93">
        <v>1</v>
      </c>
      <c r="C455" s="98">
        <v>1</v>
      </c>
      <c r="D455" s="91" t="s">
        <v>158</v>
      </c>
      <c r="E455" s="93"/>
      <c r="F455" s="359">
        <v>1063.2766935978477</v>
      </c>
      <c r="G455" s="357">
        <f t="shared" ref="G455" si="97">SQRT(((F455^2)/J455))</f>
        <v>676.25934137399338</v>
      </c>
      <c r="H455" s="93"/>
      <c r="I455" s="102" t="str">
        <f>IF($D455="Beta",((($F455*(1-$F455))/($G455^2))-1),"N/A")</f>
        <v>N/A</v>
      </c>
      <c r="J455" s="103">
        <v>2.4721000000000002</v>
      </c>
      <c r="K455" s="103">
        <v>430.1107129961764</v>
      </c>
      <c r="L455" s="103">
        <f ca="1">IF($D455="Beta",(_xlfn.BETA.INV(RAND(),$J455,$K455)),IF($D455="Gamma",(_xlfn.GAMMA.INV(RAND(),$J455,$K455)),IF($D455="Log Normal",EXP(_xlfn.NORM.INV(RAND(),LN($F455),((LN($F455+1.96*$G455)-LN($F455-1.96*$G455))/(2*1.96)))),_xlfn.NORM.INV(RAND(),$F455,$G455))))</f>
        <v>1228.8185715166962</v>
      </c>
      <c r="M455" s="93"/>
      <c r="N455" s="91">
        <f>F455</f>
        <v>1063.2766935978477</v>
      </c>
      <c r="O455" s="93">
        <f ca="1">IF($B455=1,IF($C455=1,$L455,$F455),0)</f>
        <v>1228.8185715166962</v>
      </c>
      <c r="P455" s="93"/>
      <c r="Q455" s="93"/>
      <c r="R455" s="93"/>
    </row>
    <row r="456" spans="1:24" s="91" customFormat="1" x14ac:dyDescent="0.25">
      <c r="A456" t="s">
        <v>153</v>
      </c>
      <c r="B456" s="93">
        <v>1</v>
      </c>
      <c r="C456" s="98">
        <v>1</v>
      </c>
      <c r="D456" s="91" t="s">
        <v>158</v>
      </c>
      <c r="E456" s="93"/>
      <c r="F456" s="360">
        <v>15934.549158120588</v>
      </c>
      <c r="G456" s="357">
        <v>7127.7858592572065</v>
      </c>
      <c r="H456" s="93"/>
      <c r="I456" s="102" t="str">
        <f>IF($D456="Beta",((($F456*(1-$F456))/($G456^2))-1),"N/A")</f>
        <v>N/A</v>
      </c>
      <c r="J456" s="103">
        <f>IF($D456="Beta",($F456*$I456),IF($D456="Gamma",(($F456^2)/($G456^2)),"N/A"))</f>
        <v>4.9977010403891233</v>
      </c>
      <c r="K456" s="103">
        <f>IF($D456="Beta",($J456*((1-$F456)/$F456)),IF($D456="Gamma",(($G456^2)/$F456),"N/A"))</f>
        <v>3188.3758210715055</v>
      </c>
      <c r="L456" s="103">
        <f ca="1">IF($D456="Beta",(_xlfn.BETA.INV(RAND(),$J456,$K456)),IF($D456="Gamma",(_xlfn.GAMMA.INV(RAND(),$J456,$K456)),IF($D456="Log Normal",EXP(_xlfn.NORM.INV(RAND(),LN($F456),((LN($F456+1.96*$G456)-LN($F456-1.96*$G456))/(2*1.96)))),_xlfn.NORM.INV(RAND(),$F456,$G456))))</f>
        <v>2328.7412100836791</v>
      </c>
      <c r="M456" s="93"/>
      <c r="N456" s="91">
        <f>F456</f>
        <v>15934.549158120588</v>
      </c>
      <c r="O456" s="93">
        <f ca="1">IF($B456=1,IF($C456=1,$L456,$F456),0)</f>
        <v>2328.7412100836791</v>
      </c>
      <c r="P456" s="93"/>
      <c r="Q456" s="93"/>
      <c r="R456" s="93"/>
    </row>
    <row r="457" spans="1:24" s="91" customFormat="1" x14ac:dyDescent="0.25">
      <c r="A457" t="s">
        <v>154</v>
      </c>
      <c r="B457" s="93">
        <v>1</v>
      </c>
      <c r="C457" s="98">
        <v>1</v>
      </c>
      <c r="D457" s="91" t="s">
        <v>158</v>
      </c>
      <c r="E457" s="93"/>
      <c r="F457" s="359">
        <v>2645.8677245958893</v>
      </c>
      <c r="G457" s="357">
        <v>2423.4368504114614</v>
      </c>
      <c r="H457" s="93"/>
      <c r="I457" s="102" t="str">
        <f>IF($D457="Beta",((($F457*(1-$F457))/($G457^2))-1),"N/A")</f>
        <v>N/A</v>
      </c>
      <c r="J457" s="103">
        <f>IF($D457="Beta",($F457*$I457),IF($D457="Gamma",(($F457^2)/($G457^2)),"N/A"))</f>
        <v>1.1919906324392133</v>
      </c>
      <c r="K457" s="103">
        <f>IF($D457="Beta",($J457*((1-$F457)/$F457)),IF($D457="Gamma",(($G457^2)/$F457),"N/A"))</f>
        <v>2219.7051323981927</v>
      </c>
      <c r="L457" s="103">
        <f ca="1">IF($D457="Beta",(_xlfn.BETA.INV(RAND(),$J457,$K457)),IF($D457="Gamma",(_xlfn.GAMMA.INV(RAND(),$J457,$K457)),IF($D457="Log Normal",EXP(_xlfn.NORM.INV(RAND(),LN($F457),((LN($F457+1.96*$G457)-LN($F457-1.96*$G457))/(2*1.96)))),_xlfn.NORM.INV(RAND(),$F457,$G457))))</f>
        <v>1686.1385279538206</v>
      </c>
      <c r="M457" s="93"/>
      <c r="N457" s="91">
        <f>F457</f>
        <v>2645.8677245958893</v>
      </c>
      <c r="O457" s="93">
        <f ca="1">IF($B457=1,IF($C457=1,$L457,$F457),0)</f>
        <v>1686.1385279538206</v>
      </c>
      <c r="P457" s="93"/>
      <c r="Q457" s="93"/>
      <c r="R457" s="93"/>
    </row>
    <row r="458" spans="1:24" s="91" customFormat="1" x14ac:dyDescent="0.25">
      <c r="A458" s="104"/>
      <c r="B458" s="104"/>
      <c r="C458" s="104"/>
      <c r="D458" s="104"/>
      <c r="E458" s="104"/>
      <c r="F458" s="104"/>
      <c r="G458" s="104"/>
      <c r="H458" s="104"/>
      <c r="I458" s="167"/>
      <c r="J458" s="167"/>
      <c r="K458" s="167"/>
      <c r="L458" s="167"/>
      <c r="M458" s="104"/>
      <c r="N458" s="104"/>
      <c r="O458" s="104"/>
      <c r="P458" s="98"/>
    </row>
    <row r="459" spans="1:24" s="91" customFormat="1" x14ac:dyDescent="0.25">
      <c r="A459" s="568" t="s">
        <v>433</v>
      </c>
      <c r="B459" s="569"/>
      <c r="C459" s="569"/>
      <c r="D459" s="569"/>
      <c r="E459" s="569"/>
      <c r="F459" s="569"/>
      <c r="G459" s="569"/>
      <c r="H459" s="569"/>
      <c r="I459" s="569"/>
      <c r="J459" s="569"/>
      <c r="K459" s="569"/>
      <c r="L459" s="569"/>
      <c r="M459" s="569"/>
      <c r="N459" s="569"/>
      <c r="O459" s="569"/>
      <c r="P459" s="569"/>
      <c r="Q459" s="569"/>
      <c r="R459" s="569"/>
      <c r="S459" s="569"/>
      <c r="T459" s="569"/>
      <c r="U459" s="569"/>
      <c r="V459" s="569"/>
      <c r="W459" s="570"/>
    </row>
    <row r="460" spans="1:24" s="91" customFormat="1" x14ac:dyDescent="0.25">
      <c r="A460" s="112" t="s">
        <v>99</v>
      </c>
      <c r="B460" s="107" t="s">
        <v>155</v>
      </c>
      <c r="C460" s="106" t="s">
        <v>113</v>
      </c>
      <c r="D460" s="106" t="s">
        <v>15</v>
      </c>
      <c r="E460" s="107"/>
      <c r="F460" s="107" t="s">
        <v>4</v>
      </c>
      <c r="G460" s="106" t="s">
        <v>19</v>
      </c>
      <c r="H460" s="107"/>
      <c r="I460" s="108" t="s">
        <v>108</v>
      </c>
      <c r="J460" s="109" t="s">
        <v>22</v>
      </c>
      <c r="K460" s="109" t="s">
        <v>23</v>
      </c>
      <c r="L460" s="109" t="s">
        <v>100</v>
      </c>
      <c r="M460" s="107"/>
      <c r="N460" s="107" t="s">
        <v>14</v>
      </c>
      <c r="O460" s="107" t="s">
        <v>25</v>
      </c>
      <c r="P460" s="98"/>
    </row>
    <row r="461" spans="1:24" s="91" customFormat="1" x14ac:dyDescent="0.25">
      <c r="A461" s="122" t="s">
        <v>183</v>
      </c>
      <c r="B461" s="120">
        <v>1</v>
      </c>
      <c r="C461" s="122">
        <v>1</v>
      </c>
      <c r="D461" s="122" t="s">
        <v>158</v>
      </c>
      <c r="E461" s="120"/>
      <c r="F461" s="361">
        <v>1838.6240814159296</v>
      </c>
      <c r="G461" s="362">
        <f>0.1*F461</f>
        <v>183.86240814159297</v>
      </c>
      <c r="H461" s="120"/>
      <c r="I461" s="102" t="str">
        <f>IF($D461="Beta",((($F461*(1-$F461))/($G461^2))-1),"N/A")</f>
        <v>N/A</v>
      </c>
      <c r="J461" s="103">
        <f>IF($D461="Beta",($F461*$I461),IF($D461="Gamma",(($F461^2)/($G461^2)),"N/A"))</f>
        <v>99.999999999999986</v>
      </c>
      <c r="K461" s="103">
        <f>IF($D461="Beta",($J461*((1-$F461)/$F461)),IF($D461="Gamma",(($G461^2)/$F461),"N/A"))</f>
        <v>18.386240814159297</v>
      </c>
      <c r="L461" s="103">
        <f ca="1">IF($D461="Beta",(_xlfn.BETA.INV(RAND(),$J461,$K461)),IF($D461="Gamma",(_xlfn.GAMMA.INV(RAND(),$J461,$K461)),IF($D461="Log Normal",EXP(_xlfn.NORM.INV(RAND(),LN($F461),((LN($F461+1.96*$G461)-LN($F461-1.96*$G461))/(2*1.96)))),_xlfn.NORM.INV(RAND(),$F461,$G461))))</f>
        <v>1950.6476382556093</v>
      </c>
      <c r="M461" s="103"/>
      <c r="N461" s="103">
        <f>F461</f>
        <v>1838.6240814159296</v>
      </c>
      <c r="O461" s="120">
        <f ca="1">IF($B461=1,IF($C461=1,$L461,$F461),0)</f>
        <v>1950.6476382556093</v>
      </c>
      <c r="P461" s="121"/>
      <c r="Q461" s="120"/>
      <c r="R461" s="120"/>
      <c r="S461" s="93"/>
    </row>
    <row r="462" spans="1:24" s="91" customFormat="1" x14ac:dyDescent="0.25">
      <c r="A462" s="122" t="s">
        <v>184</v>
      </c>
      <c r="B462" s="120">
        <v>1</v>
      </c>
      <c r="C462" s="122">
        <v>1</v>
      </c>
      <c r="D462" s="122" t="s">
        <v>158</v>
      </c>
      <c r="E462" s="120"/>
      <c r="F462" s="361">
        <v>843.65073982300896</v>
      </c>
      <c r="G462" s="362">
        <f>0.1*F462</f>
        <v>84.365073982300899</v>
      </c>
      <c r="H462" s="120"/>
      <c r="I462" s="102" t="str">
        <f>IF($D462="Beta",((($F462*(1-$F462))/($G462^2))-1),"N/A")</f>
        <v>N/A</v>
      </c>
      <c r="J462" s="103">
        <f>IF($D462="Beta",($F462*$I462),IF($D462="Gamma",(($F462^2)/($G462^2)),"N/A"))</f>
        <v>99.999999999999986</v>
      </c>
      <c r="K462" s="103">
        <f>IF($D462="Beta",($J462*((1-$F462)/$F462)),IF($D462="Gamma",(($G462^2)/$F462),"N/A"))</f>
        <v>8.4365073982300913</v>
      </c>
      <c r="L462" s="103">
        <f ca="1">IF($D462="Beta",(_xlfn.BETA.INV(RAND(),$J462,$K462)),IF($D462="Gamma",(_xlfn.GAMMA.INV(RAND(),$J462,$K462)),IF($D462="Log Normal",EXP(_xlfn.NORM.INV(RAND(),LN($F462),((LN($F462+1.96*$G462)-LN($F462-1.96*$G462))/(2*1.96)))),_xlfn.NORM.INV(RAND(),$F462,$G462))))</f>
        <v>777.7336505844803</v>
      </c>
      <c r="M462" s="103"/>
      <c r="N462" s="103">
        <f>F462</f>
        <v>843.65073982300896</v>
      </c>
      <c r="O462" s="120">
        <f ca="1">IF($B462=1,IF($C462=1,$L462,$F462),0)</f>
        <v>777.7336505844803</v>
      </c>
      <c r="P462" s="121"/>
      <c r="Q462" s="120"/>
      <c r="R462" s="120"/>
      <c r="S462" s="93"/>
    </row>
    <row r="463" spans="1:24" s="91" customFormat="1" x14ac:dyDescent="0.25">
      <c r="A463" s="122" t="s">
        <v>185</v>
      </c>
      <c r="B463" s="120">
        <v>1</v>
      </c>
      <c r="C463" s="122">
        <v>1</v>
      </c>
      <c r="D463" s="122" t="s">
        <v>158</v>
      </c>
      <c r="E463" s="120"/>
      <c r="F463" s="361">
        <v>9554.9769982300895</v>
      </c>
      <c r="G463" s="362">
        <f>0.1*F463</f>
        <v>955.49769982300904</v>
      </c>
      <c r="H463" s="120"/>
      <c r="I463" s="102" t="str">
        <f>IF($D463="Beta",((($F463*(1-$F463))/($G463^2))-1),"N/A")</f>
        <v>N/A</v>
      </c>
      <c r="J463" s="103">
        <f>IF($D463="Beta",($F463*$I463),IF($D463="Gamma",(($F463^2)/($G463^2)),"N/A"))</f>
        <v>99.999999999999986</v>
      </c>
      <c r="K463" s="103">
        <f>IF($D463="Beta",($J463*((1-$F463)/$F463)),IF($D463="Gamma",(($G463^2)/$F463),"N/A"))</f>
        <v>95.549769982300916</v>
      </c>
      <c r="L463" s="103">
        <f ca="1">IF($D463="Beta",(_xlfn.BETA.INV(RAND(),$J463,$K463)),IF($D463="Gamma",(_xlfn.GAMMA.INV(RAND(),$J463,$K463)),IF($D463="Log Normal",EXP(_xlfn.NORM.INV(RAND(),LN($F463),((LN($F463+1.96*$G463)-LN($F463-1.96*$G463))/(2*1.96)))),_xlfn.NORM.INV(RAND(),$F463,$G463))))</f>
        <v>9710.293376137126</v>
      </c>
      <c r="M463" s="103"/>
      <c r="N463" s="103">
        <f>F463</f>
        <v>9554.9769982300895</v>
      </c>
      <c r="O463" s="120">
        <f ca="1">IF($B463=1,IF($C463=1,$L463,$F463),0)</f>
        <v>9710.293376137126</v>
      </c>
      <c r="P463" s="121"/>
      <c r="Q463" s="120"/>
      <c r="R463" s="120"/>
      <c r="S463" s="93"/>
    </row>
    <row r="464" spans="1:24" s="91" customFormat="1" x14ac:dyDescent="0.25">
      <c r="A464" s="122" t="s">
        <v>186</v>
      </c>
      <c r="B464" s="120">
        <v>1</v>
      </c>
      <c r="C464" s="122">
        <v>1</v>
      </c>
      <c r="D464" s="122" t="s">
        <v>158</v>
      </c>
      <c r="E464" s="120"/>
      <c r="F464" s="361">
        <v>21724.883256637171</v>
      </c>
      <c r="G464" s="362">
        <v>147.96</v>
      </c>
      <c r="H464" s="120"/>
      <c r="I464" s="102" t="str">
        <f>IF($D464="Beta",((($F464*(1-$F464))/($G464^2))-1),"N/A")</f>
        <v>N/A</v>
      </c>
      <c r="J464" s="103">
        <f>IF($D464="Beta",($F464*$I464),IF($D464="Gamma",(($F464^2)/($G464^2)),"N/A"))</f>
        <v>21558.883089667765</v>
      </c>
      <c r="K464" s="103">
        <f>IF($D464="Beta",($J464*((1-$F464)/$F464)),IF($D464="Gamma",(($G464^2)/$F464),"N/A"))</f>
        <v>1.0076998500469145</v>
      </c>
      <c r="L464" s="103">
        <f ca="1">IF($D464="Beta",(_xlfn.BETA.INV(RAND(),$J464,$K464)),IF($D464="Gamma",(_xlfn.GAMMA.INV(RAND(),$J464,$K464)),IF($D464="Log Normal",EXP(_xlfn.NORM.INV(RAND(),LN($F464),((LN($F464+1.96*$G464)-LN($F464-1.96*$G464))/(2*1.96)))),_xlfn.NORM.INV(RAND(),$F464,$G464))))</f>
        <v>21739.162218497477</v>
      </c>
      <c r="M464" s="103"/>
      <c r="N464" s="103">
        <f>F464</f>
        <v>21724.883256637171</v>
      </c>
      <c r="O464" s="120">
        <f ca="1">IF($B464=1,IF($C464=1,$L464,$F464),0)</f>
        <v>21739.162218497477</v>
      </c>
      <c r="P464" s="121"/>
      <c r="Q464" s="120"/>
      <c r="R464" s="120"/>
      <c r="S464" s="93"/>
    </row>
    <row r="465" spans="1:37" s="91" customFormat="1" x14ac:dyDescent="0.25">
      <c r="A465" s="104"/>
      <c r="B465" s="104"/>
      <c r="C465" s="104"/>
      <c r="D465" s="104"/>
      <c r="E465" s="104"/>
      <c r="F465" s="104"/>
      <c r="G465" s="104"/>
      <c r="H465" s="104"/>
      <c r="I465" s="167"/>
      <c r="J465" s="167"/>
      <c r="K465" s="167"/>
      <c r="L465" s="167"/>
      <c r="M465" s="104"/>
      <c r="N465" s="104"/>
      <c r="O465" s="104"/>
      <c r="P465" s="98"/>
    </row>
    <row r="466" spans="1:37" s="91" customFormat="1" x14ac:dyDescent="0.25">
      <c r="A466" s="104"/>
      <c r="B466" s="104"/>
      <c r="C466" s="104"/>
      <c r="D466" s="104"/>
      <c r="E466" s="104"/>
      <c r="F466" s="104"/>
      <c r="G466" s="104"/>
      <c r="H466" s="104"/>
      <c r="I466" s="167"/>
      <c r="J466" s="167"/>
      <c r="K466" s="167"/>
      <c r="L466" s="167"/>
      <c r="M466" s="104"/>
      <c r="N466" s="104"/>
      <c r="O466" s="104"/>
      <c r="P466" s="98"/>
    </row>
    <row r="467" spans="1:37" s="91" customFormat="1" x14ac:dyDescent="0.25">
      <c r="A467" s="568" t="s">
        <v>434</v>
      </c>
      <c r="B467" s="569"/>
      <c r="C467" s="569"/>
      <c r="D467" s="569"/>
      <c r="E467" s="569"/>
      <c r="F467" s="569"/>
      <c r="G467" s="569"/>
      <c r="H467" s="569"/>
      <c r="I467" s="569"/>
      <c r="J467" s="569"/>
      <c r="K467" s="569"/>
      <c r="L467" s="569"/>
      <c r="M467" s="569"/>
      <c r="N467" s="569"/>
      <c r="O467" s="569"/>
      <c r="P467" s="569"/>
      <c r="Q467" s="569"/>
      <c r="R467" s="569"/>
      <c r="S467" s="569"/>
      <c r="T467" s="569"/>
      <c r="U467" s="569"/>
      <c r="V467" s="569"/>
      <c r="W467" s="570"/>
    </row>
    <row r="468" spans="1:37" s="91" customFormat="1" x14ac:dyDescent="0.25">
      <c r="A468" s="112" t="s">
        <v>99</v>
      </c>
      <c r="B468" s="107" t="s">
        <v>155</v>
      </c>
      <c r="C468" s="106" t="s">
        <v>113</v>
      </c>
      <c r="D468" s="106" t="s">
        <v>15</v>
      </c>
      <c r="E468" s="107"/>
      <c r="F468" s="107" t="s">
        <v>4</v>
      </c>
      <c r="G468" s="106" t="s">
        <v>19</v>
      </c>
      <c r="H468" s="107"/>
      <c r="I468" s="108" t="s">
        <v>108</v>
      </c>
      <c r="J468" s="109" t="s">
        <v>22</v>
      </c>
      <c r="K468" s="109" t="s">
        <v>23</v>
      </c>
      <c r="L468" s="109" t="s">
        <v>100</v>
      </c>
      <c r="M468" s="107"/>
      <c r="N468" s="107" t="s">
        <v>14</v>
      </c>
      <c r="O468" s="107" t="s">
        <v>25</v>
      </c>
      <c r="P468" s="98"/>
    </row>
    <row r="469" spans="1:37" s="91" customFormat="1" x14ac:dyDescent="0.25">
      <c r="A469" s="118" t="s">
        <v>908</v>
      </c>
      <c r="B469" s="120">
        <v>1</v>
      </c>
      <c r="C469" s="122">
        <v>1</v>
      </c>
      <c r="D469" s="122" t="s">
        <v>158</v>
      </c>
      <c r="E469" s="120"/>
      <c r="F469" s="361">
        <v>1624.0022548672569</v>
      </c>
      <c r="G469" s="362">
        <f>0.1*F469</f>
        <v>162.4002254867257</v>
      </c>
      <c r="H469" s="120"/>
      <c r="I469" s="102" t="str">
        <f>IF($D469="Beta",((($F469*(1-$F469))/($G469^2))-1),"N/A")</f>
        <v>N/A</v>
      </c>
      <c r="J469" s="103">
        <f>IF($D469="Beta",($F469*$I469),IF($D469="Gamma",(($F469^2)/($G469^2)),"N/A"))</f>
        <v>99.999999999999986</v>
      </c>
      <c r="K469" s="103">
        <f>IF($D469="Beta",($J469*((1-$F469)/$F469)),IF($D469="Gamma",(($G469^2)/$F469),"N/A"))</f>
        <v>16.24002254867257</v>
      </c>
      <c r="L469" s="103">
        <f ca="1">IF($D469="Beta",(_xlfn.BETA.INV(RAND(),$J469,$K469)),IF($D469="Gamma",(_xlfn.GAMMA.INV(RAND(),$J469,$K469)),IF($D469="Log Normal",EXP(_xlfn.NORM.INV(RAND(),LN($F469),((LN($F469+1.96*$G469)-LN($F469-1.96*$G469))/(2*1.96)))),_xlfn.NORM.INV(RAND(),$F469,$G469))))</f>
        <v>1697.4165622182215</v>
      </c>
      <c r="M469" s="103"/>
      <c r="N469" s="103">
        <f>F469</f>
        <v>1624.0022548672569</v>
      </c>
      <c r="O469" s="120">
        <f ca="1">IF($B469=1,IF($C469=1,$L469,$F469),0)</f>
        <v>1697.4165622182215</v>
      </c>
      <c r="P469" s="98"/>
    </row>
    <row r="470" spans="1:37" s="91" customFormat="1" x14ac:dyDescent="0.25">
      <c r="A470" s="104"/>
      <c r="B470" s="104"/>
      <c r="C470" s="104"/>
      <c r="D470" s="104"/>
      <c r="E470" s="104"/>
      <c r="F470" s="104"/>
      <c r="G470" s="104"/>
      <c r="H470" s="104"/>
      <c r="I470" s="167"/>
      <c r="J470" s="167"/>
      <c r="K470" s="167"/>
      <c r="L470" s="167"/>
      <c r="M470" s="104"/>
      <c r="N470" s="104"/>
      <c r="O470" s="104"/>
      <c r="P470" s="98"/>
    </row>
    <row r="471" spans="1:37" s="91" customFormat="1" x14ac:dyDescent="0.25">
      <c r="A471" s="104"/>
      <c r="B471" s="104"/>
      <c r="C471" s="104"/>
      <c r="D471" s="104"/>
      <c r="E471" s="104"/>
      <c r="F471" s="104"/>
      <c r="G471" s="104"/>
      <c r="H471" s="104"/>
      <c r="I471" s="167"/>
      <c r="J471" s="167"/>
      <c r="K471" s="167"/>
      <c r="L471" s="167"/>
      <c r="M471" s="104"/>
      <c r="N471" s="104"/>
      <c r="O471" s="104"/>
      <c r="P471" s="98"/>
    </row>
    <row r="472" spans="1:37" s="91" customFormat="1" x14ac:dyDescent="0.25">
      <c r="A472" s="321"/>
      <c r="B472" s="321"/>
      <c r="C472" s="321"/>
      <c r="D472" s="321"/>
      <c r="E472" s="321"/>
      <c r="F472" s="321"/>
      <c r="G472" s="321"/>
      <c r="H472" s="321"/>
      <c r="I472" s="322"/>
      <c r="J472" s="322"/>
      <c r="K472" s="322"/>
      <c r="L472" s="322"/>
      <c r="M472" s="321"/>
      <c r="N472" s="321"/>
      <c r="O472" s="321"/>
      <c r="P472" s="92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</row>
    <row r="473" spans="1:37" s="91" customFormat="1" x14ac:dyDescent="0.25">
      <c r="A473" s="92"/>
      <c r="B473" s="92"/>
      <c r="C473" s="92"/>
      <c r="D473" s="92"/>
      <c r="E473" s="92"/>
      <c r="F473" s="92"/>
      <c r="G473" s="92"/>
      <c r="H473" s="92"/>
      <c r="I473" s="124"/>
      <c r="J473" s="124"/>
      <c r="K473" s="124"/>
      <c r="L473" s="124"/>
      <c r="M473" s="92"/>
      <c r="N473" s="92"/>
      <c r="O473" s="92"/>
      <c r="P473" s="92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</row>
    <row r="474" spans="1:37" x14ac:dyDescent="0.25">
      <c r="A474" s="566"/>
      <c r="B474" s="566"/>
      <c r="C474" s="566"/>
      <c r="D474" s="566"/>
      <c r="E474" s="566"/>
      <c r="F474" s="566"/>
      <c r="G474" s="566"/>
      <c r="H474" s="566"/>
      <c r="I474" s="566"/>
      <c r="J474" s="566"/>
      <c r="K474" s="566"/>
      <c r="L474" s="566"/>
      <c r="M474" s="566"/>
      <c r="N474" s="566"/>
      <c r="O474" s="566"/>
      <c r="P474" s="566"/>
      <c r="Q474" s="566"/>
      <c r="R474" s="566"/>
      <c r="S474" s="566"/>
      <c r="T474" s="566"/>
      <c r="U474" s="566"/>
      <c r="V474" s="566"/>
      <c r="W474" s="567"/>
      <c r="X474" s="90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</row>
    <row r="475" spans="1:37" x14ac:dyDescent="0.25">
      <c r="A475" s="321"/>
      <c r="B475" s="323"/>
      <c r="C475" s="321"/>
      <c r="D475" s="321"/>
      <c r="E475" s="323"/>
      <c r="F475" s="566"/>
      <c r="G475" s="566"/>
      <c r="H475" s="566"/>
      <c r="I475" s="566"/>
      <c r="J475" s="323"/>
      <c r="K475" s="566"/>
      <c r="L475" s="566"/>
      <c r="M475" s="566"/>
      <c r="N475" s="566"/>
      <c r="O475" s="566"/>
      <c r="P475" s="566"/>
      <c r="Q475" s="566"/>
      <c r="R475" s="566"/>
      <c r="S475" s="323"/>
      <c r="T475" s="566"/>
      <c r="U475" s="567"/>
      <c r="V475" s="323"/>
      <c r="W475" s="323"/>
      <c r="X475" s="90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</row>
    <row r="476" spans="1:37" x14ac:dyDescent="0.25">
      <c r="A476" s="324"/>
      <c r="B476" s="325"/>
      <c r="C476" s="324"/>
      <c r="D476" s="324"/>
      <c r="E476" s="325"/>
      <c r="F476" s="325"/>
      <c r="G476" s="324"/>
      <c r="H476" s="325"/>
      <c r="I476" s="324"/>
      <c r="J476" s="325"/>
      <c r="K476" s="326"/>
      <c r="L476" s="327"/>
      <c r="M476" s="327"/>
      <c r="N476" s="327"/>
      <c r="O476" s="326"/>
      <c r="P476" s="327"/>
      <c r="Q476" s="327"/>
      <c r="R476" s="327"/>
      <c r="S476" s="325"/>
      <c r="T476" s="325"/>
      <c r="U476" s="328"/>
      <c r="V476" s="325"/>
      <c r="W476" s="329"/>
      <c r="X476" s="90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</row>
    <row r="477" spans="1:37" s="91" customFormat="1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90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</row>
    <row r="478" spans="1:37" s="91" customFormat="1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90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</row>
    <row r="479" spans="1:37" s="91" customFormat="1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90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</row>
    <row r="480" spans="1:37" s="91" customFormat="1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90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</row>
    <row r="481" spans="1:37" s="91" customFormat="1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</row>
    <row r="482" spans="1:37" s="91" customFormat="1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</row>
    <row r="483" spans="1:37" s="91" customFormat="1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</row>
    <row r="484" spans="1:37" s="91" customFormat="1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</row>
    <row r="485" spans="1:37" s="91" customFormat="1" x14ac:dyDescent="0.25">
      <c r="A485" s="122"/>
      <c r="B485" s="330"/>
      <c r="C485" s="122"/>
      <c r="D485" s="122"/>
      <c r="E485" s="330"/>
      <c r="F485" s="330"/>
      <c r="G485" s="99"/>
      <c r="H485" s="330"/>
      <c r="I485" s="99"/>
      <c r="J485" s="330"/>
      <c r="K485" s="123"/>
      <c r="L485" s="124"/>
      <c r="M485" s="124"/>
      <c r="N485" s="124"/>
      <c r="O485" s="123"/>
      <c r="P485" s="124"/>
      <c r="Q485" s="124"/>
      <c r="R485" s="124"/>
      <c r="S485" s="330"/>
      <c r="T485" s="330"/>
      <c r="U485" s="331"/>
      <c r="V485" s="330"/>
      <c r="W485" s="330"/>
      <c r="X485" s="90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</row>
    <row r="486" spans="1:37" s="91" customFormat="1" x14ac:dyDescent="0.25">
      <c r="A486" s="122"/>
      <c r="B486" s="330"/>
      <c r="C486" s="122"/>
      <c r="D486" s="122"/>
      <c r="E486" s="330"/>
      <c r="F486" s="330"/>
      <c r="G486" s="99"/>
      <c r="H486" s="330"/>
      <c r="I486" s="99"/>
      <c r="J486" s="330"/>
      <c r="K486" s="123"/>
      <c r="L486" s="124"/>
      <c r="M486" s="124"/>
      <c r="N486" s="124"/>
      <c r="O486" s="123"/>
      <c r="P486" s="124"/>
      <c r="Q486" s="124"/>
      <c r="R486" s="124"/>
      <c r="S486" s="330"/>
      <c r="T486" s="330"/>
      <c r="U486" s="331"/>
      <c r="V486" s="330"/>
      <c r="W486" s="330"/>
      <c r="X486" s="90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</row>
    <row r="487" spans="1:37" s="91" customFormat="1" x14ac:dyDescent="0.25">
      <c r="A487" s="122"/>
      <c r="B487" s="330"/>
      <c r="C487" s="122"/>
      <c r="D487" s="122"/>
      <c r="E487" s="330"/>
      <c r="F487" s="330"/>
      <c r="G487" s="99"/>
      <c r="H487" s="330"/>
      <c r="I487" s="99"/>
      <c r="J487" s="330"/>
      <c r="K487" s="123"/>
      <c r="L487" s="124"/>
      <c r="M487" s="124"/>
      <c r="N487" s="124"/>
      <c r="O487" s="123"/>
      <c r="P487" s="124"/>
      <c r="Q487" s="124"/>
      <c r="R487" s="124"/>
      <c r="S487" s="330"/>
      <c r="T487" s="330"/>
      <c r="U487" s="331"/>
      <c r="V487" s="330"/>
      <c r="W487" s="330"/>
      <c r="X487" s="90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</row>
    <row r="488" spans="1:37" s="91" customFormat="1" x14ac:dyDescent="0.25">
      <c r="A488" s="122"/>
      <c r="B488" s="330"/>
      <c r="C488" s="122"/>
      <c r="D488" s="122"/>
      <c r="E488" s="330"/>
      <c r="F488" s="330"/>
      <c r="G488" s="99"/>
      <c r="H488" s="330"/>
      <c r="I488" s="99"/>
      <c r="J488" s="330"/>
      <c r="K488" s="123"/>
      <c r="L488" s="124"/>
      <c r="M488" s="124"/>
      <c r="N488" s="124"/>
      <c r="O488" s="123"/>
      <c r="P488" s="124"/>
      <c r="Q488" s="124"/>
      <c r="R488" s="124"/>
      <c r="S488" s="330"/>
      <c r="T488" s="330"/>
      <c r="U488" s="331"/>
      <c r="V488" s="330"/>
      <c r="W488" s="330"/>
      <c r="X488" s="90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</row>
    <row r="489" spans="1:37" s="91" customFormat="1" x14ac:dyDescent="0.25">
      <c r="A489" s="122"/>
      <c r="B489" s="330"/>
      <c r="C489" s="122"/>
      <c r="D489" s="122"/>
      <c r="E489" s="330"/>
      <c r="F489" s="330"/>
      <c r="G489" s="99"/>
      <c r="H489" s="330"/>
      <c r="I489" s="99"/>
      <c r="J489" s="330"/>
      <c r="K489" s="123"/>
      <c r="L489" s="124"/>
      <c r="M489" s="124"/>
      <c r="N489" s="124"/>
      <c r="O489" s="123"/>
      <c r="P489" s="124"/>
      <c r="Q489" s="124"/>
      <c r="R489" s="124"/>
      <c r="S489" s="330"/>
      <c r="T489" s="330"/>
      <c r="U489" s="331"/>
      <c r="V489" s="330"/>
      <c r="W489" s="330"/>
      <c r="X489" s="90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</row>
    <row r="490" spans="1:37" s="91" customFormat="1" x14ac:dyDescent="0.25">
      <c r="A490" s="122"/>
      <c r="B490" s="330"/>
      <c r="C490" s="122"/>
      <c r="D490" s="122"/>
      <c r="E490" s="330"/>
      <c r="F490" s="330"/>
      <c r="G490" s="99"/>
      <c r="H490" s="330"/>
      <c r="I490" s="99"/>
      <c r="J490" s="330"/>
      <c r="K490" s="123"/>
      <c r="L490" s="124"/>
      <c r="M490" s="124"/>
      <c r="N490" s="124"/>
      <c r="O490" s="123"/>
      <c r="P490" s="124"/>
      <c r="Q490" s="124"/>
      <c r="R490" s="124"/>
      <c r="S490" s="330"/>
      <c r="T490" s="330"/>
      <c r="U490" s="331"/>
      <c r="V490" s="330"/>
      <c r="W490" s="330"/>
      <c r="X490" s="90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</row>
    <row r="491" spans="1:37" s="91" customFormat="1" x14ac:dyDescent="0.25">
      <c r="A491" s="122"/>
      <c r="B491" s="330"/>
      <c r="C491" s="122"/>
      <c r="D491" s="122"/>
      <c r="E491" s="330"/>
      <c r="F491" s="330"/>
      <c r="G491" s="99"/>
      <c r="H491" s="330"/>
      <c r="I491" s="99"/>
      <c r="J491" s="330"/>
      <c r="K491" s="123"/>
      <c r="L491" s="124"/>
      <c r="M491" s="124"/>
      <c r="N491" s="124"/>
      <c r="O491" s="123"/>
      <c r="P491" s="124"/>
      <c r="Q491" s="124"/>
      <c r="R491" s="124"/>
      <c r="S491" s="330"/>
      <c r="T491" s="330"/>
      <c r="U491" s="331"/>
      <c r="V491" s="330"/>
      <c r="W491" s="330"/>
      <c r="X491" s="90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</row>
    <row r="492" spans="1:37" s="91" customFormat="1" x14ac:dyDescent="0.25">
      <c r="A492" s="122"/>
      <c r="B492" s="330"/>
      <c r="C492" s="122"/>
      <c r="D492" s="122"/>
      <c r="E492" s="330"/>
      <c r="F492" s="330"/>
      <c r="G492" s="99"/>
      <c r="H492" s="330"/>
      <c r="I492" s="99"/>
      <c r="J492" s="330"/>
      <c r="K492" s="123"/>
      <c r="L492" s="124"/>
      <c r="M492" s="124"/>
      <c r="N492" s="124"/>
      <c r="O492" s="123"/>
      <c r="P492" s="124"/>
      <c r="Q492" s="124"/>
      <c r="R492" s="124"/>
      <c r="S492" s="330"/>
      <c r="T492" s="330"/>
      <c r="U492" s="331"/>
      <c r="V492" s="330"/>
      <c r="W492" s="330"/>
      <c r="X492" s="90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</row>
    <row r="493" spans="1:37" s="91" customFormat="1" x14ac:dyDescent="0.25">
      <c r="A493" s="122"/>
      <c r="B493" s="330"/>
      <c r="C493" s="122"/>
      <c r="D493" s="122"/>
      <c r="E493" s="330"/>
      <c r="F493" s="330"/>
      <c r="G493" s="99"/>
      <c r="H493" s="330"/>
      <c r="I493" s="99"/>
      <c r="J493" s="330"/>
      <c r="K493" s="123"/>
      <c r="L493" s="124"/>
      <c r="M493" s="124"/>
      <c r="N493" s="124"/>
      <c r="O493" s="123"/>
      <c r="P493" s="124"/>
      <c r="Q493" s="124"/>
      <c r="R493" s="124"/>
      <c r="S493" s="330"/>
      <c r="T493" s="330"/>
      <c r="U493" s="331"/>
      <c r="V493" s="330"/>
      <c r="W493" s="330"/>
      <c r="X493" s="90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</row>
    <row r="494" spans="1:37" s="91" customFormat="1" x14ac:dyDescent="0.25">
      <c r="A494" s="122"/>
      <c r="B494" s="330"/>
      <c r="C494" s="122"/>
      <c r="D494" s="122"/>
      <c r="E494" s="330"/>
      <c r="F494" s="330"/>
      <c r="G494" s="99"/>
      <c r="H494" s="330"/>
      <c r="I494" s="99"/>
      <c r="J494" s="330"/>
      <c r="K494" s="123"/>
      <c r="L494" s="124"/>
      <c r="M494" s="124"/>
      <c r="N494" s="124"/>
      <c r="O494" s="123"/>
      <c r="P494" s="124"/>
      <c r="Q494" s="124"/>
      <c r="R494" s="124"/>
      <c r="S494" s="330"/>
      <c r="T494" s="330"/>
      <c r="U494" s="331"/>
      <c r="V494" s="330"/>
      <c r="W494" s="330"/>
      <c r="X494" s="90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</row>
    <row r="495" spans="1:37" s="91" customFormat="1" x14ac:dyDescent="0.25">
      <c r="A495" s="122"/>
      <c r="B495" s="330"/>
      <c r="C495" s="122"/>
      <c r="D495" s="122"/>
      <c r="E495" s="330"/>
      <c r="F495" s="330"/>
      <c r="G495" s="99"/>
      <c r="H495" s="330"/>
      <c r="I495" s="99"/>
      <c r="J495" s="330"/>
      <c r="K495" s="123"/>
      <c r="L495" s="124"/>
      <c r="M495" s="124"/>
      <c r="N495" s="124"/>
      <c r="O495" s="123"/>
      <c r="P495" s="124"/>
      <c r="Q495" s="124"/>
      <c r="R495" s="124"/>
      <c r="S495" s="330"/>
      <c r="T495" s="330"/>
      <c r="U495" s="331"/>
      <c r="V495" s="330"/>
      <c r="W495" s="330"/>
      <c r="X495" s="90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</row>
    <row r="496" spans="1:37" s="91" customFormat="1" x14ac:dyDescent="0.25">
      <c r="A496" s="122"/>
      <c r="B496" s="330"/>
      <c r="C496" s="122"/>
      <c r="D496" s="122"/>
      <c r="E496" s="330"/>
      <c r="F496" s="330"/>
      <c r="G496" s="99"/>
      <c r="H496" s="330"/>
      <c r="I496" s="99"/>
      <c r="J496" s="330"/>
      <c r="K496" s="123"/>
      <c r="L496" s="124"/>
      <c r="M496" s="124"/>
      <c r="N496" s="124"/>
      <c r="O496" s="123"/>
      <c r="P496" s="124"/>
      <c r="Q496" s="124"/>
      <c r="R496" s="124"/>
      <c r="S496" s="330"/>
      <c r="T496" s="330"/>
      <c r="U496" s="331"/>
      <c r="V496" s="330"/>
      <c r="W496" s="330"/>
      <c r="X496" s="90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</row>
    <row r="497" spans="1:37" s="91" customFormat="1" x14ac:dyDescent="0.25">
      <c r="A497" s="24"/>
      <c r="B497" s="330"/>
      <c r="C497" s="122"/>
      <c r="D497" s="99"/>
      <c r="E497" s="330"/>
      <c r="F497" s="330"/>
      <c r="G497" s="99"/>
      <c r="H497" s="330"/>
      <c r="I497" s="99"/>
      <c r="J497" s="330"/>
      <c r="K497" s="123"/>
      <c r="L497" s="124"/>
      <c r="M497" s="124"/>
      <c r="N497" s="124"/>
      <c r="O497" s="123"/>
      <c r="P497" s="124"/>
      <c r="Q497" s="124"/>
      <c r="R497" s="124"/>
      <c r="S497" s="330"/>
      <c r="T497" s="330"/>
      <c r="U497" s="331"/>
      <c r="V497" s="330"/>
      <c r="W497" s="330"/>
      <c r="X497" s="90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</row>
    <row r="498" spans="1:37" s="91" customFormat="1" x14ac:dyDescent="0.25">
      <c r="A498" s="566"/>
      <c r="B498" s="566"/>
      <c r="C498" s="566"/>
      <c r="D498" s="566"/>
      <c r="E498" s="566"/>
      <c r="F498" s="566"/>
      <c r="G498" s="566"/>
      <c r="H498" s="566"/>
      <c r="I498" s="566"/>
      <c r="J498" s="566"/>
      <c r="K498" s="566"/>
      <c r="L498" s="566"/>
      <c r="M498" s="566"/>
      <c r="N498" s="566"/>
      <c r="O498" s="566"/>
      <c r="P498" s="566"/>
      <c r="Q498" s="566"/>
      <c r="R498" s="566"/>
      <c r="S498" s="566"/>
      <c r="T498" s="566"/>
      <c r="U498" s="566"/>
      <c r="V498" s="566"/>
      <c r="W498" s="567"/>
      <c r="X498" s="90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</row>
    <row r="499" spans="1:37" s="91" customFormat="1" x14ac:dyDescent="0.25">
      <c r="A499" s="321"/>
      <c r="B499" s="323"/>
      <c r="C499" s="321"/>
      <c r="D499" s="321"/>
      <c r="E499" s="323"/>
      <c r="F499" s="566"/>
      <c r="G499" s="566"/>
      <c r="H499" s="566"/>
      <c r="I499" s="566"/>
      <c r="J499" s="323"/>
      <c r="K499" s="566"/>
      <c r="L499" s="566"/>
      <c r="M499" s="566"/>
      <c r="N499" s="566"/>
      <c r="O499" s="566"/>
      <c r="P499" s="566"/>
      <c r="Q499" s="566"/>
      <c r="R499" s="566"/>
      <c r="S499" s="323"/>
      <c r="T499" s="566"/>
      <c r="U499" s="567"/>
      <c r="V499" s="323"/>
      <c r="W499" s="323"/>
      <c r="X499" s="90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</row>
    <row r="500" spans="1:37" s="91" customFormat="1" x14ac:dyDescent="0.25">
      <c r="A500" s="324"/>
      <c r="B500" s="325"/>
      <c r="C500" s="324"/>
      <c r="D500" s="324"/>
      <c r="E500" s="325"/>
      <c r="F500" s="325"/>
      <c r="G500" s="324"/>
      <c r="H500" s="325"/>
      <c r="I500" s="324"/>
      <c r="J500" s="325"/>
      <c r="K500" s="326"/>
      <c r="L500" s="327"/>
      <c r="M500" s="327"/>
      <c r="N500" s="327"/>
      <c r="O500" s="326"/>
      <c r="P500" s="327"/>
      <c r="Q500" s="327"/>
      <c r="R500" s="327"/>
      <c r="S500" s="325"/>
      <c r="T500" s="325"/>
      <c r="U500" s="328"/>
      <c r="V500" s="325"/>
      <c r="W500" s="329"/>
      <c r="X500" s="90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</row>
    <row r="501" spans="1:37" s="91" customFormat="1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</row>
    <row r="502" spans="1:37" s="91" customFormat="1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</row>
    <row r="503" spans="1:37" s="91" customFormat="1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</row>
    <row r="504" spans="1:37" s="91" customFormat="1" x14ac:dyDescent="0.25">
      <c r="A504" s="566"/>
      <c r="B504" s="566"/>
      <c r="C504" s="566"/>
      <c r="D504" s="566"/>
      <c r="E504" s="566"/>
      <c r="F504" s="566"/>
      <c r="G504" s="566"/>
      <c r="H504" s="566"/>
      <c r="I504" s="566"/>
      <c r="J504" s="566"/>
      <c r="K504" s="566"/>
      <c r="L504" s="566"/>
      <c r="M504" s="566"/>
      <c r="N504" s="566"/>
      <c r="O504" s="566"/>
      <c r="P504" s="566"/>
      <c r="Q504" s="566"/>
      <c r="R504" s="566"/>
      <c r="S504" s="566"/>
      <c r="T504" s="566"/>
      <c r="U504" s="566"/>
      <c r="V504" s="566"/>
      <c r="W504" s="567"/>
      <c r="X504" s="90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</row>
    <row r="505" spans="1:37" s="91" customFormat="1" x14ac:dyDescent="0.25">
      <c r="A505" s="321"/>
      <c r="B505" s="323"/>
      <c r="C505" s="321"/>
      <c r="D505" s="321"/>
      <c r="E505" s="323"/>
      <c r="F505" s="566"/>
      <c r="G505" s="566"/>
      <c r="H505" s="566"/>
      <c r="I505" s="566"/>
      <c r="J505" s="323"/>
      <c r="K505" s="566"/>
      <c r="L505" s="566"/>
      <c r="M505" s="566"/>
      <c r="N505" s="566"/>
      <c r="O505" s="566"/>
      <c r="P505" s="566"/>
      <c r="Q505" s="566"/>
      <c r="R505" s="566"/>
      <c r="S505" s="323"/>
      <c r="T505" s="566"/>
      <c r="U505" s="567"/>
      <c r="V505" s="323"/>
      <c r="W505" s="323"/>
      <c r="X505" s="90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</row>
    <row r="506" spans="1:37" s="91" customFormat="1" x14ac:dyDescent="0.25">
      <c r="A506" s="324"/>
      <c r="B506" s="325"/>
      <c r="C506" s="324"/>
      <c r="D506" s="324"/>
      <c r="E506" s="325"/>
      <c r="F506" s="325"/>
      <c r="G506" s="324"/>
      <c r="H506" s="325"/>
      <c r="I506" s="324"/>
      <c r="J506" s="325"/>
      <c r="K506" s="326"/>
      <c r="L506" s="327"/>
      <c r="M506" s="327"/>
      <c r="N506" s="327"/>
      <c r="O506" s="326"/>
      <c r="P506" s="327"/>
      <c r="Q506" s="327"/>
      <c r="R506" s="327"/>
      <c r="S506" s="325"/>
      <c r="T506" s="325"/>
      <c r="U506" s="328"/>
      <c r="V506" s="325"/>
      <c r="W506" s="329"/>
      <c r="X506" s="90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</row>
    <row r="507" spans="1:37" s="91" customFormat="1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90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</row>
    <row r="508" spans="1:37" s="91" customFormat="1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90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</row>
    <row r="509" spans="1:37" s="91" customFormat="1" x14ac:dyDescent="0.25">
      <c r="A509" s="24"/>
      <c r="B509" s="24"/>
      <c r="C509" s="92"/>
      <c r="D509" s="122"/>
      <c r="E509" s="92"/>
      <c r="F509" s="92"/>
      <c r="G509" s="24"/>
      <c r="H509" s="92"/>
      <c r="I509" s="24"/>
      <c r="J509" s="92"/>
      <c r="K509" s="123"/>
      <c r="L509" s="124"/>
      <c r="M509" s="124"/>
      <c r="N509" s="124"/>
      <c r="O509" s="123"/>
      <c r="P509" s="124"/>
      <c r="Q509" s="124"/>
      <c r="R509" s="124"/>
      <c r="S509" s="90"/>
      <c r="T509" s="90"/>
      <c r="U509" s="332"/>
      <c r="V509" s="90"/>
      <c r="W509" s="90"/>
      <c r="X509" s="90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</row>
    <row r="510" spans="1:37" s="91" customFormat="1" x14ac:dyDescent="0.25">
      <c r="A510" s="24"/>
      <c r="B510" s="92"/>
      <c r="C510" s="92"/>
      <c r="D510" s="122"/>
      <c r="E510" s="92"/>
      <c r="F510" s="92"/>
      <c r="G510" s="24"/>
      <c r="H510" s="92"/>
      <c r="I510" s="24"/>
      <c r="J510" s="92"/>
      <c r="K510" s="123"/>
      <c r="L510" s="124"/>
      <c r="M510" s="124"/>
      <c r="N510" s="124"/>
      <c r="O510" s="123"/>
      <c r="P510" s="124"/>
      <c r="Q510" s="124"/>
      <c r="R510" s="124"/>
      <c r="S510" s="90"/>
      <c r="T510" s="90"/>
      <c r="U510" s="332"/>
      <c r="V510" s="90"/>
      <c r="W510" s="90"/>
      <c r="X510" s="90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</row>
    <row r="511" spans="1:37" s="91" customFormat="1" x14ac:dyDescent="0.25">
      <c r="A511" s="24"/>
      <c r="B511" s="92"/>
      <c r="C511" s="92"/>
      <c r="D511" s="122"/>
      <c r="E511" s="92"/>
      <c r="F511" s="92"/>
      <c r="G511" s="24"/>
      <c r="H511" s="92"/>
      <c r="I511" s="24"/>
      <c r="J511" s="92"/>
      <c r="K511" s="123"/>
      <c r="L511" s="124"/>
      <c r="M511" s="124"/>
      <c r="N511" s="124"/>
      <c r="O511" s="123"/>
      <c r="P511" s="124"/>
      <c r="Q511" s="124"/>
      <c r="R511" s="124"/>
      <c r="S511" s="90"/>
      <c r="T511" s="90"/>
      <c r="U511" s="332"/>
      <c r="V511" s="90"/>
      <c r="W511" s="90"/>
      <c r="X511" s="90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</row>
    <row r="512" spans="1:37" s="91" customFormat="1" x14ac:dyDescent="0.25">
      <c r="A512" s="24"/>
      <c r="B512" s="92"/>
      <c r="C512" s="92"/>
      <c r="D512" s="122"/>
      <c r="E512" s="92"/>
      <c r="F512" s="92"/>
      <c r="G512" s="24"/>
      <c r="H512" s="92"/>
      <c r="I512" s="24"/>
      <c r="J512" s="92"/>
      <c r="K512" s="123"/>
      <c r="L512" s="124"/>
      <c r="M512" s="124"/>
      <c r="N512" s="124"/>
      <c r="O512" s="123"/>
      <c r="P512" s="124"/>
      <c r="Q512" s="124"/>
      <c r="R512" s="124"/>
      <c r="S512" s="90"/>
      <c r="T512" s="90"/>
      <c r="U512" s="332"/>
      <c r="V512" s="90"/>
      <c r="W512" s="90"/>
      <c r="X512" s="90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</row>
    <row r="513" spans="1:37" s="91" customFormat="1" x14ac:dyDescent="0.25">
      <c r="A513" s="566"/>
      <c r="B513" s="566"/>
      <c r="C513" s="566"/>
      <c r="D513" s="566"/>
      <c r="E513" s="566"/>
      <c r="F513" s="566"/>
      <c r="G513" s="566"/>
      <c r="H513" s="566"/>
      <c r="I513" s="566"/>
      <c r="J513" s="566"/>
      <c r="K513" s="566"/>
      <c r="L513" s="566"/>
      <c r="M513" s="566"/>
      <c r="N513" s="566"/>
      <c r="O513" s="566"/>
      <c r="P513" s="566"/>
      <c r="Q513" s="566"/>
      <c r="R513" s="566"/>
      <c r="S513" s="566"/>
      <c r="T513" s="566"/>
      <c r="U513" s="566"/>
      <c r="V513" s="566"/>
      <c r="W513" s="567"/>
      <c r="X513" s="90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</row>
    <row r="514" spans="1:37" s="91" customFormat="1" x14ac:dyDescent="0.25">
      <c r="A514" s="321"/>
      <c r="B514" s="323"/>
      <c r="C514" s="321"/>
      <c r="D514" s="321"/>
      <c r="E514" s="323"/>
      <c r="F514" s="566"/>
      <c r="G514" s="566"/>
      <c r="H514" s="566"/>
      <c r="I514" s="566"/>
      <c r="J514" s="323"/>
      <c r="K514" s="566"/>
      <c r="L514" s="566"/>
      <c r="M514" s="566"/>
      <c r="N514" s="566"/>
      <c r="O514" s="566"/>
      <c r="P514" s="566"/>
      <c r="Q514" s="566"/>
      <c r="R514" s="566"/>
      <c r="S514" s="323"/>
      <c r="T514" s="566"/>
      <c r="U514" s="567"/>
      <c r="V514" s="323"/>
      <c r="W514" s="323"/>
      <c r="X514" s="90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</row>
    <row r="515" spans="1:37" s="91" customFormat="1" x14ac:dyDescent="0.25">
      <c r="A515" s="324"/>
      <c r="B515" s="325"/>
      <c r="C515" s="324"/>
      <c r="D515" s="324"/>
      <c r="E515" s="325"/>
      <c r="F515" s="325"/>
      <c r="G515" s="324"/>
      <c r="H515" s="325"/>
      <c r="I515" s="324"/>
      <c r="J515" s="325"/>
      <c r="K515" s="326"/>
      <c r="L515" s="327"/>
      <c r="M515" s="327"/>
      <c r="N515" s="327"/>
      <c r="O515" s="326"/>
      <c r="P515" s="327"/>
      <c r="Q515" s="327"/>
      <c r="R515" s="327"/>
      <c r="S515" s="325"/>
      <c r="T515" s="325"/>
      <c r="U515" s="328"/>
      <c r="V515" s="325"/>
      <c r="W515" s="329"/>
      <c r="X515" s="90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</row>
    <row r="516" spans="1:37" s="91" customFormat="1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90"/>
      <c r="W516" s="90"/>
      <c r="X516" s="90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</row>
    <row r="517" spans="1:37" s="91" customFormat="1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90"/>
      <c r="W517" s="90"/>
      <c r="X517" s="90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</row>
    <row r="518" spans="1:37" s="91" customFormat="1" x14ac:dyDescent="0.25">
      <c r="A518" s="24"/>
      <c r="B518" s="90"/>
      <c r="C518" s="92"/>
      <c r="D518" s="24"/>
      <c r="E518" s="90"/>
      <c r="F518" s="90"/>
      <c r="G518" s="24"/>
      <c r="H518" s="90"/>
      <c r="I518" s="24"/>
      <c r="J518" s="90"/>
      <c r="K518" s="90"/>
      <c r="L518" s="24"/>
      <c r="M518" s="24"/>
      <c r="N518" s="24"/>
      <c r="O518" s="90"/>
      <c r="P518" s="24"/>
      <c r="Q518" s="24"/>
      <c r="R518" s="24"/>
      <c r="S518" s="90"/>
      <c r="T518" s="90"/>
      <c r="U518" s="24"/>
      <c r="V518" s="90"/>
      <c r="W518" s="90"/>
      <c r="X518" s="90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</row>
    <row r="519" spans="1:37" s="91" customFormat="1" x14ac:dyDescent="0.25">
      <c r="A519" s="333"/>
      <c r="B519" s="333"/>
      <c r="C519" s="333"/>
      <c r="D519" s="333"/>
      <c r="E519" s="333"/>
      <c r="F519" s="333"/>
      <c r="G519" s="333"/>
      <c r="H519" s="333"/>
      <c r="I519" s="333"/>
      <c r="J519" s="333"/>
      <c r="K519" s="333"/>
      <c r="L519" s="333"/>
      <c r="M519" s="333"/>
      <c r="N519" s="333"/>
      <c r="O519" s="333"/>
      <c r="P519" s="333"/>
      <c r="Q519" s="333"/>
      <c r="R519" s="333"/>
      <c r="S519" s="333"/>
      <c r="T519" s="333"/>
      <c r="U519" s="333"/>
      <c r="V519" s="333"/>
      <c r="W519" s="334"/>
      <c r="X519" s="90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</row>
    <row r="520" spans="1:37" s="91" customFormat="1" x14ac:dyDescent="0.25">
      <c r="A520" s="321"/>
      <c r="B520" s="323"/>
      <c r="C520" s="321"/>
      <c r="D520" s="321"/>
      <c r="E520" s="323"/>
      <c r="F520" s="333"/>
      <c r="G520" s="333"/>
      <c r="H520" s="333"/>
      <c r="I520" s="333"/>
      <c r="J520" s="333"/>
      <c r="K520" s="334"/>
      <c r="L520" s="323"/>
      <c r="M520" s="333"/>
      <c r="N520" s="333"/>
      <c r="O520" s="333"/>
      <c r="P520" s="333"/>
      <c r="Q520" s="333"/>
      <c r="R520" s="333"/>
      <c r="S520" s="333"/>
      <c r="T520" s="333"/>
      <c r="U520" s="333"/>
      <c r="V520" s="333"/>
      <c r="W520" s="333"/>
      <c r="X520" s="334"/>
      <c r="Y520" s="323"/>
      <c r="Z520" s="566"/>
      <c r="AA520" s="566"/>
      <c r="AB520" s="567"/>
      <c r="AC520" s="323"/>
      <c r="AD520" s="90"/>
      <c r="AE520" s="24"/>
      <c r="AF520" s="24"/>
      <c r="AG520" s="24"/>
      <c r="AH520" s="24"/>
      <c r="AI520" s="24"/>
      <c r="AJ520" s="24"/>
      <c r="AK520" s="24"/>
    </row>
    <row r="521" spans="1:37" s="91" customFormat="1" x14ac:dyDescent="0.25">
      <c r="A521" s="324"/>
      <c r="B521" s="325"/>
      <c r="C521" s="324"/>
      <c r="D521" s="324"/>
      <c r="E521" s="325"/>
      <c r="F521" s="325"/>
      <c r="G521" s="324"/>
      <c r="H521" s="325"/>
      <c r="I521" s="324"/>
      <c r="J521" s="325"/>
      <c r="K521" s="324"/>
      <c r="L521" s="325"/>
      <c r="M521" s="326"/>
      <c r="N521" s="327"/>
      <c r="O521" s="327"/>
      <c r="P521" s="327"/>
      <c r="Q521" s="326"/>
      <c r="R521" s="327"/>
      <c r="S521" s="327"/>
      <c r="T521" s="327"/>
      <c r="U521" s="326"/>
      <c r="V521" s="327"/>
      <c r="W521" s="327"/>
      <c r="X521" s="327"/>
      <c r="Y521" s="325"/>
      <c r="Z521" s="325"/>
      <c r="AA521" s="324"/>
      <c r="AB521" s="328"/>
      <c r="AC521" s="325"/>
      <c r="AD521" s="329"/>
      <c r="AE521" s="90"/>
      <c r="AF521" s="24"/>
      <c r="AG521" s="24"/>
      <c r="AH521" s="24"/>
      <c r="AI521" s="24"/>
      <c r="AJ521" s="24"/>
      <c r="AK521" s="24"/>
    </row>
    <row r="522" spans="1:37" s="91" customFormat="1" x14ac:dyDescent="0.25">
      <c r="A522" s="24"/>
      <c r="B522" s="90"/>
      <c r="C522" s="92"/>
      <c r="D522" s="24"/>
      <c r="E522" s="90"/>
      <c r="F522" s="90"/>
      <c r="G522" s="24"/>
      <c r="H522" s="24"/>
      <c r="I522" s="24"/>
      <c r="J522" s="90"/>
      <c r="K522" s="24"/>
      <c r="L522" s="90"/>
      <c r="M522" s="123"/>
      <c r="N522" s="124"/>
      <c r="O522" s="124"/>
      <c r="P522" s="124"/>
      <c r="Q522" s="123"/>
      <c r="R522" s="124"/>
      <c r="S522" s="124"/>
      <c r="T522" s="124"/>
      <c r="U522" s="123"/>
      <c r="V522" s="124"/>
      <c r="W522" s="124"/>
      <c r="X522" s="124"/>
      <c r="Y522" s="90"/>
      <c r="Z522" s="90"/>
      <c r="AA522" s="90"/>
      <c r="AB522" s="90"/>
      <c r="AC522" s="90"/>
      <c r="AD522" s="90"/>
      <c r="AE522" s="24"/>
      <c r="AF522" s="24"/>
      <c r="AG522" s="24"/>
      <c r="AH522" s="24"/>
      <c r="AI522" s="24"/>
      <c r="AJ522" s="24"/>
      <c r="AK522" s="24"/>
    </row>
    <row r="523" spans="1:37" s="91" customFormat="1" x14ac:dyDescent="0.25">
      <c r="A523" s="24"/>
      <c r="B523" s="90"/>
      <c r="C523" s="92"/>
      <c r="D523" s="24"/>
      <c r="E523" s="90"/>
      <c r="F523" s="90"/>
      <c r="G523" s="24"/>
      <c r="H523" s="24"/>
      <c r="I523" s="24"/>
      <c r="J523" s="90"/>
      <c r="K523" s="24"/>
      <c r="L523" s="90"/>
      <c r="M523" s="123"/>
      <c r="N523" s="124"/>
      <c r="O523" s="124"/>
      <c r="P523" s="124"/>
      <c r="Q523" s="123"/>
      <c r="R523" s="124"/>
      <c r="S523" s="124"/>
      <c r="T523" s="124"/>
      <c r="U523" s="123"/>
      <c r="V523" s="124"/>
      <c r="W523" s="124"/>
      <c r="X523" s="124"/>
      <c r="Y523" s="90"/>
      <c r="Z523" s="90"/>
      <c r="AA523" s="90"/>
      <c r="AB523" s="90"/>
      <c r="AC523" s="90"/>
      <c r="AD523" s="90"/>
      <c r="AE523" s="24"/>
      <c r="AF523" s="24"/>
      <c r="AG523" s="24"/>
      <c r="AH523" s="24"/>
      <c r="AI523" s="24"/>
      <c r="AJ523" s="24"/>
      <c r="AK523" s="24"/>
    </row>
    <row r="524" spans="1:37" s="91" customFormat="1" x14ac:dyDescent="0.25">
      <c r="A524" s="24"/>
      <c r="B524" s="90"/>
      <c r="C524" s="92"/>
      <c r="D524" s="24"/>
      <c r="E524" s="90"/>
      <c r="F524" s="90"/>
      <c r="G524" s="24"/>
      <c r="H524" s="24"/>
      <c r="I524" s="24"/>
      <c r="J524" s="90"/>
      <c r="K524" s="24"/>
      <c r="L524" s="90"/>
      <c r="M524" s="123"/>
      <c r="N524" s="124"/>
      <c r="O524" s="124"/>
      <c r="P524" s="124"/>
      <c r="Q524" s="123"/>
      <c r="R524" s="124"/>
      <c r="S524" s="124"/>
      <c r="T524" s="124"/>
      <c r="U524" s="123"/>
      <c r="V524" s="124"/>
      <c r="W524" s="124"/>
      <c r="X524" s="124"/>
      <c r="Y524" s="90"/>
      <c r="Z524" s="90"/>
      <c r="AA524" s="90"/>
      <c r="AB524" s="90"/>
      <c r="AC524" s="90"/>
      <c r="AD524" s="90"/>
      <c r="AE524" s="24"/>
      <c r="AF524" s="24"/>
      <c r="AG524" s="24"/>
      <c r="AH524" s="24"/>
      <c r="AI524" s="24"/>
      <c r="AJ524" s="24"/>
      <c r="AK524" s="24"/>
    </row>
    <row r="525" spans="1:37" s="91" customFormat="1" x14ac:dyDescent="0.25">
      <c r="A525" s="24"/>
      <c r="B525" s="90"/>
      <c r="C525" s="92"/>
      <c r="D525" s="24"/>
      <c r="E525" s="90"/>
      <c r="F525" s="90"/>
      <c r="G525" s="24"/>
      <c r="H525" s="90"/>
      <c r="I525" s="24"/>
      <c r="J525" s="90"/>
      <c r="K525" s="90"/>
      <c r="L525" s="90"/>
      <c r="M525" s="123"/>
      <c r="N525" s="124"/>
      <c r="O525" s="124"/>
      <c r="P525" s="124"/>
      <c r="Q525" s="123"/>
      <c r="R525" s="124"/>
      <c r="S525" s="124"/>
      <c r="T525" s="124"/>
      <c r="U525" s="123"/>
      <c r="V525" s="124"/>
      <c r="W525" s="124"/>
      <c r="X525" s="124"/>
      <c r="Y525" s="90"/>
      <c r="Z525" s="90"/>
      <c r="AA525" s="90"/>
      <c r="AB525" s="90"/>
      <c r="AC525" s="24"/>
      <c r="AD525" s="90"/>
      <c r="AE525" s="24"/>
      <c r="AF525" s="24"/>
      <c r="AG525" s="24"/>
      <c r="AH525" s="24"/>
      <c r="AI525" s="24"/>
      <c r="AJ525" s="24"/>
      <c r="AK525" s="24"/>
    </row>
    <row r="526" spans="1:37" s="91" customFormat="1" x14ac:dyDescent="0.25">
      <c r="A526" s="24"/>
      <c r="B526" s="90"/>
      <c r="C526" s="92"/>
      <c r="D526" s="24"/>
      <c r="E526" s="90"/>
      <c r="F526" s="90"/>
      <c r="G526" s="24"/>
      <c r="H526" s="90"/>
      <c r="I526" s="24"/>
      <c r="J526" s="90"/>
      <c r="K526" s="90"/>
      <c r="L526" s="90"/>
      <c r="M526" s="123"/>
      <c r="N526" s="124"/>
      <c r="O526" s="124"/>
      <c r="P526" s="124"/>
      <c r="Q526" s="123"/>
      <c r="R526" s="124"/>
      <c r="S526" s="124"/>
      <c r="T526" s="124"/>
      <c r="U526" s="123"/>
      <c r="V526" s="124"/>
      <c r="W526" s="124"/>
      <c r="X526" s="124"/>
      <c r="Y526" s="90"/>
      <c r="Z526" s="90"/>
      <c r="AA526" s="90"/>
      <c r="AB526" s="90"/>
      <c r="AC526" s="24"/>
      <c r="AD526" s="90"/>
      <c r="AE526" s="24"/>
      <c r="AF526" s="24"/>
      <c r="AG526" s="24"/>
      <c r="AH526" s="24"/>
      <c r="AI526" s="24"/>
      <c r="AJ526" s="24"/>
      <c r="AK526" s="24"/>
    </row>
    <row r="527" spans="1:37" s="91" customFormat="1" x14ac:dyDescent="0.25">
      <c r="A527" s="24"/>
      <c r="B527" s="90"/>
      <c r="C527" s="92"/>
      <c r="D527" s="24"/>
      <c r="E527" s="90"/>
      <c r="F527" s="90"/>
      <c r="G527" s="24"/>
      <c r="H527" s="90"/>
      <c r="I527" s="24"/>
      <c r="J527" s="90"/>
      <c r="K527" s="90"/>
      <c r="L527" s="90"/>
      <c r="M527" s="123"/>
      <c r="N527" s="124"/>
      <c r="O527" s="124"/>
      <c r="P527" s="124"/>
      <c r="Q527" s="123"/>
      <c r="R527" s="124"/>
      <c r="S527" s="124"/>
      <c r="T527" s="124"/>
      <c r="U527" s="123"/>
      <c r="V527" s="124"/>
      <c r="W527" s="124"/>
      <c r="X527" s="124"/>
      <c r="Y527" s="90"/>
      <c r="Z527" s="90"/>
      <c r="AA527" s="90"/>
      <c r="AB527" s="90"/>
      <c r="AC527" s="24"/>
      <c r="AD527" s="90"/>
      <c r="AE527" s="24"/>
      <c r="AF527" s="24"/>
      <c r="AG527" s="24"/>
      <c r="AH527" s="24"/>
      <c r="AI527" s="24"/>
      <c r="AJ527" s="24"/>
      <c r="AK527" s="24"/>
    </row>
    <row r="528" spans="1:37" s="91" customFormat="1" x14ac:dyDescent="0.25">
      <c r="A528" s="24"/>
      <c r="B528" s="90"/>
      <c r="C528" s="92"/>
      <c r="D528" s="24"/>
      <c r="E528" s="90"/>
      <c r="F528" s="90"/>
      <c r="G528" s="24"/>
      <c r="H528" s="90"/>
      <c r="I528" s="24"/>
      <c r="J528" s="90"/>
      <c r="K528" s="90"/>
      <c r="L528" s="90"/>
      <c r="M528" s="123"/>
      <c r="N528" s="124"/>
      <c r="O528" s="124"/>
      <c r="P528" s="124"/>
      <c r="Q528" s="123"/>
      <c r="R528" s="124"/>
      <c r="S528" s="124"/>
      <c r="T528" s="124"/>
      <c r="U528" s="123"/>
      <c r="V528" s="124"/>
      <c r="W528" s="124"/>
      <c r="X528" s="124"/>
      <c r="Y528" s="90"/>
      <c r="Z528" s="90"/>
      <c r="AA528" s="90"/>
      <c r="AB528" s="90"/>
      <c r="AC528" s="24"/>
      <c r="AD528" s="90"/>
      <c r="AE528" s="24"/>
      <c r="AF528" s="24"/>
      <c r="AG528" s="24"/>
      <c r="AH528" s="24"/>
      <c r="AI528" s="24"/>
      <c r="AJ528" s="24"/>
      <c r="AK528" s="24"/>
    </row>
    <row r="529" spans="1:37" s="91" customFormat="1" x14ac:dyDescent="0.25">
      <c r="A529" s="24"/>
      <c r="B529" s="90"/>
      <c r="C529" s="92"/>
      <c r="D529" s="24"/>
      <c r="E529" s="90"/>
      <c r="F529" s="90"/>
      <c r="G529" s="24"/>
      <c r="H529" s="90"/>
      <c r="I529" s="24"/>
      <c r="J529" s="90"/>
      <c r="K529" s="90"/>
      <c r="L529" s="90"/>
      <c r="M529" s="123"/>
      <c r="N529" s="124"/>
      <c r="O529" s="124"/>
      <c r="P529" s="124"/>
      <c r="Q529" s="123"/>
      <c r="R529" s="124"/>
      <c r="S529" s="124"/>
      <c r="T529" s="124"/>
      <c r="U529" s="123"/>
      <c r="V529" s="124"/>
      <c r="W529" s="124"/>
      <c r="X529" s="124"/>
      <c r="Y529" s="90"/>
      <c r="Z529" s="90"/>
      <c r="AA529" s="90"/>
      <c r="AB529" s="90"/>
      <c r="AC529" s="24"/>
      <c r="AD529" s="90"/>
      <c r="AE529" s="24"/>
      <c r="AF529" s="24"/>
      <c r="AG529" s="24"/>
      <c r="AH529" s="24"/>
      <c r="AI529" s="24"/>
      <c r="AJ529" s="24"/>
      <c r="AK529" s="24"/>
    </row>
    <row r="530" spans="1:37" s="91" customFormat="1" x14ac:dyDescent="0.25">
      <c r="A530" s="24"/>
      <c r="B530" s="90"/>
      <c r="C530" s="92"/>
      <c r="D530" s="24"/>
      <c r="E530" s="90"/>
      <c r="F530" s="90"/>
      <c r="G530" s="24"/>
      <c r="H530" s="90"/>
      <c r="I530" s="24"/>
      <c r="J530" s="90"/>
      <c r="K530" s="90"/>
      <c r="L530" s="90"/>
      <c r="M530" s="123"/>
      <c r="N530" s="124"/>
      <c r="O530" s="124"/>
      <c r="P530" s="124"/>
      <c r="Q530" s="123"/>
      <c r="R530" s="124"/>
      <c r="S530" s="124"/>
      <c r="T530" s="124"/>
      <c r="U530" s="123"/>
      <c r="V530" s="124"/>
      <c r="W530" s="124"/>
      <c r="X530" s="124"/>
      <c r="Y530" s="90"/>
      <c r="Z530" s="90"/>
      <c r="AA530" s="90"/>
      <c r="AB530" s="90"/>
      <c r="AC530" s="24"/>
      <c r="AD530" s="90"/>
      <c r="AE530" s="24"/>
      <c r="AF530" s="24"/>
      <c r="AG530" s="24"/>
      <c r="AH530" s="24"/>
      <c r="AI530" s="24"/>
      <c r="AJ530" s="24"/>
      <c r="AK530" s="24"/>
    </row>
    <row r="531" spans="1:37" s="91" customFormat="1" x14ac:dyDescent="0.25">
      <c r="A531" s="24"/>
      <c r="B531" s="90"/>
      <c r="C531" s="92"/>
      <c r="D531" s="24"/>
      <c r="E531" s="90"/>
      <c r="F531" s="90"/>
      <c r="G531" s="24"/>
      <c r="H531" s="90"/>
      <c r="I531" s="24"/>
      <c r="J531" s="90"/>
      <c r="K531" s="90"/>
      <c r="L531" s="90"/>
      <c r="M531" s="123"/>
      <c r="N531" s="124"/>
      <c r="O531" s="124"/>
      <c r="P531" s="124"/>
      <c r="Q531" s="123"/>
      <c r="R531" s="124"/>
      <c r="S531" s="124"/>
      <c r="T531" s="124"/>
      <c r="U531" s="123"/>
      <c r="V531" s="124"/>
      <c r="W531" s="124"/>
      <c r="X531" s="124"/>
      <c r="Y531" s="90"/>
      <c r="Z531" s="90"/>
      <c r="AA531" s="90"/>
      <c r="AB531" s="90"/>
      <c r="AC531" s="24"/>
      <c r="AD531" s="90"/>
      <c r="AE531" s="24"/>
      <c r="AF531" s="24"/>
      <c r="AG531" s="24"/>
      <c r="AH531" s="24"/>
      <c r="AI531" s="24"/>
      <c r="AJ531" s="24"/>
      <c r="AK531" s="24"/>
    </row>
    <row r="532" spans="1:37" s="91" customFormat="1" x14ac:dyDescent="0.25">
      <c r="A532" s="24"/>
      <c r="B532" s="90"/>
      <c r="C532" s="92"/>
      <c r="D532" s="24"/>
      <c r="E532" s="90"/>
      <c r="F532" s="90"/>
      <c r="G532" s="24"/>
      <c r="H532" s="90"/>
      <c r="I532" s="24"/>
      <c r="J532" s="90"/>
      <c r="K532" s="90"/>
      <c r="L532" s="90"/>
      <c r="M532" s="123"/>
      <c r="N532" s="124"/>
      <c r="O532" s="124"/>
      <c r="P532" s="124"/>
      <c r="Q532" s="123"/>
      <c r="R532" s="124"/>
      <c r="S532" s="124"/>
      <c r="T532" s="124"/>
      <c r="U532" s="123"/>
      <c r="V532" s="124"/>
      <c r="W532" s="124"/>
      <c r="X532" s="124"/>
      <c r="Y532" s="90"/>
      <c r="Z532" s="90"/>
      <c r="AA532" s="90"/>
      <c r="AB532" s="90"/>
      <c r="AC532" s="24"/>
      <c r="AD532" s="90"/>
      <c r="AE532" s="24"/>
      <c r="AF532" s="24"/>
      <c r="AG532" s="24"/>
      <c r="AH532" s="24"/>
      <c r="AI532" s="24"/>
      <c r="AJ532" s="24"/>
      <c r="AK532" s="24"/>
    </row>
    <row r="533" spans="1:37" s="91" customFormat="1" x14ac:dyDescent="0.25">
      <c r="A533" s="24"/>
      <c r="B533" s="90"/>
      <c r="C533" s="92"/>
      <c r="D533" s="24"/>
      <c r="E533" s="90"/>
      <c r="F533" s="90"/>
      <c r="G533" s="24"/>
      <c r="H533" s="90"/>
      <c r="I533" s="24"/>
      <c r="J533" s="90"/>
      <c r="K533" s="90"/>
      <c r="L533" s="90"/>
      <c r="M533" s="123"/>
      <c r="N533" s="124"/>
      <c r="O533" s="124"/>
      <c r="P533" s="124"/>
      <c r="Q533" s="123"/>
      <c r="R533" s="124"/>
      <c r="S533" s="124"/>
      <c r="T533" s="124"/>
      <c r="U533" s="123"/>
      <c r="V533" s="124"/>
      <c r="W533" s="124"/>
      <c r="X533" s="124"/>
      <c r="Y533" s="90"/>
      <c r="Z533" s="90"/>
      <c r="AA533" s="90"/>
      <c r="AB533" s="90"/>
      <c r="AC533" s="24"/>
      <c r="AD533" s="90"/>
      <c r="AE533" s="24"/>
      <c r="AF533" s="24"/>
      <c r="AG533" s="24"/>
      <c r="AH533" s="24"/>
      <c r="AI533" s="24"/>
      <c r="AJ533" s="24"/>
      <c r="AK533" s="24"/>
    </row>
    <row r="534" spans="1:37" s="91" customFormat="1" x14ac:dyDescent="0.25">
      <c r="A534" s="24"/>
      <c r="B534" s="90"/>
      <c r="C534" s="92"/>
      <c r="D534" s="24"/>
      <c r="E534" s="90"/>
      <c r="F534" s="90"/>
      <c r="G534" s="24"/>
      <c r="H534" s="90"/>
      <c r="I534" s="24"/>
      <c r="J534" s="90"/>
      <c r="K534" s="90"/>
      <c r="L534" s="90"/>
      <c r="M534" s="123"/>
      <c r="N534" s="124"/>
      <c r="O534" s="124"/>
      <c r="P534" s="124"/>
      <c r="Q534" s="123"/>
      <c r="R534" s="124"/>
      <c r="S534" s="124"/>
      <c r="T534" s="124"/>
      <c r="U534" s="123"/>
      <c r="V534" s="124"/>
      <c r="W534" s="124"/>
      <c r="X534" s="124"/>
      <c r="Y534" s="90"/>
      <c r="Z534" s="90"/>
      <c r="AA534" s="90"/>
      <c r="AB534" s="90"/>
      <c r="AC534" s="24"/>
      <c r="AD534" s="90"/>
      <c r="AE534" s="24"/>
      <c r="AF534" s="24"/>
      <c r="AG534" s="24"/>
      <c r="AH534" s="24"/>
      <c r="AI534" s="24"/>
      <c r="AJ534" s="24"/>
      <c r="AK534" s="24"/>
    </row>
    <row r="535" spans="1:37" x14ac:dyDescent="0.25">
      <c r="A535" s="24"/>
      <c r="B535" s="90"/>
      <c r="C535" s="92"/>
      <c r="D535" s="24"/>
      <c r="E535" s="90"/>
      <c r="F535" s="90"/>
      <c r="G535" s="24"/>
      <c r="H535" s="90"/>
      <c r="I535" s="24"/>
      <c r="J535" s="90"/>
      <c r="K535" s="90"/>
      <c r="L535" s="90"/>
      <c r="M535" s="123"/>
      <c r="N535" s="124"/>
      <c r="O535" s="124"/>
      <c r="P535" s="124"/>
      <c r="Q535" s="123"/>
      <c r="R535" s="124"/>
      <c r="S535" s="124"/>
      <c r="T535" s="124"/>
      <c r="U535" s="123"/>
      <c r="V535" s="124"/>
      <c r="W535" s="124"/>
      <c r="X535" s="124"/>
      <c r="Y535" s="90"/>
      <c r="Z535" s="90"/>
      <c r="AA535" s="90"/>
      <c r="AB535" s="90"/>
      <c r="AC535" s="24"/>
      <c r="AD535" s="90"/>
      <c r="AE535" s="24"/>
      <c r="AF535" s="24"/>
      <c r="AG535" s="24"/>
      <c r="AH535" s="24"/>
      <c r="AI535" s="24"/>
      <c r="AJ535" s="24"/>
      <c r="AK535" s="24"/>
    </row>
    <row r="536" spans="1:37" x14ac:dyDescent="0.25">
      <c r="A536" s="24"/>
      <c r="B536" s="90"/>
      <c r="C536" s="92"/>
      <c r="D536" s="24"/>
      <c r="E536" s="90"/>
      <c r="F536" s="90"/>
      <c r="G536" s="24"/>
      <c r="H536" s="90"/>
      <c r="I536" s="24"/>
      <c r="J536" s="90"/>
      <c r="K536" s="90"/>
      <c r="L536" s="90"/>
      <c r="M536" s="123"/>
      <c r="N536" s="124"/>
      <c r="O536" s="124"/>
      <c r="P536" s="124"/>
      <c r="Q536" s="123"/>
      <c r="R536" s="124"/>
      <c r="S536" s="124"/>
      <c r="T536" s="124"/>
      <c r="U536" s="123"/>
      <c r="V536" s="124"/>
      <c r="W536" s="124"/>
      <c r="X536" s="124"/>
      <c r="Y536" s="90"/>
      <c r="Z536" s="90"/>
      <c r="AA536" s="90"/>
      <c r="AB536" s="90"/>
      <c r="AC536" s="24"/>
      <c r="AD536" s="90"/>
      <c r="AE536" s="24"/>
      <c r="AF536" s="24"/>
      <c r="AG536" s="24"/>
      <c r="AH536" s="24"/>
      <c r="AI536" s="24"/>
      <c r="AJ536" s="24"/>
      <c r="AK536" s="24"/>
    </row>
    <row r="537" spans="1:37" x14ac:dyDescent="0.25">
      <c r="A537" s="24"/>
      <c r="B537" s="90"/>
      <c r="C537" s="92"/>
      <c r="D537" s="24"/>
      <c r="E537" s="90"/>
      <c r="F537" s="90"/>
      <c r="G537" s="24"/>
      <c r="H537" s="90"/>
      <c r="I537" s="24"/>
      <c r="J537" s="90"/>
      <c r="K537" s="90"/>
      <c r="L537" s="90"/>
      <c r="M537" s="123"/>
      <c r="N537" s="124"/>
      <c r="O537" s="124"/>
      <c r="P537" s="124"/>
      <c r="Q537" s="123"/>
      <c r="R537" s="124"/>
      <c r="S537" s="124"/>
      <c r="T537" s="124"/>
      <c r="U537" s="123"/>
      <c r="V537" s="124"/>
      <c r="W537" s="124"/>
      <c r="X537" s="124"/>
      <c r="Y537" s="90"/>
      <c r="Z537" s="90"/>
      <c r="AA537" s="90"/>
      <c r="AB537" s="90"/>
      <c r="AC537" s="24"/>
      <c r="AD537" s="90"/>
      <c r="AE537" s="24"/>
      <c r="AF537" s="24"/>
      <c r="AG537" s="24"/>
      <c r="AH537" s="24"/>
      <c r="AI537" s="24"/>
      <c r="AJ537" s="24"/>
      <c r="AK537" s="24"/>
    </row>
    <row r="538" spans="1:37" x14ac:dyDescent="0.25">
      <c r="A538" s="24"/>
      <c r="B538" s="90"/>
      <c r="C538" s="92"/>
      <c r="D538" s="24"/>
      <c r="E538" s="90"/>
      <c r="F538" s="90"/>
      <c r="G538" s="24"/>
      <c r="H538" s="90"/>
      <c r="I538" s="24"/>
      <c r="J538" s="90"/>
      <c r="K538" s="90"/>
      <c r="L538" s="90"/>
      <c r="M538" s="123"/>
      <c r="N538" s="124"/>
      <c r="O538" s="124"/>
      <c r="P538" s="124"/>
      <c r="Q538" s="123"/>
      <c r="R538" s="124"/>
      <c r="S538" s="124"/>
      <c r="T538" s="124"/>
      <c r="U538" s="123"/>
      <c r="V538" s="124"/>
      <c r="W538" s="124"/>
      <c r="X538" s="124"/>
      <c r="Y538" s="90"/>
      <c r="Z538" s="90"/>
      <c r="AA538" s="90"/>
      <c r="AB538" s="90"/>
      <c r="AC538" s="24"/>
      <c r="AD538" s="90"/>
      <c r="AE538" s="24"/>
      <c r="AF538" s="24"/>
      <c r="AG538" s="24"/>
      <c r="AH538" s="24"/>
      <c r="AI538" s="24"/>
      <c r="AJ538" s="24"/>
      <c r="AK538" s="24"/>
    </row>
    <row r="539" spans="1:37" x14ac:dyDescent="0.25">
      <c r="A539" s="24"/>
      <c r="B539" s="90"/>
      <c r="C539" s="92"/>
      <c r="D539" s="24"/>
      <c r="E539" s="90"/>
      <c r="F539" s="90"/>
      <c r="G539" s="24"/>
      <c r="H539" s="90"/>
      <c r="I539" s="24"/>
      <c r="J539" s="90"/>
      <c r="K539" s="90"/>
      <c r="L539" s="90"/>
      <c r="M539" s="123"/>
      <c r="N539" s="124"/>
      <c r="O539" s="124"/>
      <c r="P539" s="124"/>
      <c r="Q539" s="123"/>
      <c r="R539" s="124"/>
      <c r="S539" s="124"/>
      <c r="T539" s="124"/>
      <c r="U539" s="123"/>
      <c r="V539" s="124"/>
      <c r="W539" s="124"/>
      <c r="X539" s="124"/>
      <c r="Y539" s="90"/>
      <c r="Z539" s="90"/>
      <c r="AA539" s="90"/>
      <c r="AB539" s="90"/>
      <c r="AC539" s="24"/>
      <c r="AD539" s="90"/>
      <c r="AE539" s="24"/>
      <c r="AF539" s="24"/>
      <c r="AG539" s="24"/>
      <c r="AH539" s="24"/>
      <c r="AI539" s="24"/>
      <c r="AJ539" s="24"/>
      <c r="AK539" s="24"/>
    </row>
    <row r="540" spans="1:37" x14ac:dyDescent="0.25">
      <c r="A540" s="24"/>
      <c r="B540" s="90"/>
      <c r="C540" s="92"/>
      <c r="D540" s="24"/>
      <c r="E540" s="90"/>
      <c r="F540" s="90"/>
      <c r="G540" s="24"/>
      <c r="H540" s="90"/>
      <c r="I540" s="24"/>
      <c r="J540" s="90"/>
      <c r="K540" s="90"/>
      <c r="L540" s="90"/>
      <c r="M540" s="123"/>
      <c r="N540" s="124"/>
      <c r="O540" s="124"/>
      <c r="P540" s="124"/>
      <c r="Q540" s="123"/>
      <c r="R540" s="124"/>
      <c r="S540" s="124"/>
      <c r="T540" s="124"/>
      <c r="U540" s="123"/>
      <c r="V540" s="124"/>
      <c r="W540" s="124"/>
      <c r="X540" s="124"/>
      <c r="Y540" s="90"/>
      <c r="Z540" s="90"/>
      <c r="AA540" s="90"/>
      <c r="AB540" s="90"/>
      <c r="AC540" s="24"/>
      <c r="AD540" s="90"/>
      <c r="AE540" s="24"/>
      <c r="AF540" s="24"/>
      <c r="AG540" s="24"/>
      <c r="AH540" s="24"/>
      <c r="AI540" s="24"/>
      <c r="AJ540" s="24"/>
      <c r="AK540" s="24"/>
    </row>
    <row r="541" spans="1:37" x14ac:dyDescent="0.25">
      <c r="A541" s="24"/>
      <c r="B541" s="90"/>
      <c r="C541" s="92"/>
      <c r="D541" s="24"/>
      <c r="E541" s="90"/>
      <c r="F541" s="90"/>
      <c r="G541" s="24"/>
      <c r="H541" s="90"/>
      <c r="I541" s="24"/>
      <c r="J541" s="90"/>
      <c r="K541" s="90"/>
      <c r="L541" s="24"/>
      <c r="M541" s="123"/>
      <c r="N541" s="124"/>
      <c r="O541" s="124"/>
      <c r="P541" s="124"/>
      <c r="Q541" s="123"/>
      <c r="R541" s="124"/>
      <c r="S541" s="124"/>
      <c r="T541" s="124"/>
      <c r="U541" s="123"/>
      <c r="V541" s="124"/>
      <c r="W541" s="124"/>
      <c r="X541" s="124"/>
      <c r="Y541" s="90"/>
      <c r="Z541" s="90"/>
      <c r="AA541" s="90"/>
      <c r="AB541" s="90"/>
      <c r="AC541" s="24"/>
      <c r="AD541" s="90"/>
      <c r="AE541" s="24"/>
      <c r="AF541" s="24"/>
      <c r="AG541" s="24"/>
      <c r="AH541" s="24"/>
      <c r="AI541" s="24"/>
      <c r="AJ541" s="24"/>
      <c r="AK541" s="24"/>
    </row>
    <row r="542" spans="1:37" x14ac:dyDescent="0.25">
      <c r="A542" s="24"/>
      <c r="B542" s="90"/>
      <c r="C542" s="92"/>
      <c r="D542" s="24"/>
      <c r="E542" s="90"/>
      <c r="F542" s="90"/>
      <c r="G542" s="24"/>
      <c r="H542" s="90"/>
      <c r="I542" s="24"/>
      <c r="J542" s="90"/>
      <c r="K542" s="90"/>
      <c r="L542" s="24"/>
      <c r="M542" s="123"/>
      <c r="N542" s="124"/>
      <c r="O542" s="124"/>
      <c r="P542" s="124"/>
      <c r="Q542" s="123"/>
      <c r="R542" s="124"/>
      <c r="S542" s="124"/>
      <c r="T542" s="124"/>
      <c r="U542" s="123"/>
      <c r="V542" s="124"/>
      <c r="W542" s="124"/>
      <c r="X542" s="124"/>
      <c r="Y542" s="90"/>
      <c r="Z542" s="90"/>
      <c r="AA542" s="90"/>
      <c r="AB542" s="90"/>
      <c r="AC542" s="24"/>
      <c r="AD542" s="90"/>
      <c r="AE542" s="24"/>
      <c r="AF542" s="24"/>
      <c r="AG542" s="24"/>
      <c r="AH542" s="24"/>
      <c r="AI542" s="24"/>
      <c r="AJ542" s="24"/>
      <c r="AK542" s="24"/>
    </row>
    <row r="543" spans="1:37" x14ac:dyDescent="0.25">
      <c r="A543" s="24"/>
      <c r="B543" s="90"/>
      <c r="C543" s="92"/>
      <c r="D543" s="24"/>
      <c r="E543" s="90"/>
      <c r="F543" s="90"/>
      <c r="G543" s="24"/>
      <c r="H543" s="90"/>
      <c r="I543" s="24"/>
      <c r="J543" s="90"/>
      <c r="K543" s="90"/>
      <c r="L543" s="24"/>
      <c r="M543" s="123"/>
      <c r="N543" s="124"/>
      <c r="O543" s="124"/>
      <c r="P543" s="124"/>
      <c r="Q543" s="123"/>
      <c r="R543" s="124"/>
      <c r="S543" s="124"/>
      <c r="T543" s="124"/>
      <c r="U543" s="123"/>
      <c r="V543" s="124"/>
      <c r="W543" s="124"/>
      <c r="X543" s="124"/>
      <c r="Y543" s="90"/>
      <c r="Z543" s="90"/>
      <c r="AA543" s="90"/>
      <c r="AB543" s="90"/>
      <c r="AC543" s="24"/>
      <c r="AD543" s="90"/>
      <c r="AE543" s="24"/>
      <c r="AF543" s="24"/>
      <c r="AG543" s="24"/>
      <c r="AH543" s="24"/>
      <c r="AI543" s="24"/>
      <c r="AJ543" s="24"/>
      <c r="AK543" s="24"/>
    </row>
    <row r="544" spans="1:37" x14ac:dyDescent="0.25">
      <c r="A544" s="24"/>
      <c r="B544" s="90"/>
      <c r="C544" s="92"/>
      <c r="D544" s="24"/>
      <c r="E544" s="90"/>
      <c r="F544" s="90"/>
      <c r="G544" s="24"/>
      <c r="H544" s="90"/>
      <c r="I544" s="24"/>
      <c r="J544" s="90"/>
      <c r="K544" s="90"/>
      <c r="L544" s="24"/>
      <c r="M544" s="123"/>
      <c r="N544" s="124"/>
      <c r="O544" s="124"/>
      <c r="P544" s="124"/>
      <c r="Q544" s="123"/>
      <c r="R544" s="124"/>
      <c r="S544" s="124"/>
      <c r="T544" s="124"/>
      <c r="U544" s="123"/>
      <c r="V544" s="124"/>
      <c r="W544" s="124"/>
      <c r="X544" s="124"/>
      <c r="Y544" s="90"/>
      <c r="Z544" s="90"/>
      <c r="AA544" s="90"/>
      <c r="AB544" s="90"/>
      <c r="AC544" s="24"/>
      <c r="AD544" s="90"/>
      <c r="AE544" s="24"/>
      <c r="AF544" s="24"/>
      <c r="AG544" s="24"/>
      <c r="AH544" s="24"/>
      <c r="AI544" s="24"/>
      <c r="AJ544" s="24"/>
      <c r="AK544" s="24"/>
    </row>
    <row r="545" spans="1:37" x14ac:dyDescent="0.25">
      <c r="A545" s="24"/>
      <c r="B545" s="90"/>
      <c r="C545" s="92"/>
      <c r="D545" s="24"/>
      <c r="E545" s="90"/>
      <c r="F545" s="90"/>
      <c r="G545" s="24"/>
      <c r="H545" s="90"/>
      <c r="I545" s="24"/>
      <c r="J545" s="90"/>
      <c r="K545" s="90"/>
      <c r="L545" s="24"/>
      <c r="M545" s="123"/>
      <c r="N545" s="124"/>
      <c r="O545" s="124"/>
      <c r="P545" s="124"/>
      <c r="Q545" s="123"/>
      <c r="R545" s="124"/>
      <c r="S545" s="124"/>
      <c r="T545" s="124"/>
      <c r="U545" s="123"/>
      <c r="V545" s="124"/>
      <c r="W545" s="124"/>
      <c r="X545" s="124"/>
      <c r="Y545" s="90"/>
      <c r="Z545" s="90"/>
      <c r="AA545" s="90"/>
      <c r="AB545" s="90"/>
      <c r="AC545" s="24"/>
      <c r="AD545" s="90"/>
      <c r="AE545" s="24"/>
      <c r="AF545" s="24"/>
      <c r="AG545" s="24"/>
      <c r="AH545" s="24"/>
      <c r="AI545" s="24"/>
      <c r="AJ545" s="24"/>
      <c r="AK545" s="24"/>
    </row>
    <row r="546" spans="1:37" s="91" customFormat="1" x14ac:dyDescent="0.25">
      <c r="A546" s="24"/>
      <c r="B546" s="90"/>
      <c r="C546" s="92"/>
      <c r="D546" s="24"/>
      <c r="E546" s="90"/>
      <c r="F546" s="90"/>
      <c r="G546" s="24"/>
      <c r="H546" s="90"/>
      <c r="I546" s="24"/>
      <c r="J546" s="90"/>
      <c r="K546" s="90"/>
      <c r="L546" s="24"/>
      <c r="M546" s="123"/>
      <c r="N546" s="124"/>
      <c r="O546" s="124"/>
      <c r="P546" s="124"/>
      <c r="Q546" s="123"/>
      <c r="R546" s="124"/>
      <c r="S546" s="124"/>
      <c r="T546" s="124"/>
      <c r="U546" s="123"/>
      <c r="V546" s="124"/>
      <c r="W546" s="124"/>
      <c r="X546" s="124"/>
      <c r="Y546" s="90"/>
      <c r="Z546" s="90"/>
      <c r="AA546" s="90"/>
      <c r="AB546" s="90"/>
      <c r="AC546" s="24"/>
      <c r="AD546" s="90"/>
      <c r="AE546" s="24"/>
      <c r="AF546" s="24"/>
      <c r="AG546" s="24"/>
      <c r="AH546" s="24"/>
      <c r="AI546" s="24"/>
      <c r="AJ546" s="24"/>
      <c r="AK546" s="24"/>
    </row>
    <row r="547" spans="1:37" s="91" customFormat="1" x14ac:dyDescent="0.25">
      <c r="A547" s="24"/>
      <c r="B547" s="90"/>
      <c r="C547" s="92"/>
      <c r="D547" s="24"/>
      <c r="E547" s="90"/>
      <c r="F547" s="90"/>
      <c r="G547" s="24"/>
      <c r="H547" s="90"/>
      <c r="I547" s="24"/>
      <c r="J547" s="90"/>
      <c r="K547" s="90"/>
      <c r="L547" s="24"/>
      <c r="M547" s="123"/>
      <c r="N547" s="124"/>
      <c r="O547" s="124"/>
      <c r="P547" s="124"/>
      <c r="Q547" s="123"/>
      <c r="R547" s="124"/>
      <c r="S547" s="124"/>
      <c r="T547" s="124"/>
      <c r="U547" s="123"/>
      <c r="V547" s="124"/>
      <c r="W547" s="124"/>
      <c r="X547" s="124"/>
      <c r="Y547" s="90"/>
      <c r="Z547" s="90"/>
      <c r="AA547" s="90"/>
      <c r="AB547" s="90"/>
      <c r="AC547" s="24"/>
      <c r="AD547" s="90"/>
      <c r="AE547" s="24"/>
      <c r="AF547" s="24"/>
      <c r="AG547" s="24"/>
      <c r="AH547" s="24"/>
      <c r="AI547" s="24"/>
      <c r="AJ547" s="24"/>
      <c r="AK547" s="24"/>
    </row>
    <row r="548" spans="1:37" s="91" customFormat="1" x14ac:dyDescent="0.25">
      <c r="A548" s="24"/>
      <c r="B548" s="90"/>
      <c r="C548" s="92"/>
      <c r="D548" s="24"/>
      <c r="E548" s="90"/>
      <c r="F548" s="90"/>
      <c r="G548" s="24"/>
      <c r="H548" s="90"/>
      <c r="I548" s="24"/>
      <c r="J548" s="90"/>
      <c r="K548" s="90"/>
      <c r="L548" s="24"/>
      <c r="M548" s="123"/>
      <c r="N548" s="124"/>
      <c r="O548" s="124"/>
      <c r="P548" s="124"/>
      <c r="Q548" s="123"/>
      <c r="R548" s="124"/>
      <c r="S548" s="124"/>
      <c r="T548" s="124"/>
      <c r="U548" s="123"/>
      <c r="V548" s="124"/>
      <c r="W548" s="124"/>
      <c r="X548" s="124"/>
      <c r="Y548" s="90"/>
      <c r="Z548" s="90"/>
      <c r="AA548" s="90"/>
      <c r="AB548" s="90"/>
      <c r="AC548" s="24"/>
      <c r="AD548" s="90"/>
      <c r="AE548" s="24"/>
      <c r="AF548" s="24"/>
      <c r="AG548" s="24"/>
      <c r="AH548" s="24"/>
      <c r="AI548" s="24"/>
      <c r="AJ548" s="24"/>
      <c r="AK548" s="24"/>
    </row>
    <row r="549" spans="1:37" s="91" customFormat="1" x14ac:dyDescent="0.25">
      <c r="A549" s="24"/>
      <c r="B549" s="90"/>
      <c r="C549" s="92"/>
      <c r="D549" s="24"/>
      <c r="E549" s="90"/>
      <c r="F549" s="90"/>
      <c r="G549" s="24"/>
      <c r="H549" s="90"/>
      <c r="I549" s="24"/>
      <c r="J549" s="90"/>
      <c r="K549" s="90"/>
      <c r="L549" s="24"/>
      <c r="M549" s="123"/>
      <c r="N549" s="124"/>
      <c r="O549" s="124"/>
      <c r="P549" s="124"/>
      <c r="Q549" s="123"/>
      <c r="R549" s="124"/>
      <c r="S549" s="124"/>
      <c r="T549" s="124"/>
      <c r="U549" s="123"/>
      <c r="V549" s="124"/>
      <c r="W549" s="124"/>
      <c r="X549" s="124"/>
      <c r="Y549" s="90"/>
      <c r="Z549" s="90"/>
      <c r="AA549" s="90"/>
      <c r="AB549" s="90"/>
      <c r="AC549" s="24"/>
      <c r="AD549" s="90"/>
      <c r="AE549" s="24"/>
      <c r="AF549" s="24"/>
      <c r="AG549" s="24"/>
      <c r="AH549" s="24"/>
      <c r="AI549" s="24"/>
      <c r="AJ549" s="24"/>
      <c r="AK549" s="24"/>
    </row>
    <row r="550" spans="1:37" s="91" customFormat="1" x14ac:dyDescent="0.25">
      <c r="A550" s="24"/>
      <c r="B550" s="90"/>
      <c r="C550" s="92"/>
      <c r="D550" s="24"/>
      <c r="E550" s="90"/>
      <c r="F550" s="90"/>
      <c r="G550" s="24"/>
      <c r="H550" s="90"/>
      <c r="I550" s="24"/>
      <c r="J550" s="90"/>
      <c r="K550" s="90"/>
      <c r="L550" s="24"/>
      <c r="M550" s="123"/>
      <c r="N550" s="124"/>
      <c r="O550" s="124"/>
      <c r="P550" s="124"/>
      <c r="Q550" s="123"/>
      <c r="R550" s="124"/>
      <c r="S550" s="124"/>
      <c r="T550" s="124"/>
      <c r="U550" s="123"/>
      <c r="V550" s="124"/>
      <c r="W550" s="124"/>
      <c r="X550" s="124"/>
      <c r="Y550" s="90"/>
      <c r="Z550" s="90"/>
      <c r="AA550" s="90"/>
      <c r="AB550" s="90"/>
      <c r="AC550" s="24"/>
      <c r="AD550" s="90"/>
      <c r="AE550" s="24"/>
      <c r="AF550" s="24"/>
      <c r="AG550" s="24"/>
      <c r="AH550" s="24"/>
      <c r="AI550" s="24"/>
      <c r="AJ550" s="24"/>
      <c r="AK550" s="24"/>
    </row>
    <row r="551" spans="1:37" x14ac:dyDescent="0.25">
      <c r="A551" s="24"/>
      <c r="B551" s="90"/>
      <c r="C551" s="92"/>
      <c r="D551" s="24"/>
      <c r="E551" s="90"/>
      <c r="F551" s="90"/>
      <c r="G551" s="24"/>
      <c r="H551" s="90"/>
      <c r="I551" s="24"/>
      <c r="J551" s="90"/>
      <c r="K551" s="90"/>
      <c r="L551" s="24"/>
      <c r="M551" s="123"/>
      <c r="N551" s="124"/>
      <c r="O551" s="124"/>
      <c r="P551" s="124"/>
      <c r="Q551" s="123"/>
      <c r="R551" s="124"/>
      <c r="S551" s="124"/>
      <c r="T551" s="124"/>
      <c r="U551" s="123"/>
      <c r="V551" s="124"/>
      <c r="W551" s="124"/>
      <c r="X551" s="124"/>
      <c r="Y551" s="90"/>
      <c r="Z551" s="90"/>
      <c r="AA551" s="90"/>
      <c r="AB551" s="90"/>
      <c r="AC551" s="24"/>
      <c r="AD551" s="90"/>
      <c r="AE551" s="24"/>
      <c r="AF551" s="24"/>
      <c r="AG551" s="24"/>
      <c r="AH551" s="24"/>
      <c r="AI551" s="24"/>
      <c r="AJ551" s="24"/>
      <c r="AK551" s="24"/>
    </row>
    <row r="552" spans="1:37" x14ac:dyDescent="0.25">
      <c r="A552" s="24"/>
      <c r="B552" s="90"/>
      <c r="C552" s="92"/>
      <c r="D552" s="24"/>
      <c r="E552" s="90"/>
      <c r="F552" s="90"/>
      <c r="G552" s="24"/>
      <c r="H552" s="90"/>
      <c r="I552" s="24"/>
      <c r="J552" s="90"/>
      <c r="K552" s="90"/>
      <c r="L552" s="24"/>
      <c r="M552" s="123"/>
      <c r="N552" s="124"/>
      <c r="O552" s="124"/>
      <c r="P552" s="124"/>
      <c r="Q552" s="123"/>
      <c r="R552" s="124"/>
      <c r="S552" s="124"/>
      <c r="T552" s="124"/>
      <c r="U552" s="123"/>
      <c r="V552" s="124"/>
      <c r="W552" s="124"/>
      <c r="X552" s="124"/>
      <c r="Y552" s="90"/>
      <c r="Z552" s="90"/>
      <c r="AA552" s="90"/>
      <c r="AB552" s="90"/>
      <c r="AC552" s="24"/>
      <c r="AD552" s="90"/>
      <c r="AE552" s="24"/>
      <c r="AF552" s="24"/>
      <c r="AG552" s="24"/>
      <c r="AH552" s="24"/>
      <c r="AI552" s="24"/>
      <c r="AJ552" s="24"/>
      <c r="AK552" s="24"/>
    </row>
    <row r="553" spans="1:37" x14ac:dyDescent="0.25">
      <c r="A553" s="24"/>
      <c r="B553" s="90"/>
      <c r="C553" s="92"/>
      <c r="D553" s="24"/>
      <c r="E553" s="90"/>
      <c r="F553" s="90"/>
      <c r="G553" s="24"/>
      <c r="H553" s="90"/>
      <c r="I553" s="24"/>
      <c r="J553" s="90"/>
      <c r="K553" s="90"/>
      <c r="L553" s="24"/>
      <c r="M553" s="123"/>
      <c r="N553" s="124"/>
      <c r="O553" s="124"/>
      <c r="P553" s="124"/>
      <c r="Q553" s="123"/>
      <c r="R553" s="124"/>
      <c r="S553" s="124"/>
      <c r="T553" s="124"/>
      <c r="U553" s="123"/>
      <c r="V553" s="124"/>
      <c r="W553" s="124"/>
      <c r="X553" s="124"/>
      <c r="Y553" s="90"/>
      <c r="Z553" s="90"/>
      <c r="AA553" s="90"/>
      <c r="AB553" s="90"/>
      <c r="AC553" s="24"/>
      <c r="AD553" s="90"/>
      <c r="AE553" s="24"/>
      <c r="AF553" s="24"/>
      <c r="AG553" s="24"/>
      <c r="AH553" s="24"/>
      <c r="AI553" s="24"/>
      <c r="AJ553" s="24"/>
      <c r="AK553" s="24"/>
    </row>
    <row r="554" spans="1:37" x14ac:dyDescent="0.25">
      <c r="A554" s="24"/>
      <c r="B554" s="90"/>
      <c r="C554" s="92"/>
      <c r="D554" s="24"/>
      <c r="E554" s="90"/>
      <c r="F554" s="90"/>
      <c r="G554" s="24"/>
      <c r="H554" s="90"/>
      <c r="I554" s="24"/>
      <c r="J554" s="90"/>
      <c r="K554" s="90"/>
      <c r="L554" s="24"/>
      <c r="M554" s="123"/>
      <c r="N554" s="124"/>
      <c r="O554" s="124"/>
      <c r="P554" s="124"/>
      <c r="Q554" s="123"/>
      <c r="R554" s="124"/>
      <c r="S554" s="124"/>
      <c r="T554" s="124"/>
      <c r="U554" s="123"/>
      <c r="V554" s="124"/>
      <c r="W554" s="124"/>
      <c r="X554" s="124"/>
      <c r="Y554" s="90"/>
      <c r="Z554" s="90"/>
      <c r="AA554" s="90"/>
      <c r="AB554" s="90"/>
      <c r="AC554" s="24"/>
      <c r="AD554" s="90"/>
      <c r="AE554" s="24"/>
      <c r="AF554" s="24"/>
      <c r="AG554" s="24"/>
      <c r="AH554" s="24"/>
      <c r="AI554" s="24"/>
      <c r="AJ554" s="24"/>
      <c r="AK554" s="24"/>
    </row>
    <row r="555" spans="1:37" x14ac:dyDescent="0.25">
      <c r="A555" s="24"/>
      <c r="B555" s="90"/>
      <c r="C555" s="92"/>
      <c r="D555" s="24"/>
      <c r="E555" s="90"/>
      <c r="F555" s="90"/>
      <c r="G555" s="24"/>
      <c r="H555" s="90"/>
      <c r="I555" s="24"/>
      <c r="J555" s="90"/>
      <c r="K555" s="90"/>
      <c r="L555" s="24"/>
      <c r="M555" s="123"/>
      <c r="N555" s="124"/>
      <c r="O555" s="124"/>
      <c r="P555" s="124"/>
      <c r="Q555" s="123"/>
      <c r="R555" s="124"/>
      <c r="S555" s="124"/>
      <c r="T555" s="124"/>
      <c r="U555" s="123"/>
      <c r="V555" s="124"/>
      <c r="W555" s="124"/>
      <c r="X555" s="124"/>
      <c r="Y555" s="90"/>
      <c r="Z555" s="90"/>
      <c r="AA555" s="90"/>
      <c r="AB555" s="90"/>
      <c r="AC555" s="24"/>
      <c r="AD555" s="90"/>
      <c r="AE555" s="24"/>
      <c r="AF555" s="24"/>
      <c r="AG555" s="24"/>
      <c r="AH555" s="24"/>
      <c r="AI555" s="24"/>
      <c r="AJ555" s="24"/>
      <c r="AK555" s="24"/>
    </row>
    <row r="556" spans="1:37" s="91" customFormat="1" x14ac:dyDescent="0.25">
      <c r="A556" s="24"/>
      <c r="B556" s="90"/>
      <c r="C556" s="92"/>
      <c r="D556" s="24"/>
      <c r="E556" s="90"/>
      <c r="F556" s="90"/>
      <c r="G556" s="24"/>
      <c r="H556" s="90"/>
      <c r="I556" s="24"/>
      <c r="J556" s="90"/>
      <c r="K556" s="90"/>
      <c r="L556" s="24"/>
      <c r="M556" s="123"/>
      <c r="N556" s="124"/>
      <c r="O556" s="124"/>
      <c r="P556" s="124"/>
      <c r="Q556" s="123"/>
      <c r="R556" s="124"/>
      <c r="S556" s="124"/>
      <c r="T556" s="124"/>
      <c r="U556" s="123"/>
      <c r="V556" s="124"/>
      <c r="W556" s="124"/>
      <c r="X556" s="124"/>
      <c r="Y556" s="90"/>
      <c r="Z556" s="90"/>
      <c r="AA556" s="90"/>
      <c r="AB556" s="90"/>
      <c r="AC556" s="24"/>
      <c r="AD556" s="90"/>
      <c r="AE556" s="24"/>
      <c r="AF556" s="24"/>
      <c r="AG556" s="24"/>
      <c r="AH556" s="24"/>
      <c r="AI556" s="24"/>
      <c r="AJ556" s="24"/>
      <c r="AK556" s="24"/>
    </row>
    <row r="557" spans="1:37" s="91" customFormat="1" x14ac:dyDescent="0.25">
      <c r="A557" s="24"/>
      <c r="B557" s="90"/>
      <c r="C557" s="92"/>
      <c r="D557" s="24"/>
      <c r="E557" s="90"/>
      <c r="F557" s="90"/>
      <c r="G557" s="24"/>
      <c r="H557" s="90"/>
      <c r="I557" s="24"/>
      <c r="J557" s="90"/>
      <c r="K557" s="90"/>
      <c r="L557" s="24"/>
      <c r="M557" s="123"/>
      <c r="N557" s="124"/>
      <c r="O557" s="124"/>
      <c r="P557" s="124"/>
      <c r="Q557" s="123"/>
      <c r="R557" s="124"/>
      <c r="S557" s="124"/>
      <c r="T557" s="124"/>
      <c r="U557" s="123"/>
      <c r="V557" s="124"/>
      <c r="W557" s="124"/>
      <c r="X557" s="124"/>
      <c r="Y557" s="90"/>
      <c r="Z557" s="90"/>
      <c r="AA557" s="90"/>
      <c r="AB557" s="90"/>
      <c r="AC557" s="24"/>
      <c r="AD557" s="90"/>
      <c r="AE557" s="24"/>
      <c r="AF557" s="24"/>
      <c r="AG557" s="24"/>
      <c r="AH557" s="24"/>
      <c r="AI557" s="24"/>
      <c r="AJ557" s="24"/>
      <c r="AK557" s="24"/>
    </row>
    <row r="558" spans="1:37" s="91" customFormat="1" x14ac:dyDescent="0.25">
      <c r="A558" s="24"/>
      <c r="B558" s="90"/>
      <c r="C558" s="92"/>
      <c r="D558" s="24"/>
      <c r="E558" s="90"/>
      <c r="F558" s="90"/>
      <c r="G558" s="24"/>
      <c r="H558" s="90"/>
      <c r="I558" s="24"/>
      <c r="J558" s="90"/>
      <c r="K558" s="90"/>
      <c r="L558" s="24"/>
      <c r="M558" s="123"/>
      <c r="N558" s="124"/>
      <c r="O558" s="124"/>
      <c r="P558" s="124"/>
      <c r="Q558" s="123"/>
      <c r="R558" s="124"/>
      <c r="S558" s="124"/>
      <c r="T558" s="124"/>
      <c r="U558" s="123"/>
      <c r="V558" s="124"/>
      <c r="W558" s="124"/>
      <c r="X558" s="124"/>
      <c r="Y558" s="90"/>
      <c r="Z558" s="90"/>
      <c r="AA558" s="90"/>
      <c r="AB558" s="90"/>
      <c r="AC558" s="24"/>
      <c r="AD558" s="90"/>
      <c r="AE558" s="24"/>
      <c r="AF558" s="24"/>
      <c r="AG558" s="24"/>
      <c r="AH558" s="24"/>
      <c r="AI558" s="24"/>
      <c r="AJ558" s="24"/>
      <c r="AK558" s="24"/>
    </row>
    <row r="559" spans="1:37" s="91" customFormat="1" x14ac:dyDescent="0.25">
      <c r="A559" s="24"/>
      <c r="B559" s="90"/>
      <c r="C559" s="92"/>
      <c r="D559" s="24"/>
      <c r="E559" s="90"/>
      <c r="F559" s="90"/>
      <c r="G559" s="24"/>
      <c r="H559" s="90"/>
      <c r="I559" s="24"/>
      <c r="J559" s="90"/>
      <c r="K559" s="90"/>
      <c r="L559" s="24"/>
      <c r="M559" s="123"/>
      <c r="N559" s="124"/>
      <c r="O559" s="124"/>
      <c r="P559" s="124"/>
      <c r="Q559" s="123"/>
      <c r="R559" s="124"/>
      <c r="S559" s="124"/>
      <c r="T559" s="124"/>
      <c r="U559" s="123"/>
      <c r="V559" s="124"/>
      <c r="W559" s="124"/>
      <c r="X559" s="124"/>
      <c r="Y559" s="90"/>
      <c r="Z559" s="90"/>
      <c r="AA559" s="90"/>
      <c r="AB559" s="90"/>
      <c r="AC559" s="24"/>
      <c r="AD559" s="90"/>
      <c r="AE559" s="24"/>
      <c r="AF559" s="24"/>
      <c r="AG559" s="24"/>
      <c r="AH559" s="24"/>
      <c r="AI559" s="24"/>
      <c r="AJ559" s="24"/>
      <c r="AK559" s="24"/>
    </row>
    <row r="560" spans="1:37" s="91" customFormat="1" x14ac:dyDescent="0.25">
      <c r="A560" s="24"/>
      <c r="B560" s="90"/>
      <c r="C560" s="92"/>
      <c r="D560" s="24"/>
      <c r="E560" s="90"/>
      <c r="F560" s="90"/>
      <c r="G560" s="24"/>
      <c r="H560" s="90"/>
      <c r="I560" s="24"/>
      <c r="J560" s="90"/>
      <c r="K560" s="90"/>
      <c r="L560" s="24"/>
      <c r="M560" s="123"/>
      <c r="N560" s="124"/>
      <c r="O560" s="124"/>
      <c r="P560" s="124"/>
      <c r="Q560" s="123"/>
      <c r="R560" s="124"/>
      <c r="S560" s="124"/>
      <c r="T560" s="124"/>
      <c r="U560" s="123"/>
      <c r="V560" s="124"/>
      <c r="W560" s="124"/>
      <c r="X560" s="124"/>
      <c r="Y560" s="90"/>
      <c r="Z560" s="90"/>
      <c r="AA560" s="90"/>
      <c r="AB560" s="90"/>
      <c r="AC560" s="24"/>
      <c r="AD560" s="90"/>
      <c r="AE560" s="24"/>
      <c r="AF560" s="24"/>
      <c r="AG560" s="24"/>
      <c r="AH560" s="24"/>
      <c r="AI560" s="24"/>
      <c r="AJ560" s="24"/>
      <c r="AK560" s="24"/>
    </row>
    <row r="561" spans="1:37" s="91" customFormat="1" x14ac:dyDescent="0.25">
      <c r="A561" s="24"/>
      <c r="B561" s="90"/>
      <c r="C561" s="92"/>
      <c r="D561" s="24"/>
      <c r="E561" s="90"/>
      <c r="F561" s="90"/>
      <c r="G561" s="24"/>
      <c r="H561" s="90"/>
      <c r="I561" s="24"/>
      <c r="J561" s="90"/>
      <c r="K561" s="90"/>
      <c r="L561" s="24"/>
      <c r="M561" s="123"/>
      <c r="N561" s="124"/>
      <c r="O561" s="124"/>
      <c r="P561" s="124"/>
      <c r="Q561" s="123"/>
      <c r="R561" s="124"/>
      <c r="S561" s="124"/>
      <c r="T561" s="124"/>
      <c r="U561" s="123"/>
      <c r="V561" s="124"/>
      <c r="W561" s="124"/>
      <c r="X561" s="124"/>
      <c r="Y561" s="90"/>
      <c r="Z561" s="90"/>
      <c r="AA561" s="90"/>
      <c r="AB561" s="90"/>
      <c r="AC561" s="24"/>
      <c r="AD561" s="90"/>
      <c r="AE561" s="24"/>
      <c r="AF561" s="24"/>
      <c r="AG561" s="24"/>
      <c r="AH561" s="24"/>
      <c r="AI561" s="24"/>
      <c r="AJ561" s="24"/>
      <c r="AK561" s="24"/>
    </row>
    <row r="562" spans="1:37" s="91" customFormat="1" x14ac:dyDescent="0.25">
      <c r="A562" s="24"/>
      <c r="B562" s="90"/>
      <c r="C562" s="92"/>
      <c r="D562" s="24"/>
      <c r="E562" s="90"/>
      <c r="F562" s="90"/>
      <c r="G562" s="24"/>
      <c r="H562" s="90"/>
      <c r="I562" s="24"/>
      <c r="J562" s="90"/>
      <c r="K562" s="90"/>
      <c r="L562" s="24"/>
      <c r="M562" s="123"/>
      <c r="N562" s="124"/>
      <c r="O562" s="124"/>
      <c r="P562" s="124"/>
      <c r="Q562" s="123"/>
      <c r="R562" s="124"/>
      <c r="S562" s="124"/>
      <c r="T562" s="124"/>
      <c r="U562" s="123"/>
      <c r="V562" s="124"/>
      <c r="W562" s="124"/>
      <c r="X562" s="124"/>
      <c r="Y562" s="90"/>
      <c r="Z562" s="90"/>
      <c r="AA562" s="90"/>
      <c r="AB562" s="90"/>
      <c r="AC562" s="24"/>
      <c r="AD562" s="90"/>
      <c r="AE562" s="24"/>
      <c r="AF562" s="24"/>
      <c r="AG562" s="24"/>
      <c r="AH562" s="24"/>
      <c r="AI562" s="24"/>
      <c r="AJ562" s="24"/>
      <c r="AK562" s="24"/>
    </row>
    <row r="563" spans="1:37" s="91" customFormat="1" x14ac:dyDescent="0.25">
      <c r="A563" s="24"/>
      <c r="B563" s="90"/>
      <c r="C563" s="92"/>
      <c r="D563" s="24"/>
      <c r="E563" s="90"/>
      <c r="F563" s="90"/>
      <c r="G563" s="24"/>
      <c r="H563" s="90"/>
      <c r="I563" s="24"/>
      <c r="J563" s="90"/>
      <c r="K563" s="90"/>
      <c r="L563" s="24"/>
      <c r="M563" s="123"/>
      <c r="N563" s="124"/>
      <c r="O563" s="124"/>
      <c r="P563" s="124"/>
      <c r="Q563" s="123"/>
      <c r="R563" s="124"/>
      <c r="S563" s="124"/>
      <c r="T563" s="124"/>
      <c r="U563" s="123"/>
      <c r="V563" s="124"/>
      <c r="W563" s="124"/>
      <c r="X563" s="124"/>
      <c r="Y563" s="90"/>
      <c r="Z563" s="90"/>
      <c r="AA563" s="90"/>
      <c r="AB563" s="90"/>
      <c r="AC563" s="24"/>
      <c r="AD563" s="90"/>
      <c r="AE563" s="24"/>
      <c r="AF563" s="24"/>
      <c r="AG563" s="24"/>
      <c r="AH563" s="24"/>
      <c r="AI563" s="24"/>
      <c r="AJ563" s="24"/>
      <c r="AK563" s="24"/>
    </row>
    <row r="564" spans="1:37" s="91" customFormat="1" x14ac:dyDescent="0.25">
      <c r="A564" s="24"/>
      <c r="B564" s="90"/>
      <c r="C564" s="92"/>
      <c r="D564" s="24"/>
      <c r="E564" s="90"/>
      <c r="F564" s="90"/>
      <c r="G564" s="24"/>
      <c r="H564" s="90"/>
      <c r="I564" s="24"/>
      <c r="J564" s="90"/>
      <c r="K564" s="90"/>
      <c r="L564" s="24"/>
      <c r="M564" s="123"/>
      <c r="N564" s="124"/>
      <c r="O564" s="124"/>
      <c r="P564" s="124"/>
      <c r="Q564" s="123"/>
      <c r="R564" s="124"/>
      <c r="S564" s="124"/>
      <c r="T564" s="124"/>
      <c r="U564" s="123"/>
      <c r="V564" s="124"/>
      <c r="W564" s="124"/>
      <c r="X564" s="124"/>
      <c r="Y564" s="90"/>
      <c r="Z564" s="90"/>
      <c r="AA564" s="90"/>
      <c r="AB564" s="90"/>
      <c r="AC564" s="24"/>
      <c r="AD564" s="90"/>
      <c r="AE564" s="24"/>
      <c r="AF564" s="24"/>
      <c r="AG564" s="24"/>
      <c r="AH564" s="24"/>
      <c r="AI564" s="24"/>
      <c r="AJ564" s="24"/>
      <c r="AK564" s="24"/>
    </row>
    <row r="565" spans="1:37" s="91" customFormat="1" x14ac:dyDescent="0.25">
      <c r="A565" s="24"/>
      <c r="B565" s="90"/>
      <c r="C565" s="92"/>
      <c r="D565" s="24"/>
      <c r="E565" s="90"/>
      <c r="F565" s="90"/>
      <c r="G565" s="24"/>
      <c r="H565" s="90"/>
      <c r="I565" s="24"/>
      <c r="J565" s="90"/>
      <c r="K565" s="90"/>
      <c r="L565" s="24"/>
      <c r="M565" s="123"/>
      <c r="N565" s="124"/>
      <c r="O565" s="124"/>
      <c r="P565" s="124"/>
      <c r="Q565" s="123"/>
      <c r="R565" s="124"/>
      <c r="S565" s="124"/>
      <c r="T565" s="124"/>
      <c r="U565" s="123"/>
      <c r="V565" s="124"/>
      <c r="W565" s="124"/>
      <c r="X565" s="124"/>
      <c r="Y565" s="90"/>
      <c r="Z565" s="90"/>
      <c r="AA565" s="90"/>
      <c r="AB565" s="90"/>
      <c r="AC565" s="24"/>
      <c r="AD565" s="90"/>
      <c r="AE565" s="24"/>
      <c r="AF565" s="24"/>
      <c r="AG565" s="24"/>
      <c r="AH565" s="24"/>
      <c r="AI565" s="24"/>
      <c r="AJ565" s="24"/>
      <c r="AK565" s="24"/>
    </row>
    <row r="566" spans="1:37" s="91" customFormat="1" x14ac:dyDescent="0.25">
      <c r="A566" s="24"/>
      <c r="B566" s="90"/>
      <c r="C566" s="92"/>
      <c r="D566" s="24"/>
      <c r="E566" s="90"/>
      <c r="F566" s="90"/>
      <c r="G566" s="24"/>
      <c r="H566" s="90"/>
      <c r="I566" s="24"/>
      <c r="J566" s="90"/>
      <c r="K566" s="90"/>
      <c r="L566" s="24"/>
      <c r="M566" s="123"/>
      <c r="N566" s="124"/>
      <c r="O566" s="124"/>
      <c r="P566" s="124"/>
      <c r="Q566" s="123"/>
      <c r="R566" s="124"/>
      <c r="S566" s="124"/>
      <c r="T566" s="124"/>
      <c r="U566" s="123"/>
      <c r="V566" s="124"/>
      <c r="W566" s="124"/>
      <c r="X566" s="124"/>
      <c r="Y566" s="90"/>
      <c r="Z566" s="90"/>
      <c r="AA566" s="90"/>
      <c r="AB566" s="90"/>
      <c r="AC566" s="24"/>
      <c r="AD566" s="90"/>
      <c r="AE566" s="24"/>
      <c r="AF566" s="24"/>
      <c r="AG566" s="24"/>
      <c r="AH566" s="24"/>
      <c r="AI566" s="24"/>
      <c r="AJ566" s="24"/>
      <c r="AK566" s="24"/>
    </row>
    <row r="567" spans="1:37" s="91" customFormat="1" x14ac:dyDescent="0.25">
      <c r="A567" s="24"/>
      <c r="B567" s="90"/>
      <c r="C567" s="92"/>
      <c r="D567" s="24"/>
      <c r="E567" s="90"/>
      <c r="F567" s="90"/>
      <c r="G567" s="24"/>
      <c r="H567" s="90"/>
      <c r="I567" s="24"/>
      <c r="J567" s="90"/>
      <c r="K567" s="90"/>
      <c r="L567" s="24"/>
      <c r="M567" s="123"/>
      <c r="N567" s="124"/>
      <c r="O567" s="124"/>
      <c r="P567" s="124"/>
      <c r="Q567" s="123"/>
      <c r="R567" s="124"/>
      <c r="S567" s="124"/>
      <c r="T567" s="124"/>
      <c r="U567" s="123"/>
      <c r="V567" s="124"/>
      <c r="W567" s="124"/>
      <c r="X567" s="124"/>
      <c r="Y567" s="90"/>
      <c r="Z567" s="90"/>
      <c r="AA567" s="90"/>
      <c r="AB567" s="90"/>
      <c r="AC567" s="24"/>
      <c r="AD567" s="90"/>
      <c r="AE567" s="24"/>
      <c r="AF567" s="24"/>
      <c r="AG567" s="24"/>
      <c r="AH567" s="24"/>
      <c r="AI567" s="24"/>
      <c r="AJ567" s="24"/>
      <c r="AK567" s="24"/>
    </row>
    <row r="568" spans="1:37" s="91" customFormat="1" x14ac:dyDescent="0.25">
      <c r="A568" s="24"/>
      <c r="B568" s="90"/>
      <c r="C568" s="92"/>
      <c r="D568" s="24"/>
      <c r="E568" s="90"/>
      <c r="F568" s="90"/>
      <c r="G568" s="24"/>
      <c r="H568" s="90"/>
      <c r="I568" s="24"/>
      <c r="J568" s="90"/>
      <c r="K568" s="90"/>
      <c r="L568" s="24"/>
      <c r="M568" s="123"/>
      <c r="N568" s="124"/>
      <c r="O568" s="124"/>
      <c r="P568" s="124"/>
      <c r="Q568" s="123"/>
      <c r="R568" s="124"/>
      <c r="S568" s="124"/>
      <c r="T568" s="124"/>
      <c r="U568" s="123"/>
      <c r="V568" s="124"/>
      <c r="W568" s="124"/>
      <c r="X568" s="124"/>
      <c r="Y568" s="90"/>
      <c r="Z568" s="90"/>
      <c r="AA568" s="90"/>
      <c r="AB568" s="90"/>
      <c r="AC568" s="24"/>
      <c r="AD568" s="90"/>
      <c r="AE568" s="24"/>
      <c r="AF568" s="24"/>
      <c r="AG568" s="24"/>
      <c r="AH568" s="24"/>
      <c r="AI568" s="24"/>
      <c r="AJ568" s="24"/>
      <c r="AK568" s="24"/>
    </row>
    <row r="569" spans="1:37" s="91" customFormat="1" x14ac:dyDescent="0.25">
      <c r="A569" s="24"/>
      <c r="B569" s="90"/>
      <c r="C569" s="92"/>
      <c r="D569" s="24"/>
      <c r="E569" s="90"/>
      <c r="F569" s="90"/>
      <c r="G569" s="24"/>
      <c r="H569" s="90"/>
      <c r="I569" s="24"/>
      <c r="J569" s="90"/>
      <c r="K569" s="90"/>
      <c r="L569" s="24"/>
      <c r="M569" s="123"/>
      <c r="N569" s="124"/>
      <c r="O569" s="124"/>
      <c r="P569" s="124"/>
      <c r="Q569" s="123"/>
      <c r="R569" s="124"/>
      <c r="S569" s="124"/>
      <c r="T569" s="124"/>
      <c r="U569" s="123"/>
      <c r="V569" s="124"/>
      <c r="W569" s="124"/>
      <c r="X569" s="124"/>
      <c r="Y569" s="90"/>
      <c r="Z569" s="90"/>
      <c r="AA569" s="90"/>
      <c r="AB569" s="90"/>
      <c r="AC569" s="24"/>
      <c r="AD569" s="90"/>
      <c r="AE569" s="24"/>
      <c r="AF569" s="24"/>
      <c r="AG569" s="24"/>
      <c r="AH569" s="24"/>
      <c r="AI569" s="24"/>
      <c r="AJ569" s="24"/>
      <c r="AK569" s="24"/>
    </row>
    <row r="570" spans="1:37" s="91" customFormat="1" x14ac:dyDescent="0.25">
      <c r="A570" s="24"/>
      <c r="B570" s="90"/>
      <c r="C570" s="92"/>
      <c r="D570" s="24"/>
      <c r="E570" s="90"/>
      <c r="F570" s="90"/>
      <c r="G570" s="24"/>
      <c r="H570" s="90"/>
      <c r="I570" s="24"/>
      <c r="J570" s="90"/>
      <c r="K570" s="90"/>
      <c r="L570" s="24"/>
      <c r="M570" s="123"/>
      <c r="N570" s="124"/>
      <c r="O570" s="124"/>
      <c r="P570" s="124"/>
      <c r="Q570" s="123"/>
      <c r="R570" s="124"/>
      <c r="S570" s="124"/>
      <c r="T570" s="124"/>
      <c r="U570" s="123"/>
      <c r="V570" s="124"/>
      <c r="W570" s="124"/>
      <c r="X570" s="124"/>
      <c r="Y570" s="90"/>
      <c r="Z570" s="90"/>
      <c r="AA570" s="90"/>
      <c r="AB570" s="90"/>
      <c r="AC570" s="24"/>
      <c r="AD570" s="90"/>
      <c r="AE570" s="24"/>
      <c r="AF570" s="24"/>
      <c r="AG570" s="24"/>
      <c r="AH570" s="24"/>
      <c r="AI570" s="24"/>
      <c r="AJ570" s="24"/>
      <c r="AK570" s="24"/>
    </row>
    <row r="571" spans="1:37" s="91" customFormat="1" x14ac:dyDescent="0.25">
      <c r="A571" s="24"/>
      <c r="B571" s="90"/>
      <c r="C571" s="92"/>
      <c r="D571" s="24"/>
      <c r="E571" s="90"/>
      <c r="F571" s="90"/>
      <c r="G571" s="24"/>
      <c r="H571" s="90"/>
      <c r="I571" s="24"/>
      <c r="J571" s="90"/>
      <c r="K571" s="90"/>
      <c r="L571" s="24"/>
      <c r="M571" s="123"/>
      <c r="N571" s="124"/>
      <c r="O571" s="124"/>
      <c r="P571" s="124"/>
      <c r="Q571" s="123"/>
      <c r="R571" s="124"/>
      <c r="S571" s="124"/>
      <c r="T571" s="124"/>
      <c r="U571" s="123"/>
      <c r="V571" s="124"/>
      <c r="W571" s="124"/>
      <c r="X571" s="124"/>
      <c r="Y571" s="90"/>
      <c r="Z571" s="90"/>
      <c r="AA571" s="90"/>
      <c r="AB571" s="90"/>
      <c r="AC571" s="24"/>
      <c r="AD571" s="90"/>
      <c r="AE571" s="24"/>
      <c r="AF571" s="24"/>
      <c r="AG571" s="24"/>
      <c r="AH571" s="24"/>
      <c r="AI571" s="24"/>
      <c r="AJ571" s="24"/>
      <c r="AK571" s="24"/>
    </row>
    <row r="572" spans="1:37" s="91" customFormat="1" x14ac:dyDescent="0.25">
      <c r="A572" s="24"/>
      <c r="B572" s="90"/>
      <c r="C572" s="92"/>
      <c r="D572" s="24"/>
      <c r="E572" s="90"/>
      <c r="F572" s="90"/>
      <c r="G572" s="24"/>
      <c r="H572" s="90"/>
      <c r="I572" s="24"/>
      <c r="J572" s="90"/>
      <c r="K572" s="90"/>
      <c r="L572" s="24"/>
      <c r="M572" s="123"/>
      <c r="N572" s="124"/>
      <c r="O572" s="124"/>
      <c r="P572" s="124"/>
      <c r="Q572" s="123"/>
      <c r="R572" s="124"/>
      <c r="S572" s="124"/>
      <c r="T572" s="124"/>
      <c r="U572" s="123"/>
      <c r="V572" s="124"/>
      <c r="W572" s="124"/>
      <c r="X572" s="124"/>
      <c r="Y572" s="90"/>
      <c r="Z572" s="90"/>
      <c r="AA572" s="90"/>
      <c r="AB572" s="90"/>
      <c r="AC572" s="24"/>
      <c r="AD572" s="90"/>
      <c r="AE572" s="24"/>
      <c r="AF572" s="24"/>
      <c r="AG572" s="24"/>
      <c r="AH572" s="24"/>
      <c r="AI572" s="24"/>
      <c r="AJ572" s="24"/>
      <c r="AK572" s="24"/>
    </row>
    <row r="573" spans="1:37" s="91" customFormat="1" x14ac:dyDescent="0.25">
      <c r="A573" s="24"/>
      <c r="B573" s="90"/>
      <c r="C573" s="92"/>
      <c r="D573" s="24"/>
      <c r="E573" s="90"/>
      <c r="F573" s="90"/>
      <c r="G573" s="24"/>
      <c r="H573" s="90"/>
      <c r="I573" s="24"/>
      <c r="J573" s="90"/>
      <c r="K573" s="90"/>
      <c r="L573" s="24"/>
      <c r="M573" s="123"/>
      <c r="N573" s="124"/>
      <c r="O573" s="124"/>
      <c r="P573" s="124"/>
      <c r="Q573" s="123"/>
      <c r="R573" s="124"/>
      <c r="S573" s="124"/>
      <c r="T573" s="124"/>
      <c r="U573" s="123"/>
      <c r="V573" s="124"/>
      <c r="W573" s="124"/>
      <c r="X573" s="124"/>
      <c r="Y573" s="90"/>
      <c r="Z573" s="90"/>
      <c r="AA573" s="90"/>
      <c r="AB573" s="90"/>
      <c r="AC573" s="24"/>
      <c r="AD573" s="90"/>
      <c r="AE573" s="24"/>
      <c r="AF573" s="24"/>
      <c r="AG573" s="24"/>
      <c r="AH573" s="24"/>
      <c r="AI573" s="24"/>
      <c r="AJ573" s="24"/>
      <c r="AK573" s="24"/>
    </row>
    <row r="574" spans="1:37" s="91" customFormat="1" x14ac:dyDescent="0.25">
      <c r="A574" s="24"/>
      <c r="B574" s="90"/>
      <c r="C574" s="92"/>
      <c r="D574" s="24"/>
      <c r="E574" s="90"/>
      <c r="F574" s="90"/>
      <c r="G574" s="24"/>
      <c r="H574" s="90"/>
      <c r="I574" s="24"/>
      <c r="J574" s="90"/>
      <c r="K574" s="90"/>
      <c r="L574" s="24"/>
      <c r="M574" s="123"/>
      <c r="N574" s="124"/>
      <c r="O574" s="124"/>
      <c r="P574" s="124"/>
      <c r="Q574" s="123"/>
      <c r="R574" s="124"/>
      <c r="S574" s="124"/>
      <c r="T574" s="124"/>
      <c r="U574" s="123"/>
      <c r="V574" s="124"/>
      <c r="W574" s="124"/>
      <c r="X574" s="124"/>
      <c r="Y574" s="90"/>
      <c r="Z574" s="90"/>
      <c r="AA574" s="90"/>
      <c r="AB574" s="90"/>
      <c r="AC574" s="24"/>
      <c r="AD574" s="90"/>
      <c r="AE574" s="24"/>
      <c r="AF574" s="24"/>
      <c r="AG574" s="24"/>
      <c r="AH574" s="24"/>
      <c r="AI574" s="24"/>
      <c r="AJ574" s="24"/>
      <c r="AK574" s="24"/>
    </row>
    <row r="575" spans="1:37" s="91" customFormat="1" x14ac:dyDescent="0.25">
      <c r="A575" s="24"/>
      <c r="B575" s="90"/>
      <c r="C575" s="92"/>
      <c r="D575" s="24"/>
      <c r="E575" s="90"/>
      <c r="F575" s="90"/>
      <c r="G575" s="24"/>
      <c r="H575" s="90"/>
      <c r="I575" s="24"/>
      <c r="J575" s="90"/>
      <c r="K575" s="90"/>
      <c r="L575" s="24"/>
      <c r="M575" s="123"/>
      <c r="N575" s="124"/>
      <c r="O575" s="124"/>
      <c r="P575" s="124"/>
      <c r="Q575" s="123"/>
      <c r="R575" s="124"/>
      <c r="S575" s="124"/>
      <c r="T575" s="124"/>
      <c r="U575" s="123"/>
      <c r="V575" s="124"/>
      <c r="W575" s="124"/>
      <c r="X575" s="124"/>
      <c r="Y575" s="90"/>
      <c r="Z575" s="90"/>
      <c r="AA575" s="90"/>
      <c r="AB575" s="90"/>
      <c r="AC575" s="24"/>
      <c r="AD575" s="90"/>
      <c r="AE575" s="24"/>
      <c r="AF575" s="24"/>
      <c r="AG575" s="24"/>
      <c r="AH575" s="24"/>
      <c r="AI575" s="24"/>
      <c r="AJ575" s="24"/>
      <c r="AK575" s="24"/>
    </row>
    <row r="576" spans="1:37" s="91" customFormat="1" x14ac:dyDescent="0.25">
      <c r="A576" s="24"/>
      <c r="B576" s="90"/>
      <c r="C576" s="92"/>
      <c r="D576" s="24"/>
      <c r="E576" s="90"/>
      <c r="F576" s="90"/>
      <c r="G576" s="24"/>
      <c r="H576" s="90"/>
      <c r="I576" s="24"/>
      <c r="J576" s="90"/>
      <c r="K576" s="90"/>
      <c r="L576" s="24"/>
      <c r="M576" s="123"/>
      <c r="N576" s="124"/>
      <c r="O576" s="124"/>
      <c r="P576" s="124"/>
      <c r="Q576" s="123"/>
      <c r="R576" s="124"/>
      <c r="S576" s="124"/>
      <c r="T576" s="124"/>
      <c r="U576" s="123"/>
      <c r="V576" s="124"/>
      <c r="W576" s="124"/>
      <c r="X576" s="124"/>
      <c r="Y576" s="90"/>
      <c r="Z576" s="90"/>
      <c r="AA576" s="90"/>
      <c r="AB576" s="90"/>
      <c r="AC576" s="24"/>
      <c r="AD576" s="90"/>
      <c r="AE576" s="24"/>
      <c r="AF576" s="24"/>
      <c r="AG576" s="24"/>
      <c r="AH576" s="24"/>
      <c r="AI576" s="24"/>
      <c r="AJ576" s="24"/>
      <c r="AK576" s="24"/>
    </row>
    <row r="577" spans="1:37" s="91" customFormat="1" x14ac:dyDescent="0.25">
      <c r="A577" s="24"/>
      <c r="B577" s="90"/>
      <c r="C577" s="92"/>
      <c r="D577" s="24"/>
      <c r="E577" s="90"/>
      <c r="F577" s="90"/>
      <c r="G577" s="24"/>
      <c r="H577" s="90"/>
      <c r="I577" s="24"/>
      <c r="J577" s="90"/>
      <c r="K577" s="90"/>
      <c r="L577" s="24"/>
      <c r="M577" s="123"/>
      <c r="N577" s="124"/>
      <c r="O577" s="124"/>
      <c r="P577" s="124"/>
      <c r="Q577" s="123"/>
      <c r="R577" s="124"/>
      <c r="S577" s="124"/>
      <c r="T577" s="124"/>
      <c r="U577" s="123"/>
      <c r="V577" s="124"/>
      <c r="W577" s="124"/>
      <c r="X577" s="124"/>
      <c r="Y577" s="90"/>
      <c r="Z577" s="90"/>
      <c r="AA577" s="90"/>
      <c r="AB577" s="90"/>
      <c r="AC577" s="24"/>
      <c r="AD577" s="90"/>
      <c r="AE577" s="24"/>
      <c r="AF577" s="24"/>
      <c r="AG577" s="24"/>
      <c r="AH577" s="24"/>
      <c r="AI577" s="24"/>
      <c r="AJ577" s="24"/>
      <c r="AK577" s="24"/>
    </row>
    <row r="578" spans="1:37" s="91" customFormat="1" x14ac:dyDescent="0.25">
      <c r="A578" s="24"/>
      <c r="B578" s="90"/>
      <c r="C578" s="92"/>
      <c r="D578" s="24"/>
      <c r="E578" s="90"/>
      <c r="F578" s="90"/>
      <c r="G578" s="24"/>
      <c r="H578" s="90"/>
      <c r="I578" s="24"/>
      <c r="J578" s="90"/>
      <c r="K578" s="90"/>
      <c r="L578" s="24"/>
      <c r="M578" s="123"/>
      <c r="N578" s="124"/>
      <c r="O578" s="124"/>
      <c r="P578" s="124"/>
      <c r="Q578" s="123"/>
      <c r="R578" s="124"/>
      <c r="S578" s="124"/>
      <c r="T578" s="124"/>
      <c r="U578" s="123"/>
      <c r="V578" s="124"/>
      <c r="W578" s="124"/>
      <c r="X578" s="124"/>
      <c r="Y578" s="90"/>
      <c r="Z578" s="90"/>
      <c r="AA578" s="90"/>
      <c r="AB578" s="90"/>
      <c r="AC578" s="24"/>
      <c r="AD578" s="90"/>
      <c r="AE578" s="24"/>
      <c r="AF578" s="24"/>
      <c r="AG578" s="24"/>
      <c r="AH578" s="24"/>
      <c r="AI578" s="24"/>
      <c r="AJ578" s="24"/>
      <c r="AK578" s="24"/>
    </row>
    <row r="579" spans="1:37" s="91" customFormat="1" x14ac:dyDescent="0.25">
      <c r="A579" s="24"/>
      <c r="B579" s="90"/>
      <c r="C579" s="92"/>
      <c r="D579" s="24"/>
      <c r="E579" s="90"/>
      <c r="F579" s="90"/>
      <c r="G579" s="24"/>
      <c r="H579" s="90"/>
      <c r="I579" s="24"/>
      <c r="J579" s="90"/>
      <c r="K579" s="90"/>
      <c r="L579" s="24"/>
      <c r="M579" s="123"/>
      <c r="N579" s="124"/>
      <c r="O579" s="124"/>
      <c r="P579" s="124"/>
      <c r="Q579" s="123"/>
      <c r="R579" s="124"/>
      <c r="S579" s="124"/>
      <c r="T579" s="124"/>
      <c r="U579" s="123"/>
      <c r="V579" s="124"/>
      <c r="W579" s="124"/>
      <c r="X579" s="124"/>
      <c r="Y579" s="90"/>
      <c r="Z579" s="90"/>
      <c r="AA579" s="90"/>
      <c r="AB579" s="90"/>
      <c r="AC579" s="24"/>
      <c r="AD579" s="90"/>
      <c r="AE579" s="24"/>
      <c r="AF579" s="24"/>
      <c r="AG579" s="24"/>
      <c r="AH579" s="24"/>
      <c r="AI579" s="24"/>
      <c r="AJ579" s="24"/>
      <c r="AK579" s="24"/>
    </row>
    <row r="580" spans="1:37" s="91" customFormat="1" x14ac:dyDescent="0.25">
      <c r="A580" s="24"/>
      <c r="B580" s="90"/>
      <c r="C580" s="92"/>
      <c r="D580" s="24"/>
      <c r="E580" s="90"/>
      <c r="F580" s="90"/>
      <c r="G580" s="24"/>
      <c r="H580" s="90"/>
      <c r="I580" s="24"/>
      <c r="J580" s="90"/>
      <c r="K580" s="90"/>
      <c r="L580" s="24"/>
      <c r="M580" s="123"/>
      <c r="N580" s="124"/>
      <c r="O580" s="124"/>
      <c r="P580" s="124"/>
      <c r="Q580" s="123"/>
      <c r="R580" s="124"/>
      <c r="S580" s="124"/>
      <c r="T580" s="124"/>
      <c r="U580" s="123"/>
      <c r="V580" s="124"/>
      <c r="W580" s="124"/>
      <c r="X580" s="124"/>
      <c r="Y580" s="90"/>
      <c r="Z580" s="90"/>
      <c r="AA580" s="90"/>
      <c r="AB580" s="90"/>
      <c r="AC580" s="24"/>
      <c r="AD580" s="90"/>
      <c r="AE580" s="24"/>
      <c r="AF580" s="24"/>
      <c r="AG580" s="24"/>
      <c r="AH580" s="24"/>
      <c r="AI580" s="24"/>
      <c r="AJ580" s="24"/>
      <c r="AK580" s="24"/>
    </row>
    <row r="581" spans="1:37" s="91" customFormat="1" x14ac:dyDescent="0.25">
      <c r="A581" s="24"/>
      <c r="B581" s="90"/>
      <c r="C581" s="92"/>
      <c r="D581" s="24"/>
      <c r="E581" s="90"/>
      <c r="F581" s="90"/>
      <c r="G581" s="24"/>
      <c r="H581" s="90"/>
      <c r="I581" s="24"/>
      <c r="J581" s="90"/>
      <c r="K581" s="90"/>
      <c r="L581" s="24"/>
      <c r="M581" s="123"/>
      <c r="N581" s="124"/>
      <c r="O581" s="124"/>
      <c r="P581" s="124"/>
      <c r="Q581" s="123"/>
      <c r="R581" s="124"/>
      <c r="S581" s="124"/>
      <c r="T581" s="124"/>
      <c r="U581" s="123"/>
      <c r="V581" s="124"/>
      <c r="W581" s="124"/>
      <c r="X581" s="124"/>
      <c r="Y581" s="90"/>
      <c r="Z581" s="90"/>
      <c r="AA581" s="90"/>
      <c r="AB581" s="90"/>
      <c r="AC581" s="24"/>
      <c r="AD581" s="90"/>
      <c r="AE581" s="24"/>
      <c r="AF581" s="24"/>
      <c r="AG581" s="24"/>
      <c r="AH581" s="24"/>
      <c r="AI581" s="24"/>
      <c r="AJ581" s="24"/>
      <c r="AK581" s="24"/>
    </row>
    <row r="582" spans="1:37" s="91" customFormat="1" x14ac:dyDescent="0.25">
      <c r="A582" s="24"/>
      <c r="B582" s="90"/>
      <c r="C582" s="92"/>
      <c r="D582" s="24"/>
      <c r="E582" s="90"/>
      <c r="F582" s="90"/>
      <c r="G582" s="24"/>
      <c r="H582" s="90"/>
      <c r="I582" s="24"/>
      <c r="J582" s="90"/>
      <c r="K582" s="90"/>
      <c r="L582" s="24"/>
      <c r="M582" s="123"/>
      <c r="N582" s="124"/>
      <c r="O582" s="124"/>
      <c r="P582" s="124"/>
      <c r="Q582" s="123"/>
      <c r="R582" s="124"/>
      <c r="S582" s="124"/>
      <c r="T582" s="124"/>
      <c r="U582" s="123"/>
      <c r="V582" s="124"/>
      <c r="W582" s="124"/>
      <c r="X582" s="124"/>
      <c r="Y582" s="90"/>
      <c r="Z582" s="90"/>
      <c r="AA582" s="90"/>
      <c r="AB582" s="90"/>
      <c r="AC582" s="24"/>
      <c r="AD582" s="90"/>
      <c r="AE582" s="24"/>
      <c r="AF582" s="24"/>
      <c r="AG582" s="24"/>
      <c r="AH582" s="24"/>
      <c r="AI582" s="24"/>
      <c r="AJ582" s="24"/>
      <c r="AK582" s="24"/>
    </row>
    <row r="583" spans="1:37" s="91" customFormat="1" x14ac:dyDescent="0.25">
      <c r="A583" s="24"/>
      <c r="B583" s="90"/>
      <c r="C583" s="92"/>
      <c r="D583" s="24"/>
      <c r="E583" s="90"/>
      <c r="F583" s="90"/>
      <c r="G583" s="24"/>
      <c r="H583" s="90"/>
      <c r="I583" s="24"/>
      <c r="J583" s="90"/>
      <c r="K583" s="90"/>
      <c r="L583" s="24"/>
      <c r="M583" s="123"/>
      <c r="N583" s="124"/>
      <c r="O583" s="124"/>
      <c r="P583" s="124"/>
      <c r="Q583" s="123"/>
      <c r="R583" s="124"/>
      <c r="S583" s="124"/>
      <c r="T583" s="124"/>
      <c r="U583" s="123"/>
      <c r="V583" s="124"/>
      <c r="W583" s="124"/>
      <c r="X583" s="124"/>
      <c r="Y583" s="90"/>
      <c r="Z583" s="90"/>
      <c r="AA583" s="90"/>
      <c r="AB583" s="90"/>
      <c r="AC583" s="24"/>
      <c r="AD583" s="90"/>
      <c r="AE583" s="24"/>
      <c r="AF583" s="24"/>
      <c r="AG583" s="24"/>
      <c r="AH583" s="24"/>
      <c r="AI583" s="24"/>
      <c r="AJ583" s="24"/>
      <c r="AK583" s="24"/>
    </row>
    <row r="584" spans="1:37" s="91" customFormat="1" x14ac:dyDescent="0.25">
      <c r="A584" s="24"/>
      <c r="B584" s="90"/>
      <c r="C584" s="92"/>
      <c r="D584" s="24"/>
      <c r="E584" s="90"/>
      <c r="F584" s="90"/>
      <c r="G584" s="24"/>
      <c r="H584" s="90"/>
      <c r="I584" s="24"/>
      <c r="J584" s="90"/>
      <c r="K584" s="90"/>
      <c r="L584" s="24"/>
      <c r="M584" s="123"/>
      <c r="N584" s="124"/>
      <c r="O584" s="124"/>
      <c r="P584" s="124"/>
      <c r="Q584" s="123"/>
      <c r="R584" s="124"/>
      <c r="S584" s="124"/>
      <c r="T584" s="124"/>
      <c r="U584" s="123"/>
      <c r="V584" s="124"/>
      <c r="W584" s="124"/>
      <c r="X584" s="124"/>
      <c r="Y584" s="90"/>
      <c r="Z584" s="90"/>
      <c r="AA584" s="90"/>
      <c r="AB584" s="90"/>
      <c r="AC584" s="24"/>
      <c r="AD584" s="90"/>
      <c r="AE584" s="24"/>
      <c r="AF584" s="24"/>
      <c r="AG584" s="24"/>
      <c r="AH584" s="24"/>
      <c r="AI584" s="24"/>
      <c r="AJ584" s="24"/>
      <c r="AK584" s="24"/>
    </row>
    <row r="585" spans="1:37" s="91" customFormat="1" x14ac:dyDescent="0.25">
      <c r="A585" s="24"/>
      <c r="B585" s="90"/>
      <c r="C585" s="92"/>
      <c r="D585" s="24"/>
      <c r="E585" s="90"/>
      <c r="F585" s="90"/>
      <c r="G585" s="24"/>
      <c r="H585" s="90"/>
      <c r="I585" s="24"/>
      <c r="J585" s="90"/>
      <c r="K585" s="90"/>
      <c r="L585" s="24"/>
      <c r="M585" s="123"/>
      <c r="N585" s="124"/>
      <c r="O585" s="124"/>
      <c r="P585" s="124"/>
      <c r="Q585" s="123"/>
      <c r="R585" s="124"/>
      <c r="S585" s="124"/>
      <c r="T585" s="124"/>
      <c r="U585" s="123"/>
      <c r="V585" s="124"/>
      <c r="W585" s="124"/>
      <c r="X585" s="124"/>
      <c r="Y585" s="90"/>
      <c r="Z585" s="90"/>
      <c r="AA585" s="90"/>
      <c r="AB585" s="90"/>
      <c r="AC585" s="24"/>
      <c r="AD585" s="90"/>
      <c r="AE585" s="24"/>
      <c r="AF585" s="24"/>
      <c r="AG585" s="24"/>
      <c r="AH585" s="24"/>
      <c r="AI585" s="24"/>
      <c r="AJ585" s="24"/>
      <c r="AK585" s="24"/>
    </row>
    <row r="586" spans="1:37" s="91" customFormat="1" x14ac:dyDescent="0.25">
      <c r="A586" s="24"/>
      <c r="B586" s="90"/>
      <c r="C586" s="92"/>
      <c r="D586" s="24"/>
      <c r="E586" s="90"/>
      <c r="F586" s="90"/>
      <c r="G586" s="24"/>
      <c r="H586" s="90"/>
      <c r="I586" s="24"/>
      <c r="J586" s="90"/>
      <c r="K586" s="90"/>
      <c r="L586" s="24"/>
      <c r="M586" s="123"/>
      <c r="N586" s="124"/>
      <c r="O586" s="124"/>
      <c r="P586" s="124"/>
      <c r="Q586" s="123"/>
      <c r="R586" s="124"/>
      <c r="S586" s="124"/>
      <c r="T586" s="124"/>
      <c r="U586" s="123"/>
      <c r="V586" s="124"/>
      <c r="W586" s="124"/>
      <c r="X586" s="124"/>
      <c r="Y586" s="90"/>
      <c r="Z586" s="90"/>
      <c r="AA586" s="90"/>
      <c r="AB586" s="90"/>
      <c r="AC586" s="24"/>
      <c r="AD586" s="90"/>
      <c r="AE586" s="24"/>
      <c r="AF586" s="24"/>
      <c r="AG586" s="24"/>
      <c r="AH586" s="24"/>
      <c r="AI586" s="24"/>
      <c r="AJ586" s="24"/>
      <c r="AK586" s="24"/>
    </row>
    <row r="587" spans="1:37" s="91" customFormat="1" x14ac:dyDescent="0.25">
      <c r="A587" s="24"/>
      <c r="B587" s="90"/>
      <c r="C587" s="92"/>
      <c r="D587" s="24"/>
      <c r="E587" s="90"/>
      <c r="F587" s="90"/>
      <c r="G587" s="24"/>
      <c r="H587" s="90"/>
      <c r="I587" s="24"/>
      <c r="J587" s="90"/>
      <c r="K587" s="90"/>
      <c r="L587" s="24"/>
      <c r="M587" s="123"/>
      <c r="N587" s="124"/>
      <c r="O587" s="124"/>
      <c r="P587" s="124"/>
      <c r="Q587" s="123"/>
      <c r="R587" s="124"/>
      <c r="S587" s="124"/>
      <c r="T587" s="124"/>
      <c r="U587" s="123"/>
      <c r="V587" s="124"/>
      <c r="W587" s="124"/>
      <c r="X587" s="124"/>
      <c r="Y587" s="90"/>
      <c r="Z587" s="90"/>
      <c r="AA587" s="90"/>
      <c r="AB587" s="90"/>
      <c r="AC587" s="24"/>
      <c r="AD587" s="90"/>
      <c r="AE587" s="24"/>
      <c r="AF587" s="24"/>
      <c r="AG587" s="24"/>
      <c r="AH587" s="24"/>
      <c r="AI587" s="24"/>
      <c r="AJ587" s="24"/>
      <c r="AK587" s="24"/>
    </row>
    <row r="588" spans="1:37" x14ac:dyDescent="0.25">
      <c r="A588" s="24"/>
      <c r="B588" s="90"/>
      <c r="C588" s="92"/>
      <c r="D588" s="24"/>
      <c r="E588" s="90"/>
      <c r="F588" s="90"/>
      <c r="G588" s="24"/>
      <c r="H588" s="90"/>
      <c r="I588" s="24"/>
      <c r="J588" s="90"/>
      <c r="K588" s="90"/>
      <c r="L588" s="24"/>
      <c r="M588" s="123"/>
      <c r="N588" s="124"/>
      <c r="O588" s="124"/>
      <c r="P588" s="124"/>
      <c r="Q588" s="123"/>
      <c r="R588" s="124"/>
      <c r="S588" s="124"/>
      <c r="T588" s="124"/>
      <c r="U588" s="123"/>
      <c r="V588" s="124"/>
      <c r="W588" s="124"/>
      <c r="X588" s="124"/>
      <c r="Y588" s="90"/>
      <c r="Z588" s="90"/>
      <c r="AA588" s="90"/>
      <c r="AB588" s="90"/>
      <c r="AC588" s="24"/>
      <c r="AD588" s="90"/>
      <c r="AE588" s="24"/>
      <c r="AF588" s="24"/>
      <c r="AG588" s="24"/>
      <c r="AH588" s="24"/>
      <c r="AI588" s="24"/>
      <c r="AJ588" s="24"/>
      <c r="AK588" s="24"/>
    </row>
    <row r="589" spans="1:37" x14ac:dyDescent="0.25">
      <c r="A589" s="24"/>
      <c r="B589" s="90"/>
      <c r="C589" s="92"/>
      <c r="D589" s="24"/>
      <c r="E589" s="90"/>
      <c r="F589" s="90"/>
      <c r="G589" s="24"/>
      <c r="H589" s="90"/>
      <c r="I589" s="24"/>
      <c r="J589" s="90"/>
      <c r="K589" s="90"/>
      <c r="L589" s="24"/>
      <c r="M589" s="123"/>
      <c r="N589" s="124"/>
      <c r="O589" s="124"/>
      <c r="P589" s="124"/>
      <c r="Q589" s="123"/>
      <c r="R589" s="124"/>
      <c r="S589" s="124"/>
      <c r="T589" s="124"/>
      <c r="U589" s="123"/>
      <c r="V589" s="124"/>
      <c r="W589" s="124"/>
      <c r="X589" s="124"/>
      <c r="Y589" s="90"/>
      <c r="Z589" s="90"/>
      <c r="AA589" s="90"/>
      <c r="AB589" s="90"/>
      <c r="AC589" s="24"/>
      <c r="AD589" s="90"/>
      <c r="AE589" s="24"/>
      <c r="AF589" s="24"/>
      <c r="AG589" s="24"/>
      <c r="AH589" s="24"/>
      <c r="AI589" s="24"/>
      <c r="AJ589" s="24"/>
      <c r="AK589" s="24"/>
    </row>
    <row r="590" spans="1:37" x14ac:dyDescent="0.25">
      <c r="A590" s="24"/>
      <c r="B590" s="90"/>
      <c r="C590" s="92"/>
      <c r="D590" s="24"/>
      <c r="E590" s="90"/>
      <c r="F590" s="90"/>
      <c r="G590" s="24"/>
      <c r="H590" s="90"/>
      <c r="I590" s="24"/>
      <c r="J590" s="90"/>
      <c r="K590" s="90"/>
      <c r="L590" s="24"/>
      <c r="M590" s="123"/>
      <c r="N590" s="124"/>
      <c r="O590" s="124"/>
      <c r="P590" s="124"/>
      <c r="Q590" s="123"/>
      <c r="R590" s="124"/>
      <c r="S590" s="124"/>
      <c r="T590" s="124"/>
      <c r="U590" s="123"/>
      <c r="V590" s="124"/>
      <c r="W590" s="124"/>
      <c r="X590" s="124"/>
      <c r="Y590" s="90"/>
      <c r="Z590" s="90"/>
      <c r="AA590" s="90"/>
      <c r="AB590" s="90"/>
      <c r="AC590" s="24"/>
      <c r="AD590" s="90"/>
      <c r="AE590" s="24"/>
      <c r="AF590" s="24"/>
      <c r="AG590" s="24"/>
      <c r="AH590" s="24"/>
      <c r="AI590" s="24"/>
      <c r="AJ590" s="24"/>
      <c r="AK590" s="24"/>
    </row>
    <row r="591" spans="1:37" x14ac:dyDescent="0.25">
      <c r="A591" s="24"/>
      <c r="B591" s="90"/>
      <c r="C591" s="92"/>
      <c r="D591" s="24"/>
      <c r="E591" s="90"/>
      <c r="F591" s="90"/>
      <c r="G591" s="24"/>
      <c r="H591" s="90"/>
      <c r="I591" s="24"/>
      <c r="J591" s="90"/>
      <c r="K591" s="90"/>
      <c r="L591" s="24"/>
      <c r="M591" s="123"/>
      <c r="N591" s="124"/>
      <c r="O591" s="124"/>
      <c r="P591" s="124"/>
      <c r="Q591" s="123"/>
      <c r="R591" s="124"/>
      <c r="S591" s="124"/>
      <c r="T591" s="124"/>
      <c r="U591" s="123"/>
      <c r="V591" s="124"/>
      <c r="W591" s="124"/>
      <c r="X591" s="124"/>
      <c r="Y591" s="90"/>
      <c r="Z591" s="90"/>
      <c r="AA591" s="90"/>
      <c r="AB591" s="90"/>
      <c r="AC591" s="24"/>
      <c r="AD591" s="90"/>
      <c r="AE591" s="24"/>
      <c r="AF591" s="24"/>
      <c r="AG591" s="24"/>
      <c r="AH591" s="24"/>
      <c r="AI591" s="24"/>
      <c r="AJ591" s="24"/>
      <c r="AK591" s="24"/>
    </row>
    <row r="592" spans="1:37" x14ac:dyDescent="0.25">
      <c r="A592" s="24"/>
      <c r="B592" s="90"/>
      <c r="C592" s="92"/>
      <c r="D592" s="24"/>
      <c r="E592" s="90"/>
      <c r="F592" s="90"/>
      <c r="G592" s="24"/>
      <c r="H592" s="90"/>
      <c r="I592" s="24"/>
      <c r="J592" s="90"/>
      <c r="K592" s="90"/>
      <c r="L592" s="24"/>
      <c r="M592" s="123"/>
      <c r="N592" s="124"/>
      <c r="O592" s="124"/>
      <c r="P592" s="124"/>
      <c r="Q592" s="123"/>
      <c r="R592" s="124"/>
      <c r="S592" s="124"/>
      <c r="T592" s="124"/>
      <c r="U592" s="123"/>
      <c r="V592" s="124"/>
      <c r="W592" s="124"/>
      <c r="X592" s="124"/>
      <c r="Y592" s="90"/>
      <c r="Z592" s="90"/>
      <c r="AA592" s="90"/>
      <c r="AB592" s="90"/>
      <c r="AC592" s="24"/>
      <c r="AD592" s="90"/>
      <c r="AE592" s="24"/>
      <c r="AF592" s="24"/>
      <c r="AG592" s="24"/>
      <c r="AH592" s="24"/>
      <c r="AI592" s="24"/>
      <c r="AJ592" s="24"/>
      <c r="AK592" s="24"/>
    </row>
    <row r="593" spans="1:37" x14ac:dyDescent="0.25">
      <c r="A593" s="24"/>
      <c r="B593" s="90"/>
      <c r="C593" s="92"/>
      <c r="D593" s="24"/>
      <c r="E593" s="90"/>
      <c r="F593" s="90"/>
      <c r="G593" s="24"/>
      <c r="H593" s="90"/>
      <c r="I593" s="24"/>
      <c r="J593" s="90"/>
      <c r="K593" s="90"/>
      <c r="L593" s="24"/>
      <c r="M593" s="123"/>
      <c r="N593" s="124"/>
      <c r="O593" s="124"/>
      <c r="P593" s="124"/>
      <c r="Q593" s="123"/>
      <c r="R593" s="124"/>
      <c r="S593" s="124"/>
      <c r="T593" s="124"/>
      <c r="U593" s="123"/>
      <c r="V593" s="124"/>
      <c r="W593" s="124"/>
      <c r="X593" s="124"/>
      <c r="Y593" s="90"/>
      <c r="Z593" s="90"/>
      <c r="AA593" s="90"/>
      <c r="AB593" s="90"/>
      <c r="AC593" s="24"/>
      <c r="AD593" s="90"/>
      <c r="AE593" s="24"/>
      <c r="AF593" s="24"/>
      <c r="AG593" s="24"/>
      <c r="AH593" s="24"/>
      <c r="AI593" s="24"/>
      <c r="AJ593" s="24"/>
      <c r="AK593" s="24"/>
    </row>
    <row r="594" spans="1:37" x14ac:dyDescent="0.25">
      <c r="A594" s="24"/>
      <c r="B594" s="90"/>
      <c r="C594" s="92"/>
      <c r="D594" s="24"/>
      <c r="E594" s="90"/>
      <c r="F594" s="90"/>
      <c r="G594" s="24"/>
      <c r="H594" s="90"/>
      <c r="I594" s="24"/>
      <c r="J594" s="90"/>
      <c r="K594" s="90"/>
      <c r="L594" s="24"/>
      <c r="M594" s="123"/>
      <c r="N594" s="124"/>
      <c r="O594" s="124"/>
      <c r="P594" s="124"/>
      <c r="Q594" s="123"/>
      <c r="R594" s="124"/>
      <c r="S594" s="124"/>
      <c r="T594" s="124"/>
      <c r="U594" s="123"/>
      <c r="V594" s="124"/>
      <c r="W594" s="124"/>
      <c r="X594" s="124"/>
      <c r="Y594" s="90"/>
      <c r="Z594" s="90"/>
      <c r="AA594" s="90"/>
      <c r="AB594" s="90"/>
      <c r="AC594" s="24"/>
      <c r="AD594" s="90"/>
      <c r="AE594" s="24"/>
      <c r="AF594" s="24"/>
      <c r="AG594" s="24"/>
      <c r="AH594" s="24"/>
      <c r="AI594" s="24"/>
      <c r="AJ594" s="24"/>
      <c r="AK594" s="24"/>
    </row>
    <row r="595" spans="1:37" x14ac:dyDescent="0.25">
      <c r="A595" s="24"/>
      <c r="B595" s="90"/>
      <c r="C595" s="92"/>
      <c r="D595" s="24"/>
      <c r="E595" s="90"/>
      <c r="F595" s="90"/>
      <c r="G595" s="24"/>
      <c r="H595" s="90"/>
      <c r="I595" s="24"/>
      <c r="J595" s="90"/>
      <c r="K595" s="90"/>
      <c r="L595" s="24"/>
      <c r="M595" s="123"/>
      <c r="N595" s="124"/>
      <c r="O595" s="124"/>
      <c r="P595" s="124"/>
      <c r="Q595" s="123"/>
      <c r="R595" s="124"/>
      <c r="S595" s="124"/>
      <c r="T595" s="124"/>
      <c r="U595" s="123"/>
      <c r="V595" s="124"/>
      <c r="W595" s="124"/>
      <c r="X595" s="124"/>
      <c r="Y595" s="90"/>
      <c r="Z595" s="90"/>
      <c r="AA595" s="90"/>
      <c r="AB595" s="90"/>
      <c r="AC595" s="24"/>
      <c r="AD595" s="90"/>
      <c r="AE595" s="24"/>
      <c r="AF595" s="24"/>
      <c r="AG595" s="24"/>
      <c r="AH595" s="24"/>
      <c r="AI595" s="24"/>
      <c r="AJ595" s="24"/>
      <c r="AK595" s="24"/>
    </row>
    <row r="596" spans="1:37" x14ac:dyDescent="0.25">
      <c r="A596" s="24"/>
      <c r="B596" s="90"/>
      <c r="C596" s="92"/>
      <c r="D596" s="24"/>
      <c r="E596" s="90"/>
      <c r="F596" s="90"/>
      <c r="G596" s="24"/>
      <c r="H596" s="90"/>
      <c r="I596" s="24"/>
      <c r="J596" s="90"/>
      <c r="K596" s="90"/>
      <c r="L596" s="24"/>
      <c r="M596" s="123"/>
      <c r="N596" s="124"/>
      <c r="O596" s="124"/>
      <c r="P596" s="124"/>
      <c r="Q596" s="123"/>
      <c r="R596" s="124"/>
      <c r="S596" s="124"/>
      <c r="T596" s="124"/>
      <c r="U596" s="123"/>
      <c r="V596" s="124"/>
      <c r="W596" s="124"/>
      <c r="X596" s="124"/>
      <c r="Y596" s="90"/>
      <c r="Z596" s="90"/>
      <c r="AA596" s="90"/>
      <c r="AB596" s="90"/>
      <c r="AC596" s="24"/>
      <c r="AD596" s="90"/>
      <c r="AE596" s="24"/>
      <c r="AF596" s="24"/>
      <c r="AG596" s="24"/>
      <c r="AH596" s="24"/>
      <c r="AI596" s="24"/>
      <c r="AJ596" s="24"/>
      <c r="AK596" s="24"/>
    </row>
    <row r="597" spans="1:37" s="24" customFormat="1" x14ac:dyDescent="0.25">
      <c r="B597" s="90"/>
      <c r="C597" s="92"/>
      <c r="E597" s="90"/>
      <c r="F597" s="90"/>
      <c r="H597" s="90"/>
      <c r="J597" s="90"/>
      <c r="K597" s="90"/>
      <c r="M597" s="123"/>
      <c r="N597" s="124"/>
      <c r="O597" s="124"/>
      <c r="P597" s="124"/>
      <c r="Q597" s="123"/>
      <c r="R597" s="124"/>
      <c r="S597" s="124"/>
      <c r="T597" s="124"/>
      <c r="U597" s="123"/>
      <c r="V597" s="124"/>
      <c r="W597" s="124"/>
      <c r="X597" s="124"/>
      <c r="Y597" s="90"/>
      <c r="Z597" s="90"/>
      <c r="AA597" s="90"/>
      <c r="AB597" s="90"/>
      <c r="AD597" s="90"/>
    </row>
    <row r="598" spans="1:37" s="24" customFormat="1" x14ac:dyDescent="0.25">
      <c r="B598" s="90"/>
      <c r="C598" s="92"/>
      <c r="E598" s="90"/>
      <c r="F598" s="90"/>
      <c r="J598" s="90"/>
      <c r="L598" s="90"/>
      <c r="M598" s="123"/>
      <c r="N598" s="124"/>
      <c r="O598" s="124"/>
      <c r="P598" s="124"/>
      <c r="Q598" s="123"/>
      <c r="R598" s="124"/>
      <c r="S598" s="124"/>
      <c r="T598" s="124"/>
      <c r="U598" s="123"/>
      <c r="V598" s="124"/>
      <c r="W598" s="124"/>
      <c r="X598" s="124"/>
      <c r="Y598" s="90"/>
      <c r="Z598" s="90"/>
      <c r="AA598" s="90"/>
      <c r="AB598" s="90"/>
      <c r="AC598" s="90"/>
      <c r="AD598" s="90"/>
    </row>
    <row r="599" spans="1:37" s="24" customFormat="1" x14ac:dyDescent="0.25">
      <c r="B599" s="90"/>
      <c r="C599" s="92"/>
      <c r="E599" s="90"/>
      <c r="F599" s="90"/>
      <c r="J599" s="90"/>
      <c r="L599" s="90"/>
      <c r="M599" s="123"/>
      <c r="N599" s="124"/>
      <c r="O599" s="124"/>
      <c r="P599" s="124"/>
      <c r="Q599" s="123"/>
      <c r="R599" s="124"/>
      <c r="S599" s="124"/>
      <c r="T599" s="124"/>
      <c r="U599" s="123"/>
      <c r="V599" s="124"/>
      <c r="W599" s="124"/>
      <c r="X599" s="124"/>
      <c r="Y599" s="90"/>
      <c r="Z599" s="90"/>
      <c r="AA599" s="90"/>
      <c r="AB599" s="90"/>
      <c r="AC599" s="90"/>
      <c r="AD599" s="90"/>
    </row>
    <row r="600" spans="1:37" s="24" customFormat="1" x14ac:dyDescent="0.25">
      <c r="B600" s="90"/>
      <c r="C600" s="92"/>
      <c r="E600" s="90"/>
      <c r="F600" s="90"/>
      <c r="J600" s="90"/>
      <c r="L600" s="90"/>
      <c r="M600" s="123"/>
      <c r="N600" s="124"/>
      <c r="O600" s="124"/>
      <c r="P600" s="124"/>
      <c r="Q600" s="123"/>
      <c r="R600" s="124"/>
      <c r="S600" s="124"/>
      <c r="T600" s="124"/>
      <c r="U600" s="123"/>
      <c r="V600" s="124"/>
      <c r="W600" s="124"/>
      <c r="X600" s="124"/>
      <c r="Y600" s="90"/>
      <c r="Z600" s="90"/>
      <c r="AA600" s="90"/>
      <c r="AB600" s="90"/>
      <c r="AC600" s="90"/>
      <c r="AD600" s="90"/>
    </row>
    <row r="601" spans="1:37" s="24" customFormat="1" x14ac:dyDescent="0.25">
      <c r="B601" s="90"/>
      <c r="C601" s="92"/>
      <c r="E601" s="90"/>
      <c r="F601" s="90"/>
      <c r="H601" s="90"/>
      <c r="J601" s="90"/>
      <c r="K601" s="90"/>
      <c r="L601" s="90"/>
      <c r="M601" s="123"/>
      <c r="N601" s="124"/>
      <c r="O601" s="124"/>
      <c r="P601" s="124"/>
      <c r="Q601" s="123"/>
      <c r="R601" s="124"/>
      <c r="S601" s="124"/>
      <c r="T601" s="124"/>
      <c r="U601" s="123"/>
      <c r="V601" s="124"/>
      <c r="W601" s="124"/>
      <c r="X601" s="124"/>
      <c r="Y601" s="90"/>
      <c r="Z601" s="90"/>
      <c r="AA601" s="90"/>
      <c r="AB601" s="90"/>
      <c r="AD601" s="90"/>
    </row>
    <row r="602" spans="1:37" s="24" customFormat="1" x14ac:dyDescent="0.25">
      <c r="B602" s="90"/>
      <c r="C602" s="92"/>
      <c r="E602" s="90"/>
      <c r="F602" s="90"/>
      <c r="H602" s="90"/>
      <c r="J602" s="90"/>
      <c r="K602" s="90"/>
      <c r="L602" s="90"/>
      <c r="M602" s="123"/>
      <c r="N602" s="124"/>
      <c r="O602" s="124"/>
      <c r="P602" s="124"/>
      <c r="Q602" s="123"/>
      <c r="R602" s="124"/>
      <c r="S602" s="124"/>
      <c r="T602" s="124"/>
      <c r="U602" s="123"/>
      <c r="V602" s="124"/>
      <c r="W602" s="124"/>
      <c r="X602" s="124"/>
      <c r="Y602" s="90"/>
      <c r="Z602" s="90"/>
      <c r="AA602" s="90"/>
      <c r="AB602" s="90"/>
      <c r="AD602" s="90"/>
    </row>
    <row r="603" spans="1:37" s="24" customFormat="1" x14ac:dyDescent="0.25">
      <c r="B603" s="90"/>
      <c r="C603" s="92"/>
      <c r="E603" s="90"/>
      <c r="F603" s="90"/>
      <c r="H603" s="90"/>
      <c r="J603" s="90"/>
      <c r="K603" s="90"/>
      <c r="L603" s="90"/>
      <c r="M603" s="123"/>
      <c r="N603" s="124"/>
      <c r="O603" s="124"/>
      <c r="P603" s="124"/>
      <c r="Q603" s="123"/>
      <c r="R603" s="124"/>
      <c r="S603" s="124"/>
      <c r="T603" s="124"/>
      <c r="U603" s="123"/>
      <c r="V603" s="124"/>
      <c r="W603" s="124"/>
      <c r="X603" s="124"/>
      <c r="Y603" s="90"/>
      <c r="Z603" s="90"/>
      <c r="AA603" s="90"/>
      <c r="AB603" s="90"/>
      <c r="AD603" s="90"/>
    </row>
    <row r="604" spans="1:37" s="24" customFormat="1" x14ac:dyDescent="0.25">
      <c r="B604" s="90"/>
      <c r="C604" s="92"/>
      <c r="E604" s="90"/>
      <c r="F604" s="90"/>
      <c r="H604" s="90"/>
      <c r="J604" s="90"/>
      <c r="K604" s="90"/>
      <c r="L604" s="90"/>
      <c r="M604" s="123"/>
      <c r="N604" s="124"/>
      <c r="O604" s="124"/>
      <c r="P604" s="124"/>
      <c r="Q604" s="123"/>
      <c r="R604" s="124"/>
      <c r="S604" s="124"/>
      <c r="T604" s="124"/>
      <c r="U604" s="123"/>
      <c r="V604" s="124"/>
      <c r="W604" s="124"/>
      <c r="X604" s="124"/>
      <c r="Y604" s="90"/>
      <c r="Z604" s="90"/>
      <c r="AA604" s="90"/>
      <c r="AB604" s="90"/>
      <c r="AD604" s="90"/>
    </row>
    <row r="605" spans="1:37" s="24" customFormat="1" x14ac:dyDescent="0.25">
      <c r="B605" s="90"/>
      <c r="C605" s="92"/>
      <c r="E605" s="90"/>
      <c r="F605" s="90"/>
      <c r="H605" s="90"/>
      <c r="J605" s="90"/>
      <c r="K605" s="90"/>
      <c r="L605" s="90"/>
      <c r="M605" s="123"/>
      <c r="N605" s="124"/>
      <c r="O605" s="124"/>
      <c r="P605" s="124"/>
      <c r="Q605" s="123"/>
      <c r="R605" s="124"/>
      <c r="S605" s="124"/>
      <c r="T605" s="124"/>
      <c r="U605" s="123"/>
      <c r="V605" s="124"/>
      <c r="W605" s="124"/>
      <c r="X605" s="124"/>
      <c r="Y605" s="90"/>
      <c r="Z605" s="90"/>
      <c r="AA605" s="90"/>
      <c r="AB605" s="90"/>
      <c r="AD605" s="90"/>
    </row>
    <row r="606" spans="1:37" s="24" customFormat="1" x14ac:dyDescent="0.25">
      <c r="B606" s="90"/>
      <c r="C606" s="92"/>
      <c r="E606" s="90"/>
      <c r="F606" s="90"/>
      <c r="H606" s="90"/>
      <c r="J606" s="90"/>
      <c r="K606" s="90"/>
      <c r="L606" s="90"/>
      <c r="M606" s="123"/>
      <c r="N606" s="124"/>
      <c r="O606" s="124"/>
      <c r="P606" s="124"/>
      <c r="Q606" s="123"/>
      <c r="R606" s="124"/>
      <c r="S606" s="124"/>
      <c r="T606" s="124"/>
      <c r="U606" s="123"/>
      <c r="V606" s="124"/>
      <c r="W606" s="124"/>
      <c r="X606" s="124"/>
      <c r="Y606" s="90"/>
      <c r="Z606" s="90"/>
      <c r="AA606" s="90"/>
      <c r="AB606" s="90"/>
      <c r="AD606" s="90"/>
    </row>
    <row r="607" spans="1:37" s="24" customFormat="1" x14ac:dyDescent="0.25">
      <c r="B607" s="90"/>
      <c r="C607" s="92"/>
      <c r="E607" s="90"/>
      <c r="F607" s="90"/>
      <c r="H607" s="90"/>
      <c r="J607" s="90"/>
      <c r="K607" s="90"/>
      <c r="L607" s="90"/>
      <c r="M607" s="123"/>
      <c r="N607" s="124"/>
      <c r="O607" s="124"/>
      <c r="P607" s="124"/>
      <c r="Q607" s="123"/>
      <c r="R607" s="124"/>
      <c r="S607" s="124"/>
      <c r="T607" s="124"/>
      <c r="U607" s="123"/>
      <c r="V607" s="124"/>
      <c r="W607" s="124"/>
      <c r="X607" s="124"/>
      <c r="Y607" s="90"/>
      <c r="Z607" s="90"/>
      <c r="AA607" s="90"/>
      <c r="AB607" s="90"/>
      <c r="AD607" s="90"/>
    </row>
    <row r="608" spans="1:37" s="24" customFormat="1" x14ac:dyDescent="0.25">
      <c r="B608" s="90"/>
      <c r="C608" s="92"/>
      <c r="E608" s="90"/>
      <c r="F608" s="90"/>
      <c r="H608" s="90"/>
      <c r="J608" s="90"/>
      <c r="K608" s="90"/>
      <c r="L608" s="90"/>
      <c r="M608" s="123"/>
      <c r="N608" s="124"/>
      <c r="O608" s="124"/>
      <c r="P608" s="124"/>
      <c r="Q608" s="123"/>
      <c r="R608" s="124"/>
      <c r="S608" s="124"/>
      <c r="T608" s="124"/>
      <c r="U608" s="123"/>
      <c r="V608" s="124"/>
      <c r="W608" s="124"/>
      <c r="X608" s="124"/>
      <c r="Y608" s="90"/>
      <c r="Z608" s="90"/>
      <c r="AA608" s="90"/>
      <c r="AB608" s="90"/>
      <c r="AD608" s="90"/>
    </row>
    <row r="609" spans="1:37" s="24" customFormat="1" x14ac:dyDescent="0.25">
      <c r="B609" s="90"/>
      <c r="C609" s="92"/>
      <c r="E609" s="90"/>
      <c r="F609" s="90"/>
      <c r="H609" s="90"/>
      <c r="J609" s="90"/>
      <c r="K609" s="90"/>
      <c r="L609" s="90"/>
      <c r="M609" s="123"/>
      <c r="N609" s="124"/>
      <c r="O609" s="124"/>
      <c r="P609" s="124"/>
      <c r="Q609" s="123"/>
      <c r="R609" s="124"/>
      <c r="S609" s="124"/>
      <c r="T609" s="124"/>
      <c r="U609" s="123"/>
      <c r="V609" s="124"/>
      <c r="W609" s="124"/>
      <c r="X609" s="124"/>
      <c r="Y609" s="90"/>
      <c r="Z609" s="90"/>
      <c r="AA609" s="90"/>
      <c r="AB609" s="90"/>
      <c r="AD609" s="90"/>
    </row>
    <row r="610" spans="1:37" s="24" customFormat="1" x14ac:dyDescent="0.25">
      <c r="B610" s="90"/>
      <c r="C610" s="92"/>
      <c r="E610" s="90"/>
      <c r="F610" s="90"/>
      <c r="H610" s="90"/>
      <c r="J610" s="90"/>
      <c r="K610" s="90"/>
      <c r="L610" s="90"/>
      <c r="M610" s="123"/>
      <c r="N610" s="124"/>
      <c r="O610" s="124"/>
      <c r="P610" s="124"/>
      <c r="Q610" s="123"/>
      <c r="R610" s="124"/>
      <c r="S610" s="124"/>
      <c r="T610" s="124"/>
      <c r="U610" s="123"/>
      <c r="V610" s="124"/>
      <c r="W610" s="124"/>
      <c r="X610" s="124"/>
      <c r="Y610" s="90"/>
      <c r="Z610" s="90"/>
      <c r="AA610" s="90"/>
      <c r="AB610" s="90"/>
      <c r="AD610" s="90"/>
    </row>
    <row r="611" spans="1:37" s="24" customFormat="1" x14ac:dyDescent="0.25">
      <c r="B611" s="90"/>
      <c r="C611" s="92"/>
      <c r="E611" s="90"/>
      <c r="F611" s="90"/>
      <c r="H611" s="90"/>
      <c r="J611" s="90"/>
      <c r="K611" s="90"/>
      <c r="L611" s="90"/>
      <c r="M611" s="123"/>
      <c r="N611" s="124"/>
      <c r="O611" s="124"/>
      <c r="P611" s="124"/>
      <c r="Q611" s="123"/>
      <c r="R611" s="124"/>
      <c r="S611" s="124"/>
      <c r="T611" s="124"/>
      <c r="U611" s="123"/>
      <c r="V611" s="124"/>
      <c r="W611" s="124"/>
      <c r="X611" s="124"/>
      <c r="Y611" s="90"/>
      <c r="Z611" s="90"/>
      <c r="AA611" s="90"/>
      <c r="AB611" s="90"/>
      <c r="AD611" s="90"/>
    </row>
    <row r="612" spans="1:37" x14ac:dyDescent="0.25">
      <c r="A612" s="24"/>
      <c r="B612" s="90"/>
      <c r="C612" s="92"/>
      <c r="D612" s="24"/>
      <c r="E612" s="90"/>
      <c r="F612" s="90"/>
      <c r="G612" s="24"/>
      <c r="H612" s="90"/>
      <c r="I612" s="24"/>
      <c r="J612" s="90"/>
      <c r="K612" s="90"/>
      <c r="L612" s="90"/>
      <c r="M612" s="123"/>
      <c r="N612" s="124"/>
      <c r="O612" s="124"/>
      <c r="P612" s="124"/>
      <c r="Q612" s="123"/>
      <c r="R612" s="124"/>
      <c r="S612" s="124"/>
      <c r="T612" s="124"/>
      <c r="U612" s="123"/>
      <c r="V612" s="124"/>
      <c r="W612" s="124"/>
      <c r="X612" s="124"/>
      <c r="Y612" s="90"/>
      <c r="Z612" s="90"/>
      <c r="AA612" s="90"/>
      <c r="AB612" s="90"/>
      <c r="AC612" s="24"/>
      <c r="AD612" s="90"/>
      <c r="AE612" s="24"/>
      <c r="AF612" s="24"/>
      <c r="AG612" s="24"/>
      <c r="AH612" s="24"/>
      <c r="AI612" s="24"/>
      <c r="AJ612" s="24"/>
      <c r="AK612" s="24"/>
    </row>
    <row r="613" spans="1:37" x14ac:dyDescent="0.25">
      <c r="A613" s="24"/>
      <c r="B613" s="90"/>
      <c r="C613" s="92"/>
      <c r="D613" s="24"/>
      <c r="E613" s="90"/>
      <c r="F613" s="90"/>
      <c r="G613" s="24"/>
      <c r="H613" s="90"/>
      <c r="I613" s="24"/>
      <c r="J613" s="90"/>
      <c r="K613" s="90"/>
      <c r="L613" s="90"/>
      <c r="M613" s="123"/>
      <c r="N613" s="124"/>
      <c r="O613" s="124"/>
      <c r="P613" s="124"/>
      <c r="Q613" s="123"/>
      <c r="R613" s="124"/>
      <c r="S613" s="124"/>
      <c r="T613" s="124"/>
      <c r="U613" s="123"/>
      <c r="V613" s="124"/>
      <c r="W613" s="124"/>
      <c r="X613" s="124"/>
      <c r="Y613" s="90"/>
      <c r="Z613" s="90"/>
      <c r="AA613" s="90"/>
      <c r="AB613" s="90"/>
      <c r="AC613" s="24"/>
      <c r="AD613" s="90"/>
      <c r="AE613" s="24"/>
      <c r="AF613" s="24"/>
      <c r="AG613" s="24"/>
      <c r="AH613" s="24"/>
      <c r="AI613" s="24"/>
      <c r="AJ613" s="24"/>
      <c r="AK613" s="24"/>
    </row>
    <row r="614" spans="1:37" x14ac:dyDescent="0.25">
      <c r="A614" s="24"/>
      <c r="B614" s="90"/>
      <c r="C614" s="92"/>
      <c r="D614" s="24"/>
      <c r="E614" s="90"/>
      <c r="F614" s="90"/>
      <c r="G614" s="24"/>
      <c r="H614" s="90"/>
      <c r="I614" s="24"/>
      <c r="J614" s="90"/>
      <c r="K614" s="90"/>
      <c r="L614" s="90"/>
      <c r="M614" s="123"/>
      <c r="N614" s="124"/>
      <c r="O614" s="124"/>
      <c r="P614" s="124"/>
      <c r="Q614" s="123"/>
      <c r="R614" s="124"/>
      <c r="S614" s="124"/>
      <c r="T614" s="124"/>
      <c r="U614" s="123"/>
      <c r="V614" s="124"/>
      <c r="W614" s="124"/>
      <c r="X614" s="124"/>
      <c r="Y614" s="90"/>
      <c r="Z614" s="90"/>
      <c r="AA614" s="90"/>
      <c r="AB614" s="90"/>
      <c r="AC614" s="24"/>
      <c r="AD614" s="90"/>
      <c r="AE614" s="24"/>
      <c r="AF614" s="24"/>
      <c r="AG614" s="24"/>
      <c r="AH614" s="24"/>
      <c r="AI614" s="24"/>
      <c r="AJ614" s="24"/>
      <c r="AK614" s="24"/>
    </row>
    <row r="615" spans="1:37" x14ac:dyDescent="0.25">
      <c r="A615" s="24"/>
      <c r="B615" s="90"/>
      <c r="C615" s="92"/>
      <c r="D615" s="24"/>
      <c r="E615" s="90"/>
      <c r="F615" s="90"/>
      <c r="G615" s="24"/>
      <c r="H615" s="90"/>
      <c r="I615" s="24"/>
      <c r="J615" s="90"/>
      <c r="K615" s="90"/>
      <c r="L615" s="90"/>
      <c r="M615" s="123"/>
      <c r="N615" s="124"/>
      <c r="O615" s="124"/>
      <c r="P615" s="124"/>
      <c r="Q615" s="123"/>
      <c r="R615" s="124"/>
      <c r="S615" s="124"/>
      <c r="T615" s="124"/>
      <c r="U615" s="123"/>
      <c r="V615" s="124"/>
      <c r="W615" s="124"/>
      <c r="X615" s="124"/>
      <c r="Y615" s="90"/>
      <c r="Z615" s="90"/>
      <c r="AA615" s="90"/>
      <c r="AB615" s="90"/>
      <c r="AC615" s="24"/>
      <c r="AD615" s="90"/>
      <c r="AE615" s="24"/>
      <c r="AF615" s="24"/>
      <c r="AG615" s="24"/>
      <c r="AH615" s="24"/>
      <c r="AI615" s="24"/>
      <c r="AJ615" s="24"/>
      <c r="AK615" s="24"/>
    </row>
    <row r="616" spans="1:37" x14ac:dyDescent="0.25">
      <c r="A616" s="24"/>
      <c r="B616" s="90"/>
      <c r="C616" s="92"/>
      <c r="D616" s="24"/>
      <c r="E616" s="90"/>
      <c r="F616" s="90"/>
      <c r="G616" s="24"/>
      <c r="H616" s="90"/>
      <c r="I616" s="24"/>
      <c r="J616" s="90"/>
      <c r="K616" s="90"/>
      <c r="L616" s="90"/>
      <c r="M616" s="123"/>
      <c r="N616" s="124"/>
      <c r="O616" s="124"/>
      <c r="P616" s="124"/>
      <c r="Q616" s="123"/>
      <c r="R616" s="124"/>
      <c r="S616" s="124"/>
      <c r="T616" s="124"/>
      <c r="U616" s="123"/>
      <c r="V616" s="124"/>
      <c r="W616" s="124"/>
      <c r="X616" s="124"/>
      <c r="Y616" s="90"/>
      <c r="Z616" s="90"/>
      <c r="AA616" s="90"/>
      <c r="AB616" s="90"/>
      <c r="AC616" s="24"/>
      <c r="AD616" s="90"/>
      <c r="AE616" s="24"/>
      <c r="AF616" s="24"/>
      <c r="AG616" s="24"/>
      <c r="AH616" s="24"/>
      <c r="AI616" s="24"/>
      <c r="AJ616" s="24"/>
      <c r="AK616" s="24"/>
    </row>
    <row r="617" spans="1:37" x14ac:dyDescent="0.25">
      <c r="A617" s="24"/>
      <c r="B617" s="90"/>
      <c r="C617" s="92"/>
      <c r="D617" s="24"/>
      <c r="E617" s="90"/>
      <c r="F617" s="90"/>
      <c r="G617" s="24"/>
      <c r="H617" s="90"/>
      <c r="I617" s="24"/>
      <c r="J617" s="90"/>
      <c r="K617" s="90"/>
      <c r="L617" s="24"/>
      <c r="M617" s="123"/>
      <c r="N617" s="124"/>
      <c r="O617" s="124"/>
      <c r="P617" s="124"/>
      <c r="Q617" s="123"/>
      <c r="R617" s="124"/>
      <c r="S617" s="124"/>
      <c r="T617" s="124"/>
      <c r="U617" s="123"/>
      <c r="V617" s="124"/>
      <c r="W617" s="124"/>
      <c r="X617" s="124"/>
      <c r="Y617" s="90"/>
      <c r="Z617" s="90"/>
      <c r="AA617" s="90"/>
      <c r="AB617" s="90"/>
      <c r="AC617" s="24"/>
      <c r="AD617" s="90"/>
      <c r="AE617" s="24"/>
      <c r="AF617" s="24"/>
      <c r="AG617" s="24"/>
      <c r="AH617" s="24"/>
      <c r="AI617" s="24"/>
      <c r="AJ617" s="24"/>
      <c r="AK617" s="24"/>
    </row>
    <row r="618" spans="1:37" s="24" customFormat="1" x14ac:dyDescent="0.25">
      <c r="B618" s="90"/>
      <c r="C618" s="92"/>
      <c r="E618" s="90"/>
      <c r="F618" s="90"/>
      <c r="H618" s="90"/>
      <c r="J618" s="90"/>
      <c r="K618" s="90"/>
      <c r="M618" s="123"/>
      <c r="N618" s="124"/>
      <c r="O618" s="124"/>
      <c r="P618" s="124"/>
      <c r="Q618" s="123"/>
      <c r="R618" s="124"/>
      <c r="S618" s="124"/>
      <c r="T618" s="124"/>
      <c r="U618" s="123"/>
      <c r="V618" s="124"/>
      <c r="W618" s="124"/>
      <c r="X618" s="124"/>
      <c r="Y618" s="90"/>
      <c r="Z618" s="90"/>
      <c r="AA618" s="90"/>
      <c r="AB618" s="90"/>
      <c r="AD618" s="90"/>
    </row>
    <row r="619" spans="1:37" x14ac:dyDescent="0.25">
      <c r="A619" s="24"/>
      <c r="B619" s="90"/>
      <c r="C619" s="92"/>
      <c r="D619" s="24"/>
      <c r="E619" s="90"/>
      <c r="F619" s="90"/>
      <c r="G619" s="24"/>
      <c r="H619" s="90"/>
      <c r="I619" s="24"/>
      <c r="J619" s="90"/>
      <c r="K619" s="90"/>
      <c r="L619" s="24"/>
      <c r="M619" s="123"/>
      <c r="N619" s="124"/>
      <c r="O619" s="124"/>
      <c r="P619" s="124"/>
      <c r="Q619" s="123"/>
      <c r="R619" s="124"/>
      <c r="S619" s="124"/>
      <c r="T619" s="124"/>
      <c r="U619" s="123"/>
      <c r="V619" s="124"/>
      <c r="W619" s="124"/>
      <c r="X619" s="124"/>
      <c r="Y619" s="90"/>
      <c r="Z619" s="90"/>
      <c r="AA619" s="90"/>
      <c r="AB619" s="90"/>
      <c r="AC619" s="24"/>
      <c r="AD619" s="90"/>
      <c r="AE619" s="24"/>
      <c r="AF619" s="24"/>
      <c r="AG619" s="24"/>
      <c r="AH619" s="24"/>
      <c r="AI619" s="24"/>
      <c r="AJ619" s="24"/>
      <c r="AK619" s="24"/>
    </row>
    <row r="620" spans="1:37" x14ac:dyDescent="0.25">
      <c r="A620" s="24"/>
      <c r="B620" s="90"/>
      <c r="C620" s="92"/>
      <c r="D620" s="24"/>
      <c r="E620" s="90"/>
      <c r="F620" s="90"/>
      <c r="G620" s="24"/>
      <c r="H620" s="90"/>
      <c r="I620" s="24"/>
      <c r="J620" s="90"/>
      <c r="K620" s="90"/>
      <c r="L620" s="24"/>
      <c r="M620" s="123"/>
      <c r="N620" s="124"/>
      <c r="O620" s="124"/>
      <c r="P620" s="124"/>
      <c r="Q620" s="123"/>
      <c r="R620" s="124"/>
      <c r="S620" s="124"/>
      <c r="T620" s="124"/>
      <c r="U620" s="123"/>
      <c r="V620" s="124"/>
      <c r="W620" s="124"/>
      <c r="X620" s="124"/>
      <c r="Y620" s="90"/>
      <c r="Z620" s="90"/>
      <c r="AA620" s="90"/>
      <c r="AB620" s="90"/>
      <c r="AC620" s="24"/>
      <c r="AD620" s="90"/>
      <c r="AE620" s="24"/>
      <c r="AF620" s="24"/>
      <c r="AG620" s="24"/>
      <c r="AH620" s="24"/>
      <c r="AI620" s="24"/>
      <c r="AJ620" s="24"/>
      <c r="AK620" s="24"/>
    </row>
    <row r="621" spans="1:37" x14ac:dyDescent="0.25">
      <c r="A621" s="24"/>
      <c r="B621" s="90"/>
      <c r="C621" s="92"/>
      <c r="D621" s="24"/>
      <c r="E621" s="90"/>
      <c r="F621" s="90"/>
      <c r="G621" s="24"/>
      <c r="H621" s="90"/>
      <c r="I621" s="24"/>
      <c r="J621" s="90"/>
      <c r="K621" s="90"/>
      <c r="L621" s="24"/>
      <c r="M621" s="123"/>
      <c r="N621" s="124"/>
      <c r="O621" s="124"/>
      <c r="P621" s="124"/>
      <c r="Q621" s="123"/>
      <c r="R621" s="124"/>
      <c r="S621" s="124"/>
      <c r="T621" s="124"/>
      <c r="U621" s="123"/>
      <c r="V621" s="124"/>
      <c r="W621" s="124"/>
      <c r="X621" s="124"/>
      <c r="Y621" s="90"/>
      <c r="Z621" s="90"/>
      <c r="AA621" s="90"/>
      <c r="AB621" s="90"/>
      <c r="AC621" s="24"/>
      <c r="AD621" s="90"/>
      <c r="AE621" s="24"/>
      <c r="AF621" s="24"/>
      <c r="AG621" s="24"/>
      <c r="AH621" s="24"/>
      <c r="AI621" s="24"/>
      <c r="AJ621" s="24"/>
      <c r="AK621" s="24"/>
    </row>
    <row r="622" spans="1:37" x14ac:dyDescent="0.25">
      <c r="A622" s="24"/>
      <c r="B622" s="90"/>
      <c r="C622" s="92"/>
      <c r="D622" s="24"/>
      <c r="E622" s="90"/>
      <c r="F622" s="90"/>
      <c r="G622" s="24"/>
      <c r="H622" s="90"/>
      <c r="I622" s="24"/>
      <c r="J622" s="90"/>
      <c r="K622" s="90"/>
      <c r="L622" s="24"/>
      <c r="M622" s="123"/>
      <c r="N622" s="124"/>
      <c r="O622" s="124"/>
      <c r="P622" s="124"/>
      <c r="Q622" s="123"/>
      <c r="R622" s="124"/>
      <c r="S622" s="124"/>
      <c r="T622" s="124"/>
      <c r="U622" s="123"/>
      <c r="V622" s="124"/>
      <c r="W622" s="124"/>
      <c r="X622" s="124"/>
      <c r="Y622" s="90"/>
      <c r="Z622" s="90"/>
      <c r="AA622" s="90"/>
      <c r="AB622" s="90"/>
      <c r="AC622" s="24"/>
      <c r="AD622" s="90"/>
      <c r="AE622" s="24"/>
      <c r="AF622" s="24"/>
      <c r="AG622" s="24"/>
      <c r="AH622" s="24"/>
      <c r="AI622" s="24"/>
      <c r="AJ622" s="24"/>
      <c r="AK622" s="24"/>
    </row>
    <row r="623" spans="1:37" x14ac:dyDescent="0.25">
      <c r="A623" s="24"/>
      <c r="B623" s="90"/>
      <c r="C623" s="92"/>
      <c r="D623" s="24"/>
      <c r="E623" s="90"/>
      <c r="F623" s="90"/>
      <c r="G623" s="24"/>
      <c r="H623" s="90"/>
      <c r="I623" s="24"/>
      <c r="J623" s="90"/>
      <c r="K623" s="90"/>
      <c r="L623" s="24"/>
      <c r="M623" s="123"/>
      <c r="N623" s="124"/>
      <c r="O623" s="124"/>
      <c r="P623" s="124"/>
      <c r="Q623" s="123"/>
      <c r="R623" s="124"/>
      <c r="S623" s="124"/>
      <c r="T623" s="124"/>
      <c r="U623" s="123"/>
      <c r="V623" s="124"/>
      <c r="W623" s="124"/>
      <c r="X623" s="124"/>
      <c r="Y623" s="90"/>
      <c r="Z623" s="90"/>
      <c r="AA623" s="90"/>
      <c r="AB623" s="90"/>
      <c r="AC623" s="24"/>
      <c r="AD623" s="90"/>
      <c r="AE623" s="24"/>
      <c r="AF623" s="24"/>
      <c r="AG623" s="24"/>
      <c r="AH623" s="24"/>
      <c r="AI623" s="24"/>
      <c r="AJ623" s="24"/>
      <c r="AK623" s="24"/>
    </row>
    <row r="624" spans="1:37" x14ac:dyDescent="0.25">
      <c r="A624" s="24"/>
      <c r="B624" s="90"/>
      <c r="C624" s="92"/>
      <c r="D624" s="24"/>
      <c r="E624" s="90"/>
      <c r="F624" s="90"/>
      <c r="G624" s="24"/>
      <c r="H624" s="90"/>
      <c r="I624" s="24"/>
      <c r="J624" s="90"/>
      <c r="K624" s="90"/>
      <c r="L624" s="24"/>
      <c r="M624" s="123"/>
      <c r="N624" s="124"/>
      <c r="O624" s="124"/>
      <c r="P624" s="124"/>
      <c r="Q624" s="123"/>
      <c r="R624" s="124"/>
      <c r="S624" s="124"/>
      <c r="T624" s="124"/>
      <c r="U624" s="123"/>
      <c r="V624" s="124"/>
      <c r="W624" s="124"/>
      <c r="X624" s="124"/>
      <c r="Y624" s="90"/>
      <c r="Z624" s="90"/>
      <c r="AA624" s="90"/>
      <c r="AB624" s="90"/>
      <c r="AC624" s="24"/>
      <c r="AD624" s="90"/>
      <c r="AE624" s="24"/>
      <c r="AF624" s="24"/>
      <c r="AG624" s="24"/>
      <c r="AH624" s="24"/>
      <c r="AI624" s="24"/>
      <c r="AJ624" s="24"/>
      <c r="AK624" s="24"/>
    </row>
    <row r="625" spans="1:37" x14ac:dyDescent="0.25">
      <c r="A625" s="24"/>
      <c r="B625" s="90"/>
      <c r="C625" s="92"/>
      <c r="D625" s="24"/>
      <c r="E625" s="90"/>
      <c r="F625" s="90"/>
      <c r="G625" s="24"/>
      <c r="H625" s="90"/>
      <c r="I625" s="24"/>
      <c r="J625" s="90"/>
      <c r="K625" s="90"/>
      <c r="L625" s="24"/>
      <c r="M625" s="123"/>
      <c r="N625" s="124"/>
      <c r="O625" s="124"/>
      <c r="P625" s="124"/>
      <c r="Q625" s="123"/>
      <c r="R625" s="124"/>
      <c r="S625" s="124"/>
      <c r="T625" s="124"/>
      <c r="U625" s="123"/>
      <c r="V625" s="124"/>
      <c r="W625" s="124"/>
      <c r="X625" s="124"/>
      <c r="Y625" s="90"/>
      <c r="Z625" s="90"/>
      <c r="AA625" s="90"/>
      <c r="AB625" s="90"/>
      <c r="AC625" s="24"/>
      <c r="AD625" s="90"/>
      <c r="AE625" s="24"/>
      <c r="AF625" s="24"/>
      <c r="AG625" s="24"/>
      <c r="AH625" s="24"/>
      <c r="AI625" s="24"/>
      <c r="AJ625" s="24"/>
      <c r="AK625" s="24"/>
    </row>
    <row r="626" spans="1:37" x14ac:dyDescent="0.25">
      <c r="A626" s="24"/>
      <c r="B626" s="90"/>
      <c r="C626" s="92"/>
      <c r="D626" s="24"/>
      <c r="E626" s="90"/>
      <c r="F626" s="90"/>
      <c r="G626" s="24"/>
      <c r="H626" s="90"/>
      <c r="I626" s="24"/>
      <c r="J626" s="90"/>
      <c r="K626" s="90"/>
      <c r="L626" s="24"/>
      <c r="M626" s="123"/>
      <c r="N626" s="124"/>
      <c r="O626" s="124"/>
      <c r="P626" s="124"/>
      <c r="Q626" s="123"/>
      <c r="R626" s="124"/>
      <c r="S626" s="124"/>
      <c r="T626" s="124"/>
      <c r="U626" s="123"/>
      <c r="V626" s="124"/>
      <c r="W626" s="124"/>
      <c r="X626" s="124"/>
      <c r="Y626" s="90"/>
      <c r="Z626" s="90"/>
      <c r="AA626" s="90"/>
      <c r="AB626" s="90"/>
      <c r="AC626" s="24"/>
      <c r="AD626" s="90"/>
      <c r="AE626" s="24"/>
      <c r="AF626" s="24"/>
      <c r="AG626" s="24"/>
      <c r="AH626" s="24"/>
      <c r="AI626" s="24"/>
      <c r="AJ626" s="24"/>
      <c r="AK626" s="24"/>
    </row>
    <row r="627" spans="1:37" x14ac:dyDescent="0.25">
      <c r="A627" s="24"/>
      <c r="B627" s="90"/>
      <c r="C627" s="92"/>
      <c r="D627" s="24"/>
      <c r="E627" s="90"/>
      <c r="F627" s="90"/>
      <c r="G627" s="24"/>
      <c r="H627" s="90"/>
      <c r="I627" s="24"/>
      <c r="J627" s="90"/>
      <c r="K627" s="90"/>
      <c r="L627" s="24"/>
      <c r="M627" s="123"/>
      <c r="N627" s="124"/>
      <c r="O627" s="124"/>
      <c r="P627" s="124"/>
      <c r="Q627" s="123"/>
      <c r="R627" s="124"/>
      <c r="S627" s="124"/>
      <c r="T627" s="124"/>
      <c r="U627" s="123"/>
      <c r="V627" s="124"/>
      <c r="W627" s="124"/>
      <c r="X627" s="124"/>
      <c r="Y627" s="90"/>
      <c r="Z627" s="90"/>
      <c r="AA627" s="90"/>
      <c r="AB627" s="90"/>
      <c r="AC627" s="24"/>
      <c r="AD627" s="90"/>
      <c r="AE627" s="24"/>
      <c r="AF627" s="24"/>
      <c r="AG627" s="24"/>
      <c r="AH627" s="24"/>
      <c r="AI627" s="24"/>
      <c r="AJ627" s="24"/>
      <c r="AK627" s="24"/>
    </row>
    <row r="628" spans="1:37" x14ac:dyDescent="0.25">
      <c r="A628" s="24"/>
      <c r="B628" s="90"/>
      <c r="C628" s="92"/>
      <c r="D628" s="24"/>
      <c r="E628" s="90"/>
      <c r="F628" s="90"/>
      <c r="G628" s="24"/>
      <c r="H628" s="90"/>
      <c r="I628" s="24"/>
      <c r="J628" s="90"/>
      <c r="K628" s="90"/>
      <c r="L628" s="24"/>
      <c r="M628" s="123"/>
      <c r="N628" s="124"/>
      <c r="O628" s="124"/>
      <c r="P628" s="124"/>
      <c r="Q628" s="123"/>
      <c r="R628" s="124"/>
      <c r="S628" s="124"/>
      <c r="T628" s="124"/>
      <c r="U628" s="123"/>
      <c r="V628" s="124"/>
      <c r="W628" s="124"/>
      <c r="X628" s="124"/>
      <c r="Y628" s="90"/>
      <c r="Z628" s="90"/>
      <c r="AA628" s="90"/>
      <c r="AB628" s="90"/>
      <c r="AC628" s="24"/>
      <c r="AD628" s="90"/>
      <c r="AE628" s="24"/>
      <c r="AF628" s="24"/>
      <c r="AG628" s="24"/>
      <c r="AH628" s="24"/>
      <c r="AI628" s="24"/>
      <c r="AJ628" s="24"/>
      <c r="AK628" s="24"/>
    </row>
    <row r="629" spans="1:37" x14ac:dyDescent="0.25">
      <c r="A629" s="24"/>
      <c r="B629" s="90"/>
      <c r="C629" s="92"/>
      <c r="D629" s="24"/>
      <c r="E629" s="90"/>
      <c r="F629" s="90"/>
      <c r="G629" s="24"/>
      <c r="H629" s="90"/>
      <c r="I629" s="24"/>
      <c r="J629" s="90"/>
      <c r="K629" s="90"/>
      <c r="L629" s="24"/>
      <c r="M629" s="123"/>
      <c r="N629" s="124"/>
      <c r="O629" s="124"/>
      <c r="P629" s="124"/>
      <c r="Q629" s="123"/>
      <c r="R629" s="124"/>
      <c r="S629" s="124"/>
      <c r="T629" s="124"/>
      <c r="U629" s="123"/>
      <c r="V629" s="124"/>
      <c r="W629" s="124"/>
      <c r="X629" s="124"/>
      <c r="Y629" s="90"/>
      <c r="Z629" s="90"/>
      <c r="AA629" s="90"/>
      <c r="AB629" s="90"/>
      <c r="AC629" s="24"/>
      <c r="AD629" s="90"/>
      <c r="AE629" s="24"/>
      <c r="AF629" s="24"/>
      <c r="AG629" s="24"/>
      <c r="AH629" s="24"/>
      <c r="AI629" s="24"/>
      <c r="AJ629" s="24"/>
      <c r="AK629" s="24"/>
    </row>
    <row r="630" spans="1:37" s="24" customFormat="1" x14ac:dyDescent="0.25">
      <c r="B630" s="90"/>
      <c r="C630" s="92"/>
      <c r="E630" s="90"/>
      <c r="F630" s="90"/>
      <c r="H630" s="90"/>
      <c r="J630" s="90"/>
      <c r="K630" s="90"/>
      <c r="M630" s="123"/>
      <c r="N630" s="124"/>
      <c r="O630" s="124"/>
      <c r="P630" s="124"/>
      <c r="Q630" s="123"/>
      <c r="R630" s="124"/>
      <c r="S630" s="124"/>
      <c r="T630" s="124"/>
      <c r="U630" s="123"/>
      <c r="V630" s="124"/>
      <c r="W630" s="124"/>
      <c r="X630" s="124"/>
      <c r="Y630" s="90"/>
      <c r="Z630" s="90"/>
      <c r="AA630" s="90"/>
      <c r="AB630" s="90"/>
      <c r="AD630" s="90"/>
    </row>
    <row r="631" spans="1:37" x14ac:dyDescent="0.25">
      <c r="A631" s="24"/>
      <c r="B631" s="90"/>
      <c r="C631" s="92"/>
      <c r="D631" s="24"/>
      <c r="E631" s="90"/>
      <c r="F631" s="90"/>
      <c r="G631" s="24"/>
      <c r="H631" s="90"/>
      <c r="I631" s="24"/>
      <c r="J631" s="90"/>
      <c r="K631" s="90"/>
      <c r="L631" s="24"/>
      <c r="M631" s="123"/>
      <c r="N631" s="124"/>
      <c r="O631" s="124"/>
      <c r="P631" s="124"/>
      <c r="Q631" s="123"/>
      <c r="R631" s="124"/>
      <c r="S631" s="124"/>
      <c r="T631" s="124"/>
      <c r="U631" s="123"/>
      <c r="V631" s="124"/>
      <c r="W631" s="124"/>
      <c r="X631" s="124"/>
      <c r="Y631" s="90"/>
      <c r="Z631" s="90"/>
      <c r="AA631" s="90"/>
      <c r="AB631" s="90"/>
      <c r="AC631" s="24"/>
      <c r="AD631" s="90"/>
      <c r="AE631" s="24"/>
      <c r="AF631" s="24"/>
      <c r="AG631" s="24"/>
      <c r="AH631" s="24"/>
      <c r="AI631" s="24"/>
      <c r="AJ631" s="24"/>
      <c r="AK631" s="24"/>
    </row>
    <row r="632" spans="1:37" x14ac:dyDescent="0.25">
      <c r="A632" s="24"/>
      <c r="B632" s="90"/>
      <c r="C632" s="92"/>
      <c r="D632" s="24"/>
      <c r="E632" s="90"/>
      <c r="F632" s="90"/>
      <c r="G632" s="24"/>
      <c r="H632" s="90"/>
      <c r="I632" s="24"/>
      <c r="J632" s="90"/>
      <c r="K632" s="90"/>
      <c r="L632" s="24"/>
      <c r="M632" s="123"/>
      <c r="N632" s="124"/>
      <c r="O632" s="124"/>
      <c r="P632" s="124"/>
      <c r="Q632" s="123"/>
      <c r="R632" s="124"/>
      <c r="S632" s="124"/>
      <c r="T632" s="124"/>
      <c r="U632" s="123"/>
      <c r="V632" s="124"/>
      <c r="W632" s="124"/>
      <c r="X632" s="124"/>
      <c r="Y632" s="90"/>
      <c r="Z632" s="90"/>
      <c r="AA632" s="90"/>
      <c r="AB632" s="90"/>
      <c r="AC632" s="24"/>
      <c r="AD632" s="90"/>
      <c r="AE632" s="24"/>
      <c r="AF632" s="24"/>
      <c r="AG632" s="24"/>
      <c r="AH632" s="24"/>
      <c r="AI632" s="24"/>
      <c r="AJ632" s="24"/>
      <c r="AK632" s="24"/>
    </row>
    <row r="633" spans="1:37" x14ac:dyDescent="0.25">
      <c r="A633" s="24"/>
      <c r="B633" s="90"/>
      <c r="C633" s="92"/>
      <c r="D633" s="24"/>
      <c r="E633" s="90"/>
      <c r="F633" s="90"/>
      <c r="G633" s="24"/>
      <c r="H633" s="90"/>
      <c r="I633" s="24"/>
      <c r="J633" s="90"/>
      <c r="K633" s="90"/>
      <c r="L633" s="24"/>
      <c r="M633" s="123"/>
      <c r="N633" s="124"/>
      <c r="O633" s="124"/>
      <c r="P633" s="124"/>
      <c r="Q633" s="123"/>
      <c r="R633" s="124"/>
      <c r="S633" s="124"/>
      <c r="T633" s="124"/>
      <c r="U633" s="123"/>
      <c r="V633" s="124"/>
      <c r="W633" s="124"/>
      <c r="X633" s="124"/>
      <c r="Y633" s="90"/>
      <c r="Z633" s="90"/>
      <c r="AA633" s="90"/>
      <c r="AB633" s="90"/>
      <c r="AC633" s="24"/>
      <c r="AD633" s="90"/>
      <c r="AE633" s="24"/>
      <c r="AF633" s="24"/>
      <c r="AG633" s="24"/>
      <c r="AH633" s="24"/>
      <c r="AI633" s="24"/>
      <c r="AJ633" s="24"/>
      <c r="AK633" s="24"/>
    </row>
    <row r="634" spans="1:37" x14ac:dyDescent="0.25">
      <c r="A634" s="24"/>
      <c r="B634" s="90"/>
      <c r="C634" s="92"/>
      <c r="D634" s="24"/>
      <c r="E634" s="90"/>
      <c r="F634" s="90"/>
      <c r="G634" s="24"/>
      <c r="H634" s="90"/>
      <c r="I634" s="24"/>
      <c r="J634" s="90"/>
      <c r="K634" s="90"/>
      <c r="L634" s="24"/>
      <c r="M634" s="123"/>
      <c r="N634" s="124"/>
      <c r="O634" s="124"/>
      <c r="P634" s="124"/>
      <c r="Q634" s="123"/>
      <c r="R634" s="124"/>
      <c r="S634" s="124"/>
      <c r="T634" s="124"/>
      <c r="U634" s="123"/>
      <c r="V634" s="124"/>
      <c r="W634" s="124"/>
      <c r="X634" s="124"/>
      <c r="Y634" s="90"/>
      <c r="Z634" s="90"/>
      <c r="AA634" s="90"/>
      <c r="AB634" s="90"/>
      <c r="AC634" s="24"/>
      <c r="AD634" s="90"/>
      <c r="AE634" s="24"/>
      <c r="AF634" s="24"/>
      <c r="AG634" s="24"/>
      <c r="AH634" s="24"/>
      <c r="AI634" s="24"/>
      <c r="AJ634" s="24"/>
      <c r="AK634" s="24"/>
    </row>
    <row r="635" spans="1:37" x14ac:dyDescent="0.25">
      <c r="A635" s="24"/>
      <c r="B635" s="90"/>
      <c r="C635" s="92"/>
      <c r="D635" s="24"/>
      <c r="E635" s="90"/>
      <c r="F635" s="90"/>
      <c r="G635" s="24"/>
      <c r="H635" s="90"/>
      <c r="I635" s="24"/>
      <c r="J635" s="90"/>
      <c r="K635" s="90"/>
      <c r="L635" s="24"/>
      <c r="M635" s="123"/>
      <c r="N635" s="124"/>
      <c r="O635" s="124"/>
      <c r="P635" s="124"/>
      <c r="Q635" s="123"/>
      <c r="R635" s="124"/>
      <c r="S635" s="124"/>
      <c r="T635" s="124"/>
      <c r="U635" s="123"/>
      <c r="V635" s="124"/>
      <c r="W635" s="124"/>
      <c r="X635" s="124"/>
      <c r="Y635" s="90"/>
      <c r="Z635" s="90"/>
      <c r="AA635" s="90"/>
      <c r="AB635" s="90"/>
      <c r="AC635" s="24"/>
      <c r="AD635" s="90"/>
      <c r="AE635" s="24"/>
      <c r="AF635" s="24"/>
      <c r="AG635" s="24"/>
      <c r="AH635" s="24"/>
      <c r="AI635" s="24"/>
      <c r="AJ635" s="24"/>
      <c r="AK635" s="24"/>
    </row>
    <row r="636" spans="1:37" x14ac:dyDescent="0.25">
      <c r="A636" s="24"/>
      <c r="B636" s="90"/>
      <c r="C636" s="92"/>
      <c r="D636" s="24"/>
      <c r="E636" s="90"/>
      <c r="F636" s="90"/>
      <c r="G636" s="24"/>
      <c r="H636" s="90"/>
      <c r="I636" s="24"/>
      <c r="J636" s="90"/>
      <c r="K636" s="90"/>
      <c r="L636" s="24"/>
      <c r="M636" s="123"/>
      <c r="N636" s="124"/>
      <c r="O636" s="124"/>
      <c r="P636" s="124"/>
      <c r="Q636" s="123"/>
      <c r="R636" s="124"/>
      <c r="S636" s="124"/>
      <c r="T636" s="124"/>
      <c r="U636" s="123"/>
      <c r="V636" s="124"/>
      <c r="W636" s="124"/>
      <c r="X636" s="124"/>
      <c r="Y636" s="90"/>
      <c r="Z636" s="90"/>
      <c r="AA636" s="90"/>
      <c r="AB636" s="90"/>
      <c r="AC636" s="24"/>
      <c r="AD636" s="90"/>
      <c r="AE636" s="24"/>
      <c r="AF636" s="24"/>
      <c r="AG636" s="24"/>
      <c r="AH636" s="24"/>
      <c r="AI636" s="24"/>
      <c r="AJ636" s="24"/>
      <c r="AK636" s="24"/>
    </row>
    <row r="637" spans="1:37" s="24" customFormat="1" ht="14.25" customHeight="1" x14ac:dyDescent="0.25">
      <c r="B637" s="90"/>
      <c r="C637" s="92"/>
      <c r="E637" s="90"/>
      <c r="F637" s="90"/>
      <c r="H637" s="90"/>
      <c r="J637" s="90"/>
      <c r="K637" s="90"/>
      <c r="M637" s="123"/>
      <c r="N637" s="124"/>
      <c r="O637" s="124"/>
      <c r="P637" s="124"/>
      <c r="Q637" s="123"/>
      <c r="R637" s="124"/>
      <c r="S637" s="124"/>
      <c r="T637" s="124"/>
      <c r="U637" s="123"/>
      <c r="V637" s="124"/>
      <c r="W637" s="124"/>
      <c r="X637" s="124"/>
      <c r="Y637" s="90"/>
      <c r="Z637" s="90"/>
      <c r="AA637" s="90"/>
      <c r="AB637" s="90"/>
      <c r="AD637" s="90"/>
    </row>
    <row r="638" spans="1:37" x14ac:dyDescent="0.25">
      <c r="A638" s="24"/>
      <c r="B638" s="90"/>
      <c r="C638" s="92"/>
      <c r="D638" s="24"/>
      <c r="E638" s="90"/>
      <c r="F638" s="90"/>
      <c r="G638" s="24"/>
      <c r="H638" s="90"/>
      <c r="I638" s="24"/>
      <c r="J638" s="90"/>
      <c r="K638" s="90"/>
      <c r="L638" s="24"/>
      <c r="M638" s="123"/>
      <c r="N638" s="124"/>
      <c r="O638" s="124"/>
      <c r="P638" s="124"/>
      <c r="Q638" s="123"/>
      <c r="R638" s="124"/>
      <c r="S638" s="124"/>
      <c r="T638" s="124"/>
      <c r="U638" s="123"/>
      <c r="V638" s="124"/>
      <c r="W638" s="124"/>
      <c r="X638" s="124"/>
      <c r="Y638" s="90"/>
      <c r="Z638" s="90"/>
      <c r="AA638" s="90"/>
      <c r="AB638" s="90"/>
      <c r="AC638" s="24"/>
      <c r="AD638" s="90"/>
      <c r="AE638" s="24"/>
      <c r="AF638" s="24"/>
      <c r="AG638" s="24"/>
      <c r="AH638" s="24"/>
      <c r="AI638" s="24"/>
      <c r="AJ638" s="24"/>
      <c r="AK638" s="24"/>
    </row>
    <row r="639" spans="1:37" x14ac:dyDescent="0.25">
      <c r="A639" s="24"/>
      <c r="B639" s="90"/>
      <c r="C639" s="92"/>
      <c r="D639" s="24"/>
      <c r="E639" s="90"/>
      <c r="F639" s="90"/>
      <c r="G639" s="24"/>
      <c r="H639" s="90"/>
      <c r="I639" s="24"/>
      <c r="J639" s="90"/>
      <c r="K639" s="90"/>
      <c r="L639" s="24"/>
      <c r="M639" s="123"/>
      <c r="N639" s="124"/>
      <c r="O639" s="124"/>
      <c r="P639" s="124"/>
      <c r="Q639" s="123"/>
      <c r="R639" s="124"/>
      <c r="S639" s="124"/>
      <c r="T639" s="124"/>
      <c r="U639" s="123"/>
      <c r="V639" s="124"/>
      <c r="W639" s="124"/>
      <c r="X639" s="124"/>
      <c r="Y639" s="90"/>
      <c r="Z639" s="90"/>
      <c r="AA639" s="90"/>
      <c r="AB639" s="90"/>
      <c r="AC639" s="24"/>
      <c r="AD639" s="90"/>
      <c r="AE639" s="24"/>
      <c r="AF639" s="24"/>
      <c r="AG639" s="24"/>
      <c r="AH639" s="24"/>
      <c r="AI639" s="24"/>
      <c r="AJ639" s="24"/>
      <c r="AK639" s="24"/>
    </row>
    <row r="640" spans="1:37" x14ac:dyDescent="0.25">
      <c r="A640" s="24"/>
      <c r="B640" s="90"/>
      <c r="C640" s="92"/>
      <c r="D640" s="24"/>
      <c r="E640" s="90"/>
      <c r="F640" s="90"/>
      <c r="G640" s="24"/>
      <c r="H640" s="90"/>
      <c r="I640" s="24"/>
      <c r="J640" s="90"/>
      <c r="K640" s="90"/>
      <c r="L640" s="24"/>
      <c r="M640" s="123"/>
      <c r="N640" s="124"/>
      <c r="O640" s="124"/>
      <c r="P640" s="124"/>
      <c r="Q640" s="123"/>
      <c r="R640" s="124"/>
      <c r="S640" s="124"/>
      <c r="T640" s="124"/>
      <c r="U640" s="123"/>
      <c r="V640" s="124"/>
      <c r="W640" s="124"/>
      <c r="X640" s="124"/>
      <c r="Y640" s="90"/>
      <c r="Z640" s="90"/>
      <c r="AA640" s="90"/>
      <c r="AB640" s="90"/>
      <c r="AC640" s="24"/>
      <c r="AD640" s="90"/>
      <c r="AE640" s="24"/>
      <c r="AF640" s="24"/>
      <c r="AG640" s="24"/>
      <c r="AH640" s="24"/>
      <c r="AI640" s="24"/>
      <c r="AJ640" s="24"/>
      <c r="AK640" s="24"/>
    </row>
    <row r="641" spans="1:37" x14ac:dyDescent="0.25">
      <c r="A641" s="24"/>
      <c r="B641" s="90"/>
      <c r="C641" s="92"/>
      <c r="D641" s="24"/>
      <c r="E641" s="90"/>
      <c r="F641" s="90"/>
      <c r="G641" s="24"/>
      <c r="H641" s="90"/>
      <c r="I641" s="24"/>
      <c r="J641" s="90"/>
      <c r="K641" s="90"/>
      <c r="L641" s="24"/>
      <c r="M641" s="123"/>
      <c r="N641" s="124"/>
      <c r="O641" s="124"/>
      <c r="P641" s="124"/>
      <c r="Q641" s="123"/>
      <c r="R641" s="124"/>
      <c r="S641" s="124"/>
      <c r="T641" s="124"/>
      <c r="U641" s="123"/>
      <c r="V641" s="124"/>
      <c r="W641" s="124"/>
      <c r="X641" s="124"/>
      <c r="Y641" s="90"/>
      <c r="Z641" s="90"/>
      <c r="AA641" s="90"/>
      <c r="AB641" s="90"/>
      <c r="AC641" s="24"/>
      <c r="AD641" s="90"/>
      <c r="AE641" s="24"/>
      <c r="AF641" s="24"/>
      <c r="AG641" s="24"/>
      <c r="AH641" s="24"/>
      <c r="AI641" s="24"/>
      <c r="AJ641" s="24"/>
      <c r="AK641" s="24"/>
    </row>
    <row r="642" spans="1:37" x14ac:dyDescent="0.25">
      <c r="A642" s="24"/>
      <c r="B642" s="90"/>
      <c r="C642" s="92"/>
      <c r="D642" s="24"/>
      <c r="E642" s="90"/>
      <c r="F642" s="90"/>
      <c r="G642" s="24"/>
      <c r="H642" s="90"/>
      <c r="I642" s="24"/>
      <c r="J642" s="90"/>
      <c r="K642" s="90"/>
      <c r="L642" s="24"/>
      <c r="M642" s="123"/>
      <c r="N642" s="124"/>
      <c r="O642" s="124"/>
      <c r="P642" s="124"/>
      <c r="Q642" s="123"/>
      <c r="R642" s="124"/>
      <c r="S642" s="124"/>
      <c r="T642" s="124"/>
      <c r="U642" s="123"/>
      <c r="V642" s="124"/>
      <c r="W642" s="124"/>
      <c r="X642" s="124"/>
      <c r="Y642" s="90"/>
      <c r="Z642" s="90"/>
      <c r="AA642" s="90"/>
      <c r="AB642" s="90"/>
      <c r="AC642" s="24"/>
      <c r="AD642" s="90"/>
      <c r="AE642" s="24"/>
      <c r="AF642" s="24"/>
      <c r="AG642" s="24"/>
      <c r="AH642" s="24"/>
      <c r="AI642" s="24"/>
      <c r="AJ642" s="24"/>
      <c r="AK642" s="24"/>
    </row>
    <row r="643" spans="1:37" x14ac:dyDescent="0.25">
      <c r="A643" s="24"/>
      <c r="B643" s="90"/>
      <c r="C643" s="92"/>
      <c r="D643" s="24"/>
      <c r="E643" s="90"/>
      <c r="F643" s="90"/>
      <c r="G643" s="24"/>
      <c r="H643" s="90"/>
      <c r="I643" s="24"/>
      <c r="J643" s="90"/>
      <c r="K643" s="90"/>
      <c r="L643" s="24"/>
      <c r="M643" s="123"/>
      <c r="N643" s="124"/>
      <c r="O643" s="124"/>
      <c r="P643" s="124"/>
      <c r="Q643" s="123"/>
      <c r="R643" s="124"/>
      <c r="S643" s="124"/>
      <c r="T643" s="124"/>
      <c r="U643" s="123"/>
      <c r="V643" s="124"/>
      <c r="W643" s="124"/>
      <c r="X643" s="124"/>
      <c r="Y643" s="90"/>
      <c r="Z643" s="90"/>
      <c r="AA643" s="90"/>
      <c r="AB643" s="90"/>
      <c r="AC643" s="24"/>
      <c r="AD643" s="90"/>
      <c r="AE643" s="24"/>
      <c r="AF643" s="24"/>
      <c r="AG643" s="24"/>
      <c r="AH643" s="24"/>
      <c r="AI643" s="24"/>
      <c r="AJ643" s="24"/>
      <c r="AK643" s="24"/>
    </row>
    <row r="644" spans="1:37" x14ac:dyDescent="0.25">
      <c r="A644" s="24"/>
      <c r="B644" s="90"/>
      <c r="C644" s="92"/>
      <c r="D644" s="24"/>
      <c r="E644" s="90"/>
      <c r="F644" s="90"/>
      <c r="G644" s="24"/>
      <c r="H644" s="90"/>
      <c r="I644" s="24"/>
      <c r="J644" s="90"/>
      <c r="K644" s="90"/>
      <c r="L644" s="24"/>
      <c r="M644" s="123"/>
      <c r="N644" s="124"/>
      <c r="O644" s="124"/>
      <c r="P644" s="124"/>
      <c r="Q644" s="123"/>
      <c r="R644" s="124"/>
      <c r="S644" s="124"/>
      <c r="T644" s="124"/>
      <c r="U644" s="123"/>
      <c r="V644" s="124"/>
      <c r="W644" s="124"/>
      <c r="X644" s="124"/>
      <c r="Y644" s="90"/>
      <c r="Z644" s="90"/>
      <c r="AA644" s="90"/>
      <c r="AB644" s="90"/>
      <c r="AC644" s="24"/>
      <c r="AD644" s="90"/>
      <c r="AE644" s="24"/>
      <c r="AF644" s="24"/>
      <c r="AG644" s="24"/>
      <c r="AH644" s="24"/>
      <c r="AI644" s="24"/>
      <c r="AJ644" s="24"/>
      <c r="AK644" s="24"/>
    </row>
    <row r="645" spans="1:37" x14ac:dyDescent="0.25">
      <c r="A645" s="24"/>
      <c r="B645" s="90"/>
      <c r="C645" s="92"/>
      <c r="D645" s="24"/>
      <c r="E645" s="90"/>
      <c r="F645" s="90"/>
      <c r="G645" s="24"/>
      <c r="H645" s="90"/>
      <c r="I645" s="24"/>
      <c r="J645" s="90"/>
      <c r="K645" s="90"/>
      <c r="L645" s="24"/>
      <c r="M645" s="123"/>
      <c r="N645" s="124"/>
      <c r="O645" s="124"/>
      <c r="P645" s="124"/>
      <c r="Q645" s="123"/>
      <c r="R645" s="124"/>
      <c r="S645" s="124"/>
      <c r="T645" s="124"/>
      <c r="U645" s="123"/>
      <c r="V645" s="124"/>
      <c r="W645" s="124"/>
      <c r="X645" s="124"/>
      <c r="Y645" s="90"/>
      <c r="Z645" s="90"/>
      <c r="AA645" s="90"/>
      <c r="AB645" s="90"/>
      <c r="AC645" s="24"/>
      <c r="AD645" s="90"/>
      <c r="AE645" s="24"/>
      <c r="AF645" s="24"/>
      <c r="AG645" s="24"/>
      <c r="AH645" s="24"/>
      <c r="AI645" s="24"/>
      <c r="AJ645" s="24"/>
      <c r="AK645" s="24"/>
    </row>
    <row r="646" spans="1:37" x14ac:dyDescent="0.25">
      <c r="A646" s="24"/>
      <c r="B646" s="90"/>
      <c r="C646" s="92"/>
      <c r="D646" s="24"/>
      <c r="E646" s="90"/>
      <c r="F646" s="90"/>
      <c r="G646" s="24"/>
      <c r="H646" s="90"/>
      <c r="I646" s="24"/>
      <c r="J646" s="90"/>
      <c r="K646" s="90"/>
      <c r="L646" s="24"/>
      <c r="M646" s="123"/>
      <c r="N646" s="124"/>
      <c r="O646" s="124"/>
      <c r="P646" s="124"/>
      <c r="Q646" s="123"/>
      <c r="R646" s="124"/>
      <c r="S646" s="124"/>
      <c r="T646" s="124"/>
      <c r="U646" s="123"/>
      <c r="V646" s="124"/>
      <c r="W646" s="124"/>
      <c r="X646" s="124"/>
      <c r="Y646" s="90"/>
      <c r="Z646" s="90"/>
      <c r="AA646" s="90"/>
      <c r="AB646" s="90"/>
      <c r="AC646" s="24"/>
      <c r="AD646" s="90"/>
      <c r="AE646" s="24"/>
      <c r="AF646" s="24"/>
      <c r="AG646" s="24"/>
      <c r="AH646" s="24"/>
      <c r="AI646" s="24"/>
      <c r="AJ646" s="24"/>
      <c r="AK646" s="24"/>
    </row>
    <row r="647" spans="1:37" x14ac:dyDescent="0.25">
      <c r="A647" s="24"/>
      <c r="B647" s="90"/>
      <c r="C647" s="92"/>
      <c r="D647" s="24"/>
      <c r="E647" s="90"/>
      <c r="F647" s="90"/>
      <c r="G647" s="24"/>
      <c r="H647" s="90"/>
      <c r="I647" s="24"/>
      <c r="J647" s="90"/>
      <c r="K647" s="90"/>
      <c r="L647" s="24"/>
      <c r="M647" s="123"/>
      <c r="N647" s="124"/>
      <c r="O647" s="124"/>
      <c r="P647" s="124"/>
      <c r="Q647" s="123"/>
      <c r="R647" s="124"/>
      <c r="S647" s="124"/>
      <c r="T647" s="124"/>
      <c r="U647" s="123"/>
      <c r="V647" s="124"/>
      <c r="W647" s="124"/>
      <c r="X647" s="124"/>
      <c r="Y647" s="90"/>
      <c r="Z647" s="90"/>
      <c r="AA647" s="90"/>
      <c r="AB647" s="90"/>
      <c r="AC647" s="24"/>
      <c r="AD647" s="90"/>
      <c r="AE647" s="24"/>
      <c r="AF647" s="24"/>
      <c r="AG647" s="24"/>
      <c r="AH647" s="24"/>
      <c r="AI647" s="24"/>
      <c r="AJ647" s="24"/>
      <c r="AK647" s="24"/>
    </row>
    <row r="648" spans="1:37" x14ac:dyDescent="0.25">
      <c r="A648" s="24"/>
      <c r="B648" s="90"/>
      <c r="C648" s="92"/>
      <c r="D648" s="24"/>
      <c r="E648" s="90"/>
      <c r="F648" s="90"/>
      <c r="G648" s="24"/>
      <c r="H648" s="90"/>
      <c r="I648" s="24"/>
      <c r="J648" s="90"/>
      <c r="K648" s="90"/>
      <c r="L648" s="24"/>
      <c r="M648" s="123"/>
      <c r="N648" s="124"/>
      <c r="O648" s="124"/>
      <c r="P648" s="124"/>
      <c r="Q648" s="123"/>
      <c r="R648" s="124"/>
      <c r="S648" s="124"/>
      <c r="T648" s="124"/>
      <c r="U648" s="123"/>
      <c r="V648" s="124"/>
      <c r="W648" s="124"/>
      <c r="X648" s="124"/>
      <c r="Y648" s="90"/>
      <c r="Z648" s="90"/>
      <c r="AA648" s="90"/>
      <c r="AB648" s="90"/>
      <c r="AC648" s="24"/>
      <c r="AD648" s="90"/>
      <c r="AE648" s="24"/>
      <c r="AF648" s="24"/>
      <c r="AG648" s="24"/>
      <c r="AH648" s="24"/>
      <c r="AI648" s="24"/>
      <c r="AJ648" s="24"/>
      <c r="AK648" s="24"/>
    </row>
    <row r="649" spans="1:37" s="24" customFormat="1" x14ac:dyDescent="0.25">
      <c r="B649" s="90"/>
      <c r="C649" s="92"/>
      <c r="E649" s="90"/>
      <c r="F649" s="90"/>
      <c r="H649" s="90"/>
      <c r="J649" s="90"/>
      <c r="K649" s="90"/>
      <c r="M649" s="123"/>
      <c r="N649" s="124"/>
      <c r="O649" s="124"/>
      <c r="P649" s="124"/>
      <c r="Q649" s="123"/>
      <c r="R649" s="124"/>
      <c r="S649" s="124"/>
      <c r="T649" s="124"/>
      <c r="U649" s="123"/>
      <c r="V649" s="124"/>
      <c r="W649" s="124"/>
      <c r="X649" s="124"/>
      <c r="Y649" s="90"/>
      <c r="Z649" s="90"/>
      <c r="AA649" s="90"/>
      <c r="AB649" s="90"/>
      <c r="AD649" s="90"/>
    </row>
    <row r="650" spans="1:37" s="24" customFormat="1" x14ac:dyDescent="0.25">
      <c r="B650" s="90"/>
      <c r="C650" s="92"/>
      <c r="E650" s="90"/>
      <c r="F650" s="90"/>
      <c r="H650" s="90"/>
      <c r="J650" s="90"/>
      <c r="K650" s="90"/>
      <c r="M650" s="123"/>
      <c r="N650" s="124"/>
      <c r="O650" s="124"/>
      <c r="P650" s="124"/>
      <c r="Q650" s="123"/>
      <c r="R650" s="124"/>
      <c r="S650" s="124"/>
      <c r="T650" s="124"/>
      <c r="U650" s="123"/>
      <c r="V650" s="124"/>
      <c r="W650" s="124"/>
      <c r="X650" s="124"/>
      <c r="Y650" s="90"/>
      <c r="Z650" s="90"/>
      <c r="AA650" s="90"/>
      <c r="AB650" s="90"/>
      <c r="AD650" s="90"/>
    </row>
    <row r="651" spans="1:37" s="24" customFormat="1" x14ac:dyDescent="0.25">
      <c r="B651" s="90"/>
      <c r="C651" s="92"/>
      <c r="E651" s="90"/>
      <c r="F651" s="90"/>
      <c r="H651" s="90"/>
      <c r="J651" s="90"/>
      <c r="K651" s="90"/>
      <c r="M651" s="123"/>
      <c r="N651" s="124"/>
      <c r="O651" s="124"/>
      <c r="P651" s="124"/>
      <c r="Q651" s="123"/>
      <c r="R651" s="124"/>
      <c r="S651" s="124"/>
      <c r="T651" s="124"/>
      <c r="U651" s="123"/>
      <c r="V651" s="124"/>
      <c r="W651" s="124"/>
      <c r="X651" s="124"/>
      <c r="Y651" s="90"/>
      <c r="Z651" s="90"/>
      <c r="AA651" s="90"/>
      <c r="AB651" s="90"/>
      <c r="AD651" s="90"/>
    </row>
    <row r="652" spans="1:37" s="24" customFormat="1" x14ac:dyDescent="0.25">
      <c r="B652" s="90"/>
      <c r="C652" s="92"/>
      <c r="E652" s="90"/>
      <c r="F652" s="90"/>
      <c r="H652" s="90"/>
      <c r="J652" s="90"/>
      <c r="K652" s="90"/>
      <c r="M652" s="123"/>
      <c r="N652" s="124"/>
      <c r="O652" s="124"/>
      <c r="P652" s="124"/>
      <c r="Q652" s="123"/>
      <c r="R652" s="124"/>
      <c r="S652" s="124"/>
      <c r="T652" s="124"/>
      <c r="U652" s="123"/>
      <c r="V652" s="124"/>
      <c r="W652" s="124"/>
      <c r="X652" s="124"/>
      <c r="Y652" s="90"/>
      <c r="Z652" s="90"/>
      <c r="AA652" s="90"/>
      <c r="AB652" s="90"/>
      <c r="AD652" s="90"/>
    </row>
    <row r="653" spans="1:37" s="24" customFormat="1" x14ac:dyDescent="0.25">
      <c r="B653" s="90"/>
      <c r="C653" s="92"/>
      <c r="E653" s="90"/>
      <c r="F653" s="90"/>
      <c r="H653" s="90"/>
      <c r="J653" s="90"/>
      <c r="K653" s="90"/>
      <c r="M653" s="123"/>
      <c r="N653" s="124"/>
      <c r="O653" s="124"/>
      <c r="P653" s="124"/>
      <c r="Q653" s="123"/>
      <c r="R653" s="124"/>
      <c r="S653" s="124"/>
      <c r="T653" s="124"/>
      <c r="U653" s="123"/>
      <c r="V653" s="124"/>
      <c r="W653" s="124"/>
      <c r="X653" s="124"/>
      <c r="Y653" s="90"/>
      <c r="Z653" s="90"/>
      <c r="AA653" s="90"/>
      <c r="AB653" s="90"/>
      <c r="AD653" s="90"/>
    </row>
    <row r="654" spans="1:37" s="24" customFormat="1" x14ac:dyDescent="0.25">
      <c r="B654" s="90"/>
      <c r="C654" s="92"/>
      <c r="E654" s="90"/>
      <c r="F654" s="90"/>
      <c r="H654" s="90"/>
      <c r="J654" s="90"/>
      <c r="K654" s="90"/>
      <c r="M654" s="123"/>
      <c r="N654" s="124"/>
      <c r="O654" s="124"/>
      <c r="P654" s="124"/>
      <c r="Q654" s="123"/>
      <c r="R654" s="124"/>
      <c r="S654" s="124"/>
      <c r="T654" s="124"/>
      <c r="U654" s="123"/>
      <c r="V654" s="124"/>
      <c r="W654" s="124"/>
      <c r="X654" s="124"/>
      <c r="Y654" s="90"/>
      <c r="Z654" s="90"/>
      <c r="AA654" s="90"/>
      <c r="AB654" s="90"/>
      <c r="AD654" s="90"/>
    </row>
    <row r="655" spans="1:37" s="24" customFormat="1" x14ac:dyDescent="0.25">
      <c r="B655" s="90"/>
      <c r="C655" s="92"/>
      <c r="E655" s="90"/>
      <c r="F655" s="90"/>
      <c r="H655" s="90"/>
      <c r="J655" s="90"/>
      <c r="K655" s="90"/>
      <c r="M655" s="123"/>
      <c r="N655" s="124"/>
      <c r="O655" s="124"/>
      <c r="P655" s="124"/>
      <c r="Q655" s="123"/>
      <c r="R655" s="124"/>
      <c r="S655" s="124"/>
      <c r="T655" s="124"/>
      <c r="U655" s="123"/>
      <c r="V655" s="124"/>
      <c r="W655" s="124"/>
      <c r="X655" s="124"/>
      <c r="Y655" s="90"/>
      <c r="Z655" s="90"/>
      <c r="AA655" s="90"/>
      <c r="AB655" s="90"/>
      <c r="AD655" s="90"/>
    </row>
    <row r="656" spans="1:37" s="24" customFormat="1" x14ac:dyDescent="0.25">
      <c r="B656" s="90"/>
      <c r="C656" s="92"/>
      <c r="E656" s="90"/>
      <c r="F656" s="90"/>
      <c r="H656" s="90"/>
      <c r="J656" s="90"/>
      <c r="K656" s="90"/>
      <c r="M656" s="123"/>
      <c r="N656" s="124"/>
      <c r="O656" s="124"/>
      <c r="P656" s="124"/>
      <c r="Q656" s="123"/>
      <c r="R656" s="124"/>
      <c r="S656" s="124"/>
      <c r="T656" s="124"/>
      <c r="U656" s="123"/>
      <c r="V656" s="124"/>
      <c r="W656" s="124"/>
      <c r="X656" s="124"/>
      <c r="Y656" s="90"/>
      <c r="Z656" s="90"/>
      <c r="AA656" s="90"/>
      <c r="AB656" s="90"/>
      <c r="AD656" s="90"/>
    </row>
    <row r="657" spans="1:37" s="24" customFormat="1" x14ac:dyDescent="0.25">
      <c r="B657" s="90"/>
      <c r="C657" s="92"/>
      <c r="E657" s="90"/>
      <c r="F657" s="90"/>
      <c r="H657" s="90"/>
      <c r="J657" s="90"/>
      <c r="K657" s="90"/>
      <c r="M657" s="123"/>
      <c r="N657" s="124"/>
      <c r="O657" s="124"/>
      <c r="P657" s="124"/>
      <c r="Q657" s="123"/>
      <c r="R657" s="124"/>
      <c r="S657" s="124"/>
      <c r="T657" s="124"/>
      <c r="U657" s="123"/>
      <c r="V657" s="124"/>
      <c r="W657" s="124"/>
      <c r="X657" s="124"/>
      <c r="Y657" s="90"/>
      <c r="Z657" s="90"/>
      <c r="AA657" s="90"/>
      <c r="AB657" s="90"/>
      <c r="AD657" s="90"/>
    </row>
    <row r="658" spans="1:37" s="24" customFormat="1" x14ac:dyDescent="0.25">
      <c r="B658" s="90"/>
      <c r="C658" s="92"/>
      <c r="E658" s="90"/>
      <c r="F658" s="90"/>
      <c r="H658" s="90"/>
      <c r="J658" s="90"/>
      <c r="K658" s="90"/>
      <c r="M658" s="123"/>
      <c r="N658" s="124"/>
      <c r="O658" s="124"/>
      <c r="P658" s="124"/>
      <c r="Q658" s="123"/>
      <c r="R658" s="124"/>
      <c r="S658" s="124"/>
      <c r="T658" s="124"/>
      <c r="U658" s="123"/>
      <c r="V658" s="124"/>
      <c r="W658" s="124"/>
      <c r="X658" s="124"/>
      <c r="Y658" s="90"/>
      <c r="Z658" s="90"/>
      <c r="AA658" s="90"/>
      <c r="AB658" s="90"/>
      <c r="AD658" s="90"/>
    </row>
    <row r="659" spans="1:37" s="24" customFormat="1" x14ac:dyDescent="0.25">
      <c r="B659" s="90"/>
      <c r="C659" s="92"/>
      <c r="E659" s="90"/>
      <c r="F659" s="90"/>
      <c r="H659" s="90"/>
      <c r="J659" s="90"/>
      <c r="K659" s="90"/>
      <c r="M659" s="123"/>
      <c r="N659" s="124"/>
      <c r="O659" s="124"/>
      <c r="P659" s="124"/>
      <c r="Q659" s="123"/>
      <c r="R659" s="124"/>
      <c r="S659" s="124"/>
      <c r="T659" s="124"/>
      <c r="U659" s="123"/>
      <c r="V659" s="124"/>
      <c r="W659" s="124"/>
      <c r="X659" s="124"/>
      <c r="Y659" s="90"/>
      <c r="Z659" s="90"/>
      <c r="AA659" s="90"/>
      <c r="AB659" s="90"/>
      <c r="AD659" s="90"/>
    </row>
    <row r="660" spans="1:37" s="24" customFormat="1" x14ac:dyDescent="0.25">
      <c r="B660" s="90"/>
      <c r="C660" s="92"/>
      <c r="E660" s="90"/>
      <c r="F660" s="90"/>
      <c r="H660" s="90"/>
      <c r="J660" s="90"/>
      <c r="K660" s="90"/>
      <c r="M660" s="123"/>
      <c r="N660" s="124"/>
      <c r="O660" s="124"/>
      <c r="P660" s="124"/>
      <c r="Q660" s="123"/>
      <c r="R660" s="124"/>
      <c r="S660" s="124"/>
      <c r="T660" s="124"/>
      <c r="U660" s="123"/>
      <c r="V660" s="124"/>
      <c r="W660" s="124"/>
      <c r="X660" s="124"/>
      <c r="Y660" s="90"/>
      <c r="Z660" s="90"/>
      <c r="AA660" s="90"/>
      <c r="AB660" s="90"/>
      <c r="AD660" s="90"/>
    </row>
    <row r="661" spans="1:37" s="24" customFormat="1" x14ac:dyDescent="0.25">
      <c r="B661" s="90"/>
      <c r="C661" s="92"/>
      <c r="E661" s="90"/>
      <c r="F661" s="90"/>
      <c r="H661" s="90"/>
      <c r="J661" s="90"/>
      <c r="K661" s="90"/>
      <c r="M661" s="123"/>
      <c r="N661" s="124"/>
      <c r="O661" s="124"/>
      <c r="P661" s="124"/>
      <c r="Q661" s="123"/>
      <c r="R661" s="124"/>
      <c r="S661" s="124"/>
      <c r="T661" s="124"/>
      <c r="U661" s="123"/>
      <c r="V661" s="124"/>
      <c r="W661" s="124"/>
      <c r="X661" s="124"/>
      <c r="Y661" s="90"/>
      <c r="Z661" s="90"/>
      <c r="AA661" s="90"/>
      <c r="AB661" s="90"/>
      <c r="AD661" s="90"/>
    </row>
    <row r="662" spans="1:37" s="24" customFormat="1" x14ac:dyDescent="0.25">
      <c r="B662" s="90"/>
      <c r="C662" s="92"/>
      <c r="E662" s="90"/>
      <c r="F662" s="90"/>
      <c r="H662" s="90"/>
      <c r="J662" s="90"/>
      <c r="K662" s="90"/>
      <c r="M662" s="123"/>
      <c r="N662" s="124"/>
      <c r="O662" s="124"/>
      <c r="P662" s="124"/>
      <c r="Q662" s="123"/>
      <c r="R662" s="124"/>
      <c r="S662" s="124"/>
      <c r="T662" s="124"/>
      <c r="U662" s="123"/>
      <c r="V662" s="124"/>
      <c r="W662" s="124"/>
      <c r="X662" s="124"/>
      <c r="Y662" s="90"/>
      <c r="Z662" s="90"/>
      <c r="AA662" s="90"/>
      <c r="AB662" s="90"/>
      <c r="AD662" s="90"/>
    </row>
    <row r="663" spans="1:37" s="24" customFormat="1" x14ac:dyDescent="0.25">
      <c r="B663" s="90"/>
      <c r="C663" s="92"/>
      <c r="E663" s="90"/>
      <c r="F663" s="90"/>
      <c r="H663" s="90"/>
      <c r="J663" s="90"/>
      <c r="K663" s="90"/>
      <c r="M663" s="123"/>
      <c r="N663" s="124"/>
      <c r="O663" s="124"/>
      <c r="P663" s="124"/>
      <c r="Q663" s="123"/>
      <c r="R663" s="124"/>
      <c r="S663" s="124"/>
      <c r="T663" s="124"/>
      <c r="U663" s="123"/>
      <c r="V663" s="124"/>
      <c r="W663" s="124"/>
      <c r="X663" s="124"/>
      <c r="Y663" s="90"/>
      <c r="Z663" s="90"/>
      <c r="AA663" s="90"/>
      <c r="AB663" s="90"/>
      <c r="AD663" s="90"/>
    </row>
    <row r="664" spans="1:37" s="24" customFormat="1" x14ac:dyDescent="0.25">
      <c r="B664" s="90"/>
      <c r="C664" s="92"/>
      <c r="E664" s="90"/>
      <c r="F664" s="90"/>
      <c r="H664" s="90"/>
      <c r="J664" s="90"/>
      <c r="K664" s="90"/>
      <c r="M664" s="123"/>
      <c r="N664" s="124"/>
      <c r="O664" s="124"/>
      <c r="P664" s="124"/>
      <c r="Q664" s="123"/>
      <c r="R664" s="124"/>
      <c r="S664" s="124"/>
      <c r="T664" s="124"/>
      <c r="U664" s="123"/>
      <c r="V664" s="124"/>
      <c r="W664" s="124"/>
      <c r="X664" s="124"/>
      <c r="Y664" s="90"/>
      <c r="Z664" s="90"/>
      <c r="AA664" s="90"/>
      <c r="AB664" s="90"/>
      <c r="AD664" s="90"/>
    </row>
    <row r="665" spans="1:37" s="24" customFormat="1" x14ac:dyDescent="0.25">
      <c r="B665" s="90"/>
      <c r="C665" s="92"/>
      <c r="E665" s="90"/>
      <c r="F665" s="90"/>
      <c r="H665" s="90"/>
      <c r="J665" s="90"/>
      <c r="K665" s="90"/>
      <c r="M665" s="123"/>
      <c r="N665" s="124"/>
      <c r="O665" s="124"/>
      <c r="P665" s="124"/>
      <c r="Q665" s="123"/>
      <c r="R665" s="124"/>
      <c r="S665" s="124"/>
      <c r="T665" s="124"/>
      <c r="U665" s="123"/>
      <c r="V665" s="124"/>
      <c r="W665" s="124"/>
      <c r="X665" s="124"/>
      <c r="Y665" s="90"/>
      <c r="Z665" s="90"/>
      <c r="AA665" s="90"/>
      <c r="AB665" s="90"/>
      <c r="AD665" s="90"/>
    </row>
    <row r="666" spans="1:37" s="24" customFormat="1" x14ac:dyDescent="0.25">
      <c r="B666" s="90"/>
      <c r="C666" s="92"/>
      <c r="E666" s="90"/>
      <c r="F666" s="90"/>
      <c r="H666" s="90"/>
      <c r="J666" s="90"/>
      <c r="K666" s="90"/>
      <c r="M666" s="123"/>
      <c r="N666" s="124"/>
      <c r="O666" s="124"/>
      <c r="P666" s="124"/>
      <c r="Q666" s="123"/>
      <c r="R666" s="124"/>
      <c r="S666" s="124"/>
      <c r="T666" s="124"/>
      <c r="U666" s="123"/>
      <c r="V666" s="124"/>
      <c r="W666" s="124"/>
      <c r="X666" s="124"/>
      <c r="Y666" s="90"/>
      <c r="Z666" s="90"/>
      <c r="AA666" s="90"/>
      <c r="AB666" s="90"/>
      <c r="AD666" s="90"/>
    </row>
    <row r="667" spans="1:37" s="24" customFormat="1" x14ac:dyDescent="0.25">
      <c r="B667" s="90"/>
      <c r="C667" s="92"/>
      <c r="E667" s="90"/>
      <c r="F667" s="90"/>
      <c r="H667" s="90"/>
      <c r="J667" s="90"/>
      <c r="K667" s="90"/>
      <c r="M667" s="123"/>
      <c r="N667" s="124"/>
      <c r="O667" s="124"/>
      <c r="P667" s="124"/>
      <c r="Q667" s="123"/>
      <c r="R667" s="124"/>
      <c r="S667" s="124"/>
      <c r="T667" s="124"/>
      <c r="U667" s="123"/>
      <c r="V667" s="124"/>
      <c r="W667" s="124"/>
      <c r="X667" s="124"/>
      <c r="Y667" s="90"/>
      <c r="Z667" s="90"/>
      <c r="AA667" s="90"/>
      <c r="AB667" s="90"/>
      <c r="AD667" s="90"/>
    </row>
    <row r="668" spans="1:37" x14ac:dyDescent="0.25">
      <c r="A668" s="24"/>
      <c r="B668" s="90"/>
      <c r="C668" s="92"/>
      <c r="D668" s="24"/>
      <c r="E668" s="90"/>
      <c r="F668" s="90"/>
      <c r="G668" s="24"/>
      <c r="H668" s="90"/>
      <c r="I668" s="24"/>
      <c r="J668" s="90"/>
      <c r="K668" s="90"/>
      <c r="L668" s="24"/>
      <c r="M668" s="123"/>
      <c r="N668" s="124"/>
      <c r="O668" s="124"/>
      <c r="P668" s="124"/>
      <c r="Q668" s="123"/>
      <c r="R668" s="124"/>
      <c r="S668" s="124"/>
      <c r="T668" s="124"/>
      <c r="U668" s="123"/>
      <c r="V668" s="124"/>
      <c r="W668" s="124"/>
      <c r="X668" s="124"/>
      <c r="Y668" s="90"/>
      <c r="Z668" s="90"/>
      <c r="AA668" s="90"/>
      <c r="AB668" s="90"/>
      <c r="AC668" s="24"/>
      <c r="AD668" s="90"/>
      <c r="AE668" s="24"/>
      <c r="AF668" s="24"/>
      <c r="AG668" s="24"/>
      <c r="AH668" s="24"/>
      <c r="AI668" s="24"/>
      <c r="AJ668" s="24"/>
      <c r="AK668" s="24"/>
    </row>
    <row r="669" spans="1:37" x14ac:dyDescent="0.25">
      <c r="A669" s="24"/>
      <c r="B669" s="90"/>
      <c r="C669" s="92"/>
      <c r="D669" s="24"/>
      <c r="E669" s="90"/>
      <c r="F669" s="90"/>
      <c r="G669" s="24"/>
      <c r="H669" s="90"/>
      <c r="I669" s="24"/>
      <c r="J669" s="90"/>
      <c r="K669" s="90"/>
      <c r="L669" s="24"/>
      <c r="M669" s="123"/>
      <c r="N669" s="124"/>
      <c r="O669" s="124"/>
      <c r="P669" s="124"/>
      <c r="Q669" s="123"/>
      <c r="R669" s="124"/>
      <c r="S669" s="124"/>
      <c r="T669" s="124"/>
      <c r="U669" s="123"/>
      <c r="V669" s="124"/>
      <c r="W669" s="124"/>
      <c r="X669" s="124"/>
      <c r="Y669" s="90"/>
      <c r="Z669" s="90"/>
      <c r="AA669" s="90"/>
      <c r="AB669" s="90"/>
      <c r="AC669" s="24"/>
      <c r="AD669" s="90"/>
      <c r="AE669" s="24"/>
      <c r="AF669" s="24"/>
      <c r="AG669" s="24"/>
      <c r="AH669" s="24"/>
      <c r="AI669" s="24"/>
      <c r="AJ669" s="24"/>
      <c r="AK669" s="24"/>
    </row>
    <row r="670" spans="1:37" x14ac:dyDescent="0.25">
      <c r="A670" s="24"/>
      <c r="B670" s="90"/>
      <c r="C670" s="92"/>
      <c r="D670" s="24"/>
      <c r="E670" s="90"/>
      <c r="F670" s="90"/>
      <c r="G670" s="24"/>
      <c r="H670" s="90"/>
      <c r="I670" s="24"/>
      <c r="J670" s="90"/>
      <c r="K670" s="90"/>
      <c r="L670" s="24"/>
      <c r="M670" s="123"/>
      <c r="N670" s="124"/>
      <c r="O670" s="124"/>
      <c r="P670" s="124"/>
      <c r="Q670" s="123"/>
      <c r="R670" s="124"/>
      <c r="S670" s="124"/>
      <c r="T670" s="124"/>
      <c r="U670" s="123"/>
      <c r="V670" s="124"/>
      <c r="W670" s="124"/>
      <c r="X670" s="124"/>
      <c r="Y670" s="90"/>
      <c r="Z670" s="90"/>
      <c r="AA670" s="90"/>
      <c r="AB670" s="90"/>
      <c r="AC670" s="24"/>
      <c r="AD670" s="90"/>
      <c r="AE670" s="24"/>
      <c r="AF670" s="24"/>
      <c r="AG670" s="24"/>
      <c r="AH670" s="24"/>
      <c r="AI670" s="24"/>
      <c r="AJ670" s="24"/>
      <c r="AK670" s="24"/>
    </row>
    <row r="671" spans="1:37" x14ac:dyDescent="0.25">
      <c r="A671" s="24"/>
      <c r="B671" s="90"/>
      <c r="C671" s="92"/>
      <c r="D671" s="24"/>
      <c r="E671" s="90"/>
      <c r="F671" s="90"/>
      <c r="G671" s="24"/>
      <c r="H671" s="90"/>
      <c r="I671" s="24"/>
      <c r="J671" s="90"/>
      <c r="K671" s="90"/>
      <c r="L671" s="24"/>
      <c r="M671" s="123"/>
      <c r="N671" s="124"/>
      <c r="O671" s="124"/>
      <c r="P671" s="124"/>
      <c r="Q671" s="123"/>
      <c r="R671" s="124"/>
      <c r="S671" s="124"/>
      <c r="T671" s="124"/>
      <c r="U671" s="123"/>
      <c r="V671" s="124"/>
      <c r="W671" s="124"/>
      <c r="X671" s="124"/>
      <c r="Y671" s="90"/>
      <c r="Z671" s="90"/>
      <c r="AA671" s="90"/>
      <c r="AB671" s="90"/>
      <c r="AC671" s="24"/>
      <c r="AD671" s="90"/>
      <c r="AE671" s="24"/>
      <c r="AF671" s="24"/>
      <c r="AG671" s="24"/>
      <c r="AH671" s="24"/>
      <c r="AI671" s="24"/>
      <c r="AJ671" s="24"/>
      <c r="AK671" s="24"/>
    </row>
    <row r="672" spans="1:37" x14ac:dyDescent="0.25">
      <c r="A672" s="24"/>
      <c r="B672" s="90"/>
      <c r="C672" s="92"/>
      <c r="D672" s="24"/>
      <c r="E672" s="90"/>
      <c r="F672" s="90"/>
      <c r="G672" s="24"/>
      <c r="H672" s="90"/>
      <c r="I672" s="24"/>
      <c r="J672" s="90"/>
      <c r="K672" s="90"/>
      <c r="L672" s="24"/>
      <c r="M672" s="123"/>
      <c r="N672" s="124"/>
      <c r="O672" s="124"/>
      <c r="P672" s="124"/>
      <c r="Q672" s="123"/>
      <c r="R672" s="124"/>
      <c r="S672" s="124"/>
      <c r="T672" s="124"/>
      <c r="U672" s="123"/>
      <c r="V672" s="124"/>
      <c r="W672" s="124"/>
      <c r="X672" s="124"/>
      <c r="Y672" s="90"/>
      <c r="Z672" s="90"/>
      <c r="AA672" s="90"/>
      <c r="AB672" s="90"/>
      <c r="AC672" s="24"/>
      <c r="AD672" s="90"/>
      <c r="AE672" s="24"/>
      <c r="AF672" s="24"/>
      <c r="AG672" s="24"/>
      <c r="AH672" s="24"/>
      <c r="AI672" s="24"/>
      <c r="AJ672" s="24"/>
      <c r="AK672" s="24"/>
    </row>
    <row r="673" spans="1:37" x14ac:dyDescent="0.25">
      <c r="A673" s="24"/>
      <c r="B673" s="90"/>
      <c r="C673" s="92"/>
      <c r="D673" s="24"/>
      <c r="E673" s="90"/>
      <c r="F673" s="90"/>
      <c r="G673" s="24"/>
      <c r="H673" s="90"/>
      <c r="I673" s="24"/>
      <c r="J673" s="90"/>
      <c r="K673" s="90"/>
      <c r="L673" s="24"/>
      <c r="M673" s="123"/>
      <c r="N673" s="124"/>
      <c r="O673" s="124"/>
      <c r="P673" s="124"/>
      <c r="Q673" s="123"/>
      <c r="R673" s="124"/>
      <c r="S673" s="124"/>
      <c r="T673" s="124"/>
      <c r="U673" s="123"/>
      <c r="V673" s="124"/>
      <c r="W673" s="124"/>
      <c r="X673" s="124"/>
      <c r="Y673" s="90"/>
      <c r="Z673" s="90"/>
      <c r="AA673" s="90"/>
      <c r="AB673" s="90"/>
      <c r="AC673" s="24"/>
      <c r="AD673" s="90"/>
      <c r="AE673" s="24"/>
      <c r="AF673" s="24"/>
      <c r="AG673" s="24"/>
      <c r="AH673" s="24"/>
      <c r="AI673" s="24"/>
      <c r="AJ673" s="24"/>
      <c r="AK673" s="24"/>
    </row>
    <row r="674" spans="1:37" x14ac:dyDescent="0.25">
      <c r="A674" s="24"/>
      <c r="B674" s="90"/>
      <c r="C674" s="92"/>
      <c r="D674" s="24"/>
      <c r="E674" s="90"/>
      <c r="F674" s="90"/>
      <c r="G674" s="24"/>
      <c r="H674" s="90"/>
      <c r="I674" s="24"/>
      <c r="J674" s="90"/>
      <c r="K674" s="90"/>
      <c r="L674" s="24"/>
      <c r="M674" s="24"/>
      <c r="N674" s="24"/>
      <c r="O674" s="90"/>
      <c r="P674" s="24"/>
      <c r="Q674" s="24"/>
      <c r="R674" s="24"/>
      <c r="S674" s="90"/>
      <c r="T674" s="90"/>
      <c r="U674" s="24"/>
      <c r="V674" s="90"/>
      <c r="W674" s="90"/>
      <c r="X674" s="90"/>
      <c r="Y674" s="24"/>
      <c r="Z674" s="24"/>
      <c r="AA674" s="24"/>
      <c r="AB674" s="24"/>
      <c r="AC674" s="24"/>
      <c r="AD674" s="90"/>
      <c r="AE674" s="24"/>
      <c r="AF674" s="24"/>
      <c r="AG674" s="24"/>
      <c r="AH674" s="24"/>
      <c r="AI674" s="24"/>
      <c r="AJ674" s="24"/>
      <c r="AK674" s="24"/>
    </row>
    <row r="675" spans="1:37" x14ac:dyDescent="0.25">
      <c r="A675" s="24"/>
      <c r="B675" s="90"/>
      <c r="C675" s="92"/>
      <c r="D675" s="24"/>
      <c r="E675" s="90"/>
      <c r="F675" s="90"/>
      <c r="G675" s="24"/>
      <c r="H675" s="90"/>
      <c r="I675" s="24"/>
      <c r="J675" s="90"/>
      <c r="K675" s="90"/>
      <c r="L675" s="24"/>
      <c r="M675" s="24"/>
      <c r="N675" s="24"/>
      <c r="O675" s="90"/>
      <c r="P675" s="24"/>
      <c r="Q675" s="24"/>
      <c r="R675" s="24"/>
      <c r="S675" s="90"/>
      <c r="T675" s="90"/>
      <c r="U675" s="24"/>
      <c r="V675" s="90"/>
      <c r="W675" s="90"/>
      <c r="X675" s="90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</row>
    <row r="676" spans="1:37" x14ac:dyDescent="0.25">
      <c r="A676" s="24"/>
      <c r="B676" s="90"/>
      <c r="C676" s="92"/>
      <c r="D676" s="24"/>
      <c r="E676" s="90"/>
      <c r="F676" s="90"/>
      <c r="G676" s="24"/>
      <c r="H676" s="90"/>
      <c r="I676" s="24"/>
      <c r="J676" s="90"/>
      <c r="K676" s="90"/>
      <c r="L676" s="24"/>
      <c r="M676" s="24"/>
      <c r="N676" s="24"/>
      <c r="O676" s="90"/>
      <c r="P676" s="24"/>
      <c r="Q676" s="24"/>
      <c r="R676" s="24"/>
      <c r="S676" s="90"/>
      <c r="T676" s="90"/>
      <c r="U676" s="24"/>
      <c r="V676" s="90"/>
      <c r="W676" s="90"/>
      <c r="X676" s="90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</row>
    <row r="677" spans="1:37" x14ac:dyDescent="0.25">
      <c r="A677" s="24"/>
      <c r="B677" s="90"/>
      <c r="C677" s="92"/>
      <c r="D677" s="24"/>
      <c r="E677" s="90"/>
      <c r="F677" s="90"/>
      <c r="G677" s="24"/>
      <c r="H677" s="90"/>
      <c r="I677" s="24"/>
      <c r="J677" s="90"/>
      <c r="K677" s="90"/>
      <c r="L677" s="24"/>
      <c r="M677" s="24"/>
      <c r="N677" s="24"/>
      <c r="O677" s="90"/>
      <c r="P677" s="24"/>
      <c r="Q677" s="24"/>
      <c r="R677" s="24"/>
      <c r="S677" s="90"/>
      <c r="T677" s="90"/>
      <c r="U677" s="24"/>
      <c r="V677" s="90"/>
      <c r="W677" s="90"/>
      <c r="X677" s="90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</row>
    <row r="678" spans="1:37" x14ac:dyDescent="0.25">
      <c r="A678" s="24"/>
      <c r="B678" s="90"/>
      <c r="C678" s="92"/>
      <c r="D678" s="24"/>
      <c r="E678" s="90"/>
      <c r="F678" s="90"/>
      <c r="G678" s="24"/>
      <c r="H678" s="90"/>
      <c r="I678" s="24"/>
      <c r="J678" s="90"/>
      <c r="K678" s="90"/>
      <c r="L678" s="24"/>
      <c r="M678" s="24"/>
      <c r="N678" s="24"/>
      <c r="O678" s="90"/>
      <c r="P678" s="24"/>
      <c r="Q678" s="24"/>
      <c r="R678" s="24"/>
      <c r="S678" s="90"/>
      <c r="T678" s="90"/>
      <c r="U678" s="24"/>
      <c r="V678" s="90"/>
      <c r="W678" s="90"/>
      <c r="X678" s="90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</row>
    <row r="679" spans="1:37" x14ac:dyDescent="0.25">
      <c r="A679" s="24"/>
      <c r="B679" s="90"/>
      <c r="C679" s="92"/>
      <c r="D679" s="24"/>
      <c r="E679" s="90"/>
      <c r="F679" s="90"/>
      <c r="G679" s="24"/>
      <c r="H679" s="90"/>
      <c r="I679" s="24"/>
      <c r="J679" s="90"/>
      <c r="K679" s="90"/>
      <c r="L679" s="24"/>
      <c r="M679" s="24"/>
      <c r="N679" s="24"/>
      <c r="O679" s="90"/>
      <c r="P679" s="24"/>
      <c r="Q679" s="24"/>
      <c r="R679" s="24"/>
      <c r="S679" s="90"/>
      <c r="T679" s="90"/>
      <c r="U679" s="24"/>
      <c r="V679" s="90"/>
      <c r="W679" s="90"/>
      <c r="X679" s="90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</row>
    <row r="680" spans="1:37" x14ac:dyDescent="0.25">
      <c r="A680" s="24"/>
      <c r="B680" s="90"/>
      <c r="C680" s="92"/>
      <c r="D680" s="24"/>
      <c r="E680" s="90"/>
      <c r="F680" s="90"/>
      <c r="G680" s="24"/>
      <c r="H680" s="90"/>
      <c r="I680" s="24"/>
      <c r="J680" s="90"/>
      <c r="K680" s="90"/>
      <c r="L680" s="24"/>
      <c r="M680" s="24"/>
      <c r="N680" s="24"/>
      <c r="O680" s="90"/>
      <c r="P680" s="24"/>
      <c r="Q680" s="24"/>
      <c r="R680" s="24"/>
      <c r="S680" s="90"/>
      <c r="T680" s="90"/>
      <c r="U680" s="24"/>
      <c r="V680" s="90"/>
      <c r="W680" s="90"/>
      <c r="X680" s="90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</row>
    <row r="681" spans="1:37" x14ac:dyDescent="0.25">
      <c r="A681" s="24"/>
      <c r="B681" s="90"/>
      <c r="C681" s="92"/>
      <c r="D681" s="24"/>
      <c r="E681" s="90"/>
      <c r="F681" s="90"/>
      <c r="G681" s="24"/>
      <c r="H681" s="90"/>
      <c r="I681" s="24"/>
      <c r="J681" s="90"/>
      <c r="K681" s="90"/>
      <c r="L681" s="24"/>
      <c r="M681" s="24"/>
      <c r="N681" s="24"/>
      <c r="O681" s="90"/>
      <c r="P681" s="24"/>
      <c r="Q681" s="24"/>
      <c r="R681" s="24"/>
      <c r="S681" s="90"/>
      <c r="T681" s="90"/>
      <c r="U681" s="24"/>
      <c r="V681" s="90"/>
      <c r="W681" s="90"/>
      <c r="X681" s="90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</row>
    <row r="682" spans="1:37" x14ac:dyDescent="0.25">
      <c r="A682" s="24"/>
      <c r="B682" s="90"/>
      <c r="C682" s="92"/>
      <c r="D682" s="24"/>
      <c r="E682" s="90"/>
      <c r="F682" s="90"/>
      <c r="G682" s="24"/>
      <c r="H682" s="90"/>
      <c r="I682" s="24"/>
      <c r="J682" s="90"/>
      <c r="K682" s="90"/>
      <c r="L682" s="24"/>
      <c r="M682" s="24"/>
      <c r="N682" s="24"/>
      <c r="O682" s="90"/>
      <c r="P682" s="24"/>
      <c r="Q682" s="24"/>
      <c r="R682" s="24"/>
      <c r="S682" s="90"/>
      <c r="T682" s="90"/>
      <c r="U682" s="24"/>
      <c r="V682" s="90"/>
      <c r="W682" s="90"/>
      <c r="X682" s="90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</row>
    <row r="683" spans="1:37" x14ac:dyDescent="0.25">
      <c r="A683" s="24"/>
      <c r="B683" s="90"/>
      <c r="C683" s="92"/>
      <c r="D683" s="24"/>
      <c r="E683" s="90"/>
      <c r="F683" s="90"/>
      <c r="G683" s="24"/>
      <c r="H683" s="90"/>
      <c r="I683" s="24"/>
      <c r="J683" s="90"/>
      <c r="K683" s="90"/>
      <c r="L683" s="24"/>
      <c r="M683" s="24"/>
      <c r="N683" s="24"/>
      <c r="O683" s="90"/>
      <c r="P683" s="24"/>
      <c r="Q683" s="24"/>
      <c r="R683" s="24"/>
      <c r="S683" s="90"/>
      <c r="T683" s="90"/>
      <c r="U683" s="24"/>
      <c r="V683" s="90"/>
      <c r="W683" s="90"/>
      <c r="X683" s="90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</row>
    <row r="684" spans="1:37" x14ac:dyDescent="0.25">
      <c r="A684" s="24"/>
      <c r="B684" s="90"/>
      <c r="C684" s="92"/>
      <c r="D684" s="24"/>
      <c r="E684" s="90"/>
      <c r="F684" s="90"/>
      <c r="G684" s="24"/>
      <c r="H684" s="90"/>
      <c r="I684" s="24"/>
      <c r="J684" s="90"/>
      <c r="K684" s="90"/>
      <c r="L684" s="24"/>
      <c r="M684" s="24"/>
      <c r="N684" s="24"/>
      <c r="O684" s="90"/>
      <c r="P684" s="24"/>
      <c r="Q684" s="24"/>
      <c r="R684" s="24"/>
      <c r="S684" s="90"/>
      <c r="T684" s="90"/>
      <c r="U684" s="24"/>
      <c r="V684" s="90"/>
      <c r="W684" s="90"/>
      <c r="X684" s="90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</row>
    <row r="685" spans="1:37" x14ac:dyDescent="0.25">
      <c r="A685" s="24"/>
      <c r="B685" s="90"/>
      <c r="C685" s="92"/>
      <c r="D685" s="24"/>
      <c r="E685" s="90"/>
      <c r="F685" s="90"/>
      <c r="G685" s="24"/>
      <c r="H685" s="90"/>
      <c r="I685" s="24"/>
      <c r="J685" s="90"/>
      <c r="K685" s="90"/>
      <c r="L685" s="24"/>
      <c r="M685" s="24"/>
      <c r="N685" s="24"/>
      <c r="O685" s="90"/>
      <c r="P685" s="24"/>
      <c r="Q685" s="24"/>
      <c r="R685" s="24"/>
      <c r="S685" s="90"/>
      <c r="T685" s="90"/>
      <c r="U685" s="24"/>
      <c r="V685" s="90"/>
      <c r="W685" s="90"/>
      <c r="X685" s="90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</row>
    <row r="686" spans="1:37" x14ac:dyDescent="0.25">
      <c r="A686" s="24"/>
      <c r="B686" s="90"/>
      <c r="C686" s="92"/>
      <c r="D686" s="24"/>
      <c r="E686" s="90"/>
      <c r="F686" s="90"/>
      <c r="G686" s="24"/>
      <c r="H686" s="90"/>
      <c r="I686" s="24"/>
      <c r="J686" s="90"/>
      <c r="K686" s="90"/>
      <c r="L686" s="24"/>
      <c r="M686" s="24"/>
      <c r="N686" s="24"/>
      <c r="O686" s="90"/>
      <c r="P686" s="24"/>
      <c r="Q686" s="24"/>
      <c r="R686" s="24"/>
      <c r="S686" s="90"/>
      <c r="T686" s="90"/>
      <c r="U686" s="24"/>
      <c r="V686" s="90"/>
      <c r="W686" s="90"/>
      <c r="X686" s="90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</row>
    <row r="687" spans="1:37" x14ac:dyDescent="0.25">
      <c r="A687" s="24"/>
      <c r="B687" s="90"/>
      <c r="C687" s="92"/>
      <c r="D687" s="24"/>
      <c r="E687" s="90"/>
      <c r="F687" s="90"/>
      <c r="G687" s="24"/>
      <c r="H687" s="90"/>
      <c r="I687" s="24"/>
      <c r="J687" s="90"/>
      <c r="K687" s="90"/>
      <c r="L687" s="24"/>
      <c r="M687" s="24"/>
      <c r="N687" s="24"/>
      <c r="O687" s="90"/>
      <c r="P687" s="24"/>
      <c r="Q687" s="24"/>
      <c r="R687" s="24"/>
      <c r="S687" s="90"/>
      <c r="T687" s="90"/>
      <c r="U687" s="24"/>
      <c r="V687" s="90"/>
      <c r="W687" s="90"/>
      <c r="X687" s="90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</row>
    <row r="688" spans="1:37" x14ac:dyDescent="0.25">
      <c r="A688" s="24"/>
      <c r="B688" s="90"/>
      <c r="C688" s="92"/>
      <c r="D688" s="24"/>
      <c r="E688" s="90"/>
      <c r="F688" s="90"/>
      <c r="G688" s="24"/>
      <c r="H688" s="90"/>
      <c r="I688" s="24"/>
      <c r="J688" s="90"/>
      <c r="K688" s="90"/>
      <c r="L688" s="24"/>
      <c r="M688" s="24"/>
      <c r="N688" s="24"/>
      <c r="O688" s="90"/>
      <c r="P688" s="24"/>
      <c r="Q688" s="24"/>
      <c r="R688" s="24"/>
      <c r="S688" s="90"/>
      <c r="T688" s="90"/>
      <c r="U688" s="24"/>
      <c r="V688" s="90"/>
      <c r="W688" s="90"/>
      <c r="X688" s="90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</row>
    <row r="689" spans="1:37" x14ac:dyDescent="0.25">
      <c r="A689" s="24"/>
      <c r="B689" s="90"/>
      <c r="C689" s="92"/>
      <c r="D689" s="24"/>
      <c r="E689" s="90"/>
      <c r="F689" s="90"/>
      <c r="G689" s="24"/>
      <c r="H689" s="90"/>
      <c r="I689" s="24"/>
      <c r="J689" s="90"/>
      <c r="K689" s="90"/>
      <c r="L689" s="24"/>
      <c r="M689" s="24"/>
      <c r="N689" s="24"/>
      <c r="O689" s="90"/>
      <c r="P689" s="24"/>
      <c r="Q689" s="24"/>
      <c r="R689" s="24"/>
      <c r="S689" s="90"/>
      <c r="T689" s="90"/>
      <c r="U689" s="24"/>
      <c r="V689" s="90"/>
      <c r="W689" s="90"/>
      <c r="X689" s="90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</row>
    <row r="690" spans="1:37" x14ac:dyDescent="0.25">
      <c r="A690" s="24"/>
      <c r="B690" s="90"/>
      <c r="C690" s="92"/>
      <c r="D690" s="24"/>
      <c r="E690" s="90"/>
      <c r="F690" s="90"/>
      <c r="G690" s="24"/>
      <c r="H690" s="90"/>
      <c r="I690" s="24"/>
      <c r="J690" s="90"/>
      <c r="K690" s="90"/>
      <c r="L690" s="24"/>
      <c r="M690" s="24"/>
      <c r="N690" s="24"/>
      <c r="O690" s="90"/>
      <c r="P690" s="24"/>
      <c r="Q690" s="24"/>
      <c r="R690" s="24"/>
      <c r="S690" s="90"/>
      <c r="T690" s="90"/>
      <c r="U690" s="24"/>
      <c r="V690" s="90"/>
      <c r="W690" s="90"/>
      <c r="X690" s="90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</row>
    <row r="691" spans="1:37" x14ac:dyDescent="0.25">
      <c r="A691" s="24"/>
      <c r="B691" s="90"/>
      <c r="C691" s="92"/>
      <c r="D691" s="24"/>
      <c r="E691" s="90"/>
      <c r="F691" s="90"/>
      <c r="G691" s="24"/>
      <c r="H691" s="90"/>
      <c r="I691" s="24"/>
      <c r="J691" s="90"/>
      <c r="K691" s="90"/>
      <c r="L691" s="24"/>
      <c r="M691" s="24"/>
      <c r="N691" s="24"/>
      <c r="O691" s="90"/>
      <c r="P691" s="24"/>
      <c r="Q691" s="24"/>
      <c r="R691" s="24"/>
      <c r="S691" s="90"/>
      <c r="T691" s="90"/>
      <c r="U691" s="24"/>
      <c r="V691" s="90"/>
      <c r="W691" s="90"/>
      <c r="X691" s="90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</row>
    <row r="692" spans="1:37" x14ac:dyDescent="0.25">
      <c r="A692" s="24"/>
      <c r="B692" s="90"/>
      <c r="C692" s="92"/>
      <c r="D692" s="24"/>
      <c r="E692" s="90"/>
      <c r="F692" s="90"/>
      <c r="G692" s="24"/>
      <c r="H692" s="90"/>
      <c r="I692" s="24"/>
      <c r="J692" s="90"/>
      <c r="K692" s="90"/>
      <c r="L692" s="24"/>
      <c r="M692" s="24"/>
      <c r="N692" s="24"/>
      <c r="O692" s="90"/>
      <c r="P692" s="24"/>
      <c r="Q692" s="24"/>
      <c r="R692" s="24"/>
      <c r="S692" s="90"/>
      <c r="T692" s="90"/>
      <c r="U692" s="24"/>
      <c r="V692" s="90"/>
      <c r="W692" s="90"/>
      <c r="X692" s="90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</row>
    <row r="693" spans="1:37" x14ac:dyDescent="0.25">
      <c r="A693" s="24"/>
      <c r="B693" s="90"/>
      <c r="C693" s="92"/>
      <c r="D693" s="24"/>
      <c r="E693" s="90"/>
      <c r="F693" s="90"/>
      <c r="G693" s="24"/>
      <c r="H693" s="90"/>
      <c r="I693" s="24"/>
      <c r="J693" s="90"/>
      <c r="K693" s="90"/>
      <c r="L693" s="24"/>
      <c r="M693" s="24"/>
      <c r="N693" s="24"/>
      <c r="O693" s="90"/>
      <c r="P693" s="24"/>
      <c r="Q693" s="24"/>
      <c r="R693" s="24"/>
      <c r="S693" s="90"/>
      <c r="T693" s="90"/>
      <c r="U693" s="24"/>
      <c r="V693" s="90"/>
      <c r="W693" s="90"/>
      <c r="X693" s="90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</row>
    <row r="694" spans="1:37" x14ac:dyDescent="0.25">
      <c r="A694" s="24"/>
      <c r="B694" s="90"/>
      <c r="C694" s="92"/>
      <c r="D694" s="24"/>
      <c r="E694" s="90"/>
      <c r="F694" s="90"/>
      <c r="G694" s="24"/>
      <c r="H694" s="90"/>
      <c r="I694" s="24"/>
      <c r="J694" s="90"/>
      <c r="K694" s="90"/>
      <c r="L694" s="24"/>
      <c r="M694" s="24"/>
      <c r="N694" s="24"/>
      <c r="O694" s="90"/>
      <c r="P694" s="24"/>
      <c r="Q694" s="24"/>
      <c r="R694" s="24"/>
      <c r="S694" s="90"/>
      <c r="T694" s="90"/>
      <c r="U694" s="24"/>
      <c r="V694" s="90"/>
      <c r="W694" s="90"/>
      <c r="X694" s="90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</row>
    <row r="695" spans="1:37" x14ac:dyDescent="0.25">
      <c r="A695" s="24"/>
      <c r="B695" s="90"/>
      <c r="C695" s="92"/>
      <c r="D695" s="24"/>
      <c r="E695" s="90"/>
      <c r="F695" s="90"/>
      <c r="G695" s="24"/>
      <c r="H695" s="90"/>
      <c r="I695" s="24"/>
      <c r="J695" s="90"/>
      <c r="K695" s="90"/>
      <c r="L695" s="24"/>
      <c r="M695" s="24"/>
      <c r="N695" s="24"/>
      <c r="O695" s="90"/>
      <c r="P695" s="24"/>
      <c r="Q695" s="24"/>
      <c r="R695" s="24"/>
      <c r="S695" s="90"/>
      <c r="T695" s="90"/>
      <c r="U695" s="24"/>
      <c r="V695" s="90"/>
      <c r="W695" s="90"/>
      <c r="X695" s="90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</row>
    <row r="696" spans="1:37" x14ac:dyDescent="0.25">
      <c r="A696" s="24"/>
      <c r="B696" s="90"/>
      <c r="C696" s="92"/>
      <c r="D696" s="24"/>
      <c r="E696" s="90"/>
      <c r="F696" s="90"/>
      <c r="G696" s="24"/>
      <c r="H696" s="90"/>
      <c r="I696" s="24"/>
      <c r="J696" s="90"/>
      <c r="K696" s="90"/>
      <c r="L696" s="24"/>
      <c r="M696" s="24"/>
      <c r="N696" s="24"/>
      <c r="O696" s="90"/>
      <c r="P696" s="24"/>
      <c r="Q696" s="24"/>
      <c r="R696" s="24"/>
      <c r="S696" s="90"/>
      <c r="T696" s="90"/>
      <c r="U696" s="24"/>
      <c r="V696" s="90"/>
      <c r="W696" s="90"/>
      <c r="X696" s="90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</row>
    <row r="697" spans="1:37" x14ac:dyDescent="0.25">
      <c r="A697" s="24"/>
      <c r="B697" s="90"/>
      <c r="C697" s="92"/>
      <c r="D697" s="24"/>
      <c r="E697" s="90"/>
      <c r="F697" s="90"/>
      <c r="G697" s="24"/>
      <c r="H697" s="90"/>
      <c r="I697" s="24"/>
      <c r="J697" s="90"/>
      <c r="K697" s="90"/>
      <c r="L697" s="24"/>
      <c r="M697" s="24"/>
      <c r="N697" s="24"/>
      <c r="O697" s="90"/>
      <c r="P697" s="24"/>
      <c r="Q697" s="24"/>
      <c r="R697" s="24"/>
      <c r="S697" s="90"/>
      <c r="T697" s="90"/>
      <c r="U697" s="24"/>
      <c r="V697" s="90"/>
      <c r="W697" s="90"/>
      <c r="X697" s="90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</row>
    <row r="698" spans="1:37" x14ac:dyDescent="0.25">
      <c r="A698" s="24"/>
      <c r="B698" s="90"/>
      <c r="C698" s="92"/>
      <c r="D698" s="24"/>
      <c r="E698" s="90"/>
      <c r="F698" s="90"/>
      <c r="G698" s="24"/>
      <c r="H698" s="90"/>
      <c r="I698" s="24"/>
      <c r="J698" s="90"/>
      <c r="K698" s="90"/>
      <c r="L698" s="24"/>
      <c r="M698" s="24"/>
      <c r="N698" s="24"/>
      <c r="O698" s="90"/>
      <c r="P698" s="24"/>
      <c r="Q698" s="24"/>
      <c r="R698" s="24"/>
      <c r="S698" s="90"/>
      <c r="T698" s="90"/>
      <c r="U698" s="24"/>
      <c r="V698" s="90"/>
      <c r="W698" s="90"/>
      <c r="X698" s="90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</row>
    <row r="699" spans="1:37" x14ac:dyDescent="0.25">
      <c r="A699" s="24"/>
      <c r="B699" s="90"/>
      <c r="C699" s="92"/>
      <c r="D699" s="24"/>
      <c r="E699" s="90"/>
      <c r="F699" s="90"/>
      <c r="G699" s="24"/>
      <c r="H699" s="90"/>
      <c r="I699" s="24"/>
      <c r="J699" s="90"/>
      <c r="K699" s="90"/>
      <c r="L699" s="24"/>
      <c r="M699" s="24"/>
      <c r="N699" s="24"/>
      <c r="O699" s="90"/>
      <c r="P699" s="24"/>
      <c r="Q699" s="24"/>
      <c r="R699" s="24"/>
      <c r="S699" s="90"/>
      <c r="T699" s="90"/>
      <c r="U699" s="24"/>
      <c r="V699" s="90"/>
      <c r="W699" s="90"/>
      <c r="X699" s="90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</row>
    <row r="700" spans="1:37" x14ac:dyDescent="0.25">
      <c r="A700" s="24"/>
      <c r="B700" s="90"/>
      <c r="C700" s="92"/>
      <c r="D700" s="24"/>
      <c r="E700" s="90"/>
      <c r="F700" s="90"/>
      <c r="G700" s="24"/>
      <c r="H700" s="90"/>
      <c r="I700" s="24"/>
      <c r="J700" s="90"/>
      <c r="K700" s="90"/>
      <c r="L700" s="24"/>
      <c r="M700" s="24"/>
      <c r="N700" s="24"/>
      <c r="O700" s="90"/>
      <c r="P700" s="24"/>
      <c r="Q700" s="24"/>
      <c r="R700" s="24"/>
      <c r="S700" s="90"/>
      <c r="T700" s="90"/>
      <c r="U700" s="24"/>
      <c r="V700" s="90"/>
      <c r="W700" s="90"/>
      <c r="X700" s="90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</row>
    <row r="701" spans="1:37" x14ac:dyDescent="0.25">
      <c r="A701" s="24"/>
      <c r="B701" s="90"/>
      <c r="C701" s="92"/>
      <c r="D701" s="24"/>
      <c r="E701" s="90"/>
      <c r="F701" s="90"/>
      <c r="G701" s="24"/>
      <c r="H701" s="90"/>
      <c r="I701" s="24"/>
      <c r="J701" s="90"/>
      <c r="K701" s="90"/>
      <c r="L701" s="24"/>
      <c r="M701" s="24"/>
      <c r="N701" s="24"/>
      <c r="O701" s="90"/>
      <c r="P701" s="24"/>
      <c r="Q701" s="24"/>
      <c r="R701" s="24"/>
      <c r="S701" s="90"/>
      <c r="T701" s="90"/>
      <c r="U701" s="24"/>
      <c r="V701" s="90"/>
      <c r="W701" s="90"/>
      <c r="X701" s="90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</row>
    <row r="702" spans="1:37" x14ac:dyDescent="0.25">
      <c r="A702" s="24"/>
      <c r="B702" s="90"/>
      <c r="C702" s="92"/>
      <c r="D702" s="24"/>
      <c r="E702" s="90"/>
      <c r="F702" s="90"/>
      <c r="G702" s="24"/>
      <c r="H702" s="90"/>
      <c r="I702" s="24"/>
      <c r="J702" s="90"/>
      <c r="K702" s="90"/>
      <c r="L702" s="24"/>
      <c r="M702" s="24"/>
      <c r="N702" s="24"/>
      <c r="O702" s="90"/>
      <c r="P702" s="24"/>
      <c r="Q702" s="24"/>
      <c r="R702" s="24"/>
      <c r="S702" s="90"/>
      <c r="T702" s="90"/>
      <c r="U702" s="24"/>
      <c r="V702" s="90"/>
      <c r="W702" s="90"/>
      <c r="X702" s="90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</row>
    <row r="703" spans="1:37" x14ac:dyDescent="0.25">
      <c r="A703" s="24"/>
      <c r="B703" s="90"/>
      <c r="C703" s="92"/>
      <c r="D703" s="24"/>
      <c r="E703" s="90"/>
      <c r="F703" s="90"/>
      <c r="G703" s="24"/>
      <c r="H703" s="90"/>
      <c r="I703" s="24"/>
      <c r="J703" s="90"/>
      <c r="K703" s="90"/>
      <c r="L703" s="24"/>
      <c r="M703" s="24"/>
      <c r="N703" s="24"/>
      <c r="O703" s="90"/>
      <c r="P703" s="24"/>
      <c r="Q703" s="24"/>
      <c r="R703" s="24"/>
      <c r="S703" s="90"/>
      <c r="T703" s="90"/>
      <c r="U703" s="24"/>
      <c r="V703" s="90"/>
      <c r="W703" s="90"/>
      <c r="X703" s="90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</row>
    <row r="704" spans="1:37" x14ac:dyDescent="0.25">
      <c r="A704" s="24"/>
      <c r="B704" s="90"/>
      <c r="C704" s="92"/>
      <c r="D704" s="24"/>
      <c r="E704" s="90"/>
      <c r="F704" s="90"/>
      <c r="G704" s="24"/>
      <c r="H704" s="90"/>
      <c r="I704" s="24"/>
      <c r="J704" s="90"/>
      <c r="K704" s="90"/>
      <c r="L704" s="24"/>
      <c r="M704" s="24"/>
      <c r="N704" s="24"/>
      <c r="O704" s="90"/>
      <c r="P704" s="24"/>
      <c r="Q704" s="24"/>
      <c r="R704" s="24"/>
      <c r="S704" s="90"/>
      <c r="T704" s="90"/>
      <c r="U704" s="24"/>
      <c r="V704" s="90"/>
      <c r="W704" s="90"/>
      <c r="X704" s="90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</row>
    <row r="705" spans="1:37" x14ac:dyDescent="0.25">
      <c r="A705" s="24"/>
      <c r="B705" s="90"/>
      <c r="C705" s="92"/>
      <c r="D705" s="24"/>
      <c r="E705" s="90"/>
      <c r="F705" s="90"/>
      <c r="G705" s="24"/>
      <c r="H705" s="90"/>
      <c r="I705" s="24"/>
      <c r="J705" s="90"/>
      <c r="K705" s="90"/>
      <c r="L705" s="24"/>
      <c r="M705" s="24"/>
      <c r="N705" s="24"/>
      <c r="O705" s="90"/>
      <c r="P705" s="24"/>
      <c r="Q705" s="24"/>
      <c r="R705" s="24"/>
      <c r="S705" s="90"/>
      <c r="T705" s="90"/>
      <c r="U705" s="24"/>
      <c r="V705" s="90"/>
      <c r="W705" s="90"/>
      <c r="X705" s="90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</row>
    <row r="706" spans="1:37" x14ac:dyDescent="0.25">
      <c r="A706" s="24"/>
      <c r="B706" s="90"/>
      <c r="C706" s="92"/>
      <c r="D706" s="24"/>
      <c r="E706" s="90"/>
      <c r="F706" s="90"/>
      <c r="G706" s="24"/>
      <c r="H706" s="90"/>
      <c r="I706" s="24"/>
      <c r="J706" s="90"/>
      <c r="K706" s="90"/>
      <c r="L706" s="24"/>
      <c r="M706" s="24"/>
      <c r="N706" s="24"/>
      <c r="O706" s="90"/>
      <c r="P706" s="24"/>
      <c r="Q706" s="24"/>
      <c r="R706" s="24"/>
      <c r="S706" s="90"/>
      <c r="T706" s="90"/>
      <c r="U706" s="24"/>
      <c r="V706" s="90"/>
      <c r="W706" s="90"/>
      <c r="X706" s="90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</row>
    <row r="707" spans="1:37" x14ac:dyDescent="0.25">
      <c r="A707" s="24"/>
      <c r="B707" s="90"/>
      <c r="C707" s="92"/>
      <c r="D707" s="24"/>
      <c r="E707" s="90"/>
      <c r="F707" s="90"/>
      <c r="G707" s="24"/>
      <c r="H707" s="90"/>
      <c r="I707" s="24"/>
      <c r="J707" s="90"/>
      <c r="K707" s="90"/>
      <c r="L707" s="24"/>
      <c r="M707" s="24"/>
      <c r="N707" s="24"/>
      <c r="O707" s="90"/>
      <c r="P707" s="24"/>
      <c r="Q707" s="24"/>
      <c r="R707" s="24"/>
      <c r="S707" s="90"/>
      <c r="T707" s="90"/>
      <c r="U707" s="24"/>
      <c r="V707" s="90"/>
      <c r="W707" s="90"/>
      <c r="X707" s="90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</row>
    <row r="708" spans="1:37" x14ac:dyDescent="0.25">
      <c r="A708" s="24"/>
      <c r="B708" s="90"/>
      <c r="C708" s="92"/>
      <c r="D708" s="24"/>
      <c r="E708" s="90"/>
      <c r="F708" s="90"/>
      <c r="G708" s="24"/>
      <c r="H708" s="90"/>
      <c r="I708" s="24"/>
      <c r="J708" s="90"/>
      <c r="K708" s="90"/>
      <c r="L708" s="24"/>
      <c r="M708" s="24"/>
      <c r="N708" s="24"/>
      <c r="O708" s="90"/>
      <c r="P708" s="24"/>
      <c r="Q708" s="24"/>
      <c r="R708" s="24"/>
      <c r="S708" s="90"/>
      <c r="T708" s="90"/>
      <c r="U708" s="24"/>
      <c r="V708" s="90"/>
      <c r="W708" s="90"/>
      <c r="X708" s="90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</row>
    <row r="709" spans="1:37" x14ac:dyDescent="0.25">
      <c r="A709" s="24"/>
      <c r="B709" s="90"/>
      <c r="C709" s="92"/>
      <c r="D709" s="24"/>
      <c r="E709" s="90"/>
      <c r="F709" s="90"/>
      <c r="G709" s="24"/>
      <c r="H709" s="90"/>
      <c r="I709" s="24"/>
      <c r="J709" s="90"/>
      <c r="K709" s="90"/>
      <c r="L709" s="24"/>
      <c r="M709" s="24"/>
      <c r="N709" s="24"/>
      <c r="O709" s="90"/>
      <c r="P709" s="24"/>
      <c r="Q709" s="24"/>
      <c r="R709" s="24"/>
      <c r="S709" s="90"/>
      <c r="T709" s="90"/>
      <c r="U709" s="24"/>
      <c r="V709" s="90"/>
      <c r="W709" s="90"/>
      <c r="X709" s="90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24"/>
      <c r="AK709" s="24"/>
    </row>
    <row r="710" spans="1:37" x14ac:dyDescent="0.25">
      <c r="A710" s="24"/>
      <c r="B710" s="90"/>
      <c r="C710" s="92"/>
      <c r="D710" s="24"/>
      <c r="E710" s="90"/>
      <c r="F710" s="90"/>
      <c r="G710" s="24"/>
      <c r="H710" s="90"/>
      <c r="I710" s="24"/>
      <c r="J710" s="90"/>
      <c r="K710" s="90"/>
      <c r="L710" s="24"/>
      <c r="M710" s="24"/>
      <c r="N710" s="24"/>
      <c r="O710" s="90"/>
      <c r="P710" s="24"/>
      <c r="Q710" s="24"/>
      <c r="R710" s="24"/>
      <c r="S710" s="90"/>
      <c r="T710" s="90"/>
      <c r="U710" s="24"/>
      <c r="V710" s="90"/>
      <c r="W710" s="90"/>
      <c r="X710" s="90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</row>
    <row r="711" spans="1:37" x14ac:dyDescent="0.25">
      <c r="A711" s="24"/>
      <c r="B711" s="90"/>
      <c r="C711" s="92"/>
      <c r="D711" s="24"/>
      <c r="E711" s="90"/>
      <c r="F711" s="90"/>
      <c r="G711" s="24"/>
      <c r="H711" s="90"/>
      <c r="I711" s="24"/>
      <c r="J711" s="90"/>
      <c r="K711" s="90"/>
      <c r="L711" s="24"/>
      <c r="M711" s="24"/>
      <c r="N711" s="24"/>
      <c r="O711" s="90"/>
      <c r="P711" s="24"/>
      <c r="Q711" s="24"/>
      <c r="R711" s="24"/>
      <c r="S711" s="90"/>
      <c r="T711" s="90"/>
      <c r="U711" s="24"/>
      <c r="V711" s="90"/>
      <c r="W711" s="90"/>
      <c r="X711" s="90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24"/>
      <c r="AK711" s="24"/>
    </row>
    <row r="712" spans="1:37" x14ac:dyDescent="0.25">
      <c r="A712" s="24"/>
      <c r="B712" s="90"/>
      <c r="C712" s="92"/>
      <c r="D712" s="24"/>
      <c r="E712" s="90"/>
      <c r="F712" s="90"/>
      <c r="G712" s="24"/>
      <c r="H712" s="90"/>
      <c r="I712" s="24"/>
      <c r="J712" s="90"/>
      <c r="K712" s="90"/>
      <c r="L712" s="24"/>
      <c r="M712" s="24"/>
      <c r="N712" s="24"/>
      <c r="O712" s="90"/>
      <c r="P712" s="24"/>
      <c r="Q712" s="24"/>
      <c r="R712" s="24"/>
      <c r="S712" s="90"/>
      <c r="T712" s="90"/>
      <c r="U712" s="24"/>
      <c r="V712" s="90"/>
      <c r="W712" s="90"/>
      <c r="X712" s="90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</row>
    <row r="713" spans="1:37" x14ac:dyDescent="0.25">
      <c r="A713" s="24"/>
      <c r="B713" s="90"/>
      <c r="C713" s="92"/>
      <c r="D713" s="24"/>
      <c r="E713" s="90"/>
      <c r="F713" s="90"/>
      <c r="G713" s="24"/>
      <c r="H713" s="90"/>
      <c r="I713" s="24"/>
      <c r="J713" s="90"/>
      <c r="K713" s="90"/>
      <c r="L713" s="24"/>
      <c r="M713" s="24"/>
      <c r="N713" s="24"/>
      <c r="O713" s="90"/>
      <c r="P713" s="24"/>
      <c r="Q713" s="24"/>
      <c r="R713" s="24"/>
      <c r="S713" s="90"/>
      <c r="T713" s="90"/>
      <c r="U713" s="24"/>
      <c r="V713" s="90"/>
      <c r="W713" s="90"/>
      <c r="X713" s="90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</row>
    <row r="714" spans="1:37" x14ac:dyDescent="0.25">
      <c r="A714" s="24"/>
      <c r="B714" s="90"/>
      <c r="C714" s="92"/>
      <c r="D714" s="24"/>
      <c r="E714" s="90"/>
      <c r="F714" s="90"/>
      <c r="G714" s="24"/>
      <c r="H714" s="90"/>
      <c r="I714" s="24"/>
      <c r="J714" s="90"/>
      <c r="K714" s="90"/>
      <c r="L714" s="24"/>
      <c r="M714" s="24"/>
      <c r="N714" s="24"/>
      <c r="O714" s="90"/>
      <c r="P714" s="24"/>
      <c r="Q714" s="24"/>
      <c r="R714" s="24"/>
      <c r="S714" s="90"/>
      <c r="T714" s="90"/>
      <c r="U714" s="24"/>
      <c r="V714" s="90"/>
      <c r="W714" s="90"/>
      <c r="X714" s="90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</row>
    <row r="715" spans="1:37" x14ac:dyDescent="0.25">
      <c r="A715" s="24"/>
      <c r="B715" s="90"/>
      <c r="C715" s="92"/>
      <c r="D715" s="24"/>
      <c r="E715" s="90"/>
      <c r="F715" s="90"/>
      <c r="G715" s="24"/>
      <c r="H715" s="90"/>
      <c r="I715" s="24"/>
      <c r="J715" s="90"/>
      <c r="K715" s="90"/>
      <c r="L715" s="24"/>
      <c r="M715" s="24"/>
      <c r="N715" s="24"/>
      <c r="O715" s="90"/>
      <c r="P715" s="24"/>
      <c r="Q715" s="24"/>
      <c r="R715" s="24"/>
      <c r="S715" s="90"/>
      <c r="T715" s="90"/>
      <c r="U715" s="24"/>
      <c r="V715" s="90"/>
      <c r="W715" s="90"/>
      <c r="X715" s="90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</row>
    <row r="716" spans="1:37" x14ac:dyDescent="0.25">
      <c r="A716" s="24"/>
      <c r="B716" s="90"/>
      <c r="C716" s="92"/>
      <c r="D716" s="24"/>
      <c r="E716" s="90"/>
      <c r="F716" s="90"/>
      <c r="G716" s="24"/>
      <c r="H716" s="90"/>
      <c r="I716" s="24"/>
      <c r="J716" s="90"/>
      <c r="K716" s="90"/>
      <c r="L716" s="24"/>
      <c r="M716" s="24"/>
      <c r="N716" s="24"/>
      <c r="O716" s="90"/>
      <c r="P716" s="24"/>
      <c r="Q716" s="24"/>
      <c r="R716" s="24"/>
      <c r="S716" s="90"/>
      <c r="T716" s="90"/>
      <c r="U716" s="24"/>
      <c r="V716" s="90"/>
      <c r="W716" s="90"/>
      <c r="X716" s="90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</row>
    <row r="717" spans="1:37" x14ac:dyDescent="0.25">
      <c r="A717" s="24"/>
      <c r="B717" s="90"/>
      <c r="C717" s="92"/>
      <c r="D717" s="24"/>
      <c r="E717" s="90"/>
      <c r="F717" s="90"/>
      <c r="G717" s="24"/>
      <c r="H717" s="90"/>
      <c r="I717" s="24"/>
      <c r="J717" s="90"/>
      <c r="K717" s="90"/>
      <c r="L717" s="24"/>
      <c r="M717" s="24"/>
      <c r="N717" s="24"/>
      <c r="O717" s="90"/>
      <c r="P717" s="24"/>
      <c r="Q717" s="24"/>
      <c r="R717" s="24"/>
      <c r="S717" s="90"/>
      <c r="T717" s="90"/>
      <c r="U717" s="24"/>
      <c r="V717" s="90"/>
      <c r="W717" s="90"/>
      <c r="X717" s="90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</row>
    <row r="718" spans="1:37" x14ac:dyDescent="0.25">
      <c r="A718" s="24"/>
      <c r="B718" s="90"/>
      <c r="C718" s="92"/>
      <c r="D718" s="24"/>
      <c r="E718" s="90"/>
      <c r="F718" s="90"/>
      <c r="G718" s="24"/>
      <c r="H718" s="90"/>
      <c r="I718" s="24"/>
      <c r="J718" s="90"/>
      <c r="K718" s="90"/>
      <c r="L718" s="24"/>
      <c r="M718" s="24"/>
      <c r="N718" s="24"/>
      <c r="O718" s="90"/>
      <c r="P718" s="24"/>
      <c r="Q718" s="24"/>
      <c r="R718" s="24"/>
      <c r="S718" s="90"/>
      <c r="T718" s="90"/>
      <c r="U718" s="24"/>
      <c r="V718" s="90"/>
      <c r="W718" s="90"/>
      <c r="X718" s="90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</row>
    <row r="719" spans="1:37" x14ac:dyDescent="0.25">
      <c r="A719" s="24"/>
      <c r="B719" s="90"/>
      <c r="C719" s="92"/>
      <c r="D719" s="24"/>
      <c r="E719" s="90"/>
      <c r="F719" s="90"/>
      <c r="G719" s="24"/>
      <c r="H719" s="90"/>
      <c r="I719" s="24"/>
      <c r="J719" s="90"/>
      <c r="K719" s="90"/>
      <c r="L719" s="24"/>
      <c r="M719" s="24"/>
      <c r="N719" s="24"/>
      <c r="O719" s="90"/>
      <c r="P719" s="24"/>
      <c r="Q719" s="24"/>
      <c r="R719" s="24"/>
      <c r="S719" s="90"/>
      <c r="T719" s="90"/>
      <c r="U719" s="24"/>
      <c r="V719" s="90"/>
      <c r="W719" s="90"/>
      <c r="X719" s="90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</row>
    <row r="720" spans="1:37" x14ac:dyDescent="0.25">
      <c r="A720" s="24"/>
      <c r="B720" s="90"/>
      <c r="C720" s="92"/>
      <c r="D720" s="24"/>
      <c r="E720" s="90"/>
      <c r="F720" s="90"/>
      <c r="G720" s="24"/>
      <c r="H720" s="90"/>
      <c r="I720" s="24"/>
      <c r="J720" s="90"/>
      <c r="K720" s="90"/>
      <c r="L720" s="24"/>
      <c r="M720" s="24"/>
      <c r="N720" s="24"/>
      <c r="O720" s="90"/>
      <c r="P720" s="24"/>
      <c r="Q720" s="24"/>
      <c r="R720" s="24"/>
      <c r="S720" s="90"/>
      <c r="T720" s="90"/>
      <c r="U720" s="24"/>
      <c r="V720" s="90"/>
      <c r="W720" s="90"/>
      <c r="X720" s="90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</row>
    <row r="721" spans="1:37" x14ac:dyDescent="0.25">
      <c r="A721" s="24"/>
      <c r="B721" s="90"/>
      <c r="C721" s="92"/>
      <c r="D721" s="24"/>
      <c r="E721" s="90"/>
      <c r="F721" s="90"/>
      <c r="G721" s="24"/>
      <c r="H721" s="90"/>
      <c r="I721" s="24"/>
      <c r="J721" s="90"/>
      <c r="K721" s="90"/>
      <c r="L721" s="24"/>
      <c r="M721" s="24"/>
      <c r="N721" s="24"/>
      <c r="O721" s="90"/>
      <c r="P721" s="24"/>
      <c r="Q721" s="24"/>
      <c r="R721" s="24"/>
      <c r="S721" s="90"/>
      <c r="T721" s="90"/>
      <c r="U721" s="24"/>
      <c r="V721" s="90"/>
      <c r="W721" s="90"/>
      <c r="X721" s="90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</row>
    <row r="722" spans="1:37" x14ac:dyDescent="0.25">
      <c r="A722" s="24"/>
      <c r="B722" s="90"/>
      <c r="C722" s="92"/>
      <c r="D722" s="24"/>
      <c r="E722" s="90"/>
      <c r="F722" s="90"/>
      <c r="G722" s="24"/>
      <c r="H722" s="90"/>
      <c r="I722" s="24"/>
      <c r="J722" s="90"/>
      <c r="K722" s="90"/>
      <c r="L722" s="24"/>
      <c r="M722" s="24"/>
      <c r="N722" s="24"/>
      <c r="O722" s="90"/>
      <c r="P722" s="24"/>
      <c r="Q722" s="24"/>
      <c r="R722" s="24"/>
      <c r="S722" s="90"/>
      <c r="T722" s="90"/>
      <c r="U722" s="24"/>
      <c r="V722" s="90"/>
      <c r="W722" s="90"/>
      <c r="X722" s="90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</row>
    <row r="723" spans="1:37" x14ac:dyDescent="0.25">
      <c r="A723" s="24"/>
      <c r="B723" s="90"/>
      <c r="C723" s="92"/>
      <c r="D723" s="24"/>
      <c r="E723" s="90"/>
      <c r="F723" s="90"/>
      <c r="G723" s="24"/>
      <c r="H723" s="90"/>
      <c r="I723" s="24"/>
      <c r="J723" s="90"/>
      <c r="K723" s="90"/>
      <c r="L723" s="24"/>
      <c r="M723" s="24"/>
      <c r="N723" s="24"/>
      <c r="O723" s="90"/>
      <c r="P723" s="24"/>
      <c r="Q723" s="24"/>
      <c r="R723" s="24"/>
      <c r="S723" s="90"/>
      <c r="T723" s="90"/>
      <c r="U723" s="24"/>
      <c r="V723" s="90"/>
      <c r="W723" s="90"/>
      <c r="X723" s="90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</row>
    <row r="724" spans="1:37" x14ac:dyDescent="0.25">
      <c r="A724" s="24"/>
      <c r="B724" s="90"/>
      <c r="C724" s="92"/>
      <c r="D724" s="24"/>
      <c r="E724" s="90"/>
      <c r="F724" s="90"/>
      <c r="G724" s="24"/>
      <c r="H724" s="90"/>
      <c r="I724" s="24"/>
      <c r="J724" s="90"/>
      <c r="K724" s="90"/>
      <c r="L724" s="24"/>
      <c r="M724" s="24"/>
      <c r="N724" s="24"/>
      <c r="O724" s="90"/>
      <c r="P724" s="24"/>
      <c r="Q724" s="24"/>
      <c r="R724" s="24"/>
      <c r="S724" s="90"/>
      <c r="T724" s="90"/>
      <c r="U724" s="24"/>
      <c r="V724" s="90"/>
      <c r="W724" s="90"/>
      <c r="X724" s="90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</row>
    <row r="725" spans="1:37" x14ac:dyDescent="0.25">
      <c r="A725" s="24"/>
      <c r="B725" s="90"/>
      <c r="C725" s="92"/>
      <c r="D725" s="24"/>
      <c r="E725" s="90"/>
      <c r="F725" s="90"/>
      <c r="G725" s="24"/>
      <c r="H725" s="90"/>
      <c r="I725" s="24"/>
      <c r="J725" s="90"/>
      <c r="K725" s="90"/>
      <c r="L725" s="24"/>
      <c r="M725" s="24"/>
      <c r="N725" s="24"/>
      <c r="O725" s="90"/>
      <c r="P725" s="24"/>
      <c r="Q725" s="24"/>
      <c r="R725" s="24"/>
      <c r="S725" s="90"/>
      <c r="T725" s="90"/>
      <c r="U725" s="24"/>
      <c r="V725" s="90"/>
      <c r="W725" s="90"/>
      <c r="X725" s="90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</row>
    <row r="726" spans="1:37" x14ac:dyDescent="0.25">
      <c r="A726" s="24"/>
      <c r="B726" s="90"/>
      <c r="C726" s="92"/>
      <c r="D726" s="24"/>
      <c r="E726" s="90"/>
      <c r="F726" s="90"/>
      <c r="G726" s="24"/>
      <c r="H726" s="90"/>
      <c r="I726" s="24"/>
      <c r="J726" s="90"/>
      <c r="K726" s="90"/>
      <c r="L726" s="24"/>
      <c r="M726" s="24"/>
      <c r="N726" s="24"/>
      <c r="O726" s="90"/>
      <c r="P726" s="24"/>
      <c r="Q726" s="24"/>
      <c r="R726" s="24"/>
      <c r="S726" s="90"/>
      <c r="T726" s="90"/>
      <c r="U726" s="24"/>
      <c r="V726" s="90"/>
      <c r="W726" s="90"/>
      <c r="X726" s="90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</row>
    <row r="727" spans="1:37" x14ac:dyDescent="0.25">
      <c r="A727" s="24"/>
      <c r="B727" s="90"/>
      <c r="C727" s="92"/>
      <c r="D727" s="24"/>
      <c r="E727" s="90"/>
      <c r="F727" s="90"/>
      <c r="G727" s="24"/>
      <c r="H727" s="90"/>
      <c r="I727" s="24"/>
      <c r="J727" s="90"/>
      <c r="K727" s="90"/>
      <c r="L727" s="24"/>
      <c r="M727" s="24"/>
      <c r="N727" s="24"/>
      <c r="O727" s="90"/>
      <c r="P727" s="24"/>
      <c r="Q727" s="24"/>
      <c r="R727" s="24"/>
      <c r="S727" s="90"/>
      <c r="T727" s="90"/>
      <c r="U727" s="24"/>
      <c r="V727" s="90"/>
      <c r="W727" s="90"/>
      <c r="X727" s="90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</row>
    <row r="728" spans="1:37" x14ac:dyDescent="0.25">
      <c r="A728" s="24"/>
      <c r="B728" s="90"/>
      <c r="C728" s="92"/>
      <c r="D728" s="24"/>
      <c r="E728" s="90"/>
      <c r="F728" s="90"/>
      <c r="G728" s="24"/>
      <c r="H728" s="90"/>
      <c r="I728" s="24"/>
      <c r="J728" s="90"/>
      <c r="K728" s="90"/>
      <c r="L728" s="24"/>
      <c r="M728" s="24"/>
      <c r="N728" s="24"/>
      <c r="O728" s="90"/>
      <c r="P728" s="24"/>
      <c r="Q728" s="24"/>
      <c r="R728" s="24"/>
      <c r="S728" s="90"/>
      <c r="T728" s="90"/>
      <c r="U728" s="24"/>
      <c r="V728" s="90"/>
      <c r="W728" s="90"/>
      <c r="X728" s="90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</row>
    <row r="729" spans="1:37" x14ac:dyDescent="0.25">
      <c r="A729" s="24"/>
      <c r="B729" s="90"/>
      <c r="C729" s="92"/>
      <c r="D729" s="24"/>
      <c r="E729" s="90"/>
      <c r="F729" s="90"/>
      <c r="G729" s="24"/>
      <c r="H729" s="90"/>
      <c r="I729" s="24"/>
      <c r="J729" s="90"/>
      <c r="K729" s="90"/>
      <c r="L729" s="24"/>
      <c r="M729" s="24"/>
      <c r="N729" s="24"/>
      <c r="O729" s="90"/>
      <c r="P729" s="24"/>
      <c r="Q729" s="24"/>
      <c r="R729" s="24"/>
      <c r="S729" s="90"/>
      <c r="T729" s="90"/>
      <c r="U729" s="24"/>
      <c r="V729" s="90"/>
      <c r="W729" s="90"/>
      <c r="X729" s="90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</row>
    <row r="730" spans="1:37" x14ac:dyDescent="0.25">
      <c r="A730" s="24"/>
      <c r="B730" s="90"/>
      <c r="C730" s="92"/>
      <c r="D730" s="24"/>
      <c r="E730" s="90"/>
      <c r="F730" s="90"/>
      <c r="G730" s="24"/>
      <c r="H730" s="90"/>
      <c r="I730" s="24"/>
      <c r="J730" s="90"/>
      <c r="K730" s="90"/>
      <c r="L730" s="24"/>
      <c r="M730" s="24"/>
      <c r="N730" s="24"/>
      <c r="O730" s="90"/>
      <c r="P730" s="24"/>
      <c r="Q730" s="24"/>
      <c r="R730" s="24"/>
      <c r="S730" s="90"/>
      <c r="T730" s="90"/>
      <c r="U730" s="24"/>
      <c r="V730" s="90"/>
      <c r="W730" s="90"/>
      <c r="X730" s="90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</row>
    <row r="731" spans="1:37" x14ac:dyDescent="0.25">
      <c r="A731" s="24"/>
      <c r="B731" s="90"/>
      <c r="C731" s="92"/>
      <c r="D731" s="24"/>
      <c r="E731" s="90"/>
      <c r="F731" s="90"/>
      <c r="G731" s="24"/>
      <c r="H731" s="90"/>
      <c r="I731" s="24"/>
      <c r="J731" s="90"/>
      <c r="K731" s="90"/>
      <c r="L731" s="24"/>
      <c r="M731" s="24"/>
      <c r="N731" s="24"/>
      <c r="O731" s="90"/>
      <c r="P731" s="24"/>
      <c r="Q731" s="24"/>
      <c r="R731" s="24"/>
      <c r="S731" s="90"/>
      <c r="T731" s="90"/>
      <c r="U731" s="24"/>
      <c r="V731" s="90"/>
      <c r="W731" s="90"/>
      <c r="X731" s="90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</row>
    <row r="732" spans="1:37" x14ac:dyDescent="0.25">
      <c r="A732" s="24"/>
      <c r="B732" s="90"/>
      <c r="C732" s="92"/>
      <c r="D732" s="24"/>
      <c r="E732" s="90"/>
      <c r="F732" s="90"/>
      <c r="G732" s="24"/>
      <c r="H732" s="90"/>
      <c r="I732" s="24"/>
      <c r="J732" s="90"/>
      <c r="K732" s="90"/>
      <c r="L732" s="24"/>
      <c r="M732" s="24"/>
      <c r="N732" s="24"/>
      <c r="O732" s="90"/>
      <c r="P732" s="24"/>
      <c r="Q732" s="24"/>
      <c r="R732" s="24"/>
      <c r="S732" s="90"/>
      <c r="T732" s="90"/>
      <c r="U732" s="24"/>
      <c r="V732" s="90"/>
      <c r="W732" s="90"/>
      <c r="X732" s="90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</row>
    <row r="733" spans="1:37" x14ac:dyDescent="0.25">
      <c r="A733" s="24"/>
      <c r="B733" s="90"/>
      <c r="C733" s="92"/>
      <c r="D733" s="24"/>
      <c r="E733" s="90"/>
      <c r="F733" s="90"/>
      <c r="G733" s="24"/>
      <c r="H733" s="90"/>
      <c r="I733" s="24"/>
      <c r="J733" s="90"/>
      <c r="K733" s="90"/>
      <c r="L733" s="24"/>
      <c r="M733" s="24"/>
      <c r="N733" s="24"/>
      <c r="O733" s="90"/>
      <c r="P733" s="24"/>
      <c r="Q733" s="24"/>
      <c r="R733" s="24"/>
      <c r="S733" s="90"/>
      <c r="T733" s="90"/>
      <c r="U733" s="24"/>
      <c r="V733" s="90"/>
      <c r="W733" s="90"/>
      <c r="X733" s="90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</row>
    <row r="734" spans="1:37" x14ac:dyDescent="0.25">
      <c r="A734" s="24"/>
      <c r="B734" s="90"/>
      <c r="C734" s="92"/>
      <c r="D734" s="24"/>
      <c r="E734" s="90"/>
      <c r="F734" s="90"/>
      <c r="G734" s="24"/>
      <c r="H734" s="90"/>
      <c r="I734" s="24"/>
      <c r="J734" s="90"/>
      <c r="K734" s="90"/>
      <c r="L734" s="24"/>
      <c r="M734" s="24"/>
      <c r="N734" s="24"/>
      <c r="O734" s="90"/>
      <c r="P734" s="24"/>
      <c r="Q734" s="24"/>
      <c r="R734" s="24"/>
      <c r="S734" s="90"/>
      <c r="T734" s="90"/>
      <c r="U734" s="24"/>
      <c r="V734" s="90"/>
      <c r="W734" s="90"/>
      <c r="X734" s="90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</row>
    <row r="735" spans="1:37" x14ac:dyDescent="0.25">
      <c r="A735" s="24"/>
      <c r="B735" s="90"/>
      <c r="C735" s="92"/>
      <c r="D735" s="24"/>
      <c r="E735" s="90"/>
      <c r="F735" s="90"/>
      <c r="G735" s="24"/>
      <c r="H735" s="90"/>
      <c r="I735" s="24"/>
      <c r="J735" s="90"/>
      <c r="K735" s="90"/>
      <c r="L735" s="24"/>
      <c r="M735" s="24"/>
      <c r="N735" s="24"/>
      <c r="O735" s="90"/>
      <c r="P735" s="24"/>
      <c r="Q735" s="24"/>
      <c r="R735" s="24"/>
      <c r="S735" s="90"/>
      <c r="T735" s="90"/>
      <c r="U735" s="24"/>
      <c r="V735" s="90"/>
      <c r="W735" s="90"/>
      <c r="X735" s="90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</row>
    <row r="736" spans="1:37" x14ac:dyDescent="0.25">
      <c r="A736" s="24"/>
      <c r="B736" s="90"/>
      <c r="C736" s="92"/>
      <c r="D736" s="24"/>
      <c r="E736" s="90"/>
      <c r="F736" s="90"/>
      <c r="G736" s="24"/>
      <c r="H736" s="90"/>
      <c r="I736" s="24"/>
      <c r="J736" s="90"/>
      <c r="K736" s="90"/>
      <c r="L736" s="24"/>
      <c r="M736" s="24"/>
      <c r="N736" s="24"/>
      <c r="O736" s="90"/>
      <c r="P736" s="24"/>
      <c r="Q736" s="24"/>
      <c r="R736" s="24"/>
      <c r="S736" s="90"/>
      <c r="T736" s="90"/>
      <c r="U736" s="24"/>
      <c r="V736" s="90"/>
      <c r="W736" s="90"/>
      <c r="X736" s="90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</row>
    <row r="737" spans="1:37" x14ac:dyDescent="0.25">
      <c r="A737" s="24"/>
      <c r="B737" s="90"/>
      <c r="C737" s="92"/>
      <c r="D737" s="24"/>
      <c r="E737" s="90"/>
      <c r="F737" s="90"/>
      <c r="G737" s="24"/>
      <c r="H737" s="90"/>
      <c r="I737" s="24"/>
      <c r="J737" s="90"/>
      <c r="K737" s="90"/>
      <c r="L737" s="24"/>
      <c r="M737" s="24"/>
      <c r="N737" s="24"/>
      <c r="O737" s="90"/>
      <c r="P737" s="24"/>
      <c r="Q737" s="24"/>
      <c r="R737" s="24"/>
      <c r="S737" s="90"/>
      <c r="T737" s="90"/>
      <c r="U737" s="24"/>
      <c r="V737" s="90"/>
      <c r="W737" s="90"/>
      <c r="X737" s="90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</row>
    <row r="738" spans="1:37" x14ac:dyDescent="0.25">
      <c r="A738" s="24"/>
      <c r="B738" s="90"/>
      <c r="C738" s="92"/>
      <c r="D738" s="24"/>
      <c r="E738" s="90"/>
      <c r="F738" s="90"/>
      <c r="G738" s="24"/>
      <c r="H738" s="90"/>
      <c r="I738" s="24"/>
      <c r="J738" s="90"/>
      <c r="K738" s="90"/>
      <c r="L738" s="24"/>
      <c r="M738" s="24"/>
      <c r="N738" s="24"/>
      <c r="O738" s="90"/>
      <c r="P738" s="24"/>
      <c r="Q738" s="24"/>
      <c r="R738" s="24"/>
      <c r="S738" s="90"/>
      <c r="T738" s="90"/>
      <c r="U738" s="24"/>
      <c r="V738" s="90"/>
      <c r="W738" s="90"/>
      <c r="X738" s="90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</row>
    <row r="739" spans="1:37" x14ac:dyDescent="0.25">
      <c r="A739" s="24"/>
      <c r="B739" s="90"/>
      <c r="C739" s="92"/>
      <c r="D739" s="24"/>
      <c r="E739" s="90"/>
      <c r="F739" s="90"/>
      <c r="G739" s="24"/>
      <c r="H739" s="90"/>
      <c r="I739" s="24"/>
      <c r="J739" s="90"/>
      <c r="K739" s="90"/>
      <c r="L739" s="24"/>
      <c r="M739" s="24"/>
      <c r="N739" s="24"/>
      <c r="O739" s="90"/>
      <c r="P739" s="24"/>
      <c r="Q739" s="24"/>
      <c r="R739" s="24"/>
      <c r="S739" s="90"/>
      <c r="T739" s="90"/>
      <c r="U739" s="24"/>
      <c r="V739" s="90"/>
      <c r="W739" s="90"/>
      <c r="X739" s="90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</row>
    <row r="740" spans="1:37" x14ac:dyDescent="0.25">
      <c r="A740" s="24"/>
      <c r="B740" s="90"/>
      <c r="C740" s="92"/>
      <c r="D740" s="24"/>
      <c r="E740" s="90"/>
      <c r="F740" s="90"/>
      <c r="G740" s="24"/>
      <c r="H740" s="90"/>
      <c r="I740" s="24"/>
      <c r="J740" s="90"/>
      <c r="K740" s="90"/>
      <c r="L740" s="24"/>
      <c r="M740" s="24"/>
      <c r="N740" s="24"/>
      <c r="O740" s="90"/>
      <c r="P740" s="24"/>
      <c r="Q740" s="24"/>
      <c r="R740" s="24"/>
      <c r="S740" s="90"/>
      <c r="T740" s="90"/>
      <c r="U740" s="24"/>
      <c r="V740" s="90"/>
      <c r="W740" s="90"/>
      <c r="X740" s="90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</row>
    <row r="741" spans="1:37" x14ac:dyDescent="0.25">
      <c r="A741" s="24"/>
      <c r="B741" s="90"/>
      <c r="C741" s="92"/>
      <c r="D741" s="24"/>
      <c r="E741" s="90"/>
      <c r="F741" s="90"/>
      <c r="G741" s="24"/>
      <c r="H741" s="90"/>
      <c r="I741" s="24"/>
      <c r="J741" s="90"/>
      <c r="K741" s="90"/>
      <c r="L741" s="24"/>
      <c r="M741" s="24"/>
      <c r="N741" s="24"/>
      <c r="O741" s="90"/>
      <c r="P741" s="24"/>
      <c r="Q741" s="24"/>
      <c r="R741" s="24"/>
      <c r="S741" s="90"/>
      <c r="T741" s="90"/>
      <c r="U741" s="24"/>
      <c r="V741" s="90"/>
      <c r="W741" s="90"/>
      <c r="X741" s="90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</row>
    <row r="742" spans="1:37" x14ac:dyDescent="0.25">
      <c r="A742" s="24"/>
      <c r="B742" s="90"/>
      <c r="C742" s="92"/>
      <c r="D742" s="24"/>
      <c r="E742" s="90"/>
      <c r="F742" s="90"/>
      <c r="G742" s="24"/>
      <c r="H742" s="90"/>
      <c r="I742" s="24"/>
      <c r="J742" s="90"/>
      <c r="K742" s="90"/>
      <c r="L742" s="24"/>
      <c r="M742" s="24"/>
      <c r="N742" s="24"/>
      <c r="O742" s="90"/>
      <c r="P742" s="24"/>
      <c r="Q742" s="24"/>
      <c r="R742" s="24"/>
      <c r="S742" s="90"/>
      <c r="T742" s="90"/>
      <c r="U742" s="24"/>
      <c r="V742" s="90"/>
      <c r="W742" s="90"/>
      <c r="X742" s="90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</row>
    <row r="743" spans="1:37" x14ac:dyDescent="0.25">
      <c r="A743" s="24"/>
      <c r="B743" s="90"/>
      <c r="C743" s="92"/>
      <c r="D743" s="24"/>
      <c r="E743" s="90"/>
      <c r="F743" s="90"/>
      <c r="G743" s="24"/>
      <c r="H743" s="90"/>
      <c r="I743" s="24"/>
      <c r="J743" s="90"/>
      <c r="K743" s="90"/>
      <c r="L743" s="24"/>
      <c r="M743" s="24"/>
      <c r="N743" s="24"/>
      <c r="O743" s="90"/>
      <c r="P743" s="24"/>
      <c r="Q743" s="24"/>
      <c r="R743" s="24"/>
      <c r="S743" s="90"/>
      <c r="T743" s="90"/>
      <c r="U743" s="24"/>
      <c r="V743" s="90"/>
      <c r="W743" s="90"/>
      <c r="X743" s="90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</row>
    <row r="744" spans="1:37" x14ac:dyDescent="0.25">
      <c r="A744" s="24"/>
      <c r="B744" s="90"/>
      <c r="C744" s="92"/>
      <c r="D744" s="24"/>
      <c r="E744" s="90"/>
      <c r="F744" s="90"/>
      <c r="G744" s="24"/>
      <c r="H744" s="90"/>
      <c r="I744" s="24"/>
      <c r="J744" s="90"/>
      <c r="K744" s="90"/>
      <c r="L744" s="24"/>
      <c r="M744" s="24"/>
      <c r="N744" s="24"/>
      <c r="O744" s="90"/>
      <c r="P744" s="24"/>
      <c r="Q744" s="24"/>
      <c r="R744" s="24"/>
      <c r="S744" s="90"/>
      <c r="T744" s="90"/>
      <c r="U744" s="24"/>
      <c r="V744" s="90"/>
      <c r="W744" s="90"/>
      <c r="X744" s="90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</row>
    <row r="745" spans="1:37" x14ac:dyDescent="0.25">
      <c r="A745" s="24"/>
      <c r="B745" s="90"/>
      <c r="C745" s="92"/>
      <c r="D745" s="24"/>
      <c r="E745" s="90"/>
      <c r="F745" s="90"/>
      <c r="G745" s="24"/>
      <c r="H745" s="90"/>
      <c r="I745" s="24"/>
      <c r="J745" s="90"/>
      <c r="K745" s="90"/>
      <c r="L745" s="24"/>
      <c r="M745" s="24"/>
      <c r="N745" s="24"/>
      <c r="O745" s="90"/>
      <c r="P745" s="24"/>
      <c r="Q745" s="24"/>
      <c r="R745" s="24"/>
      <c r="S745" s="90"/>
      <c r="T745" s="90"/>
      <c r="U745" s="24"/>
      <c r="V745" s="90"/>
      <c r="W745" s="90"/>
      <c r="X745" s="90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</row>
    <row r="746" spans="1:37" x14ac:dyDescent="0.25">
      <c r="A746" s="24"/>
      <c r="B746" s="90"/>
      <c r="C746" s="92"/>
      <c r="D746" s="24"/>
      <c r="E746" s="90"/>
      <c r="F746" s="90"/>
      <c r="G746" s="24"/>
      <c r="H746" s="90"/>
      <c r="I746" s="24"/>
      <c r="J746" s="90"/>
      <c r="K746" s="90"/>
      <c r="L746" s="24"/>
      <c r="M746" s="24"/>
      <c r="N746" s="24"/>
      <c r="O746" s="90"/>
      <c r="P746" s="24"/>
      <c r="Q746" s="24"/>
      <c r="R746" s="24"/>
      <c r="S746" s="90"/>
      <c r="T746" s="90"/>
      <c r="U746" s="24"/>
      <c r="V746" s="90"/>
      <c r="W746" s="90"/>
      <c r="X746" s="90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</row>
    <row r="747" spans="1:37" x14ac:dyDescent="0.25">
      <c r="A747" s="24"/>
      <c r="B747" s="90"/>
      <c r="C747" s="92"/>
      <c r="D747" s="24"/>
      <c r="E747" s="90"/>
      <c r="F747" s="90"/>
      <c r="G747" s="24"/>
      <c r="H747" s="90"/>
      <c r="I747" s="24"/>
      <c r="J747" s="90"/>
      <c r="K747" s="90"/>
      <c r="L747" s="24"/>
      <c r="M747" s="24"/>
      <c r="N747" s="24"/>
      <c r="O747" s="90"/>
      <c r="P747" s="24"/>
      <c r="Q747" s="24"/>
      <c r="R747" s="24"/>
      <c r="S747" s="90"/>
      <c r="T747" s="90"/>
      <c r="U747" s="24"/>
      <c r="V747" s="90"/>
      <c r="W747" s="90"/>
      <c r="X747" s="90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</row>
    <row r="748" spans="1:37" x14ac:dyDescent="0.25">
      <c r="A748" s="24"/>
      <c r="B748" s="90"/>
      <c r="C748" s="92"/>
      <c r="D748" s="24"/>
      <c r="E748" s="90"/>
      <c r="F748" s="90"/>
      <c r="G748" s="24"/>
      <c r="H748" s="90"/>
      <c r="I748" s="24"/>
      <c r="J748" s="90"/>
      <c r="K748" s="90"/>
      <c r="L748" s="24"/>
      <c r="M748" s="24"/>
      <c r="N748" s="24"/>
      <c r="O748" s="90"/>
      <c r="P748" s="24"/>
      <c r="Q748" s="24"/>
      <c r="R748" s="24"/>
      <c r="S748" s="90"/>
      <c r="T748" s="90"/>
      <c r="U748" s="24"/>
      <c r="V748" s="90"/>
      <c r="W748" s="90"/>
      <c r="X748" s="90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</row>
    <row r="749" spans="1:37" x14ac:dyDescent="0.25">
      <c r="A749" s="24"/>
      <c r="B749" s="90"/>
      <c r="C749" s="92"/>
      <c r="D749" s="24"/>
      <c r="E749" s="90"/>
      <c r="F749" s="90"/>
      <c r="G749" s="24"/>
      <c r="H749" s="90"/>
      <c r="I749" s="24"/>
      <c r="J749" s="90"/>
      <c r="K749" s="90"/>
      <c r="L749" s="24"/>
      <c r="M749" s="24"/>
      <c r="N749" s="24"/>
      <c r="O749" s="90"/>
      <c r="P749" s="24"/>
      <c r="Q749" s="24"/>
      <c r="R749" s="24"/>
      <c r="S749" s="90"/>
      <c r="T749" s="90"/>
      <c r="U749" s="24"/>
      <c r="V749" s="90"/>
      <c r="W749" s="90"/>
      <c r="X749" s="90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</row>
    <row r="750" spans="1:37" x14ac:dyDescent="0.25">
      <c r="A750" s="24"/>
      <c r="B750" s="90"/>
      <c r="C750" s="92"/>
      <c r="D750" s="24"/>
      <c r="E750" s="90"/>
      <c r="F750" s="90"/>
      <c r="G750" s="24"/>
      <c r="H750" s="90"/>
      <c r="I750" s="24"/>
      <c r="J750" s="90"/>
      <c r="K750" s="90"/>
      <c r="L750" s="24"/>
      <c r="M750" s="24"/>
      <c r="N750" s="24"/>
      <c r="O750" s="90"/>
      <c r="P750" s="24"/>
      <c r="Q750" s="24"/>
      <c r="R750" s="24"/>
      <c r="S750" s="90"/>
      <c r="T750" s="90"/>
      <c r="U750" s="24"/>
      <c r="V750" s="90"/>
      <c r="W750" s="90"/>
      <c r="X750" s="90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</row>
    <row r="751" spans="1:37" x14ac:dyDescent="0.25">
      <c r="A751" s="24"/>
      <c r="B751" s="90"/>
      <c r="C751" s="92"/>
      <c r="D751" s="24"/>
      <c r="E751" s="90"/>
      <c r="F751" s="90"/>
      <c r="G751" s="24"/>
      <c r="H751" s="90"/>
      <c r="I751" s="24"/>
      <c r="J751" s="90"/>
      <c r="K751" s="90"/>
      <c r="L751" s="24"/>
      <c r="M751" s="24"/>
      <c r="N751" s="24"/>
      <c r="O751" s="90"/>
      <c r="P751" s="24"/>
      <c r="Q751" s="24"/>
      <c r="R751" s="24"/>
      <c r="S751" s="90"/>
      <c r="T751" s="90"/>
      <c r="U751" s="24"/>
      <c r="V751" s="90"/>
      <c r="W751" s="90"/>
      <c r="X751" s="90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</row>
    <row r="752" spans="1:37" x14ac:dyDescent="0.25">
      <c r="A752" s="24"/>
      <c r="B752" s="90"/>
      <c r="C752" s="92"/>
      <c r="D752" s="24"/>
      <c r="E752" s="90"/>
      <c r="F752" s="90"/>
      <c r="G752" s="24"/>
      <c r="H752" s="90"/>
      <c r="I752" s="24"/>
      <c r="J752" s="90"/>
      <c r="K752" s="90"/>
      <c r="L752" s="24"/>
      <c r="M752" s="24"/>
      <c r="N752" s="24"/>
      <c r="O752" s="90"/>
      <c r="P752" s="24"/>
      <c r="Q752" s="24"/>
      <c r="R752" s="24"/>
      <c r="S752" s="90"/>
      <c r="T752" s="90"/>
      <c r="U752" s="24"/>
      <c r="V752" s="90"/>
      <c r="W752" s="90"/>
      <c r="X752" s="90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</row>
    <row r="753" spans="1:37" x14ac:dyDescent="0.25">
      <c r="A753" s="24"/>
      <c r="B753" s="90"/>
      <c r="C753" s="92"/>
      <c r="D753" s="24"/>
      <c r="E753" s="90"/>
      <c r="F753" s="90"/>
      <c r="G753" s="24"/>
      <c r="H753" s="90"/>
      <c r="I753" s="24"/>
      <c r="J753" s="90"/>
      <c r="K753" s="90"/>
      <c r="L753" s="24"/>
      <c r="M753" s="24"/>
      <c r="N753" s="24"/>
      <c r="O753" s="90"/>
      <c r="P753" s="24"/>
      <c r="Q753" s="24"/>
      <c r="R753" s="24"/>
      <c r="S753" s="90"/>
      <c r="T753" s="90"/>
      <c r="U753" s="24"/>
      <c r="V753" s="90"/>
      <c r="W753" s="90"/>
      <c r="X753" s="90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</row>
    <row r="754" spans="1:37" x14ac:dyDescent="0.25">
      <c r="A754" s="24"/>
      <c r="B754" s="90"/>
      <c r="C754" s="92"/>
      <c r="D754" s="24"/>
      <c r="E754" s="90"/>
      <c r="F754" s="90"/>
      <c r="G754" s="24"/>
      <c r="H754" s="90"/>
      <c r="I754" s="24"/>
      <c r="J754" s="90"/>
      <c r="K754" s="90"/>
      <c r="L754" s="24"/>
      <c r="M754" s="24"/>
      <c r="N754" s="24"/>
      <c r="O754" s="90"/>
      <c r="P754" s="24"/>
      <c r="Q754" s="24"/>
      <c r="R754" s="24"/>
      <c r="S754" s="90"/>
      <c r="T754" s="90"/>
      <c r="U754" s="24"/>
      <c r="V754" s="90"/>
      <c r="W754" s="90"/>
      <c r="X754" s="90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</row>
    <row r="755" spans="1:37" x14ac:dyDescent="0.25">
      <c r="A755" s="24"/>
      <c r="B755" s="90"/>
      <c r="C755" s="92"/>
      <c r="D755" s="24"/>
      <c r="E755" s="90"/>
      <c r="F755" s="90"/>
      <c r="G755" s="24"/>
      <c r="H755" s="90"/>
      <c r="I755" s="24"/>
      <c r="J755" s="90"/>
      <c r="K755" s="90"/>
      <c r="L755" s="24"/>
      <c r="M755" s="24"/>
      <c r="N755" s="24"/>
      <c r="O755" s="90"/>
      <c r="P755" s="24"/>
      <c r="Q755" s="24"/>
      <c r="R755" s="24"/>
      <c r="S755" s="90"/>
      <c r="T755" s="90"/>
      <c r="U755" s="24"/>
      <c r="V755" s="90"/>
      <c r="W755" s="90"/>
      <c r="X755" s="90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</row>
    <row r="756" spans="1:37" x14ac:dyDescent="0.25">
      <c r="A756" s="24"/>
      <c r="B756" s="90"/>
      <c r="C756" s="92"/>
      <c r="D756" s="24"/>
      <c r="E756" s="90"/>
      <c r="F756" s="90"/>
      <c r="G756" s="24"/>
      <c r="H756" s="90"/>
      <c r="I756" s="24"/>
      <c r="J756" s="90"/>
      <c r="K756" s="90"/>
      <c r="L756" s="24"/>
      <c r="M756" s="24"/>
      <c r="N756" s="24"/>
      <c r="O756" s="90"/>
      <c r="P756" s="24"/>
      <c r="Q756" s="24"/>
      <c r="R756" s="24"/>
      <c r="S756" s="90"/>
      <c r="T756" s="90"/>
      <c r="U756" s="24"/>
      <c r="V756" s="90"/>
      <c r="W756" s="90"/>
      <c r="X756" s="90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</row>
    <row r="757" spans="1:37" x14ac:dyDescent="0.25">
      <c r="A757" s="24"/>
      <c r="B757" s="90"/>
      <c r="C757" s="92"/>
      <c r="D757" s="24"/>
      <c r="E757" s="90"/>
      <c r="F757" s="90"/>
      <c r="G757" s="24"/>
      <c r="H757" s="90"/>
      <c r="I757" s="24"/>
      <c r="J757" s="90"/>
      <c r="K757" s="90"/>
      <c r="L757" s="24"/>
      <c r="M757" s="24"/>
      <c r="N757" s="24"/>
      <c r="O757" s="90"/>
      <c r="P757" s="24"/>
      <c r="Q757" s="24"/>
      <c r="R757" s="24"/>
      <c r="S757" s="90"/>
      <c r="T757" s="90"/>
      <c r="U757" s="24"/>
      <c r="V757" s="90"/>
      <c r="W757" s="90"/>
      <c r="X757" s="90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</row>
    <row r="758" spans="1:37" x14ac:dyDescent="0.25">
      <c r="A758" s="24"/>
      <c r="B758" s="90"/>
      <c r="C758" s="92"/>
      <c r="D758" s="24"/>
      <c r="E758" s="90"/>
      <c r="F758" s="90"/>
      <c r="G758" s="24"/>
      <c r="H758" s="90"/>
      <c r="I758" s="24"/>
      <c r="J758" s="90"/>
      <c r="K758" s="90"/>
      <c r="L758" s="24"/>
      <c r="M758" s="24"/>
      <c r="N758" s="24"/>
      <c r="O758" s="90"/>
      <c r="P758" s="24"/>
      <c r="Q758" s="24"/>
      <c r="R758" s="24"/>
      <c r="S758" s="90"/>
      <c r="T758" s="90"/>
      <c r="U758" s="24"/>
      <c r="V758" s="90"/>
      <c r="W758" s="90"/>
      <c r="X758" s="90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</row>
    <row r="759" spans="1:37" x14ac:dyDescent="0.25">
      <c r="A759" s="24"/>
      <c r="B759" s="90"/>
      <c r="C759" s="92"/>
      <c r="D759" s="24"/>
      <c r="E759" s="90"/>
      <c r="F759" s="90"/>
      <c r="G759" s="24"/>
      <c r="H759" s="90"/>
      <c r="I759" s="24"/>
      <c r="J759" s="90"/>
      <c r="K759" s="90"/>
      <c r="L759" s="24"/>
      <c r="M759" s="24"/>
      <c r="N759" s="24"/>
      <c r="O759" s="90"/>
      <c r="P759" s="24"/>
      <c r="Q759" s="24"/>
      <c r="R759" s="24"/>
      <c r="S759" s="90"/>
      <c r="T759" s="90"/>
      <c r="U759" s="24"/>
      <c r="V759" s="90"/>
      <c r="W759" s="90"/>
      <c r="X759" s="90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</row>
    <row r="760" spans="1:37" x14ac:dyDescent="0.25">
      <c r="A760" s="24"/>
      <c r="B760" s="90"/>
      <c r="C760" s="92"/>
      <c r="D760" s="24"/>
      <c r="E760" s="90"/>
      <c r="F760" s="90"/>
      <c r="G760" s="24"/>
      <c r="H760" s="90"/>
      <c r="I760" s="24"/>
      <c r="J760" s="90"/>
      <c r="K760" s="90"/>
      <c r="L760" s="24"/>
      <c r="M760" s="24"/>
      <c r="N760" s="24"/>
      <c r="O760" s="90"/>
      <c r="P760" s="24"/>
      <c r="Q760" s="24"/>
      <c r="R760" s="24"/>
      <c r="S760" s="90"/>
      <c r="T760" s="90"/>
      <c r="U760" s="24"/>
      <c r="V760" s="90"/>
      <c r="W760" s="90"/>
      <c r="X760" s="90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</row>
    <row r="761" spans="1:37" x14ac:dyDescent="0.25">
      <c r="A761" s="24"/>
      <c r="B761" s="90"/>
      <c r="C761" s="92"/>
      <c r="D761" s="24"/>
      <c r="E761" s="90"/>
      <c r="F761" s="90"/>
      <c r="G761" s="24"/>
      <c r="H761" s="90"/>
      <c r="I761" s="24"/>
      <c r="J761" s="90"/>
      <c r="K761" s="90"/>
      <c r="L761" s="24"/>
      <c r="M761" s="24"/>
      <c r="N761" s="24"/>
      <c r="O761" s="90"/>
      <c r="P761" s="24"/>
      <c r="Q761" s="24"/>
      <c r="R761" s="24"/>
      <c r="S761" s="90"/>
      <c r="T761" s="90"/>
      <c r="U761" s="24"/>
      <c r="V761" s="90"/>
      <c r="W761" s="90"/>
      <c r="X761" s="90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</row>
    <row r="762" spans="1:37" x14ac:dyDescent="0.25">
      <c r="A762" s="24"/>
      <c r="B762" s="90"/>
      <c r="C762" s="92"/>
      <c r="D762" s="24"/>
      <c r="E762" s="90"/>
      <c r="F762" s="90"/>
      <c r="G762" s="24"/>
      <c r="H762" s="90"/>
      <c r="I762" s="24"/>
      <c r="J762" s="90"/>
      <c r="K762" s="90"/>
      <c r="L762" s="24"/>
      <c r="M762" s="24"/>
      <c r="N762" s="24"/>
      <c r="O762" s="90"/>
      <c r="P762" s="24"/>
      <c r="Q762" s="24"/>
      <c r="R762" s="24"/>
      <c r="S762" s="90"/>
      <c r="T762" s="90"/>
      <c r="U762" s="24"/>
      <c r="V762" s="90"/>
      <c r="W762" s="90"/>
      <c r="X762" s="90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</row>
    <row r="763" spans="1:37" x14ac:dyDescent="0.25">
      <c r="A763" s="24"/>
      <c r="B763" s="90"/>
      <c r="C763" s="92"/>
      <c r="D763" s="24"/>
      <c r="E763" s="90"/>
      <c r="F763" s="90"/>
      <c r="G763" s="24"/>
      <c r="H763" s="90"/>
      <c r="I763" s="24"/>
      <c r="J763" s="90"/>
      <c r="K763" s="90"/>
      <c r="L763" s="24"/>
      <c r="M763" s="24"/>
      <c r="N763" s="24"/>
      <c r="O763" s="90"/>
      <c r="P763" s="24"/>
      <c r="Q763" s="24"/>
      <c r="R763" s="24"/>
      <c r="S763" s="90"/>
      <c r="T763" s="90"/>
      <c r="U763" s="24"/>
      <c r="V763" s="90"/>
      <c r="W763" s="90"/>
      <c r="X763" s="90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</row>
    <row r="764" spans="1:37" x14ac:dyDescent="0.25">
      <c r="A764" s="24"/>
      <c r="B764" s="90"/>
      <c r="C764" s="92"/>
      <c r="D764" s="24"/>
      <c r="E764" s="90"/>
      <c r="F764" s="90"/>
      <c r="G764" s="24"/>
      <c r="H764" s="90"/>
      <c r="I764" s="24"/>
      <c r="J764" s="90"/>
      <c r="K764" s="90"/>
      <c r="L764" s="24"/>
      <c r="M764" s="24"/>
      <c r="N764" s="24"/>
      <c r="O764" s="90"/>
      <c r="P764" s="24"/>
      <c r="Q764" s="24"/>
      <c r="R764" s="24"/>
      <c r="S764" s="90"/>
      <c r="T764" s="90"/>
      <c r="U764" s="24"/>
      <c r="V764" s="90"/>
      <c r="W764" s="90"/>
      <c r="X764" s="90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</row>
    <row r="765" spans="1:37" x14ac:dyDescent="0.25">
      <c r="A765" s="24"/>
      <c r="B765" s="90"/>
      <c r="C765" s="92"/>
      <c r="D765" s="24"/>
      <c r="E765" s="90"/>
      <c r="F765" s="90"/>
      <c r="G765" s="24"/>
      <c r="H765" s="90"/>
      <c r="I765" s="24"/>
      <c r="J765" s="90"/>
      <c r="K765" s="90"/>
      <c r="L765" s="24"/>
      <c r="M765" s="24"/>
      <c r="N765" s="24"/>
      <c r="O765" s="90"/>
      <c r="P765" s="24"/>
      <c r="Q765" s="24"/>
      <c r="R765" s="24"/>
      <c r="S765" s="90"/>
      <c r="T765" s="90"/>
      <c r="U765" s="24"/>
      <c r="V765" s="90"/>
      <c r="W765" s="90"/>
      <c r="X765" s="90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</row>
    <row r="766" spans="1:37" x14ac:dyDescent="0.25">
      <c r="A766" s="24"/>
      <c r="B766" s="90"/>
      <c r="C766" s="92"/>
      <c r="D766" s="24"/>
      <c r="E766" s="90"/>
      <c r="F766" s="90"/>
      <c r="G766" s="24"/>
      <c r="H766" s="90"/>
      <c r="I766" s="24"/>
      <c r="J766" s="90"/>
      <c r="K766" s="90"/>
      <c r="L766" s="24"/>
      <c r="M766" s="24"/>
      <c r="N766" s="24"/>
      <c r="O766" s="90"/>
      <c r="P766" s="24"/>
      <c r="Q766" s="24"/>
      <c r="R766" s="24"/>
      <c r="S766" s="90"/>
      <c r="T766" s="90"/>
      <c r="U766" s="24"/>
      <c r="V766" s="90"/>
      <c r="W766" s="90"/>
      <c r="X766" s="90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</row>
    <row r="767" spans="1:37" x14ac:dyDescent="0.25">
      <c r="A767" s="24"/>
      <c r="B767" s="90"/>
      <c r="C767" s="92"/>
      <c r="D767" s="24"/>
      <c r="E767" s="90"/>
      <c r="F767" s="90"/>
      <c r="G767" s="24"/>
      <c r="H767" s="90"/>
      <c r="I767" s="24"/>
      <c r="J767" s="90"/>
      <c r="K767" s="90"/>
      <c r="L767" s="24"/>
      <c r="M767" s="24"/>
      <c r="N767" s="24"/>
      <c r="O767" s="90"/>
      <c r="P767" s="24"/>
      <c r="Q767" s="24"/>
      <c r="R767" s="24"/>
      <c r="S767" s="90"/>
      <c r="T767" s="90"/>
      <c r="U767" s="24"/>
      <c r="V767" s="90"/>
      <c r="W767" s="90"/>
      <c r="X767" s="90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</row>
    <row r="768" spans="1:37" x14ac:dyDescent="0.25">
      <c r="A768" s="24"/>
      <c r="B768" s="90"/>
      <c r="C768" s="92"/>
      <c r="D768" s="24"/>
      <c r="E768" s="90"/>
      <c r="F768" s="90"/>
      <c r="G768" s="24"/>
      <c r="H768" s="90"/>
      <c r="I768" s="24"/>
      <c r="J768" s="90"/>
      <c r="K768" s="90"/>
      <c r="L768" s="24"/>
      <c r="M768" s="24"/>
      <c r="N768" s="24"/>
      <c r="O768" s="90"/>
      <c r="P768" s="24"/>
      <c r="Q768" s="24"/>
      <c r="R768" s="24"/>
      <c r="S768" s="90"/>
      <c r="T768" s="90"/>
      <c r="U768" s="24"/>
      <c r="V768" s="90"/>
      <c r="W768" s="90"/>
      <c r="X768" s="90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</row>
    <row r="769" spans="1:37" x14ac:dyDescent="0.25">
      <c r="A769" s="24"/>
      <c r="B769" s="90"/>
      <c r="C769" s="92"/>
      <c r="D769" s="24"/>
      <c r="E769" s="90"/>
      <c r="F769" s="90"/>
      <c r="G769" s="24"/>
      <c r="H769" s="90"/>
      <c r="I769" s="24"/>
      <c r="J769" s="90"/>
      <c r="K769" s="90"/>
      <c r="L769" s="24"/>
      <c r="M769" s="24"/>
      <c r="N769" s="24"/>
      <c r="O769" s="90"/>
      <c r="P769" s="24"/>
      <c r="Q769" s="24"/>
      <c r="R769" s="24"/>
      <c r="S769" s="90"/>
      <c r="T769" s="90"/>
      <c r="U769" s="24"/>
      <c r="V769" s="90"/>
      <c r="W769" s="90"/>
      <c r="X769" s="90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</row>
    <row r="770" spans="1:37" x14ac:dyDescent="0.25">
      <c r="A770" s="24"/>
      <c r="B770" s="90"/>
      <c r="C770" s="92"/>
      <c r="D770" s="24"/>
      <c r="E770" s="90"/>
      <c r="F770" s="90"/>
      <c r="G770" s="24"/>
      <c r="H770" s="90"/>
      <c r="I770" s="24"/>
      <c r="J770" s="90"/>
      <c r="K770" s="90"/>
      <c r="L770" s="24"/>
      <c r="M770" s="24"/>
      <c r="N770" s="24"/>
      <c r="O770" s="90"/>
      <c r="P770" s="24"/>
      <c r="Q770" s="24"/>
      <c r="R770" s="24"/>
      <c r="S770" s="90"/>
      <c r="T770" s="90"/>
      <c r="U770" s="24"/>
      <c r="V770" s="90"/>
      <c r="W770" s="90"/>
      <c r="X770" s="90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</row>
    <row r="771" spans="1:37" x14ac:dyDescent="0.25">
      <c r="A771" s="24"/>
      <c r="B771" s="90"/>
      <c r="C771" s="92"/>
      <c r="D771" s="24"/>
      <c r="E771" s="90"/>
      <c r="F771" s="90"/>
      <c r="G771" s="24"/>
      <c r="H771" s="90"/>
      <c r="I771" s="24"/>
      <c r="J771" s="90"/>
      <c r="K771" s="90"/>
      <c r="L771" s="24"/>
      <c r="M771" s="24"/>
      <c r="N771" s="24"/>
      <c r="O771" s="90"/>
      <c r="P771" s="24"/>
      <c r="Q771" s="24"/>
      <c r="R771" s="24"/>
      <c r="S771" s="90"/>
      <c r="T771" s="90"/>
      <c r="U771" s="24"/>
      <c r="V771" s="90"/>
      <c r="W771" s="90"/>
      <c r="X771" s="90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</row>
    <row r="772" spans="1:37" x14ac:dyDescent="0.25">
      <c r="A772" s="24"/>
      <c r="B772" s="90"/>
      <c r="C772" s="92"/>
      <c r="D772" s="24"/>
      <c r="E772" s="90"/>
      <c r="F772" s="90"/>
      <c r="G772" s="24"/>
      <c r="H772" s="90"/>
      <c r="I772" s="24"/>
      <c r="J772" s="90"/>
      <c r="K772" s="90"/>
      <c r="L772" s="24"/>
      <c r="M772" s="24"/>
      <c r="N772" s="24"/>
      <c r="O772" s="90"/>
      <c r="P772" s="24"/>
      <c r="Q772" s="24"/>
      <c r="R772" s="24"/>
      <c r="S772" s="90"/>
      <c r="T772" s="90"/>
      <c r="U772" s="24"/>
      <c r="V772" s="90"/>
      <c r="W772" s="90"/>
      <c r="X772" s="90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</row>
    <row r="773" spans="1:37" x14ac:dyDescent="0.25">
      <c r="A773" s="24"/>
      <c r="B773" s="90"/>
      <c r="C773" s="92"/>
      <c r="D773" s="24"/>
      <c r="E773" s="90"/>
      <c r="F773" s="90"/>
      <c r="G773" s="24"/>
      <c r="H773" s="90"/>
      <c r="I773" s="24"/>
      <c r="J773" s="90"/>
      <c r="K773" s="90"/>
      <c r="L773" s="24"/>
      <c r="M773" s="24"/>
      <c r="N773" s="24"/>
      <c r="O773" s="90"/>
      <c r="P773" s="24"/>
      <c r="Q773" s="24"/>
      <c r="R773" s="24"/>
      <c r="S773" s="90"/>
      <c r="T773" s="90"/>
      <c r="U773" s="24"/>
      <c r="V773" s="90"/>
      <c r="W773" s="90"/>
      <c r="X773" s="90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24"/>
      <c r="AK773" s="24"/>
    </row>
    <row r="774" spans="1:37" x14ac:dyDescent="0.25">
      <c r="A774" s="24"/>
      <c r="B774" s="90"/>
      <c r="C774" s="92"/>
      <c r="D774" s="24"/>
      <c r="E774" s="90"/>
      <c r="F774" s="90"/>
      <c r="G774" s="24"/>
      <c r="H774" s="90"/>
      <c r="I774" s="24"/>
      <c r="J774" s="90"/>
      <c r="K774" s="90"/>
      <c r="L774" s="24"/>
      <c r="M774" s="24"/>
      <c r="N774" s="24"/>
      <c r="O774" s="90"/>
      <c r="P774" s="24"/>
      <c r="Q774" s="24"/>
      <c r="R774" s="24"/>
      <c r="S774" s="90"/>
      <c r="T774" s="90"/>
      <c r="U774" s="24"/>
      <c r="V774" s="90"/>
      <c r="W774" s="90"/>
      <c r="X774" s="90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</row>
    <row r="775" spans="1:37" x14ac:dyDescent="0.25">
      <c r="A775" s="24"/>
      <c r="B775" s="90"/>
      <c r="C775" s="92"/>
      <c r="D775" s="24"/>
      <c r="E775" s="90"/>
      <c r="F775" s="90"/>
      <c r="G775" s="24"/>
      <c r="H775" s="90"/>
      <c r="I775" s="24"/>
      <c r="J775" s="90"/>
      <c r="K775" s="90"/>
      <c r="L775" s="24"/>
      <c r="M775" s="24"/>
      <c r="N775" s="24"/>
      <c r="O775" s="90"/>
      <c r="P775" s="24"/>
      <c r="Q775" s="24"/>
      <c r="R775" s="24"/>
      <c r="S775" s="90"/>
      <c r="T775" s="90"/>
      <c r="U775" s="24"/>
      <c r="V775" s="90"/>
      <c r="W775" s="90"/>
      <c r="X775" s="90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</row>
    <row r="776" spans="1:37" x14ac:dyDescent="0.25">
      <c r="A776" s="24"/>
      <c r="B776" s="90"/>
      <c r="C776" s="92"/>
      <c r="D776" s="24"/>
      <c r="E776" s="90"/>
      <c r="F776" s="90"/>
      <c r="G776" s="24"/>
      <c r="H776" s="90"/>
      <c r="I776" s="24"/>
      <c r="J776" s="90"/>
      <c r="K776" s="90"/>
      <c r="L776" s="24"/>
      <c r="M776" s="24"/>
      <c r="N776" s="24"/>
      <c r="O776" s="90"/>
      <c r="P776" s="24"/>
      <c r="Q776" s="24"/>
      <c r="R776" s="24"/>
      <c r="S776" s="90"/>
      <c r="T776" s="90"/>
      <c r="U776" s="24"/>
      <c r="V776" s="90"/>
      <c r="W776" s="90"/>
      <c r="X776" s="90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</row>
    <row r="777" spans="1:37" x14ac:dyDescent="0.25">
      <c r="A777" s="24"/>
      <c r="B777" s="90"/>
      <c r="C777" s="92"/>
      <c r="D777" s="24"/>
      <c r="E777" s="90"/>
      <c r="F777" s="90"/>
      <c r="G777" s="24"/>
      <c r="H777" s="90"/>
      <c r="I777" s="24"/>
      <c r="J777" s="90"/>
      <c r="K777" s="90"/>
      <c r="L777" s="24"/>
      <c r="M777" s="24"/>
      <c r="N777" s="24"/>
      <c r="O777" s="90"/>
      <c r="P777" s="24"/>
      <c r="Q777" s="24"/>
      <c r="R777" s="24"/>
      <c r="S777" s="90"/>
      <c r="T777" s="90"/>
      <c r="U777" s="24"/>
      <c r="V777" s="90"/>
      <c r="W777" s="90"/>
      <c r="X777" s="90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</row>
    <row r="778" spans="1:37" x14ac:dyDescent="0.25">
      <c r="A778" s="24"/>
      <c r="B778" s="90"/>
      <c r="C778" s="92"/>
      <c r="D778" s="24"/>
      <c r="E778" s="90"/>
      <c r="F778" s="90"/>
      <c r="G778" s="24"/>
      <c r="H778" s="90"/>
      <c r="I778" s="24"/>
      <c r="J778" s="90"/>
      <c r="K778" s="90"/>
      <c r="L778" s="24"/>
      <c r="M778" s="24"/>
      <c r="N778" s="24"/>
      <c r="O778" s="90"/>
      <c r="P778" s="24"/>
      <c r="Q778" s="24"/>
      <c r="R778" s="24"/>
      <c r="S778" s="90"/>
      <c r="T778" s="90"/>
      <c r="U778" s="24"/>
      <c r="V778" s="90"/>
      <c r="W778" s="90"/>
      <c r="X778" s="90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</row>
    <row r="779" spans="1:37" x14ac:dyDescent="0.25">
      <c r="A779" s="24"/>
      <c r="B779" s="90"/>
      <c r="C779" s="92"/>
      <c r="D779" s="24"/>
      <c r="E779" s="90"/>
      <c r="F779" s="90"/>
      <c r="G779" s="24"/>
      <c r="H779" s="90"/>
      <c r="I779" s="24"/>
      <c r="J779" s="90"/>
      <c r="K779" s="90"/>
      <c r="L779" s="24"/>
      <c r="M779" s="24"/>
      <c r="N779" s="24"/>
      <c r="O779" s="90"/>
      <c r="P779" s="24"/>
      <c r="Q779" s="24"/>
      <c r="R779" s="24"/>
      <c r="S779" s="90"/>
      <c r="T779" s="90"/>
      <c r="U779" s="24"/>
      <c r="V779" s="90"/>
      <c r="W779" s="90"/>
      <c r="X779" s="90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</row>
    <row r="780" spans="1:37" x14ac:dyDescent="0.25">
      <c r="A780" s="24"/>
      <c r="B780" s="90"/>
      <c r="C780" s="92"/>
      <c r="D780" s="24"/>
      <c r="E780" s="90"/>
      <c r="F780" s="90"/>
      <c r="G780" s="24"/>
      <c r="H780" s="90"/>
      <c r="I780" s="24"/>
      <c r="J780" s="90"/>
      <c r="K780" s="90"/>
      <c r="L780" s="24"/>
      <c r="M780" s="24"/>
      <c r="N780" s="24"/>
      <c r="O780" s="90"/>
      <c r="P780" s="24"/>
      <c r="Q780" s="24"/>
      <c r="R780" s="24"/>
      <c r="S780" s="90"/>
      <c r="T780" s="90"/>
      <c r="U780" s="24"/>
      <c r="V780" s="90"/>
      <c r="W780" s="90"/>
      <c r="X780" s="90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</row>
    <row r="781" spans="1:37" x14ac:dyDescent="0.25">
      <c r="A781" s="24"/>
      <c r="B781" s="90"/>
      <c r="C781" s="92"/>
      <c r="D781" s="24"/>
      <c r="E781" s="90"/>
      <c r="F781" s="90"/>
      <c r="G781" s="24"/>
      <c r="H781" s="90"/>
      <c r="I781" s="24"/>
      <c r="J781" s="90"/>
      <c r="K781" s="90"/>
      <c r="L781" s="24"/>
      <c r="M781" s="24"/>
      <c r="N781" s="24"/>
      <c r="O781" s="90"/>
      <c r="P781" s="24"/>
      <c r="Q781" s="24"/>
      <c r="R781" s="24"/>
      <c r="S781" s="90"/>
      <c r="T781" s="90"/>
      <c r="U781" s="24"/>
      <c r="V781" s="90"/>
      <c r="W781" s="90"/>
      <c r="X781" s="90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</row>
    <row r="782" spans="1:37" x14ac:dyDescent="0.25">
      <c r="A782" s="24"/>
      <c r="B782" s="90"/>
      <c r="C782" s="92"/>
      <c r="D782" s="24"/>
      <c r="E782" s="90"/>
      <c r="F782" s="90"/>
      <c r="G782" s="24"/>
      <c r="H782" s="90"/>
      <c r="I782" s="24"/>
      <c r="J782" s="90"/>
      <c r="K782" s="90"/>
      <c r="L782" s="24"/>
      <c r="M782" s="24"/>
      <c r="N782" s="24"/>
      <c r="O782" s="90"/>
      <c r="P782" s="24"/>
      <c r="Q782" s="24"/>
      <c r="R782" s="24"/>
      <c r="S782" s="90"/>
      <c r="T782" s="90"/>
      <c r="U782" s="24"/>
      <c r="V782" s="90"/>
      <c r="W782" s="90"/>
      <c r="X782" s="90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</row>
    <row r="783" spans="1:37" x14ac:dyDescent="0.25">
      <c r="A783" s="24"/>
      <c r="B783" s="90"/>
      <c r="C783" s="92"/>
      <c r="D783" s="24"/>
      <c r="E783" s="90"/>
      <c r="F783" s="90"/>
      <c r="G783" s="24"/>
      <c r="H783" s="90"/>
      <c r="I783" s="24"/>
      <c r="J783" s="90"/>
      <c r="K783" s="90"/>
      <c r="L783" s="24"/>
      <c r="M783" s="24"/>
      <c r="N783" s="24"/>
      <c r="O783" s="90"/>
      <c r="P783" s="24"/>
      <c r="Q783" s="24"/>
      <c r="R783" s="24"/>
      <c r="S783" s="90"/>
      <c r="T783" s="90"/>
      <c r="U783" s="24"/>
      <c r="V783" s="90"/>
      <c r="W783" s="90"/>
      <c r="X783" s="90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</row>
    <row r="784" spans="1:37" x14ac:dyDescent="0.25">
      <c r="A784" s="24"/>
      <c r="B784" s="90"/>
      <c r="C784" s="92"/>
      <c r="D784" s="24"/>
      <c r="E784" s="90"/>
      <c r="F784" s="90"/>
      <c r="G784" s="24"/>
      <c r="H784" s="90"/>
      <c r="I784" s="24"/>
      <c r="J784" s="90"/>
      <c r="K784" s="90"/>
      <c r="L784" s="24"/>
      <c r="M784" s="24"/>
      <c r="N784" s="24"/>
      <c r="O784" s="90"/>
      <c r="P784" s="24"/>
      <c r="Q784" s="24"/>
      <c r="R784" s="24"/>
      <c r="S784" s="90"/>
      <c r="T784" s="90"/>
      <c r="U784" s="24"/>
      <c r="V784" s="90"/>
      <c r="W784" s="90"/>
      <c r="X784" s="90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</row>
    <row r="785" spans="1:37" x14ac:dyDescent="0.25">
      <c r="A785" s="24"/>
      <c r="B785" s="90"/>
      <c r="C785" s="92"/>
      <c r="D785" s="24"/>
      <c r="E785" s="90"/>
      <c r="F785" s="90"/>
      <c r="G785" s="24"/>
      <c r="H785" s="90"/>
      <c r="I785" s="24"/>
      <c r="J785" s="90"/>
      <c r="K785" s="90"/>
      <c r="L785" s="24"/>
      <c r="M785" s="24"/>
      <c r="N785" s="24"/>
      <c r="O785" s="90"/>
      <c r="P785" s="24"/>
      <c r="Q785" s="24"/>
      <c r="R785" s="24"/>
      <c r="S785" s="90"/>
      <c r="T785" s="90"/>
      <c r="U785" s="24"/>
      <c r="V785" s="90"/>
      <c r="W785" s="90"/>
      <c r="X785" s="90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</row>
    <row r="786" spans="1:37" x14ac:dyDescent="0.25">
      <c r="A786" s="24"/>
      <c r="B786" s="90"/>
      <c r="C786" s="92"/>
      <c r="D786" s="24"/>
      <c r="E786" s="90"/>
      <c r="F786" s="90"/>
      <c r="G786" s="24"/>
      <c r="H786" s="90"/>
      <c r="I786" s="24"/>
      <c r="J786" s="90"/>
      <c r="K786" s="90"/>
      <c r="L786" s="24"/>
      <c r="M786" s="24"/>
      <c r="N786" s="24"/>
      <c r="O786" s="90"/>
      <c r="P786" s="24"/>
      <c r="Q786" s="24"/>
      <c r="R786" s="24"/>
      <c r="S786" s="90"/>
      <c r="T786" s="90"/>
      <c r="U786" s="24"/>
      <c r="V786" s="90"/>
      <c r="W786" s="90"/>
      <c r="X786" s="90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</row>
    <row r="787" spans="1:37" x14ac:dyDescent="0.25">
      <c r="A787" s="24"/>
      <c r="B787" s="90"/>
      <c r="C787" s="92"/>
      <c r="D787" s="24"/>
      <c r="E787" s="90"/>
      <c r="F787" s="90"/>
      <c r="G787" s="24"/>
      <c r="H787" s="90"/>
      <c r="I787" s="24"/>
      <c r="J787" s="90"/>
      <c r="K787" s="90"/>
      <c r="L787" s="24"/>
      <c r="M787" s="24"/>
      <c r="N787" s="24"/>
      <c r="O787" s="90"/>
      <c r="P787" s="24"/>
      <c r="Q787" s="24"/>
      <c r="R787" s="24"/>
      <c r="S787" s="90"/>
      <c r="T787" s="90"/>
      <c r="U787" s="24"/>
      <c r="V787" s="90"/>
      <c r="W787" s="90"/>
      <c r="X787" s="90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</row>
    <row r="788" spans="1:37" x14ac:dyDescent="0.25">
      <c r="A788" s="24"/>
      <c r="B788" s="90"/>
      <c r="C788" s="92"/>
      <c r="D788" s="24"/>
      <c r="E788" s="90"/>
      <c r="F788" s="90"/>
      <c r="G788" s="24"/>
      <c r="H788" s="90"/>
      <c r="I788" s="24"/>
      <c r="J788" s="90"/>
      <c r="K788" s="90"/>
      <c r="L788" s="24"/>
      <c r="M788" s="24"/>
      <c r="N788" s="24"/>
      <c r="O788" s="90"/>
      <c r="P788" s="24"/>
      <c r="Q788" s="24"/>
      <c r="R788" s="24"/>
      <c r="S788" s="90"/>
      <c r="T788" s="90"/>
      <c r="U788" s="24"/>
      <c r="V788" s="90"/>
      <c r="W788" s="90"/>
      <c r="X788" s="90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</row>
    <row r="789" spans="1:37" x14ac:dyDescent="0.25">
      <c r="A789" s="24"/>
      <c r="B789" s="90"/>
      <c r="C789" s="92"/>
      <c r="D789" s="24"/>
      <c r="E789" s="90"/>
      <c r="F789" s="90"/>
      <c r="G789" s="24"/>
      <c r="H789" s="90"/>
      <c r="I789" s="24"/>
      <c r="J789" s="90"/>
      <c r="K789" s="90"/>
      <c r="L789" s="24"/>
      <c r="M789" s="24"/>
      <c r="N789" s="24"/>
      <c r="O789" s="90"/>
      <c r="P789" s="24"/>
      <c r="Q789" s="24"/>
      <c r="R789" s="24"/>
      <c r="S789" s="90"/>
      <c r="T789" s="90"/>
      <c r="U789" s="24"/>
      <c r="V789" s="90"/>
      <c r="W789" s="90"/>
      <c r="X789" s="90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</row>
    <row r="790" spans="1:37" x14ac:dyDescent="0.25">
      <c r="A790" s="24"/>
      <c r="B790" s="90"/>
      <c r="C790" s="92"/>
      <c r="D790" s="24"/>
      <c r="E790" s="90"/>
      <c r="F790" s="90"/>
      <c r="G790" s="24"/>
      <c r="H790" s="90"/>
      <c r="I790" s="24"/>
      <c r="J790" s="90"/>
      <c r="K790" s="90"/>
      <c r="L790" s="24"/>
      <c r="M790" s="24"/>
      <c r="N790" s="24"/>
      <c r="O790" s="90"/>
      <c r="P790" s="24"/>
      <c r="Q790" s="24"/>
      <c r="R790" s="24"/>
      <c r="S790" s="90"/>
      <c r="T790" s="90"/>
      <c r="U790" s="24"/>
      <c r="V790" s="90"/>
      <c r="W790" s="90"/>
      <c r="X790" s="90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</row>
    <row r="791" spans="1:37" x14ac:dyDescent="0.25">
      <c r="A791" s="24"/>
      <c r="B791" s="90"/>
      <c r="C791" s="92"/>
      <c r="D791" s="24"/>
      <c r="E791" s="90"/>
      <c r="F791" s="90"/>
      <c r="G791" s="24"/>
      <c r="H791" s="90"/>
      <c r="I791" s="24"/>
      <c r="J791" s="90"/>
      <c r="K791" s="90"/>
      <c r="L791" s="24"/>
      <c r="M791" s="24"/>
      <c r="N791" s="24"/>
      <c r="O791" s="90"/>
      <c r="P791" s="24"/>
      <c r="Q791" s="24"/>
      <c r="R791" s="24"/>
      <c r="S791" s="90"/>
      <c r="T791" s="90"/>
      <c r="U791" s="24"/>
      <c r="V791" s="90"/>
      <c r="W791" s="90"/>
      <c r="X791" s="90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</row>
    <row r="792" spans="1:37" x14ac:dyDescent="0.25">
      <c r="A792" s="24"/>
      <c r="B792" s="90"/>
      <c r="C792" s="92"/>
      <c r="D792" s="24"/>
      <c r="E792" s="90"/>
      <c r="F792" s="90"/>
      <c r="G792" s="24"/>
      <c r="H792" s="90"/>
      <c r="I792" s="24"/>
      <c r="J792" s="90"/>
      <c r="K792" s="90"/>
      <c r="L792" s="24"/>
      <c r="M792" s="24"/>
      <c r="N792" s="24"/>
      <c r="O792" s="90"/>
      <c r="P792" s="24"/>
      <c r="Q792" s="24"/>
      <c r="R792" s="24"/>
      <c r="S792" s="90"/>
      <c r="T792" s="90"/>
      <c r="U792" s="24"/>
      <c r="V792" s="90"/>
      <c r="W792" s="90"/>
      <c r="X792" s="90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</row>
    <row r="793" spans="1:37" x14ac:dyDescent="0.25">
      <c r="A793" s="24"/>
      <c r="B793" s="90"/>
      <c r="C793" s="92"/>
      <c r="D793" s="24"/>
      <c r="E793" s="90"/>
      <c r="F793" s="90"/>
      <c r="G793" s="24"/>
      <c r="H793" s="90"/>
      <c r="I793" s="24"/>
      <c r="J793" s="90"/>
      <c r="K793" s="90"/>
      <c r="L793" s="24"/>
      <c r="M793" s="24"/>
      <c r="N793" s="24"/>
      <c r="O793" s="90"/>
      <c r="P793" s="24"/>
      <c r="Q793" s="24"/>
      <c r="R793" s="24"/>
      <c r="S793" s="90"/>
      <c r="T793" s="90"/>
      <c r="U793" s="24"/>
      <c r="V793" s="90"/>
      <c r="W793" s="90"/>
      <c r="X793" s="90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</row>
    <row r="794" spans="1:37" x14ac:dyDescent="0.25">
      <c r="A794" s="24"/>
      <c r="B794" s="90"/>
      <c r="C794" s="92"/>
      <c r="D794" s="24"/>
      <c r="E794" s="90"/>
      <c r="F794" s="90"/>
      <c r="G794" s="24"/>
      <c r="H794" s="90"/>
      <c r="I794" s="24"/>
      <c r="J794" s="90"/>
      <c r="K794" s="90"/>
      <c r="L794" s="24"/>
      <c r="M794" s="24"/>
      <c r="N794" s="24"/>
      <c r="O794" s="90"/>
      <c r="P794" s="24"/>
      <c r="Q794" s="24"/>
      <c r="R794" s="24"/>
      <c r="S794" s="90"/>
      <c r="T794" s="90"/>
      <c r="U794" s="24"/>
      <c r="V794" s="90"/>
      <c r="W794" s="90"/>
      <c r="X794" s="90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</row>
    <row r="795" spans="1:37" x14ac:dyDescent="0.25">
      <c r="A795" s="24"/>
      <c r="B795" s="90"/>
      <c r="C795" s="92"/>
      <c r="D795" s="24"/>
      <c r="E795" s="90"/>
      <c r="F795" s="90"/>
      <c r="G795" s="24"/>
      <c r="H795" s="90"/>
      <c r="I795" s="24"/>
      <c r="J795" s="90"/>
      <c r="K795" s="90"/>
      <c r="L795" s="24"/>
      <c r="M795" s="24"/>
      <c r="N795" s="24"/>
      <c r="O795" s="90"/>
      <c r="P795" s="24"/>
      <c r="Q795" s="24"/>
      <c r="R795" s="24"/>
      <c r="S795" s="90"/>
      <c r="T795" s="90"/>
      <c r="U795" s="24"/>
      <c r="V795" s="90"/>
      <c r="W795" s="90"/>
      <c r="X795" s="90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</row>
    <row r="796" spans="1:37" x14ac:dyDescent="0.25">
      <c r="A796" s="24"/>
      <c r="B796" s="90"/>
      <c r="C796" s="92"/>
      <c r="D796" s="24"/>
      <c r="E796" s="90"/>
      <c r="F796" s="90"/>
      <c r="G796" s="24"/>
      <c r="H796" s="90"/>
      <c r="I796" s="24"/>
      <c r="J796" s="90"/>
      <c r="K796" s="90"/>
      <c r="L796" s="24"/>
      <c r="M796" s="24"/>
      <c r="N796" s="24"/>
      <c r="O796" s="90"/>
      <c r="P796" s="24"/>
      <c r="Q796" s="24"/>
      <c r="R796" s="24"/>
      <c r="S796" s="90"/>
      <c r="T796" s="90"/>
      <c r="U796" s="24"/>
      <c r="V796" s="90"/>
      <c r="W796" s="90"/>
      <c r="X796" s="90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</row>
    <row r="797" spans="1:37" x14ac:dyDescent="0.25">
      <c r="A797" s="24"/>
      <c r="B797" s="90"/>
      <c r="C797" s="92"/>
      <c r="D797" s="24"/>
      <c r="E797" s="90"/>
      <c r="F797" s="90"/>
      <c r="G797" s="24"/>
      <c r="H797" s="90"/>
      <c r="I797" s="24"/>
      <c r="J797" s="90"/>
      <c r="K797" s="90"/>
      <c r="L797" s="24"/>
      <c r="M797" s="24"/>
      <c r="N797" s="24"/>
      <c r="O797" s="90"/>
      <c r="P797" s="24"/>
      <c r="Q797" s="24"/>
      <c r="R797" s="24"/>
      <c r="S797" s="90"/>
      <c r="T797" s="90"/>
      <c r="U797" s="24"/>
      <c r="V797" s="90"/>
      <c r="W797" s="90"/>
      <c r="X797" s="90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</row>
    <row r="798" spans="1:37" x14ac:dyDescent="0.25">
      <c r="A798" s="24"/>
      <c r="B798" s="90"/>
      <c r="C798" s="92"/>
      <c r="D798" s="24"/>
      <c r="E798" s="90"/>
      <c r="F798" s="90"/>
      <c r="G798" s="24"/>
      <c r="H798" s="90"/>
      <c r="I798" s="24"/>
      <c r="J798" s="90"/>
      <c r="K798" s="90"/>
      <c r="L798" s="24"/>
      <c r="M798" s="24"/>
      <c r="N798" s="24"/>
      <c r="O798" s="90"/>
      <c r="P798" s="24"/>
      <c r="Q798" s="24"/>
      <c r="R798" s="24"/>
      <c r="S798" s="90"/>
      <c r="T798" s="90"/>
      <c r="U798" s="24"/>
      <c r="V798" s="90"/>
      <c r="W798" s="90"/>
      <c r="X798" s="90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</row>
    <row r="799" spans="1:37" x14ac:dyDescent="0.25">
      <c r="A799" s="24"/>
      <c r="B799" s="90"/>
      <c r="C799" s="92"/>
      <c r="D799" s="24"/>
      <c r="E799" s="90"/>
      <c r="F799" s="90"/>
      <c r="G799" s="24"/>
      <c r="H799" s="90"/>
      <c r="I799" s="24"/>
      <c r="J799" s="90"/>
      <c r="K799" s="90"/>
      <c r="L799" s="24"/>
      <c r="M799" s="24"/>
      <c r="N799" s="24"/>
      <c r="O799" s="90"/>
      <c r="P799" s="24"/>
      <c r="Q799" s="24"/>
      <c r="R799" s="24"/>
      <c r="S799" s="90"/>
      <c r="T799" s="90"/>
      <c r="U799" s="24"/>
      <c r="V799" s="90"/>
      <c r="W799" s="90"/>
      <c r="X799" s="90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</row>
    <row r="800" spans="1:37" x14ac:dyDescent="0.25">
      <c r="A800" s="24"/>
      <c r="B800" s="90"/>
      <c r="C800" s="92"/>
      <c r="D800" s="24"/>
      <c r="E800" s="90"/>
      <c r="F800" s="90"/>
      <c r="G800" s="24"/>
      <c r="H800" s="90"/>
      <c r="I800" s="24"/>
      <c r="J800" s="90"/>
      <c r="K800" s="90"/>
      <c r="L800" s="24"/>
      <c r="M800" s="24"/>
      <c r="N800" s="24"/>
      <c r="O800" s="90"/>
      <c r="P800" s="24"/>
      <c r="Q800" s="24"/>
      <c r="R800" s="24"/>
      <c r="S800" s="90"/>
      <c r="T800" s="90"/>
      <c r="U800" s="24"/>
      <c r="V800" s="90"/>
      <c r="W800" s="90"/>
      <c r="X800" s="90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</row>
    <row r="801" spans="1:37" x14ac:dyDescent="0.25">
      <c r="A801" s="24"/>
      <c r="B801" s="90"/>
      <c r="C801" s="92"/>
      <c r="D801" s="24"/>
      <c r="E801" s="90"/>
      <c r="F801" s="90"/>
      <c r="G801" s="24"/>
      <c r="H801" s="90"/>
      <c r="I801" s="24"/>
      <c r="J801" s="90"/>
      <c r="K801" s="90"/>
      <c r="L801" s="24"/>
      <c r="M801" s="24"/>
      <c r="N801" s="24"/>
      <c r="O801" s="90"/>
      <c r="P801" s="24"/>
      <c r="Q801" s="24"/>
      <c r="R801" s="24"/>
      <c r="S801" s="90"/>
      <c r="T801" s="90"/>
      <c r="U801" s="24"/>
      <c r="V801" s="90"/>
      <c r="W801" s="90"/>
      <c r="X801" s="90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</row>
    <row r="802" spans="1:37" x14ac:dyDescent="0.25">
      <c r="A802" s="24"/>
      <c r="B802" s="90"/>
      <c r="C802" s="92"/>
      <c r="D802" s="24"/>
      <c r="E802" s="90"/>
      <c r="F802" s="90"/>
      <c r="G802" s="24"/>
      <c r="H802" s="90"/>
      <c r="I802" s="24"/>
      <c r="J802" s="90"/>
      <c r="K802" s="90"/>
      <c r="L802" s="24"/>
      <c r="M802" s="24"/>
      <c r="N802" s="24"/>
      <c r="O802" s="90"/>
      <c r="P802" s="24"/>
      <c r="Q802" s="24"/>
      <c r="R802" s="24"/>
      <c r="S802" s="90"/>
      <c r="T802" s="90"/>
      <c r="U802" s="24"/>
      <c r="V802" s="90"/>
      <c r="W802" s="90"/>
      <c r="X802" s="90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</row>
    <row r="803" spans="1:37" x14ac:dyDescent="0.25">
      <c r="A803" s="24"/>
      <c r="B803" s="90"/>
      <c r="C803" s="92"/>
      <c r="D803" s="24"/>
      <c r="E803" s="90"/>
      <c r="F803" s="90"/>
      <c r="G803" s="24"/>
      <c r="H803" s="90"/>
      <c r="I803" s="24"/>
      <c r="J803" s="90"/>
      <c r="K803" s="90"/>
      <c r="L803" s="24"/>
      <c r="M803" s="24"/>
      <c r="N803" s="24"/>
      <c r="O803" s="90"/>
      <c r="P803" s="24"/>
      <c r="Q803" s="24"/>
      <c r="R803" s="24"/>
      <c r="S803" s="90"/>
      <c r="T803" s="90"/>
      <c r="U803" s="24"/>
      <c r="V803" s="90"/>
      <c r="W803" s="90"/>
      <c r="X803" s="90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</row>
    <row r="804" spans="1:37" x14ac:dyDescent="0.25">
      <c r="A804" s="24"/>
      <c r="B804" s="90"/>
      <c r="C804" s="92"/>
      <c r="D804" s="24"/>
      <c r="E804" s="90"/>
      <c r="F804" s="90"/>
      <c r="G804" s="24"/>
      <c r="H804" s="90"/>
      <c r="I804" s="24"/>
      <c r="J804" s="90"/>
      <c r="K804" s="90"/>
      <c r="L804" s="24"/>
      <c r="M804" s="24"/>
      <c r="N804" s="24"/>
      <c r="O804" s="90"/>
      <c r="P804" s="24"/>
      <c r="Q804" s="24"/>
      <c r="R804" s="24"/>
      <c r="S804" s="90"/>
      <c r="T804" s="90"/>
      <c r="U804" s="24"/>
      <c r="V804" s="90"/>
      <c r="W804" s="90"/>
      <c r="X804" s="90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</row>
    <row r="805" spans="1:37" x14ac:dyDescent="0.25">
      <c r="A805" s="24"/>
      <c r="B805" s="90"/>
      <c r="C805" s="92"/>
      <c r="D805" s="24"/>
      <c r="E805" s="90"/>
      <c r="F805" s="90"/>
      <c r="G805" s="24"/>
      <c r="H805" s="90"/>
      <c r="I805" s="24"/>
      <c r="J805" s="90"/>
      <c r="K805" s="90"/>
      <c r="L805" s="24"/>
      <c r="M805" s="24"/>
      <c r="N805" s="24"/>
      <c r="O805" s="90"/>
      <c r="P805" s="24"/>
      <c r="Q805" s="24"/>
      <c r="R805" s="24"/>
      <c r="S805" s="90"/>
      <c r="T805" s="90"/>
      <c r="U805" s="24"/>
      <c r="V805" s="90"/>
      <c r="W805" s="90"/>
      <c r="X805" s="90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</row>
    <row r="806" spans="1:37" x14ac:dyDescent="0.25">
      <c r="A806" s="24"/>
      <c r="B806" s="90"/>
      <c r="C806" s="92"/>
      <c r="D806" s="24"/>
      <c r="E806" s="90"/>
      <c r="F806" s="90"/>
      <c r="G806" s="24"/>
      <c r="H806" s="90"/>
      <c r="I806" s="24"/>
      <c r="J806" s="90"/>
      <c r="K806" s="90"/>
      <c r="L806" s="24"/>
      <c r="M806" s="24"/>
      <c r="N806" s="24"/>
      <c r="O806" s="90"/>
      <c r="P806" s="24"/>
      <c r="Q806" s="24"/>
      <c r="R806" s="24"/>
      <c r="S806" s="90"/>
      <c r="T806" s="90"/>
      <c r="U806" s="24"/>
      <c r="V806" s="90"/>
      <c r="W806" s="90"/>
      <c r="X806" s="90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</row>
    <row r="807" spans="1:37" x14ac:dyDescent="0.25">
      <c r="A807" s="24"/>
      <c r="B807" s="90"/>
      <c r="C807" s="92"/>
      <c r="D807" s="24"/>
      <c r="E807" s="90"/>
      <c r="F807" s="90"/>
      <c r="G807" s="24"/>
      <c r="H807" s="90"/>
      <c r="I807" s="24"/>
      <c r="J807" s="90"/>
      <c r="K807" s="90"/>
      <c r="L807" s="24"/>
      <c r="M807" s="24"/>
      <c r="N807" s="24"/>
      <c r="O807" s="90"/>
      <c r="P807" s="24"/>
      <c r="Q807" s="24"/>
      <c r="R807" s="24"/>
      <c r="S807" s="90"/>
      <c r="T807" s="90"/>
      <c r="U807" s="24"/>
      <c r="V807" s="90"/>
      <c r="W807" s="90"/>
      <c r="X807" s="90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24"/>
      <c r="AK807" s="24"/>
    </row>
    <row r="808" spans="1:37" x14ac:dyDescent="0.25">
      <c r="A808" s="24"/>
      <c r="B808" s="90"/>
      <c r="C808" s="92"/>
      <c r="D808" s="24"/>
      <c r="E808" s="90"/>
      <c r="F808" s="90"/>
      <c r="G808" s="24"/>
      <c r="H808" s="90"/>
      <c r="I808" s="24"/>
      <c r="J808" s="90"/>
      <c r="K808" s="90"/>
      <c r="L808" s="24"/>
      <c r="M808" s="24"/>
      <c r="N808" s="24"/>
      <c r="O808" s="90"/>
      <c r="P808" s="24"/>
      <c r="Q808" s="24"/>
      <c r="R808" s="24"/>
      <c r="S808" s="90"/>
      <c r="T808" s="90"/>
      <c r="U808" s="24"/>
      <c r="V808" s="90"/>
      <c r="W808" s="90"/>
      <c r="X808" s="90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</row>
    <row r="809" spans="1:37" x14ac:dyDescent="0.25">
      <c r="A809" s="24"/>
      <c r="B809" s="90"/>
      <c r="C809" s="92"/>
      <c r="D809" s="24"/>
      <c r="E809" s="90"/>
      <c r="F809" s="90"/>
      <c r="G809" s="24"/>
      <c r="H809" s="90"/>
      <c r="I809" s="24"/>
      <c r="J809" s="90"/>
      <c r="K809" s="90"/>
      <c r="L809" s="24"/>
      <c r="M809" s="24"/>
      <c r="N809" s="24"/>
      <c r="O809" s="90"/>
      <c r="P809" s="24"/>
      <c r="Q809" s="24"/>
      <c r="R809" s="24"/>
      <c r="S809" s="90"/>
      <c r="T809" s="90"/>
      <c r="U809" s="24"/>
      <c r="V809" s="90"/>
      <c r="W809" s="90"/>
      <c r="X809" s="90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</row>
    <row r="810" spans="1:37" x14ac:dyDescent="0.25">
      <c r="A810" s="24"/>
      <c r="B810" s="90"/>
      <c r="C810" s="92"/>
      <c r="D810" s="24"/>
      <c r="E810" s="90"/>
      <c r="F810" s="90"/>
      <c r="G810" s="24"/>
      <c r="H810" s="90"/>
      <c r="I810" s="24"/>
      <c r="J810" s="90"/>
      <c r="K810" s="90"/>
      <c r="L810" s="24"/>
      <c r="M810" s="24"/>
      <c r="N810" s="24"/>
      <c r="O810" s="90"/>
      <c r="P810" s="24"/>
      <c r="Q810" s="24"/>
      <c r="R810" s="24"/>
      <c r="S810" s="90"/>
      <c r="T810" s="90"/>
      <c r="U810" s="24"/>
      <c r="V810" s="90"/>
      <c r="W810" s="90"/>
      <c r="X810" s="90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</row>
    <row r="811" spans="1:37" x14ac:dyDescent="0.25">
      <c r="A811" s="24"/>
      <c r="B811" s="90"/>
      <c r="C811" s="92"/>
      <c r="D811" s="24"/>
      <c r="E811" s="90"/>
      <c r="F811" s="90"/>
      <c r="G811" s="24"/>
      <c r="H811" s="90"/>
      <c r="I811" s="24"/>
      <c r="J811" s="90"/>
      <c r="K811" s="90"/>
      <c r="L811" s="24"/>
      <c r="M811" s="24"/>
      <c r="N811" s="24"/>
      <c r="O811" s="90"/>
      <c r="P811" s="24"/>
      <c r="Q811" s="24"/>
      <c r="R811" s="24"/>
      <c r="S811" s="90"/>
      <c r="T811" s="90"/>
      <c r="U811" s="24"/>
      <c r="V811" s="90"/>
      <c r="W811" s="90"/>
      <c r="X811" s="90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</row>
    <row r="812" spans="1:37" x14ac:dyDescent="0.25">
      <c r="A812" s="24"/>
      <c r="B812" s="90"/>
      <c r="C812" s="92"/>
      <c r="D812" s="24"/>
      <c r="E812" s="90"/>
      <c r="F812" s="90"/>
      <c r="G812" s="24"/>
      <c r="H812" s="90"/>
      <c r="I812" s="24"/>
      <c r="J812" s="90"/>
      <c r="K812" s="90"/>
      <c r="L812" s="24"/>
      <c r="M812" s="24"/>
      <c r="N812" s="24"/>
      <c r="O812" s="90"/>
      <c r="P812" s="24"/>
      <c r="Q812" s="24"/>
      <c r="R812" s="24"/>
      <c r="S812" s="90"/>
      <c r="T812" s="90"/>
      <c r="U812" s="24"/>
      <c r="V812" s="90"/>
      <c r="W812" s="90"/>
      <c r="X812" s="90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</row>
    <row r="813" spans="1:37" x14ac:dyDescent="0.25">
      <c r="A813" s="24"/>
      <c r="B813" s="90"/>
      <c r="C813" s="92"/>
      <c r="D813" s="24"/>
      <c r="E813" s="90"/>
      <c r="F813" s="90"/>
      <c r="G813" s="24"/>
      <c r="H813" s="90"/>
      <c r="I813" s="24"/>
      <c r="J813" s="90"/>
      <c r="K813" s="90"/>
      <c r="L813" s="24"/>
      <c r="M813" s="24"/>
      <c r="N813" s="24"/>
      <c r="O813" s="90"/>
      <c r="P813" s="24"/>
      <c r="Q813" s="24"/>
      <c r="R813" s="24"/>
      <c r="S813" s="90"/>
      <c r="T813" s="90"/>
      <c r="U813" s="24"/>
      <c r="V813" s="90"/>
      <c r="W813" s="90"/>
      <c r="X813" s="90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</row>
    <row r="814" spans="1:37" x14ac:dyDescent="0.25">
      <c r="A814" s="24"/>
      <c r="B814" s="90"/>
      <c r="C814" s="92"/>
      <c r="D814" s="24"/>
      <c r="E814" s="90"/>
      <c r="F814" s="90"/>
      <c r="G814" s="24"/>
      <c r="H814" s="90"/>
      <c r="I814" s="24"/>
      <c r="J814" s="90"/>
      <c r="K814" s="90"/>
      <c r="L814" s="24"/>
      <c r="M814" s="24"/>
      <c r="N814" s="24"/>
      <c r="O814" s="90"/>
      <c r="P814" s="24"/>
      <c r="Q814" s="24"/>
      <c r="R814" s="24"/>
      <c r="S814" s="90"/>
      <c r="T814" s="90"/>
      <c r="U814" s="24"/>
      <c r="V814" s="90"/>
      <c r="W814" s="90"/>
      <c r="X814" s="90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</row>
    <row r="815" spans="1:37" x14ac:dyDescent="0.25">
      <c r="A815" s="24"/>
      <c r="B815" s="90"/>
      <c r="C815" s="92"/>
      <c r="D815" s="24"/>
      <c r="E815" s="90"/>
      <c r="F815" s="90"/>
      <c r="G815" s="24"/>
      <c r="H815" s="90"/>
      <c r="I815" s="24"/>
      <c r="J815" s="90"/>
      <c r="K815" s="90"/>
      <c r="L815" s="24"/>
      <c r="M815" s="24"/>
      <c r="N815" s="24"/>
      <c r="O815" s="90"/>
      <c r="P815" s="24"/>
      <c r="Q815" s="24"/>
      <c r="R815" s="24"/>
      <c r="S815" s="90"/>
      <c r="T815" s="90"/>
      <c r="U815" s="24"/>
      <c r="V815" s="90"/>
      <c r="W815" s="90"/>
      <c r="X815" s="90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</row>
    <row r="816" spans="1:37" x14ac:dyDescent="0.25">
      <c r="A816" s="24"/>
      <c r="B816" s="90"/>
      <c r="C816" s="92"/>
      <c r="D816" s="24"/>
      <c r="E816" s="90"/>
      <c r="F816" s="90"/>
      <c r="G816" s="24"/>
      <c r="H816" s="90"/>
      <c r="I816" s="24"/>
      <c r="J816" s="90"/>
      <c r="K816" s="90"/>
      <c r="L816" s="24"/>
      <c r="M816" s="24"/>
      <c r="N816" s="24"/>
      <c r="O816" s="90"/>
      <c r="P816" s="24"/>
      <c r="Q816" s="24"/>
      <c r="R816" s="24"/>
      <c r="S816" s="90"/>
      <c r="T816" s="90"/>
      <c r="U816" s="24"/>
      <c r="V816" s="90"/>
      <c r="W816" s="90"/>
      <c r="X816" s="90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</row>
    <row r="817" spans="1:37" x14ac:dyDescent="0.25">
      <c r="A817" s="24"/>
      <c r="B817" s="90"/>
      <c r="C817" s="92"/>
      <c r="D817" s="24"/>
      <c r="E817" s="90"/>
      <c r="F817" s="90"/>
      <c r="G817" s="24"/>
      <c r="H817" s="90"/>
      <c r="I817" s="24"/>
      <c r="J817" s="90"/>
      <c r="K817" s="90"/>
      <c r="L817" s="24"/>
      <c r="M817" s="24"/>
      <c r="N817" s="24"/>
      <c r="O817" s="90"/>
      <c r="P817" s="24"/>
      <c r="Q817" s="24"/>
      <c r="R817" s="24"/>
      <c r="S817" s="90"/>
      <c r="T817" s="90"/>
      <c r="U817" s="24"/>
      <c r="V817" s="90"/>
      <c r="W817" s="90"/>
      <c r="X817" s="90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</row>
    <row r="818" spans="1:37" x14ac:dyDescent="0.25">
      <c r="A818" s="24"/>
      <c r="B818" s="90"/>
      <c r="C818" s="92"/>
      <c r="D818" s="24"/>
      <c r="E818" s="90"/>
      <c r="F818" s="90"/>
      <c r="G818" s="24"/>
      <c r="H818" s="90"/>
      <c r="I818" s="24"/>
      <c r="J818" s="90"/>
      <c r="K818" s="90"/>
      <c r="L818" s="24"/>
      <c r="M818" s="24"/>
      <c r="N818" s="24"/>
      <c r="O818" s="90"/>
      <c r="P818" s="24"/>
      <c r="Q818" s="24"/>
      <c r="R818" s="24"/>
      <c r="S818" s="90"/>
      <c r="T818" s="90"/>
      <c r="U818" s="24"/>
      <c r="V818" s="90"/>
      <c r="W818" s="90"/>
      <c r="X818" s="90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</row>
    <row r="819" spans="1:37" x14ac:dyDescent="0.25">
      <c r="A819" s="24"/>
      <c r="B819" s="90"/>
      <c r="C819" s="92"/>
      <c r="D819" s="24"/>
      <c r="E819" s="90"/>
      <c r="F819" s="90"/>
      <c r="G819" s="24"/>
      <c r="H819" s="90"/>
      <c r="I819" s="24"/>
      <c r="J819" s="90"/>
      <c r="K819" s="90"/>
      <c r="L819" s="24"/>
      <c r="M819" s="24"/>
      <c r="N819" s="24"/>
      <c r="O819" s="90"/>
      <c r="P819" s="24"/>
      <c r="Q819" s="24"/>
      <c r="R819" s="24"/>
      <c r="S819" s="90"/>
      <c r="T819" s="90"/>
      <c r="U819" s="24"/>
      <c r="V819" s="90"/>
      <c r="W819" s="90"/>
      <c r="X819" s="90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</row>
    <row r="820" spans="1:37" x14ac:dyDescent="0.25">
      <c r="A820" s="24"/>
      <c r="B820" s="90"/>
      <c r="C820" s="92"/>
      <c r="D820" s="24"/>
      <c r="E820" s="90"/>
      <c r="F820" s="90"/>
      <c r="G820" s="24"/>
      <c r="H820" s="90"/>
      <c r="I820" s="24"/>
      <c r="J820" s="90"/>
      <c r="K820" s="90"/>
      <c r="L820" s="24"/>
      <c r="M820" s="24"/>
      <c r="N820" s="24"/>
      <c r="O820" s="90"/>
      <c r="P820" s="24"/>
      <c r="Q820" s="24"/>
      <c r="R820" s="24"/>
      <c r="S820" s="90"/>
      <c r="T820" s="90"/>
      <c r="U820" s="24"/>
      <c r="V820" s="90"/>
      <c r="W820" s="90"/>
      <c r="X820" s="90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</row>
    <row r="821" spans="1:37" x14ac:dyDescent="0.25">
      <c r="A821" s="24"/>
      <c r="B821" s="90"/>
      <c r="C821" s="92"/>
      <c r="D821" s="24"/>
      <c r="E821" s="90"/>
      <c r="F821" s="90"/>
      <c r="G821" s="24"/>
      <c r="H821" s="90"/>
      <c r="I821" s="24"/>
      <c r="J821" s="90"/>
      <c r="K821" s="90"/>
      <c r="L821" s="24"/>
      <c r="M821" s="24"/>
      <c r="N821" s="24"/>
      <c r="O821" s="90"/>
      <c r="P821" s="24"/>
      <c r="Q821" s="24"/>
      <c r="R821" s="24"/>
      <c r="S821" s="90"/>
      <c r="T821" s="90"/>
      <c r="U821" s="24"/>
      <c r="V821" s="90"/>
      <c r="W821" s="90"/>
      <c r="X821" s="90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</row>
    <row r="822" spans="1:37" x14ac:dyDescent="0.25">
      <c r="A822" s="24"/>
      <c r="B822" s="90"/>
      <c r="C822" s="92"/>
      <c r="D822" s="24"/>
      <c r="E822" s="90"/>
      <c r="F822" s="90"/>
      <c r="G822" s="24"/>
      <c r="H822" s="90"/>
      <c r="I822" s="24"/>
      <c r="J822" s="90"/>
      <c r="K822" s="90"/>
      <c r="L822" s="24"/>
      <c r="M822" s="24"/>
      <c r="N822" s="24"/>
      <c r="O822" s="90"/>
      <c r="P822" s="24"/>
      <c r="Q822" s="24"/>
      <c r="R822" s="24"/>
      <c r="S822" s="90"/>
      <c r="T822" s="90"/>
      <c r="U822" s="24"/>
      <c r="V822" s="90"/>
      <c r="W822" s="90"/>
      <c r="X822" s="90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</row>
    <row r="823" spans="1:37" x14ac:dyDescent="0.25">
      <c r="A823" s="24"/>
      <c r="B823" s="90"/>
      <c r="C823" s="92"/>
      <c r="D823" s="24"/>
      <c r="E823" s="90"/>
      <c r="F823" s="90"/>
      <c r="G823" s="24"/>
      <c r="H823" s="90"/>
      <c r="I823" s="24"/>
      <c r="J823" s="90"/>
      <c r="K823" s="90"/>
      <c r="L823" s="24"/>
      <c r="M823" s="24"/>
      <c r="N823" s="24"/>
      <c r="O823" s="90"/>
      <c r="P823" s="24"/>
      <c r="Q823" s="24"/>
      <c r="R823" s="24"/>
      <c r="S823" s="90"/>
      <c r="T823" s="90"/>
      <c r="U823" s="24"/>
      <c r="V823" s="90"/>
      <c r="W823" s="90"/>
      <c r="X823" s="90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</row>
    <row r="824" spans="1:37" x14ac:dyDescent="0.25">
      <c r="A824" s="24"/>
      <c r="B824" s="90"/>
      <c r="C824" s="92"/>
      <c r="D824" s="24"/>
      <c r="E824" s="90"/>
      <c r="F824" s="90"/>
      <c r="G824" s="24"/>
      <c r="H824" s="90"/>
      <c r="I824" s="24"/>
      <c r="J824" s="90"/>
      <c r="K824" s="90"/>
      <c r="L824" s="24"/>
      <c r="M824" s="24"/>
      <c r="N824" s="24"/>
      <c r="O824" s="90"/>
      <c r="P824" s="24"/>
      <c r="Q824" s="24"/>
      <c r="R824" s="24"/>
      <c r="S824" s="90"/>
      <c r="T824" s="90"/>
      <c r="U824" s="24"/>
      <c r="V824" s="90"/>
      <c r="W824" s="90"/>
      <c r="X824" s="90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</row>
    <row r="825" spans="1:37" x14ac:dyDescent="0.25">
      <c r="A825" s="24"/>
      <c r="B825" s="90"/>
      <c r="C825" s="92"/>
      <c r="D825" s="24"/>
      <c r="E825" s="90"/>
      <c r="F825" s="90"/>
      <c r="G825" s="24"/>
      <c r="H825" s="90"/>
      <c r="I825" s="24"/>
      <c r="J825" s="90"/>
      <c r="K825" s="90"/>
      <c r="L825" s="24"/>
      <c r="M825" s="24"/>
      <c r="N825" s="24"/>
      <c r="O825" s="90"/>
      <c r="P825" s="24"/>
      <c r="Q825" s="24"/>
      <c r="R825" s="24"/>
      <c r="S825" s="90"/>
      <c r="T825" s="90"/>
      <c r="U825" s="24"/>
      <c r="V825" s="90"/>
      <c r="W825" s="90"/>
      <c r="X825" s="90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</row>
    <row r="826" spans="1:37" x14ac:dyDescent="0.25">
      <c r="A826" s="24"/>
      <c r="B826" s="90"/>
      <c r="C826" s="92"/>
      <c r="D826" s="24"/>
      <c r="E826" s="90"/>
      <c r="F826" s="90"/>
      <c r="G826" s="24"/>
      <c r="H826" s="90"/>
      <c r="I826" s="24"/>
      <c r="J826" s="90"/>
      <c r="K826" s="90"/>
      <c r="L826" s="24"/>
      <c r="M826" s="24"/>
      <c r="N826" s="24"/>
      <c r="O826" s="90"/>
      <c r="P826" s="24"/>
      <c r="Q826" s="24"/>
      <c r="R826" s="24"/>
      <c r="S826" s="90"/>
      <c r="T826" s="90"/>
      <c r="U826" s="24"/>
      <c r="V826" s="90"/>
      <c r="W826" s="90"/>
      <c r="X826" s="90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</row>
    <row r="827" spans="1:37" x14ac:dyDescent="0.25">
      <c r="A827" s="24"/>
      <c r="B827" s="90"/>
      <c r="C827" s="92"/>
      <c r="D827" s="24"/>
      <c r="E827" s="90"/>
      <c r="F827" s="90"/>
      <c r="G827" s="24"/>
      <c r="H827" s="90"/>
      <c r="I827" s="24"/>
      <c r="J827" s="90"/>
      <c r="K827" s="90"/>
      <c r="L827" s="24"/>
      <c r="M827" s="24"/>
      <c r="N827" s="24"/>
      <c r="O827" s="90"/>
      <c r="P827" s="24"/>
      <c r="Q827" s="24"/>
      <c r="R827" s="24"/>
      <c r="S827" s="90"/>
      <c r="T827" s="90"/>
      <c r="U827" s="24"/>
      <c r="V827" s="90"/>
      <c r="W827" s="90"/>
      <c r="X827" s="90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</row>
    <row r="828" spans="1:37" x14ac:dyDescent="0.25">
      <c r="A828" s="24"/>
      <c r="B828" s="90"/>
      <c r="C828" s="92"/>
      <c r="D828" s="24"/>
      <c r="E828" s="90"/>
      <c r="F828" s="90"/>
      <c r="G828" s="24"/>
      <c r="H828" s="90"/>
      <c r="I828" s="24"/>
      <c r="J828" s="90"/>
      <c r="K828" s="90"/>
      <c r="L828" s="24"/>
      <c r="M828" s="24"/>
      <c r="N828" s="24"/>
      <c r="O828" s="90"/>
      <c r="P828" s="24"/>
      <c r="Q828" s="24"/>
      <c r="R828" s="24"/>
      <c r="S828" s="90"/>
      <c r="T828" s="90"/>
      <c r="U828" s="24"/>
      <c r="V828" s="90"/>
      <c r="W828" s="90"/>
      <c r="X828" s="90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</row>
    <row r="829" spans="1:37" x14ac:dyDescent="0.25">
      <c r="A829" s="24"/>
      <c r="B829" s="90"/>
      <c r="C829" s="92"/>
      <c r="D829" s="24"/>
      <c r="E829" s="90"/>
      <c r="F829" s="90"/>
      <c r="G829" s="24"/>
      <c r="H829" s="90"/>
      <c r="I829" s="24"/>
      <c r="J829" s="90"/>
      <c r="K829" s="90"/>
      <c r="L829" s="24"/>
      <c r="M829" s="24"/>
      <c r="N829" s="24"/>
      <c r="O829" s="90"/>
      <c r="P829" s="24"/>
      <c r="Q829" s="24"/>
      <c r="R829" s="24"/>
      <c r="S829" s="90"/>
      <c r="T829" s="90"/>
      <c r="U829" s="24"/>
      <c r="V829" s="90"/>
      <c r="W829" s="90"/>
      <c r="X829" s="90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</row>
    <row r="830" spans="1:37" x14ac:dyDescent="0.25">
      <c r="A830" s="24"/>
      <c r="B830" s="90"/>
      <c r="C830" s="92"/>
      <c r="D830" s="24"/>
      <c r="E830" s="90"/>
      <c r="F830" s="90"/>
      <c r="G830" s="24"/>
      <c r="H830" s="90"/>
      <c r="I830" s="24"/>
      <c r="J830" s="90"/>
      <c r="K830" s="90"/>
      <c r="L830" s="24"/>
      <c r="M830" s="24"/>
      <c r="N830" s="24"/>
      <c r="O830" s="90"/>
      <c r="P830" s="24"/>
      <c r="Q830" s="24"/>
      <c r="R830" s="24"/>
      <c r="S830" s="90"/>
      <c r="T830" s="90"/>
      <c r="U830" s="24"/>
      <c r="V830" s="90"/>
      <c r="W830" s="90"/>
      <c r="X830" s="90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</row>
    <row r="831" spans="1:37" x14ac:dyDescent="0.25">
      <c r="A831" s="24"/>
      <c r="B831" s="90"/>
      <c r="C831" s="92"/>
      <c r="D831" s="24"/>
      <c r="E831" s="90"/>
      <c r="F831" s="90"/>
      <c r="G831" s="24"/>
      <c r="H831" s="90"/>
      <c r="I831" s="24"/>
      <c r="J831" s="90"/>
      <c r="K831" s="90"/>
      <c r="L831" s="24"/>
      <c r="M831" s="24"/>
      <c r="N831" s="24"/>
      <c r="O831" s="90"/>
      <c r="P831" s="24"/>
      <c r="Q831" s="24"/>
      <c r="R831" s="24"/>
      <c r="S831" s="90"/>
      <c r="T831" s="90"/>
      <c r="U831" s="24"/>
      <c r="V831" s="90"/>
      <c r="W831" s="90"/>
      <c r="X831" s="90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</row>
    <row r="832" spans="1:37" x14ac:dyDescent="0.25">
      <c r="A832" s="24"/>
      <c r="B832" s="90"/>
      <c r="C832" s="92"/>
      <c r="D832" s="24"/>
      <c r="E832" s="90"/>
      <c r="F832" s="90"/>
      <c r="G832" s="24"/>
      <c r="H832" s="90"/>
      <c r="I832" s="24"/>
      <c r="J832" s="90"/>
      <c r="K832" s="90"/>
      <c r="L832" s="24"/>
      <c r="M832" s="24"/>
      <c r="N832" s="24"/>
      <c r="O832" s="90"/>
      <c r="P832" s="24"/>
      <c r="Q832" s="24"/>
      <c r="R832" s="24"/>
      <c r="S832" s="90"/>
      <c r="T832" s="90"/>
      <c r="U832" s="24"/>
      <c r="V832" s="90"/>
      <c r="W832" s="90"/>
      <c r="X832" s="90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</row>
    <row r="833" spans="1:37" x14ac:dyDescent="0.25">
      <c r="A833" s="24"/>
      <c r="B833" s="90"/>
      <c r="C833" s="92"/>
      <c r="D833" s="24"/>
      <c r="E833" s="90"/>
      <c r="F833" s="90"/>
      <c r="G833" s="24"/>
      <c r="H833" s="90"/>
      <c r="I833" s="24"/>
      <c r="J833" s="90"/>
      <c r="K833" s="90"/>
      <c r="L833" s="24"/>
      <c r="M833" s="24"/>
      <c r="N833" s="24"/>
      <c r="O833" s="90"/>
      <c r="P833" s="24"/>
      <c r="Q833" s="24"/>
      <c r="R833" s="24"/>
      <c r="S833" s="90"/>
      <c r="T833" s="90"/>
      <c r="U833" s="24"/>
      <c r="V833" s="90"/>
      <c r="W833" s="90"/>
      <c r="X833" s="90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</row>
    <row r="834" spans="1:37" x14ac:dyDescent="0.25">
      <c r="A834" s="24"/>
      <c r="B834" s="90"/>
      <c r="C834" s="92"/>
      <c r="D834" s="24"/>
      <c r="E834" s="90"/>
      <c r="F834" s="90"/>
      <c r="G834" s="24"/>
      <c r="H834" s="90"/>
      <c r="I834" s="24"/>
      <c r="J834" s="90"/>
      <c r="K834" s="90"/>
      <c r="L834" s="24"/>
      <c r="M834" s="24"/>
      <c r="N834" s="24"/>
      <c r="O834" s="90"/>
      <c r="P834" s="24"/>
      <c r="Q834" s="24"/>
      <c r="R834" s="24"/>
      <c r="S834" s="90"/>
      <c r="T834" s="90"/>
      <c r="U834" s="24"/>
      <c r="V834" s="90"/>
      <c r="W834" s="90"/>
      <c r="X834" s="90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</row>
    <row r="835" spans="1:37" x14ac:dyDescent="0.25">
      <c r="A835" s="24"/>
      <c r="B835" s="90"/>
      <c r="C835" s="92"/>
      <c r="D835" s="24"/>
      <c r="E835" s="90"/>
      <c r="F835" s="90"/>
      <c r="G835" s="24"/>
      <c r="H835" s="90"/>
      <c r="I835" s="24"/>
      <c r="J835" s="90"/>
      <c r="K835" s="90"/>
      <c r="L835" s="24"/>
      <c r="M835" s="24"/>
      <c r="N835" s="24"/>
      <c r="O835" s="90"/>
      <c r="P835" s="24"/>
      <c r="Q835" s="24"/>
      <c r="R835" s="24"/>
      <c r="S835" s="90"/>
      <c r="T835" s="90"/>
      <c r="U835" s="24"/>
      <c r="V835" s="90"/>
      <c r="W835" s="90"/>
      <c r="X835" s="90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</row>
    <row r="836" spans="1:37" x14ac:dyDescent="0.25">
      <c r="A836" s="24"/>
      <c r="B836" s="90"/>
      <c r="C836" s="92"/>
      <c r="D836" s="24"/>
      <c r="E836" s="90"/>
      <c r="F836" s="90"/>
      <c r="G836" s="24"/>
      <c r="H836" s="90"/>
      <c r="I836" s="24"/>
      <c r="J836" s="90"/>
      <c r="K836" s="90"/>
      <c r="L836" s="24"/>
      <c r="M836" s="24"/>
      <c r="N836" s="24"/>
      <c r="O836" s="90"/>
      <c r="P836" s="24"/>
      <c r="Q836" s="24"/>
      <c r="R836" s="24"/>
      <c r="S836" s="90"/>
      <c r="T836" s="90"/>
      <c r="U836" s="24"/>
      <c r="V836" s="90"/>
      <c r="W836" s="90"/>
      <c r="X836" s="90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</row>
    <row r="837" spans="1:37" x14ac:dyDescent="0.25">
      <c r="A837" s="24"/>
      <c r="B837" s="90"/>
      <c r="C837" s="92"/>
      <c r="D837" s="24"/>
      <c r="E837" s="90"/>
      <c r="F837" s="90"/>
      <c r="G837" s="24"/>
      <c r="H837" s="90"/>
      <c r="I837" s="24"/>
      <c r="J837" s="90"/>
      <c r="K837" s="90"/>
      <c r="L837" s="24"/>
      <c r="M837" s="24"/>
      <c r="N837" s="24"/>
      <c r="O837" s="90"/>
      <c r="P837" s="24"/>
      <c r="Q837" s="24"/>
      <c r="R837" s="24"/>
      <c r="S837" s="90"/>
      <c r="T837" s="90"/>
      <c r="U837" s="24"/>
      <c r="V837" s="90"/>
      <c r="W837" s="90"/>
      <c r="X837" s="90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</row>
    <row r="838" spans="1:37" x14ac:dyDescent="0.25">
      <c r="A838" s="24"/>
      <c r="B838" s="90"/>
      <c r="C838" s="92"/>
      <c r="D838" s="24"/>
      <c r="E838" s="90"/>
      <c r="F838" s="90"/>
      <c r="G838" s="24"/>
      <c r="H838" s="90"/>
      <c r="I838" s="24"/>
      <c r="J838" s="90"/>
      <c r="K838" s="90"/>
      <c r="L838" s="24"/>
      <c r="M838" s="24"/>
      <c r="N838" s="24"/>
      <c r="O838" s="90"/>
      <c r="P838" s="24"/>
      <c r="Q838" s="24"/>
      <c r="R838" s="24"/>
      <c r="S838" s="90"/>
      <c r="T838" s="90"/>
      <c r="U838" s="24"/>
      <c r="V838" s="90"/>
      <c r="W838" s="90"/>
      <c r="X838" s="90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</row>
    <row r="839" spans="1:37" x14ac:dyDescent="0.25">
      <c r="A839" s="24"/>
      <c r="B839" s="90"/>
      <c r="C839" s="92"/>
      <c r="D839" s="24"/>
      <c r="E839" s="90"/>
      <c r="F839" s="90"/>
      <c r="G839" s="24"/>
      <c r="H839" s="90"/>
      <c r="I839" s="24"/>
      <c r="J839" s="90"/>
      <c r="K839" s="90"/>
      <c r="L839" s="24"/>
      <c r="M839" s="24"/>
      <c r="N839" s="24"/>
      <c r="O839" s="90"/>
      <c r="P839" s="24"/>
      <c r="Q839" s="24"/>
      <c r="R839" s="24"/>
      <c r="S839" s="90"/>
      <c r="T839" s="90"/>
      <c r="U839" s="24"/>
      <c r="V839" s="90"/>
      <c r="W839" s="90"/>
      <c r="X839" s="90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</row>
    <row r="840" spans="1:37" x14ac:dyDescent="0.25">
      <c r="A840" s="24"/>
      <c r="B840" s="90"/>
      <c r="C840" s="92"/>
      <c r="D840" s="24"/>
      <c r="E840" s="90"/>
      <c r="F840" s="90"/>
      <c r="G840" s="24"/>
      <c r="H840" s="90"/>
      <c r="I840" s="24"/>
      <c r="J840" s="90"/>
      <c r="K840" s="90"/>
      <c r="L840" s="24"/>
      <c r="M840" s="24"/>
      <c r="N840" s="24"/>
      <c r="O840" s="90"/>
      <c r="P840" s="24"/>
      <c r="Q840" s="24"/>
      <c r="R840" s="24"/>
      <c r="S840" s="90"/>
      <c r="T840" s="90"/>
      <c r="U840" s="24"/>
      <c r="V840" s="90"/>
      <c r="W840" s="90"/>
      <c r="X840" s="90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</row>
    <row r="841" spans="1:37" x14ac:dyDescent="0.25">
      <c r="A841" s="24"/>
      <c r="B841" s="90"/>
      <c r="C841" s="92"/>
      <c r="D841" s="24"/>
      <c r="E841" s="90"/>
      <c r="F841" s="90"/>
      <c r="G841" s="24"/>
      <c r="H841" s="90"/>
      <c r="I841" s="24"/>
      <c r="J841" s="90"/>
      <c r="K841" s="90"/>
      <c r="L841" s="24"/>
      <c r="M841" s="24"/>
      <c r="N841" s="24"/>
      <c r="O841" s="90"/>
      <c r="P841" s="24"/>
      <c r="Q841" s="24"/>
      <c r="R841" s="24"/>
      <c r="S841" s="90"/>
      <c r="T841" s="90"/>
      <c r="U841" s="24"/>
      <c r="V841" s="90"/>
      <c r="W841" s="90"/>
      <c r="X841" s="90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</row>
    <row r="842" spans="1:37" x14ac:dyDescent="0.25">
      <c r="A842" s="24"/>
      <c r="B842" s="90"/>
      <c r="C842" s="92"/>
      <c r="D842" s="24"/>
      <c r="E842" s="90"/>
      <c r="F842" s="90"/>
      <c r="G842" s="24"/>
      <c r="H842" s="90"/>
      <c r="I842" s="24"/>
      <c r="J842" s="90"/>
      <c r="K842" s="90"/>
      <c r="L842" s="24"/>
      <c r="M842" s="24"/>
      <c r="N842" s="24"/>
      <c r="O842" s="90"/>
      <c r="P842" s="24"/>
      <c r="Q842" s="24"/>
      <c r="R842" s="24"/>
      <c r="S842" s="90"/>
      <c r="T842" s="90"/>
      <c r="U842" s="24"/>
      <c r="V842" s="90"/>
      <c r="W842" s="90"/>
      <c r="X842" s="90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</row>
    <row r="843" spans="1:37" x14ac:dyDescent="0.25">
      <c r="A843" s="24"/>
      <c r="B843" s="90"/>
      <c r="C843" s="92"/>
      <c r="D843" s="24"/>
      <c r="E843" s="90"/>
      <c r="F843" s="90"/>
      <c r="G843" s="24"/>
      <c r="H843" s="90"/>
      <c r="I843" s="24"/>
      <c r="J843" s="90"/>
      <c r="K843" s="90"/>
      <c r="L843" s="24"/>
      <c r="M843" s="24"/>
      <c r="N843" s="24"/>
      <c r="O843" s="90"/>
      <c r="P843" s="24"/>
      <c r="Q843" s="24"/>
      <c r="R843" s="24"/>
      <c r="S843" s="90"/>
      <c r="T843" s="90"/>
      <c r="U843" s="24"/>
      <c r="V843" s="90"/>
      <c r="W843" s="90"/>
      <c r="X843" s="90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</row>
    <row r="844" spans="1:37" x14ac:dyDescent="0.25">
      <c r="A844" s="24"/>
      <c r="B844" s="90"/>
      <c r="C844" s="92"/>
      <c r="D844" s="24"/>
      <c r="E844" s="90"/>
      <c r="F844" s="90"/>
      <c r="G844" s="24"/>
      <c r="H844" s="90"/>
      <c r="I844" s="24"/>
      <c r="J844" s="90"/>
      <c r="K844" s="90"/>
      <c r="L844" s="24"/>
      <c r="M844" s="24"/>
      <c r="N844" s="24"/>
      <c r="O844" s="90"/>
      <c r="P844" s="24"/>
      <c r="Q844" s="24"/>
      <c r="R844" s="24"/>
      <c r="S844" s="90"/>
      <c r="T844" s="90"/>
      <c r="U844" s="24"/>
      <c r="V844" s="90"/>
      <c r="W844" s="90"/>
      <c r="X844" s="90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</row>
    <row r="845" spans="1:37" x14ac:dyDescent="0.25">
      <c r="A845" s="24"/>
      <c r="B845" s="90"/>
      <c r="C845" s="92"/>
      <c r="D845" s="24"/>
      <c r="E845" s="90"/>
      <c r="F845" s="90"/>
      <c r="G845" s="24"/>
      <c r="H845" s="90"/>
      <c r="I845" s="24"/>
      <c r="J845" s="90"/>
      <c r="K845" s="90"/>
      <c r="L845" s="24"/>
      <c r="M845" s="24"/>
      <c r="N845" s="24"/>
      <c r="O845" s="90"/>
      <c r="P845" s="24"/>
      <c r="Q845" s="24"/>
      <c r="R845" s="24"/>
      <c r="S845" s="90"/>
      <c r="T845" s="90"/>
      <c r="U845" s="24"/>
      <c r="V845" s="90"/>
      <c r="W845" s="90"/>
      <c r="X845" s="90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</row>
    <row r="846" spans="1:37" x14ac:dyDescent="0.25">
      <c r="A846" s="24"/>
      <c r="B846" s="90"/>
      <c r="C846" s="92"/>
      <c r="D846" s="24"/>
      <c r="E846" s="90"/>
      <c r="F846" s="90"/>
      <c r="G846" s="24"/>
      <c r="H846" s="90"/>
      <c r="I846" s="24"/>
      <c r="J846" s="90"/>
      <c r="K846" s="90"/>
      <c r="L846" s="24"/>
      <c r="M846" s="24"/>
      <c r="N846" s="24"/>
      <c r="O846" s="90"/>
      <c r="P846" s="24"/>
      <c r="Q846" s="24"/>
      <c r="R846" s="24"/>
      <c r="S846" s="90"/>
      <c r="T846" s="90"/>
      <c r="U846" s="24"/>
      <c r="V846" s="90"/>
      <c r="W846" s="90"/>
      <c r="X846" s="90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</row>
    <row r="847" spans="1:37" x14ac:dyDescent="0.25">
      <c r="A847" s="24"/>
      <c r="B847" s="90"/>
      <c r="C847" s="92"/>
      <c r="D847" s="24"/>
      <c r="E847" s="90"/>
      <c r="F847" s="90"/>
      <c r="G847" s="24"/>
      <c r="H847" s="90"/>
      <c r="I847" s="24"/>
      <c r="J847" s="90"/>
      <c r="K847" s="90"/>
      <c r="L847" s="24"/>
      <c r="M847" s="24"/>
      <c r="N847" s="24"/>
      <c r="O847" s="90"/>
      <c r="P847" s="24"/>
      <c r="Q847" s="24"/>
      <c r="R847" s="24"/>
      <c r="S847" s="90"/>
      <c r="T847" s="90"/>
      <c r="U847" s="24"/>
      <c r="V847" s="90"/>
      <c r="W847" s="90"/>
      <c r="X847" s="90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</row>
    <row r="848" spans="1:37" x14ac:dyDescent="0.25">
      <c r="A848" s="24"/>
      <c r="B848" s="90"/>
      <c r="C848" s="92"/>
      <c r="D848" s="24"/>
      <c r="E848" s="90"/>
      <c r="F848" s="90"/>
      <c r="G848" s="24"/>
      <c r="H848" s="90"/>
      <c r="I848" s="24"/>
      <c r="J848" s="90"/>
      <c r="K848" s="90"/>
      <c r="L848" s="24"/>
      <c r="M848" s="24"/>
      <c r="N848" s="24"/>
      <c r="O848" s="90"/>
      <c r="P848" s="24"/>
      <c r="Q848" s="24"/>
      <c r="R848" s="24"/>
      <c r="S848" s="90"/>
      <c r="T848" s="90"/>
      <c r="U848" s="24"/>
      <c r="V848" s="90"/>
      <c r="W848" s="90"/>
      <c r="X848" s="90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</row>
    <row r="849" spans="1:37" x14ac:dyDescent="0.25">
      <c r="A849" s="24"/>
      <c r="B849" s="90"/>
      <c r="C849" s="92"/>
      <c r="D849" s="24"/>
      <c r="E849" s="90"/>
      <c r="F849" s="90"/>
      <c r="G849" s="24"/>
      <c r="H849" s="90"/>
      <c r="I849" s="24"/>
      <c r="J849" s="90"/>
      <c r="K849" s="90"/>
      <c r="L849" s="24"/>
      <c r="M849" s="24"/>
      <c r="N849" s="24"/>
      <c r="O849" s="90"/>
      <c r="P849" s="24"/>
      <c r="Q849" s="24"/>
      <c r="R849" s="24"/>
      <c r="S849" s="90"/>
      <c r="T849" s="90"/>
      <c r="U849" s="24"/>
      <c r="V849" s="90"/>
      <c r="W849" s="90"/>
      <c r="X849" s="90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</row>
    <row r="850" spans="1:37" x14ac:dyDescent="0.25">
      <c r="A850" s="24"/>
      <c r="B850" s="90"/>
      <c r="C850" s="92"/>
      <c r="D850" s="24"/>
      <c r="E850" s="90"/>
      <c r="F850" s="90"/>
      <c r="G850" s="24"/>
      <c r="H850" s="90"/>
      <c r="I850" s="24"/>
      <c r="J850" s="90"/>
      <c r="K850" s="90"/>
      <c r="L850" s="24"/>
      <c r="M850" s="24"/>
      <c r="N850" s="24"/>
      <c r="O850" s="90"/>
      <c r="P850" s="24"/>
      <c r="Q850" s="24"/>
      <c r="R850" s="24"/>
      <c r="S850" s="90"/>
      <c r="T850" s="90"/>
      <c r="U850" s="24"/>
      <c r="V850" s="90"/>
      <c r="W850" s="90"/>
      <c r="X850" s="90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</row>
    <row r="851" spans="1:37" x14ac:dyDescent="0.25">
      <c r="A851" s="24"/>
      <c r="B851" s="90"/>
      <c r="C851" s="92"/>
      <c r="D851" s="24"/>
      <c r="E851" s="90"/>
      <c r="F851" s="90"/>
      <c r="G851" s="24"/>
      <c r="H851" s="90"/>
      <c r="I851" s="24"/>
      <c r="J851" s="90"/>
      <c r="K851" s="90"/>
      <c r="L851" s="24"/>
      <c r="M851" s="24"/>
      <c r="N851" s="24"/>
      <c r="O851" s="90"/>
      <c r="P851" s="24"/>
      <c r="Q851" s="24"/>
      <c r="R851" s="24"/>
      <c r="S851" s="90"/>
      <c r="T851" s="90"/>
      <c r="U851" s="24"/>
      <c r="V851" s="90"/>
      <c r="W851" s="90"/>
      <c r="X851" s="90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</row>
    <row r="852" spans="1:37" x14ac:dyDescent="0.25">
      <c r="A852" s="24"/>
      <c r="B852" s="90"/>
      <c r="C852" s="92"/>
      <c r="D852" s="24"/>
      <c r="E852" s="90"/>
      <c r="F852" s="90"/>
      <c r="G852" s="24"/>
      <c r="H852" s="90"/>
      <c r="I852" s="24"/>
      <c r="J852" s="90"/>
      <c r="K852" s="90"/>
      <c r="L852" s="24"/>
      <c r="M852" s="24"/>
      <c r="N852" s="24"/>
      <c r="O852" s="90"/>
      <c r="P852" s="24"/>
      <c r="Q852" s="24"/>
      <c r="R852" s="24"/>
      <c r="S852" s="90"/>
      <c r="T852" s="90"/>
      <c r="U852" s="24"/>
      <c r="V852" s="90"/>
      <c r="W852" s="90"/>
      <c r="X852" s="90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</row>
    <row r="853" spans="1:37" x14ac:dyDescent="0.25">
      <c r="A853" s="24"/>
      <c r="B853" s="90"/>
      <c r="C853" s="92"/>
      <c r="D853" s="24"/>
      <c r="E853" s="90"/>
      <c r="F853" s="90"/>
      <c r="G853" s="24"/>
      <c r="H853" s="90"/>
      <c r="I853" s="24"/>
      <c r="J853" s="90"/>
      <c r="K853" s="90"/>
      <c r="L853" s="24"/>
      <c r="M853" s="24"/>
      <c r="N853" s="24"/>
      <c r="O853" s="90"/>
      <c r="P853" s="24"/>
      <c r="Q853" s="24"/>
      <c r="R853" s="24"/>
      <c r="S853" s="90"/>
      <c r="T853" s="90"/>
      <c r="U853" s="24"/>
      <c r="V853" s="90"/>
      <c r="W853" s="90"/>
      <c r="X853" s="90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</row>
    <row r="854" spans="1:37" x14ac:dyDescent="0.25">
      <c r="A854" s="24"/>
      <c r="B854" s="90"/>
      <c r="C854" s="92"/>
      <c r="D854" s="24"/>
      <c r="E854" s="90"/>
      <c r="F854" s="90"/>
      <c r="G854" s="24"/>
      <c r="H854" s="90"/>
      <c r="I854" s="24"/>
      <c r="J854" s="90"/>
      <c r="K854" s="90"/>
      <c r="L854" s="24"/>
      <c r="M854" s="24"/>
      <c r="N854" s="24"/>
      <c r="O854" s="90"/>
      <c r="P854" s="24"/>
      <c r="Q854" s="24"/>
      <c r="R854" s="24"/>
      <c r="S854" s="90"/>
      <c r="T854" s="90"/>
      <c r="U854" s="24"/>
      <c r="V854" s="90"/>
      <c r="W854" s="90"/>
      <c r="X854" s="90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</row>
    <row r="855" spans="1:37" x14ac:dyDescent="0.25">
      <c r="A855" s="24"/>
      <c r="B855" s="90"/>
      <c r="C855" s="92"/>
      <c r="D855" s="24"/>
      <c r="E855" s="90"/>
      <c r="F855" s="90"/>
      <c r="G855" s="24"/>
      <c r="H855" s="90"/>
      <c r="I855" s="24"/>
      <c r="J855" s="90"/>
      <c r="K855" s="90"/>
      <c r="L855" s="24"/>
      <c r="M855" s="24"/>
      <c r="N855" s="24"/>
      <c r="O855" s="90"/>
      <c r="P855" s="24"/>
      <c r="Q855" s="24"/>
      <c r="R855" s="24"/>
      <c r="S855" s="90"/>
      <c r="T855" s="90"/>
      <c r="U855" s="24"/>
      <c r="V855" s="90"/>
      <c r="W855" s="90"/>
      <c r="X855" s="90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</row>
    <row r="856" spans="1:37" x14ac:dyDescent="0.25">
      <c r="A856" s="24"/>
      <c r="B856" s="90"/>
      <c r="C856" s="92"/>
      <c r="D856" s="24"/>
      <c r="E856" s="90"/>
      <c r="F856" s="90"/>
      <c r="G856" s="24"/>
      <c r="H856" s="90"/>
      <c r="I856" s="24"/>
      <c r="J856" s="90"/>
      <c r="K856" s="90"/>
      <c r="L856" s="24"/>
      <c r="M856" s="24"/>
      <c r="N856" s="24"/>
      <c r="O856" s="90"/>
      <c r="P856" s="24"/>
      <c r="Q856" s="24"/>
      <c r="R856" s="24"/>
      <c r="S856" s="90"/>
      <c r="T856" s="90"/>
      <c r="U856" s="24"/>
      <c r="V856" s="90"/>
      <c r="W856" s="90"/>
      <c r="X856" s="90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</row>
    <row r="857" spans="1:37" x14ac:dyDescent="0.25">
      <c r="A857" s="24"/>
      <c r="B857" s="90"/>
      <c r="C857" s="92"/>
      <c r="D857" s="24"/>
      <c r="E857" s="90"/>
      <c r="F857" s="90"/>
      <c r="G857" s="24"/>
      <c r="H857" s="90"/>
      <c r="I857" s="24"/>
      <c r="J857" s="90"/>
      <c r="K857" s="90"/>
      <c r="L857" s="24"/>
      <c r="M857" s="24"/>
      <c r="N857" s="24"/>
      <c r="O857" s="90"/>
      <c r="P857" s="24"/>
      <c r="Q857" s="24"/>
      <c r="R857" s="24"/>
      <c r="S857" s="90"/>
      <c r="T857" s="90"/>
      <c r="U857" s="24"/>
      <c r="V857" s="90"/>
      <c r="W857" s="90"/>
      <c r="X857" s="90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</row>
    <row r="858" spans="1:37" x14ac:dyDescent="0.25">
      <c r="A858" s="24"/>
      <c r="B858" s="90"/>
      <c r="C858" s="92"/>
      <c r="D858" s="24"/>
      <c r="E858" s="90"/>
      <c r="F858" s="90"/>
      <c r="G858" s="24"/>
      <c r="H858" s="90"/>
      <c r="I858" s="24"/>
      <c r="J858" s="90"/>
      <c r="K858" s="90"/>
      <c r="L858" s="24"/>
      <c r="M858" s="24"/>
      <c r="N858" s="24"/>
      <c r="O858" s="90"/>
      <c r="P858" s="24"/>
      <c r="Q858" s="24"/>
      <c r="R858" s="24"/>
      <c r="S858" s="90"/>
      <c r="T858" s="90"/>
      <c r="U858" s="24"/>
      <c r="V858" s="90"/>
      <c r="W858" s="90"/>
      <c r="X858" s="90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</row>
    <row r="859" spans="1:37" x14ac:dyDescent="0.25">
      <c r="A859" s="24"/>
      <c r="B859" s="90"/>
      <c r="C859" s="92"/>
      <c r="D859" s="24"/>
      <c r="E859" s="90"/>
      <c r="F859" s="90"/>
      <c r="G859" s="24"/>
      <c r="H859" s="90"/>
      <c r="I859" s="24"/>
      <c r="J859" s="90"/>
      <c r="K859" s="90"/>
      <c r="L859" s="24"/>
      <c r="M859" s="24"/>
      <c r="N859" s="24"/>
      <c r="O859" s="90"/>
      <c r="P859" s="24"/>
      <c r="Q859" s="24"/>
      <c r="R859" s="24"/>
      <c r="S859" s="90"/>
      <c r="T859" s="90"/>
      <c r="U859" s="24"/>
      <c r="V859" s="90"/>
      <c r="W859" s="90"/>
      <c r="X859" s="90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</row>
    <row r="860" spans="1:37" x14ac:dyDescent="0.25">
      <c r="A860" s="24"/>
      <c r="B860" s="90"/>
      <c r="C860" s="92"/>
      <c r="D860" s="24"/>
      <c r="E860" s="90"/>
      <c r="F860" s="90"/>
      <c r="G860" s="24"/>
      <c r="H860" s="90"/>
      <c r="I860" s="24"/>
      <c r="J860" s="90"/>
      <c r="K860" s="90"/>
      <c r="L860" s="24"/>
      <c r="M860" s="24"/>
      <c r="N860" s="24"/>
      <c r="O860" s="90"/>
      <c r="P860" s="24"/>
      <c r="Q860" s="24"/>
      <c r="R860" s="24"/>
      <c r="S860" s="90"/>
      <c r="T860" s="90"/>
      <c r="U860" s="24"/>
      <c r="V860" s="90"/>
      <c r="W860" s="90"/>
      <c r="X860" s="90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</row>
    <row r="861" spans="1:37" x14ac:dyDescent="0.25">
      <c r="A861" s="24"/>
      <c r="B861" s="90"/>
      <c r="C861" s="92"/>
      <c r="D861" s="24"/>
      <c r="E861" s="90"/>
      <c r="F861" s="90"/>
      <c r="G861" s="24"/>
      <c r="H861" s="90"/>
      <c r="I861" s="24"/>
      <c r="J861" s="90"/>
      <c r="K861" s="90"/>
      <c r="L861" s="24"/>
      <c r="M861" s="24"/>
      <c r="N861" s="24"/>
      <c r="O861" s="90"/>
      <c r="P861" s="24"/>
      <c r="Q861" s="24"/>
      <c r="R861" s="24"/>
      <c r="S861" s="90"/>
      <c r="T861" s="90"/>
      <c r="U861" s="24"/>
      <c r="V861" s="90"/>
      <c r="W861" s="90"/>
      <c r="X861" s="90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</row>
    <row r="862" spans="1:37" x14ac:dyDescent="0.25">
      <c r="A862" s="24"/>
      <c r="B862" s="90"/>
      <c r="C862" s="92"/>
      <c r="D862" s="24"/>
      <c r="E862" s="90"/>
      <c r="F862" s="90"/>
      <c r="G862" s="24"/>
      <c r="H862" s="90"/>
      <c r="I862" s="24"/>
      <c r="J862" s="90"/>
      <c r="K862" s="90"/>
      <c r="L862" s="24"/>
      <c r="M862" s="24"/>
      <c r="N862" s="24"/>
      <c r="O862" s="90"/>
      <c r="P862" s="24"/>
      <c r="Q862" s="24"/>
      <c r="R862" s="24"/>
      <c r="S862" s="90"/>
      <c r="T862" s="90"/>
      <c r="U862" s="24"/>
      <c r="V862" s="90"/>
      <c r="W862" s="90"/>
      <c r="X862" s="90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</row>
    <row r="863" spans="1:37" x14ac:dyDescent="0.25">
      <c r="A863" s="24"/>
      <c r="B863" s="90"/>
      <c r="C863" s="92"/>
      <c r="D863" s="24"/>
      <c r="E863" s="90"/>
      <c r="F863" s="90"/>
      <c r="G863" s="24"/>
      <c r="H863" s="90"/>
      <c r="I863" s="24"/>
      <c r="J863" s="90"/>
      <c r="K863" s="90"/>
      <c r="L863" s="24"/>
      <c r="M863" s="24"/>
      <c r="N863" s="24"/>
      <c r="O863" s="90"/>
      <c r="P863" s="24"/>
      <c r="Q863" s="24"/>
      <c r="R863" s="24"/>
      <c r="S863" s="90"/>
      <c r="T863" s="90"/>
      <c r="U863" s="24"/>
      <c r="V863" s="90"/>
      <c r="W863" s="90"/>
      <c r="X863" s="90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</row>
    <row r="864" spans="1:37" x14ac:dyDescent="0.25">
      <c r="A864" s="24"/>
      <c r="B864" s="90"/>
      <c r="C864" s="92"/>
      <c r="D864" s="24"/>
      <c r="E864" s="90"/>
      <c r="F864" s="90"/>
      <c r="G864" s="24"/>
      <c r="H864" s="90"/>
      <c r="I864" s="24"/>
      <c r="J864" s="90"/>
      <c r="K864" s="90"/>
      <c r="L864" s="24"/>
      <c r="M864" s="24"/>
      <c r="N864" s="24"/>
      <c r="O864" s="90"/>
      <c r="P864" s="24"/>
      <c r="Q864" s="24"/>
      <c r="R864" s="24"/>
      <c r="S864" s="90"/>
      <c r="T864" s="90"/>
      <c r="U864" s="24"/>
      <c r="V864" s="90"/>
      <c r="W864" s="90"/>
      <c r="X864" s="90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</row>
    <row r="865" spans="1:37" x14ac:dyDescent="0.25">
      <c r="A865" s="24"/>
      <c r="B865" s="90"/>
      <c r="C865" s="92"/>
      <c r="D865" s="24"/>
      <c r="E865" s="90"/>
      <c r="F865" s="90"/>
      <c r="G865" s="24"/>
      <c r="H865" s="90"/>
      <c r="I865" s="24"/>
      <c r="J865" s="90"/>
      <c r="K865" s="90"/>
      <c r="L865" s="24"/>
      <c r="M865" s="24"/>
      <c r="N865" s="24"/>
      <c r="O865" s="90"/>
      <c r="P865" s="24"/>
      <c r="Q865" s="24"/>
      <c r="R865" s="24"/>
      <c r="S865" s="90"/>
      <c r="T865" s="90"/>
      <c r="U865" s="24"/>
      <c r="V865" s="90"/>
      <c r="W865" s="90"/>
      <c r="X865" s="90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</row>
    <row r="866" spans="1:37" x14ac:dyDescent="0.25">
      <c r="A866" s="24"/>
      <c r="B866" s="90"/>
      <c r="C866" s="92"/>
      <c r="D866" s="24"/>
      <c r="E866" s="90"/>
      <c r="F866" s="90"/>
      <c r="G866" s="24"/>
      <c r="H866" s="90"/>
      <c r="I866" s="24"/>
      <c r="J866" s="90"/>
      <c r="K866" s="90"/>
      <c r="L866" s="24"/>
      <c r="M866" s="24"/>
      <c r="N866" s="24"/>
      <c r="O866" s="90"/>
      <c r="P866" s="24"/>
      <c r="Q866" s="24"/>
      <c r="R866" s="24"/>
      <c r="S866" s="90"/>
      <c r="T866" s="90"/>
      <c r="U866" s="24"/>
      <c r="V866" s="90"/>
      <c r="W866" s="90"/>
      <c r="X866" s="90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</row>
    <row r="867" spans="1:37" x14ac:dyDescent="0.25">
      <c r="A867" s="24"/>
      <c r="B867" s="90"/>
      <c r="C867" s="92"/>
      <c r="D867" s="24"/>
      <c r="E867" s="90"/>
      <c r="F867" s="90"/>
      <c r="G867" s="24"/>
      <c r="H867" s="90"/>
      <c r="I867" s="24"/>
      <c r="J867" s="90"/>
      <c r="K867" s="90"/>
      <c r="L867" s="24"/>
      <c r="M867" s="24"/>
      <c r="N867" s="24"/>
      <c r="O867" s="90"/>
      <c r="P867" s="24"/>
      <c r="Q867" s="24"/>
      <c r="R867" s="24"/>
      <c r="S867" s="90"/>
      <c r="T867" s="90"/>
      <c r="U867" s="24"/>
      <c r="V867" s="90"/>
      <c r="W867" s="90"/>
      <c r="X867" s="90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</row>
    <row r="868" spans="1:37" x14ac:dyDescent="0.25">
      <c r="A868" s="24"/>
      <c r="B868" s="90"/>
      <c r="C868" s="92"/>
      <c r="D868" s="24"/>
      <c r="E868" s="90"/>
      <c r="F868" s="90"/>
      <c r="G868" s="24"/>
      <c r="H868" s="90"/>
      <c r="I868" s="24"/>
      <c r="J868" s="90"/>
      <c r="K868" s="90"/>
      <c r="L868" s="24"/>
      <c r="M868" s="24"/>
      <c r="N868" s="24"/>
      <c r="O868" s="90"/>
      <c r="P868" s="24"/>
      <c r="Q868" s="24"/>
      <c r="R868" s="24"/>
      <c r="S868" s="90"/>
      <c r="T868" s="90"/>
      <c r="U868" s="24"/>
      <c r="V868" s="90"/>
      <c r="W868" s="90"/>
      <c r="X868" s="90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</row>
    <row r="869" spans="1:37" x14ac:dyDescent="0.25">
      <c r="A869" s="24"/>
      <c r="B869" s="90"/>
      <c r="C869" s="92"/>
      <c r="D869" s="24"/>
      <c r="E869" s="90"/>
      <c r="F869" s="90"/>
      <c r="G869" s="24"/>
      <c r="H869" s="90"/>
      <c r="I869" s="24"/>
      <c r="J869" s="90"/>
      <c r="K869" s="90"/>
      <c r="L869" s="24"/>
      <c r="M869" s="24"/>
      <c r="N869" s="24"/>
      <c r="O869" s="90"/>
      <c r="P869" s="24"/>
      <c r="Q869" s="24"/>
      <c r="R869" s="24"/>
      <c r="S869" s="90"/>
      <c r="T869" s="90"/>
      <c r="U869" s="24"/>
      <c r="V869" s="90"/>
      <c r="W869" s="90"/>
      <c r="X869" s="90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</row>
    <row r="870" spans="1:37" x14ac:dyDescent="0.25">
      <c r="A870" s="24"/>
      <c r="B870" s="90"/>
      <c r="C870" s="92"/>
      <c r="D870" s="24"/>
      <c r="E870" s="90"/>
      <c r="F870" s="90"/>
      <c r="G870" s="24"/>
      <c r="H870" s="90"/>
      <c r="I870" s="24"/>
      <c r="J870" s="90"/>
      <c r="K870" s="90"/>
      <c r="L870" s="24"/>
      <c r="M870" s="24"/>
      <c r="N870" s="24"/>
      <c r="O870" s="90"/>
      <c r="P870" s="24"/>
      <c r="Q870" s="24"/>
      <c r="R870" s="24"/>
      <c r="S870" s="90"/>
      <c r="T870" s="90"/>
      <c r="U870" s="24"/>
      <c r="V870" s="90"/>
      <c r="W870" s="90"/>
      <c r="X870" s="90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</row>
    <row r="871" spans="1:37" x14ac:dyDescent="0.25">
      <c r="A871" s="24"/>
      <c r="B871" s="90"/>
      <c r="C871" s="92"/>
      <c r="D871" s="24"/>
      <c r="E871" s="90"/>
      <c r="F871" s="90"/>
      <c r="G871" s="24"/>
      <c r="H871" s="90"/>
      <c r="I871" s="24"/>
      <c r="J871" s="90"/>
      <c r="K871" s="90"/>
      <c r="L871" s="24"/>
      <c r="M871" s="24"/>
      <c r="N871" s="24"/>
      <c r="O871" s="90"/>
      <c r="P871" s="24"/>
      <c r="Q871" s="24"/>
      <c r="R871" s="24"/>
      <c r="S871" s="90"/>
      <c r="T871" s="90"/>
      <c r="U871" s="24"/>
      <c r="V871" s="90"/>
      <c r="W871" s="90"/>
      <c r="X871" s="90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</row>
    <row r="872" spans="1:37" x14ac:dyDescent="0.25">
      <c r="A872" s="24"/>
      <c r="B872" s="90"/>
      <c r="C872" s="92"/>
      <c r="D872" s="24"/>
      <c r="E872" s="90"/>
      <c r="F872" s="90"/>
      <c r="G872" s="24"/>
      <c r="H872" s="90"/>
      <c r="I872" s="24"/>
      <c r="J872" s="90"/>
      <c r="K872" s="90"/>
      <c r="L872" s="24"/>
      <c r="M872" s="24"/>
      <c r="N872" s="24"/>
      <c r="O872" s="90"/>
      <c r="P872" s="24"/>
      <c r="Q872" s="24"/>
      <c r="R872" s="24"/>
      <c r="S872" s="90"/>
      <c r="T872" s="90"/>
      <c r="U872" s="24"/>
      <c r="V872" s="90"/>
      <c r="W872" s="90"/>
      <c r="X872" s="90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</row>
    <row r="873" spans="1:37" x14ac:dyDescent="0.25">
      <c r="A873" s="24"/>
      <c r="B873" s="90"/>
      <c r="C873" s="92"/>
      <c r="D873" s="24"/>
      <c r="E873" s="90"/>
      <c r="F873" s="90"/>
      <c r="G873" s="24"/>
      <c r="H873" s="90"/>
      <c r="I873" s="24"/>
      <c r="J873" s="90"/>
      <c r="K873" s="90"/>
      <c r="L873" s="24"/>
      <c r="M873" s="24"/>
      <c r="N873" s="24"/>
      <c r="O873" s="90"/>
      <c r="P873" s="24"/>
      <c r="Q873" s="24"/>
      <c r="R873" s="24"/>
      <c r="S873" s="90"/>
      <c r="T873" s="90"/>
      <c r="U873" s="24"/>
      <c r="V873" s="90"/>
      <c r="W873" s="90"/>
      <c r="X873" s="90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</row>
    <row r="874" spans="1:37" x14ac:dyDescent="0.25">
      <c r="A874" s="24"/>
      <c r="B874" s="90"/>
      <c r="C874" s="92"/>
      <c r="D874" s="24"/>
      <c r="E874" s="90"/>
      <c r="F874" s="90"/>
      <c r="G874" s="24"/>
      <c r="H874" s="90"/>
      <c r="I874" s="24"/>
      <c r="J874" s="90"/>
      <c r="K874" s="90"/>
      <c r="L874" s="24"/>
      <c r="M874" s="24"/>
      <c r="N874" s="24"/>
      <c r="O874" s="90"/>
      <c r="P874" s="24"/>
      <c r="Q874" s="24"/>
      <c r="R874" s="24"/>
      <c r="S874" s="90"/>
      <c r="T874" s="90"/>
      <c r="U874" s="24"/>
      <c r="V874" s="90"/>
      <c r="W874" s="90"/>
      <c r="X874" s="90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</row>
    <row r="875" spans="1:37" x14ac:dyDescent="0.25">
      <c r="A875" s="24"/>
      <c r="B875" s="90"/>
      <c r="C875" s="92"/>
      <c r="D875" s="24"/>
      <c r="E875" s="90"/>
      <c r="F875" s="90"/>
      <c r="G875" s="24"/>
      <c r="H875" s="90"/>
      <c r="I875" s="24"/>
      <c r="J875" s="90"/>
      <c r="K875" s="90"/>
      <c r="L875" s="24"/>
      <c r="M875" s="24"/>
      <c r="N875" s="24"/>
      <c r="O875" s="90"/>
      <c r="P875" s="24"/>
      <c r="Q875" s="24"/>
      <c r="R875" s="24"/>
      <c r="S875" s="90"/>
      <c r="T875" s="90"/>
      <c r="U875" s="24"/>
      <c r="V875" s="90"/>
      <c r="W875" s="90"/>
      <c r="X875" s="90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</row>
    <row r="876" spans="1:37" x14ac:dyDescent="0.25">
      <c r="A876" s="24"/>
      <c r="B876" s="90"/>
      <c r="C876" s="92"/>
      <c r="D876" s="24"/>
      <c r="E876" s="90"/>
      <c r="F876" s="90"/>
      <c r="G876" s="24"/>
      <c r="H876" s="90"/>
      <c r="I876" s="24"/>
      <c r="J876" s="90"/>
      <c r="K876" s="90"/>
      <c r="L876" s="24"/>
      <c r="M876" s="24"/>
      <c r="N876" s="24"/>
      <c r="O876" s="90"/>
      <c r="P876" s="24"/>
      <c r="Q876" s="24"/>
      <c r="R876" s="24"/>
      <c r="S876" s="90"/>
      <c r="T876" s="90"/>
      <c r="U876" s="24"/>
      <c r="V876" s="90"/>
      <c r="W876" s="90"/>
      <c r="X876" s="90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</row>
    <row r="877" spans="1:37" x14ac:dyDescent="0.25">
      <c r="A877" s="24"/>
      <c r="B877" s="90"/>
      <c r="C877" s="92"/>
      <c r="D877" s="24"/>
      <c r="E877" s="90"/>
      <c r="F877" s="90"/>
      <c r="G877" s="24"/>
      <c r="H877" s="90"/>
      <c r="I877" s="24"/>
      <c r="J877" s="90"/>
      <c r="K877" s="90"/>
      <c r="L877" s="24"/>
      <c r="M877" s="24"/>
      <c r="N877" s="24"/>
      <c r="O877" s="90"/>
      <c r="P877" s="24"/>
      <c r="Q877" s="24"/>
      <c r="R877" s="24"/>
      <c r="S877" s="90"/>
      <c r="T877" s="90"/>
      <c r="U877" s="24"/>
      <c r="V877" s="90"/>
      <c r="W877" s="90"/>
      <c r="X877" s="90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</row>
    <row r="878" spans="1:37" x14ac:dyDescent="0.25">
      <c r="A878" s="24"/>
      <c r="B878" s="90"/>
      <c r="C878" s="92"/>
      <c r="D878" s="24"/>
      <c r="E878" s="90"/>
      <c r="F878" s="90"/>
      <c r="G878" s="24"/>
      <c r="H878" s="90"/>
      <c r="I878" s="24"/>
      <c r="J878" s="90"/>
      <c r="K878" s="90"/>
      <c r="L878" s="24"/>
      <c r="M878" s="24"/>
      <c r="N878" s="24"/>
      <c r="O878" s="90"/>
      <c r="P878" s="24"/>
      <c r="Q878" s="24"/>
      <c r="R878" s="24"/>
      <c r="S878" s="90"/>
      <c r="T878" s="90"/>
      <c r="U878" s="24"/>
      <c r="V878" s="90"/>
      <c r="W878" s="90"/>
      <c r="X878" s="90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</row>
    <row r="879" spans="1:37" x14ac:dyDescent="0.25">
      <c r="A879" s="24"/>
      <c r="B879" s="90"/>
      <c r="C879" s="92"/>
      <c r="D879" s="24"/>
      <c r="E879" s="90"/>
      <c r="F879" s="90"/>
      <c r="G879" s="24"/>
      <c r="H879" s="90"/>
      <c r="I879" s="24"/>
      <c r="J879" s="90"/>
      <c r="K879" s="90"/>
      <c r="L879" s="24"/>
      <c r="M879" s="24"/>
      <c r="N879" s="24"/>
      <c r="O879" s="90"/>
      <c r="P879" s="24"/>
      <c r="Q879" s="24"/>
      <c r="R879" s="24"/>
      <c r="S879" s="90"/>
      <c r="T879" s="90"/>
      <c r="U879" s="24"/>
      <c r="V879" s="90"/>
      <c r="W879" s="90"/>
      <c r="X879" s="90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</row>
    <row r="880" spans="1:37" x14ac:dyDescent="0.25">
      <c r="A880" s="24"/>
      <c r="B880" s="90"/>
      <c r="C880" s="92"/>
      <c r="D880" s="24"/>
      <c r="E880" s="90"/>
      <c r="F880" s="90"/>
      <c r="G880" s="24"/>
      <c r="H880" s="90"/>
      <c r="I880" s="24"/>
      <c r="J880" s="90"/>
      <c r="K880" s="90"/>
      <c r="L880" s="24"/>
      <c r="M880" s="24"/>
      <c r="N880" s="24"/>
      <c r="O880" s="90"/>
      <c r="P880" s="24"/>
      <c r="Q880" s="24"/>
      <c r="R880" s="24"/>
      <c r="S880" s="90"/>
      <c r="T880" s="90"/>
      <c r="U880" s="24"/>
      <c r="V880" s="90"/>
      <c r="W880" s="90"/>
      <c r="X880" s="90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</row>
    <row r="881" spans="1:37" x14ac:dyDescent="0.25">
      <c r="A881" s="24"/>
      <c r="B881" s="90"/>
      <c r="C881" s="92"/>
      <c r="D881" s="24"/>
      <c r="E881" s="90"/>
      <c r="F881" s="90"/>
      <c r="G881" s="24"/>
      <c r="H881" s="90"/>
      <c r="I881" s="24"/>
      <c r="J881" s="90"/>
      <c r="K881" s="90"/>
      <c r="L881" s="24"/>
      <c r="M881" s="24"/>
      <c r="N881" s="24"/>
      <c r="O881" s="90"/>
      <c r="P881" s="24"/>
      <c r="Q881" s="24"/>
      <c r="R881" s="24"/>
      <c r="S881" s="90"/>
      <c r="T881" s="90"/>
      <c r="U881" s="24"/>
      <c r="V881" s="90"/>
      <c r="W881" s="90"/>
      <c r="X881" s="90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</row>
    <row r="882" spans="1:37" x14ac:dyDescent="0.25">
      <c r="A882" s="24"/>
      <c r="B882" s="90"/>
      <c r="C882" s="92"/>
      <c r="D882" s="24"/>
      <c r="E882" s="90"/>
      <c r="F882" s="90"/>
      <c r="G882" s="24"/>
      <c r="H882" s="90"/>
      <c r="I882" s="24"/>
      <c r="J882" s="90"/>
      <c r="K882" s="90"/>
      <c r="L882" s="24"/>
      <c r="M882" s="24"/>
      <c r="N882" s="24"/>
      <c r="O882" s="90"/>
      <c r="P882" s="24"/>
      <c r="Q882" s="24"/>
      <c r="R882" s="24"/>
      <c r="S882" s="90"/>
      <c r="T882" s="90"/>
      <c r="U882" s="24"/>
      <c r="V882" s="90"/>
      <c r="W882" s="90"/>
      <c r="X882" s="90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</row>
    <row r="883" spans="1:37" x14ac:dyDescent="0.25">
      <c r="A883" s="24"/>
      <c r="B883" s="90"/>
      <c r="C883" s="92"/>
      <c r="D883" s="24"/>
      <c r="E883" s="90"/>
      <c r="F883" s="90"/>
      <c r="G883" s="24"/>
      <c r="H883" s="90"/>
      <c r="I883" s="24"/>
      <c r="J883" s="90"/>
      <c r="K883" s="90"/>
      <c r="L883" s="24"/>
      <c r="M883" s="24"/>
      <c r="N883" s="24"/>
      <c r="O883" s="90"/>
      <c r="P883" s="24"/>
      <c r="Q883" s="24"/>
      <c r="R883" s="24"/>
      <c r="S883" s="90"/>
      <c r="T883" s="90"/>
      <c r="U883" s="24"/>
      <c r="V883" s="90"/>
      <c r="W883" s="90"/>
      <c r="X883" s="90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</row>
    <row r="884" spans="1:37" x14ac:dyDescent="0.25">
      <c r="A884" s="24"/>
      <c r="B884" s="90"/>
      <c r="C884" s="92"/>
      <c r="D884" s="24"/>
      <c r="E884" s="90"/>
      <c r="F884" s="90"/>
      <c r="G884" s="24"/>
      <c r="H884" s="90"/>
      <c r="I884" s="24"/>
      <c r="J884" s="90"/>
      <c r="K884" s="90"/>
      <c r="L884" s="24"/>
      <c r="M884" s="24"/>
      <c r="N884" s="24"/>
      <c r="O884" s="90"/>
      <c r="P884" s="24"/>
      <c r="Q884" s="24"/>
      <c r="R884" s="24"/>
      <c r="S884" s="90"/>
      <c r="T884" s="90"/>
      <c r="U884" s="24"/>
      <c r="V884" s="90"/>
      <c r="W884" s="90"/>
      <c r="X884" s="90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</row>
    <row r="885" spans="1:37" x14ac:dyDescent="0.25">
      <c r="A885" s="24"/>
      <c r="B885" s="90"/>
      <c r="C885" s="92"/>
      <c r="D885" s="24"/>
      <c r="E885" s="90"/>
      <c r="F885" s="90"/>
      <c r="G885" s="24"/>
      <c r="H885" s="90"/>
      <c r="I885" s="24"/>
      <c r="J885" s="90"/>
      <c r="K885" s="90"/>
      <c r="L885" s="24"/>
      <c r="M885" s="24"/>
      <c r="N885" s="24"/>
      <c r="O885" s="90"/>
      <c r="P885" s="24"/>
      <c r="Q885" s="24"/>
      <c r="R885" s="24"/>
      <c r="S885" s="90"/>
      <c r="T885" s="90"/>
      <c r="U885" s="24"/>
      <c r="V885" s="90"/>
      <c r="W885" s="90"/>
      <c r="X885" s="90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</row>
    <row r="886" spans="1:37" x14ac:dyDescent="0.25">
      <c r="A886" s="24"/>
      <c r="B886" s="90"/>
      <c r="C886" s="92"/>
      <c r="D886" s="24"/>
      <c r="E886" s="90"/>
      <c r="F886" s="90"/>
      <c r="G886" s="24"/>
      <c r="H886" s="90"/>
      <c r="I886" s="24"/>
      <c r="J886" s="90"/>
      <c r="K886" s="90"/>
      <c r="L886" s="24"/>
      <c r="M886" s="24"/>
      <c r="N886" s="24"/>
      <c r="O886" s="90"/>
      <c r="P886" s="24"/>
      <c r="Q886" s="24"/>
      <c r="R886" s="24"/>
      <c r="S886" s="90"/>
      <c r="T886" s="90"/>
      <c r="U886" s="24"/>
      <c r="V886" s="90"/>
      <c r="W886" s="90"/>
      <c r="X886" s="90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</row>
    <row r="887" spans="1:37" x14ac:dyDescent="0.25">
      <c r="A887" s="24"/>
      <c r="B887" s="90"/>
      <c r="C887" s="92"/>
      <c r="D887" s="24"/>
      <c r="E887" s="90"/>
      <c r="F887" s="90"/>
      <c r="G887" s="24"/>
      <c r="H887" s="90"/>
      <c r="I887" s="24"/>
      <c r="J887" s="90"/>
      <c r="K887" s="90"/>
      <c r="L887" s="24"/>
      <c r="M887" s="24"/>
      <c r="N887" s="24"/>
      <c r="O887" s="90"/>
      <c r="P887" s="24"/>
      <c r="Q887" s="24"/>
      <c r="R887" s="24"/>
      <c r="S887" s="90"/>
      <c r="T887" s="90"/>
      <c r="U887" s="24"/>
      <c r="V887" s="90"/>
      <c r="W887" s="90"/>
      <c r="X887" s="90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</row>
    <row r="888" spans="1:37" x14ac:dyDescent="0.25">
      <c r="A888" s="24"/>
      <c r="B888" s="90"/>
      <c r="C888" s="92"/>
      <c r="D888" s="24"/>
      <c r="E888" s="90"/>
      <c r="F888" s="90"/>
      <c r="G888" s="24"/>
      <c r="H888" s="90"/>
      <c r="I888" s="24"/>
      <c r="J888" s="90"/>
      <c r="K888" s="90"/>
      <c r="L888" s="24"/>
      <c r="M888" s="24"/>
      <c r="N888" s="24"/>
      <c r="O888" s="90"/>
      <c r="P888" s="24"/>
      <c r="Q888" s="24"/>
      <c r="R888" s="24"/>
      <c r="S888" s="90"/>
      <c r="T888" s="90"/>
      <c r="U888" s="24"/>
      <c r="V888" s="90"/>
      <c r="W888" s="90"/>
      <c r="X888" s="90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</row>
    <row r="889" spans="1:37" x14ac:dyDescent="0.25">
      <c r="A889" s="24"/>
      <c r="B889" s="90"/>
      <c r="C889" s="92"/>
      <c r="D889" s="24"/>
      <c r="E889" s="90"/>
      <c r="F889" s="90"/>
      <c r="G889" s="24"/>
      <c r="H889" s="90"/>
      <c r="I889" s="24"/>
      <c r="J889" s="90"/>
      <c r="K889" s="90"/>
      <c r="L889" s="24"/>
      <c r="M889" s="24"/>
      <c r="N889" s="24"/>
      <c r="O889" s="90"/>
      <c r="P889" s="24"/>
      <c r="Q889" s="24"/>
      <c r="R889" s="24"/>
      <c r="S889" s="90"/>
      <c r="T889" s="90"/>
      <c r="U889" s="24"/>
      <c r="V889" s="90"/>
      <c r="W889" s="90"/>
      <c r="X889" s="90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</row>
    <row r="890" spans="1:37" x14ac:dyDescent="0.25">
      <c r="A890" s="24"/>
      <c r="B890" s="90"/>
      <c r="C890" s="92"/>
      <c r="D890" s="24"/>
      <c r="E890" s="90"/>
      <c r="F890" s="90"/>
      <c r="G890" s="24"/>
      <c r="H890" s="90"/>
      <c r="I890" s="24"/>
      <c r="J890" s="90"/>
      <c r="K890" s="90"/>
      <c r="L890" s="24"/>
      <c r="M890" s="24"/>
      <c r="N890" s="24"/>
      <c r="O890" s="90"/>
      <c r="P890" s="24"/>
      <c r="Q890" s="24"/>
      <c r="R890" s="24"/>
      <c r="S890" s="90"/>
      <c r="T890" s="90"/>
      <c r="U890" s="24"/>
      <c r="V890" s="90"/>
      <c r="W890" s="90"/>
      <c r="X890" s="90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</row>
    <row r="891" spans="1:37" x14ac:dyDescent="0.25">
      <c r="A891" s="24"/>
      <c r="B891" s="90"/>
      <c r="C891" s="92"/>
      <c r="D891" s="24"/>
      <c r="E891" s="90"/>
      <c r="F891" s="90"/>
      <c r="G891" s="24"/>
      <c r="H891" s="90"/>
      <c r="I891" s="24"/>
      <c r="J891" s="90"/>
      <c r="K891" s="90"/>
      <c r="L891" s="24"/>
      <c r="M891" s="24"/>
      <c r="N891" s="24"/>
      <c r="O891" s="90"/>
      <c r="P891" s="24"/>
      <c r="Q891" s="24"/>
      <c r="R891" s="24"/>
      <c r="S891" s="90"/>
      <c r="T891" s="90"/>
      <c r="U891" s="24"/>
      <c r="V891" s="90"/>
      <c r="W891" s="90"/>
      <c r="X891" s="90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</row>
    <row r="892" spans="1:37" x14ac:dyDescent="0.25">
      <c r="A892" s="24"/>
      <c r="B892" s="90"/>
      <c r="C892" s="92"/>
      <c r="D892" s="24"/>
      <c r="E892" s="90"/>
      <c r="F892" s="90"/>
      <c r="G892" s="24"/>
      <c r="H892" s="90"/>
      <c r="I892" s="24"/>
      <c r="J892" s="90"/>
      <c r="K892" s="90"/>
      <c r="L892" s="24"/>
      <c r="M892" s="24"/>
      <c r="N892" s="24"/>
      <c r="O892" s="90"/>
      <c r="P892" s="24"/>
      <c r="Q892" s="24"/>
      <c r="R892" s="24"/>
      <c r="S892" s="90"/>
      <c r="T892" s="90"/>
      <c r="U892" s="24"/>
      <c r="V892" s="90"/>
      <c r="W892" s="90"/>
      <c r="X892" s="90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</row>
    <row r="893" spans="1:37" x14ac:dyDescent="0.25">
      <c r="A893" s="24"/>
      <c r="B893" s="90"/>
      <c r="C893" s="92"/>
      <c r="D893" s="24"/>
      <c r="E893" s="90"/>
      <c r="F893" s="90"/>
      <c r="G893" s="24"/>
      <c r="H893" s="90"/>
      <c r="I893" s="24"/>
      <c r="J893" s="90"/>
      <c r="K893" s="90"/>
      <c r="L893" s="24"/>
      <c r="M893" s="24"/>
      <c r="N893" s="24"/>
      <c r="O893" s="90"/>
      <c r="P893" s="24"/>
      <c r="Q893" s="24"/>
      <c r="R893" s="24"/>
      <c r="S893" s="90"/>
      <c r="T893" s="90"/>
      <c r="U893" s="24"/>
      <c r="V893" s="90"/>
      <c r="W893" s="90"/>
      <c r="X893" s="90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</row>
    <row r="894" spans="1:37" x14ac:dyDescent="0.25">
      <c r="A894" s="24"/>
      <c r="B894" s="90"/>
      <c r="C894" s="92"/>
      <c r="D894" s="24"/>
      <c r="E894" s="90"/>
      <c r="F894" s="90"/>
      <c r="G894" s="24"/>
      <c r="H894" s="90"/>
      <c r="I894" s="24"/>
      <c r="J894" s="90"/>
      <c r="K894" s="90"/>
      <c r="L894" s="24"/>
      <c r="M894" s="24"/>
      <c r="N894" s="24"/>
      <c r="O894" s="90"/>
      <c r="P894" s="24"/>
      <c r="Q894" s="24"/>
      <c r="R894" s="24"/>
      <c r="S894" s="90"/>
      <c r="T894" s="90"/>
      <c r="U894" s="24"/>
      <c r="V894" s="90"/>
      <c r="W894" s="90"/>
      <c r="X894" s="90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</row>
    <row r="895" spans="1:37" x14ac:dyDescent="0.25">
      <c r="A895" s="24"/>
      <c r="B895" s="90"/>
      <c r="C895" s="92"/>
      <c r="D895" s="24"/>
      <c r="E895" s="90"/>
      <c r="F895" s="90"/>
      <c r="G895" s="24"/>
      <c r="H895" s="90"/>
      <c r="I895" s="24"/>
      <c r="J895" s="90"/>
      <c r="K895" s="90"/>
      <c r="L895" s="24"/>
      <c r="M895" s="24"/>
      <c r="N895" s="24"/>
      <c r="O895" s="90"/>
      <c r="P895" s="24"/>
      <c r="Q895" s="24"/>
      <c r="R895" s="24"/>
      <c r="S895" s="90"/>
      <c r="T895" s="90"/>
      <c r="U895" s="24"/>
      <c r="V895" s="90"/>
      <c r="W895" s="90"/>
      <c r="X895" s="90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</row>
    <row r="896" spans="1:37" x14ac:dyDescent="0.25">
      <c r="A896" s="24"/>
      <c r="B896" s="90"/>
      <c r="C896" s="92"/>
      <c r="D896" s="24"/>
      <c r="E896" s="90"/>
      <c r="F896" s="90"/>
      <c r="G896" s="24"/>
      <c r="H896" s="90"/>
      <c r="I896" s="24"/>
      <c r="J896" s="90"/>
      <c r="K896" s="90"/>
      <c r="L896" s="24"/>
      <c r="M896" s="24"/>
      <c r="N896" s="24"/>
      <c r="O896" s="90"/>
      <c r="P896" s="24"/>
      <c r="Q896" s="24"/>
      <c r="R896" s="24"/>
      <c r="S896" s="90"/>
      <c r="T896" s="90"/>
      <c r="U896" s="24"/>
      <c r="V896" s="90"/>
      <c r="W896" s="90"/>
      <c r="X896" s="90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</row>
    <row r="897" spans="1:37" x14ac:dyDescent="0.25">
      <c r="A897" s="24"/>
      <c r="B897" s="90"/>
      <c r="C897" s="92"/>
      <c r="D897" s="24"/>
      <c r="E897" s="90"/>
      <c r="F897" s="90"/>
      <c r="G897" s="24"/>
      <c r="H897" s="90"/>
      <c r="I897" s="24"/>
      <c r="J897" s="90"/>
      <c r="K897" s="90"/>
      <c r="L897" s="24"/>
      <c r="M897" s="24"/>
      <c r="N897" s="24"/>
      <c r="O897" s="90"/>
      <c r="P897" s="24"/>
      <c r="Q897" s="24"/>
      <c r="R897" s="24"/>
      <c r="S897" s="90"/>
      <c r="T897" s="90"/>
      <c r="U897" s="24"/>
      <c r="V897" s="90"/>
      <c r="W897" s="90"/>
      <c r="X897" s="90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</row>
    <row r="898" spans="1:37" x14ac:dyDescent="0.25">
      <c r="A898" s="24"/>
      <c r="B898" s="90"/>
      <c r="C898" s="92"/>
      <c r="D898" s="24"/>
      <c r="E898" s="90"/>
      <c r="F898" s="90"/>
      <c r="G898" s="24"/>
      <c r="H898" s="90"/>
      <c r="I898" s="24"/>
      <c r="J898" s="90"/>
      <c r="K898" s="90"/>
      <c r="L898" s="24"/>
      <c r="M898" s="24"/>
      <c r="N898" s="24"/>
      <c r="O898" s="90"/>
      <c r="P898" s="24"/>
      <c r="Q898" s="24"/>
      <c r="R898" s="24"/>
      <c r="S898" s="90"/>
      <c r="T898" s="90"/>
      <c r="U898" s="24"/>
      <c r="V898" s="90"/>
      <c r="W898" s="90"/>
      <c r="X898" s="90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</row>
    <row r="899" spans="1:37" x14ac:dyDescent="0.25">
      <c r="A899" s="24"/>
      <c r="B899" s="90"/>
      <c r="C899" s="92"/>
      <c r="D899" s="24"/>
      <c r="E899" s="90"/>
      <c r="F899" s="90"/>
      <c r="G899" s="24"/>
      <c r="H899" s="90"/>
      <c r="I899" s="24"/>
      <c r="J899" s="90"/>
      <c r="K899" s="90"/>
      <c r="L899" s="24"/>
      <c r="M899" s="24"/>
      <c r="N899" s="24"/>
      <c r="O899" s="90"/>
      <c r="P899" s="24"/>
      <c r="Q899" s="24"/>
      <c r="R899" s="24"/>
      <c r="S899" s="90"/>
      <c r="T899" s="90"/>
      <c r="U899" s="24"/>
      <c r="V899" s="90"/>
      <c r="W899" s="90"/>
      <c r="X899" s="90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</row>
    <row r="900" spans="1:37" x14ac:dyDescent="0.25">
      <c r="A900" s="24"/>
      <c r="B900" s="90"/>
      <c r="C900" s="92"/>
      <c r="D900" s="24"/>
      <c r="E900" s="90"/>
      <c r="F900" s="90"/>
      <c r="G900" s="24"/>
      <c r="H900" s="90"/>
      <c r="I900" s="24"/>
      <c r="J900" s="90"/>
      <c r="K900" s="90"/>
      <c r="L900" s="24"/>
      <c r="M900" s="24"/>
      <c r="N900" s="24"/>
      <c r="O900" s="90"/>
      <c r="P900" s="24"/>
      <c r="Q900" s="24"/>
      <c r="R900" s="24"/>
      <c r="S900" s="90"/>
      <c r="T900" s="90"/>
      <c r="U900" s="24"/>
      <c r="V900" s="90"/>
      <c r="W900" s="90"/>
      <c r="X900" s="90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</row>
    <row r="901" spans="1:37" x14ac:dyDescent="0.25">
      <c r="A901" s="24"/>
      <c r="B901" s="90"/>
      <c r="C901" s="92"/>
      <c r="D901" s="24"/>
      <c r="E901" s="90"/>
      <c r="F901" s="90"/>
      <c r="G901" s="24"/>
      <c r="H901" s="90"/>
      <c r="I901" s="24"/>
      <c r="J901" s="90"/>
      <c r="K901" s="90"/>
      <c r="L901" s="24"/>
      <c r="M901" s="24"/>
      <c r="N901" s="24"/>
      <c r="O901" s="90"/>
      <c r="P901" s="24"/>
      <c r="Q901" s="24"/>
      <c r="R901" s="24"/>
      <c r="S901" s="90"/>
      <c r="T901" s="90"/>
      <c r="U901" s="24"/>
      <c r="V901" s="90"/>
      <c r="W901" s="90"/>
      <c r="X901" s="90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</row>
    <row r="902" spans="1:37" x14ac:dyDescent="0.25">
      <c r="A902" s="24"/>
      <c r="B902" s="90"/>
      <c r="C902" s="92"/>
      <c r="D902" s="24"/>
      <c r="E902" s="90"/>
      <c r="F902" s="90"/>
      <c r="G902" s="24"/>
      <c r="H902" s="90"/>
      <c r="I902" s="24"/>
      <c r="J902" s="90"/>
      <c r="K902" s="90"/>
      <c r="L902" s="24"/>
      <c r="M902" s="24"/>
      <c r="N902" s="24"/>
      <c r="O902" s="90"/>
      <c r="P902" s="24"/>
      <c r="Q902" s="24"/>
      <c r="R902" s="24"/>
      <c r="S902" s="90"/>
      <c r="T902" s="90"/>
      <c r="U902" s="24"/>
      <c r="V902" s="90"/>
      <c r="W902" s="90"/>
      <c r="X902" s="90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</row>
    <row r="903" spans="1:37" x14ac:dyDescent="0.25">
      <c r="A903" s="24"/>
      <c r="B903" s="90"/>
      <c r="C903" s="92"/>
      <c r="D903" s="24"/>
      <c r="E903" s="90"/>
      <c r="F903" s="90"/>
      <c r="G903" s="24"/>
      <c r="H903" s="90"/>
      <c r="I903" s="24"/>
      <c r="J903" s="90"/>
      <c r="K903" s="90"/>
      <c r="L903" s="24"/>
      <c r="M903" s="24"/>
      <c r="N903" s="24"/>
      <c r="O903" s="90"/>
      <c r="P903" s="24"/>
      <c r="Q903" s="24"/>
      <c r="R903" s="24"/>
      <c r="S903" s="90"/>
      <c r="T903" s="90"/>
      <c r="U903" s="24"/>
      <c r="V903" s="90"/>
      <c r="W903" s="90"/>
      <c r="X903" s="90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</row>
    <row r="904" spans="1:37" x14ac:dyDescent="0.25">
      <c r="A904" s="24"/>
      <c r="B904" s="90"/>
      <c r="C904" s="92"/>
      <c r="D904" s="24"/>
      <c r="E904" s="90"/>
      <c r="F904" s="90"/>
      <c r="G904" s="24"/>
      <c r="H904" s="90"/>
      <c r="I904" s="24"/>
      <c r="J904" s="90"/>
      <c r="K904" s="90"/>
      <c r="L904" s="24"/>
      <c r="M904" s="24"/>
      <c r="N904" s="24"/>
      <c r="O904" s="90"/>
      <c r="P904" s="24"/>
      <c r="Q904" s="24"/>
      <c r="R904" s="24"/>
      <c r="S904" s="90"/>
      <c r="T904" s="90"/>
      <c r="U904" s="24"/>
      <c r="V904" s="90"/>
      <c r="W904" s="90"/>
      <c r="X904" s="90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</row>
    <row r="905" spans="1:37" x14ac:dyDescent="0.25">
      <c r="A905" s="24"/>
      <c r="B905" s="90"/>
      <c r="C905" s="92"/>
      <c r="D905" s="24"/>
      <c r="E905" s="90"/>
      <c r="F905" s="90"/>
      <c r="G905" s="24"/>
      <c r="H905" s="90"/>
      <c r="I905" s="24"/>
      <c r="J905" s="90"/>
      <c r="K905" s="90"/>
      <c r="L905" s="24"/>
      <c r="M905" s="24"/>
      <c r="N905" s="24"/>
      <c r="O905" s="90"/>
      <c r="P905" s="24"/>
      <c r="Q905" s="24"/>
      <c r="R905" s="24"/>
      <c r="S905" s="90"/>
      <c r="T905" s="90"/>
      <c r="U905" s="24"/>
      <c r="V905" s="90"/>
      <c r="W905" s="90"/>
      <c r="X905" s="90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</row>
    <row r="906" spans="1:37" x14ac:dyDescent="0.25">
      <c r="A906" s="24"/>
      <c r="B906" s="90"/>
      <c r="C906" s="92"/>
      <c r="D906" s="24"/>
      <c r="E906" s="90"/>
      <c r="F906" s="90"/>
      <c r="G906" s="24"/>
      <c r="H906" s="90"/>
      <c r="I906" s="24"/>
      <c r="J906" s="90"/>
      <c r="K906" s="90"/>
      <c r="L906" s="24"/>
      <c r="M906" s="24"/>
      <c r="N906" s="24"/>
      <c r="O906" s="90"/>
      <c r="P906" s="24"/>
      <c r="Q906" s="24"/>
      <c r="R906" s="24"/>
      <c r="S906" s="90"/>
      <c r="T906" s="90"/>
      <c r="U906" s="24"/>
      <c r="V906" s="90"/>
      <c r="W906" s="90"/>
      <c r="X906" s="90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</row>
    <row r="907" spans="1:37" x14ac:dyDescent="0.25">
      <c r="A907" s="24"/>
      <c r="B907" s="90"/>
      <c r="C907" s="92"/>
      <c r="D907" s="24"/>
      <c r="E907" s="90"/>
      <c r="F907" s="90"/>
      <c r="G907" s="24"/>
      <c r="H907" s="90"/>
      <c r="I907" s="24"/>
      <c r="J907" s="90"/>
      <c r="K907" s="90"/>
      <c r="L907" s="24"/>
      <c r="M907" s="24"/>
      <c r="N907" s="24"/>
      <c r="O907" s="90"/>
      <c r="P907" s="24"/>
      <c r="Q907" s="24"/>
      <c r="R907" s="24"/>
      <c r="S907" s="90"/>
      <c r="T907" s="90"/>
      <c r="U907" s="24"/>
      <c r="V907" s="90"/>
      <c r="W907" s="90"/>
      <c r="X907" s="90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</row>
    <row r="908" spans="1:37" x14ac:dyDescent="0.25">
      <c r="A908" s="24"/>
      <c r="B908" s="90"/>
      <c r="C908" s="92"/>
      <c r="D908" s="24"/>
      <c r="E908" s="90"/>
      <c r="F908" s="90"/>
      <c r="G908" s="24"/>
      <c r="H908" s="90"/>
      <c r="I908" s="24"/>
      <c r="J908" s="90"/>
      <c r="K908" s="90"/>
      <c r="L908" s="24"/>
      <c r="M908" s="24"/>
      <c r="N908" s="24"/>
      <c r="O908" s="90"/>
      <c r="P908" s="24"/>
      <c r="Q908" s="24"/>
      <c r="R908" s="24"/>
      <c r="S908" s="90"/>
      <c r="T908" s="90"/>
      <c r="U908" s="24"/>
      <c r="V908" s="90"/>
      <c r="W908" s="90"/>
      <c r="X908" s="90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</row>
    <row r="909" spans="1:37" x14ac:dyDescent="0.25">
      <c r="A909" s="24"/>
      <c r="B909" s="90"/>
      <c r="C909" s="92"/>
      <c r="D909" s="24"/>
      <c r="E909" s="90"/>
      <c r="F909" s="90"/>
      <c r="G909" s="24"/>
      <c r="H909" s="90"/>
      <c r="I909" s="24"/>
      <c r="J909" s="90"/>
      <c r="K909" s="90"/>
      <c r="L909" s="24"/>
      <c r="M909" s="24"/>
      <c r="N909" s="24"/>
      <c r="O909" s="90"/>
      <c r="P909" s="24"/>
      <c r="Q909" s="24"/>
      <c r="R909" s="24"/>
      <c r="S909" s="90"/>
      <c r="T909" s="90"/>
      <c r="U909" s="24"/>
      <c r="V909" s="90"/>
      <c r="W909" s="90"/>
      <c r="X909" s="90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</row>
    <row r="910" spans="1:37" x14ac:dyDescent="0.25">
      <c r="A910" s="24"/>
      <c r="B910" s="90"/>
      <c r="C910" s="92"/>
      <c r="D910" s="24"/>
      <c r="E910" s="90"/>
      <c r="F910" s="90"/>
      <c r="G910" s="24"/>
      <c r="H910" s="90"/>
      <c r="I910" s="24"/>
      <c r="J910" s="90"/>
      <c r="K910" s="90"/>
      <c r="L910" s="24"/>
      <c r="M910" s="24"/>
      <c r="N910" s="24"/>
      <c r="O910" s="90"/>
      <c r="P910" s="24"/>
      <c r="Q910" s="24"/>
      <c r="R910" s="24"/>
      <c r="S910" s="90"/>
      <c r="T910" s="90"/>
      <c r="U910" s="24"/>
      <c r="V910" s="90"/>
      <c r="W910" s="90"/>
      <c r="X910" s="90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</row>
    <row r="911" spans="1:37" x14ac:dyDescent="0.25">
      <c r="A911" s="24"/>
      <c r="B911" s="90"/>
      <c r="C911" s="92"/>
      <c r="D911" s="24"/>
      <c r="E911" s="90"/>
      <c r="F911" s="90"/>
      <c r="G911" s="24"/>
      <c r="H911" s="90"/>
      <c r="I911" s="24"/>
      <c r="J911" s="90"/>
      <c r="K911" s="90"/>
      <c r="L911" s="24"/>
      <c r="M911" s="24"/>
      <c r="N911" s="24"/>
      <c r="O911" s="90"/>
      <c r="P911" s="24"/>
      <c r="Q911" s="24"/>
      <c r="R911" s="24"/>
      <c r="S911" s="90"/>
      <c r="T911" s="90"/>
      <c r="U911" s="24"/>
      <c r="V911" s="90"/>
      <c r="W911" s="90"/>
      <c r="X911" s="90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</row>
    <row r="912" spans="1:37" x14ac:dyDescent="0.25">
      <c r="A912" s="24"/>
      <c r="B912" s="90"/>
      <c r="C912" s="92"/>
      <c r="D912" s="24"/>
      <c r="E912" s="90"/>
      <c r="F912" s="90"/>
      <c r="G912" s="24"/>
      <c r="H912" s="90"/>
      <c r="I912" s="24"/>
      <c r="J912" s="90"/>
      <c r="K912" s="90"/>
      <c r="L912" s="24"/>
      <c r="M912" s="24"/>
      <c r="N912" s="24"/>
      <c r="O912" s="90"/>
      <c r="P912" s="24"/>
      <c r="Q912" s="24"/>
      <c r="R912" s="24"/>
      <c r="S912" s="90"/>
      <c r="T912" s="90"/>
      <c r="U912" s="24"/>
      <c r="V912" s="90"/>
      <c r="W912" s="90"/>
      <c r="X912" s="90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</row>
    <row r="913" spans="1:37" x14ac:dyDescent="0.25">
      <c r="A913" s="24"/>
      <c r="B913" s="90"/>
      <c r="C913" s="92"/>
      <c r="D913" s="24"/>
      <c r="E913" s="90"/>
      <c r="F913" s="90"/>
      <c r="G913" s="24"/>
      <c r="H913" s="90"/>
      <c r="I913" s="24"/>
      <c r="J913" s="90"/>
      <c r="K913" s="90"/>
      <c r="L913" s="24"/>
      <c r="M913" s="24"/>
      <c r="N913" s="24"/>
      <c r="O913" s="90"/>
      <c r="P913" s="24"/>
      <c r="Q913" s="24"/>
      <c r="R913" s="24"/>
      <c r="S913" s="90"/>
      <c r="T913" s="90"/>
      <c r="U913" s="24"/>
      <c r="V913" s="90"/>
      <c r="W913" s="90"/>
      <c r="X913" s="90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</row>
    <row r="914" spans="1:37" x14ac:dyDescent="0.25">
      <c r="A914" s="24"/>
      <c r="B914" s="90"/>
      <c r="C914" s="92"/>
      <c r="D914" s="24"/>
      <c r="E914" s="90"/>
      <c r="F914" s="90"/>
      <c r="G914" s="24"/>
      <c r="H914" s="90"/>
      <c r="I914" s="24"/>
      <c r="J914" s="90"/>
      <c r="K914" s="90"/>
      <c r="L914" s="24"/>
      <c r="M914" s="24"/>
      <c r="N914" s="24"/>
      <c r="O914" s="90"/>
      <c r="P914" s="24"/>
      <c r="Q914" s="24"/>
      <c r="R914" s="24"/>
      <c r="S914" s="90"/>
      <c r="T914" s="90"/>
      <c r="U914" s="24"/>
      <c r="V914" s="90"/>
      <c r="W914" s="90"/>
      <c r="X914" s="90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</row>
    <row r="915" spans="1:37" x14ac:dyDescent="0.25">
      <c r="A915" s="24"/>
      <c r="B915" s="90"/>
      <c r="C915" s="92"/>
      <c r="D915" s="24"/>
      <c r="E915" s="90"/>
      <c r="F915" s="90"/>
      <c r="G915" s="24"/>
      <c r="H915" s="90"/>
      <c r="I915" s="24"/>
      <c r="J915" s="90"/>
      <c r="K915" s="90"/>
      <c r="L915" s="24"/>
      <c r="M915" s="24"/>
      <c r="N915" s="24"/>
      <c r="O915" s="90"/>
      <c r="P915" s="24"/>
      <c r="Q915" s="24"/>
      <c r="R915" s="24"/>
      <c r="S915" s="90"/>
      <c r="T915" s="90"/>
      <c r="U915" s="24"/>
      <c r="V915" s="90"/>
      <c r="W915" s="90"/>
      <c r="X915" s="90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</row>
    <row r="916" spans="1:37" x14ac:dyDescent="0.25">
      <c r="A916" s="24"/>
      <c r="B916" s="90"/>
      <c r="C916" s="92"/>
      <c r="D916" s="24"/>
      <c r="E916" s="90"/>
      <c r="F916" s="90"/>
      <c r="G916" s="24"/>
      <c r="H916" s="90"/>
      <c r="I916" s="24"/>
      <c r="J916" s="90"/>
      <c r="K916" s="90"/>
      <c r="L916" s="24"/>
      <c r="M916" s="24"/>
      <c r="N916" s="24"/>
      <c r="O916" s="90"/>
      <c r="P916" s="24"/>
      <c r="Q916" s="24"/>
      <c r="R916" s="24"/>
      <c r="S916" s="90"/>
      <c r="T916" s="90"/>
      <c r="U916" s="24"/>
      <c r="V916" s="90"/>
      <c r="W916" s="90"/>
      <c r="X916" s="90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</row>
    <row r="917" spans="1:37" x14ac:dyDescent="0.25">
      <c r="A917" s="24"/>
      <c r="B917" s="90"/>
      <c r="C917" s="92"/>
      <c r="D917" s="24"/>
      <c r="E917" s="90"/>
      <c r="F917" s="90"/>
      <c r="G917" s="24"/>
      <c r="H917" s="90"/>
      <c r="I917" s="24"/>
      <c r="J917" s="90"/>
      <c r="K917" s="90"/>
      <c r="L917" s="24"/>
      <c r="M917" s="24"/>
      <c r="N917" s="24"/>
      <c r="O917" s="90"/>
      <c r="P917" s="24"/>
      <c r="Q917" s="24"/>
      <c r="R917" s="24"/>
      <c r="S917" s="90"/>
      <c r="T917" s="90"/>
      <c r="U917" s="24"/>
      <c r="V917" s="90"/>
      <c r="W917" s="90"/>
      <c r="X917" s="90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</row>
    <row r="918" spans="1:37" x14ac:dyDescent="0.25">
      <c r="A918" s="24"/>
      <c r="B918" s="90"/>
      <c r="C918" s="92"/>
      <c r="D918" s="24"/>
      <c r="E918" s="90"/>
      <c r="F918" s="90"/>
      <c r="G918" s="24"/>
      <c r="H918" s="90"/>
      <c r="I918" s="24"/>
      <c r="J918" s="90"/>
      <c r="K918" s="90"/>
      <c r="L918" s="24"/>
      <c r="M918" s="24"/>
      <c r="N918" s="24"/>
      <c r="O918" s="90"/>
      <c r="P918" s="24"/>
      <c r="Q918" s="24"/>
      <c r="R918" s="24"/>
      <c r="S918" s="90"/>
      <c r="T918" s="90"/>
      <c r="U918" s="24"/>
      <c r="V918" s="90"/>
      <c r="W918" s="90"/>
      <c r="X918" s="90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</row>
    <row r="919" spans="1:37" x14ac:dyDescent="0.25">
      <c r="A919" s="24"/>
      <c r="B919" s="90"/>
      <c r="C919" s="92"/>
      <c r="D919" s="24"/>
      <c r="E919" s="90"/>
      <c r="F919" s="90"/>
      <c r="G919" s="24"/>
      <c r="H919" s="90"/>
      <c r="I919" s="24"/>
      <c r="J919" s="90"/>
      <c r="K919" s="90"/>
      <c r="L919" s="24"/>
      <c r="M919" s="24"/>
      <c r="N919" s="24"/>
      <c r="O919" s="90"/>
      <c r="P919" s="24"/>
      <c r="Q919" s="24"/>
      <c r="R919" s="24"/>
      <c r="S919" s="90"/>
      <c r="T919" s="90"/>
      <c r="U919" s="24"/>
      <c r="V919" s="90"/>
      <c r="W919" s="90"/>
      <c r="X919" s="90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</row>
    <row r="920" spans="1:37" x14ac:dyDescent="0.25">
      <c r="A920" s="24"/>
      <c r="B920" s="90"/>
      <c r="C920" s="92"/>
      <c r="D920" s="24"/>
      <c r="E920" s="90"/>
      <c r="F920" s="90"/>
      <c r="G920" s="24"/>
      <c r="H920" s="90"/>
      <c r="I920" s="24"/>
      <c r="J920" s="90"/>
      <c r="K920" s="90"/>
      <c r="L920" s="24"/>
      <c r="M920" s="24"/>
      <c r="N920" s="24"/>
      <c r="O920" s="90"/>
      <c r="P920" s="24"/>
      <c r="Q920" s="24"/>
      <c r="R920" s="24"/>
      <c r="S920" s="90"/>
      <c r="T920" s="90"/>
      <c r="U920" s="24"/>
      <c r="V920" s="90"/>
      <c r="W920" s="90"/>
      <c r="X920" s="90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</row>
    <row r="921" spans="1:37" x14ac:dyDescent="0.25">
      <c r="A921" s="24"/>
      <c r="B921" s="90"/>
      <c r="C921" s="92"/>
      <c r="D921" s="24"/>
      <c r="E921" s="90"/>
      <c r="F921" s="90"/>
      <c r="G921" s="24"/>
      <c r="H921" s="90"/>
      <c r="I921" s="24"/>
      <c r="J921" s="90"/>
      <c r="K921" s="90"/>
      <c r="L921" s="24"/>
      <c r="M921" s="24"/>
      <c r="N921" s="24"/>
      <c r="O921" s="90"/>
      <c r="P921" s="24"/>
      <c r="Q921" s="24"/>
      <c r="R921" s="24"/>
      <c r="S921" s="90"/>
      <c r="T921" s="90"/>
      <c r="U921" s="24"/>
      <c r="V921" s="90"/>
      <c r="W921" s="90"/>
      <c r="X921" s="90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</row>
    <row r="922" spans="1:37" x14ac:dyDescent="0.25">
      <c r="A922" s="24"/>
      <c r="B922" s="90"/>
      <c r="C922" s="92"/>
      <c r="D922" s="24"/>
      <c r="E922" s="90"/>
      <c r="F922" s="90"/>
      <c r="G922" s="24"/>
      <c r="H922" s="90"/>
      <c r="I922" s="24"/>
      <c r="J922" s="90"/>
      <c r="K922" s="90"/>
      <c r="L922" s="24"/>
      <c r="M922" s="24"/>
      <c r="N922" s="24"/>
      <c r="O922" s="90"/>
      <c r="P922" s="24"/>
      <c r="Q922" s="24"/>
      <c r="R922" s="24"/>
      <c r="S922" s="90"/>
      <c r="T922" s="90"/>
      <c r="U922" s="24"/>
      <c r="V922" s="90"/>
      <c r="W922" s="90"/>
      <c r="X922" s="90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</row>
    <row r="923" spans="1:37" x14ac:dyDescent="0.25">
      <c r="A923" s="24"/>
      <c r="B923" s="90"/>
      <c r="C923" s="92"/>
      <c r="D923" s="24"/>
      <c r="E923" s="90"/>
      <c r="F923" s="90"/>
      <c r="G923" s="24"/>
      <c r="H923" s="90"/>
      <c r="I923" s="24"/>
      <c r="J923" s="90"/>
      <c r="K923" s="90"/>
      <c r="L923" s="24"/>
      <c r="M923" s="24"/>
      <c r="N923" s="24"/>
      <c r="O923" s="90"/>
      <c r="P923" s="24"/>
      <c r="Q923" s="24"/>
      <c r="R923" s="24"/>
      <c r="S923" s="90"/>
      <c r="T923" s="90"/>
      <c r="U923" s="24"/>
      <c r="V923" s="90"/>
      <c r="W923" s="90"/>
      <c r="X923" s="90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</row>
    <row r="924" spans="1:37" x14ac:dyDescent="0.25">
      <c r="A924" s="24"/>
      <c r="B924" s="90"/>
      <c r="C924" s="92"/>
      <c r="D924" s="24"/>
      <c r="E924" s="90"/>
      <c r="F924" s="90"/>
      <c r="G924" s="24"/>
      <c r="H924" s="90"/>
      <c r="I924" s="24"/>
      <c r="J924" s="90"/>
      <c r="K924" s="90"/>
      <c r="L924" s="24"/>
      <c r="M924" s="24"/>
      <c r="N924" s="24"/>
      <c r="O924" s="90"/>
      <c r="P924" s="24"/>
      <c r="Q924" s="24"/>
      <c r="R924" s="24"/>
      <c r="S924" s="90"/>
      <c r="T924" s="90"/>
      <c r="U924" s="24"/>
      <c r="V924" s="90"/>
      <c r="W924" s="90"/>
      <c r="X924" s="90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</row>
    <row r="925" spans="1:37" x14ac:dyDescent="0.25">
      <c r="A925" s="24"/>
      <c r="B925" s="90"/>
      <c r="C925" s="92"/>
      <c r="D925" s="24"/>
      <c r="E925" s="90"/>
      <c r="F925" s="90"/>
      <c r="G925" s="24"/>
      <c r="H925" s="90"/>
      <c r="I925" s="24"/>
      <c r="J925" s="90"/>
      <c r="K925" s="90"/>
      <c r="L925" s="24"/>
      <c r="M925" s="24"/>
      <c r="N925" s="24"/>
      <c r="O925" s="90"/>
      <c r="P925" s="24"/>
      <c r="Q925" s="24"/>
      <c r="R925" s="24"/>
      <c r="S925" s="90"/>
      <c r="T925" s="90"/>
      <c r="U925" s="24"/>
      <c r="V925" s="90"/>
      <c r="W925" s="90"/>
      <c r="X925" s="90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</row>
    <row r="926" spans="1:37" x14ac:dyDescent="0.25">
      <c r="A926" s="24"/>
      <c r="B926" s="90"/>
      <c r="C926" s="92"/>
      <c r="D926" s="24"/>
      <c r="E926" s="90"/>
      <c r="F926" s="90"/>
      <c r="G926" s="24"/>
      <c r="H926" s="90"/>
      <c r="I926" s="24"/>
      <c r="J926" s="90"/>
      <c r="K926" s="90"/>
      <c r="L926" s="24"/>
      <c r="M926" s="24"/>
      <c r="N926" s="24"/>
      <c r="O926" s="90"/>
      <c r="P926" s="24"/>
      <c r="Q926" s="24"/>
      <c r="R926" s="24"/>
      <c r="S926" s="90"/>
      <c r="T926" s="90"/>
      <c r="U926" s="24"/>
      <c r="V926" s="90"/>
      <c r="W926" s="90"/>
      <c r="X926" s="90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</row>
    <row r="927" spans="1:37" x14ac:dyDescent="0.25">
      <c r="A927" s="24"/>
      <c r="B927" s="90"/>
      <c r="C927" s="92"/>
      <c r="D927" s="24"/>
      <c r="E927" s="90"/>
      <c r="F927" s="90"/>
      <c r="G927" s="24"/>
      <c r="H927" s="90"/>
      <c r="I927" s="24"/>
      <c r="J927" s="90"/>
      <c r="K927" s="90"/>
      <c r="L927" s="24"/>
      <c r="M927" s="24"/>
      <c r="N927" s="24"/>
      <c r="O927" s="90"/>
      <c r="P927" s="24"/>
      <c r="Q927" s="24"/>
      <c r="R927" s="24"/>
      <c r="S927" s="90"/>
      <c r="T927" s="90"/>
      <c r="U927" s="24"/>
      <c r="V927" s="90"/>
      <c r="W927" s="90"/>
      <c r="X927" s="90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</row>
    <row r="928" spans="1:37" x14ac:dyDescent="0.25">
      <c r="A928" s="24"/>
      <c r="B928" s="90"/>
      <c r="C928" s="92"/>
      <c r="D928" s="24"/>
      <c r="E928" s="90"/>
      <c r="F928" s="90"/>
      <c r="G928" s="24"/>
      <c r="H928" s="90"/>
      <c r="I928" s="24"/>
      <c r="J928" s="90"/>
      <c r="K928" s="90"/>
      <c r="L928" s="24"/>
      <c r="M928" s="24"/>
      <c r="N928" s="24"/>
      <c r="O928" s="90"/>
      <c r="P928" s="24"/>
      <c r="Q928" s="24"/>
      <c r="R928" s="24"/>
      <c r="S928" s="90"/>
      <c r="T928" s="90"/>
      <c r="U928" s="24"/>
      <c r="V928" s="90"/>
      <c r="W928" s="90"/>
      <c r="X928" s="90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</row>
    <row r="929" spans="1:37" x14ac:dyDescent="0.25">
      <c r="A929" s="24"/>
      <c r="B929" s="90"/>
      <c r="C929" s="92"/>
      <c r="D929" s="24"/>
      <c r="E929" s="90"/>
      <c r="F929" s="90"/>
      <c r="G929" s="24"/>
      <c r="H929" s="90"/>
      <c r="I929" s="24"/>
      <c r="J929" s="90"/>
      <c r="K929" s="90"/>
      <c r="L929" s="24"/>
      <c r="M929" s="24"/>
      <c r="N929" s="24"/>
      <c r="O929" s="90"/>
      <c r="P929" s="24"/>
      <c r="Q929" s="24"/>
      <c r="R929" s="24"/>
      <c r="S929" s="90"/>
      <c r="T929" s="90"/>
      <c r="U929" s="24"/>
      <c r="V929" s="90"/>
      <c r="W929" s="90"/>
      <c r="X929" s="90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</row>
    <row r="930" spans="1:37" x14ac:dyDescent="0.25">
      <c r="A930" s="24"/>
      <c r="B930" s="90"/>
      <c r="C930" s="92"/>
      <c r="D930" s="24"/>
      <c r="E930" s="90"/>
      <c r="F930" s="90"/>
      <c r="G930" s="24"/>
      <c r="H930" s="90"/>
      <c r="I930" s="24"/>
      <c r="J930" s="90"/>
      <c r="K930" s="90"/>
      <c r="L930" s="24"/>
      <c r="M930" s="24"/>
      <c r="N930" s="24"/>
      <c r="O930" s="90"/>
      <c r="P930" s="24"/>
      <c r="Q930" s="24"/>
      <c r="R930" s="24"/>
      <c r="S930" s="90"/>
      <c r="T930" s="90"/>
      <c r="U930" s="24"/>
      <c r="V930" s="90"/>
      <c r="W930" s="90"/>
      <c r="X930" s="90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</row>
    <row r="931" spans="1:37" x14ac:dyDescent="0.25">
      <c r="A931" s="24"/>
      <c r="B931" s="90"/>
      <c r="C931" s="92"/>
      <c r="D931" s="24"/>
      <c r="E931" s="90"/>
      <c r="F931" s="90"/>
      <c r="G931" s="24"/>
      <c r="H931" s="90"/>
      <c r="I931" s="24"/>
      <c r="J931" s="90"/>
      <c r="K931" s="90"/>
      <c r="L931" s="24"/>
      <c r="M931" s="24"/>
      <c r="N931" s="24"/>
      <c r="O931" s="90"/>
      <c r="P931" s="24"/>
      <c r="Q931" s="24"/>
      <c r="R931" s="24"/>
      <c r="S931" s="90"/>
      <c r="T931" s="90"/>
      <c r="U931" s="24"/>
      <c r="V931" s="90"/>
      <c r="W931" s="90"/>
      <c r="X931" s="90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</row>
    <row r="932" spans="1:37" x14ac:dyDescent="0.25">
      <c r="A932" s="24"/>
      <c r="B932" s="90"/>
      <c r="C932" s="92"/>
      <c r="D932" s="24"/>
      <c r="E932" s="90"/>
      <c r="F932" s="90"/>
      <c r="G932" s="24"/>
      <c r="H932" s="90"/>
      <c r="I932" s="24"/>
      <c r="J932" s="90"/>
      <c r="K932" s="90"/>
      <c r="L932" s="24"/>
      <c r="M932" s="24"/>
      <c r="N932" s="24"/>
      <c r="O932" s="90"/>
      <c r="P932" s="24"/>
      <c r="Q932" s="24"/>
      <c r="R932" s="24"/>
      <c r="S932" s="90"/>
      <c r="T932" s="90"/>
      <c r="U932" s="24"/>
      <c r="V932" s="90"/>
      <c r="W932" s="90"/>
      <c r="X932" s="90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</row>
    <row r="933" spans="1:37" x14ac:dyDescent="0.25">
      <c r="A933" s="24"/>
      <c r="B933" s="90"/>
      <c r="C933" s="92"/>
      <c r="D933" s="24"/>
      <c r="E933" s="90"/>
      <c r="F933" s="90"/>
      <c r="G933" s="24"/>
      <c r="H933" s="90"/>
      <c r="I933" s="24"/>
      <c r="J933" s="90"/>
      <c r="K933" s="90"/>
      <c r="L933" s="24"/>
      <c r="M933" s="24"/>
      <c r="N933" s="24"/>
      <c r="O933" s="90"/>
      <c r="P933" s="24"/>
      <c r="Q933" s="24"/>
      <c r="R933" s="24"/>
      <c r="S933" s="90"/>
      <c r="T933" s="90"/>
      <c r="U933" s="24"/>
      <c r="V933" s="90"/>
      <c r="W933" s="90"/>
      <c r="X933" s="90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</row>
    <row r="934" spans="1:37" x14ac:dyDescent="0.25">
      <c r="A934" s="24"/>
      <c r="B934" s="90"/>
      <c r="C934" s="92"/>
      <c r="D934" s="24"/>
      <c r="E934" s="90"/>
      <c r="F934" s="90"/>
      <c r="G934" s="24"/>
      <c r="H934" s="90"/>
      <c r="I934" s="24"/>
      <c r="J934" s="90"/>
      <c r="K934" s="90"/>
      <c r="L934" s="24"/>
      <c r="M934" s="24"/>
      <c r="N934" s="24"/>
      <c r="O934" s="90"/>
      <c r="P934" s="24"/>
      <c r="Q934" s="24"/>
      <c r="R934" s="24"/>
      <c r="S934" s="90"/>
      <c r="T934" s="90"/>
      <c r="U934" s="24"/>
      <c r="V934" s="90"/>
      <c r="W934" s="90"/>
      <c r="X934" s="90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</row>
    <row r="935" spans="1:37" x14ac:dyDescent="0.25">
      <c r="A935" s="24"/>
      <c r="B935" s="90"/>
      <c r="C935" s="92"/>
      <c r="D935" s="24"/>
      <c r="E935" s="90"/>
      <c r="F935" s="90"/>
      <c r="G935" s="24"/>
      <c r="H935" s="90"/>
      <c r="I935" s="24"/>
      <c r="J935" s="90"/>
      <c r="K935" s="90"/>
      <c r="L935" s="24"/>
      <c r="M935" s="24"/>
      <c r="N935" s="24"/>
      <c r="O935" s="90"/>
      <c r="P935" s="24"/>
      <c r="Q935" s="24"/>
      <c r="R935" s="24"/>
      <c r="S935" s="90"/>
      <c r="T935" s="90"/>
      <c r="U935" s="24"/>
      <c r="V935" s="90"/>
      <c r="W935" s="90"/>
      <c r="X935" s="90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</row>
    <row r="936" spans="1:37" x14ac:dyDescent="0.25">
      <c r="A936" s="24"/>
      <c r="B936" s="90"/>
      <c r="C936" s="92"/>
      <c r="D936" s="24"/>
      <c r="E936" s="90"/>
      <c r="F936" s="90"/>
      <c r="G936" s="24"/>
      <c r="H936" s="90"/>
      <c r="I936" s="24"/>
      <c r="J936" s="90"/>
      <c r="K936" s="90"/>
      <c r="L936" s="24"/>
      <c r="M936" s="24"/>
      <c r="N936" s="24"/>
      <c r="O936" s="90"/>
      <c r="P936" s="24"/>
      <c r="Q936" s="24"/>
      <c r="R936" s="24"/>
      <c r="S936" s="90"/>
      <c r="T936" s="90"/>
      <c r="U936" s="24"/>
      <c r="V936" s="90"/>
      <c r="W936" s="90"/>
      <c r="X936" s="90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</row>
    <row r="937" spans="1:37" x14ac:dyDescent="0.25">
      <c r="A937" s="24"/>
      <c r="B937" s="90"/>
      <c r="C937" s="92"/>
      <c r="D937" s="24"/>
      <c r="E937" s="90"/>
      <c r="F937" s="90"/>
      <c r="G937" s="24"/>
      <c r="H937" s="90"/>
      <c r="I937" s="24"/>
      <c r="J937" s="90"/>
      <c r="K937" s="90"/>
      <c r="L937" s="24"/>
      <c r="M937" s="24"/>
      <c r="N937" s="24"/>
      <c r="O937" s="90"/>
      <c r="P937" s="24"/>
      <c r="Q937" s="24"/>
      <c r="R937" s="24"/>
      <c r="S937" s="90"/>
      <c r="T937" s="90"/>
      <c r="U937" s="24"/>
      <c r="V937" s="90"/>
      <c r="W937" s="90"/>
      <c r="X937" s="90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</row>
    <row r="938" spans="1:37" x14ac:dyDescent="0.25">
      <c r="A938" s="24"/>
      <c r="B938" s="90"/>
      <c r="C938" s="92"/>
      <c r="D938" s="24"/>
      <c r="E938" s="90"/>
      <c r="F938" s="90"/>
      <c r="G938" s="24"/>
      <c r="H938" s="90"/>
      <c r="I938" s="24"/>
      <c r="J938" s="90"/>
      <c r="K938" s="90"/>
      <c r="L938" s="24"/>
      <c r="M938" s="24"/>
      <c r="N938" s="24"/>
      <c r="O938" s="90"/>
      <c r="P938" s="24"/>
      <c r="Q938" s="24"/>
      <c r="R938" s="24"/>
      <c r="S938" s="90"/>
      <c r="T938" s="90"/>
      <c r="U938" s="24"/>
      <c r="V938" s="90"/>
      <c r="W938" s="90"/>
      <c r="X938" s="90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</row>
    <row r="939" spans="1:37" x14ac:dyDescent="0.25">
      <c r="A939" s="24"/>
      <c r="B939" s="90"/>
      <c r="C939" s="92"/>
      <c r="D939" s="24"/>
      <c r="E939" s="90"/>
      <c r="F939" s="90"/>
      <c r="G939" s="24"/>
      <c r="H939" s="90"/>
      <c r="I939" s="24"/>
      <c r="J939" s="90"/>
      <c r="K939" s="90"/>
      <c r="L939" s="24"/>
      <c r="M939" s="24"/>
      <c r="N939" s="24"/>
      <c r="O939" s="90"/>
      <c r="P939" s="24"/>
      <c r="Q939" s="24"/>
      <c r="R939" s="24"/>
      <c r="S939" s="90"/>
      <c r="T939" s="90"/>
      <c r="U939" s="24"/>
      <c r="V939" s="90"/>
      <c r="W939" s="90"/>
      <c r="X939" s="90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</row>
    <row r="940" spans="1:37" x14ac:dyDescent="0.25">
      <c r="A940" s="24"/>
      <c r="B940" s="90"/>
      <c r="C940" s="92"/>
      <c r="D940" s="24"/>
      <c r="E940" s="90"/>
      <c r="F940" s="90"/>
      <c r="G940" s="24"/>
      <c r="H940" s="90"/>
      <c r="I940" s="24"/>
      <c r="J940" s="90"/>
      <c r="K940" s="90"/>
      <c r="L940" s="24"/>
      <c r="M940" s="24"/>
      <c r="N940" s="24"/>
      <c r="O940" s="90"/>
      <c r="P940" s="24"/>
      <c r="Q940" s="24"/>
      <c r="R940" s="24"/>
      <c r="S940" s="90"/>
      <c r="T940" s="90"/>
      <c r="U940" s="24"/>
      <c r="V940" s="90"/>
      <c r="W940" s="90"/>
      <c r="X940" s="90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</row>
    <row r="941" spans="1:37" x14ac:dyDescent="0.25">
      <c r="A941" s="24"/>
      <c r="B941" s="90"/>
      <c r="C941" s="92"/>
      <c r="D941" s="24"/>
      <c r="E941" s="90"/>
      <c r="F941" s="90"/>
      <c r="G941" s="24"/>
      <c r="H941" s="90"/>
      <c r="I941" s="24"/>
      <c r="J941" s="90"/>
      <c r="K941" s="90"/>
      <c r="L941" s="24"/>
      <c r="M941" s="24"/>
      <c r="N941" s="24"/>
      <c r="O941" s="90"/>
      <c r="P941" s="24"/>
      <c r="Q941" s="24"/>
      <c r="R941" s="24"/>
      <c r="S941" s="90"/>
      <c r="T941" s="90"/>
      <c r="U941" s="24"/>
      <c r="V941" s="90"/>
      <c r="W941" s="90"/>
      <c r="X941" s="90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</row>
    <row r="942" spans="1:37" x14ac:dyDescent="0.25">
      <c r="A942" s="24"/>
      <c r="B942" s="90"/>
      <c r="C942" s="92"/>
      <c r="D942" s="24"/>
      <c r="E942" s="90"/>
      <c r="F942" s="90"/>
      <c r="G942" s="24"/>
      <c r="H942" s="90"/>
      <c r="I942" s="24"/>
      <c r="J942" s="90"/>
      <c r="K942" s="90"/>
      <c r="L942" s="24"/>
      <c r="M942" s="24"/>
      <c r="N942" s="24"/>
      <c r="O942" s="90"/>
      <c r="P942" s="24"/>
      <c r="Q942" s="24"/>
      <c r="R942" s="24"/>
      <c r="S942" s="90"/>
      <c r="T942" s="90"/>
      <c r="U942" s="24"/>
      <c r="V942" s="90"/>
      <c r="W942" s="90"/>
      <c r="X942" s="90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</row>
    <row r="943" spans="1:37" x14ac:dyDescent="0.25">
      <c r="A943" s="24"/>
      <c r="B943" s="90"/>
      <c r="C943" s="92"/>
      <c r="D943" s="24"/>
      <c r="E943" s="90"/>
      <c r="F943" s="90"/>
      <c r="G943" s="24"/>
      <c r="H943" s="90"/>
      <c r="I943" s="24"/>
      <c r="J943" s="90"/>
      <c r="K943" s="90"/>
      <c r="L943" s="24"/>
      <c r="M943" s="24"/>
      <c r="N943" s="24"/>
      <c r="O943" s="90"/>
      <c r="P943" s="24"/>
      <c r="Q943" s="24"/>
      <c r="R943" s="24"/>
      <c r="S943" s="90"/>
      <c r="T943" s="90"/>
      <c r="U943" s="24"/>
      <c r="V943" s="90"/>
      <c r="W943" s="90"/>
      <c r="X943" s="90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</row>
    <row r="944" spans="1:37" x14ac:dyDescent="0.25">
      <c r="A944" s="24"/>
      <c r="B944" s="90"/>
      <c r="C944" s="92"/>
      <c r="D944" s="24"/>
      <c r="E944" s="90"/>
      <c r="F944" s="90"/>
      <c r="G944" s="24"/>
      <c r="H944" s="90"/>
      <c r="I944" s="24"/>
      <c r="J944" s="90"/>
      <c r="K944" s="90"/>
      <c r="L944" s="24"/>
      <c r="M944" s="24"/>
      <c r="N944" s="24"/>
      <c r="O944" s="90"/>
      <c r="P944" s="24"/>
      <c r="Q944" s="24"/>
      <c r="R944" s="24"/>
      <c r="S944" s="90"/>
      <c r="T944" s="90"/>
      <c r="U944" s="24"/>
      <c r="V944" s="90"/>
      <c r="W944" s="90"/>
      <c r="X944" s="90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</row>
    <row r="945" spans="1:37" x14ac:dyDescent="0.25">
      <c r="A945" s="24"/>
      <c r="B945" s="90"/>
      <c r="C945" s="92"/>
      <c r="D945" s="24"/>
      <c r="E945" s="90"/>
      <c r="F945" s="90"/>
      <c r="G945" s="24"/>
      <c r="H945" s="90"/>
      <c r="I945" s="24"/>
      <c r="J945" s="90"/>
      <c r="K945" s="90"/>
      <c r="L945" s="24"/>
      <c r="M945" s="24"/>
      <c r="N945" s="24"/>
      <c r="O945" s="90"/>
      <c r="P945" s="24"/>
      <c r="Q945" s="24"/>
      <c r="R945" s="24"/>
      <c r="S945" s="90"/>
      <c r="T945" s="90"/>
      <c r="U945" s="24"/>
      <c r="V945" s="90"/>
      <c r="W945" s="90"/>
      <c r="X945" s="90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</row>
    <row r="946" spans="1:37" x14ac:dyDescent="0.25">
      <c r="A946" s="24"/>
      <c r="B946" s="90"/>
      <c r="C946" s="92"/>
      <c r="D946" s="24"/>
      <c r="E946" s="90"/>
      <c r="F946" s="90"/>
      <c r="G946" s="24"/>
      <c r="H946" s="90"/>
      <c r="I946" s="24"/>
      <c r="J946" s="90"/>
      <c r="K946" s="90"/>
      <c r="L946" s="24"/>
      <c r="M946" s="24"/>
      <c r="N946" s="24"/>
      <c r="O946" s="90"/>
      <c r="P946" s="24"/>
      <c r="Q946" s="24"/>
      <c r="R946" s="24"/>
      <c r="S946" s="90"/>
      <c r="T946" s="90"/>
      <c r="U946" s="24"/>
      <c r="V946" s="90"/>
      <c r="W946" s="90"/>
      <c r="X946" s="90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</row>
    <row r="947" spans="1:37" x14ac:dyDescent="0.25">
      <c r="A947" s="24"/>
      <c r="B947" s="90"/>
      <c r="C947" s="92"/>
      <c r="D947" s="24"/>
      <c r="E947" s="90"/>
      <c r="F947" s="90"/>
      <c r="G947" s="24"/>
      <c r="H947" s="90"/>
      <c r="I947" s="24"/>
      <c r="J947" s="90"/>
      <c r="K947" s="90"/>
      <c r="L947" s="24"/>
      <c r="M947" s="24"/>
      <c r="N947" s="24"/>
      <c r="O947" s="90"/>
      <c r="P947" s="24"/>
      <c r="Q947" s="24"/>
      <c r="R947" s="24"/>
      <c r="S947" s="90"/>
      <c r="T947" s="90"/>
      <c r="U947" s="24"/>
      <c r="V947" s="90"/>
      <c r="W947" s="90"/>
      <c r="X947" s="90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</row>
    <row r="948" spans="1:37" x14ac:dyDescent="0.25">
      <c r="A948" s="24"/>
      <c r="B948" s="90"/>
      <c r="C948" s="92"/>
      <c r="D948" s="24"/>
      <c r="E948" s="90"/>
      <c r="F948" s="90"/>
      <c r="G948" s="24"/>
      <c r="H948" s="90"/>
      <c r="I948" s="24"/>
      <c r="J948" s="90"/>
      <c r="K948" s="90"/>
      <c r="L948" s="24"/>
      <c r="M948" s="24"/>
      <c r="N948" s="24"/>
      <c r="O948" s="90"/>
      <c r="P948" s="24"/>
      <c r="Q948" s="24"/>
      <c r="R948" s="24"/>
      <c r="S948" s="90"/>
      <c r="T948" s="90"/>
      <c r="U948" s="24"/>
      <c r="V948" s="90"/>
      <c r="W948" s="90"/>
      <c r="X948" s="90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</row>
    <row r="949" spans="1:37" x14ac:dyDescent="0.25">
      <c r="A949" s="24"/>
      <c r="B949" s="90"/>
      <c r="C949" s="92"/>
      <c r="D949" s="24"/>
      <c r="E949" s="90"/>
      <c r="F949" s="90"/>
      <c r="G949" s="24"/>
      <c r="H949" s="90"/>
      <c r="I949" s="24"/>
      <c r="J949" s="90"/>
      <c r="K949" s="90"/>
      <c r="L949" s="24"/>
      <c r="M949" s="24"/>
      <c r="N949" s="24"/>
      <c r="O949" s="90"/>
      <c r="P949" s="24"/>
      <c r="Q949" s="24"/>
      <c r="R949" s="24"/>
      <c r="S949" s="90"/>
      <c r="T949" s="90"/>
      <c r="U949" s="24"/>
      <c r="V949" s="90"/>
      <c r="W949" s="90"/>
      <c r="X949" s="90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</row>
    <row r="950" spans="1:37" x14ac:dyDescent="0.25">
      <c r="A950" s="24"/>
      <c r="B950" s="90"/>
      <c r="C950" s="92"/>
      <c r="D950" s="24"/>
      <c r="E950" s="90"/>
      <c r="F950" s="90"/>
      <c r="G950" s="24"/>
      <c r="H950" s="90"/>
      <c r="I950" s="24"/>
      <c r="J950" s="90"/>
      <c r="K950" s="90"/>
      <c r="L950" s="24"/>
      <c r="M950" s="24"/>
      <c r="N950" s="24"/>
      <c r="O950" s="90"/>
      <c r="P950" s="24"/>
      <c r="Q950" s="24"/>
      <c r="R950" s="24"/>
      <c r="S950" s="90"/>
      <c r="T950" s="90"/>
      <c r="U950" s="24"/>
      <c r="V950" s="90"/>
      <c r="W950" s="90"/>
      <c r="X950" s="90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</row>
    <row r="951" spans="1:37" x14ac:dyDescent="0.25">
      <c r="A951" s="24"/>
      <c r="B951" s="90"/>
      <c r="C951" s="92"/>
      <c r="D951" s="24"/>
      <c r="E951" s="90"/>
      <c r="F951" s="90"/>
      <c r="G951" s="24"/>
      <c r="H951" s="90"/>
      <c r="I951" s="24"/>
      <c r="J951" s="90"/>
      <c r="K951" s="90"/>
      <c r="L951" s="24"/>
      <c r="M951" s="24"/>
      <c r="N951" s="24"/>
      <c r="O951" s="90"/>
      <c r="P951" s="24"/>
      <c r="Q951" s="24"/>
      <c r="R951" s="24"/>
      <c r="S951" s="90"/>
      <c r="T951" s="90"/>
      <c r="U951" s="24"/>
      <c r="V951" s="90"/>
      <c r="W951" s="90"/>
      <c r="X951" s="90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</row>
    <row r="952" spans="1:37" x14ac:dyDescent="0.25">
      <c r="A952" s="24"/>
      <c r="B952" s="90"/>
      <c r="C952" s="92"/>
      <c r="D952" s="24"/>
      <c r="E952" s="90"/>
      <c r="F952" s="90"/>
      <c r="G952" s="24"/>
      <c r="H952" s="90"/>
      <c r="I952" s="24"/>
      <c r="J952" s="90"/>
      <c r="K952" s="90"/>
      <c r="L952" s="24"/>
      <c r="M952" s="24"/>
      <c r="N952" s="24"/>
      <c r="O952" s="90"/>
      <c r="P952" s="24"/>
      <c r="Q952" s="24"/>
      <c r="R952" s="24"/>
      <c r="S952" s="90"/>
      <c r="T952" s="90"/>
      <c r="U952" s="24"/>
      <c r="V952" s="90"/>
      <c r="W952" s="90"/>
      <c r="X952" s="90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</row>
    <row r="953" spans="1:37" x14ac:dyDescent="0.25">
      <c r="A953" s="24"/>
      <c r="B953" s="90"/>
      <c r="C953" s="92"/>
      <c r="D953" s="24"/>
      <c r="E953" s="90"/>
      <c r="F953" s="90"/>
      <c r="G953" s="24"/>
      <c r="H953" s="90"/>
      <c r="I953" s="24"/>
      <c r="J953" s="90"/>
      <c r="K953" s="90"/>
      <c r="L953" s="24"/>
      <c r="M953" s="24"/>
      <c r="N953" s="24"/>
      <c r="O953" s="90"/>
      <c r="P953" s="24"/>
      <c r="Q953" s="24"/>
      <c r="R953" s="24"/>
      <c r="S953" s="90"/>
      <c r="T953" s="90"/>
      <c r="U953" s="24"/>
      <c r="V953" s="90"/>
      <c r="W953" s="90"/>
      <c r="X953" s="90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</row>
    <row r="954" spans="1:37" x14ac:dyDescent="0.25">
      <c r="A954" s="24"/>
      <c r="B954" s="90"/>
      <c r="C954" s="92"/>
      <c r="D954" s="24"/>
      <c r="E954" s="90"/>
      <c r="F954" s="90"/>
      <c r="G954" s="24"/>
      <c r="H954" s="90"/>
      <c r="I954" s="24"/>
      <c r="J954" s="90"/>
      <c r="K954" s="90"/>
      <c r="L954" s="24"/>
      <c r="M954" s="24"/>
      <c r="N954" s="24"/>
      <c r="O954" s="90"/>
      <c r="P954" s="24"/>
      <c r="Q954" s="24"/>
      <c r="R954" s="24"/>
      <c r="S954" s="90"/>
      <c r="T954" s="90"/>
      <c r="U954" s="24"/>
      <c r="V954" s="90"/>
      <c r="W954" s="90"/>
      <c r="X954" s="90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</row>
    <row r="955" spans="1:37" x14ac:dyDescent="0.25">
      <c r="A955" s="24"/>
      <c r="B955" s="90"/>
      <c r="C955" s="92"/>
      <c r="D955" s="24"/>
      <c r="E955" s="90"/>
      <c r="F955" s="90"/>
      <c r="G955" s="24"/>
      <c r="H955" s="90"/>
      <c r="I955" s="24"/>
      <c r="J955" s="90"/>
      <c r="K955" s="90"/>
      <c r="L955" s="24"/>
      <c r="M955" s="24"/>
      <c r="N955" s="24"/>
      <c r="O955" s="90"/>
      <c r="P955" s="24"/>
      <c r="Q955" s="24"/>
      <c r="R955" s="24"/>
      <c r="S955" s="90"/>
      <c r="T955" s="90"/>
      <c r="U955" s="24"/>
      <c r="V955" s="90"/>
      <c r="W955" s="90"/>
      <c r="X955" s="90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</row>
    <row r="956" spans="1:37" x14ac:dyDescent="0.25">
      <c r="A956" s="24"/>
      <c r="B956" s="90"/>
      <c r="C956" s="92"/>
      <c r="D956" s="24"/>
      <c r="E956" s="90"/>
      <c r="F956" s="90"/>
      <c r="G956" s="24"/>
      <c r="H956" s="90"/>
      <c r="I956" s="24"/>
      <c r="J956" s="90"/>
      <c r="K956" s="90"/>
      <c r="L956" s="24"/>
      <c r="M956" s="24"/>
      <c r="N956" s="24"/>
      <c r="O956" s="90"/>
      <c r="P956" s="24"/>
      <c r="Q956" s="24"/>
      <c r="R956" s="24"/>
      <c r="S956" s="90"/>
      <c r="T956" s="90"/>
      <c r="U956" s="24"/>
      <c r="V956" s="90"/>
      <c r="W956" s="90"/>
      <c r="X956" s="90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</row>
    <row r="957" spans="1:37" x14ac:dyDescent="0.25">
      <c r="A957" s="24"/>
      <c r="B957" s="90"/>
      <c r="C957" s="92"/>
      <c r="D957" s="24"/>
      <c r="E957" s="90"/>
      <c r="F957" s="90"/>
      <c r="G957" s="24"/>
      <c r="H957" s="90"/>
      <c r="I957" s="24"/>
      <c r="J957" s="90"/>
      <c r="K957" s="90"/>
      <c r="L957" s="24"/>
      <c r="M957" s="24"/>
      <c r="N957" s="24"/>
      <c r="O957" s="90"/>
      <c r="P957" s="24"/>
      <c r="Q957" s="24"/>
      <c r="R957" s="24"/>
      <c r="S957" s="90"/>
      <c r="T957" s="90"/>
      <c r="U957" s="24"/>
      <c r="V957" s="90"/>
      <c r="W957" s="90"/>
      <c r="X957" s="90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</row>
    <row r="958" spans="1:37" x14ac:dyDescent="0.25">
      <c r="A958" s="24"/>
      <c r="B958" s="90"/>
      <c r="C958" s="92"/>
      <c r="D958" s="24"/>
      <c r="E958" s="90"/>
      <c r="F958" s="90"/>
      <c r="G958" s="24"/>
      <c r="H958" s="90"/>
      <c r="I958" s="24"/>
      <c r="J958" s="90"/>
      <c r="K958" s="90"/>
      <c r="L958" s="24"/>
      <c r="M958" s="24"/>
      <c r="N958" s="24"/>
      <c r="O958" s="90"/>
      <c r="P958" s="24"/>
      <c r="Q958" s="24"/>
      <c r="R958" s="24"/>
      <c r="S958" s="90"/>
      <c r="T958" s="90"/>
      <c r="U958" s="24"/>
      <c r="V958" s="90"/>
      <c r="W958" s="90"/>
      <c r="X958" s="90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</row>
    <row r="959" spans="1:37" x14ac:dyDescent="0.25">
      <c r="A959" s="24"/>
      <c r="B959" s="90"/>
      <c r="C959" s="92"/>
      <c r="D959" s="24"/>
      <c r="E959" s="90"/>
      <c r="F959" s="90"/>
      <c r="G959" s="24"/>
      <c r="H959" s="90"/>
      <c r="I959" s="24"/>
      <c r="J959" s="90"/>
      <c r="K959" s="90"/>
      <c r="L959" s="24"/>
      <c r="M959" s="24"/>
      <c r="N959" s="24"/>
      <c r="O959" s="90"/>
      <c r="P959" s="24"/>
      <c r="Q959" s="24"/>
      <c r="R959" s="24"/>
      <c r="S959" s="90"/>
      <c r="T959" s="90"/>
      <c r="U959" s="24"/>
      <c r="V959" s="90"/>
      <c r="W959" s="90"/>
      <c r="X959" s="90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</row>
    <row r="960" spans="1:37" x14ac:dyDescent="0.25">
      <c r="A960" s="24"/>
      <c r="B960" s="90"/>
      <c r="C960" s="92"/>
      <c r="D960" s="24"/>
      <c r="E960" s="90"/>
      <c r="F960" s="90"/>
      <c r="G960" s="24"/>
      <c r="H960" s="90"/>
      <c r="I960" s="24"/>
      <c r="J960" s="90"/>
      <c r="K960" s="90"/>
      <c r="L960" s="24"/>
      <c r="M960" s="24"/>
      <c r="N960" s="24"/>
      <c r="O960" s="90"/>
      <c r="P960" s="24"/>
      <c r="Q960" s="24"/>
      <c r="R960" s="24"/>
      <c r="S960" s="90"/>
      <c r="T960" s="90"/>
      <c r="U960" s="24"/>
      <c r="V960" s="90"/>
      <c r="W960" s="90"/>
      <c r="X960" s="90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</row>
    <row r="961" spans="1:37" x14ac:dyDescent="0.25">
      <c r="A961" s="24"/>
      <c r="B961" s="90"/>
      <c r="C961" s="92"/>
      <c r="D961" s="24"/>
      <c r="E961" s="90"/>
      <c r="F961" s="90"/>
      <c r="G961" s="24"/>
      <c r="H961" s="90"/>
      <c r="I961" s="24"/>
      <c r="J961" s="90"/>
      <c r="K961" s="90"/>
      <c r="L961" s="24"/>
      <c r="M961" s="24"/>
      <c r="N961" s="24"/>
      <c r="O961" s="90"/>
      <c r="P961" s="24"/>
      <c r="Q961" s="24"/>
      <c r="R961" s="24"/>
      <c r="S961" s="90"/>
      <c r="T961" s="90"/>
      <c r="U961" s="24"/>
      <c r="V961" s="90"/>
      <c r="W961" s="90"/>
      <c r="X961" s="90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</row>
    <row r="962" spans="1:37" x14ac:dyDescent="0.25">
      <c r="A962" s="24"/>
      <c r="B962" s="90"/>
      <c r="C962" s="92"/>
      <c r="D962" s="24"/>
      <c r="E962" s="90"/>
      <c r="F962" s="90"/>
      <c r="G962" s="24"/>
      <c r="H962" s="90"/>
      <c r="I962" s="24"/>
      <c r="J962" s="90"/>
      <c r="K962" s="90"/>
      <c r="L962" s="24"/>
      <c r="M962" s="24"/>
      <c r="N962" s="24"/>
      <c r="O962" s="90"/>
      <c r="P962" s="24"/>
      <c r="Q962" s="24"/>
      <c r="R962" s="24"/>
      <c r="S962" s="90"/>
      <c r="T962" s="90"/>
      <c r="U962" s="24"/>
      <c r="V962" s="90"/>
      <c r="W962" s="90"/>
      <c r="X962" s="90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</row>
    <row r="963" spans="1:37" x14ac:dyDescent="0.25">
      <c r="A963" s="24"/>
      <c r="B963" s="90"/>
      <c r="C963" s="92"/>
      <c r="D963" s="24"/>
      <c r="E963" s="90"/>
      <c r="F963" s="90"/>
      <c r="G963" s="24"/>
      <c r="H963" s="90"/>
      <c r="I963" s="24"/>
      <c r="J963" s="90"/>
      <c r="K963" s="90"/>
      <c r="L963" s="24"/>
      <c r="M963" s="24"/>
      <c r="N963" s="24"/>
      <c r="O963" s="90"/>
      <c r="P963" s="24"/>
      <c r="Q963" s="24"/>
      <c r="R963" s="24"/>
      <c r="S963" s="90"/>
      <c r="T963" s="90"/>
      <c r="U963" s="24"/>
      <c r="V963" s="90"/>
      <c r="W963" s="90"/>
      <c r="X963" s="90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</row>
    <row r="964" spans="1:37" x14ac:dyDescent="0.25">
      <c r="A964" s="24"/>
      <c r="B964" s="90"/>
      <c r="C964" s="92"/>
      <c r="D964" s="24"/>
      <c r="E964" s="90"/>
      <c r="F964" s="90"/>
      <c r="G964" s="24"/>
      <c r="H964" s="90"/>
      <c r="I964" s="24"/>
      <c r="J964" s="90"/>
      <c r="K964" s="90"/>
      <c r="L964" s="24"/>
      <c r="M964" s="24"/>
      <c r="N964" s="24"/>
      <c r="O964" s="90"/>
      <c r="P964" s="24"/>
      <c r="Q964" s="24"/>
      <c r="R964" s="24"/>
      <c r="S964" s="90"/>
      <c r="T964" s="90"/>
      <c r="U964" s="24"/>
      <c r="V964" s="90"/>
      <c r="W964" s="90"/>
      <c r="X964" s="90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</row>
    <row r="965" spans="1:37" x14ac:dyDescent="0.25">
      <c r="A965" s="24"/>
      <c r="B965" s="90"/>
      <c r="C965" s="92"/>
      <c r="D965" s="24"/>
      <c r="E965" s="90"/>
      <c r="F965" s="90"/>
      <c r="G965" s="24"/>
      <c r="H965" s="90"/>
      <c r="I965" s="24"/>
      <c r="J965" s="90"/>
      <c r="K965" s="90"/>
      <c r="L965" s="24"/>
      <c r="M965" s="24"/>
      <c r="N965" s="24"/>
      <c r="O965" s="90"/>
      <c r="P965" s="24"/>
      <c r="Q965" s="24"/>
      <c r="R965" s="24"/>
      <c r="S965" s="90"/>
      <c r="T965" s="90"/>
      <c r="U965" s="24"/>
      <c r="V965" s="90"/>
      <c r="W965" s="90"/>
      <c r="X965" s="90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</row>
    <row r="966" spans="1:37" x14ac:dyDescent="0.25">
      <c r="A966" s="24"/>
      <c r="B966" s="90"/>
      <c r="C966" s="92"/>
      <c r="D966" s="24"/>
      <c r="E966" s="90"/>
      <c r="F966" s="90"/>
      <c r="G966" s="24"/>
      <c r="H966" s="90"/>
      <c r="I966" s="24"/>
      <c r="J966" s="90"/>
      <c r="K966" s="90"/>
      <c r="L966" s="24"/>
      <c r="M966" s="24"/>
      <c r="N966" s="24"/>
      <c r="O966" s="90"/>
      <c r="P966" s="24"/>
      <c r="Q966" s="24"/>
      <c r="R966" s="24"/>
      <c r="S966" s="90"/>
      <c r="T966" s="90"/>
      <c r="U966" s="24"/>
      <c r="V966" s="90"/>
      <c r="W966" s="90"/>
      <c r="X966" s="90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</row>
    <row r="967" spans="1:37" x14ac:dyDescent="0.25">
      <c r="A967" s="24"/>
      <c r="B967" s="90"/>
      <c r="C967" s="92"/>
      <c r="D967" s="24"/>
      <c r="E967" s="90"/>
      <c r="F967" s="90"/>
      <c r="G967" s="24"/>
      <c r="H967" s="90"/>
      <c r="I967" s="24"/>
      <c r="J967" s="90"/>
      <c r="K967" s="90"/>
      <c r="L967" s="24"/>
      <c r="M967" s="24"/>
      <c r="N967" s="24"/>
      <c r="O967" s="90"/>
      <c r="P967" s="24"/>
      <c r="Q967" s="24"/>
      <c r="R967" s="24"/>
      <c r="S967" s="90"/>
      <c r="T967" s="90"/>
      <c r="U967" s="24"/>
      <c r="V967" s="90"/>
      <c r="W967" s="90"/>
      <c r="X967" s="90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</row>
    <row r="968" spans="1:37" x14ac:dyDescent="0.25">
      <c r="A968" s="24"/>
      <c r="B968" s="90"/>
      <c r="C968" s="92"/>
      <c r="D968" s="24"/>
      <c r="E968" s="90"/>
      <c r="F968" s="90"/>
      <c r="G968" s="24"/>
      <c r="H968" s="90"/>
      <c r="I968" s="24"/>
      <c r="J968" s="90"/>
      <c r="K968" s="90"/>
      <c r="L968" s="24"/>
      <c r="M968" s="24"/>
      <c r="N968" s="24"/>
      <c r="O968" s="90"/>
      <c r="P968" s="24"/>
      <c r="Q968" s="24"/>
      <c r="R968" s="24"/>
      <c r="S968" s="90"/>
      <c r="T968" s="90"/>
      <c r="U968" s="24"/>
      <c r="V968" s="90"/>
      <c r="W968" s="90"/>
      <c r="X968" s="90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</row>
    <row r="969" spans="1:37" x14ac:dyDescent="0.25">
      <c r="A969" s="24"/>
      <c r="B969" s="90"/>
      <c r="C969" s="92"/>
      <c r="D969" s="24"/>
      <c r="E969" s="90"/>
      <c r="F969" s="90"/>
      <c r="G969" s="24"/>
      <c r="H969" s="90"/>
      <c r="I969" s="24"/>
      <c r="J969" s="90"/>
      <c r="K969" s="90"/>
      <c r="L969" s="24"/>
      <c r="M969" s="24"/>
      <c r="N969" s="24"/>
      <c r="O969" s="90"/>
      <c r="P969" s="24"/>
      <c r="Q969" s="24"/>
      <c r="R969" s="24"/>
      <c r="S969" s="90"/>
      <c r="T969" s="90"/>
      <c r="U969" s="24"/>
      <c r="V969" s="90"/>
      <c r="W969" s="90"/>
      <c r="X969" s="90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</row>
    <row r="970" spans="1:37" x14ac:dyDescent="0.25">
      <c r="A970" s="24"/>
      <c r="B970" s="90"/>
      <c r="C970" s="92"/>
      <c r="D970" s="24"/>
      <c r="E970" s="90"/>
      <c r="F970" s="90"/>
      <c r="G970" s="24"/>
      <c r="H970" s="90"/>
      <c r="I970" s="24"/>
      <c r="J970" s="90"/>
      <c r="K970" s="90"/>
      <c r="L970" s="24"/>
      <c r="M970" s="24"/>
      <c r="N970" s="24"/>
      <c r="O970" s="90"/>
      <c r="P970" s="24"/>
      <c r="Q970" s="24"/>
      <c r="R970" s="24"/>
      <c r="S970" s="90"/>
      <c r="T970" s="90"/>
      <c r="U970" s="24"/>
      <c r="V970" s="90"/>
      <c r="W970" s="90"/>
      <c r="X970" s="90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</row>
    <row r="971" spans="1:37" x14ac:dyDescent="0.25">
      <c r="A971" s="24"/>
      <c r="B971" s="90"/>
      <c r="C971" s="92"/>
      <c r="D971" s="24"/>
      <c r="E971" s="90"/>
      <c r="F971" s="90"/>
      <c r="G971" s="24"/>
      <c r="H971" s="90"/>
      <c r="I971" s="24"/>
      <c r="J971" s="90"/>
      <c r="K971" s="90"/>
      <c r="L971" s="24"/>
      <c r="M971" s="24"/>
      <c r="N971" s="24"/>
      <c r="O971" s="90"/>
      <c r="P971" s="24"/>
      <c r="Q971" s="24"/>
      <c r="R971" s="24"/>
      <c r="S971" s="90"/>
      <c r="T971" s="90"/>
      <c r="U971" s="24"/>
      <c r="V971" s="90"/>
      <c r="W971" s="90"/>
      <c r="X971" s="90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</row>
    <row r="972" spans="1:37" x14ac:dyDescent="0.25">
      <c r="A972" s="24"/>
      <c r="B972" s="90"/>
      <c r="C972" s="92"/>
      <c r="D972" s="24"/>
      <c r="E972" s="90"/>
      <c r="F972" s="90"/>
      <c r="G972" s="24"/>
      <c r="H972" s="90"/>
      <c r="I972" s="24"/>
      <c r="J972" s="90"/>
      <c r="K972" s="90"/>
      <c r="L972" s="24"/>
      <c r="M972" s="24"/>
      <c r="N972" s="24"/>
      <c r="O972" s="90"/>
      <c r="P972" s="24"/>
      <c r="Q972" s="24"/>
      <c r="R972" s="24"/>
      <c r="S972" s="90"/>
      <c r="T972" s="90"/>
      <c r="U972" s="24"/>
      <c r="V972" s="90"/>
      <c r="W972" s="90"/>
      <c r="X972" s="90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</row>
    <row r="973" spans="1:37" x14ac:dyDescent="0.25">
      <c r="A973" s="24"/>
      <c r="B973" s="90"/>
      <c r="C973" s="92"/>
      <c r="D973" s="24"/>
      <c r="E973" s="90"/>
      <c r="F973" s="90"/>
      <c r="G973" s="24"/>
      <c r="H973" s="90"/>
      <c r="I973" s="24"/>
      <c r="J973" s="90"/>
      <c r="K973" s="90"/>
      <c r="L973" s="24"/>
      <c r="M973" s="24"/>
      <c r="N973" s="24"/>
      <c r="O973" s="90"/>
      <c r="P973" s="24"/>
      <c r="Q973" s="24"/>
      <c r="R973" s="24"/>
      <c r="S973" s="90"/>
      <c r="T973" s="90"/>
      <c r="U973" s="24"/>
      <c r="V973" s="90"/>
      <c r="W973" s="90"/>
      <c r="X973" s="90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</row>
    <row r="974" spans="1:37" x14ac:dyDescent="0.25">
      <c r="A974" s="24"/>
      <c r="B974" s="90"/>
      <c r="C974" s="92"/>
      <c r="D974" s="24"/>
      <c r="E974" s="90"/>
      <c r="F974" s="90"/>
      <c r="G974" s="24"/>
      <c r="H974" s="90"/>
      <c r="I974" s="24"/>
      <c r="J974" s="90"/>
      <c r="K974" s="90"/>
      <c r="L974" s="24"/>
      <c r="M974" s="24"/>
      <c r="N974" s="24"/>
      <c r="O974" s="90"/>
      <c r="P974" s="24"/>
      <c r="Q974" s="24"/>
      <c r="R974" s="24"/>
      <c r="S974" s="90"/>
      <c r="T974" s="90"/>
      <c r="U974" s="24"/>
      <c r="V974" s="90"/>
      <c r="W974" s="90"/>
      <c r="X974" s="90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</row>
    <row r="975" spans="1:37" x14ac:dyDescent="0.25">
      <c r="A975" s="24"/>
      <c r="B975" s="90"/>
      <c r="C975" s="92"/>
      <c r="D975" s="24"/>
      <c r="E975" s="90"/>
      <c r="F975" s="90"/>
      <c r="G975" s="24"/>
      <c r="H975" s="90"/>
      <c r="I975" s="24"/>
      <c r="J975" s="90"/>
      <c r="K975" s="90"/>
      <c r="L975" s="24"/>
      <c r="M975" s="24"/>
      <c r="N975" s="24"/>
      <c r="O975" s="90"/>
      <c r="P975" s="24"/>
      <c r="Q975" s="24"/>
      <c r="R975" s="24"/>
      <c r="S975" s="90"/>
      <c r="T975" s="90"/>
      <c r="U975" s="24"/>
      <c r="V975" s="90"/>
      <c r="W975" s="90"/>
      <c r="X975" s="90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</row>
    <row r="976" spans="1:37" x14ac:dyDescent="0.25">
      <c r="A976" s="24"/>
      <c r="B976" s="90"/>
      <c r="C976" s="92"/>
      <c r="D976" s="24"/>
      <c r="E976" s="90"/>
      <c r="F976" s="90"/>
      <c r="G976" s="24"/>
      <c r="H976" s="90"/>
      <c r="I976" s="24"/>
      <c r="J976" s="90"/>
      <c r="K976" s="90"/>
      <c r="L976" s="24"/>
      <c r="M976" s="24"/>
      <c r="N976" s="24"/>
      <c r="O976" s="90"/>
      <c r="P976" s="24"/>
      <c r="Q976" s="24"/>
      <c r="R976" s="24"/>
      <c r="S976" s="90"/>
      <c r="T976" s="90"/>
      <c r="U976" s="24"/>
      <c r="V976" s="90"/>
      <c r="W976" s="90"/>
      <c r="X976" s="90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</row>
    <row r="977" spans="1:37" x14ac:dyDescent="0.25">
      <c r="A977" s="24"/>
      <c r="B977" s="90"/>
      <c r="C977" s="92"/>
      <c r="D977" s="24"/>
      <c r="E977" s="90"/>
      <c r="F977" s="90"/>
      <c r="G977" s="24"/>
      <c r="H977" s="90"/>
      <c r="I977" s="24"/>
      <c r="J977" s="90"/>
      <c r="K977" s="90"/>
      <c r="L977" s="24"/>
      <c r="M977" s="24"/>
      <c r="N977" s="24"/>
      <c r="O977" s="90"/>
      <c r="P977" s="24"/>
      <c r="Q977" s="24"/>
      <c r="R977" s="24"/>
      <c r="S977" s="90"/>
      <c r="T977" s="90"/>
      <c r="U977" s="24"/>
      <c r="V977" s="90"/>
      <c r="W977" s="90"/>
      <c r="X977" s="90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</row>
    <row r="978" spans="1:37" x14ac:dyDescent="0.25">
      <c r="A978" s="24"/>
      <c r="B978" s="90"/>
      <c r="C978" s="92"/>
      <c r="D978" s="24"/>
      <c r="E978" s="90"/>
      <c r="F978" s="90"/>
      <c r="G978" s="24"/>
      <c r="H978" s="90"/>
      <c r="I978" s="24"/>
      <c r="J978" s="90"/>
      <c r="K978" s="90"/>
      <c r="L978" s="24"/>
      <c r="M978" s="24"/>
      <c r="N978" s="24"/>
      <c r="O978" s="90"/>
      <c r="P978" s="24"/>
      <c r="Q978" s="24"/>
      <c r="R978" s="24"/>
      <c r="S978" s="90"/>
      <c r="T978" s="90"/>
      <c r="U978" s="24"/>
      <c r="V978" s="90"/>
      <c r="W978" s="90"/>
      <c r="X978" s="90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</row>
    <row r="979" spans="1:37" x14ac:dyDescent="0.25">
      <c r="A979" s="24"/>
      <c r="B979" s="90"/>
      <c r="C979" s="92"/>
      <c r="D979" s="24"/>
      <c r="E979" s="90"/>
      <c r="F979" s="90"/>
      <c r="G979" s="24"/>
      <c r="H979" s="90"/>
      <c r="I979" s="24"/>
      <c r="J979" s="90"/>
      <c r="K979" s="90"/>
      <c r="L979" s="24"/>
      <c r="M979" s="24"/>
      <c r="N979" s="24"/>
      <c r="O979" s="90"/>
      <c r="P979" s="24"/>
      <c r="Q979" s="24"/>
      <c r="R979" s="24"/>
      <c r="S979" s="90"/>
      <c r="T979" s="90"/>
      <c r="U979" s="24"/>
      <c r="V979" s="90"/>
      <c r="W979" s="90"/>
      <c r="X979" s="90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</row>
    <row r="980" spans="1:37" x14ac:dyDescent="0.25">
      <c r="A980" s="24"/>
      <c r="B980" s="90"/>
      <c r="C980" s="92"/>
      <c r="D980" s="24"/>
      <c r="E980" s="90"/>
      <c r="F980" s="90"/>
      <c r="G980" s="24"/>
      <c r="H980" s="90"/>
      <c r="I980" s="24"/>
      <c r="J980" s="90"/>
      <c r="K980" s="90"/>
      <c r="L980" s="24"/>
      <c r="M980" s="24"/>
      <c r="N980" s="24"/>
      <c r="O980" s="90"/>
      <c r="P980" s="24"/>
      <c r="Q980" s="24"/>
      <c r="R980" s="24"/>
      <c r="S980" s="90"/>
      <c r="T980" s="90"/>
      <c r="U980" s="24"/>
      <c r="V980" s="90"/>
      <c r="W980" s="90"/>
      <c r="X980" s="90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</row>
    <row r="981" spans="1:37" x14ac:dyDescent="0.25">
      <c r="A981" s="24"/>
      <c r="B981" s="90"/>
      <c r="C981" s="92"/>
      <c r="D981" s="24"/>
      <c r="E981" s="90"/>
      <c r="F981" s="90"/>
      <c r="G981" s="24"/>
      <c r="H981" s="90"/>
      <c r="I981" s="24"/>
      <c r="J981" s="90"/>
      <c r="K981" s="90"/>
      <c r="L981" s="24"/>
      <c r="M981" s="24"/>
      <c r="N981" s="24"/>
      <c r="O981" s="90"/>
      <c r="P981" s="24"/>
      <c r="Q981" s="24"/>
      <c r="R981" s="24"/>
      <c r="S981" s="90"/>
      <c r="T981" s="90"/>
      <c r="U981" s="24"/>
      <c r="V981" s="90"/>
      <c r="W981" s="90"/>
      <c r="X981" s="90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</row>
    <row r="982" spans="1:37" x14ac:dyDescent="0.25">
      <c r="A982" s="24"/>
      <c r="B982" s="90"/>
      <c r="C982" s="92"/>
      <c r="D982" s="24"/>
      <c r="E982" s="90"/>
      <c r="F982" s="90"/>
      <c r="G982" s="24"/>
      <c r="H982" s="90"/>
      <c r="I982" s="24"/>
      <c r="J982" s="90"/>
      <c r="K982" s="90"/>
      <c r="L982" s="24"/>
      <c r="M982" s="24"/>
      <c r="N982" s="24"/>
      <c r="O982" s="90"/>
      <c r="P982" s="24"/>
      <c r="Q982" s="24"/>
      <c r="R982" s="24"/>
      <c r="S982" s="90"/>
      <c r="T982" s="90"/>
      <c r="U982" s="24"/>
      <c r="V982" s="90"/>
      <c r="W982" s="90"/>
      <c r="X982" s="90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</row>
    <row r="983" spans="1:37" x14ac:dyDescent="0.25">
      <c r="A983" s="24"/>
      <c r="B983" s="90"/>
      <c r="C983" s="92"/>
      <c r="D983" s="24"/>
      <c r="E983" s="90"/>
      <c r="F983" s="90"/>
      <c r="G983" s="24"/>
      <c r="H983" s="90"/>
      <c r="I983" s="24"/>
      <c r="J983" s="90"/>
      <c r="K983" s="90"/>
      <c r="L983" s="24"/>
      <c r="M983" s="24"/>
      <c r="N983" s="24"/>
      <c r="O983" s="90"/>
      <c r="P983" s="24"/>
      <c r="Q983" s="24"/>
      <c r="R983" s="24"/>
      <c r="S983" s="90"/>
      <c r="T983" s="90"/>
      <c r="U983" s="24"/>
      <c r="V983" s="90"/>
      <c r="W983" s="90"/>
      <c r="X983" s="90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</row>
    <row r="984" spans="1:37" x14ac:dyDescent="0.25">
      <c r="A984" s="24"/>
      <c r="B984" s="90"/>
      <c r="C984" s="92"/>
      <c r="D984" s="24"/>
      <c r="E984" s="90"/>
      <c r="F984" s="90"/>
      <c r="G984" s="24"/>
      <c r="H984" s="90"/>
      <c r="I984" s="24"/>
      <c r="J984" s="90"/>
      <c r="K984" s="90"/>
      <c r="L984" s="24"/>
      <c r="M984" s="24"/>
      <c r="N984" s="24"/>
      <c r="O984" s="90"/>
      <c r="P984" s="24"/>
      <c r="Q984" s="24"/>
      <c r="R984" s="24"/>
      <c r="S984" s="90"/>
      <c r="T984" s="90"/>
      <c r="U984" s="24"/>
      <c r="V984" s="90"/>
      <c r="W984" s="90"/>
      <c r="X984" s="90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</row>
    <row r="985" spans="1:37" x14ac:dyDescent="0.25">
      <c r="A985" s="24"/>
      <c r="B985" s="90"/>
      <c r="C985" s="92"/>
      <c r="D985" s="24"/>
      <c r="E985" s="90"/>
      <c r="F985" s="90"/>
      <c r="G985" s="24"/>
      <c r="H985" s="90"/>
      <c r="I985" s="24"/>
      <c r="J985" s="90"/>
      <c r="K985" s="90"/>
      <c r="L985" s="24"/>
      <c r="M985" s="24"/>
      <c r="N985" s="24"/>
      <c r="O985" s="90"/>
      <c r="P985" s="24"/>
      <c r="Q985" s="24"/>
      <c r="R985" s="24"/>
      <c r="S985" s="90"/>
      <c r="T985" s="90"/>
      <c r="U985" s="24"/>
      <c r="V985" s="90"/>
      <c r="W985" s="90"/>
      <c r="X985" s="90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</row>
    <row r="986" spans="1:37" x14ac:dyDescent="0.25">
      <c r="A986" s="24"/>
      <c r="B986" s="90"/>
      <c r="C986" s="92"/>
      <c r="D986" s="24"/>
      <c r="E986" s="90"/>
      <c r="F986" s="90"/>
      <c r="G986" s="24"/>
      <c r="H986" s="90"/>
      <c r="I986" s="24"/>
      <c r="J986" s="90"/>
      <c r="K986" s="90"/>
      <c r="L986" s="24"/>
      <c r="M986" s="24"/>
      <c r="N986" s="24"/>
      <c r="O986" s="90"/>
      <c r="P986" s="24"/>
      <c r="Q986" s="24"/>
      <c r="R986" s="24"/>
      <c r="S986" s="90"/>
      <c r="T986" s="90"/>
      <c r="U986" s="24"/>
      <c r="V986" s="90"/>
      <c r="W986" s="90"/>
      <c r="X986" s="90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</row>
    <row r="987" spans="1:37" x14ac:dyDescent="0.25">
      <c r="A987" s="24"/>
      <c r="B987" s="90"/>
      <c r="C987" s="92"/>
      <c r="D987" s="24"/>
      <c r="E987" s="90"/>
      <c r="F987" s="90"/>
      <c r="G987" s="24"/>
      <c r="H987" s="90"/>
      <c r="I987" s="24"/>
      <c r="J987" s="90"/>
      <c r="K987" s="90"/>
      <c r="L987" s="24"/>
      <c r="M987" s="24"/>
      <c r="N987" s="24"/>
      <c r="O987" s="90"/>
      <c r="P987" s="24"/>
      <c r="Q987" s="24"/>
      <c r="R987" s="24"/>
      <c r="S987" s="90"/>
      <c r="T987" s="90"/>
      <c r="U987" s="24"/>
      <c r="V987" s="90"/>
      <c r="W987" s="90"/>
      <c r="X987" s="90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</row>
    <row r="988" spans="1:37" x14ac:dyDescent="0.25">
      <c r="A988" s="24"/>
      <c r="B988" s="90"/>
      <c r="C988" s="92"/>
      <c r="D988" s="24"/>
      <c r="E988" s="90"/>
      <c r="F988" s="90"/>
      <c r="G988" s="24"/>
      <c r="H988" s="90"/>
      <c r="I988" s="24"/>
      <c r="J988" s="90"/>
      <c r="K988" s="90"/>
      <c r="L988" s="24"/>
      <c r="M988" s="24"/>
      <c r="N988" s="24"/>
      <c r="O988" s="90"/>
      <c r="P988" s="24"/>
      <c r="Q988" s="24"/>
      <c r="R988" s="24"/>
      <c r="S988" s="90"/>
      <c r="T988" s="90"/>
      <c r="U988" s="24"/>
      <c r="V988" s="90"/>
      <c r="W988" s="90"/>
      <c r="X988" s="90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</row>
    <row r="989" spans="1:37" x14ac:dyDescent="0.25">
      <c r="A989" s="24"/>
      <c r="B989" s="90"/>
      <c r="C989" s="92"/>
      <c r="D989" s="24"/>
      <c r="E989" s="90"/>
      <c r="F989" s="90"/>
      <c r="G989" s="24"/>
      <c r="H989" s="90"/>
      <c r="I989" s="24"/>
      <c r="J989" s="90"/>
      <c r="K989" s="90"/>
      <c r="L989" s="24"/>
      <c r="M989" s="24"/>
      <c r="N989" s="24"/>
      <c r="O989" s="90"/>
      <c r="P989" s="24"/>
      <c r="Q989" s="24"/>
      <c r="R989" s="24"/>
      <c r="S989" s="90"/>
      <c r="T989" s="90"/>
      <c r="U989" s="24"/>
      <c r="V989" s="90"/>
      <c r="W989" s="90"/>
      <c r="X989" s="90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</row>
    <row r="990" spans="1:37" x14ac:dyDescent="0.25">
      <c r="A990" s="24"/>
      <c r="B990" s="90"/>
      <c r="C990" s="92"/>
      <c r="D990" s="24"/>
      <c r="E990" s="90"/>
      <c r="F990" s="90"/>
      <c r="G990" s="24"/>
      <c r="H990" s="90"/>
      <c r="I990" s="24"/>
      <c r="J990" s="90"/>
      <c r="K990" s="90"/>
      <c r="L990" s="24"/>
      <c r="M990" s="24"/>
      <c r="N990" s="24"/>
      <c r="O990" s="90"/>
      <c r="P990" s="24"/>
      <c r="Q990" s="24"/>
      <c r="R990" s="24"/>
      <c r="S990" s="90"/>
      <c r="T990" s="90"/>
      <c r="U990" s="24"/>
      <c r="V990" s="90"/>
      <c r="W990" s="90"/>
      <c r="X990" s="90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</row>
    <row r="991" spans="1:37" x14ac:dyDescent="0.25">
      <c r="A991" s="24"/>
      <c r="B991" s="90"/>
      <c r="C991" s="92"/>
      <c r="D991" s="24"/>
      <c r="E991" s="90"/>
      <c r="F991" s="90"/>
      <c r="G991" s="24"/>
      <c r="H991" s="90"/>
      <c r="I991" s="24"/>
      <c r="J991" s="90"/>
      <c r="K991" s="90"/>
      <c r="L991" s="24"/>
      <c r="M991" s="24"/>
      <c r="N991" s="24"/>
      <c r="O991" s="90"/>
      <c r="P991" s="24"/>
      <c r="Q991" s="24"/>
      <c r="R991" s="24"/>
      <c r="S991" s="90"/>
      <c r="T991" s="90"/>
      <c r="U991" s="24"/>
      <c r="V991" s="90"/>
      <c r="W991" s="90"/>
      <c r="X991" s="90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</row>
    <row r="992" spans="1:37" x14ac:dyDescent="0.25">
      <c r="A992" s="24"/>
      <c r="B992" s="90"/>
      <c r="C992" s="92"/>
      <c r="D992" s="24"/>
      <c r="E992" s="90"/>
      <c r="F992" s="90"/>
      <c r="G992" s="24"/>
      <c r="H992" s="90"/>
      <c r="I992" s="24"/>
      <c r="J992" s="90"/>
      <c r="K992" s="90"/>
      <c r="L992" s="24"/>
      <c r="M992" s="24"/>
      <c r="N992" s="24"/>
      <c r="O992" s="90"/>
      <c r="P992" s="24"/>
      <c r="Q992" s="24"/>
      <c r="R992" s="24"/>
      <c r="S992" s="90"/>
      <c r="T992" s="90"/>
      <c r="U992" s="24"/>
      <c r="V992" s="90"/>
      <c r="W992" s="90"/>
      <c r="X992" s="90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</row>
    <row r="993" spans="1:37" x14ac:dyDescent="0.25">
      <c r="A993" s="24"/>
      <c r="B993" s="90"/>
      <c r="C993" s="92"/>
      <c r="D993" s="24"/>
      <c r="E993" s="90"/>
      <c r="F993" s="90"/>
      <c r="G993" s="24"/>
      <c r="H993" s="90"/>
      <c r="I993" s="24"/>
      <c r="J993" s="90"/>
      <c r="K993" s="90"/>
      <c r="L993" s="24"/>
      <c r="M993" s="24"/>
      <c r="N993" s="24"/>
      <c r="O993" s="90"/>
      <c r="P993" s="24"/>
      <c r="Q993" s="24"/>
      <c r="R993" s="24"/>
      <c r="S993" s="90"/>
      <c r="T993" s="90"/>
      <c r="U993" s="24"/>
      <c r="V993" s="90"/>
      <c r="W993" s="90"/>
      <c r="X993" s="90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</row>
    <row r="994" spans="1:37" x14ac:dyDescent="0.25">
      <c r="A994" s="24"/>
      <c r="B994" s="90"/>
      <c r="C994" s="92"/>
      <c r="D994" s="24"/>
      <c r="E994" s="90"/>
      <c r="F994" s="90"/>
      <c r="G994" s="24"/>
      <c r="H994" s="90"/>
      <c r="I994" s="24"/>
      <c r="J994" s="90"/>
      <c r="K994" s="90"/>
      <c r="L994" s="24"/>
      <c r="M994" s="24"/>
      <c r="N994" s="24"/>
      <c r="O994" s="90"/>
      <c r="P994" s="24"/>
      <c r="Q994" s="24"/>
      <c r="R994" s="24"/>
      <c r="S994" s="90"/>
      <c r="T994" s="90"/>
      <c r="U994" s="24"/>
      <c r="V994" s="90"/>
      <c r="W994" s="90"/>
      <c r="X994" s="90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</row>
    <row r="995" spans="1:37" x14ac:dyDescent="0.25">
      <c r="A995" s="24"/>
      <c r="B995" s="90"/>
      <c r="C995" s="92"/>
      <c r="D995" s="24"/>
      <c r="E995" s="90"/>
      <c r="F995" s="90"/>
      <c r="G995" s="24"/>
      <c r="H995" s="90"/>
      <c r="I995" s="24"/>
      <c r="J995" s="90"/>
      <c r="K995" s="90"/>
      <c r="L995" s="24"/>
      <c r="M995" s="24"/>
      <c r="N995" s="24"/>
      <c r="O995" s="90"/>
      <c r="P995" s="24"/>
      <c r="Q995" s="24"/>
      <c r="R995" s="24"/>
      <c r="S995" s="90"/>
      <c r="T995" s="90"/>
      <c r="U995" s="24"/>
      <c r="V995" s="90"/>
      <c r="W995" s="90"/>
      <c r="X995" s="90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</row>
    <row r="996" spans="1:37" x14ac:dyDescent="0.25">
      <c r="A996" s="24"/>
      <c r="B996" s="90"/>
      <c r="C996" s="92"/>
      <c r="D996" s="24"/>
      <c r="E996" s="90"/>
      <c r="F996" s="90"/>
      <c r="G996" s="24"/>
      <c r="H996" s="90"/>
      <c r="I996" s="24"/>
      <c r="J996" s="90"/>
      <c r="K996" s="90"/>
      <c r="L996" s="24"/>
      <c r="M996" s="24"/>
      <c r="N996" s="24"/>
      <c r="O996" s="90"/>
      <c r="P996" s="24"/>
      <c r="Q996" s="24"/>
      <c r="R996" s="24"/>
      <c r="S996" s="90"/>
      <c r="T996" s="90"/>
      <c r="U996" s="24"/>
      <c r="V996" s="90"/>
      <c r="W996" s="90"/>
      <c r="X996" s="90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</row>
    <row r="997" spans="1:37" x14ac:dyDescent="0.25">
      <c r="A997" s="24"/>
      <c r="B997" s="90"/>
      <c r="C997" s="92"/>
      <c r="D997" s="24"/>
      <c r="E997" s="90"/>
      <c r="F997" s="90"/>
      <c r="G997" s="24"/>
      <c r="H997" s="90"/>
      <c r="I997" s="24"/>
      <c r="J997" s="90"/>
      <c r="K997" s="90"/>
      <c r="L997" s="24"/>
      <c r="M997" s="24"/>
      <c r="N997" s="24"/>
      <c r="O997" s="90"/>
      <c r="P997" s="24"/>
      <c r="Q997" s="24"/>
      <c r="R997" s="24"/>
      <c r="S997" s="90"/>
      <c r="T997" s="90"/>
      <c r="U997" s="24"/>
      <c r="V997" s="90"/>
      <c r="W997" s="90"/>
      <c r="X997" s="90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</row>
    <row r="998" spans="1:37" x14ac:dyDescent="0.25">
      <c r="A998" s="24"/>
      <c r="B998" s="90"/>
      <c r="C998" s="92"/>
      <c r="D998" s="24"/>
      <c r="E998" s="90"/>
      <c r="F998" s="90"/>
      <c r="G998" s="24"/>
      <c r="H998" s="90"/>
      <c r="I998" s="24"/>
      <c r="J998" s="90"/>
      <c r="K998" s="90"/>
      <c r="L998" s="24"/>
      <c r="M998" s="24"/>
      <c r="N998" s="24"/>
      <c r="O998" s="90"/>
      <c r="P998" s="24"/>
      <c r="Q998" s="24"/>
      <c r="R998" s="24"/>
      <c r="S998" s="90"/>
      <c r="T998" s="90"/>
      <c r="U998" s="24"/>
      <c r="V998" s="90"/>
      <c r="W998" s="90"/>
      <c r="X998" s="90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</row>
    <row r="999" spans="1:37" x14ac:dyDescent="0.25">
      <c r="A999" s="24"/>
      <c r="B999" s="90"/>
      <c r="C999" s="92"/>
      <c r="D999" s="24"/>
      <c r="E999" s="90"/>
      <c r="F999" s="90"/>
      <c r="G999" s="24"/>
      <c r="H999" s="90"/>
      <c r="I999" s="24"/>
      <c r="J999" s="90"/>
      <c r="K999" s="90"/>
      <c r="L999" s="24"/>
      <c r="M999" s="24"/>
      <c r="N999" s="24"/>
      <c r="O999" s="90"/>
      <c r="P999" s="24"/>
      <c r="Q999" s="24"/>
      <c r="R999" s="24"/>
      <c r="S999" s="90"/>
      <c r="T999" s="90"/>
      <c r="U999" s="24"/>
      <c r="V999" s="90"/>
      <c r="W999" s="90"/>
      <c r="X999" s="90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</row>
    <row r="1000" spans="1:37" x14ac:dyDescent="0.25">
      <c r="A1000" s="24"/>
      <c r="B1000" s="90"/>
      <c r="C1000" s="92"/>
      <c r="D1000" s="24"/>
      <c r="E1000" s="90"/>
      <c r="F1000" s="90"/>
      <c r="G1000" s="24"/>
      <c r="H1000" s="90"/>
      <c r="I1000" s="24"/>
      <c r="J1000" s="90"/>
      <c r="K1000" s="90"/>
      <c r="L1000" s="24"/>
      <c r="M1000" s="24"/>
      <c r="N1000" s="24"/>
      <c r="O1000" s="90"/>
      <c r="P1000" s="24"/>
      <c r="Q1000" s="24"/>
      <c r="R1000" s="24"/>
      <c r="S1000" s="90"/>
      <c r="T1000" s="90"/>
      <c r="U1000" s="24"/>
      <c r="V1000" s="90"/>
      <c r="W1000" s="90"/>
      <c r="X1000" s="90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</row>
    <row r="1001" spans="1:37" x14ac:dyDescent="0.25">
      <c r="A1001" s="24"/>
      <c r="B1001" s="90"/>
      <c r="C1001" s="92"/>
      <c r="D1001" s="24"/>
      <c r="E1001" s="90"/>
      <c r="F1001" s="90"/>
      <c r="G1001" s="24"/>
      <c r="H1001" s="90"/>
      <c r="I1001" s="24"/>
      <c r="J1001" s="90"/>
      <c r="K1001" s="90"/>
      <c r="L1001" s="24"/>
      <c r="M1001" s="24"/>
      <c r="N1001" s="24"/>
      <c r="O1001" s="90"/>
      <c r="P1001" s="24"/>
      <c r="Q1001" s="24"/>
      <c r="R1001" s="24"/>
      <c r="S1001" s="90"/>
      <c r="T1001" s="90"/>
      <c r="U1001" s="24"/>
      <c r="V1001" s="90"/>
      <c r="W1001" s="90"/>
      <c r="X1001" s="90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  <c r="AJ1001" s="24"/>
      <c r="AK1001" s="24"/>
    </row>
    <row r="1002" spans="1:37" x14ac:dyDescent="0.25">
      <c r="A1002" s="24"/>
      <c r="B1002" s="90"/>
      <c r="C1002" s="92"/>
      <c r="D1002" s="24"/>
      <c r="E1002" s="90"/>
      <c r="F1002" s="90"/>
      <c r="G1002" s="24"/>
      <c r="H1002" s="90"/>
      <c r="I1002" s="24"/>
      <c r="J1002" s="90"/>
      <c r="K1002" s="90"/>
      <c r="L1002" s="24"/>
      <c r="M1002" s="24"/>
      <c r="N1002" s="24"/>
      <c r="O1002" s="90"/>
      <c r="P1002" s="24"/>
      <c r="Q1002" s="24"/>
      <c r="R1002" s="24"/>
      <c r="S1002" s="90"/>
      <c r="T1002" s="90"/>
      <c r="U1002" s="24"/>
      <c r="V1002" s="90"/>
      <c r="W1002" s="90"/>
      <c r="X1002" s="90"/>
      <c r="Y1002" s="24"/>
      <c r="Z1002" s="24"/>
      <c r="AA1002" s="24"/>
      <c r="AB1002" s="24"/>
      <c r="AC1002" s="24"/>
      <c r="AD1002" s="24"/>
      <c r="AE1002" s="24"/>
      <c r="AF1002" s="24"/>
      <c r="AG1002" s="24"/>
      <c r="AH1002" s="24"/>
      <c r="AI1002" s="24"/>
      <c r="AJ1002" s="24"/>
      <c r="AK1002" s="24"/>
    </row>
    <row r="1003" spans="1:37" x14ac:dyDescent="0.25">
      <c r="A1003" s="24"/>
      <c r="B1003" s="90"/>
      <c r="C1003" s="92"/>
      <c r="D1003" s="24"/>
      <c r="E1003" s="90"/>
      <c r="F1003" s="90"/>
      <c r="G1003" s="24"/>
      <c r="H1003" s="90"/>
      <c r="I1003" s="24"/>
      <c r="J1003" s="90"/>
      <c r="K1003" s="90"/>
      <c r="L1003" s="24"/>
      <c r="M1003" s="24"/>
      <c r="N1003" s="24"/>
      <c r="O1003" s="90"/>
      <c r="P1003" s="24"/>
      <c r="Q1003" s="24"/>
      <c r="R1003" s="24"/>
      <c r="S1003" s="90"/>
      <c r="T1003" s="90"/>
      <c r="U1003" s="24"/>
      <c r="V1003" s="90"/>
      <c r="W1003" s="90"/>
      <c r="X1003" s="90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</row>
    <row r="1004" spans="1:37" x14ac:dyDescent="0.25">
      <c r="A1004" s="24"/>
      <c r="B1004" s="90"/>
      <c r="C1004" s="92"/>
      <c r="D1004" s="24"/>
      <c r="E1004" s="90"/>
      <c r="F1004" s="90"/>
      <c r="G1004" s="24"/>
      <c r="H1004" s="90"/>
      <c r="I1004" s="24"/>
      <c r="J1004" s="90"/>
      <c r="K1004" s="90"/>
      <c r="L1004" s="24"/>
      <c r="M1004" s="24"/>
      <c r="N1004" s="24"/>
      <c r="O1004" s="90"/>
      <c r="P1004" s="24"/>
      <c r="Q1004" s="24"/>
      <c r="R1004" s="24"/>
      <c r="S1004" s="90"/>
      <c r="T1004" s="90"/>
      <c r="U1004" s="24"/>
      <c r="V1004" s="90"/>
      <c r="W1004" s="90"/>
      <c r="X1004" s="90"/>
      <c r="Y1004" s="24"/>
      <c r="Z1004" s="24"/>
      <c r="AA1004" s="24"/>
      <c r="AB1004" s="24"/>
      <c r="AC1004" s="24"/>
      <c r="AD1004" s="24"/>
      <c r="AE1004" s="24"/>
      <c r="AF1004" s="24"/>
      <c r="AG1004" s="24"/>
      <c r="AH1004" s="24"/>
      <c r="AI1004" s="24"/>
      <c r="AJ1004" s="24"/>
      <c r="AK1004" s="24"/>
    </row>
    <row r="1005" spans="1:37" x14ac:dyDescent="0.25">
      <c r="A1005" s="24"/>
      <c r="B1005" s="90"/>
      <c r="C1005" s="92"/>
      <c r="D1005" s="24"/>
      <c r="E1005" s="90"/>
      <c r="F1005" s="90"/>
      <c r="G1005" s="24"/>
      <c r="H1005" s="90"/>
      <c r="I1005" s="24"/>
      <c r="J1005" s="90"/>
      <c r="K1005" s="90"/>
      <c r="L1005" s="24"/>
      <c r="M1005" s="24"/>
      <c r="N1005" s="24"/>
      <c r="O1005" s="90"/>
      <c r="P1005" s="24"/>
      <c r="Q1005" s="24"/>
      <c r="R1005" s="24"/>
      <c r="S1005" s="90"/>
      <c r="T1005" s="90"/>
      <c r="U1005" s="24"/>
      <c r="V1005" s="90"/>
      <c r="W1005" s="90"/>
      <c r="X1005" s="90"/>
      <c r="Y1005" s="24"/>
      <c r="Z1005" s="24"/>
      <c r="AA1005" s="24"/>
      <c r="AB1005" s="24"/>
      <c r="AC1005" s="24"/>
      <c r="AD1005" s="24"/>
      <c r="AE1005" s="24"/>
      <c r="AF1005" s="24"/>
      <c r="AG1005" s="24"/>
      <c r="AH1005" s="24"/>
      <c r="AI1005" s="24"/>
      <c r="AJ1005" s="24"/>
      <c r="AK1005" s="24"/>
    </row>
    <row r="1006" spans="1:37" x14ac:dyDescent="0.25">
      <c r="A1006" s="24"/>
      <c r="B1006" s="90"/>
      <c r="C1006" s="92"/>
      <c r="D1006" s="24"/>
      <c r="E1006" s="90"/>
      <c r="F1006" s="90"/>
      <c r="G1006" s="24"/>
      <c r="H1006" s="90"/>
      <c r="I1006" s="24"/>
      <c r="J1006" s="90"/>
      <c r="K1006" s="90"/>
      <c r="L1006" s="24"/>
      <c r="M1006" s="24"/>
      <c r="N1006" s="24"/>
      <c r="O1006" s="90"/>
      <c r="P1006" s="24"/>
      <c r="Q1006" s="24"/>
      <c r="R1006" s="24"/>
      <c r="S1006" s="90"/>
      <c r="T1006" s="90"/>
      <c r="U1006" s="24"/>
      <c r="V1006" s="90"/>
      <c r="W1006" s="90"/>
      <c r="X1006" s="90"/>
      <c r="Y1006" s="24"/>
      <c r="Z1006" s="24"/>
      <c r="AA1006" s="24"/>
      <c r="AB1006" s="24"/>
      <c r="AC1006" s="24"/>
      <c r="AD1006" s="24"/>
      <c r="AE1006" s="24"/>
      <c r="AF1006" s="24"/>
      <c r="AG1006" s="24"/>
      <c r="AH1006" s="24"/>
      <c r="AI1006" s="24"/>
      <c r="AJ1006" s="24"/>
      <c r="AK1006" s="24"/>
    </row>
    <row r="1007" spans="1:37" x14ac:dyDescent="0.25">
      <c r="A1007" s="24"/>
      <c r="B1007" s="90"/>
      <c r="C1007" s="92"/>
      <c r="D1007" s="24"/>
      <c r="E1007" s="90"/>
      <c r="F1007" s="90"/>
      <c r="G1007" s="24"/>
      <c r="H1007" s="90"/>
      <c r="I1007" s="24"/>
      <c r="J1007" s="90"/>
      <c r="K1007" s="90"/>
      <c r="L1007" s="24"/>
      <c r="M1007" s="24"/>
      <c r="N1007" s="24"/>
      <c r="O1007" s="90"/>
      <c r="P1007" s="24"/>
      <c r="Q1007" s="24"/>
      <c r="R1007" s="24"/>
      <c r="S1007" s="90"/>
      <c r="T1007" s="90"/>
      <c r="U1007" s="24"/>
      <c r="V1007" s="90"/>
      <c r="W1007" s="90"/>
      <c r="X1007" s="90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</row>
    <row r="1008" spans="1:37" x14ac:dyDescent="0.25">
      <c r="A1008" s="24"/>
      <c r="B1008" s="90"/>
      <c r="C1008" s="92"/>
      <c r="D1008" s="24"/>
      <c r="E1008" s="90"/>
      <c r="F1008" s="90"/>
      <c r="G1008" s="24"/>
      <c r="H1008" s="90"/>
      <c r="I1008" s="24"/>
      <c r="J1008" s="90"/>
      <c r="K1008" s="90"/>
      <c r="L1008" s="24"/>
      <c r="M1008" s="24"/>
      <c r="N1008" s="24"/>
      <c r="O1008" s="90"/>
      <c r="P1008" s="24"/>
      <c r="Q1008" s="24"/>
      <c r="R1008" s="24"/>
      <c r="S1008" s="90"/>
      <c r="T1008" s="90"/>
      <c r="U1008" s="24"/>
      <c r="V1008" s="90"/>
      <c r="W1008" s="90"/>
      <c r="X1008" s="90"/>
      <c r="Y1008" s="24"/>
      <c r="Z1008" s="24"/>
      <c r="AA1008" s="24"/>
      <c r="AB1008" s="24"/>
      <c r="AC1008" s="24"/>
      <c r="AD1008" s="24"/>
      <c r="AE1008" s="24"/>
      <c r="AF1008" s="24"/>
      <c r="AG1008" s="24"/>
      <c r="AH1008" s="24"/>
      <c r="AI1008" s="24"/>
      <c r="AJ1008" s="24"/>
      <c r="AK1008" s="24"/>
    </row>
    <row r="1009" spans="1:37" x14ac:dyDescent="0.25">
      <c r="A1009" s="24"/>
      <c r="B1009" s="90"/>
      <c r="C1009" s="92"/>
      <c r="D1009" s="24"/>
      <c r="E1009" s="90"/>
      <c r="F1009" s="90"/>
      <c r="G1009" s="24"/>
      <c r="H1009" s="90"/>
      <c r="I1009" s="24"/>
      <c r="J1009" s="90"/>
      <c r="K1009" s="90"/>
      <c r="L1009" s="24"/>
      <c r="M1009" s="24"/>
      <c r="N1009" s="24"/>
      <c r="O1009" s="90"/>
      <c r="P1009" s="24"/>
      <c r="Q1009" s="24"/>
      <c r="R1009" s="24"/>
      <c r="S1009" s="90"/>
      <c r="T1009" s="90"/>
      <c r="U1009" s="24"/>
      <c r="V1009" s="90"/>
      <c r="W1009" s="90"/>
      <c r="X1009" s="90"/>
      <c r="Y1009" s="24"/>
      <c r="Z1009" s="24"/>
      <c r="AA1009" s="24"/>
      <c r="AB1009" s="24"/>
      <c r="AC1009" s="24"/>
      <c r="AD1009" s="24"/>
      <c r="AE1009" s="24"/>
      <c r="AF1009" s="24"/>
      <c r="AG1009" s="24"/>
      <c r="AH1009" s="24"/>
      <c r="AI1009" s="24"/>
      <c r="AJ1009" s="24"/>
      <c r="AK1009" s="24"/>
    </row>
    <row r="1010" spans="1:37" x14ac:dyDescent="0.25">
      <c r="A1010" s="24"/>
      <c r="B1010" s="90"/>
      <c r="C1010" s="92"/>
      <c r="D1010" s="24"/>
      <c r="E1010" s="90"/>
      <c r="F1010" s="90"/>
      <c r="G1010" s="24"/>
      <c r="H1010" s="90"/>
      <c r="I1010" s="24"/>
      <c r="J1010" s="90"/>
      <c r="K1010" s="90"/>
      <c r="L1010" s="24"/>
      <c r="M1010" s="24"/>
      <c r="N1010" s="24"/>
      <c r="O1010" s="90"/>
      <c r="P1010" s="24"/>
      <c r="Q1010" s="24"/>
      <c r="R1010" s="24"/>
      <c r="S1010" s="90"/>
      <c r="T1010" s="90"/>
      <c r="U1010" s="24"/>
      <c r="V1010" s="90"/>
      <c r="W1010" s="90"/>
      <c r="X1010" s="90"/>
      <c r="Y1010" s="24"/>
      <c r="Z1010" s="24"/>
      <c r="AA1010" s="24"/>
      <c r="AB1010" s="24"/>
      <c r="AC1010" s="24"/>
      <c r="AD1010" s="24"/>
      <c r="AE1010" s="24"/>
      <c r="AF1010" s="24"/>
      <c r="AG1010" s="24"/>
      <c r="AH1010" s="24"/>
      <c r="AI1010" s="24"/>
      <c r="AJ1010" s="24"/>
      <c r="AK1010" s="24"/>
    </row>
    <row r="1011" spans="1:37" x14ac:dyDescent="0.25">
      <c r="A1011" s="24"/>
      <c r="B1011" s="90"/>
      <c r="C1011" s="92"/>
      <c r="D1011" s="24"/>
      <c r="E1011" s="90"/>
      <c r="F1011" s="90"/>
      <c r="G1011" s="24"/>
      <c r="H1011" s="90"/>
      <c r="I1011" s="24"/>
      <c r="J1011" s="90"/>
      <c r="K1011" s="90"/>
      <c r="L1011" s="24"/>
      <c r="M1011" s="24"/>
      <c r="N1011" s="24"/>
      <c r="O1011" s="90"/>
      <c r="P1011" s="24"/>
      <c r="Q1011" s="24"/>
      <c r="R1011" s="24"/>
      <c r="S1011" s="90"/>
      <c r="T1011" s="90"/>
      <c r="U1011" s="24"/>
      <c r="V1011" s="90"/>
      <c r="W1011" s="90"/>
      <c r="X1011" s="90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</row>
    <row r="1012" spans="1:37" x14ac:dyDescent="0.25">
      <c r="A1012" s="24"/>
      <c r="B1012" s="90"/>
      <c r="C1012" s="92"/>
      <c r="D1012" s="24"/>
      <c r="E1012" s="90"/>
      <c r="F1012" s="90"/>
      <c r="G1012" s="24"/>
      <c r="H1012" s="90"/>
      <c r="I1012" s="24"/>
      <c r="J1012" s="90"/>
      <c r="K1012" s="90"/>
      <c r="L1012" s="24"/>
      <c r="M1012" s="24"/>
      <c r="N1012" s="24"/>
      <c r="O1012" s="90"/>
      <c r="P1012" s="24"/>
      <c r="Q1012" s="24"/>
      <c r="R1012" s="24"/>
      <c r="S1012" s="90"/>
      <c r="T1012" s="90"/>
      <c r="U1012" s="24"/>
      <c r="V1012" s="90"/>
      <c r="W1012" s="90"/>
      <c r="X1012" s="90"/>
      <c r="Y1012" s="24"/>
      <c r="Z1012" s="24"/>
      <c r="AA1012" s="24"/>
      <c r="AB1012" s="24"/>
      <c r="AC1012" s="24"/>
      <c r="AD1012" s="24"/>
      <c r="AE1012" s="24"/>
      <c r="AF1012" s="24"/>
      <c r="AG1012" s="24"/>
      <c r="AH1012" s="24"/>
      <c r="AI1012" s="24"/>
      <c r="AJ1012" s="24"/>
      <c r="AK1012" s="24"/>
    </row>
    <row r="1013" spans="1:37" x14ac:dyDescent="0.25">
      <c r="A1013" s="24"/>
      <c r="B1013" s="90"/>
      <c r="C1013" s="92"/>
      <c r="D1013" s="24"/>
      <c r="E1013" s="90"/>
      <c r="F1013" s="90"/>
      <c r="G1013" s="24"/>
      <c r="H1013" s="90"/>
      <c r="I1013" s="24"/>
      <c r="J1013" s="90"/>
      <c r="K1013" s="90"/>
      <c r="L1013" s="24"/>
      <c r="M1013" s="24"/>
      <c r="N1013" s="24"/>
      <c r="O1013" s="90"/>
      <c r="P1013" s="24"/>
      <c r="Q1013" s="24"/>
      <c r="R1013" s="24"/>
      <c r="S1013" s="90"/>
      <c r="T1013" s="90"/>
      <c r="U1013" s="24"/>
      <c r="V1013" s="90"/>
      <c r="W1013" s="90"/>
      <c r="X1013" s="90"/>
      <c r="Y1013" s="24"/>
      <c r="Z1013" s="24"/>
      <c r="AA1013" s="24"/>
      <c r="AB1013" s="24"/>
      <c r="AC1013" s="24"/>
      <c r="AD1013" s="24"/>
      <c r="AE1013" s="24"/>
      <c r="AF1013" s="24"/>
      <c r="AG1013" s="24"/>
      <c r="AH1013" s="24"/>
      <c r="AI1013" s="24"/>
      <c r="AJ1013" s="24"/>
      <c r="AK1013" s="24"/>
    </row>
    <row r="1014" spans="1:37" x14ac:dyDescent="0.25">
      <c r="A1014" s="24"/>
      <c r="B1014" s="90"/>
      <c r="C1014" s="92"/>
      <c r="D1014" s="24"/>
      <c r="E1014" s="90"/>
      <c r="F1014" s="90"/>
      <c r="G1014" s="24"/>
      <c r="H1014" s="90"/>
      <c r="I1014" s="24"/>
      <c r="J1014" s="90"/>
      <c r="K1014" s="90"/>
      <c r="L1014" s="24"/>
      <c r="M1014" s="24"/>
      <c r="N1014" s="24"/>
      <c r="O1014" s="90"/>
      <c r="P1014" s="24"/>
      <c r="Q1014" s="24"/>
      <c r="R1014" s="24"/>
      <c r="S1014" s="90"/>
      <c r="T1014" s="90"/>
      <c r="U1014" s="24"/>
      <c r="V1014" s="90"/>
      <c r="W1014" s="90"/>
      <c r="X1014" s="90"/>
      <c r="Y1014" s="24"/>
      <c r="Z1014" s="24"/>
      <c r="AA1014" s="24"/>
      <c r="AB1014" s="24"/>
      <c r="AC1014" s="24"/>
      <c r="AD1014" s="24"/>
      <c r="AE1014" s="24"/>
      <c r="AF1014" s="24"/>
      <c r="AG1014" s="24"/>
      <c r="AH1014" s="24"/>
      <c r="AI1014" s="24"/>
      <c r="AJ1014" s="24"/>
      <c r="AK1014" s="24"/>
    </row>
    <row r="1015" spans="1:37" x14ac:dyDescent="0.25">
      <c r="A1015" s="24"/>
      <c r="B1015" s="90"/>
      <c r="C1015" s="92"/>
      <c r="D1015" s="24"/>
      <c r="E1015" s="90"/>
      <c r="F1015" s="90"/>
      <c r="G1015" s="24"/>
      <c r="H1015" s="90"/>
      <c r="I1015" s="24"/>
      <c r="J1015" s="90"/>
      <c r="K1015" s="90"/>
      <c r="L1015" s="24"/>
      <c r="M1015" s="24"/>
      <c r="N1015" s="24"/>
      <c r="O1015" s="90"/>
      <c r="P1015" s="24"/>
      <c r="Q1015" s="24"/>
      <c r="R1015" s="24"/>
      <c r="S1015" s="90"/>
      <c r="T1015" s="90"/>
      <c r="U1015" s="24"/>
      <c r="V1015" s="90"/>
      <c r="W1015" s="90"/>
      <c r="X1015" s="90"/>
      <c r="Y1015" s="24"/>
      <c r="Z1015" s="24"/>
      <c r="AA1015" s="24"/>
      <c r="AB1015" s="24"/>
      <c r="AC1015" s="24"/>
      <c r="AD1015" s="24"/>
      <c r="AE1015" s="24"/>
      <c r="AF1015" s="24"/>
      <c r="AG1015" s="24"/>
      <c r="AH1015" s="24"/>
      <c r="AI1015" s="24"/>
      <c r="AJ1015" s="24"/>
      <c r="AK1015" s="24"/>
    </row>
    <row r="1016" spans="1:37" x14ac:dyDescent="0.25">
      <c r="A1016" s="24"/>
      <c r="B1016" s="90"/>
      <c r="C1016" s="92"/>
      <c r="D1016" s="24"/>
      <c r="E1016" s="90"/>
      <c r="F1016" s="90"/>
      <c r="G1016" s="24"/>
      <c r="H1016" s="90"/>
      <c r="I1016" s="24"/>
      <c r="J1016" s="90"/>
      <c r="K1016" s="90"/>
      <c r="L1016" s="24"/>
      <c r="M1016" s="24"/>
      <c r="N1016" s="24"/>
      <c r="O1016" s="90"/>
      <c r="P1016" s="24"/>
      <c r="Q1016" s="24"/>
      <c r="R1016" s="24"/>
      <c r="S1016" s="90"/>
      <c r="T1016" s="90"/>
      <c r="U1016" s="24"/>
      <c r="V1016" s="90"/>
      <c r="W1016" s="90"/>
      <c r="X1016" s="90"/>
      <c r="Y1016" s="24"/>
      <c r="Z1016" s="24"/>
      <c r="AA1016" s="24"/>
      <c r="AB1016" s="24"/>
      <c r="AC1016" s="24"/>
      <c r="AD1016" s="24"/>
      <c r="AE1016" s="24"/>
      <c r="AF1016" s="24"/>
      <c r="AG1016" s="24"/>
      <c r="AH1016" s="24"/>
      <c r="AI1016" s="24"/>
      <c r="AJ1016" s="24"/>
      <c r="AK1016" s="24"/>
    </row>
    <row r="1017" spans="1:37" x14ac:dyDescent="0.25">
      <c r="A1017" s="24"/>
      <c r="B1017" s="90"/>
      <c r="C1017" s="92"/>
      <c r="D1017" s="24"/>
      <c r="E1017" s="90"/>
      <c r="F1017" s="90"/>
      <c r="G1017" s="24"/>
      <c r="H1017" s="90"/>
      <c r="I1017" s="24"/>
      <c r="J1017" s="90"/>
      <c r="K1017" s="90"/>
      <c r="L1017" s="24"/>
      <c r="M1017" s="24"/>
      <c r="N1017" s="24"/>
      <c r="O1017" s="90"/>
      <c r="P1017" s="24"/>
      <c r="Q1017" s="24"/>
      <c r="R1017" s="24"/>
      <c r="S1017" s="90"/>
      <c r="T1017" s="90"/>
      <c r="U1017" s="24"/>
      <c r="V1017" s="90"/>
      <c r="W1017" s="90"/>
      <c r="X1017" s="90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</row>
    <row r="1018" spans="1:37" x14ac:dyDescent="0.25">
      <c r="A1018" s="24"/>
      <c r="B1018" s="90"/>
      <c r="C1018" s="92"/>
      <c r="D1018" s="24"/>
      <c r="E1018" s="90"/>
      <c r="F1018" s="90"/>
      <c r="G1018" s="24"/>
      <c r="H1018" s="90"/>
      <c r="I1018" s="24"/>
      <c r="J1018" s="90"/>
      <c r="K1018" s="90"/>
      <c r="L1018" s="24"/>
      <c r="M1018" s="24"/>
      <c r="N1018" s="24"/>
      <c r="O1018" s="90"/>
      <c r="P1018" s="24"/>
      <c r="Q1018" s="24"/>
      <c r="R1018" s="24"/>
      <c r="S1018" s="90"/>
      <c r="T1018" s="90"/>
      <c r="U1018" s="24"/>
      <c r="V1018" s="90"/>
      <c r="W1018" s="90"/>
      <c r="X1018" s="90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</row>
    <row r="1019" spans="1:37" x14ac:dyDescent="0.25">
      <c r="A1019" s="24"/>
      <c r="B1019" s="90"/>
      <c r="C1019" s="92"/>
      <c r="D1019" s="24"/>
      <c r="E1019" s="90"/>
      <c r="F1019" s="90"/>
      <c r="G1019" s="24"/>
      <c r="H1019" s="90"/>
      <c r="I1019" s="24"/>
      <c r="J1019" s="90"/>
      <c r="K1019" s="90"/>
      <c r="L1019" s="24"/>
      <c r="M1019" s="24"/>
      <c r="N1019" s="24"/>
      <c r="O1019" s="90"/>
      <c r="P1019" s="24"/>
      <c r="Q1019" s="24"/>
      <c r="R1019" s="24"/>
      <c r="S1019" s="90"/>
      <c r="T1019" s="90"/>
      <c r="U1019" s="24"/>
      <c r="V1019" s="90"/>
      <c r="W1019" s="90"/>
      <c r="X1019" s="90"/>
      <c r="Y1019" s="24"/>
      <c r="Z1019" s="24"/>
      <c r="AA1019" s="24"/>
      <c r="AB1019" s="24"/>
      <c r="AC1019" s="24"/>
      <c r="AD1019" s="24"/>
      <c r="AE1019" s="24"/>
      <c r="AF1019" s="24"/>
      <c r="AG1019" s="24"/>
      <c r="AH1019" s="24"/>
      <c r="AI1019" s="24"/>
      <c r="AJ1019" s="24"/>
      <c r="AK1019" s="24"/>
    </row>
    <row r="1020" spans="1:37" x14ac:dyDescent="0.25">
      <c r="A1020" s="24"/>
      <c r="B1020" s="90"/>
      <c r="C1020" s="92"/>
      <c r="D1020" s="24"/>
      <c r="E1020" s="90"/>
      <c r="F1020" s="90"/>
      <c r="G1020" s="24"/>
      <c r="H1020" s="90"/>
      <c r="I1020" s="24"/>
      <c r="J1020" s="90"/>
      <c r="K1020" s="90"/>
      <c r="L1020" s="24"/>
      <c r="M1020" s="24"/>
      <c r="N1020" s="24"/>
      <c r="O1020" s="90"/>
      <c r="P1020" s="24"/>
      <c r="Q1020" s="24"/>
      <c r="R1020" s="24"/>
      <c r="S1020" s="90"/>
      <c r="T1020" s="90"/>
      <c r="U1020" s="24"/>
      <c r="V1020" s="90"/>
      <c r="W1020" s="90"/>
      <c r="X1020" s="90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</row>
    <row r="1021" spans="1:37" x14ac:dyDescent="0.25">
      <c r="A1021" s="24"/>
      <c r="B1021" s="90"/>
      <c r="C1021" s="92"/>
      <c r="D1021" s="24"/>
      <c r="E1021" s="90"/>
      <c r="F1021" s="90"/>
      <c r="G1021" s="24"/>
      <c r="H1021" s="90"/>
      <c r="I1021" s="24"/>
      <c r="J1021" s="90"/>
      <c r="K1021" s="90"/>
      <c r="L1021" s="24"/>
      <c r="M1021" s="24"/>
      <c r="N1021" s="24"/>
      <c r="O1021" s="90"/>
      <c r="P1021" s="24"/>
      <c r="Q1021" s="24"/>
      <c r="R1021" s="24"/>
      <c r="S1021" s="90"/>
      <c r="T1021" s="90"/>
      <c r="U1021" s="24"/>
      <c r="V1021" s="90"/>
      <c r="W1021" s="90"/>
      <c r="X1021" s="90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</row>
    <row r="1022" spans="1:37" x14ac:dyDescent="0.25">
      <c r="A1022" s="24"/>
      <c r="B1022" s="90"/>
      <c r="C1022" s="92"/>
      <c r="D1022" s="24"/>
      <c r="E1022" s="90"/>
      <c r="F1022" s="90"/>
      <c r="G1022" s="24"/>
      <c r="H1022" s="90"/>
      <c r="I1022" s="24"/>
      <c r="J1022" s="90"/>
      <c r="K1022" s="90"/>
      <c r="L1022" s="24"/>
      <c r="M1022" s="24"/>
      <c r="N1022" s="24"/>
      <c r="O1022" s="90"/>
      <c r="P1022" s="24"/>
      <c r="Q1022" s="24"/>
      <c r="R1022" s="24"/>
      <c r="S1022" s="90"/>
      <c r="T1022" s="90"/>
      <c r="U1022" s="24"/>
      <c r="V1022" s="90"/>
      <c r="W1022" s="90"/>
      <c r="X1022" s="90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</row>
    <row r="1023" spans="1:37" x14ac:dyDescent="0.25">
      <c r="A1023" s="24"/>
      <c r="B1023" s="90"/>
      <c r="C1023" s="92"/>
      <c r="D1023" s="24"/>
      <c r="E1023" s="90"/>
      <c r="F1023" s="90"/>
      <c r="G1023" s="24"/>
      <c r="H1023" s="90"/>
      <c r="I1023" s="24"/>
      <c r="J1023" s="90"/>
      <c r="K1023" s="90"/>
      <c r="L1023" s="24"/>
      <c r="M1023" s="24"/>
      <c r="N1023" s="24"/>
      <c r="O1023" s="90"/>
      <c r="P1023" s="24"/>
      <c r="Q1023" s="24"/>
      <c r="R1023" s="24"/>
      <c r="S1023" s="90"/>
      <c r="T1023" s="90"/>
      <c r="U1023" s="24"/>
      <c r="V1023" s="90"/>
      <c r="W1023" s="90"/>
      <c r="X1023" s="90"/>
      <c r="Y1023" s="24"/>
      <c r="Z1023" s="24"/>
      <c r="AA1023" s="24"/>
      <c r="AB1023" s="24"/>
      <c r="AC1023" s="24"/>
      <c r="AD1023" s="24"/>
      <c r="AE1023" s="24"/>
      <c r="AF1023" s="24"/>
      <c r="AG1023" s="24"/>
      <c r="AH1023" s="24"/>
      <c r="AI1023" s="24"/>
      <c r="AJ1023" s="24"/>
      <c r="AK1023" s="24"/>
    </row>
    <row r="1024" spans="1:37" x14ac:dyDescent="0.25">
      <c r="A1024" s="24"/>
      <c r="B1024" s="90"/>
      <c r="C1024" s="92"/>
      <c r="D1024" s="24"/>
      <c r="E1024" s="90"/>
      <c r="F1024" s="90"/>
      <c r="G1024" s="24"/>
      <c r="H1024" s="90"/>
      <c r="I1024" s="24"/>
      <c r="J1024" s="90"/>
      <c r="K1024" s="90"/>
      <c r="L1024" s="24"/>
      <c r="M1024" s="24"/>
      <c r="N1024" s="24"/>
      <c r="O1024" s="90"/>
      <c r="P1024" s="24"/>
      <c r="Q1024" s="24"/>
      <c r="R1024" s="24"/>
      <c r="S1024" s="90"/>
      <c r="T1024" s="90"/>
      <c r="U1024" s="24"/>
      <c r="V1024" s="90"/>
      <c r="W1024" s="90"/>
      <c r="X1024" s="90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  <c r="AJ1024" s="24"/>
      <c r="AK1024" s="24"/>
    </row>
    <row r="1025" spans="1:37" x14ac:dyDescent="0.25">
      <c r="A1025" s="24"/>
      <c r="B1025" s="90"/>
      <c r="C1025" s="92"/>
      <c r="D1025" s="24"/>
      <c r="E1025" s="90"/>
      <c r="F1025" s="90"/>
      <c r="G1025" s="24"/>
      <c r="H1025" s="90"/>
      <c r="I1025" s="24"/>
      <c r="J1025" s="90"/>
      <c r="K1025" s="90"/>
      <c r="L1025" s="24"/>
      <c r="M1025" s="24"/>
      <c r="N1025" s="24"/>
      <c r="O1025" s="90"/>
      <c r="P1025" s="24"/>
      <c r="Q1025" s="24"/>
      <c r="R1025" s="24"/>
      <c r="S1025" s="90"/>
      <c r="T1025" s="90"/>
      <c r="U1025" s="24"/>
      <c r="V1025" s="90"/>
      <c r="W1025" s="90"/>
      <c r="X1025" s="90"/>
      <c r="Y1025" s="24"/>
      <c r="Z1025" s="24"/>
      <c r="AA1025" s="24"/>
      <c r="AB1025" s="24"/>
      <c r="AC1025" s="24"/>
      <c r="AD1025" s="24"/>
      <c r="AE1025" s="24"/>
      <c r="AF1025" s="24"/>
      <c r="AG1025" s="24"/>
      <c r="AH1025" s="24"/>
      <c r="AI1025" s="24"/>
      <c r="AJ1025" s="24"/>
      <c r="AK1025" s="24"/>
    </row>
    <row r="1026" spans="1:37" x14ac:dyDescent="0.25">
      <c r="A1026" s="24"/>
      <c r="B1026" s="90"/>
      <c r="C1026" s="92"/>
      <c r="D1026" s="24"/>
      <c r="E1026" s="90"/>
      <c r="F1026" s="90"/>
      <c r="G1026" s="24"/>
      <c r="H1026" s="90"/>
      <c r="I1026" s="24"/>
      <c r="J1026" s="90"/>
      <c r="K1026" s="90"/>
      <c r="L1026" s="24"/>
      <c r="M1026" s="24"/>
      <c r="N1026" s="24"/>
      <c r="O1026" s="90"/>
      <c r="P1026" s="24"/>
      <c r="Q1026" s="24"/>
      <c r="R1026" s="24"/>
      <c r="S1026" s="90"/>
      <c r="T1026" s="90"/>
      <c r="U1026" s="24"/>
      <c r="V1026" s="90"/>
      <c r="W1026" s="90"/>
      <c r="X1026" s="90"/>
      <c r="Y1026" s="24"/>
      <c r="Z1026" s="24"/>
      <c r="AA1026" s="24"/>
      <c r="AB1026" s="24"/>
      <c r="AC1026" s="24"/>
      <c r="AD1026" s="24"/>
      <c r="AE1026" s="24"/>
      <c r="AF1026" s="24"/>
      <c r="AG1026" s="24"/>
      <c r="AH1026" s="24"/>
      <c r="AI1026" s="24"/>
      <c r="AJ1026" s="24"/>
      <c r="AK1026" s="24"/>
    </row>
    <row r="1027" spans="1:37" x14ac:dyDescent="0.25">
      <c r="A1027" s="24"/>
      <c r="B1027" s="90"/>
      <c r="C1027" s="92"/>
      <c r="D1027" s="24"/>
      <c r="E1027" s="90"/>
      <c r="F1027" s="90"/>
      <c r="G1027" s="24"/>
      <c r="H1027" s="90"/>
      <c r="I1027" s="24"/>
      <c r="J1027" s="90"/>
      <c r="K1027" s="90"/>
      <c r="L1027" s="24"/>
      <c r="M1027" s="24"/>
      <c r="N1027" s="24"/>
      <c r="O1027" s="90"/>
      <c r="P1027" s="24"/>
      <c r="Q1027" s="24"/>
      <c r="R1027" s="24"/>
      <c r="S1027" s="90"/>
      <c r="T1027" s="90"/>
      <c r="U1027" s="24"/>
      <c r="V1027" s="90"/>
      <c r="W1027" s="90"/>
      <c r="X1027" s="90"/>
      <c r="Y1027" s="24"/>
      <c r="Z1027" s="24"/>
      <c r="AA1027" s="24"/>
      <c r="AB1027" s="24"/>
      <c r="AC1027" s="24"/>
      <c r="AD1027" s="24"/>
      <c r="AE1027" s="24"/>
      <c r="AF1027" s="24"/>
      <c r="AG1027" s="24"/>
      <c r="AH1027" s="24"/>
      <c r="AI1027" s="24"/>
      <c r="AJ1027" s="24"/>
      <c r="AK1027" s="24"/>
    </row>
    <row r="1028" spans="1:37" x14ac:dyDescent="0.25">
      <c r="A1028" s="24"/>
      <c r="B1028" s="90"/>
      <c r="C1028" s="92"/>
      <c r="D1028" s="24"/>
      <c r="E1028" s="90"/>
      <c r="F1028" s="90"/>
      <c r="G1028" s="24"/>
      <c r="H1028" s="90"/>
      <c r="I1028" s="24"/>
      <c r="J1028" s="90"/>
      <c r="K1028" s="90"/>
      <c r="L1028" s="24"/>
      <c r="M1028" s="24"/>
      <c r="N1028" s="24"/>
      <c r="O1028" s="90"/>
      <c r="P1028" s="24"/>
      <c r="Q1028" s="24"/>
      <c r="R1028" s="24"/>
      <c r="S1028" s="90"/>
      <c r="T1028" s="90"/>
      <c r="U1028" s="24"/>
      <c r="V1028" s="90"/>
      <c r="W1028" s="90"/>
      <c r="X1028" s="90"/>
      <c r="Y1028" s="24"/>
      <c r="Z1028" s="24"/>
      <c r="AA1028" s="24"/>
      <c r="AB1028" s="24"/>
      <c r="AC1028" s="24"/>
      <c r="AD1028" s="24"/>
      <c r="AE1028" s="24"/>
      <c r="AF1028" s="24"/>
      <c r="AG1028" s="24"/>
      <c r="AH1028" s="24"/>
      <c r="AI1028" s="24"/>
      <c r="AJ1028" s="24"/>
      <c r="AK1028" s="24"/>
    </row>
    <row r="1029" spans="1:37" x14ac:dyDescent="0.25">
      <c r="A1029" s="24"/>
      <c r="B1029" s="90"/>
      <c r="C1029" s="92"/>
      <c r="D1029" s="24"/>
      <c r="E1029" s="90"/>
      <c r="F1029" s="90"/>
      <c r="G1029" s="24"/>
      <c r="H1029" s="90"/>
      <c r="I1029" s="24"/>
      <c r="J1029" s="90"/>
      <c r="K1029" s="90"/>
      <c r="L1029" s="24"/>
      <c r="M1029" s="24"/>
      <c r="N1029" s="24"/>
      <c r="O1029" s="90"/>
      <c r="P1029" s="24"/>
      <c r="Q1029" s="24"/>
      <c r="R1029" s="24"/>
      <c r="S1029" s="90"/>
      <c r="T1029" s="90"/>
      <c r="U1029" s="24"/>
      <c r="V1029" s="90"/>
      <c r="W1029" s="90"/>
      <c r="X1029" s="90"/>
      <c r="Y1029" s="24"/>
      <c r="Z1029" s="24"/>
      <c r="AA1029" s="24"/>
      <c r="AB1029" s="24"/>
      <c r="AC1029" s="24"/>
      <c r="AD1029" s="24"/>
      <c r="AE1029" s="24"/>
      <c r="AF1029" s="24"/>
      <c r="AG1029" s="24"/>
      <c r="AH1029" s="24"/>
      <c r="AI1029" s="24"/>
      <c r="AJ1029" s="24"/>
      <c r="AK1029" s="24"/>
    </row>
    <row r="1030" spans="1:37" x14ac:dyDescent="0.25">
      <c r="A1030" s="24"/>
      <c r="B1030" s="90"/>
      <c r="C1030" s="92"/>
      <c r="D1030" s="24"/>
      <c r="E1030" s="90"/>
      <c r="F1030" s="90"/>
      <c r="G1030" s="24"/>
      <c r="H1030" s="90"/>
      <c r="I1030" s="24"/>
      <c r="J1030" s="90"/>
      <c r="K1030" s="90"/>
      <c r="L1030" s="24"/>
      <c r="M1030" s="24"/>
      <c r="N1030" s="24"/>
      <c r="O1030" s="90"/>
      <c r="P1030" s="24"/>
      <c r="Q1030" s="24"/>
      <c r="R1030" s="24"/>
      <c r="S1030" s="90"/>
      <c r="T1030" s="90"/>
      <c r="U1030" s="24"/>
      <c r="V1030" s="90"/>
      <c r="W1030" s="90"/>
      <c r="X1030" s="90"/>
      <c r="Y1030" s="24"/>
      <c r="Z1030" s="24"/>
      <c r="AA1030" s="24"/>
      <c r="AB1030" s="24"/>
      <c r="AC1030" s="24"/>
      <c r="AD1030" s="24"/>
      <c r="AE1030" s="24"/>
      <c r="AF1030" s="24"/>
      <c r="AG1030" s="24"/>
      <c r="AH1030" s="24"/>
      <c r="AI1030" s="24"/>
      <c r="AJ1030" s="24"/>
      <c r="AK1030" s="24"/>
    </row>
    <row r="1031" spans="1:37" x14ac:dyDescent="0.25">
      <c r="A1031" s="24"/>
      <c r="B1031" s="90"/>
      <c r="C1031" s="92"/>
      <c r="D1031" s="24"/>
      <c r="E1031" s="90"/>
      <c r="F1031" s="90"/>
      <c r="G1031" s="24"/>
      <c r="H1031" s="90"/>
      <c r="I1031" s="24"/>
      <c r="J1031" s="90"/>
      <c r="K1031" s="90"/>
      <c r="L1031" s="24"/>
      <c r="M1031" s="24"/>
      <c r="N1031" s="24"/>
      <c r="O1031" s="90"/>
      <c r="P1031" s="24"/>
      <c r="Q1031" s="24"/>
      <c r="R1031" s="24"/>
      <c r="S1031" s="90"/>
      <c r="T1031" s="90"/>
      <c r="U1031" s="24"/>
      <c r="V1031" s="90"/>
      <c r="W1031" s="90"/>
      <c r="X1031" s="90"/>
      <c r="Y1031" s="24"/>
      <c r="Z1031" s="24"/>
      <c r="AA1031" s="24"/>
      <c r="AB1031" s="24"/>
      <c r="AC1031" s="24"/>
      <c r="AD1031" s="24"/>
      <c r="AE1031" s="24"/>
      <c r="AF1031" s="24"/>
      <c r="AG1031" s="24"/>
      <c r="AH1031" s="24"/>
      <c r="AI1031" s="24"/>
      <c r="AJ1031" s="24"/>
      <c r="AK1031" s="24"/>
    </row>
    <row r="1032" spans="1:37" x14ac:dyDescent="0.25">
      <c r="A1032" s="24"/>
      <c r="B1032" s="90"/>
      <c r="C1032" s="92"/>
      <c r="D1032" s="24"/>
      <c r="E1032" s="90"/>
      <c r="F1032" s="90"/>
      <c r="G1032" s="24"/>
      <c r="H1032" s="90"/>
      <c r="I1032" s="24"/>
      <c r="J1032" s="90"/>
      <c r="K1032" s="90"/>
      <c r="L1032" s="24"/>
      <c r="M1032" s="24"/>
      <c r="N1032" s="24"/>
      <c r="O1032" s="90"/>
      <c r="P1032" s="24"/>
      <c r="Q1032" s="24"/>
      <c r="R1032" s="24"/>
      <c r="S1032" s="90"/>
      <c r="T1032" s="90"/>
      <c r="U1032" s="24"/>
      <c r="V1032" s="90"/>
      <c r="W1032" s="90"/>
      <c r="X1032" s="90"/>
      <c r="Y1032" s="24"/>
      <c r="Z1032" s="24"/>
      <c r="AA1032" s="24"/>
      <c r="AB1032" s="24"/>
      <c r="AC1032" s="24"/>
      <c r="AD1032" s="24"/>
      <c r="AE1032" s="24"/>
      <c r="AF1032" s="24"/>
      <c r="AG1032" s="24"/>
      <c r="AH1032" s="24"/>
      <c r="AI1032" s="24"/>
      <c r="AJ1032" s="24"/>
      <c r="AK1032" s="24"/>
    </row>
    <row r="1033" spans="1:37" x14ac:dyDescent="0.25">
      <c r="A1033" s="24"/>
      <c r="B1033" s="90"/>
      <c r="C1033" s="92"/>
      <c r="D1033" s="24"/>
      <c r="E1033" s="90"/>
      <c r="F1033" s="90"/>
      <c r="G1033" s="24"/>
      <c r="H1033" s="90"/>
      <c r="I1033" s="24"/>
      <c r="J1033" s="90"/>
      <c r="K1033" s="90"/>
      <c r="L1033" s="24"/>
      <c r="M1033" s="24"/>
      <c r="N1033" s="24"/>
      <c r="O1033" s="90"/>
      <c r="P1033" s="24"/>
      <c r="Q1033" s="24"/>
      <c r="R1033" s="24"/>
      <c r="S1033" s="90"/>
      <c r="T1033" s="90"/>
      <c r="U1033" s="24"/>
      <c r="V1033" s="90"/>
      <c r="W1033" s="90"/>
      <c r="X1033" s="90"/>
      <c r="Y1033" s="24"/>
      <c r="Z1033" s="24"/>
      <c r="AA1033" s="24"/>
      <c r="AB1033" s="24"/>
      <c r="AC1033" s="24"/>
      <c r="AD1033" s="24"/>
      <c r="AE1033" s="24"/>
      <c r="AF1033" s="24"/>
      <c r="AG1033" s="24"/>
      <c r="AH1033" s="24"/>
      <c r="AI1033" s="24"/>
      <c r="AJ1033" s="24"/>
      <c r="AK1033" s="24"/>
    </row>
    <row r="1034" spans="1:37" x14ac:dyDescent="0.25">
      <c r="A1034" s="24"/>
      <c r="B1034" s="90"/>
      <c r="C1034" s="92"/>
      <c r="D1034" s="24"/>
      <c r="E1034" s="90"/>
      <c r="F1034" s="90"/>
      <c r="G1034" s="24"/>
      <c r="H1034" s="90"/>
      <c r="I1034" s="24"/>
      <c r="J1034" s="90"/>
      <c r="K1034" s="90"/>
      <c r="L1034" s="24"/>
      <c r="M1034" s="24"/>
      <c r="N1034" s="24"/>
      <c r="O1034" s="90"/>
      <c r="P1034" s="24"/>
      <c r="Q1034" s="24"/>
      <c r="R1034" s="24"/>
      <c r="S1034" s="90"/>
      <c r="T1034" s="90"/>
      <c r="U1034" s="24"/>
      <c r="V1034" s="90"/>
      <c r="W1034" s="90"/>
      <c r="X1034" s="90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</row>
    <row r="1035" spans="1:37" x14ac:dyDescent="0.25">
      <c r="A1035" s="24"/>
      <c r="B1035" s="90"/>
      <c r="C1035" s="92"/>
      <c r="D1035" s="24"/>
      <c r="E1035" s="90"/>
      <c r="F1035" s="90"/>
      <c r="G1035" s="24"/>
      <c r="H1035" s="90"/>
      <c r="I1035" s="24"/>
      <c r="J1035" s="90"/>
      <c r="K1035" s="90"/>
      <c r="L1035" s="24"/>
      <c r="M1035" s="24"/>
      <c r="N1035" s="24"/>
      <c r="O1035" s="90"/>
      <c r="P1035" s="24"/>
      <c r="Q1035" s="24"/>
      <c r="R1035" s="24"/>
      <c r="S1035" s="90"/>
      <c r="T1035" s="90"/>
      <c r="U1035" s="24"/>
      <c r="V1035" s="90"/>
      <c r="W1035" s="90"/>
      <c r="X1035" s="90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</row>
    <row r="1036" spans="1:37" x14ac:dyDescent="0.25">
      <c r="A1036" s="24"/>
      <c r="B1036" s="90"/>
      <c r="C1036" s="92"/>
      <c r="D1036" s="24"/>
      <c r="E1036" s="90"/>
      <c r="F1036" s="90"/>
      <c r="G1036" s="24"/>
      <c r="H1036" s="90"/>
      <c r="I1036" s="24"/>
      <c r="J1036" s="90"/>
      <c r="K1036" s="90"/>
      <c r="L1036" s="24"/>
      <c r="M1036" s="24"/>
      <c r="N1036" s="24"/>
      <c r="O1036" s="90"/>
      <c r="P1036" s="24"/>
      <c r="Q1036" s="24"/>
      <c r="R1036" s="24"/>
      <c r="S1036" s="90"/>
      <c r="T1036" s="90"/>
      <c r="U1036" s="24"/>
      <c r="V1036" s="90"/>
      <c r="W1036" s="90"/>
      <c r="X1036" s="90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</row>
    <row r="1037" spans="1:37" x14ac:dyDescent="0.25">
      <c r="A1037" s="24"/>
      <c r="B1037" s="90"/>
      <c r="C1037" s="92"/>
      <c r="D1037" s="24"/>
      <c r="E1037" s="90"/>
      <c r="F1037" s="90"/>
      <c r="G1037" s="24"/>
      <c r="H1037" s="90"/>
      <c r="I1037" s="24"/>
      <c r="J1037" s="90"/>
      <c r="K1037" s="90"/>
      <c r="L1037" s="24"/>
      <c r="M1037" s="24"/>
      <c r="N1037" s="24"/>
      <c r="O1037" s="90"/>
      <c r="P1037" s="24"/>
      <c r="Q1037" s="24"/>
      <c r="R1037" s="24"/>
      <c r="S1037" s="90"/>
      <c r="T1037" s="90"/>
      <c r="U1037" s="24"/>
      <c r="V1037" s="90"/>
      <c r="W1037" s="90"/>
      <c r="X1037" s="90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</row>
    <row r="1038" spans="1:37" x14ac:dyDescent="0.25">
      <c r="A1038" s="24"/>
      <c r="B1038" s="90"/>
      <c r="C1038" s="92"/>
      <c r="D1038" s="24"/>
      <c r="E1038" s="90"/>
      <c r="F1038" s="90"/>
      <c r="G1038" s="24"/>
      <c r="H1038" s="90"/>
      <c r="I1038" s="24"/>
      <c r="J1038" s="90"/>
      <c r="K1038" s="90"/>
      <c r="L1038" s="24"/>
      <c r="M1038" s="24"/>
      <c r="N1038" s="24"/>
      <c r="O1038" s="90"/>
      <c r="P1038" s="24"/>
      <c r="Q1038" s="24"/>
      <c r="R1038" s="24"/>
      <c r="S1038" s="90"/>
      <c r="T1038" s="90"/>
      <c r="U1038" s="24"/>
      <c r="V1038" s="90"/>
      <c r="W1038" s="90"/>
      <c r="X1038" s="90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</row>
    <row r="1039" spans="1:37" x14ac:dyDescent="0.25">
      <c r="A1039" s="24"/>
      <c r="B1039" s="90"/>
      <c r="C1039" s="92"/>
      <c r="D1039" s="24"/>
      <c r="E1039" s="90"/>
      <c r="F1039" s="90"/>
      <c r="G1039" s="24"/>
      <c r="H1039" s="90"/>
      <c r="I1039" s="24"/>
      <c r="J1039" s="90"/>
      <c r="K1039" s="90"/>
      <c r="L1039" s="24"/>
      <c r="M1039" s="24"/>
      <c r="N1039" s="24"/>
      <c r="O1039" s="90"/>
      <c r="P1039" s="24"/>
      <c r="Q1039" s="24"/>
      <c r="R1039" s="24"/>
      <c r="S1039" s="90"/>
      <c r="T1039" s="90"/>
      <c r="U1039" s="24"/>
      <c r="V1039" s="90"/>
      <c r="W1039" s="90"/>
      <c r="X1039" s="90"/>
      <c r="Y1039" s="24"/>
      <c r="Z1039" s="24"/>
      <c r="AA1039" s="24"/>
      <c r="AB1039" s="24"/>
      <c r="AC1039" s="24"/>
      <c r="AD1039" s="24"/>
      <c r="AE1039" s="24"/>
      <c r="AF1039" s="24"/>
      <c r="AG1039" s="24"/>
      <c r="AH1039" s="24"/>
      <c r="AI1039" s="24"/>
      <c r="AJ1039" s="24"/>
      <c r="AK1039" s="24"/>
    </row>
    <row r="1040" spans="1:37" x14ac:dyDescent="0.25">
      <c r="A1040" s="24"/>
      <c r="B1040" s="90"/>
      <c r="C1040" s="92"/>
      <c r="D1040" s="24"/>
      <c r="E1040" s="90"/>
      <c r="F1040" s="90"/>
      <c r="G1040" s="24"/>
      <c r="H1040" s="90"/>
      <c r="I1040" s="24"/>
      <c r="J1040" s="90"/>
      <c r="K1040" s="90"/>
      <c r="L1040" s="24"/>
      <c r="M1040" s="24"/>
      <c r="N1040" s="24"/>
      <c r="O1040" s="90"/>
      <c r="P1040" s="24"/>
      <c r="Q1040" s="24"/>
      <c r="R1040" s="24"/>
      <c r="S1040" s="90"/>
      <c r="T1040" s="90"/>
      <c r="U1040" s="24"/>
      <c r="V1040" s="90"/>
      <c r="W1040" s="90"/>
      <c r="X1040" s="90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4"/>
      <c r="AI1040" s="24"/>
      <c r="AJ1040" s="24"/>
      <c r="AK1040" s="24"/>
    </row>
    <row r="1041" spans="1:37" x14ac:dyDescent="0.25">
      <c r="A1041" s="24"/>
      <c r="B1041" s="90"/>
      <c r="C1041" s="92"/>
      <c r="D1041" s="24"/>
      <c r="E1041" s="90"/>
      <c r="F1041" s="90"/>
      <c r="G1041" s="24"/>
      <c r="H1041" s="90"/>
      <c r="I1041" s="24"/>
      <c r="J1041" s="90"/>
      <c r="K1041" s="90"/>
      <c r="L1041" s="24"/>
      <c r="M1041" s="24"/>
      <c r="N1041" s="24"/>
      <c r="O1041" s="90"/>
      <c r="P1041" s="24"/>
      <c r="Q1041" s="24"/>
      <c r="R1041" s="24"/>
      <c r="S1041" s="90"/>
      <c r="T1041" s="90"/>
      <c r="U1041" s="24"/>
      <c r="V1041" s="90"/>
      <c r="W1041" s="90"/>
      <c r="X1041" s="90"/>
      <c r="Y1041" s="24"/>
      <c r="Z1041" s="24"/>
      <c r="AA1041" s="24"/>
      <c r="AB1041" s="24"/>
      <c r="AC1041" s="24"/>
      <c r="AD1041" s="24"/>
      <c r="AE1041" s="24"/>
      <c r="AF1041" s="24"/>
      <c r="AG1041" s="24"/>
      <c r="AH1041" s="24"/>
      <c r="AI1041" s="24"/>
      <c r="AJ1041" s="24"/>
      <c r="AK1041" s="24"/>
    </row>
    <row r="1042" spans="1:37" x14ac:dyDescent="0.25">
      <c r="A1042" s="24"/>
      <c r="B1042" s="90"/>
      <c r="C1042" s="92"/>
      <c r="D1042" s="24"/>
      <c r="E1042" s="90"/>
      <c r="F1042" s="90"/>
      <c r="G1042" s="24"/>
      <c r="H1042" s="90"/>
      <c r="I1042" s="24"/>
      <c r="J1042" s="90"/>
      <c r="K1042" s="90"/>
      <c r="L1042" s="24"/>
      <c r="M1042" s="24"/>
      <c r="N1042" s="24"/>
      <c r="O1042" s="90"/>
      <c r="P1042" s="24"/>
      <c r="Q1042" s="24"/>
      <c r="R1042" s="24"/>
      <c r="S1042" s="90"/>
      <c r="T1042" s="90"/>
      <c r="U1042" s="24"/>
      <c r="V1042" s="90"/>
      <c r="W1042" s="90"/>
      <c r="X1042" s="90"/>
      <c r="Y1042" s="24"/>
      <c r="Z1042" s="24"/>
      <c r="AA1042" s="24"/>
      <c r="AB1042" s="24"/>
      <c r="AC1042" s="24"/>
      <c r="AD1042" s="24"/>
      <c r="AE1042" s="24"/>
      <c r="AF1042" s="24"/>
      <c r="AG1042" s="24"/>
      <c r="AH1042" s="24"/>
      <c r="AI1042" s="24"/>
      <c r="AJ1042" s="24"/>
      <c r="AK1042" s="24"/>
    </row>
    <row r="1043" spans="1:37" x14ac:dyDescent="0.25">
      <c r="A1043" s="24"/>
      <c r="B1043" s="90"/>
      <c r="C1043" s="92"/>
      <c r="D1043" s="24"/>
      <c r="E1043" s="90"/>
      <c r="F1043" s="90"/>
      <c r="G1043" s="24"/>
      <c r="H1043" s="90"/>
      <c r="I1043" s="24"/>
      <c r="J1043" s="90"/>
      <c r="K1043" s="90"/>
      <c r="L1043" s="24"/>
      <c r="M1043" s="24"/>
      <c r="N1043" s="24"/>
      <c r="O1043" s="90"/>
      <c r="P1043" s="24"/>
      <c r="Q1043" s="24"/>
      <c r="R1043" s="24"/>
      <c r="S1043" s="90"/>
      <c r="T1043" s="90"/>
      <c r="U1043" s="24"/>
      <c r="V1043" s="90"/>
      <c r="W1043" s="90"/>
      <c r="X1043" s="90"/>
      <c r="Y1043" s="24"/>
      <c r="Z1043" s="24"/>
      <c r="AA1043" s="24"/>
      <c r="AB1043" s="24"/>
      <c r="AC1043" s="24"/>
      <c r="AD1043" s="24"/>
      <c r="AE1043" s="24"/>
      <c r="AF1043" s="24"/>
      <c r="AG1043" s="24"/>
      <c r="AH1043" s="24"/>
      <c r="AI1043" s="24"/>
      <c r="AJ1043" s="24"/>
      <c r="AK1043" s="24"/>
    </row>
    <row r="1044" spans="1:37" x14ac:dyDescent="0.25">
      <c r="A1044" s="24"/>
      <c r="B1044" s="90"/>
      <c r="C1044" s="92"/>
      <c r="D1044" s="24"/>
      <c r="E1044" s="90"/>
      <c r="F1044" s="90"/>
      <c r="G1044" s="24"/>
      <c r="H1044" s="90"/>
      <c r="I1044" s="24"/>
      <c r="J1044" s="90"/>
      <c r="K1044" s="90"/>
      <c r="L1044" s="24"/>
      <c r="M1044" s="24"/>
      <c r="N1044" s="24"/>
      <c r="O1044" s="90"/>
      <c r="P1044" s="24"/>
      <c r="Q1044" s="24"/>
      <c r="R1044" s="24"/>
      <c r="S1044" s="90"/>
      <c r="T1044" s="90"/>
      <c r="U1044" s="24"/>
      <c r="V1044" s="90"/>
      <c r="W1044" s="90"/>
      <c r="X1044" s="90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</row>
    <row r="1045" spans="1:37" x14ac:dyDescent="0.25">
      <c r="A1045" s="24"/>
      <c r="B1045" s="90"/>
      <c r="C1045" s="92"/>
      <c r="D1045" s="24"/>
      <c r="E1045" s="90"/>
      <c r="F1045" s="90"/>
      <c r="G1045" s="24"/>
      <c r="H1045" s="90"/>
      <c r="I1045" s="24"/>
      <c r="J1045" s="90"/>
      <c r="K1045" s="90"/>
      <c r="L1045" s="24"/>
      <c r="M1045" s="24"/>
      <c r="N1045" s="24"/>
      <c r="O1045" s="90"/>
      <c r="P1045" s="24"/>
      <c r="Q1045" s="24"/>
      <c r="R1045" s="24"/>
      <c r="S1045" s="90"/>
      <c r="T1045" s="90"/>
      <c r="U1045" s="24"/>
      <c r="V1045" s="90"/>
      <c r="W1045" s="90"/>
      <c r="X1045" s="90"/>
      <c r="Y1045" s="24"/>
      <c r="Z1045" s="24"/>
      <c r="AA1045" s="24"/>
      <c r="AB1045" s="24"/>
      <c r="AC1045" s="24"/>
      <c r="AD1045" s="24"/>
      <c r="AE1045" s="24"/>
      <c r="AF1045" s="24"/>
      <c r="AG1045" s="24"/>
      <c r="AH1045" s="24"/>
      <c r="AI1045" s="24"/>
      <c r="AJ1045" s="24"/>
      <c r="AK1045" s="24"/>
    </row>
    <row r="1046" spans="1:37" x14ac:dyDescent="0.25">
      <c r="A1046" s="24"/>
      <c r="B1046" s="90"/>
      <c r="C1046" s="92"/>
      <c r="D1046" s="24"/>
      <c r="E1046" s="90"/>
      <c r="F1046" s="90"/>
      <c r="G1046" s="24"/>
      <c r="H1046" s="90"/>
      <c r="I1046" s="24"/>
      <c r="J1046" s="90"/>
      <c r="K1046" s="90"/>
      <c r="L1046" s="24"/>
      <c r="M1046" s="24"/>
      <c r="N1046" s="24"/>
      <c r="O1046" s="90"/>
      <c r="P1046" s="24"/>
      <c r="Q1046" s="24"/>
      <c r="R1046" s="24"/>
      <c r="S1046" s="90"/>
      <c r="T1046" s="90"/>
      <c r="U1046" s="24"/>
      <c r="V1046" s="90"/>
      <c r="W1046" s="90"/>
      <c r="X1046" s="90"/>
      <c r="Y1046" s="24"/>
      <c r="Z1046" s="24"/>
      <c r="AA1046" s="24"/>
      <c r="AB1046" s="24"/>
      <c r="AC1046" s="24"/>
      <c r="AD1046" s="24"/>
      <c r="AE1046" s="24"/>
      <c r="AF1046" s="24"/>
      <c r="AG1046" s="24"/>
      <c r="AH1046" s="24"/>
      <c r="AI1046" s="24"/>
      <c r="AJ1046" s="24"/>
      <c r="AK1046" s="24"/>
    </row>
    <row r="1047" spans="1:37" x14ac:dyDescent="0.25">
      <c r="A1047" s="24"/>
      <c r="B1047" s="90"/>
      <c r="C1047" s="92"/>
      <c r="D1047" s="24"/>
      <c r="E1047" s="90"/>
      <c r="F1047" s="90"/>
      <c r="G1047" s="24"/>
      <c r="H1047" s="90"/>
      <c r="I1047" s="24"/>
      <c r="J1047" s="90"/>
      <c r="K1047" s="90"/>
      <c r="L1047" s="24"/>
      <c r="M1047" s="24"/>
      <c r="N1047" s="24"/>
      <c r="O1047" s="90"/>
      <c r="P1047" s="24"/>
      <c r="Q1047" s="24"/>
      <c r="R1047" s="24"/>
      <c r="S1047" s="90"/>
      <c r="T1047" s="90"/>
      <c r="U1047" s="24"/>
      <c r="V1047" s="90"/>
      <c r="W1047" s="90"/>
      <c r="X1047" s="90"/>
      <c r="Y1047" s="24"/>
      <c r="Z1047" s="24"/>
      <c r="AA1047" s="24"/>
      <c r="AB1047" s="24"/>
      <c r="AC1047" s="24"/>
      <c r="AD1047" s="24"/>
      <c r="AE1047" s="24"/>
      <c r="AF1047" s="24"/>
      <c r="AG1047" s="24"/>
      <c r="AH1047" s="24"/>
      <c r="AI1047" s="24"/>
      <c r="AJ1047" s="24"/>
      <c r="AK1047" s="24"/>
    </row>
    <row r="1048" spans="1:37" x14ac:dyDescent="0.25">
      <c r="A1048" s="24"/>
      <c r="B1048" s="90"/>
      <c r="C1048" s="92"/>
      <c r="D1048" s="24"/>
      <c r="E1048" s="90"/>
      <c r="F1048" s="90"/>
      <c r="G1048" s="24"/>
      <c r="H1048" s="90"/>
      <c r="I1048" s="24"/>
      <c r="J1048" s="90"/>
      <c r="K1048" s="90"/>
      <c r="L1048" s="24"/>
      <c r="M1048" s="24"/>
      <c r="N1048" s="24"/>
      <c r="O1048" s="90"/>
      <c r="P1048" s="24"/>
      <c r="Q1048" s="24"/>
      <c r="R1048" s="24"/>
      <c r="S1048" s="90"/>
      <c r="T1048" s="90"/>
      <c r="U1048" s="24"/>
      <c r="V1048" s="90"/>
      <c r="W1048" s="90"/>
      <c r="X1048" s="90"/>
      <c r="Y1048" s="24"/>
      <c r="Z1048" s="24"/>
      <c r="AA1048" s="24"/>
      <c r="AB1048" s="24"/>
      <c r="AC1048" s="24"/>
      <c r="AD1048" s="24"/>
      <c r="AE1048" s="24"/>
      <c r="AF1048" s="24"/>
      <c r="AG1048" s="24"/>
      <c r="AH1048" s="24"/>
      <c r="AI1048" s="24"/>
      <c r="AJ1048" s="24"/>
      <c r="AK1048" s="24"/>
    </row>
    <row r="1049" spans="1:37" x14ac:dyDescent="0.25">
      <c r="A1049" s="24"/>
      <c r="B1049" s="90"/>
      <c r="C1049" s="92"/>
      <c r="D1049" s="24"/>
      <c r="E1049" s="90"/>
      <c r="F1049" s="90"/>
      <c r="G1049" s="24"/>
      <c r="H1049" s="90"/>
      <c r="I1049" s="24"/>
      <c r="J1049" s="90"/>
      <c r="K1049" s="90"/>
      <c r="L1049" s="24"/>
      <c r="M1049" s="24"/>
      <c r="N1049" s="24"/>
      <c r="O1049" s="90"/>
      <c r="P1049" s="24"/>
      <c r="Q1049" s="24"/>
      <c r="R1049" s="24"/>
      <c r="S1049" s="90"/>
      <c r="T1049" s="90"/>
      <c r="U1049" s="24"/>
      <c r="V1049" s="90"/>
      <c r="W1049" s="90"/>
      <c r="X1049" s="90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</row>
    <row r="1050" spans="1:37" x14ac:dyDescent="0.25">
      <c r="A1050" s="24"/>
      <c r="B1050" s="90"/>
      <c r="C1050" s="92"/>
      <c r="D1050" s="24"/>
      <c r="E1050" s="90"/>
      <c r="F1050" s="90"/>
      <c r="G1050" s="24"/>
      <c r="H1050" s="90"/>
      <c r="I1050" s="24"/>
      <c r="J1050" s="90"/>
      <c r="K1050" s="90"/>
      <c r="L1050" s="24"/>
      <c r="M1050" s="24"/>
      <c r="N1050" s="24"/>
      <c r="O1050" s="90"/>
      <c r="P1050" s="24"/>
      <c r="Q1050" s="24"/>
      <c r="R1050" s="24"/>
      <c r="S1050" s="90"/>
      <c r="T1050" s="90"/>
      <c r="U1050" s="24"/>
      <c r="V1050" s="90"/>
      <c r="W1050" s="90"/>
      <c r="X1050" s="90"/>
      <c r="Y1050" s="24"/>
      <c r="Z1050" s="24"/>
      <c r="AA1050" s="24"/>
      <c r="AB1050" s="24"/>
      <c r="AC1050" s="24"/>
      <c r="AD1050" s="24"/>
      <c r="AE1050" s="24"/>
      <c r="AF1050" s="24"/>
      <c r="AG1050" s="24"/>
      <c r="AH1050" s="24"/>
      <c r="AI1050" s="24"/>
      <c r="AJ1050" s="24"/>
      <c r="AK1050" s="24"/>
    </row>
    <row r="1051" spans="1:37" x14ac:dyDescent="0.25">
      <c r="A1051" s="24"/>
      <c r="B1051" s="90"/>
      <c r="C1051" s="92"/>
      <c r="D1051" s="24"/>
      <c r="E1051" s="90"/>
      <c r="F1051" s="90"/>
      <c r="G1051" s="24"/>
      <c r="H1051" s="90"/>
      <c r="I1051" s="24"/>
      <c r="J1051" s="90"/>
      <c r="K1051" s="90"/>
      <c r="L1051" s="24"/>
      <c r="M1051" s="24"/>
      <c r="N1051" s="24"/>
      <c r="O1051" s="90"/>
      <c r="P1051" s="24"/>
      <c r="Q1051" s="24"/>
      <c r="R1051" s="24"/>
      <c r="S1051" s="90"/>
      <c r="T1051" s="90"/>
      <c r="U1051" s="24"/>
      <c r="V1051" s="90"/>
      <c r="W1051" s="90"/>
      <c r="X1051" s="90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</row>
    <row r="1052" spans="1:37" x14ac:dyDescent="0.25">
      <c r="A1052" s="24"/>
      <c r="B1052" s="90"/>
      <c r="C1052" s="92"/>
      <c r="D1052" s="24"/>
      <c r="E1052" s="90"/>
      <c r="F1052" s="90"/>
      <c r="G1052" s="24"/>
      <c r="H1052" s="90"/>
      <c r="I1052" s="24"/>
      <c r="J1052" s="90"/>
      <c r="K1052" s="90"/>
      <c r="L1052" s="24"/>
      <c r="M1052" s="24"/>
      <c r="N1052" s="24"/>
      <c r="O1052" s="90"/>
      <c r="P1052" s="24"/>
      <c r="Q1052" s="24"/>
      <c r="R1052" s="24"/>
      <c r="S1052" s="90"/>
      <c r="T1052" s="90"/>
      <c r="U1052" s="24"/>
      <c r="V1052" s="90"/>
      <c r="W1052" s="90"/>
      <c r="X1052" s="90"/>
      <c r="Y1052" s="24"/>
      <c r="Z1052" s="24"/>
      <c r="AA1052" s="24"/>
      <c r="AB1052" s="24"/>
      <c r="AC1052" s="24"/>
      <c r="AD1052" s="24"/>
      <c r="AE1052" s="24"/>
      <c r="AF1052" s="24"/>
      <c r="AG1052" s="24"/>
      <c r="AH1052" s="24"/>
      <c r="AI1052" s="24"/>
      <c r="AJ1052" s="24"/>
      <c r="AK1052" s="24"/>
    </row>
    <row r="1053" spans="1:37" x14ac:dyDescent="0.25">
      <c r="A1053" s="24"/>
      <c r="B1053" s="90"/>
      <c r="C1053" s="92"/>
      <c r="D1053" s="24"/>
      <c r="E1053" s="90"/>
      <c r="F1053" s="90"/>
      <c r="G1053" s="24"/>
      <c r="H1053" s="90"/>
      <c r="I1053" s="24"/>
      <c r="J1053" s="90"/>
      <c r="K1053" s="90"/>
      <c r="L1053" s="24"/>
      <c r="M1053" s="24"/>
      <c r="N1053" s="24"/>
      <c r="O1053" s="90"/>
      <c r="P1053" s="24"/>
      <c r="Q1053" s="24"/>
      <c r="R1053" s="24"/>
      <c r="S1053" s="90"/>
      <c r="T1053" s="90"/>
      <c r="U1053" s="24"/>
      <c r="V1053" s="90"/>
      <c r="W1053" s="90"/>
      <c r="X1053" s="90"/>
      <c r="Y1053" s="24"/>
      <c r="Z1053" s="24"/>
      <c r="AA1053" s="24"/>
      <c r="AB1053" s="24"/>
      <c r="AC1053" s="24"/>
      <c r="AD1053" s="24"/>
      <c r="AE1053" s="24"/>
      <c r="AF1053" s="24"/>
      <c r="AG1053" s="24"/>
      <c r="AH1053" s="24"/>
      <c r="AI1053" s="24"/>
      <c r="AJ1053" s="24"/>
      <c r="AK1053" s="24"/>
    </row>
    <row r="1054" spans="1:37" x14ac:dyDescent="0.25">
      <c r="A1054" s="24"/>
      <c r="B1054" s="90"/>
      <c r="C1054" s="92"/>
      <c r="D1054" s="24"/>
      <c r="E1054" s="90"/>
      <c r="F1054" s="90"/>
      <c r="G1054" s="24"/>
      <c r="H1054" s="90"/>
      <c r="I1054" s="24"/>
      <c r="J1054" s="90"/>
      <c r="K1054" s="90"/>
      <c r="L1054" s="24"/>
      <c r="M1054" s="24"/>
      <c r="N1054" s="24"/>
      <c r="O1054" s="90"/>
      <c r="P1054" s="24"/>
      <c r="Q1054" s="24"/>
      <c r="R1054" s="24"/>
      <c r="S1054" s="90"/>
      <c r="T1054" s="90"/>
      <c r="U1054" s="24"/>
      <c r="V1054" s="90"/>
      <c r="W1054" s="90"/>
      <c r="X1054" s="90"/>
      <c r="Y1054" s="24"/>
      <c r="Z1054" s="24"/>
      <c r="AA1054" s="24"/>
      <c r="AB1054" s="24"/>
      <c r="AC1054" s="24"/>
      <c r="AD1054" s="24"/>
      <c r="AE1054" s="24"/>
      <c r="AF1054" s="24"/>
      <c r="AG1054" s="24"/>
      <c r="AH1054" s="24"/>
      <c r="AI1054" s="24"/>
      <c r="AJ1054" s="24"/>
      <c r="AK1054" s="24"/>
    </row>
    <row r="1055" spans="1:37" x14ac:dyDescent="0.25">
      <c r="A1055" s="24"/>
      <c r="B1055" s="90"/>
      <c r="C1055" s="92"/>
      <c r="D1055" s="24"/>
      <c r="E1055" s="90"/>
      <c r="F1055" s="90"/>
      <c r="G1055" s="24"/>
      <c r="H1055" s="90"/>
      <c r="I1055" s="24"/>
      <c r="J1055" s="90"/>
      <c r="K1055" s="90"/>
      <c r="L1055" s="24"/>
      <c r="M1055" s="24"/>
      <c r="N1055" s="24"/>
      <c r="O1055" s="90"/>
      <c r="P1055" s="24"/>
      <c r="Q1055" s="24"/>
      <c r="R1055" s="24"/>
      <c r="S1055" s="90"/>
      <c r="T1055" s="90"/>
      <c r="U1055" s="24"/>
      <c r="V1055" s="90"/>
      <c r="W1055" s="90"/>
      <c r="X1055" s="90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</row>
    <row r="1056" spans="1:37" x14ac:dyDescent="0.25">
      <c r="A1056" s="24"/>
      <c r="B1056" s="90"/>
      <c r="C1056" s="92"/>
      <c r="D1056" s="24"/>
      <c r="E1056" s="90"/>
      <c r="F1056" s="90"/>
      <c r="G1056" s="24"/>
      <c r="H1056" s="90"/>
      <c r="I1056" s="24"/>
      <c r="J1056" s="90"/>
      <c r="K1056" s="90"/>
      <c r="L1056" s="24"/>
      <c r="M1056" s="24"/>
      <c r="N1056" s="24"/>
      <c r="O1056" s="90"/>
      <c r="P1056" s="24"/>
      <c r="Q1056" s="24"/>
      <c r="R1056" s="24"/>
      <c r="S1056" s="90"/>
      <c r="T1056" s="90"/>
      <c r="U1056" s="24"/>
      <c r="V1056" s="90"/>
      <c r="W1056" s="90"/>
      <c r="X1056" s="90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4"/>
      <c r="AI1056" s="24"/>
      <c r="AJ1056" s="24"/>
      <c r="AK1056" s="24"/>
    </row>
    <row r="1057" spans="1:37" x14ac:dyDescent="0.25">
      <c r="A1057" s="24"/>
      <c r="B1057" s="90"/>
      <c r="C1057" s="92"/>
      <c r="D1057" s="24"/>
      <c r="E1057" s="90"/>
      <c r="F1057" s="90"/>
      <c r="G1057" s="24"/>
      <c r="H1057" s="90"/>
      <c r="I1057" s="24"/>
      <c r="J1057" s="90"/>
      <c r="K1057" s="90"/>
      <c r="L1057" s="24"/>
      <c r="M1057" s="24"/>
      <c r="N1057" s="24"/>
      <c r="O1057" s="90"/>
      <c r="P1057" s="24"/>
      <c r="Q1057" s="24"/>
      <c r="R1057" s="24"/>
      <c r="S1057" s="90"/>
      <c r="T1057" s="90"/>
      <c r="U1057" s="24"/>
      <c r="V1057" s="90"/>
      <c r="W1057" s="90"/>
      <c r="X1057" s="90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</row>
    <row r="1058" spans="1:37" x14ac:dyDescent="0.25">
      <c r="A1058" s="24"/>
      <c r="B1058" s="90"/>
      <c r="C1058" s="92"/>
      <c r="D1058" s="24"/>
      <c r="E1058" s="90"/>
      <c r="F1058" s="90"/>
      <c r="G1058" s="24"/>
      <c r="H1058" s="90"/>
      <c r="I1058" s="24"/>
      <c r="J1058" s="90"/>
      <c r="K1058" s="90"/>
      <c r="L1058" s="24"/>
      <c r="M1058" s="24"/>
      <c r="N1058" s="24"/>
      <c r="O1058" s="90"/>
      <c r="P1058" s="24"/>
      <c r="Q1058" s="24"/>
      <c r="R1058" s="24"/>
      <c r="S1058" s="90"/>
      <c r="T1058" s="90"/>
      <c r="U1058" s="24"/>
      <c r="V1058" s="90"/>
      <c r="W1058" s="90"/>
      <c r="X1058" s="90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</row>
    <row r="1059" spans="1:37" x14ac:dyDescent="0.25">
      <c r="A1059" s="24"/>
      <c r="B1059" s="90"/>
      <c r="C1059" s="92"/>
      <c r="D1059" s="24"/>
      <c r="E1059" s="90"/>
      <c r="F1059" s="90"/>
      <c r="G1059" s="24"/>
      <c r="H1059" s="90"/>
      <c r="I1059" s="24"/>
      <c r="J1059" s="90"/>
      <c r="K1059" s="90"/>
      <c r="L1059" s="24"/>
      <c r="M1059" s="24"/>
      <c r="N1059" s="24"/>
      <c r="O1059" s="90"/>
      <c r="P1059" s="24"/>
      <c r="Q1059" s="24"/>
      <c r="R1059" s="24"/>
      <c r="S1059" s="90"/>
      <c r="T1059" s="90"/>
      <c r="U1059" s="24"/>
      <c r="V1059" s="90"/>
      <c r="W1059" s="90"/>
      <c r="X1059" s="90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</row>
    <row r="1060" spans="1:37" x14ac:dyDescent="0.25">
      <c r="A1060" s="24"/>
      <c r="B1060" s="90"/>
      <c r="C1060" s="92"/>
      <c r="D1060" s="24"/>
      <c r="E1060" s="90"/>
      <c r="F1060" s="90"/>
      <c r="G1060" s="24"/>
      <c r="H1060" s="90"/>
      <c r="I1060" s="24"/>
      <c r="J1060" s="90"/>
      <c r="K1060" s="90"/>
      <c r="L1060" s="24"/>
      <c r="M1060" s="24"/>
      <c r="N1060" s="24"/>
      <c r="O1060" s="90"/>
      <c r="P1060" s="24"/>
      <c r="Q1060" s="24"/>
      <c r="R1060" s="24"/>
      <c r="S1060" s="90"/>
      <c r="T1060" s="90"/>
      <c r="U1060" s="24"/>
      <c r="V1060" s="90"/>
      <c r="W1060" s="90"/>
      <c r="X1060" s="90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</row>
    <row r="1061" spans="1:37" x14ac:dyDescent="0.25">
      <c r="A1061" s="24"/>
      <c r="B1061" s="90"/>
      <c r="C1061" s="92"/>
      <c r="D1061" s="24"/>
      <c r="E1061" s="90"/>
      <c r="F1061" s="90"/>
      <c r="G1061" s="24"/>
      <c r="H1061" s="90"/>
      <c r="I1061" s="24"/>
      <c r="J1061" s="90"/>
      <c r="K1061" s="90"/>
      <c r="L1061" s="24"/>
      <c r="M1061" s="24"/>
      <c r="N1061" s="24"/>
      <c r="O1061" s="90"/>
      <c r="P1061" s="24"/>
      <c r="Q1061" s="24"/>
      <c r="R1061" s="24"/>
      <c r="S1061" s="90"/>
      <c r="T1061" s="90"/>
      <c r="U1061" s="24"/>
      <c r="V1061" s="90"/>
      <c r="W1061" s="90"/>
      <c r="X1061" s="90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</row>
    <row r="1062" spans="1:37" x14ac:dyDescent="0.25">
      <c r="A1062" s="24"/>
      <c r="B1062" s="90"/>
      <c r="C1062" s="92"/>
      <c r="D1062" s="24"/>
      <c r="E1062" s="90"/>
      <c r="F1062" s="90"/>
      <c r="G1062" s="24"/>
      <c r="H1062" s="90"/>
      <c r="I1062" s="24"/>
      <c r="J1062" s="90"/>
      <c r="K1062" s="90"/>
      <c r="L1062" s="24"/>
      <c r="M1062" s="24"/>
      <c r="N1062" s="24"/>
      <c r="O1062" s="90"/>
      <c r="P1062" s="24"/>
      <c r="Q1062" s="24"/>
      <c r="R1062" s="24"/>
      <c r="S1062" s="90"/>
      <c r="T1062" s="90"/>
      <c r="U1062" s="24"/>
      <c r="V1062" s="90"/>
      <c r="W1062" s="90"/>
      <c r="X1062" s="90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</row>
    <row r="1063" spans="1:37" x14ac:dyDescent="0.25">
      <c r="A1063" s="24"/>
      <c r="B1063" s="90"/>
      <c r="C1063" s="92"/>
      <c r="D1063" s="24"/>
      <c r="E1063" s="90"/>
      <c r="F1063" s="90"/>
      <c r="G1063" s="24"/>
      <c r="H1063" s="90"/>
      <c r="I1063" s="24"/>
      <c r="J1063" s="90"/>
      <c r="K1063" s="90"/>
      <c r="L1063" s="24"/>
      <c r="M1063" s="24"/>
      <c r="N1063" s="24"/>
      <c r="O1063" s="90"/>
      <c r="P1063" s="24"/>
      <c r="Q1063" s="24"/>
      <c r="R1063" s="24"/>
      <c r="S1063" s="90"/>
      <c r="T1063" s="90"/>
      <c r="U1063" s="24"/>
      <c r="V1063" s="90"/>
      <c r="W1063" s="90"/>
      <c r="X1063" s="90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</row>
    <row r="1064" spans="1:37" x14ac:dyDescent="0.25">
      <c r="A1064" s="24"/>
      <c r="B1064" s="90"/>
      <c r="C1064" s="92"/>
      <c r="D1064" s="24"/>
      <c r="E1064" s="90"/>
      <c r="F1064" s="90"/>
      <c r="G1064" s="24"/>
      <c r="H1064" s="90"/>
      <c r="I1064" s="24"/>
      <c r="J1064" s="90"/>
      <c r="K1064" s="90"/>
      <c r="L1064" s="24"/>
      <c r="M1064" s="24"/>
      <c r="N1064" s="24"/>
      <c r="O1064" s="90"/>
      <c r="P1064" s="24"/>
      <c r="Q1064" s="24"/>
      <c r="R1064" s="24"/>
      <c r="S1064" s="90"/>
      <c r="T1064" s="90"/>
      <c r="U1064" s="24"/>
      <c r="V1064" s="90"/>
      <c r="W1064" s="90"/>
      <c r="X1064" s="90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</row>
    <row r="1065" spans="1:37" x14ac:dyDescent="0.25">
      <c r="A1065" s="24"/>
      <c r="B1065" s="90"/>
      <c r="C1065" s="92"/>
      <c r="D1065" s="24"/>
      <c r="E1065" s="90"/>
      <c r="F1065" s="90"/>
      <c r="G1065" s="24"/>
      <c r="H1065" s="90"/>
      <c r="I1065" s="24"/>
      <c r="J1065" s="90"/>
      <c r="K1065" s="90"/>
      <c r="L1065" s="24"/>
      <c r="M1065" s="24"/>
      <c r="N1065" s="24"/>
      <c r="O1065" s="90"/>
      <c r="P1065" s="24"/>
      <c r="Q1065" s="24"/>
      <c r="R1065" s="24"/>
      <c r="S1065" s="90"/>
      <c r="T1065" s="90"/>
      <c r="U1065" s="24"/>
      <c r="V1065" s="90"/>
      <c r="W1065" s="90"/>
      <c r="X1065" s="90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  <c r="AJ1065" s="24"/>
      <c r="AK1065" s="24"/>
    </row>
    <row r="1066" spans="1:37" x14ac:dyDescent="0.25">
      <c r="A1066" s="24"/>
      <c r="B1066" s="90"/>
      <c r="C1066" s="92"/>
      <c r="D1066" s="24"/>
      <c r="E1066" s="90"/>
      <c r="F1066" s="90"/>
      <c r="G1066" s="24"/>
      <c r="H1066" s="90"/>
      <c r="I1066" s="24"/>
      <c r="J1066" s="90"/>
      <c r="K1066" s="90"/>
      <c r="L1066" s="24"/>
      <c r="M1066" s="24"/>
      <c r="N1066" s="24"/>
      <c r="O1066" s="90"/>
      <c r="P1066" s="24"/>
      <c r="Q1066" s="24"/>
      <c r="R1066" s="24"/>
      <c r="S1066" s="90"/>
      <c r="T1066" s="90"/>
      <c r="U1066" s="24"/>
      <c r="V1066" s="90"/>
      <c r="W1066" s="90"/>
      <c r="X1066" s="90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</row>
    <row r="1067" spans="1:37" x14ac:dyDescent="0.25">
      <c r="A1067" s="24"/>
      <c r="B1067" s="90"/>
      <c r="C1067" s="92"/>
      <c r="D1067" s="24"/>
      <c r="E1067" s="90"/>
      <c r="F1067" s="90"/>
      <c r="G1067" s="24"/>
      <c r="H1067" s="90"/>
      <c r="I1067" s="24"/>
      <c r="J1067" s="90"/>
      <c r="K1067" s="90"/>
      <c r="L1067" s="24"/>
      <c r="M1067" s="24"/>
      <c r="N1067" s="24"/>
      <c r="O1067" s="90"/>
      <c r="P1067" s="24"/>
      <c r="Q1067" s="24"/>
      <c r="R1067" s="24"/>
      <c r="S1067" s="90"/>
      <c r="T1067" s="90"/>
      <c r="U1067" s="24"/>
      <c r="V1067" s="90"/>
      <c r="W1067" s="90"/>
      <c r="X1067" s="90"/>
      <c r="Y1067" s="24"/>
      <c r="Z1067" s="24"/>
      <c r="AA1067" s="24"/>
      <c r="AB1067" s="24"/>
      <c r="AC1067" s="24"/>
      <c r="AD1067" s="24"/>
      <c r="AE1067" s="24"/>
      <c r="AF1067" s="24"/>
      <c r="AG1067" s="24"/>
      <c r="AH1067" s="24"/>
      <c r="AI1067" s="24"/>
      <c r="AJ1067" s="24"/>
      <c r="AK1067" s="24"/>
    </row>
    <row r="1068" spans="1:37" x14ac:dyDescent="0.25">
      <c r="A1068" s="24"/>
      <c r="B1068" s="90"/>
      <c r="C1068" s="92"/>
      <c r="D1068" s="24"/>
      <c r="E1068" s="90"/>
      <c r="F1068" s="90"/>
      <c r="G1068" s="24"/>
      <c r="H1068" s="90"/>
      <c r="I1068" s="24"/>
      <c r="J1068" s="90"/>
      <c r="K1068" s="90"/>
      <c r="L1068" s="24"/>
      <c r="M1068" s="24"/>
      <c r="N1068" s="24"/>
      <c r="O1068" s="90"/>
      <c r="P1068" s="24"/>
      <c r="Q1068" s="24"/>
      <c r="R1068" s="24"/>
      <c r="S1068" s="90"/>
      <c r="T1068" s="90"/>
      <c r="U1068" s="24"/>
      <c r="V1068" s="90"/>
      <c r="W1068" s="90"/>
      <c r="X1068" s="90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  <c r="AJ1068" s="24"/>
      <c r="AK1068" s="24"/>
    </row>
    <row r="1069" spans="1:37" x14ac:dyDescent="0.25">
      <c r="A1069" s="24"/>
      <c r="B1069" s="90"/>
      <c r="C1069" s="92"/>
      <c r="D1069" s="24"/>
      <c r="E1069" s="90"/>
      <c r="F1069" s="90"/>
      <c r="G1069" s="24"/>
      <c r="H1069" s="90"/>
      <c r="I1069" s="24"/>
      <c r="J1069" s="90"/>
      <c r="K1069" s="90"/>
      <c r="L1069" s="24"/>
      <c r="M1069" s="24"/>
      <c r="N1069" s="24"/>
      <c r="O1069" s="90"/>
      <c r="P1069" s="24"/>
      <c r="Q1069" s="24"/>
      <c r="R1069" s="24"/>
      <c r="S1069" s="90"/>
      <c r="T1069" s="90"/>
      <c r="U1069" s="24"/>
      <c r="V1069" s="90"/>
      <c r="W1069" s="90"/>
      <c r="X1069" s="90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</row>
    <row r="1070" spans="1:37" x14ac:dyDescent="0.25">
      <c r="A1070" s="24"/>
      <c r="B1070" s="90"/>
      <c r="C1070" s="92"/>
      <c r="D1070" s="24"/>
      <c r="E1070" s="90"/>
      <c r="F1070" s="90"/>
      <c r="G1070" s="24"/>
      <c r="H1070" s="90"/>
      <c r="I1070" s="24"/>
      <c r="J1070" s="90"/>
      <c r="K1070" s="90"/>
      <c r="L1070" s="24"/>
      <c r="M1070" s="24"/>
      <c r="N1070" s="24"/>
      <c r="O1070" s="90"/>
      <c r="P1070" s="24"/>
      <c r="Q1070" s="24"/>
      <c r="R1070" s="24"/>
      <c r="S1070" s="90"/>
      <c r="T1070" s="90"/>
      <c r="U1070" s="24"/>
      <c r="V1070" s="90"/>
      <c r="W1070" s="90"/>
      <c r="X1070" s="90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4"/>
      <c r="AI1070" s="24"/>
      <c r="AJ1070" s="24"/>
      <c r="AK1070" s="24"/>
    </row>
    <row r="1071" spans="1:37" x14ac:dyDescent="0.25">
      <c r="A1071" s="24"/>
      <c r="B1071" s="90"/>
      <c r="C1071" s="92"/>
      <c r="D1071" s="24"/>
      <c r="E1071" s="90"/>
      <c r="F1071" s="90"/>
      <c r="G1071" s="24"/>
      <c r="H1071" s="90"/>
      <c r="I1071" s="24"/>
      <c r="J1071" s="90"/>
      <c r="K1071" s="90"/>
      <c r="L1071" s="24"/>
      <c r="M1071" s="24"/>
      <c r="N1071" s="24"/>
      <c r="O1071" s="90"/>
      <c r="P1071" s="24"/>
      <c r="Q1071" s="24"/>
      <c r="R1071" s="24"/>
      <c r="S1071" s="90"/>
      <c r="T1071" s="90"/>
      <c r="U1071" s="24"/>
      <c r="V1071" s="90"/>
      <c r="W1071" s="90"/>
      <c r="X1071" s="90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</row>
    <row r="1072" spans="1:37" x14ac:dyDescent="0.25">
      <c r="A1072" s="24"/>
      <c r="B1072" s="90"/>
      <c r="C1072" s="92"/>
      <c r="D1072" s="24"/>
      <c r="E1072" s="90"/>
      <c r="F1072" s="90"/>
      <c r="G1072" s="24"/>
      <c r="H1072" s="90"/>
      <c r="I1072" s="24"/>
      <c r="J1072" s="90"/>
      <c r="K1072" s="90"/>
      <c r="L1072" s="24"/>
      <c r="M1072" s="24"/>
      <c r="N1072" s="24"/>
      <c r="O1072" s="90"/>
      <c r="P1072" s="24"/>
      <c r="Q1072" s="24"/>
      <c r="R1072" s="24"/>
      <c r="S1072" s="90"/>
      <c r="T1072" s="90"/>
      <c r="U1072" s="24"/>
      <c r="V1072" s="90"/>
      <c r="W1072" s="90"/>
      <c r="X1072" s="90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</row>
    <row r="1073" spans="1:37" x14ac:dyDescent="0.25">
      <c r="A1073" s="24"/>
      <c r="B1073" s="90"/>
      <c r="C1073" s="92"/>
      <c r="D1073" s="24"/>
      <c r="E1073" s="90"/>
      <c r="F1073" s="90"/>
      <c r="G1073" s="24"/>
      <c r="H1073" s="90"/>
      <c r="I1073" s="24"/>
      <c r="J1073" s="90"/>
      <c r="K1073" s="90"/>
      <c r="L1073" s="24"/>
      <c r="M1073" s="24"/>
      <c r="N1073" s="24"/>
      <c r="O1073" s="90"/>
      <c r="P1073" s="24"/>
      <c r="Q1073" s="24"/>
      <c r="R1073" s="24"/>
      <c r="S1073" s="90"/>
      <c r="T1073" s="90"/>
      <c r="U1073" s="24"/>
      <c r="V1073" s="90"/>
      <c r="W1073" s="90"/>
      <c r="X1073" s="90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</row>
    <row r="1074" spans="1:37" x14ac:dyDescent="0.25">
      <c r="A1074" s="24"/>
      <c r="B1074" s="90"/>
      <c r="C1074" s="92"/>
      <c r="D1074" s="24"/>
      <c r="E1074" s="90"/>
      <c r="F1074" s="90"/>
      <c r="G1074" s="24"/>
      <c r="H1074" s="90"/>
      <c r="I1074" s="24"/>
      <c r="J1074" s="90"/>
      <c r="K1074" s="90"/>
      <c r="L1074" s="24"/>
      <c r="M1074" s="24"/>
      <c r="N1074" s="24"/>
      <c r="O1074" s="90"/>
      <c r="P1074" s="24"/>
      <c r="Q1074" s="24"/>
      <c r="R1074" s="24"/>
      <c r="S1074" s="90"/>
      <c r="T1074" s="90"/>
      <c r="U1074" s="24"/>
      <c r="V1074" s="90"/>
      <c r="W1074" s="90"/>
      <c r="X1074" s="90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</row>
    <row r="1075" spans="1:37" x14ac:dyDescent="0.25">
      <c r="A1075" s="24"/>
      <c r="B1075" s="90"/>
      <c r="C1075" s="92"/>
      <c r="D1075" s="24"/>
      <c r="E1075" s="90"/>
      <c r="F1075" s="90"/>
      <c r="G1075" s="24"/>
      <c r="H1075" s="90"/>
      <c r="I1075" s="24"/>
      <c r="J1075" s="90"/>
      <c r="K1075" s="90"/>
      <c r="L1075" s="24"/>
      <c r="M1075" s="24"/>
      <c r="N1075" s="24"/>
      <c r="O1075" s="90"/>
      <c r="P1075" s="24"/>
      <c r="Q1075" s="24"/>
      <c r="R1075" s="24"/>
      <c r="S1075" s="90"/>
      <c r="T1075" s="90"/>
      <c r="U1075" s="24"/>
      <c r="V1075" s="90"/>
      <c r="W1075" s="90"/>
      <c r="X1075" s="90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</row>
    <row r="1076" spans="1:37" x14ac:dyDescent="0.25">
      <c r="A1076" s="24"/>
      <c r="B1076" s="90"/>
      <c r="C1076" s="92"/>
      <c r="D1076" s="24"/>
      <c r="E1076" s="90"/>
      <c r="F1076" s="90"/>
      <c r="G1076" s="24"/>
      <c r="H1076" s="90"/>
      <c r="I1076" s="24"/>
      <c r="J1076" s="90"/>
      <c r="K1076" s="90"/>
      <c r="L1076" s="24"/>
      <c r="M1076" s="24"/>
      <c r="N1076" s="24"/>
      <c r="O1076" s="90"/>
      <c r="P1076" s="24"/>
      <c r="Q1076" s="24"/>
      <c r="R1076" s="24"/>
      <c r="S1076" s="90"/>
      <c r="T1076" s="90"/>
      <c r="U1076" s="24"/>
      <c r="V1076" s="90"/>
      <c r="W1076" s="90"/>
      <c r="X1076" s="90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</row>
    <row r="1077" spans="1:37" x14ac:dyDescent="0.25">
      <c r="A1077" s="24"/>
      <c r="B1077" s="90"/>
      <c r="C1077" s="92"/>
      <c r="D1077" s="24"/>
      <c r="E1077" s="90"/>
      <c r="F1077" s="90"/>
      <c r="G1077" s="24"/>
      <c r="H1077" s="90"/>
      <c r="I1077" s="24"/>
      <c r="J1077" s="90"/>
      <c r="K1077" s="90"/>
      <c r="L1077" s="24"/>
      <c r="M1077" s="24"/>
      <c r="N1077" s="24"/>
      <c r="O1077" s="90"/>
      <c r="P1077" s="24"/>
      <c r="Q1077" s="24"/>
      <c r="R1077" s="24"/>
      <c r="S1077" s="90"/>
      <c r="T1077" s="90"/>
      <c r="U1077" s="24"/>
      <c r="V1077" s="90"/>
      <c r="W1077" s="90"/>
      <c r="X1077" s="90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</row>
    <row r="1078" spans="1:37" x14ac:dyDescent="0.25">
      <c r="A1078" s="24"/>
      <c r="B1078" s="90"/>
      <c r="C1078" s="92"/>
      <c r="D1078" s="24"/>
      <c r="E1078" s="90"/>
      <c r="F1078" s="90"/>
      <c r="G1078" s="24"/>
      <c r="H1078" s="90"/>
      <c r="I1078" s="24"/>
      <c r="J1078" s="90"/>
      <c r="K1078" s="90"/>
      <c r="L1078" s="24"/>
      <c r="M1078" s="24"/>
      <c r="N1078" s="24"/>
      <c r="O1078" s="90"/>
      <c r="P1078" s="24"/>
      <c r="Q1078" s="24"/>
      <c r="R1078" s="24"/>
      <c r="S1078" s="90"/>
      <c r="T1078" s="90"/>
      <c r="U1078" s="24"/>
      <c r="V1078" s="90"/>
      <c r="W1078" s="90"/>
      <c r="X1078" s="90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</row>
    <row r="1079" spans="1:37" x14ac:dyDescent="0.25">
      <c r="A1079" s="24"/>
      <c r="B1079" s="90"/>
      <c r="C1079" s="92"/>
      <c r="D1079" s="24"/>
      <c r="E1079" s="90"/>
      <c r="F1079" s="90"/>
      <c r="G1079" s="24"/>
      <c r="H1079" s="90"/>
      <c r="I1079" s="24"/>
      <c r="J1079" s="90"/>
      <c r="K1079" s="90"/>
      <c r="L1079" s="24"/>
      <c r="M1079" s="24"/>
      <c r="N1079" s="24"/>
      <c r="O1079" s="90"/>
      <c r="P1079" s="24"/>
      <c r="Q1079" s="24"/>
      <c r="R1079" s="24"/>
      <c r="S1079" s="90"/>
      <c r="T1079" s="90"/>
      <c r="U1079" s="24"/>
      <c r="V1079" s="90"/>
      <c r="W1079" s="90"/>
      <c r="X1079" s="90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</row>
    <row r="1080" spans="1:37" x14ac:dyDescent="0.25">
      <c r="A1080" s="24"/>
      <c r="B1080" s="90"/>
      <c r="C1080" s="92"/>
      <c r="D1080" s="24"/>
      <c r="E1080" s="90"/>
      <c r="F1080" s="90"/>
      <c r="G1080" s="24"/>
      <c r="H1080" s="90"/>
      <c r="I1080" s="24"/>
      <c r="J1080" s="90"/>
      <c r="K1080" s="90"/>
      <c r="L1080" s="24"/>
      <c r="M1080" s="24"/>
      <c r="N1080" s="24"/>
      <c r="O1080" s="90"/>
      <c r="P1080" s="24"/>
      <c r="Q1080" s="24"/>
      <c r="R1080" s="24"/>
      <c r="S1080" s="90"/>
      <c r="T1080" s="90"/>
      <c r="U1080" s="24"/>
      <c r="V1080" s="90"/>
      <c r="W1080" s="90"/>
      <c r="X1080" s="90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</row>
    <row r="1081" spans="1:37" x14ac:dyDescent="0.25">
      <c r="A1081" s="24"/>
      <c r="B1081" s="90"/>
      <c r="C1081" s="92"/>
      <c r="D1081" s="24"/>
      <c r="E1081" s="90"/>
      <c r="F1081" s="90"/>
      <c r="G1081" s="24"/>
      <c r="H1081" s="90"/>
      <c r="I1081" s="24"/>
      <c r="J1081" s="90"/>
      <c r="K1081" s="90"/>
      <c r="L1081" s="24"/>
      <c r="M1081" s="24"/>
      <c r="N1081" s="24"/>
      <c r="O1081" s="90"/>
      <c r="P1081" s="24"/>
      <c r="Q1081" s="24"/>
      <c r="R1081" s="24"/>
      <c r="S1081" s="90"/>
      <c r="T1081" s="90"/>
      <c r="U1081" s="24"/>
      <c r="V1081" s="90"/>
      <c r="W1081" s="90"/>
      <c r="X1081" s="90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</row>
    <row r="1082" spans="1:37" x14ac:dyDescent="0.25">
      <c r="A1082" s="24"/>
      <c r="B1082" s="90"/>
      <c r="C1082" s="92"/>
      <c r="D1082" s="24"/>
      <c r="E1082" s="90"/>
      <c r="F1082" s="90"/>
      <c r="G1082" s="24"/>
      <c r="H1082" s="90"/>
      <c r="I1082" s="24"/>
      <c r="J1082" s="90"/>
      <c r="K1082" s="90"/>
      <c r="L1082" s="24"/>
      <c r="M1082" s="24"/>
      <c r="N1082" s="24"/>
      <c r="O1082" s="90"/>
      <c r="P1082" s="24"/>
      <c r="Q1082" s="24"/>
      <c r="R1082" s="24"/>
      <c r="S1082" s="90"/>
      <c r="T1082" s="90"/>
      <c r="U1082" s="24"/>
      <c r="V1082" s="90"/>
      <c r="W1082" s="90"/>
      <c r="X1082" s="90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</row>
    <row r="1083" spans="1:37" x14ac:dyDescent="0.25">
      <c r="A1083" s="24"/>
      <c r="B1083" s="90"/>
      <c r="C1083" s="92"/>
      <c r="D1083" s="24"/>
      <c r="E1083" s="90"/>
      <c r="F1083" s="90"/>
      <c r="G1083" s="24"/>
      <c r="H1083" s="90"/>
      <c r="I1083" s="24"/>
      <c r="J1083" s="90"/>
      <c r="K1083" s="90"/>
      <c r="L1083" s="24"/>
      <c r="M1083" s="24"/>
      <c r="N1083" s="24"/>
      <c r="O1083" s="90"/>
      <c r="P1083" s="24"/>
      <c r="Q1083" s="24"/>
      <c r="R1083" s="24"/>
      <c r="S1083" s="90"/>
      <c r="T1083" s="90"/>
      <c r="U1083" s="24"/>
      <c r="V1083" s="90"/>
      <c r="W1083" s="90"/>
      <c r="X1083" s="90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</row>
    <row r="1084" spans="1:37" x14ac:dyDescent="0.25">
      <c r="A1084" s="24"/>
      <c r="B1084" s="90"/>
      <c r="C1084" s="92"/>
      <c r="D1084" s="24"/>
      <c r="E1084" s="90"/>
      <c r="F1084" s="90"/>
      <c r="G1084" s="24"/>
      <c r="H1084" s="90"/>
      <c r="I1084" s="24"/>
      <c r="J1084" s="90"/>
      <c r="K1084" s="90"/>
      <c r="L1084" s="24"/>
      <c r="M1084" s="24"/>
      <c r="N1084" s="24"/>
      <c r="O1084" s="90"/>
      <c r="P1084" s="24"/>
      <c r="Q1084" s="24"/>
      <c r="R1084" s="24"/>
      <c r="S1084" s="90"/>
      <c r="T1084" s="90"/>
      <c r="U1084" s="24"/>
      <c r="V1084" s="90"/>
      <c r="W1084" s="90"/>
      <c r="X1084" s="90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</row>
    <row r="1085" spans="1:37" x14ac:dyDescent="0.25">
      <c r="A1085" s="24"/>
      <c r="B1085" s="90"/>
      <c r="C1085" s="92"/>
      <c r="D1085" s="24"/>
      <c r="E1085" s="90"/>
      <c r="F1085" s="90"/>
      <c r="G1085" s="24"/>
      <c r="H1085" s="90"/>
      <c r="I1085" s="24"/>
      <c r="J1085" s="90"/>
      <c r="K1085" s="90"/>
      <c r="L1085" s="24"/>
      <c r="M1085" s="24"/>
      <c r="N1085" s="24"/>
      <c r="O1085" s="90"/>
      <c r="P1085" s="24"/>
      <c r="Q1085" s="24"/>
      <c r="R1085" s="24"/>
      <c r="S1085" s="90"/>
      <c r="T1085" s="90"/>
      <c r="U1085" s="24"/>
      <c r="V1085" s="90"/>
      <c r="W1085" s="90"/>
      <c r="X1085" s="90"/>
      <c r="Y1085" s="24"/>
      <c r="Z1085" s="24"/>
      <c r="AA1085" s="24"/>
      <c r="AB1085" s="24"/>
      <c r="AC1085" s="24"/>
      <c r="AD1085" s="24"/>
      <c r="AE1085" s="24"/>
      <c r="AF1085" s="24"/>
      <c r="AG1085" s="24"/>
      <c r="AH1085" s="24"/>
      <c r="AI1085" s="24"/>
      <c r="AJ1085" s="24"/>
      <c r="AK1085" s="24"/>
    </row>
    <row r="1086" spans="1:37" x14ac:dyDescent="0.25">
      <c r="A1086" s="24"/>
      <c r="B1086" s="90"/>
      <c r="C1086" s="92"/>
      <c r="D1086" s="24"/>
      <c r="E1086" s="90"/>
      <c r="F1086" s="90"/>
      <c r="G1086" s="24"/>
      <c r="H1086" s="90"/>
      <c r="I1086" s="24"/>
      <c r="J1086" s="90"/>
      <c r="K1086" s="90"/>
      <c r="L1086" s="24"/>
      <c r="M1086" s="24"/>
      <c r="N1086" s="24"/>
      <c r="O1086" s="90"/>
      <c r="P1086" s="24"/>
      <c r="Q1086" s="24"/>
      <c r="R1086" s="24"/>
      <c r="S1086" s="90"/>
      <c r="T1086" s="90"/>
      <c r="U1086" s="24"/>
      <c r="V1086" s="90"/>
      <c r="W1086" s="90"/>
      <c r="X1086" s="90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</row>
    <row r="1087" spans="1:37" x14ac:dyDescent="0.25">
      <c r="A1087" s="24"/>
      <c r="B1087" s="90"/>
      <c r="C1087" s="92"/>
      <c r="D1087" s="24"/>
      <c r="E1087" s="90"/>
      <c r="F1087" s="90"/>
      <c r="G1087" s="24"/>
      <c r="H1087" s="90"/>
      <c r="I1087" s="24"/>
      <c r="J1087" s="90"/>
      <c r="K1087" s="90"/>
      <c r="L1087" s="24"/>
      <c r="M1087" s="24"/>
      <c r="N1087" s="24"/>
      <c r="O1087" s="90"/>
      <c r="P1087" s="24"/>
      <c r="Q1087" s="24"/>
      <c r="R1087" s="24"/>
      <c r="S1087" s="90"/>
      <c r="T1087" s="90"/>
      <c r="U1087" s="24"/>
      <c r="V1087" s="90"/>
      <c r="W1087" s="90"/>
      <c r="X1087" s="90"/>
      <c r="Y1087" s="24"/>
      <c r="Z1087" s="24"/>
      <c r="AA1087" s="24"/>
      <c r="AB1087" s="24"/>
      <c r="AC1087" s="24"/>
      <c r="AD1087" s="24"/>
      <c r="AE1087" s="24"/>
      <c r="AF1087" s="24"/>
      <c r="AG1087" s="24"/>
      <c r="AH1087" s="24"/>
      <c r="AI1087" s="24"/>
      <c r="AJ1087" s="24"/>
      <c r="AK1087" s="24"/>
    </row>
    <row r="1088" spans="1:37" x14ac:dyDescent="0.25">
      <c r="A1088" s="24"/>
      <c r="B1088" s="90"/>
      <c r="C1088" s="92"/>
      <c r="D1088" s="24"/>
      <c r="E1088" s="90"/>
      <c r="F1088" s="90"/>
      <c r="G1088" s="24"/>
      <c r="H1088" s="90"/>
      <c r="I1088" s="24"/>
      <c r="J1088" s="90"/>
      <c r="K1088" s="90"/>
      <c r="L1088" s="24"/>
      <c r="M1088" s="24"/>
      <c r="N1088" s="24"/>
      <c r="O1088" s="90"/>
      <c r="P1088" s="24"/>
      <c r="Q1088" s="24"/>
      <c r="R1088" s="24"/>
      <c r="S1088" s="90"/>
      <c r="T1088" s="90"/>
      <c r="U1088" s="24"/>
      <c r="V1088" s="90"/>
      <c r="W1088" s="90"/>
      <c r="X1088" s="90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</row>
    <row r="1089" spans="1:37" x14ac:dyDescent="0.25">
      <c r="A1089" s="24"/>
      <c r="B1089" s="90"/>
      <c r="C1089" s="92"/>
      <c r="D1089" s="24"/>
      <c r="E1089" s="90"/>
      <c r="F1089" s="90"/>
      <c r="G1089" s="24"/>
      <c r="H1089" s="90"/>
      <c r="I1089" s="24"/>
      <c r="J1089" s="90"/>
      <c r="K1089" s="90"/>
      <c r="L1089" s="24"/>
      <c r="M1089" s="24"/>
      <c r="N1089" s="24"/>
      <c r="O1089" s="90"/>
      <c r="P1089" s="24"/>
      <c r="Q1089" s="24"/>
      <c r="R1089" s="24"/>
      <c r="S1089" s="90"/>
      <c r="T1089" s="90"/>
      <c r="U1089" s="24"/>
      <c r="V1089" s="90"/>
      <c r="W1089" s="90"/>
      <c r="X1089" s="90"/>
      <c r="Y1089" s="24"/>
      <c r="Z1089" s="24"/>
      <c r="AA1089" s="24"/>
      <c r="AB1089" s="24"/>
      <c r="AC1089" s="24"/>
      <c r="AD1089" s="24"/>
      <c r="AE1089" s="24"/>
      <c r="AF1089" s="24"/>
      <c r="AG1089" s="24"/>
      <c r="AH1089" s="24"/>
      <c r="AI1089" s="24"/>
      <c r="AJ1089" s="24"/>
      <c r="AK1089" s="24"/>
    </row>
    <row r="1090" spans="1:37" x14ac:dyDescent="0.25">
      <c r="A1090" s="24"/>
      <c r="B1090" s="90"/>
      <c r="C1090" s="92"/>
      <c r="D1090" s="24"/>
      <c r="E1090" s="90"/>
      <c r="F1090" s="90"/>
      <c r="G1090" s="24"/>
      <c r="H1090" s="90"/>
      <c r="I1090" s="24"/>
      <c r="J1090" s="90"/>
      <c r="K1090" s="90"/>
      <c r="L1090" s="24"/>
      <c r="M1090" s="24"/>
      <c r="N1090" s="24"/>
      <c r="O1090" s="90"/>
      <c r="P1090" s="24"/>
      <c r="Q1090" s="24"/>
      <c r="R1090" s="24"/>
      <c r="S1090" s="90"/>
      <c r="T1090" s="90"/>
      <c r="U1090" s="24"/>
      <c r="V1090" s="90"/>
      <c r="W1090" s="90"/>
      <c r="X1090" s="90"/>
      <c r="Y1090" s="24"/>
      <c r="Z1090" s="24"/>
      <c r="AA1090" s="24"/>
      <c r="AB1090" s="24"/>
      <c r="AC1090" s="24"/>
      <c r="AD1090" s="24"/>
      <c r="AE1090" s="24"/>
      <c r="AF1090" s="24"/>
      <c r="AG1090" s="24"/>
      <c r="AH1090" s="24"/>
      <c r="AI1090" s="24"/>
      <c r="AJ1090" s="24"/>
      <c r="AK1090" s="24"/>
    </row>
    <row r="1091" spans="1:37" x14ac:dyDescent="0.25">
      <c r="A1091" s="24"/>
      <c r="B1091" s="90"/>
      <c r="C1091" s="92"/>
      <c r="D1091" s="24"/>
      <c r="E1091" s="90"/>
      <c r="F1091" s="90"/>
      <c r="G1091" s="24"/>
      <c r="H1091" s="90"/>
      <c r="I1091" s="24"/>
      <c r="J1091" s="90"/>
      <c r="K1091" s="90"/>
      <c r="L1091" s="24"/>
      <c r="M1091" s="24"/>
      <c r="N1091" s="24"/>
      <c r="O1091" s="90"/>
      <c r="P1091" s="24"/>
      <c r="Q1091" s="24"/>
      <c r="R1091" s="24"/>
      <c r="S1091" s="90"/>
      <c r="T1091" s="90"/>
      <c r="U1091" s="24"/>
      <c r="V1091" s="90"/>
      <c r="W1091" s="90"/>
      <c r="X1091" s="90"/>
      <c r="Y1091" s="24"/>
      <c r="Z1091" s="24"/>
      <c r="AA1091" s="24"/>
      <c r="AB1091" s="24"/>
      <c r="AC1091" s="24"/>
      <c r="AD1091" s="24"/>
      <c r="AE1091" s="24"/>
      <c r="AF1091" s="24"/>
      <c r="AG1091" s="24"/>
      <c r="AH1091" s="24"/>
      <c r="AI1091" s="24"/>
      <c r="AJ1091" s="24"/>
      <c r="AK1091" s="24"/>
    </row>
    <row r="1092" spans="1:37" x14ac:dyDescent="0.25">
      <c r="A1092" s="24"/>
      <c r="B1092" s="90"/>
      <c r="C1092" s="92"/>
      <c r="D1092" s="24"/>
      <c r="E1092" s="90"/>
      <c r="F1092" s="90"/>
      <c r="G1092" s="24"/>
      <c r="H1092" s="90"/>
      <c r="I1092" s="24"/>
      <c r="J1092" s="90"/>
      <c r="K1092" s="90"/>
      <c r="L1092" s="24"/>
      <c r="M1092" s="24"/>
      <c r="N1092" s="24"/>
      <c r="O1092" s="90"/>
      <c r="P1092" s="24"/>
      <c r="Q1092" s="24"/>
      <c r="R1092" s="24"/>
      <c r="S1092" s="90"/>
      <c r="T1092" s="90"/>
      <c r="U1092" s="24"/>
      <c r="V1092" s="90"/>
      <c r="W1092" s="90"/>
      <c r="X1092" s="90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</row>
    <row r="1093" spans="1:37" x14ac:dyDescent="0.25">
      <c r="A1093" s="24"/>
      <c r="B1093" s="90"/>
      <c r="C1093" s="92"/>
      <c r="D1093" s="24"/>
      <c r="E1093" s="90"/>
      <c r="F1093" s="90"/>
      <c r="G1093" s="24"/>
      <c r="H1093" s="90"/>
      <c r="I1093" s="24"/>
      <c r="J1093" s="90"/>
      <c r="K1093" s="90"/>
      <c r="L1093" s="24"/>
      <c r="M1093" s="24"/>
      <c r="N1093" s="24"/>
      <c r="O1093" s="90"/>
      <c r="P1093" s="24"/>
      <c r="Q1093" s="24"/>
      <c r="R1093" s="24"/>
      <c r="S1093" s="90"/>
      <c r="T1093" s="90"/>
      <c r="U1093" s="24"/>
      <c r="V1093" s="90"/>
      <c r="W1093" s="90"/>
      <c r="X1093" s="90"/>
      <c r="Y1093" s="24"/>
      <c r="Z1093" s="24"/>
      <c r="AA1093" s="24"/>
      <c r="AB1093" s="24"/>
      <c r="AC1093" s="24"/>
      <c r="AD1093" s="24"/>
      <c r="AE1093" s="24"/>
      <c r="AF1093" s="24"/>
      <c r="AG1093" s="24"/>
      <c r="AH1093" s="24"/>
      <c r="AI1093" s="24"/>
      <c r="AJ1093" s="24"/>
      <c r="AK1093" s="24"/>
    </row>
    <row r="1094" spans="1:37" x14ac:dyDescent="0.25">
      <c r="A1094" s="24"/>
      <c r="B1094" s="90"/>
      <c r="C1094" s="92"/>
      <c r="D1094" s="24"/>
      <c r="E1094" s="90"/>
      <c r="F1094" s="90"/>
      <c r="G1094" s="24"/>
      <c r="H1094" s="90"/>
      <c r="I1094" s="24"/>
      <c r="J1094" s="90"/>
      <c r="K1094" s="90"/>
      <c r="L1094" s="24"/>
      <c r="M1094" s="24"/>
      <c r="N1094" s="24"/>
      <c r="O1094" s="90"/>
      <c r="P1094" s="24"/>
      <c r="Q1094" s="24"/>
      <c r="R1094" s="24"/>
      <c r="S1094" s="90"/>
      <c r="T1094" s="90"/>
      <c r="U1094" s="24"/>
      <c r="V1094" s="90"/>
      <c r="W1094" s="90"/>
      <c r="X1094" s="90"/>
      <c r="Y1094" s="24"/>
      <c r="Z1094" s="24"/>
      <c r="AA1094" s="24"/>
      <c r="AB1094" s="24"/>
      <c r="AC1094" s="24"/>
      <c r="AD1094" s="24"/>
      <c r="AE1094" s="24"/>
      <c r="AF1094" s="24"/>
      <c r="AG1094" s="24"/>
      <c r="AH1094" s="24"/>
      <c r="AI1094" s="24"/>
      <c r="AJ1094" s="24"/>
      <c r="AK1094" s="24"/>
    </row>
    <row r="1095" spans="1:37" x14ac:dyDescent="0.25">
      <c r="A1095" s="24"/>
      <c r="B1095" s="90"/>
      <c r="C1095" s="92"/>
      <c r="D1095" s="24"/>
      <c r="E1095" s="90"/>
      <c r="F1095" s="90"/>
      <c r="G1095" s="24"/>
      <c r="H1095" s="90"/>
      <c r="I1095" s="24"/>
      <c r="J1095" s="90"/>
      <c r="K1095" s="90"/>
      <c r="L1095" s="24"/>
      <c r="M1095" s="24"/>
      <c r="N1095" s="24"/>
      <c r="O1095" s="90"/>
      <c r="P1095" s="24"/>
      <c r="Q1095" s="24"/>
      <c r="R1095" s="24"/>
      <c r="S1095" s="90"/>
      <c r="T1095" s="90"/>
      <c r="U1095" s="24"/>
      <c r="V1095" s="90"/>
      <c r="W1095" s="90"/>
      <c r="X1095" s="90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</row>
    <row r="1096" spans="1:37" x14ac:dyDescent="0.25">
      <c r="A1096" s="24"/>
      <c r="B1096" s="90"/>
      <c r="C1096" s="92"/>
      <c r="D1096" s="24"/>
      <c r="E1096" s="90"/>
      <c r="F1096" s="90"/>
      <c r="G1096" s="24"/>
      <c r="H1096" s="90"/>
      <c r="I1096" s="24"/>
      <c r="J1096" s="90"/>
      <c r="K1096" s="90"/>
      <c r="L1096" s="24"/>
      <c r="M1096" s="24"/>
      <c r="N1096" s="24"/>
      <c r="O1096" s="90"/>
      <c r="P1096" s="24"/>
      <c r="Q1096" s="24"/>
      <c r="R1096" s="24"/>
      <c r="S1096" s="90"/>
      <c r="T1096" s="90"/>
      <c r="U1096" s="24"/>
      <c r="V1096" s="90"/>
      <c r="W1096" s="90"/>
      <c r="X1096" s="90"/>
      <c r="Y1096" s="24"/>
      <c r="Z1096" s="24"/>
      <c r="AA1096" s="24"/>
      <c r="AB1096" s="24"/>
      <c r="AC1096" s="24"/>
      <c r="AD1096" s="24"/>
      <c r="AE1096" s="24"/>
      <c r="AF1096" s="24"/>
      <c r="AG1096" s="24"/>
      <c r="AH1096" s="24"/>
      <c r="AI1096" s="24"/>
      <c r="AJ1096" s="24"/>
      <c r="AK1096" s="24"/>
    </row>
    <row r="1097" spans="1:37" x14ac:dyDescent="0.25">
      <c r="A1097" s="24"/>
      <c r="B1097" s="90"/>
      <c r="C1097" s="92"/>
      <c r="D1097" s="24"/>
      <c r="E1097" s="90"/>
      <c r="F1097" s="90"/>
      <c r="G1097" s="24"/>
      <c r="H1097" s="90"/>
      <c r="I1097" s="24"/>
      <c r="J1097" s="90"/>
      <c r="K1097" s="90"/>
      <c r="L1097" s="24"/>
      <c r="M1097" s="24"/>
      <c r="N1097" s="24"/>
      <c r="O1097" s="90"/>
      <c r="P1097" s="24"/>
      <c r="Q1097" s="24"/>
      <c r="R1097" s="24"/>
      <c r="S1097" s="90"/>
      <c r="T1097" s="90"/>
      <c r="U1097" s="24"/>
      <c r="V1097" s="90"/>
      <c r="W1097" s="90"/>
      <c r="X1097" s="90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</row>
    <row r="1098" spans="1:37" x14ac:dyDescent="0.25">
      <c r="A1098" s="24"/>
      <c r="B1098" s="90"/>
      <c r="C1098" s="92"/>
      <c r="D1098" s="24"/>
      <c r="E1098" s="90"/>
      <c r="F1098" s="90"/>
      <c r="G1098" s="24"/>
      <c r="H1098" s="90"/>
      <c r="I1098" s="24"/>
      <c r="J1098" s="90"/>
      <c r="K1098" s="90"/>
      <c r="L1098" s="24"/>
      <c r="M1098" s="24"/>
      <c r="N1098" s="24"/>
      <c r="O1098" s="90"/>
      <c r="P1098" s="24"/>
      <c r="Q1098" s="24"/>
      <c r="R1098" s="24"/>
      <c r="S1098" s="90"/>
      <c r="T1098" s="90"/>
      <c r="U1098" s="24"/>
      <c r="V1098" s="90"/>
      <c r="W1098" s="90"/>
      <c r="X1098" s="90"/>
      <c r="Y1098" s="24"/>
      <c r="Z1098" s="24"/>
      <c r="AA1098" s="24"/>
      <c r="AB1098" s="24"/>
      <c r="AC1098" s="24"/>
      <c r="AD1098" s="24"/>
      <c r="AE1098" s="24"/>
      <c r="AF1098" s="24"/>
      <c r="AG1098" s="24"/>
      <c r="AH1098" s="24"/>
      <c r="AI1098" s="24"/>
      <c r="AJ1098" s="24"/>
      <c r="AK1098" s="24"/>
    </row>
    <row r="1099" spans="1:37" x14ac:dyDescent="0.25">
      <c r="A1099" s="24"/>
      <c r="B1099" s="90"/>
      <c r="C1099" s="92"/>
      <c r="D1099" s="24"/>
      <c r="E1099" s="90"/>
      <c r="F1099" s="90"/>
      <c r="G1099" s="24"/>
      <c r="H1099" s="90"/>
      <c r="I1099" s="24"/>
      <c r="J1099" s="90"/>
      <c r="K1099" s="90"/>
      <c r="L1099" s="24"/>
      <c r="M1099" s="24"/>
      <c r="N1099" s="24"/>
      <c r="O1099" s="90"/>
      <c r="P1099" s="24"/>
      <c r="Q1099" s="24"/>
      <c r="R1099" s="24"/>
      <c r="S1099" s="90"/>
      <c r="T1099" s="90"/>
      <c r="U1099" s="24"/>
      <c r="V1099" s="90"/>
      <c r="W1099" s="90"/>
      <c r="X1099" s="90"/>
      <c r="Y1099" s="24"/>
      <c r="Z1099" s="24"/>
      <c r="AA1099" s="24"/>
      <c r="AB1099" s="24"/>
      <c r="AC1099" s="24"/>
      <c r="AD1099" s="24"/>
      <c r="AE1099" s="24"/>
      <c r="AF1099" s="24"/>
      <c r="AG1099" s="24"/>
      <c r="AH1099" s="24"/>
      <c r="AI1099" s="24"/>
      <c r="AJ1099" s="24"/>
      <c r="AK1099" s="24"/>
    </row>
    <row r="1100" spans="1:37" x14ac:dyDescent="0.25">
      <c r="A1100" s="24"/>
      <c r="B1100" s="90"/>
      <c r="C1100" s="92"/>
      <c r="D1100" s="24"/>
      <c r="E1100" s="90"/>
      <c r="F1100" s="90"/>
      <c r="G1100" s="24"/>
      <c r="H1100" s="90"/>
      <c r="I1100" s="24"/>
      <c r="J1100" s="90"/>
      <c r="K1100" s="90"/>
      <c r="L1100" s="24"/>
      <c r="M1100" s="24"/>
      <c r="N1100" s="24"/>
      <c r="O1100" s="90"/>
      <c r="P1100" s="24"/>
      <c r="Q1100" s="24"/>
      <c r="R1100" s="24"/>
      <c r="S1100" s="90"/>
      <c r="T1100" s="90"/>
      <c r="U1100" s="24"/>
      <c r="V1100" s="90"/>
      <c r="W1100" s="90"/>
      <c r="X1100" s="90"/>
      <c r="Y1100" s="24"/>
      <c r="Z1100" s="24"/>
      <c r="AA1100" s="24"/>
      <c r="AB1100" s="24"/>
      <c r="AC1100" s="24"/>
      <c r="AD1100" s="24"/>
      <c r="AE1100" s="24"/>
      <c r="AF1100" s="24"/>
      <c r="AG1100" s="24"/>
      <c r="AH1100" s="24"/>
      <c r="AI1100" s="24"/>
      <c r="AJ1100" s="24"/>
      <c r="AK1100" s="24"/>
    </row>
    <row r="1101" spans="1:37" x14ac:dyDescent="0.25">
      <c r="A1101" s="24"/>
      <c r="B1101" s="90"/>
      <c r="C1101" s="92"/>
      <c r="D1101" s="24"/>
      <c r="E1101" s="90"/>
      <c r="F1101" s="90"/>
      <c r="G1101" s="24"/>
      <c r="H1101" s="90"/>
      <c r="I1101" s="24"/>
      <c r="J1101" s="90"/>
      <c r="K1101" s="90"/>
      <c r="L1101" s="24"/>
      <c r="M1101" s="24"/>
      <c r="N1101" s="24"/>
      <c r="O1101" s="90"/>
      <c r="P1101" s="24"/>
      <c r="Q1101" s="24"/>
      <c r="R1101" s="24"/>
      <c r="S1101" s="90"/>
      <c r="T1101" s="90"/>
      <c r="U1101" s="24"/>
      <c r="V1101" s="90"/>
      <c r="W1101" s="90"/>
      <c r="X1101" s="90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</row>
    <row r="1102" spans="1:37" x14ac:dyDescent="0.25">
      <c r="A1102" s="24"/>
      <c r="B1102" s="90"/>
      <c r="C1102" s="92"/>
      <c r="D1102" s="24"/>
      <c r="E1102" s="90"/>
      <c r="F1102" s="90"/>
      <c r="G1102" s="24"/>
      <c r="H1102" s="90"/>
      <c r="I1102" s="24"/>
      <c r="J1102" s="90"/>
      <c r="K1102" s="90"/>
      <c r="L1102" s="24"/>
      <c r="M1102" s="24"/>
      <c r="N1102" s="24"/>
      <c r="O1102" s="90"/>
      <c r="P1102" s="24"/>
      <c r="Q1102" s="24"/>
      <c r="R1102" s="24"/>
      <c r="S1102" s="90"/>
      <c r="T1102" s="90"/>
      <c r="U1102" s="24"/>
      <c r="V1102" s="90"/>
      <c r="W1102" s="90"/>
      <c r="X1102" s="90"/>
      <c r="Y1102" s="24"/>
      <c r="Z1102" s="24"/>
      <c r="AA1102" s="24"/>
      <c r="AB1102" s="24"/>
      <c r="AC1102" s="24"/>
      <c r="AD1102" s="24"/>
      <c r="AE1102" s="24"/>
      <c r="AF1102" s="24"/>
      <c r="AG1102" s="24"/>
      <c r="AH1102" s="24"/>
      <c r="AI1102" s="24"/>
      <c r="AJ1102" s="24"/>
      <c r="AK1102" s="24"/>
    </row>
    <row r="1103" spans="1:37" x14ac:dyDescent="0.25">
      <c r="A1103" s="24"/>
      <c r="B1103" s="90"/>
      <c r="C1103" s="92"/>
      <c r="D1103" s="24"/>
      <c r="E1103" s="90"/>
      <c r="F1103" s="90"/>
      <c r="G1103" s="24"/>
      <c r="H1103" s="90"/>
      <c r="I1103" s="24"/>
      <c r="J1103" s="90"/>
      <c r="K1103" s="90"/>
      <c r="L1103" s="24"/>
      <c r="M1103" s="24"/>
      <c r="N1103" s="24"/>
      <c r="O1103" s="90"/>
      <c r="P1103" s="24"/>
      <c r="Q1103" s="24"/>
      <c r="R1103" s="24"/>
      <c r="S1103" s="90"/>
      <c r="T1103" s="90"/>
      <c r="U1103" s="24"/>
      <c r="V1103" s="90"/>
      <c r="W1103" s="90"/>
      <c r="X1103" s="90"/>
      <c r="Y1103" s="24"/>
      <c r="Z1103" s="24"/>
      <c r="AA1103" s="24"/>
      <c r="AB1103" s="24"/>
      <c r="AC1103" s="24"/>
      <c r="AD1103" s="24"/>
      <c r="AE1103" s="24"/>
      <c r="AF1103" s="24"/>
      <c r="AG1103" s="24"/>
      <c r="AH1103" s="24"/>
      <c r="AI1103" s="24"/>
      <c r="AJ1103" s="24"/>
      <c r="AK1103" s="24"/>
    </row>
    <row r="1104" spans="1:37" x14ac:dyDescent="0.25">
      <c r="A1104" s="24"/>
      <c r="B1104" s="90"/>
      <c r="C1104" s="92"/>
      <c r="D1104" s="24"/>
      <c r="E1104" s="90"/>
      <c r="F1104" s="90"/>
      <c r="G1104" s="24"/>
      <c r="H1104" s="90"/>
      <c r="I1104" s="24"/>
      <c r="J1104" s="90"/>
      <c r="K1104" s="90"/>
      <c r="L1104" s="24"/>
      <c r="M1104" s="24"/>
      <c r="N1104" s="24"/>
      <c r="O1104" s="90"/>
      <c r="P1104" s="24"/>
      <c r="Q1104" s="24"/>
      <c r="R1104" s="24"/>
      <c r="S1104" s="90"/>
      <c r="T1104" s="90"/>
      <c r="U1104" s="24"/>
      <c r="V1104" s="90"/>
      <c r="W1104" s="90"/>
      <c r="X1104" s="90"/>
      <c r="Y1104" s="24"/>
      <c r="Z1104" s="24"/>
      <c r="AA1104" s="24"/>
      <c r="AB1104" s="24"/>
      <c r="AC1104" s="24"/>
      <c r="AD1104" s="24"/>
      <c r="AE1104" s="24"/>
      <c r="AF1104" s="24"/>
      <c r="AG1104" s="24"/>
      <c r="AH1104" s="24"/>
      <c r="AI1104" s="24"/>
      <c r="AJ1104" s="24"/>
      <c r="AK1104" s="24"/>
    </row>
    <row r="1105" spans="1:37" x14ac:dyDescent="0.25">
      <c r="A1105" s="24"/>
      <c r="B1105" s="90"/>
      <c r="C1105" s="92"/>
      <c r="D1105" s="24"/>
      <c r="E1105" s="90"/>
      <c r="F1105" s="90"/>
      <c r="G1105" s="24"/>
      <c r="H1105" s="90"/>
      <c r="I1105" s="24"/>
      <c r="J1105" s="90"/>
      <c r="K1105" s="90"/>
      <c r="L1105" s="24"/>
      <c r="M1105" s="24"/>
      <c r="N1105" s="24"/>
      <c r="O1105" s="90"/>
      <c r="P1105" s="24"/>
      <c r="Q1105" s="24"/>
      <c r="R1105" s="24"/>
      <c r="S1105" s="90"/>
      <c r="T1105" s="90"/>
      <c r="U1105" s="24"/>
      <c r="V1105" s="90"/>
      <c r="W1105" s="90"/>
      <c r="X1105" s="90"/>
      <c r="Y1105" s="24"/>
      <c r="Z1105" s="24"/>
      <c r="AA1105" s="24"/>
      <c r="AB1105" s="24"/>
      <c r="AC1105" s="24"/>
      <c r="AD1105" s="24"/>
      <c r="AE1105" s="24"/>
      <c r="AF1105" s="24"/>
      <c r="AG1105" s="24"/>
      <c r="AH1105" s="24"/>
      <c r="AI1105" s="24"/>
      <c r="AJ1105" s="24"/>
      <c r="AK1105" s="24"/>
    </row>
    <row r="1106" spans="1:37" x14ac:dyDescent="0.25">
      <c r="A1106" s="24"/>
      <c r="B1106" s="90"/>
      <c r="C1106" s="92"/>
      <c r="D1106" s="24"/>
      <c r="E1106" s="90"/>
      <c r="F1106" s="90"/>
      <c r="G1106" s="24"/>
      <c r="H1106" s="90"/>
      <c r="I1106" s="24"/>
      <c r="J1106" s="90"/>
      <c r="K1106" s="90"/>
      <c r="L1106" s="24"/>
      <c r="M1106" s="24"/>
      <c r="N1106" s="24"/>
      <c r="O1106" s="90"/>
      <c r="P1106" s="24"/>
      <c r="Q1106" s="24"/>
      <c r="R1106" s="24"/>
      <c r="S1106" s="90"/>
      <c r="T1106" s="90"/>
      <c r="U1106" s="24"/>
      <c r="V1106" s="90"/>
      <c r="W1106" s="90"/>
      <c r="X1106" s="90"/>
      <c r="Y1106" s="24"/>
      <c r="Z1106" s="24"/>
      <c r="AA1106" s="24"/>
      <c r="AB1106" s="24"/>
      <c r="AC1106" s="24"/>
      <c r="AD1106" s="24"/>
      <c r="AE1106" s="24"/>
      <c r="AF1106" s="24"/>
      <c r="AG1106" s="24"/>
      <c r="AH1106" s="24"/>
      <c r="AI1106" s="24"/>
      <c r="AJ1106" s="24"/>
      <c r="AK1106" s="24"/>
    </row>
    <row r="1107" spans="1:37" x14ac:dyDescent="0.25">
      <c r="A1107" s="24"/>
      <c r="B1107" s="90"/>
      <c r="C1107" s="92"/>
      <c r="D1107" s="24"/>
      <c r="E1107" s="90"/>
      <c r="F1107" s="90"/>
      <c r="G1107" s="24"/>
      <c r="H1107" s="90"/>
      <c r="I1107" s="24"/>
      <c r="J1107" s="90"/>
      <c r="K1107" s="90"/>
      <c r="L1107" s="24"/>
      <c r="M1107" s="24"/>
      <c r="N1107" s="24"/>
      <c r="O1107" s="90"/>
      <c r="P1107" s="24"/>
      <c r="Q1107" s="24"/>
      <c r="R1107" s="24"/>
      <c r="S1107" s="90"/>
      <c r="T1107" s="90"/>
      <c r="U1107" s="24"/>
      <c r="V1107" s="90"/>
      <c r="W1107" s="90"/>
      <c r="X1107" s="90"/>
      <c r="Y1107" s="24"/>
      <c r="Z1107" s="24"/>
      <c r="AA1107" s="24"/>
      <c r="AB1107" s="24"/>
      <c r="AC1107" s="24"/>
      <c r="AD1107" s="24"/>
      <c r="AE1107" s="24"/>
      <c r="AF1107" s="24"/>
      <c r="AG1107" s="24"/>
      <c r="AH1107" s="24"/>
      <c r="AI1107" s="24"/>
      <c r="AJ1107" s="24"/>
      <c r="AK1107" s="24"/>
    </row>
    <row r="1108" spans="1:37" x14ac:dyDescent="0.25">
      <c r="A1108" s="24"/>
      <c r="B1108" s="90"/>
      <c r="C1108" s="92"/>
      <c r="D1108" s="24"/>
      <c r="E1108" s="90"/>
      <c r="F1108" s="90"/>
      <c r="G1108" s="24"/>
      <c r="H1108" s="90"/>
      <c r="I1108" s="24"/>
      <c r="J1108" s="90"/>
      <c r="K1108" s="90"/>
      <c r="L1108" s="24"/>
      <c r="M1108" s="24"/>
      <c r="N1108" s="24"/>
      <c r="O1108" s="90"/>
      <c r="P1108" s="24"/>
      <c r="Q1108" s="24"/>
      <c r="R1108" s="24"/>
      <c r="S1108" s="90"/>
      <c r="T1108" s="90"/>
      <c r="U1108" s="24"/>
      <c r="V1108" s="90"/>
      <c r="W1108" s="90"/>
      <c r="X1108" s="90"/>
      <c r="Y1108" s="24"/>
      <c r="Z1108" s="24"/>
      <c r="AA1108" s="24"/>
      <c r="AB1108" s="24"/>
      <c r="AC1108" s="24"/>
      <c r="AD1108" s="24"/>
      <c r="AE1108" s="24"/>
      <c r="AF1108" s="24"/>
      <c r="AG1108" s="24"/>
      <c r="AH1108" s="24"/>
      <c r="AI1108" s="24"/>
      <c r="AJ1108" s="24"/>
      <c r="AK1108" s="24"/>
    </row>
    <row r="1109" spans="1:37" x14ac:dyDescent="0.25">
      <c r="A1109" s="24"/>
      <c r="B1109" s="90"/>
      <c r="C1109" s="92"/>
      <c r="D1109" s="24"/>
      <c r="E1109" s="90"/>
      <c r="F1109" s="90"/>
      <c r="G1109" s="24"/>
      <c r="H1109" s="90"/>
      <c r="I1109" s="24"/>
      <c r="J1109" s="90"/>
      <c r="K1109" s="90"/>
      <c r="L1109" s="24"/>
      <c r="M1109" s="24"/>
      <c r="N1109" s="24"/>
      <c r="O1109" s="90"/>
      <c r="P1109" s="24"/>
      <c r="Q1109" s="24"/>
      <c r="R1109" s="24"/>
      <c r="S1109" s="90"/>
      <c r="T1109" s="90"/>
      <c r="U1109" s="24"/>
      <c r="V1109" s="90"/>
      <c r="W1109" s="90"/>
      <c r="X1109" s="90"/>
      <c r="Y1109" s="24"/>
      <c r="Z1109" s="24"/>
      <c r="AA1109" s="24"/>
      <c r="AB1109" s="24"/>
      <c r="AC1109" s="24"/>
      <c r="AD1109" s="24"/>
      <c r="AE1109" s="24"/>
      <c r="AF1109" s="24"/>
      <c r="AG1109" s="24"/>
      <c r="AH1109" s="24"/>
      <c r="AI1109" s="24"/>
      <c r="AJ1109" s="24"/>
      <c r="AK1109" s="24"/>
    </row>
    <row r="1110" spans="1:37" x14ac:dyDescent="0.25">
      <c r="A1110" s="24"/>
      <c r="B1110" s="90"/>
      <c r="C1110" s="92"/>
      <c r="D1110" s="24"/>
      <c r="E1110" s="90"/>
      <c r="F1110" s="90"/>
      <c r="G1110" s="24"/>
      <c r="H1110" s="90"/>
      <c r="I1110" s="24"/>
      <c r="J1110" s="90"/>
      <c r="K1110" s="90"/>
      <c r="L1110" s="24"/>
      <c r="M1110" s="24"/>
      <c r="N1110" s="24"/>
      <c r="O1110" s="90"/>
      <c r="P1110" s="24"/>
      <c r="Q1110" s="24"/>
      <c r="R1110" s="24"/>
      <c r="S1110" s="90"/>
      <c r="T1110" s="90"/>
      <c r="U1110" s="24"/>
      <c r="V1110" s="90"/>
      <c r="W1110" s="90"/>
      <c r="X1110" s="90"/>
      <c r="Y1110" s="24"/>
      <c r="Z1110" s="24"/>
      <c r="AA1110" s="24"/>
      <c r="AB1110" s="24"/>
      <c r="AC1110" s="24"/>
      <c r="AD1110" s="24"/>
      <c r="AE1110" s="24"/>
      <c r="AF1110" s="24"/>
      <c r="AG1110" s="24"/>
      <c r="AH1110" s="24"/>
      <c r="AI1110" s="24"/>
      <c r="AJ1110" s="24"/>
      <c r="AK1110" s="24"/>
    </row>
    <row r="1111" spans="1:37" x14ac:dyDescent="0.25">
      <c r="A1111" s="24"/>
      <c r="B1111" s="90"/>
      <c r="C1111" s="92"/>
      <c r="D1111" s="24"/>
      <c r="E1111" s="90"/>
      <c r="F1111" s="90"/>
      <c r="G1111" s="24"/>
      <c r="H1111" s="90"/>
      <c r="I1111" s="24"/>
      <c r="J1111" s="90"/>
      <c r="K1111" s="90"/>
      <c r="L1111" s="24"/>
      <c r="M1111" s="24"/>
      <c r="N1111" s="24"/>
      <c r="O1111" s="90"/>
      <c r="P1111" s="24"/>
      <c r="Q1111" s="24"/>
      <c r="R1111" s="24"/>
      <c r="S1111" s="90"/>
      <c r="T1111" s="90"/>
      <c r="U1111" s="24"/>
      <c r="V1111" s="90"/>
      <c r="W1111" s="90"/>
      <c r="X1111" s="90"/>
      <c r="Y1111" s="24"/>
      <c r="Z1111" s="24"/>
      <c r="AA1111" s="24"/>
      <c r="AB1111" s="24"/>
      <c r="AC1111" s="24"/>
      <c r="AD1111" s="24"/>
      <c r="AE1111" s="24"/>
      <c r="AF1111" s="24"/>
      <c r="AG1111" s="24"/>
      <c r="AH1111" s="24"/>
      <c r="AI1111" s="24"/>
      <c r="AJ1111" s="24"/>
      <c r="AK1111" s="24"/>
    </row>
    <row r="1112" spans="1:37" x14ac:dyDescent="0.25">
      <c r="A1112" s="24"/>
      <c r="B1112" s="90"/>
      <c r="C1112" s="92"/>
      <c r="D1112" s="24"/>
      <c r="E1112" s="90"/>
      <c r="F1112" s="90"/>
      <c r="G1112" s="24"/>
      <c r="H1112" s="90"/>
      <c r="I1112" s="24"/>
      <c r="J1112" s="90"/>
      <c r="K1112" s="90"/>
      <c r="L1112" s="24"/>
      <c r="M1112" s="24"/>
      <c r="N1112" s="24"/>
      <c r="O1112" s="90"/>
      <c r="P1112" s="24"/>
      <c r="Q1112" s="24"/>
      <c r="R1112" s="24"/>
      <c r="S1112" s="90"/>
      <c r="T1112" s="90"/>
      <c r="U1112" s="24"/>
      <c r="V1112" s="90"/>
      <c r="W1112" s="90"/>
      <c r="X1112" s="90"/>
      <c r="Y1112" s="24"/>
      <c r="Z1112" s="24"/>
      <c r="AA1112" s="24"/>
      <c r="AB1112" s="24"/>
      <c r="AC1112" s="24"/>
      <c r="AD1112" s="24"/>
      <c r="AE1112" s="24"/>
      <c r="AF1112" s="24"/>
      <c r="AG1112" s="24"/>
      <c r="AH1112" s="24"/>
      <c r="AI1112" s="24"/>
      <c r="AJ1112" s="24"/>
      <c r="AK1112" s="24"/>
    </row>
    <row r="1113" spans="1:37" x14ac:dyDescent="0.25">
      <c r="A1113" s="24"/>
      <c r="B1113" s="90"/>
      <c r="C1113" s="92"/>
      <c r="D1113" s="24"/>
      <c r="E1113" s="90"/>
      <c r="F1113" s="90"/>
      <c r="G1113" s="24"/>
      <c r="H1113" s="90"/>
      <c r="I1113" s="24"/>
      <c r="J1113" s="90"/>
      <c r="K1113" s="90"/>
      <c r="L1113" s="24"/>
      <c r="M1113" s="24"/>
      <c r="N1113" s="24"/>
      <c r="O1113" s="90"/>
      <c r="P1113" s="24"/>
      <c r="Q1113" s="24"/>
      <c r="R1113" s="24"/>
      <c r="S1113" s="90"/>
      <c r="T1113" s="90"/>
      <c r="U1113" s="24"/>
      <c r="V1113" s="90"/>
      <c r="W1113" s="90"/>
      <c r="X1113" s="90"/>
      <c r="Y1113" s="24"/>
      <c r="Z1113" s="24"/>
      <c r="AA1113" s="24"/>
      <c r="AB1113" s="24"/>
      <c r="AC1113" s="24"/>
      <c r="AD1113" s="24"/>
      <c r="AE1113" s="24"/>
      <c r="AF1113" s="24"/>
      <c r="AG1113" s="24"/>
      <c r="AH1113" s="24"/>
      <c r="AI1113" s="24"/>
      <c r="AJ1113" s="24"/>
      <c r="AK1113" s="24"/>
    </row>
    <row r="1114" spans="1:37" x14ac:dyDescent="0.25">
      <c r="A1114" s="24"/>
      <c r="B1114" s="90"/>
      <c r="C1114" s="92"/>
      <c r="D1114" s="24"/>
      <c r="E1114" s="90"/>
      <c r="F1114" s="90"/>
      <c r="G1114" s="24"/>
      <c r="H1114" s="90"/>
      <c r="I1114" s="24"/>
      <c r="J1114" s="90"/>
      <c r="K1114" s="90"/>
      <c r="L1114" s="24"/>
      <c r="M1114" s="24"/>
      <c r="N1114" s="24"/>
      <c r="O1114" s="90"/>
      <c r="P1114" s="24"/>
      <c r="Q1114" s="24"/>
      <c r="R1114" s="24"/>
      <c r="S1114" s="90"/>
      <c r="T1114" s="90"/>
      <c r="U1114" s="24"/>
      <c r="V1114" s="90"/>
      <c r="W1114" s="90"/>
      <c r="X1114" s="90"/>
      <c r="Y1114" s="24"/>
      <c r="Z1114" s="24"/>
      <c r="AA1114" s="24"/>
      <c r="AB1114" s="24"/>
      <c r="AC1114" s="24"/>
      <c r="AD1114" s="24"/>
      <c r="AE1114" s="24"/>
      <c r="AF1114" s="24"/>
      <c r="AG1114" s="24"/>
      <c r="AH1114" s="24"/>
      <c r="AI1114" s="24"/>
      <c r="AJ1114" s="24"/>
      <c r="AK1114" s="24"/>
    </row>
    <row r="1115" spans="1:37" x14ac:dyDescent="0.25">
      <c r="A1115" s="24"/>
      <c r="B1115" s="90"/>
      <c r="C1115" s="92"/>
      <c r="D1115" s="24"/>
      <c r="E1115" s="90"/>
      <c r="F1115" s="90"/>
      <c r="G1115" s="24"/>
      <c r="H1115" s="90"/>
      <c r="I1115" s="24"/>
      <c r="J1115" s="90"/>
      <c r="K1115" s="90"/>
      <c r="L1115" s="24"/>
      <c r="M1115" s="24"/>
      <c r="N1115" s="24"/>
      <c r="O1115" s="90"/>
      <c r="P1115" s="24"/>
      <c r="Q1115" s="24"/>
      <c r="R1115" s="24"/>
      <c r="S1115" s="90"/>
      <c r="T1115" s="90"/>
      <c r="U1115" s="24"/>
      <c r="V1115" s="90"/>
      <c r="W1115" s="90"/>
      <c r="X1115" s="90"/>
      <c r="Y1115" s="24"/>
      <c r="Z1115" s="24"/>
      <c r="AA1115" s="24"/>
      <c r="AB1115" s="24"/>
      <c r="AC1115" s="24"/>
      <c r="AD1115" s="24"/>
      <c r="AE1115" s="24"/>
      <c r="AF1115" s="24"/>
      <c r="AG1115" s="24"/>
      <c r="AH1115" s="24"/>
      <c r="AI1115" s="24"/>
      <c r="AJ1115" s="24"/>
      <c r="AK1115" s="24"/>
    </row>
    <row r="1116" spans="1:37" x14ac:dyDescent="0.25">
      <c r="A1116" s="24"/>
      <c r="B1116" s="90"/>
      <c r="C1116" s="92"/>
      <c r="D1116" s="24"/>
      <c r="E1116" s="90"/>
      <c r="F1116" s="90"/>
      <c r="G1116" s="24"/>
      <c r="H1116" s="90"/>
      <c r="I1116" s="24"/>
      <c r="J1116" s="90"/>
      <c r="K1116" s="90"/>
      <c r="L1116" s="24"/>
      <c r="M1116" s="24"/>
      <c r="N1116" s="24"/>
      <c r="O1116" s="90"/>
      <c r="P1116" s="24"/>
      <c r="Q1116" s="24"/>
      <c r="R1116" s="24"/>
      <c r="S1116" s="90"/>
      <c r="T1116" s="90"/>
      <c r="U1116" s="24"/>
      <c r="V1116" s="90"/>
      <c r="W1116" s="90"/>
      <c r="X1116" s="90"/>
      <c r="Y1116" s="24"/>
      <c r="Z1116" s="24"/>
      <c r="AA1116" s="24"/>
      <c r="AB1116" s="24"/>
      <c r="AC1116" s="24"/>
      <c r="AD1116" s="24"/>
      <c r="AE1116" s="24"/>
      <c r="AF1116" s="24"/>
      <c r="AG1116" s="24"/>
      <c r="AH1116" s="24"/>
      <c r="AI1116" s="24"/>
      <c r="AJ1116" s="24"/>
      <c r="AK1116" s="24"/>
    </row>
    <row r="1117" spans="1:37" x14ac:dyDescent="0.25">
      <c r="A1117" s="24"/>
      <c r="B1117" s="90"/>
      <c r="C1117" s="92"/>
      <c r="D1117" s="24"/>
      <c r="E1117" s="90"/>
      <c r="F1117" s="90"/>
      <c r="G1117" s="24"/>
      <c r="H1117" s="90"/>
      <c r="I1117" s="24"/>
      <c r="J1117" s="90"/>
      <c r="K1117" s="90"/>
      <c r="L1117" s="24"/>
      <c r="M1117" s="24"/>
      <c r="N1117" s="24"/>
      <c r="O1117" s="90"/>
      <c r="P1117" s="24"/>
      <c r="Q1117" s="24"/>
      <c r="R1117" s="24"/>
      <c r="S1117" s="90"/>
      <c r="T1117" s="90"/>
      <c r="U1117" s="24"/>
      <c r="V1117" s="90"/>
      <c r="W1117" s="90"/>
      <c r="X1117" s="90"/>
      <c r="Y1117" s="24"/>
      <c r="Z1117" s="24"/>
      <c r="AA1117" s="24"/>
      <c r="AB1117" s="24"/>
      <c r="AC1117" s="24"/>
      <c r="AD1117" s="24"/>
      <c r="AE1117" s="24"/>
      <c r="AF1117" s="24"/>
      <c r="AG1117" s="24"/>
      <c r="AH1117" s="24"/>
      <c r="AI1117" s="24"/>
      <c r="AJ1117" s="24"/>
      <c r="AK1117" s="24"/>
    </row>
    <row r="1118" spans="1:37" x14ac:dyDescent="0.25">
      <c r="A1118" s="24"/>
      <c r="B1118" s="90"/>
      <c r="C1118" s="92"/>
      <c r="D1118" s="24"/>
      <c r="E1118" s="90"/>
      <c r="F1118" s="90"/>
      <c r="G1118" s="24"/>
      <c r="H1118" s="90"/>
      <c r="I1118" s="24"/>
      <c r="J1118" s="90"/>
      <c r="K1118" s="90"/>
      <c r="L1118" s="24"/>
      <c r="M1118" s="24"/>
      <c r="N1118" s="24"/>
      <c r="O1118" s="90"/>
      <c r="P1118" s="24"/>
      <c r="Q1118" s="24"/>
      <c r="R1118" s="24"/>
      <c r="S1118" s="90"/>
      <c r="T1118" s="90"/>
      <c r="U1118" s="24"/>
      <c r="V1118" s="90"/>
      <c r="W1118" s="90"/>
      <c r="X1118" s="90"/>
      <c r="Y1118" s="24"/>
      <c r="Z1118" s="24"/>
      <c r="AA1118" s="24"/>
      <c r="AB1118" s="24"/>
      <c r="AC1118" s="24"/>
      <c r="AD1118" s="24"/>
      <c r="AE1118" s="24"/>
      <c r="AF1118" s="24"/>
      <c r="AG1118" s="24"/>
      <c r="AH1118" s="24"/>
      <c r="AI1118" s="24"/>
      <c r="AJ1118" s="24"/>
      <c r="AK1118" s="24"/>
    </row>
    <row r="1119" spans="1:37" x14ac:dyDescent="0.25">
      <c r="A1119" s="24"/>
      <c r="B1119" s="90"/>
      <c r="C1119" s="92"/>
      <c r="D1119" s="24"/>
      <c r="E1119" s="90"/>
      <c r="F1119" s="90"/>
      <c r="G1119" s="24"/>
      <c r="H1119" s="90"/>
      <c r="I1119" s="24"/>
      <c r="J1119" s="90"/>
      <c r="K1119" s="90"/>
      <c r="L1119" s="24"/>
      <c r="M1119" s="24"/>
      <c r="N1119" s="24"/>
      <c r="O1119" s="90"/>
      <c r="P1119" s="24"/>
      <c r="Q1119" s="24"/>
      <c r="R1119" s="24"/>
      <c r="S1119" s="90"/>
      <c r="T1119" s="90"/>
      <c r="U1119" s="24"/>
      <c r="V1119" s="90"/>
      <c r="W1119" s="90"/>
      <c r="X1119" s="90"/>
      <c r="Y1119" s="24"/>
      <c r="Z1119" s="24"/>
      <c r="AA1119" s="24"/>
      <c r="AB1119" s="24"/>
      <c r="AC1119" s="24"/>
      <c r="AD1119" s="24"/>
      <c r="AE1119" s="24"/>
      <c r="AF1119" s="24"/>
      <c r="AG1119" s="24"/>
      <c r="AH1119" s="24"/>
      <c r="AI1119" s="24"/>
      <c r="AJ1119" s="24"/>
      <c r="AK1119" s="24"/>
    </row>
    <row r="1120" spans="1:37" x14ac:dyDescent="0.25">
      <c r="A1120" s="24"/>
      <c r="B1120" s="90"/>
      <c r="C1120" s="92"/>
      <c r="D1120" s="24"/>
      <c r="E1120" s="90"/>
      <c r="F1120" s="90"/>
      <c r="G1120" s="24"/>
      <c r="H1120" s="90"/>
      <c r="I1120" s="24"/>
      <c r="J1120" s="90"/>
      <c r="K1120" s="90"/>
      <c r="L1120" s="24"/>
      <c r="M1120" s="24"/>
      <c r="N1120" s="24"/>
      <c r="O1120" s="90"/>
      <c r="P1120" s="24"/>
      <c r="Q1120" s="24"/>
      <c r="R1120" s="24"/>
      <c r="S1120" s="90"/>
      <c r="T1120" s="90"/>
      <c r="U1120" s="24"/>
      <c r="V1120" s="90"/>
      <c r="W1120" s="90"/>
      <c r="X1120" s="90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</row>
    <row r="1121" spans="1:37" x14ac:dyDescent="0.25">
      <c r="A1121" s="24"/>
      <c r="B1121" s="90"/>
      <c r="C1121" s="92"/>
      <c r="D1121" s="24"/>
      <c r="E1121" s="90"/>
      <c r="F1121" s="90"/>
      <c r="G1121" s="24"/>
      <c r="H1121" s="90"/>
      <c r="I1121" s="24"/>
      <c r="J1121" s="90"/>
      <c r="K1121" s="90"/>
      <c r="L1121" s="24"/>
      <c r="M1121" s="24"/>
      <c r="N1121" s="24"/>
      <c r="O1121" s="90"/>
      <c r="P1121" s="24"/>
      <c r="Q1121" s="24"/>
      <c r="R1121" s="24"/>
      <c r="S1121" s="90"/>
      <c r="T1121" s="90"/>
      <c r="U1121" s="24"/>
      <c r="V1121" s="90"/>
      <c r="W1121" s="90"/>
      <c r="X1121" s="90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</row>
    <row r="1122" spans="1:37" x14ac:dyDescent="0.25">
      <c r="A1122" s="24"/>
      <c r="B1122" s="90"/>
      <c r="C1122" s="92"/>
      <c r="D1122" s="24"/>
      <c r="E1122" s="90"/>
      <c r="F1122" s="90"/>
      <c r="G1122" s="24"/>
      <c r="H1122" s="90"/>
      <c r="I1122" s="24"/>
      <c r="J1122" s="90"/>
      <c r="K1122" s="90"/>
      <c r="L1122" s="24"/>
      <c r="M1122" s="24"/>
      <c r="N1122" s="24"/>
      <c r="O1122" s="90"/>
      <c r="P1122" s="24"/>
      <c r="Q1122" s="24"/>
      <c r="R1122" s="24"/>
      <c r="S1122" s="90"/>
      <c r="T1122" s="90"/>
      <c r="U1122" s="24"/>
      <c r="V1122" s="90"/>
      <c r="W1122" s="90"/>
      <c r="X1122" s="90"/>
      <c r="Y1122" s="24"/>
      <c r="Z1122" s="24"/>
      <c r="AA1122" s="24"/>
      <c r="AB1122" s="24"/>
      <c r="AC1122" s="24"/>
      <c r="AD1122" s="24"/>
      <c r="AE1122" s="24"/>
      <c r="AF1122" s="24"/>
      <c r="AG1122" s="24"/>
      <c r="AH1122" s="24"/>
      <c r="AI1122" s="24"/>
      <c r="AJ1122" s="24"/>
      <c r="AK1122" s="24"/>
    </row>
    <row r="1123" spans="1:37" x14ac:dyDescent="0.25">
      <c r="A1123" s="24"/>
      <c r="B1123" s="90"/>
      <c r="C1123" s="92"/>
      <c r="D1123" s="24"/>
      <c r="E1123" s="90"/>
      <c r="F1123" s="90"/>
      <c r="G1123" s="24"/>
      <c r="H1123" s="90"/>
      <c r="I1123" s="24"/>
      <c r="J1123" s="90"/>
      <c r="K1123" s="90"/>
      <c r="L1123" s="24"/>
      <c r="M1123" s="24"/>
      <c r="N1123" s="24"/>
      <c r="O1123" s="90"/>
      <c r="P1123" s="24"/>
      <c r="Q1123" s="24"/>
      <c r="R1123" s="24"/>
      <c r="S1123" s="90"/>
      <c r="T1123" s="90"/>
      <c r="U1123" s="24"/>
      <c r="V1123" s="90"/>
      <c r="W1123" s="90"/>
      <c r="X1123" s="90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</row>
    <row r="1124" spans="1:37" x14ac:dyDescent="0.25">
      <c r="A1124" s="24"/>
      <c r="B1124" s="90"/>
      <c r="C1124" s="92"/>
      <c r="D1124" s="24"/>
      <c r="E1124" s="90"/>
      <c r="F1124" s="90"/>
      <c r="G1124" s="24"/>
      <c r="H1124" s="90"/>
      <c r="I1124" s="24"/>
      <c r="J1124" s="90"/>
      <c r="K1124" s="90"/>
      <c r="L1124" s="24"/>
      <c r="M1124" s="24"/>
      <c r="N1124" s="24"/>
      <c r="O1124" s="90"/>
      <c r="P1124" s="24"/>
      <c r="Q1124" s="24"/>
      <c r="R1124" s="24"/>
      <c r="S1124" s="90"/>
      <c r="T1124" s="90"/>
      <c r="U1124" s="24"/>
      <c r="V1124" s="90"/>
      <c r="W1124" s="90"/>
      <c r="X1124" s="90"/>
      <c r="Y1124" s="24"/>
      <c r="Z1124" s="24"/>
      <c r="AA1124" s="24"/>
      <c r="AB1124" s="24"/>
      <c r="AC1124" s="24"/>
      <c r="AD1124" s="24"/>
      <c r="AE1124" s="24"/>
      <c r="AF1124" s="24"/>
      <c r="AG1124" s="24"/>
      <c r="AH1124" s="24"/>
      <c r="AI1124" s="24"/>
      <c r="AJ1124" s="24"/>
      <c r="AK1124" s="24"/>
    </row>
    <row r="1125" spans="1:37" x14ac:dyDescent="0.25">
      <c r="A1125" s="24"/>
      <c r="B1125" s="90"/>
      <c r="C1125" s="92"/>
      <c r="D1125" s="24"/>
      <c r="E1125" s="90"/>
      <c r="F1125" s="90"/>
      <c r="G1125" s="24"/>
      <c r="H1125" s="90"/>
      <c r="I1125" s="24"/>
      <c r="J1125" s="90"/>
      <c r="K1125" s="90"/>
      <c r="L1125" s="24"/>
      <c r="M1125" s="24"/>
      <c r="N1125" s="24"/>
      <c r="O1125" s="90"/>
      <c r="P1125" s="24"/>
      <c r="Q1125" s="24"/>
      <c r="R1125" s="24"/>
      <c r="S1125" s="90"/>
      <c r="T1125" s="90"/>
      <c r="U1125" s="24"/>
      <c r="V1125" s="90"/>
      <c r="W1125" s="90"/>
      <c r="X1125" s="90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</row>
    <row r="1126" spans="1:37" x14ac:dyDescent="0.25">
      <c r="A1126" s="24"/>
      <c r="B1126" s="90"/>
      <c r="C1126" s="92"/>
      <c r="D1126" s="24"/>
      <c r="E1126" s="90"/>
      <c r="F1126" s="90"/>
      <c r="G1126" s="24"/>
      <c r="H1126" s="90"/>
      <c r="I1126" s="24"/>
      <c r="J1126" s="90"/>
      <c r="K1126" s="90"/>
      <c r="L1126" s="24"/>
      <c r="M1126" s="24"/>
      <c r="N1126" s="24"/>
      <c r="O1126" s="90"/>
      <c r="P1126" s="24"/>
      <c r="Q1126" s="24"/>
      <c r="R1126" s="24"/>
      <c r="S1126" s="90"/>
      <c r="T1126" s="90"/>
      <c r="U1126" s="24"/>
      <c r="V1126" s="90"/>
      <c r="W1126" s="90"/>
      <c r="X1126" s="90"/>
      <c r="Y1126" s="24"/>
      <c r="Z1126" s="24"/>
      <c r="AA1126" s="24"/>
      <c r="AB1126" s="24"/>
      <c r="AC1126" s="24"/>
      <c r="AD1126" s="24"/>
      <c r="AE1126" s="24"/>
      <c r="AF1126" s="24"/>
      <c r="AG1126" s="24"/>
      <c r="AH1126" s="24"/>
      <c r="AI1126" s="24"/>
      <c r="AJ1126" s="24"/>
      <c r="AK1126" s="24"/>
    </row>
    <row r="1127" spans="1:37" x14ac:dyDescent="0.25">
      <c r="A1127" s="24"/>
      <c r="B1127" s="90"/>
      <c r="C1127" s="92"/>
      <c r="D1127" s="24"/>
      <c r="E1127" s="90"/>
      <c r="F1127" s="90"/>
      <c r="G1127" s="24"/>
      <c r="H1127" s="90"/>
      <c r="I1127" s="24"/>
      <c r="J1127" s="90"/>
      <c r="K1127" s="90"/>
      <c r="L1127" s="24"/>
      <c r="M1127" s="24"/>
      <c r="N1127" s="24"/>
      <c r="O1127" s="90"/>
      <c r="P1127" s="24"/>
      <c r="Q1127" s="24"/>
      <c r="R1127" s="24"/>
      <c r="S1127" s="90"/>
      <c r="T1127" s="90"/>
      <c r="U1127" s="24"/>
      <c r="V1127" s="90"/>
      <c r="W1127" s="90"/>
      <c r="X1127" s="90"/>
      <c r="Y1127" s="24"/>
      <c r="Z1127" s="24"/>
      <c r="AA1127" s="24"/>
      <c r="AB1127" s="24"/>
      <c r="AC1127" s="24"/>
      <c r="AD1127" s="24"/>
      <c r="AE1127" s="24"/>
      <c r="AF1127" s="24"/>
      <c r="AG1127" s="24"/>
      <c r="AH1127" s="24"/>
      <c r="AI1127" s="24"/>
      <c r="AJ1127" s="24"/>
      <c r="AK1127" s="24"/>
    </row>
    <row r="1128" spans="1:37" x14ac:dyDescent="0.25">
      <c r="A1128" s="24"/>
      <c r="B1128" s="90"/>
      <c r="C1128" s="92"/>
      <c r="D1128" s="24"/>
      <c r="E1128" s="90"/>
      <c r="F1128" s="90"/>
      <c r="G1128" s="24"/>
      <c r="H1128" s="90"/>
      <c r="I1128" s="24"/>
      <c r="J1128" s="90"/>
      <c r="K1128" s="90"/>
      <c r="L1128" s="24"/>
      <c r="M1128" s="24"/>
      <c r="N1128" s="24"/>
      <c r="O1128" s="90"/>
      <c r="P1128" s="24"/>
      <c r="Q1128" s="24"/>
      <c r="R1128" s="24"/>
      <c r="S1128" s="90"/>
      <c r="T1128" s="90"/>
      <c r="U1128" s="24"/>
      <c r="V1128" s="90"/>
      <c r="W1128" s="90"/>
      <c r="X1128" s="90"/>
      <c r="Y1128" s="24"/>
      <c r="Z1128" s="24"/>
      <c r="AA1128" s="24"/>
      <c r="AB1128" s="24"/>
      <c r="AC1128" s="24"/>
      <c r="AD1128" s="24"/>
      <c r="AE1128" s="24"/>
      <c r="AF1128" s="24"/>
      <c r="AG1128" s="24"/>
      <c r="AH1128" s="24"/>
      <c r="AI1128" s="24"/>
      <c r="AJ1128" s="24"/>
      <c r="AK1128" s="24"/>
    </row>
    <row r="1129" spans="1:37" x14ac:dyDescent="0.25">
      <c r="A1129" s="24"/>
      <c r="B1129" s="90"/>
      <c r="C1129" s="92"/>
      <c r="D1129" s="24"/>
      <c r="E1129" s="90"/>
      <c r="F1129" s="90"/>
      <c r="G1129" s="24"/>
      <c r="H1129" s="90"/>
      <c r="I1129" s="24"/>
      <c r="J1129" s="90"/>
      <c r="K1129" s="90"/>
      <c r="L1129" s="24"/>
      <c r="M1129" s="24"/>
      <c r="N1129" s="24"/>
      <c r="O1129" s="90"/>
      <c r="P1129" s="24"/>
      <c r="Q1129" s="24"/>
      <c r="R1129" s="24"/>
      <c r="S1129" s="90"/>
      <c r="T1129" s="90"/>
      <c r="U1129" s="24"/>
      <c r="V1129" s="90"/>
      <c r="W1129" s="90"/>
      <c r="X1129" s="90"/>
      <c r="Y1129" s="24"/>
      <c r="Z1129" s="24"/>
      <c r="AA1129" s="24"/>
      <c r="AB1129" s="24"/>
      <c r="AC1129" s="24"/>
      <c r="AD1129" s="24"/>
      <c r="AE1129" s="24"/>
      <c r="AF1129" s="24"/>
      <c r="AG1129" s="24"/>
      <c r="AH1129" s="24"/>
      <c r="AI1129" s="24"/>
      <c r="AJ1129" s="24"/>
      <c r="AK1129" s="24"/>
    </row>
    <row r="1130" spans="1:37" x14ac:dyDescent="0.25">
      <c r="A1130" s="24"/>
      <c r="B1130" s="90"/>
      <c r="C1130" s="92"/>
      <c r="D1130" s="24"/>
      <c r="E1130" s="90"/>
      <c r="F1130" s="90"/>
      <c r="G1130" s="24"/>
      <c r="H1130" s="90"/>
      <c r="I1130" s="24"/>
      <c r="J1130" s="90"/>
      <c r="K1130" s="90"/>
      <c r="L1130" s="24"/>
      <c r="M1130" s="24"/>
      <c r="N1130" s="24"/>
      <c r="O1130" s="90"/>
      <c r="P1130" s="24"/>
      <c r="Q1130" s="24"/>
      <c r="R1130" s="24"/>
      <c r="S1130" s="90"/>
      <c r="T1130" s="90"/>
      <c r="U1130" s="24"/>
      <c r="V1130" s="90"/>
      <c r="W1130" s="90"/>
      <c r="X1130" s="90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</row>
    <row r="1131" spans="1:37" x14ac:dyDescent="0.25">
      <c r="A1131" s="24"/>
      <c r="B1131" s="90"/>
      <c r="C1131" s="92"/>
      <c r="D1131" s="24"/>
      <c r="E1131" s="90"/>
      <c r="F1131" s="90"/>
      <c r="G1131" s="24"/>
      <c r="H1131" s="90"/>
      <c r="I1131" s="24"/>
      <c r="J1131" s="90"/>
      <c r="K1131" s="90"/>
      <c r="L1131" s="24"/>
      <c r="M1131" s="24"/>
      <c r="N1131" s="24"/>
      <c r="O1131" s="90"/>
      <c r="P1131" s="24"/>
      <c r="Q1131" s="24"/>
      <c r="R1131" s="24"/>
      <c r="S1131" s="90"/>
      <c r="T1131" s="90"/>
      <c r="U1131" s="24"/>
      <c r="V1131" s="90"/>
      <c r="W1131" s="90"/>
      <c r="X1131" s="90"/>
      <c r="Y1131" s="24"/>
      <c r="Z1131" s="24"/>
      <c r="AA1131" s="24"/>
      <c r="AB1131" s="24"/>
      <c r="AC1131" s="24"/>
      <c r="AD1131" s="24"/>
      <c r="AE1131" s="24"/>
      <c r="AF1131" s="24"/>
      <c r="AG1131" s="24"/>
      <c r="AH1131" s="24"/>
      <c r="AI1131" s="24"/>
      <c r="AJ1131" s="24"/>
      <c r="AK1131" s="24"/>
    </row>
    <row r="1132" spans="1:37" x14ac:dyDescent="0.25">
      <c r="A1132" s="24"/>
      <c r="B1132" s="90"/>
      <c r="C1132" s="92"/>
      <c r="D1132" s="24"/>
      <c r="E1132" s="90"/>
      <c r="F1132" s="90"/>
      <c r="G1132" s="24"/>
      <c r="H1132" s="90"/>
      <c r="I1132" s="24"/>
      <c r="J1132" s="90"/>
      <c r="K1132" s="90"/>
      <c r="L1132" s="24"/>
      <c r="M1132" s="24"/>
      <c r="N1132" s="24"/>
      <c r="O1132" s="90"/>
      <c r="P1132" s="24"/>
      <c r="Q1132" s="24"/>
      <c r="R1132" s="24"/>
      <c r="S1132" s="90"/>
      <c r="T1132" s="90"/>
      <c r="U1132" s="24"/>
      <c r="V1132" s="90"/>
      <c r="W1132" s="90"/>
      <c r="X1132" s="90"/>
      <c r="Y1132" s="24"/>
      <c r="Z1132" s="24"/>
      <c r="AA1132" s="24"/>
      <c r="AB1132" s="24"/>
      <c r="AC1132" s="24"/>
      <c r="AD1132" s="24"/>
      <c r="AE1132" s="24"/>
      <c r="AF1132" s="24"/>
      <c r="AG1132" s="24"/>
      <c r="AH1132" s="24"/>
      <c r="AI1132" s="24"/>
      <c r="AJ1132" s="24"/>
      <c r="AK1132" s="24"/>
    </row>
    <row r="1133" spans="1:37" x14ac:dyDescent="0.25">
      <c r="A1133" s="24"/>
      <c r="B1133" s="90"/>
      <c r="C1133" s="92"/>
      <c r="D1133" s="24"/>
      <c r="E1133" s="90"/>
      <c r="F1133" s="90"/>
      <c r="G1133" s="24"/>
      <c r="H1133" s="90"/>
      <c r="I1133" s="24"/>
      <c r="J1133" s="90"/>
      <c r="K1133" s="90"/>
      <c r="L1133" s="24"/>
      <c r="M1133" s="24"/>
      <c r="N1133" s="24"/>
      <c r="O1133" s="90"/>
      <c r="P1133" s="24"/>
      <c r="Q1133" s="24"/>
      <c r="R1133" s="24"/>
      <c r="S1133" s="90"/>
      <c r="T1133" s="90"/>
      <c r="U1133" s="24"/>
      <c r="V1133" s="90"/>
      <c r="W1133" s="90"/>
      <c r="X1133" s="90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</row>
    <row r="1134" spans="1:37" x14ac:dyDescent="0.25">
      <c r="A1134" s="24"/>
      <c r="B1134" s="90"/>
      <c r="C1134" s="92"/>
      <c r="D1134" s="24"/>
      <c r="E1134" s="90"/>
      <c r="F1134" s="90"/>
      <c r="G1134" s="24"/>
      <c r="H1134" s="90"/>
      <c r="I1134" s="24"/>
      <c r="J1134" s="90"/>
      <c r="K1134" s="90"/>
      <c r="L1134" s="24"/>
      <c r="M1134" s="24"/>
      <c r="N1134" s="24"/>
      <c r="O1134" s="90"/>
      <c r="P1134" s="24"/>
      <c r="Q1134" s="24"/>
      <c r="R1134" s="24"/>
      <c r="S1134" s="90"/>
      <c r="T1134" s="90"/>
      <c r="U1134" s="24"/>
      <c r="V1134" s="90"/>
      <c r="W1134" s="90"/>
      <c r="X1134" s="90"/>
      <c r="Y1134" s="24"/>
      <c r="Z1134" s="24"/>
      <c r="AA1134" s="24"/>
      <c r="AB1134" s="24"/>
      <c r="AC1134" s="24"/>
      <c r="AD1134" s="24"/>
      <c r="AE1134" s="24"/>
      <c r="AF1134" s="24"/>
      <c r="AG1134" s="24"/>
      <c r="AH1134" s="24"/>
      <c r="AI1134" s="24"/>
      <c r="AJ1134" s="24"/>
      <c r="AK1134" s="24"/>
    </row>
    <row r="1135" spans="1:37" x14ac:dyDescent="0.25">
      <c r="A1135" s="24"/>
      <c r="B1135" s="90"/>
      <c r="C1135" s="92"/>
      <c r="D1135" s="24"/>
      <c r="E1135" s="90"/>
      <c r="F1135" s="90"/>
      <c r="G1135" s="24"/>
      <c r="H1135" s="90"/>
      <c r="I1135" s="24"/>
      <c r="J1135" s="90"/>
      <c r="K1135" s="90"/>
      <c r="L1135" s="24"/>
      <c r="M1135" s="24"/>
      <c r="N1135" s="24"/>
      <c r="O1135" s="90"/>
      <c r="P1135" s="24"/>
      <c r="Q1135" s="24"/>
      <c r="R1135" s="24"/>
      <c r="S1135" s="90"/>
      <c r="T1135" s="90"/>
      <c r="U1135" s="24"/>
      <c r="V1135" s="90"/>
      <c r="W1135" s="90"/>
      <c r="X1135" s="90"/>
      <c r="Y1135" s="24"/>
      <c r="Z1135" s="24"/>
      <c r="AA1135" s="24"/>
      <c r="AB1135" s="24"/>
      <c r="AC1135" s="24"/>
      <c r="AD1135" s="24"/>
      <c r="AE1135" s="24"/>
      <c r="AF1135" s="24"/>
      <c r="AG1135" s="24"/>
      <c r="AH1135" s="24"/>
      <c r="AI1135" s="24"/>
      <c r="AJ1135" s="24"/>
      <c r="AK1135" s="24"/>
    </row>
    <row r="1136" spans="1:37" x14ac:dyDescent="0.25">
      <c r="A1136" s="24"/>
      <c r="B1136" s="90"/>
      <c r="C1136" s="92"/>
      <c r="D1136" s="24"/>
      <c r="E1136" s="90"/>
      <c r="F1136" s="90"/>
      <c r="G1136" s="24"/>
      <c r="H1136" s="90"/>
      <c r="I1136" s="24"/>
      <c r="J1136" s="90"/>
      <c r="K1136" s="90"/>
      <c r="L1136" s="24"/>
      <c r="M1136" s="24"/>
      <c r="N1136" s="24"/>
      <c r="O1136" s="90"/>
      <c r="P1136" s="24"/>
      <c r="Q1136" s="24"/>
      <c r="R1136" s="24"/>
      <c r="S1136" s="90"/>
      <c r="T1136" s="90"/>
      <c r="U1136" s="24"/>
      <c r="V1136" s="90"/>
      <c r="W1136" s="90"/>
      <c r="X1136" s="90"/>
      <c r="Y1136" s="24"/>
      <c r="Z1136" s="24"/>
      <c r="AA1136" s="24"/>
      <c r="AB1136" s="24"/>
      <c r="AC1136" s="24"/>
      <c r="AD1136" s="24"/>
      <c r="AE1136" s="24"/>
      <c r="AF1136" s="24"/>
      <c r="AG1136" s="24"/>
      <c r="AH1136" s="24"/>
      <c r="AI1136" s="24"/>
      <c r="AJ1136" s="24"/>
      <c r="AK1136" s="24"/>
    </row>
    <row r="1137" spans="1:37" x14ac:dyDescent="0.25">
      <c r="A1137" s="24"/>
      <c r="B1137" s="90"/>
      <c r="C1137" s="92"/>
      <c r="D1137" s="24"/>
      <c r="E1137" s="90"/>
      <c r="F1137" s="90"/>
      <c r="G1137" s="24"/>
      <c r="H1137" s="90"/>
      <c r="I1137" s="24"/>
      <c r="J1137" s="90"/>
      <c r="K1137" s="90"/>
      <c r="L1137" s="24"/>
      <c r="M1137" s="24"/>
      <c r="N1137" s="24"/>
      <c r="O1137" s="90"/>
      <c r="P1137" s="24"/>
      <c r="Q1137" s="24"/>
      <c r="R1137" s="24"/>
      <c r="S1137" s="90"/>
      <c r="T1137" s="90"/>
      <c r="U1137" s="24"/>
      <c r="V1137" s="90"/>
      <c r="W1137" s="90"/>
      <c r="X1137" s="90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</row>
    <row r="1138" spans="1:37" x14ac:dyDescent="0.25">
      <c r="A1138" s="24"/>
      <c r="B1138" s="90"/>
      <c r="C1138" s="92"/>
      <c r="D1138" s="24"/>
      <c r="E1138" s="90"/>
      <c r="F1138" s="90"/>
      <c r="G1138" s="24"/>
      <c r="H1138" s="90"/>
      <c r="I1138" s="24"/>
      <c r="J1138" s="90"/>
      <c r="K1138" s="90"/>
      <c r="L1138" s="24"/>
      <c r="M1138" s="24"/>
      <c r="N1138" s="24"/>
      <c r="O1138" s="90"/>
      <c r="P1138" s="24"/>
      <c r="Q1138" s="24"/>
      <c r="R1138" s="24"/>
      <c r="S1138" s="90"/>
      <c r="T1138" s="90"/>
      <c r="U1138" s="24"/>
      <c r="V1138" s="90"/>
      <c r="W1138" s="90"/>
      <c r="X1138" s="90"/>
      <c r="Y1138" s="24"/>
      <c r="Z1138" s="24"/>
      <c r="AA1138" s="24"/>
      <c r="AB1138" s="24"/>
      <c r="AC1138" s="24"/>
      <c r="AD1138" s="24"/>
      <c r="AE1138" s="24"/>
      <c r="AF1138" s="24"/>
      <c r="AG1138" s="24"/>
      <c r="AH1138" s="24"/>
      <c r="AI1138" s="24"/>
      <c r="AJ1138" s="24"/>
      <c r="AK1138" s="24"/>
    </row>
    <row r="1139" spans="1:37" x14ac:dyDescent="0.25">
      <c r="A1139" s="24"/>
      <c r="B1139" s="90"/>
      <c r="C1139" s="92"/>
      <c r="D1139" s="24"/>
      <c r="E1139" s="90"/>
      <c r="F1139" s="90"/>
      <c r="G1139" s="24"/>
      <c r="H1139" s="90"/>
      <c r="I1139" s="24"/>
      <c r="J1139" s="90"/>
      <c r="K1139" s="90"/>
      <c r="L1139" s="24"/>
      <c r="M1139" s="24"/>
      <c r="N1139" s="24"/>
      <c r="O1139" s="90"/>
      <c r="P1139" s="24"/>
      <c r="Q1139" s="24"/>
      <c r="R1139" s="24"/>
      <c r="S1139" s="90"/>
      <c r="T1139" s="90"/>
      <c r="U1139" s="24"/>
      <c r="V1139" s="90"/>
      <c r="W1139" s="90"/>
      <c r="X1139" s="90"/>
      <c r="Y1139" s="24"/>
      <c r="Z1139" s="24"/>
      <c r="AA1139" s="24"/>
      <c r="AB1139" s="24"/>
      <c r="AC1139" s="24"/>
      <c r="AD1139" s="24"/>
      <c r="AE1139" s="24"/>
      <c r="AF1139" s="24"/>
      <c r="AG1139" s="24"/>
      <c r="AH1139" s="24"/>
      <c r="AI1139" s="24"/>
      <c r="AJ1139" s="24"/>
      <c r="AK1139" s="24"/>
    </row>
    <row r="1140" spans="1:37" x14ac:dyDescent="0.25">
      <c r="A1140" s="24"/>
      <c r="B1140" s="90"/>
      <c r="C1140" s="92"/>
      <c r="D1140" s="24"/>
      <c r="E1140" s="90"/>
      <c r="F1140" s="90"/>
      <c r="G1140" s="24"/>
      <c r="H1140" s="90"/>
      <c r="I1140" s="24"/>
      <c r="J1140" s="90"/>
      <c r="K1140" s="90"/>
      <c r="L1140" s="24"/>
      <c r="M1140" s="24"/>
      <c r="N1140" s="24"/>
      <c r="O1140" s="90"/>
      <c r="P1140" s="24"/>
      <c r="Q1140" s="24"/>
      <c r="R1140" s="24"/>
      <c r="S1140" s="90"/>
      <c r="T1140" s="90"/>
      <c r="U1140" s="24"/>
      <c r="V1140" s="90"/>
      <c r="W1140" s="90"/>
      <c r="X1140" s="90"/>
      <c r="Y1140" s="24"/>
      <c r="Z1140" s="24"/>
      <c r="AA1140" s="24"/>
      <c r="AB1140" s="24"/>
      <c r="AC1140" s="24"/>
      <c r="AD1140" s="24"/>
      <c r="AE1140" s="24"/>
      <c r="AF1140" s="24"/>
      <c r="AG1140" s="24"/>
      <c r="AH1140" s="24"/>
      <c r="AI1140" s="24"/>
      <c r="AJ1140" s="24"/>
      <c r="AK1140" s="24"/>
    </row>
    <row r="1141" spans="1:37" x14ac:dyDescent="0.25">
      <c r="A1141" s="24"/>
      <c r="B1141" s="90"/>
      <c r="C1141" s="92"/>
      <c r="D1141" s="24"/>
      <c r="E1141" s="90"/>
      <c r="F1141" s="90"/>
      <c r="G1141" s="24"/>
      <c r="H1141" s="90"/>
      <c r="I1141" s="24"/>
      <c r="J1141" s="90"/>
      <c r="K1141" s="90"/>
      <c r="L1141" s="24"/>
      <c r="M1141" s="24"/>
      <c r="N1141" s="24"/>
      <c r="O1141" s="90"/>
      <c r="P1141" s="24"/>
      <c r="Q1141" s="24"/>
      <c r="R1141" s="24"/>
      <c r="S1141" s="90"/>
      <c r="T1141" s="90"/>
      <c r="U1141" s="24"/>
      <c r="V1141" s="90"/>
      <c r="W1141" s="90"/>
      <c r="X1141" s="90"/>
      <c r="Y1141" s="24"/>
      <c r="Z1141" s="24"/>
      <c r="AA1141" s="24"/>
      <c r="AB1141" s="24"/>
      <c r="AC1141" s="24"/>
      <c r="AD1141" s="24"/>
      <c r="AE1141" s="24"/>
      <c r="AF1141" s="24"/>
      <c r="AG1141" s="24"/>
      <c r="AH1141" s="24"/>
      <c r="AI1141" s="24"/>
      <c r="AJ1141" s="24"/>
      <c r="AK1141" s="24"/>
    </row>
    <row r="1142" spans="1:37" x14ac:dyDescent="0.25">
      <c r="A1142" s="24"/>
      <c r="B1142" s="90"/>
      <c r="C1142" s="92"/>
      <c r="D1142" s="24"/>
      <c r="E1142" s="90"/>
      <c r="F1142" s="90"/>
      <c r="G1142" s="24"/>
      <c r="H1142" s="90"/>
      <c r="I1142" s="24"/>
      <c r="J1142" s="90"/>
      <c r="K1142" s="90"/>
      <c r="L1142" s="24"/>
      <c r="M1142" s="24"/>
      <c r="N1142" s="24"/>
      <c r="O1142" s="90"/>
      <c r="P1142" s="24"/>
      <c r="Q1142" s="24"/>
      <c r="R1142" s="24"/>
      <c r="S1142" s="90"/>
      <c r="T1142" s="90"/>
      <c r="U1142" s="24"/>
      <c r="V1142" s="90"/>
      <c r="W1142" s="90"/>
      <c r="X1142" s="90"/>
      <c r="Y1142" s="24"/>
      <c r="Z1142" s="24"/>
      <c r="AA1142" s="24"/>
      <c r="AB1142" s="24"/>
      <c r="AC1142" s="24"/>
      <c r="AD1142" s="24"/>
      <c r="AE1142" s="24"/>
      <c r="AF1142" s="24"/>
      <c r="AG1142" s="24"/>
      <c r="AH1142" s="24"/>
      <c r="AI1142" s="24"/>
      <c r="AJ1142" s="24"/>
      <c r="AK1142" s="24"/>
    </row>
    <row r="1143" spans="1:37" x14ac:dyDescent="0.25">
      <c r="A1143" s="24"/>
      <c r="B1143" s="90"/>
      <c r="C1143" s="92"/>
      <c r="D1143" s="24"/>
      <c r="E1143" s="90"/>
      <c r="F1143" s="90"/>
      <c r="G1143" s="24"/>
      <c r="H1143" s="90"/>
      <c r="I1143" s="24"/>
      <c r="J1143" s="90"/>
      <c r="K1143" s="90"/>
      <c r="L1143" s="24"/>
      <c r="M1143" s="24"/>
      <c r="N1143" s="24"/>
      <c r="O1143" s="90"/>
      <c r="P1143" s="24"/>
      <c r="Q1143" s="24"/>
      <c r="R1143" s="24"/>
      <c r="S1143" s="90"/>
      <c r="T1143" s="90"/>
      <c r="U1143" s="24"/>
      <c r="V1143" s="90"/>
      <c r="W1143" s="90"/>
      <c r="X1143" s="90"/>
      <c r="Y1143" s="24"/>
      <c r="Z1143" s="24"/>
      <c r="AA1143" s="24"/>
      <c r="AB1143" s="24"/>
      <c r="AC1143" s="24"/>
      <c r="AD1143" s="24"/>
      <c r="AE1143" s="24"/>
      <c r="AF1143" s="24"/>
      <c r="AG1143" s="24"/>
      <c r="AH1143" s="24"/>
      <c r="AI1143" s="24"/>
      <c r="AJ1143" s="24"/>
      <c r="AK1143" s="24"/>
    </row>
    <row r="1144" spans="1:37" x14ac:dyDescent="0.25">
      <c r="A1144" s="24"/>
      <c r="B1144" s="90"/>
      <c r="C1144" s="92"/>
      <c r="D1144" s="24"/>
      <c r="E1144" s="90"/>
      <c r="F1144" s="90"/>
      <c r="G1144" s="24"/>
      <c r="H1144" s="90"/>
      <c r="I1144" s="24"/>
      <c r="J1144" s="90"/>
      <c r="K1144" s="90"/>
      <c r="L1144" s="24"/>
      <c r="M1144" s="24"/>
      <c r="N1144" s="24"/>
      <c r="O1144" s="90"/>
      <c r="P1144" s="24"/>
      <c r="Q1144" s="24"/>
      <c r="R1144" s="24"/>
      <c r="S1144" s="90"/>
      <c r="T1144" s="90"/>
      <c r="U1144" s="24"/>
      <c r="V1144" s="90"/>
      <c r="W1144" s="90"/>
      <c r="X1144" s="90"/>
      <c r="Y1144" s="24"/>
      <c r="Z1144" s="24"/>
      <c r="AA1144" s="24"/>
      <c r="AB1144" s="24"/>
      <c r="AC1144" s="24"/>
      <c r="AD1144" s="24"/>
      <c r="AE1144" s="24"/>
      <c r="AF1144" s="24"/>
      <c r="AG1144" s="24"/>
      <c r="AH1144" s="24"/>
      <c r="AI1144" s="24"/>
      <c r="AJ1144" s="24"/>
      <c r="AK1144" s="24"/>
    </row>
    <row r="1145" spans="1:37" x14ac:dyDescent="0.25">
      <c r="A1145" s="24"/>
      <c r="B1145" s="90"/>
      <c r="C1145" s="92"/>
      <c r="D1145" s="24"/>
      <c r="E1145" s="90"/>
      <c r="F1145" s="90"/>
      <c r="G1145" s="24"/>
      <c r="H1145" s="90"/>
      <c r="I1145" s="24"/>
      <c r="J1145" s="90"/>
      <c r="K1145" s="90"/>
      <c r="L1145" s="24"/>
      <c r="M1145" s="24"/>
      <c r="N1145" s="24"/>
      <c r="O1145" s="90"/>
      <c r="P1145" s="24"/>
      <c r="Q1145" s="24"/>
      <c r="R1145" s="24"/>
      <c r="S1145" s="90"/>
      <c r="T1145" s="90"/>
      <c r="U1145" s="24"/>
      <c r="V1145" s="90"/>
      <c r="W1145" s="90"/>
      <c r="X1145" s="90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</row>
    <row r="1146" spans="1:37" x14ac:dyDescent="0.25">
      <c r="A1146" s="24"/>
      <c r="B1146" s="90"/>
      <c r="C1146" s="92"/>
      <c r="D1146" s="24"/>
      <c r="E1146" s="90"/>
      <c r="F1146" s="90"/>
      <c r="G1146" s="24"/>
      <c r="H1146" s="90"/>
      <c r="I1146" s="24"/>
      <c r="J1146" s="90"/>
      <c r="K1146" s="90"/>
      <c r="L1146" s="24"/>
      <c r="M1146" s="24"/>
      <c r="N1146" s="24"/>
      <c r="O1146" s="90"/>
      <c r="P1146" s="24"/>
      <c r="Q1146" s="24"/>
      <c r="R1146" s="24"/>
      <c r="S1146" s="90"/>
      <c r="T1146" s="90"/>
      <c r="U1146" s="24"/>
      <c r="V1146" s="90"/>
      <c r="W1146" s="90"/>
      <c r="X1146" s="90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</row>
    <row r="1147" spans="1:37" x14ac:dyDescent="0.25">
      <c r="A1147" s="24"/>
      <c r="B1147" s="90"/>
      <c r="C1147" s="92"/>
      <c r="D1147" s="24"/>
      <c r="E1147" s="90"/>
      <c r="F1147" s="90"/>
      <c r="G1147" s="24"/>
      <c r="H1147" s="90"/>
      <c r="I1147" s="24"/>
      <c r="J1147" s="90"/>
      <c r="K1147" s="90"/>
      <c r="L1147" s="24"/>
      <c r="M1147" s="24"/>
      <c r="N1147" s="24"/>
      <c r="O1147" s="90"/>
      <c r="P1147" s="24"/>
      <c r="Q1147" s="24"/>
      <c r="R1147" s="24"/>
      <c r="S1147" s="90"/>
      <c r="T1147" s="90"/>
      <c r="U1147" s="24"/>
      <c r="V1147" s="90"/>
      <c r="W1147" s="90"/>
      <c r="X1147" s="90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</row>
    <row r="1148" spans="1:37" x14ac:dyDescent="0.25">
      <c r="A1148" s="24"/>
      <c r="B1148" s="90"/>
      <c r="C1148" s="92"/>
      <c r="D1148" s="24"/>
      <c r="E1148" s="90"/>
      <c r="F1148" s="90"/>
      <c r="G1148" s="24"/>
      <c r="H1148" s="90"/>
      <c r="I1148" s="24"/>
      <c r="J1148" s="90"/>
      <c r="K1148" s="90"/>
      <c r="L1148" s="24"/>
      <c r="M1148" s="24"/>
      <c r="N1148" s="24"/>
      <c r="O1148" s="90"/>
      <c r="P1148" s="24"/>
      <c r="Q1148" s="24"/>
      <c r="R1148" s="24"/>
      <c r="S1148" s="90"/>
      <c r="T1148" s="90"/>
      <c r="U1148" s="24"/>
      <c r="V1148" s="90"/>
      <c r="W1148" s="90"/>
      <c r="X1148" s="90"/>
      <c r="Y1148" s="24"/>
      <c r="Z1148" s="24"/>
      <c r="AA1148" s="24"/>
      <c r="AB1148" s="24"/>
      <c r="AC1148" s="24"/>
      <c r="AD1148" s="24"/>
      <c r="AE1148" s="24"/>
      <c r="AF1148" s="24"/>
      <c r="AG1148" s="24"/>
      <c r="AH1148" s="24"/>
      <c r="AI1148" s="24"/>
      <c r="AJ1148" s="24"/>
      <c r="AK1148" s="24"/>
    </row>
    <row r="1149" spans="1:37" x14ac:dyDescent="0.25">
      <c r="A1149" s="24"/>
      <c r="B1149" s="90"/>
      <c r="C1149" s="92"/>
      <c r="D1149" s="24"/>
      <c r="E1149" s="90"/>
      <c r="F1149" s="90"/>
      <c r="G1149" s="24"/>
      <c r="H1149" s="90"/>
      <c r="I1149" s="24"/>
      <c r="J1149" s="90"/>
      <c r="K1149" s="90"/>
      <c r="L1149" s="24"/>
      <c r="M1149" s="24"/>
      <c r="N1149" s="24"/>
      <c r="O1149" s="90"/>
      <c r="P1149" s="24"/>
      <c r="Q1149" s="24"/>
      <c r="R1149" s="24"/>
      <c r="S1149" s="90"/>
      <c r="T1149" s="90"/>
      <c r="U1149" s="24"/>
      <c r="V1149" s="90"/>
      <c r="W1149" s="90"/>
      <c r="X1149" s="90"/>
      <c r="Y1149" s="24"/>
      <c r="Z1149" s="24"/>
      <c r="AA1149" s="24"/>
      <c r="AB1149" s="24"/>
      <c r="AC1149" s="24"/>
      <c r="AD1149" s="24"/>
      <c r="AE1149" s="24"/>
      <c r="AF1149" s="24"/>
      <c r="AG1149" s="24"/>
      <c r="AH1149" s="24"/>
      <c r="AI1149" s="24"/>
      <c r="AJ1149" s="24"/>
      <c r="AK1149" s="24"/>
    </row>
    <row r="1150" spans="1:37" x14ac:dyDescent="0.25">
      <c r="A1150" s="24"/>
      <c r="B1150" s="90"/>
      <c r="C1150" s="92"/>
      <c r="D1150" s="24"/>
      <c r="E1150" s="90"/>
      <c r="F1150" s="90"/>
      <c r="G1150" s="24"/>
      <c r="H1150" s="90"/>
      <c r="I1150" s="24"/>
      <c r="J1150" s="90"/>
      <c r="K1150" s="90"/>
      <c r="L1150" s="24"/>
      <c r="M1150" s="24"/>
      <c r="N1150" s="24"/>
      <c r="O1150" s="90"/>
      <c r="P1150" s="24"/>
      <c r="Q1150" s="24"/>
      <c r="R1150" s="24"/>
      <c r="S1150" s="90"/>
      <c r="T1150" s="90"/>
      <c r="U1150" s="24"/>
      <c r="V1150" s="90"/>
      <c r="W1150" s="90"/>
      <c r="X1150" s="90"/>
      <c r="Y1150" s="24"/>
      <c r="Z1150" s="24"/>
      <c r="AA1150" s="24"/>
      <c r="AB1150" s="24"/>
      <c r="AC1150" s="24"/>
      <c r="AD1150" s="24"/>
      <c r="AE1150" s="24"/>
      <c r="AF1150" s="24"/>
      <c r="AG1150" s="24"/>
      <c r="AH1150" s="24"/>
      <c r="AI1150" s="24"/>
      <c r="AJ1150" s="24"/>
      <c r="AK1150" s="24"/>
    </row>
    <row r="1151" spans="1:37" x14ac:dyDescent="0.25">
      <c r="A1151" s="24"/>
      <c r="B1151" s="90"/>
      <c r="C1151" s="92"/>
      <c r="D1151" s="24"/>
      <c r="E1151" s="90"/>
      <c r="F1151" s="90"/>
      <c r="G1151" s="24"/>
      <c r="H1151" s="90"/>
      <c r="I1151" s="24"/>
      <c r="J1151" s="90"/>
      <c r="K1151" s="90"/>
      <c r="L1151" s="24"/>
      <c r="M1151" s="24"/>
      <c r="N1151" s="24"/>
      <c r="O1151" s="90"/>
      <c r="P1151" s="24"/>
      <c r="Q1151" s="24"/>
      <c r="R1151" s="24"/>
      <c r="S1151" s="90"/>
      <c r="T1151" s="90"/>
      <c r="U1151" s="24"/>
      <c r="V1151" s="90"/>
      <c r="W1151" s="90"/>
      <c r="X1151" s="90"/>
      <c r="Y1151" s="24"/>
      <c r="Z1151" s="24"/>
      <c r="AA1151" s="24"/>
      <c r="AB1151" s="24"/>
      <c r="AC1151" s="24"/>
      <c r="AD1151" s="24"/>
      <c r="AE1151" s="24"/>
      <c r="AF1151" s="24"/>
      <c r="AG1151" s="24"/>
      <c r="AH1151" s="24"/>
      <c r="AI1151" s="24"/>
      <c r="AJ1151" s="24"/>
      <c r="AK1151" s="24"/>
    </row>
    <row r="1152" spans="1:37" x14ac:dyDescent="0.25">
      <c r="A1152" s="24"/>
      <c r="B1152" s="90"/>
      <c r="C1152" s="92"/>
      <c r="D1152" s="24"/>
      <c r="E1152" s="90"/>
      <c r="F1152" s="90"/>
      <c r="G1152" s="24"/>
      <c r="H1152" s="90"/>
      <c r="I1152" s="24"/>
      <c r="J1152" s="90"/>
      <c r="K1152" s="90"/>
      <c r="L1152" s="24"/>
      <c r="M1152" s="24"/>
      <c r="N1152" s="24"/>
      <c r="O1152" s="90"/>
      <c r="P1152" s="24"/>
      <c r="Q1152" s="24"/>
      <c r="R1152" s="24"/>
      <c r="S1152" s="90"/>
      <c r="T1152" s="90"/>
      <c r="U1152" s="24"/>
      <c r="V1152" s="90"/>
      <c r="W1152" s="90"/>
      <c r="X1152" s="90"/>
      <c r="Y1152" s="24"/>
      <c r="Z1152" s="24"/>
      <c r="AA1152" s="24"/>
      <c r="AB1152" s="24"/>
      <c r="AC1152" s="24"/>
      <c r="AD1152" s="24"/>
      <c r="AE1152" s="24"/>
      <c r="AF1152" s="24"/>
      <c r="AG1152" s="24"/>
      <c r="AH1152" s="24"/>
      <c r="AI1152" s="24"/>
      <c r="AJ1152" s="24"/>
      <c r="AK1152" s="24"/>
    </row>
    <row r="1153" spans="1:37" x14ac:dyDescent="0.25">
      <c r="A1153" s="24"/>
      <c r="B1153" s="90"/>
      <c r="C1153" s="92"/>
      <c r="D1153" s="24"/>
      <c r="E1153" s="90"/>
      <c r="F1153" s="90"/>
      <c r="G1153" s="24"/>
      <c r="H1153" s="90"/>
      <c r="I1153" s="24"/>
      <c r="J1153" s="90"/>
      <c r="K1153" s="90"/>
      <c r="L1153" s="24"/>
      <c r="M1153" s="24"/>
      <c r="N1153" s="24"/>
      <c r="O1153" s="90"/>
      <c r="P1153" s="24"/>
      <c r="Q1153" s="24"/>
      <c r="R1153" s="24"/>
      <c r="S1153" s="90"/>
      <c r="T1153" s="90"/>
      <c r="U1153" s="24"/>
      <c r="V1153" s="90"/>
      <c r="W1153" s="90"/>
      <c r="X1153" s="90"/>
      <c r="Y1153" s="24"/>
      <c r="Z1153" s="24"/>
      <c r="AA1153" s="24"/>
      <c r="AB1153" s="24"/>
      <c r="AC1153" s="24"/>
      <c r="AD1153" s="24"/>
      <c r="AE1153" s="24"/>
      <c r="AF1153" s="24"/>
      <c r="AG1153" s="24"/>
      <c r="AH1153" s="24"/>
      <c r="AI1153" s="24"/>
      <c r="AJ1153" s="24"/>
      <c r="AK1153" s="24"/>
    </row>
    <row r="1154" spans="1:37" x14ac:dyDescent="0.25">
      <c r="A1154" s="24"/>
      <c r="B1154" s="90"/>
      <c r="C1154" s="92"/>
      <c r="D1154" s="24"/>
      <c r="E1154" s="90"/>
      <c r="F1154" s="90"/>
      <c r="G1154" s="24"/>
      <c r="H1154" s="90"/>
      <c r="I1154" s="24"/>
      <c r="J1154" s="90"/>
      <c r="K1154" s="90"/>
      <c r="L1154" s="24"/>
      <c r="M1154" s="24"/>
      <c r="N1154" s="24"/>
      <c r="O1154" s="90"/>
      <c r="P1154" s="24"/>
      <c r="Q1154" s="24"/>
      <c r="R1154" s="24"/>
      <c r="S1154" s="90"/>
      <c r="T1154" s="90"/>
      <c r="U1154" s="24"/>
      <c r="V1154" s="90"/>
      <c r="W1154" s="90"/>
      <c r="X1154" s="90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</row>
    <row r="1155" spans="1:37" x14ac:dyDescent="0.25">
      <c r="A1155" s="24"/>
      <c r="B1155" s="90"/>
      <c r="C1155" s="92"/>
      <c r="D1155" s="24"/>
      <c r="E1155" s="90"/>
      <c r="F1155" s="90"/>
      <c r="G1155" s="24"/>
      <c r="H1155" s="90"/>
      <c r="I1155" s="24"/>
      <c r="J1155" s="90"/>
      <c r="K1155" s="90"/>
      <c r="L1155" s="24"/>
      <c r="M1155" s="24"/>
      <c r="N1155" s="24"/>
      <c r="O1155" s="90"/>
      <c r="P1155" s="24"/>
      <c r="Q1155" s="24"/>
      <c r="R1155" s="24"/>
      <c r="S1155" s="90"/>
      <c r="T1155" s="90"/>
      <c r="U1155" s="24"/>
      <c r="V1155" s="90"/>
      <c r="W1155" s="90"/>
      <c r="X1155" s="90"/>
      <c r="Y1155" s="24"/>
      <c r="Z1155" s="24"/>
      <c r="AA1155" s="24"/>
      <c r="AB1155" s="24"/>
      <c r="AC1155" s="24"/>
      <c r="AD1155" s="24"/>
      <c r="AE1155" s="24"/>
      <c r="AF1155" s="24"/>
      <c r="AG1155" s="24"/>
      <c r="AH1155" s="24"/>
      <c r="AI1155" s="24"/>
      <c r="AJ1155" s="24"/>
      <c r="AK1155" s="24"/>
    </row>
    <row r="1156" spans="1:37" x14ac:dyDescent="0.25">
      <c r="A1156" s="24"/>
      <c r="B1156" s="90"/>
      <c r="C1156" s="92"/>
      <c r="D1156" s="24"/>
      <c r="E1156" s="90"/>
      <c r="F1156" s="90"/>
      <c r="G1156" s="24"/>
      <c r="H1156" s="90"/>
      <c r="I1156" s="24"/>
      <c r="J1156" s="90"/>
      <c r="K1156" s="90"/>
      <c r="L1156" s="24"/>
      <c r="M1156" s="24"/>
      <c r="N1156" s="24"/>
      <c r="O1156" s="90"/>
      <c r="P1156" s="24"/>
      <c r="Q1156" s="24"/>
      <c r="R1156" s="24"/>
      <c r="S1156" s="90"/>
      <c r="T1156" s="90"/>
      <c r="U1156" s="24"/>
      <c r="V1156" s="90"/>
      <c r="W1156" s="90"/>
      <c r="X1156" s="90"/>
      <c r="Y1156" s="24"/>
      <c r="Z1156" s="24"/>
      <c r="AA1156" s="24"/>
      <c r="AB1156" s="24"/>
      <c r="AC1156" s="24"/>
      <c r="AD1156" s="24"/>
      <c r="AE1156" s="24"/>
      <c r="AF1156" s="24"/>
      <c r="AG1156" s="24"/>
      <c r="AH1156" s="24"/>
      <c r="AI1156" s="24"/>
      <c r="AJ1156" s="24"/>
      <c r="AK1156" s="24"/>
    </row>
    <row r="1157" spans="1:37" x14ac:dyDescent="0.25">
      <c r="A1157" s="24"/>
      <c r="B1157" s="90"/>
      <c r="C1157" s="92"/>
      <c r="D1157" s="24"/>
      <c r="E1157" s="90"/>
      <c r="F1157" s="90"/>
      <c r="G1157" s="24"/>
      <c r="H1157" s="90"/>
      <c r="I1157" s="24"/>
      <c r="J1157" s="90"/>
      <c r="K1157" s="90"/>
      <c r="L1157" s="24"/>
      <c r="M1157" s="24"/>
      <c r="N1157" s="24"/>
      <c r="O1157" s="90"/>
      <c r="P1157" s="24"/>
      <c r="Q1157" s="24"/>
      <c r="R1157" s="24"/>
      <c r="S1157" s="90"/>
      <c r="T1157" s="90"/>
      <c r="U1157" s="24"/>
      <c r="V1157" s="90"/>
      <c r="W1157" s="90"/>
      <c r="X1157" s="90"/>
      <c r="Y1157" s="24"/>
      <c r="Z1157" s="24"/>
      <c r="AA1157" s="24"/>
      <c r="AB1157" s="24"/>
      <c r="AC1157" s="24"/>
      <c r="AD1157" s="24"/>
      <c r="AE1157" s="24"/>
      <c r="AF1157" s="24"/>
      <c r="AG1157" s="24"/>
      <c r="AH1157" s="24"/>
      <c r="AI1157" s="24"/>
      <c r="AJ1157" s="24"/>
      <c r="AK1157" s="24"/>
    </row>
    <row r="1158" spans="1:37" x14ac:dyDescent="0.25">
      <c r="A1158" s="24"/>
      <c r="B1158" s="90"/>
      <c r="C1158" s="92"/>
      <c r="D1158" s="24"/>
      <c r="E1158" s="90"/>
      <c r="F1158" s="90"/>
      <c r="G1158" s="24"/>
      <c r="H1158" s="90"/>
      <c r="I1158" s="24"/>
      <c r="J1158" s="90"/>
      <c r="K1158" s="90"/>
      <c r="L1158" s="24"/>
      <c r="M1158" s="24"/>
      <c r="N1158" s="24"/>
      <c r="O1158" s="90"/>
      <c r="P1158" s="24"/>
      <c r="Q1158" s="24"/>
      <c r="R1158" s="24"/>
      <c r="S1158" s="90"/>
      <c r="T1158" s="90"/>
      <c r="U1158" s="24"/>
      <c r="V1158" s="90"/>
      <c r="W1158" s="90"/>
      <c r="X1158" s="90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</row>
    <row r="1159" spans="1:37" x14ac:dyDescent="0.25">
      <c r="A1159" s="24"/>
      <c r="B1159" s="90"/>
      <c r="C1159" s="92"/>
      <c r="D1159" s="24"/>
      <c r="E1159" s="90"/>
      <c r="F1159" s="90"/>
      <c r="G1159" s="24"/>
      <c r="H1159" s="90"/>
      <c r="I1159" s="24"/>
      <c r="J1159" s="90"/>
      <c r="K1159" s="90"/>
      <c r="L1159" s="24"/>
      <c r="M1159" s="24"/>
      <c r="N1159" s="24"/>
      <c r="O1159" s="90"/>
      <c r="P1159" s="24"/>
      <c r="Q1159" s="24"/>
      <c r="R1159" s="24"/>
      <c r="S1159" s="90"/>
      <c r="T1159" s="90"/>
      <c r="U1159" s="24"/>
      <c r="V1159" s="90"/>
      <c r="W1159" s="90"/>
      <c r="X1159" s="90"/>
      <c r="Y1159" s="24"/>
      <c r="Z1159" s="24"/>
      <c r="AA1159" s="24"/>
      <c r="AB1159" s="24"/>
      <c r="AC1159" s="24"/>
      <c r="AD1159" s="24"/>
      <c r="AE1159" s="24"/>
      <c r="AF1159" s="24"/>
      <c r="AG1159" s="24"/>
      <c r="AH1159" s="24"/>
      <c r="AI1159" s="24"/>
      <c r="AJ1159" s="24"/>
      <c r="AK1159" s="24"/>
    </row>
    <row r="1160" spans="1:37" x14ac:dyDescent="0.25">
      <c r="A1160" s="24"/>
      <c r="B1160" s="90"/>
      <c r="C1160" s="92"/>
      <c r="D1160" s="24"/>
      <c r="E1160" s="90"/>
      <c r="F1160" s="90"/>
      <c r="G1160" s="24"/>
      <c r="H1160" s="90"/>
      <c r="I1160" s="24"/>
      <c r="J1160" s="90"/>
      <c r="K1160" s="90"/>
      <c r="L1160" s="24"/>
      <c r="M1160" s="24"/>
      <c r="N1160" s="24"/>
      <c r="O1160" s="90"/>
      <c r="P1160" s="24"/>
      <c r="Q1160" s="24"/>
      <c r="R1160" s="24"/>
      <c r="S1160" s="90"/>
      <c r="T1160" s="90"/>
      <c r="U1160" s="24"/>
      <c r="V1160" s="90"/>
      <c r="W1160" s="90"/>
      <c r="X1160" s="90"/>
      <c r="Y1160" s="24"/>
      <c r="Z1160" s="24"/>
      <c r="AA1160" s="24"/>
      <c r="AB1160" s="24"/>
      <c r="AC1160" s="24"/>
      <c r="AD1160" s="24"/>
      <c r="AE1160" s="24"/>
      <c r="AF1160" s="24"/>
      <c r="AG1160" s="24"/>
      <c r="AH1160" s="24"/>
      <c r="AI1160" s="24"/>
      <c r="AJ1160" s="24"/>
      <c r="AK1160" s="24"/>
    </row>
    <row r="1161" spans="1:37" x14ac:dyDescent="0.25">
      <c r="A1161" s="24"/>
      <c r="B1161" s="90"/>
      <c r="C1161" s="92"/>
      <c r="D1161" s="24"/>
      <c r="E1161" s="90"/>
      <c r="F1161" s="90"/>
      <c r="G1161" s="24"/>
      <c r="H1161" s="90"/>
      <c r="I1161" s="24"/>
      <c r="J1161" s="90"/>
      <c r="K1161" s="90"/>
      <c r="L1161" s="24"/>
      <c r="M1161" s="24"/>
      <c r="N1161" s="24"/>
      <c r="O1161" s="90"/>
      <c r="P1161" s="24"/>
      <c r="Q1161" s="24"/>
      <c r="R1161" s="24"/>
      <c r="S1161" s="90"/>
      <c r="T1161" s="90"/>
      <c r="U1161" s="24"/>
      <c r="V1161" s="90"/>
      <c r="W1161" s="90"/>
      <c r="X1161" s="90"/>
      <c r="Y1161" s="24"/>
      <c r="Z1161" s="24"/>
      <c r="AA1161" s="24"/>
      <c r="AB1161" s="24"/>
      <c r="AC1161" s="24"/>
      <c r="AD1161" s="24"/>
      <c r="AE1161" s="24"/>
      <c r="AF1161" s="24"/>
      <c r="AG1161" s="24"/>
      <c r="AH1161" s="24"/>
      <c r="AI1161" s="24"/>
      <c r="AJ1161" s="24"/>
      <c r="AK1161" s="24"/>
    </row>
    <row r="1162" spans="1:37" x14ac:dyDescent="0.25">
      <c r="A1162" s="24"/>
      <c r="B1162" s="90"/>
      <c r="C1162" s="92"/>
      <c r="D1162" s="24"/>
      <c r="E1162" s="90"/>
      <c r="F1162" s="90"/>
      <c r="G1162" s="24"/>
      <c r="H1162" s="90"/>
      <c r="I1162" s="24"/>
      <c r="J1162" s="90"/>
      <c r="K1162" s="90"/>
      <c r="L1162" s="24"/>
      <c r="M1162" s="24"/>
      <c r="N1162" s="24"/>
      <c r="O1162" s="90"/>
      <c r="P1162" s="24"/>
      <c r="Q1162" s="24"/>
      <c r="R1162" s="24"/>
      <c r="S1162" s="90"/>
      <c r="T1162" s="90"/>
      <c r="U1162" s="24"/>
      <c r="V1162" s="90"/>
      <c r="W1162" s="90"/>
      <c r="X1162" s="90"/>
      <c r="Y1162" s="24"/>
      <c r="Z1162" s="24"/>
      <c r="AA1162" s="24"/>
      <c r="AB1162" s="24"/>
      <c r="AC1162" s="24"/>
      <c r="AD1162" s="24"/>
      <c r="AE1162" s="24"/>
      <c r="AF1162" s="24"/>
      <c r="AG1162" s="24"/>
      <c r="AH1162" s="24"/>
      <c r="AI1162" s="24"/>
      <c r="AJ1162" s="24"/>
      <c r="AK1162" s="24"/>
    </row>
    <row r="1163" spans="1:37" x14ac:dyDescent="0.25">
      <c r="A1163" s="24"/>
      <c r="B1163" s="90"/>
      <c r="C1163" s="92"/>
      <c r="D1163" s="24"/>
      <c r="E1163" s="90"/>
      <c r="F1163" s="90"/>
      <c r="G1163" s="24"/>
      <c r="H1163" s="90"/>
      <c r="I1163" s="24"/>
      <c r="J1163" s="90"/>
      <c r="K1163" s="90"/>
      <c r="L1163" s="24"/>
      <c r="M1163" s="24"/>
      <c r="N1163" s="24"/>
      <c r="O1163" s="90"/>
      <c r="P1163" s="24"/>
      <c r="Q1163" s="24"/>
      <c r="R1163" s="24"/>
      <c r="S1163" s="90"/>
      <c r="T1163" s="90"/>
      <c r="U1163" s="24"/>
      <c r="V1163" s="90"/>
      <c r="W1163" s="90"/>
      <c r="X1163" s="90"/>
      <c r="Y1163" s="24"/>
      <c r="Z1163" s="24"/>
      <c r="AA1163" s="24"/>
      <c r="AB1163" s="24"/>
      <c r="AC1163" s="24"/>
      <c r="AD1163" s="24"/>
      <c r="AE1163" s="24"/>
      <c r="AF1163" s="24"/>
      <c r="AG1163" s="24"/>
      <c r="AH1163" s="24"/>
      <c r="AI1163" s="24"/>
      <c r="AJ1163" s="24"/>
      <c r="AK1163" s="24"/>
    </row>
    <row r="1164" spans="1:37" x14ac:dyDescent="0.25">
      <c r="A1164" s="24"/>
      <c r="B1164" s="90"/>
      <c r="C1164" s="92"/>
      <c r="D1164" s="24"/>
      <c r="E1164" s="90"/>
      <c r="F1164" s="90"/>
      <c r="G1164" s="24"/>
      <c r="H1164" s="90"/>
      <c r="I1164" s="24"/>
      <c r="J1164" s="90"/>
      <c r="K1164" s="90"/>
      <c r="L1164" s="24"/>
      <c r="M1164" s="24"/>
      <c r="N1164" s="24"/>
      <c r="O1164" s="90"/>
      <c r="P1164" s="24"/>
      <c r="Q1164" s="24"/>
      <c r="R1164" s="24"/>
      <c r="S1164" s="90"/>
      <c r="T1164" s="90"/>
      <c r="U1164" s="24"/>
      <c r="V1164" s="90"/>
      <c r="W1164" s="90"/>
      <c r="X1164" s="90"/>
      <c r="Y1164" s="24"/>
      <c r="Z1164" s="24"/>
      <c r="AA1164" s="24"/>
      <c r="AB1164" s="24"/>
      <c r="AC1164" s="24"/>
      <c r="AD1164" s="24"/>
      <c r="AE1164" s="24"/>
      <c r="AF1164" s="24"/>
      <c r="AG1164" s="24"/>
      <c r="AH1164" s="24"/>
      <c r="AI1164" s="24"/>
      <c r="AJ1164" s="24"/>
      <c r="AK1164" s="24"/>
    </row>
    <row r="1165" spans="1:37" x14ac:dyDescent="0.25">
      <c r="A1165" s="24"/>
      <c r="B1165" s="90"/>
      <c r="C1165" s="92"/>
      <c r="D1165" s="24"/>
      <c r="E1165" s="90"/>
      <c r="F1165" s="90"/>
      <c r="G1165" s="24"/>
      <c r="H1165" s="90"/>
      <c r="I1165" s="24"/>
      <c r="J1165" s="90"/>
      <c r="K1165" s="90"/>
      <c r="L1165" s="24"/>
      <c r="M1165" s="24"/>
      <c r="N1165" s="24"/>
      <c r="O1165" s="90"/>
      <c r="P1165" s="24"/>
      <c r="Q1165" s="24"/>
      <c r="R1165" s="24"/>
      <c r="S1165" s="90"/>
      <c r="T1165" s="90"/>
      <c r="U1165" s="24"/>
      <c r="V1165" s="90"/>
      <c r="W1165" s="90"/>
      <c r="X1165" s="90"/>
      <c r="Y1165" s="24"/>
      <c r="Z1165" s="24"/>
      <c r="AA1165" s="24"/>
      <c r="AB1165" s="24"/>
      <c r="AC1165" s="24"/>
      <c r="AD1165" s="24"/>
      <c r="AE1165" s="24"/>
      <c r="AF1165" s="24"/>
      <c r="AG1165" s="24"/>
      <c r="AH1165" s="24"/>
      <c r="AI1165" s="24"/>
      <c r="AJ1165" s="24"/>
      <c r="AK1165" s="24"/>
    </row>
    <row r="1166" spans="1:37" x14ac:dyDescent="0.25">
      <c r="A1166" s="24"/>
      <c r="B1166" s="90"/>
      <c r="C1166" s="92"/>
      <c r="D1166" s="24"/>
      <c r="E1166" s="90"/>
      <c r="F1166" s="90"/>
      <c r="G1166" s="24"/>
      <c r="H1166" s="90"/>
      <c r="I1166" s="24"/>
      <c r="J1166" s="90"/>
      <c r="K1166" s="90"/>
      <c r="L1166" s="24"/>
      <c r="M1166" s="24"/>
      <c r="N1166" s="24"/>
      <c r="O1166" s="90"/>
      <c r="P1166" s="24"/>
      <c r="Q1166" s="24"/>
      <c r="R1166" s="24"/>
      <c r="S1166" s="90"/>
      <c r="T1166" s="90"/>
      <c r="U1166" s="24"/>
      <c r="V1166" s="90"/>
      <c r="W1166" s="90"/>
      <c r="X1166" s="90"/>
      <c r="Y1166" s="24"/>
      <c r="Z1166" s="24"/>
      <c r="AA1166" s="24"/>
      <c r="AB1166" s="24"/>
      <c r="AC1166" s="24"/>
      <c r="AD1166" s="24"/>
      <c r="AE1166" s="24"/>
      <c r="AF1166" s="24"/>
      <c r="AG1166" s="24"/>
      <c r="AH1166" s="24"/>
      <c r="AI1166" s="24"/>
      <c r="AJ1166" s="24"/>
      <c r="AK1166" s="24"/>
    </row>
    <row r="1167" spans="1:37" x14ac:dyDescent="0.25">
      <c r="A1167" s="24"/>
      <c r="B1167" s="90"/>
      <c r="C1167" s="92"/>
      <c r="D1167" s="24"/>
      <c r="E1167" s="90"/>
      <c r="F1167" s="90"/>
      <c r="G1167" s="24"/>
      <c r="H1167" s="90"/>
      <c r="I1167" s="24"/>
      <c r="J1167" s="90"/>
      <c r="K1167" s="90"/>
      <c r="L1167" s="24"/>
      <c r="M1167" s="24"/>
      <c r="N1167" s="24"/>
      <c r="O1167" s="90"/>
      <c r="P1167" s="24"/>
      <c r="Q1167" s="24"/>
      <c r="R1167" s="24"/>
      <c r="S1167" s="90"/>
      <c r="T1167" s="90"/>
      <c r="U1167" s="24"/>
      <c r="V1167" s="90"/>
      <c r="W1167" s="90"/>
      <c r="X1167" s="90"/>
      <c r="Y1167" s="24"/>
      <c r="Z1167" s="24"/>
      <c r="AA1167" s="24"/>
      <c r="AB1167" s="24"/>
      <c r="AC1167" s="24"/>
      <c r="AD1167" s="24"/>
      <c r="AE1167" s="24"/>
      <c r="AF1167" s="24"/>
      <c r="AG1167" s="24"/>
      <c r="AH1167" s="24"/>
      <c r="AI1167" s="24"/>
      <c r="AJ1167" s="24"/>
      <c r="AK1167" s="24"/>
    </row>
    <row r="1168" spans="1:37" x14ac:dyDescent="0.25">
      <c r="A1168" s="24"/>
      <c r="B1168" s="90"/>
      <c r="C1168" s="92"/>
      <c r="D1168" s="24"/>
      <c r="E1168" s="90"/>
      <c r="F1168" s="90"/>
      <c r="G1168" s="24"/>
      <c r="H1168" s="90"/>
      <c r="I1168" s="24"/>
      <c r="J1168" s="90"/>
      <c r="K1168" s="90"/>
      <c r="L1168" s="24"/>
      <c r="M1168" s="24"/>
      <c r="N1168" s="24"/>
      <c r="O1168" s="90"/>
      <c r="P1168" s="24"/>
      <c r="Q1168" s="24"/>
      <c r="R1168" s="24"/>
      <c r="S1168" s="90"/>
      <c r="T1168" s="90"/>
      <c r="U1168" s="24"/>
      <c r="V1168" s="90"/>
      <c r="W1168" s="90"/>
      <c r="X1168" s="90"/>
      <c r="Y1168" s="24"/>
      <c r="Z1168" s="24"/>
      <c r="AA1168" s="24"/>
      <c r="AB1168" s="24"/>
      <c r="AC1168" s="24"/>
      <c r="AD1168" s="24"/>
      <c r="AE1168" s="24"/>
      <c r="AF1168" s="24"/>
      <c r="AG1168" s="24"/>
      <c r="AH1168" s="24"/>
      <c r="AI1168" s="24"/>
      <c r="AJ1168" s="24"/>
      <c r="AK1168" s="24"/>
    </row>
    <row r="1169" spans="1:37" x14ac:dyDescent="0.25">
      <c r="A1169" s="24"/>
      <c r="B1169" s="90"/>
      <c r="C1169" s="92"/>
      <c r="D1169" s="24"/>
      <c r="E1169" s="90"/>
      <c r="F1169" s="90"/>
      <c r="G1169" s="24"/>
      <c r="H1169" s="90"/>
      <c r="I1169" s="24"/>
      <c r="J1169" s="90"/>
      <c r="K1169" s="90"/>
      <c r="L1169" s="24"/>
      <c r="M1169" s="24"/>
      <c r="N1169" s="24"/>
      <c r="O1169" s="90"/>
      <c r="P1169" s="24"/>
      <c r="Q1169" s="24"/>
      <c r="R1169" s="24"/>
      <c r="S1169" s="90"/>
      <c r="T1169" s="90"/>
      <c r="U1169" s="24"/>
      <c r="V1169" s="90"/>
      <c r="W1169" s="90"/>
      <c r="X1169" s="90"/>
      <c r="Y1169" s="24"/>
      <c r="Z1169" s="24"/>
      <c r="AA1169" s="24"/>
      <c r="AB1169" s="24"/>
      <c r="AC1169" s="24"/>
      <c r="AD1169" s="24"/>
      <c r="AE1169" s="24"/>
      <c r="AF1169" s="24"/>
      <c r="AG1169" s="24"/>
      <c r="AH1169" s="24"/>
      <c r="AI1169" s="24"/>
      <c r="AJ1169" s="24"/>
      <c r="AK1169" s="24"/>
    </row>
    <row r="1170" spans="1:37" x14ac:dyDescent="0.25">
      <c r="A1170" s="24"/>
      <c r="B1170" s="90"/>
      <c r="C1170" s="92"/>
      <c r="D1170" s="24"/>
      <c r="E1170" s="90"/>
      <c r="F1170" s="90"/>
      <c r="G1170" s="24"/>
      <c r="H1170" s="90"/>
      <c r="I1170" s="24"/>
      <c r="J1170" s="90"/>
      <c r="K1170" s="90"/>
      <c r="L1170" s="24"/>
      <c r="M1170" s="24"/>
      <c r="N1170" s="24"/>
      <c r="O1170" s="90"/>
      <c r="P1170" s="24"/>
      <c r="Q1170" s="24"/>
      <c r="R1170" s="24"/>
      <c r="S1170" s="90"/>
      <c r="T1170" s="90"/>
      <c r="U1170" s="24"/>
      <c r="V1170" s="90"/>
      <c r="W1170" s="90"/>
      <c r="X1170" s="90"/>
      <c r="Y1170" s="24"/>
      <c r="Z1170" s="24"/>
      <c r="AA1170" s="24"/>
      <c r="AB1170" s="24"/>
      <c r="AC1170" s="24"/>
      <c r="AD1170" s="24"/>
      <c r="AE1170" s="24"/>
      <c r="AF1170" s="24"/>
      <c r="AG1170" s="24"/>
      <c r="AH1170" s="24"/>
      <c r="AI1170" s="24"/>
      <c r="AJ1170" s="24"/>
      <c r="AK1170" s="24"/>
    </row>
    <row r="1171" spans="1:37" x14ac:dyDescent="0.25">
      <c r="A1171" s="24"/>
      <c r="B1171" s="90"/>
      <c r="C1171" s="92"/>
      <c r="D1171" s="24"/>
      <c r="E1171" s="90"/>
      <c r="F1171" s="90"/>
      <c r="G1171" s="24"/>
      <c r="H1171" s="90"/>
      <c r="I1171" s="24"/>
      <c r="J1171" s="90"/>
      <c r="K1171" s="90"/>
      <c r="L1171" s="24"/>
      <c r="M1171" s="24"/>
      <c r="N1171" s="24"/>
      <c r="O1171" s="90"/>
      <c r="P1171" s="24"/>
      <c r="Q1171" s="24"/>
      <c r="R1171" s="24"/>
      <c r="S1171" s="90"/>
      <c r="T1171" s="90"/>
      <c r="U1171" s="24"/>
      <c r="V1171" s="90"/>
      <c r="W1171" s="90"/>
      <c r="X1171" s="90"/>
      <c r="Y1171" s="24"/>
      <c r="Z1171" s="24"/>
      <c r="AA1171" s="24"/>
      <c r="AB1171" s="24"/>
      <c r="AC1171" s="24"/>
      <c r="AD1171" s="24"/>
      <c r="AE1171" s="24"/>
      <c r="AF1171" s="24"/>
      <c r="AG1171" s="24"/>
      <c r="AH1171" s="24"/>
      <c r="AI1171" s="24"/>
      <c r="AJ1171" s="24"/>
      <c r="AK1171" s="24"/>
    </row>
    <row r="1172" spans="1:37" x14ac:dyDescent="0.25">
      <c r="A1172" s="24"/>
      <c r="B1172" s="90"/>
      <c r="C1172" s="92"/>
      <c r="D1172" s="24"/>
      <c r="E1172" s="90"/>
      <c r="F1172" s="90"/>
      <c r="G1172" s="24"/>
      <c r="H1172" s="90"/>
      <c r="I1172" s="24"/>
      <c r="J1172" s="90"/>
      <c r="K1172" s="90"/>
      <c r="L1172" s="24"/>
      <c r="M1172" s="24"/>
      <c r="N1172" s="24"/>
      <c r="O1172" s="90"/>
      <c r="P1172" s="24"/>
      <c r="Q1172" s="24"/>
      <c r="R1172" s="24"/>
      <c r="S1172" s="90"/>
      <c r="T1172" s="90"/>
      <c r="U1172" s="24"/>
      <c r="V1172" s="90"/>
      <c r="W1172" s="90"/>
      <c r="X1172" s="90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</row>
    <row r="1173" spans="1:37" x14ac:dyDescent="0.25">
      <c r="A1173" s="24"/>
      <c r="B1173" s="90"/>
      <c r="C1173" s="92"/>
      <c r="D1173" s="24"/>
      <c r="E1173" s="90"/>
      <c r="F1173" s="90"/>
      <c r="G1173" s="24"/>
      <c r="H1173" s="90"/>
      <c r="I1173" s="24"/>
      <c r="J1173" s="90"/>
      <c r="K1173" s="90"/>
      <c r="L1173" s="24"/>
      <c r="M1173" s="24"/>
      <c r="N1173" s="24"/>
      <c r="O1173" s="90"/>
      <c r="P1173" s="24"/>
      <c r="Q1173" s="24"/>
      <c r="R1173" s="24"/>
      <c r="S1173" s="90"/>
      <c r="T1173" s="90"/>
      <c r="U1173" s="24"/>
      <c r="V1173" s="90"/>
      <c r="W1173" s="90"/>
      <c r="X1173" s="90"/>
      <c r="Y1173" s="24"/>
      <c r="Z1173" s="24"/>
      <c r="AA1173" s="24"/>
      <c r="AB1173" s="24"/>
      <c r="AC1173" s="24"/>
      <c r="AD1173" s="24"/>
      <c r="AE1173" s="24"/>
      <c r="AF1173" s="24"/>
      <c r="AG1173" s="24"/>
      <c r="AH1173" s="24"/>
      <c r="AI1173" s="24"/>
      <c r="AJ1173" s="24"/>
      <c r="AK1173" s="24"/>
    </row>
    <row r="1174" spans="1:37" x14ac:dyDescent="0.25">
      <c r="A1174" s="24"/>
      <c r="B1174" s="90"/>
      <c r="C1174" s="92"/>
      <c r="D1174" s="24"/>
      <c r="E1174" s="90"/>
      <c r="F1174" s="90"/>
      <c r="G1174" s="24"/>
      <c r="H1174" s="90"/>
      <c r="I1174" s="24"/>
      <c r="J1174" s="90"/>
      <c r="K1174" s="90"/>
      <c r="L1174" s="24"/>
      <c r="M1174" s="24"/>
      <c r="N1174" s="24"/>
      <c r="O1174" s="90"/>
      <c r="P1174" s="24"/>
      <c r="Q1174" s="24"/>
      <c r="R1174" s="24"/>
      <c r="S1174" s="90"/>
      <c r="T1174" s="90"/>
      <c r="U1174" s="24"/>
      <c r="V1174" s="90"/>
      <c r="W1174" s="90"/>
      <c r="X1174" s="90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</row>
    <row r="1175" spans="1:37" x14ac:dyDescent="0.25">
      <c r="A1175" s="24"/>
      <c r="B1175" s="90"/>
      <c r="C1175" s="92"/>
      <c r="D1175" s="24"/>
      <c r="E1175" s="90"/>
      <c r="F1175" s="90"/>
      <c r="G1175" s="24"/>
      <c r="H1175" s="90"/>
      <c r="I1175" s="24"/>
      <c r="J1175" s="90"/>
      <c r="K1175" s="90"/>
      <c r="L1175" s="24"/>
      <c r="M1175" s="24"/>
      <c r="N1175" s="24"/>
      <c r="O1175" s="90"/>
      <c r="P1175" s="24"/>
      <c r="Q1175" s="24"/>
      <c r="R1175" s="24"/>
      <c r="S1175" s="90"/>
      <c r="T1175" s="90"/>
      <c r="U1175" s="24"/>
      <c r="V1175" s="90"/>
      <c r="W1175" s="90"/>
      <c r="X1175" s="90"/>
      <c r="Y1175" s="24"/>
      <c r="Z1175" s="24"/>
      <c r="AA1175" s="24"/>
      <c r="AB1175" s="24"/>
      <c r="AC1175" s="24"/>
      <c r="AD1175" s="24"/>
      <c r="AE1175" s="24"/>
      <c r="AF1175" s="24"/>
      <c r="AG1175" s="24"/>
      <c r="AH1175" s="24"/>
      <c r="AI1175" s="24"/>
      <c r="AJ1175" s="24"/>
      <c r="AK1175" s="24"/>
    </row>
    <row r="1176" spans="1:37" x14ac:dyDescent="0.25">
      <c r="A1176" s="24"/>
      <c r="B1176" s="90"/>
      <c r="C1176" s="92"/>
      <c r="D1176" s="24"/>
      <c r="E1176" s="90"/>
      <c r="F1176" s="90"/>
      <c r="G1176" s="24"/>
      <c r="H1176" s="90"/>
      <c r="I1176" s="24"/>
      <c r="J1176" s="90"/>
      <c r="K1176" s="90"/>
      <c r="L1176" s="24"/>
      <c r="M1176" s="24"/>
      <c r="N1176" s="24"/>
      <c r="O1176" s="90"/>
      <c r="P1176" s="24"/>
      <c r="Q1176" s="24"/>
      <c r="R1176" s="24"/>
      <c r="S1176" s="90"/>
      <c r="T1176" s="90"/>
      <c r="U1176" s="24"/>
      <c r="V1176" s="90"/>
      <c r="W1176" s="90"/>
      <c r="X1176" s="90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</row>
    <row r="1177" spans="1:37" x14ac:dyDescent="0.25">
      <c r="A1177" s="24"/>
      <c r="B1177" s="90"/>
      <c r="C1177" s="92"/>
      <c r="D1177" s="24"/>
      <c r="E1177" s="90"/>
      <c r="F1177" s="90"/>
      <c r="G1177" s="24"/>
      <c r="H1177" s="90"/>
      <c r="I1177" s="24"/>
      <c r="J1177" s="90"/>
      <c r="K1177" s="90"/>
      <c r="L1177" s="24"/>
      <c r="M1177" s="24"/>
      <c r="N1177" s="24"/>
      <c r="O1177" s="90"/>
      <c r="P1177" s="24"/>
      <c r="Q1177" s="24"/>
      <c r="R1177" s="24"/>
      <c r="S1177" s="90"/>
      <c r="T1177" s="90"/>
      <c r="U1177" s="24"/>
      <c r="V1177" s="90"/>
      <c r="W1177" s="90"/>
      <c r="X1177" s="90"/>
      <c r="Y1177" s="24"/>
      <c r="Z1177" s="24"/>
      <c r="AA1177" s="24"/>
      <c r="AB1177" s="24"/>
      <c r="AC1177" s="24"/>
      <c r="AD1177" s="24"/>
      <c r="AE1177" s="24"/>
      <c r="AF1177" s="24"/>
      <c r="AG1177" s="24"/>
      <c r="AH1177" s="24"/>
      <c r="AI1177" s="24"/>
      <c r="AJ1177" s="24"/>
      <c r="AK1177" s="24"/>
    </row>
    <row r="1178" spans="1:37" x14ac:dyDescent="0.25">
      <c r="A1178" s="24"/>
      <c r="B1178" s="90"/>
      <c r="C1178" s="92"/>
      <c r="D1178" s="24"/>
      <c r="E1178" s="90"/>
      <c r="F1178" s="90"/>
      <c r="G1178" s="24"/>
      <c r="H1178" s="90"/>
      <c r="I1178" s="24"/>
      <c r="J1178" s="90"/>
      <c r="K1178" s="90"/>
      <c r="L1178" s="24"/>
      <c r="M1178" s="24"/>
      <c r="N1178" s="24"/>
      <c r="O1178" s="90"/>
      <c r="P1178" s="24"/>
      <c r="Q1178" s="24"/>
      <c r="R1178" s="24"/>
      <c r="S1178" s="90"/>
      <c r="T1178" s="90"/>
      <c r="U1178" s="24"/>
      <c r="V1178" s="90"/>
      <c r="W1178" s="90"/>
      <c r="X1178" s="90"/>
      <c r="Y1178" s="24"/>
      <c r="Z1178" s="24"/>
      <c r="AA1178" s="24"/>
      <c r="AB1178" s="24"/>
      <c r="AC1178" s="24"/>
      <c r="AD1178" s="24"/>
      <c r="AE1178" s="24"/>
      <c r="AF1178" s="24"/>
      <c r="AG1178" s="24"/>
      <c r="AH1178" s="24"/>
      <c r="AI1178" s="24"/>
      <c r="AJ1178" s="24"/>
      <c r="AK1178" s="24"/>
    </row>
    <row r="1179" spans="1:37" x14ac:dyDescent="0.25">
      <c r="A1179" s="24"/>
      <c r="B1179" s="90"/>
      <c r="C1179" s="92"/>
      <c r="D1179" s="24"/>
      <c r="E1179" s="90"/>
      <c r="F1179" s="90"/>
      <c r="G1179" s="24"/>
      <c r="H1179" s="90"/>
      <c r="I1179" s="24"/>
      <c r="J1179" s="90"/>
      <c r="K1179" s="90"/>
      <c r="L1179" s="24"/>
      <c r="M1179" s="24"/>
      <c r="N1179" s="24"/>
      <c r="O1179" s="90"/>
      <c r="P1179" s="24"/>
      <c r="Q1179" s="24"/>
      <c r="R1179" s="24"/>
      <c r="S1179" s="90"/>
      <c r="T1179" s="90"/>
      <c r="U1179" s="24"/>
      <c r="V1179" s="90"/>
      <c r="W1179" s="90"/>
      <c r="X1179" s="90"/>
      <c r="Y1179" s="24"/>
      <c r="Z1179" s="24"/>
      <c r="AA1179" s="24"/>
      <c r="AB1179" s="24"/>
      <c r="AC1179" s="24"/>
      <c r="AD1179" s="24"/>
      <c r="AE1179" s="24"/>
      <c r="AF1179" s="24"/>
      <c r="AG1179" s="24"/>
      <c r="AH1179" s="24"/>
      <c r="AI1179" s="24"/>
      <c r="AJ1179" s="24"/>
      <c r="AK1179" s="24"/>
    </row>
    <row r="1180" spans="1:37" x14ac:dyDescent="0.25">
      <c r="A1180" s="24"/>
      <c r="B1180" s="90"/>
      <c r="C1180" s="92"/>
      <c r="D1180" s="24"/>
      <c r="E1180" s="90"/>
      <c r="F1180" s="90"/>
      <c r="G1180" s="24"/>
      <c r="H1180" s="90"/>
      <c r="I1180" s="24"/>
      <c r="J1180" s="90"/>
      <c r="K1180" s="90"/>
      <c r="L1180" s="24"/>
      <c r="M1180" s="24"/>
      <c r="N1180" s="24"/>
      <c r="O1180" s="90"/>
      <c r="P1180" s="24"/>
      <c r="Q1180" s="24"/>
      <c r="R1180" s="24"/>
      <c r="S1180" s="90"/>
      <c r="T1180" s="90"/>
      <c r="U1180" s="24"/>
      <c r="V1180" s="90"/>
      <c r="W1180" s="90"/>
      <c r="X1180" s="90"/>
      <c r="Y1180" s="24"/>
      <c r="Z1180" s="24"/>
      <c r="AA1180" s="24"/>
      <c r="AB1180" s="24"/>
      <c r="AC1180" s="24"/>
      <c r="AD1180" s="24"/>
      <c r="AE1180" s="24"/>
      <c r="AF1180" s="24"/>
      <c r="AG1180" s="24"/>
      <c r="AH1180" s="24"/>
      <c r="AI1180" s="24"/>
      <c r="AJ1180" s="24"/>
      <c r="AK1180" s="24"/>
    </row>
    <row r="1181" spans="1:37" x14ac:dyDescent="0.25">
      <c r="A1181" s="24"/>
      <c r="B1181" s="90"/>
      <c r="C1181" s="92"/>
      <c r="D1181" s="24"/>
      <c r="E1181" s="90"/>
      <c r="F1181" s="90"/>
      <c r="G1181" s="24"/>
      <c r="H1181" s="90"/>
      <c r="I1181" s="24"/>
      <c r="J1181" s="90"/>
      <c r="K1181" s="90"/>
      <c r="L1181" s="24"/>
      <c r="M1181" s="24"/>
      <c r="N1181" s="24"/>
      <c r="O1181" s="90"/>
      <c r="P1181" s="24"/>
      <c r="Q1181" s="24"/>
      <c r="R1181" s="24"/>
      <c r="S1181" s="90"/>
      <c r="T1181" s="90"/>
      <c r="U1181" s="24"/>
      <c r="V1181" s="90"/>
      <c r="W1181" s="90"/>
      <c r="X1181" s="90"/>
      <c r="Y1181" s="24"/>
      <c r="Z1181" s="24"/>
      <c r="AA1181" s="24"/>
      <c r="AB1181" s="24"/>
      <c r="AC1181" s="24"/>
      <c r="AD1181" s="24"/>
      <c r="AE1181" s="24"/>
      <c r="AF1181" s="24"/>
      <c r="AG1181" s="24"/>
      <c r="AH1181" s="24"/>
      <c r="AI1181" s="24"/>
      <c r="AJ1181" s="24"/>
      <c r="AK1181" s="24"/>
    </row>
    <row r="1182" spans="1:37" x14ac:dyDescent="0.25">
      <c r="A1182" s="24"/>
      <c r="B1182" s="90"/>
      <c r="C1182" s="92"/>
      <c r="D1182" s="24"/>
      <c r="E1182" s="90"/>
      <c r="F1182" s="90"/>
      <c r="G1182" s="24"/>
      <c r="H1182" s="90"/>
      <c r="I1182" s="24"/>
      <c r="J1182" s="90"/>
      <c r="K1182" s="90"/>
      <c r="L1182" s="24"/>
      <c r="M1182" s="24"/>
      <c r="N1182" s="24"/>
      <c r="O1182" s="90"/>
      <c r="P1182" s="24"/>
      <c r="Q1182" s="24"/>
      <c r="R1182" s="24"/>
      <c r="S1182" s="90"/>
      <c r="T1182" s="90"/>
      <c r="U1182" s="24"/>
      <c r="V1182" s="90"/>
      <c r="W1182" s="90"/>
      <c r="X1182" s="90"/>
      <c r="Y1182" s="24"/>
      <c r="Z1182" s="24"/>
      <c r="AA1182" s="24"/>
      <c r="AB1182" s="24"/>
      <c r="AC1182" s="24"/>
      <c r="AD1182" s="24"/>
      <c r="AE1182" s="24"/>
      <c r="AF1182" s="24"/>
      <c r="AG1182" s="24"/>
      <c r="AH1182" s="24"/>
      <c r="AI1182" s="24"/>
      <c r="AJ1182" s="24"/>
      <c r="AK1182" s="24"/>
    </row>
    <row r="1183" spans="1:37" x14ac:dyDescent="0.25">
      <c r="A1183" s="24"/>
      <c r="B1183" s="90"/>
      <c r="C1183" s="92"/>
      <c r="D1183" s="24"/>
      <c r="E1183" s="90"/>
      <c r="F1183" s="90"/>
      <c r="G1183" s="24"/>
      <c r="H1183" s="90"/>
      <c r="I1183" s="24"/>
      <c r="J1183" s="90"/>
      <c r="K1183" s="90"/>
      <c r="L1183" s="24"/>
      <c r="M1183" s="24"/>
      <c r="N1183" s="24"/>
      <c r="O1183" s="90"/>
      <c r="P1183" s="24"/>
      <c r="Q1183" s="24"/>
      <c r="R1183" s="24"/>
      <c r="S1183" s="90"/>
      <c r="T1183" s="90"/>
      <c r="U1183" s="24"/>
      <c r="V1183" s="90"/>
      <c r="W1183" s="90"/>
      <c r="X1183" s="90"/>
      <c r="Y1183" s="24"/>
      <c r="Z1183" s="24"/>
      <c r="AA1183" s="24"/>
      <c r="AB1183" s="24"/>
      <c r="AC1183" s="24"/>
      <c r="AD1183" s="24"/>
      <c r="AE1183" s="24"/>
      <c r="AF1183" s="24"/>
      <c r="AG1183" s="24"/>
      <c r="AH1183" s="24"/>
      <c r="AI1183" s="24"/>
      <c r="AJ1183" s="24"/>
      <c r="AK1183" s="24"/>
    </row>
    <row r="1184" spans="1:37" x14ac:dyDescent="0.25">
      <c r="A1184" s="24"/>
      <c r="B1184" s="90"/>
      <c r="C1184" s="92"/>
      <c r="D1184" s="24"/>
      <c r="E1184" s="90"/>
      <c r="F1184" s="90"/>
      <c r="G1184" s="24"/>
      <c r="H1184" s="90"/>
      <c r="I1184" s="24"/>
      <c r="J1184" s="90"/>
      <c r="K1184" s="90"/>
      <c r="L1184" s="24"/>
      <c r="M1184" s="24"/>
      <c r="N1184" s="24"/>
      <c r="O1184" s="90"/>
      <c r="P1184" s="24"/>
      <c r="Q1184" s="24"/>
      <c r="R1184" s="24"/>
      <c r="S1184" s="90"/>
      <c r="T1184" s="90"/>
      <c r="U1184" s="24"/>
      <c r="V1184" s="90"/>
      <c r="W1184" s="90"/>
      <c r="X1184" s="90"/>
      <c r="Y1184" s="24"/>
      <c r="Z1184" s="24"/>
      <c r="AA1184" s="24"/>
      <c r="AB1184" s="24"/>
      <c r="AC1184" s="24"/>
      <c r="AD1184" s="24"/>
      <c r="AE1184" s="24"/>
      <c r="AF1184" s="24"/>
      <c r="AG1184" s="24"/>
      <c r="AH1184" s="24"/>
      <c r="AI1184" s="24"/>
      <c r="AJ1184" s="24"/>
      <c r="AK1184" s="24"/>
    </row>
    <row r="1185" spans="1:37" x14ac:dyDescent="0.25">
      <c r="A1185" s="24"/>
      <c r="B1185" s="90"/>
      <c r="C1185" s="92"/>
      <c r="D1185" s="24"/>
      <c r="E1185" s="90"/>
      <c r="F1185" s="90"/>
      <c r="G1185" s="24"/>
      <c r="H1185" s="90"/>
      <c r="I1185" s="24"/>
      <c r="J1185" s="90"/>
      <c r="K1185" s="90"/>
      <c r="L1185" s="24"/>
      <c r="M1185" s="24"/>
      <c r="N1185" s="24"/>
      <c r="O1185" s="90"/>
      <c r="P1185" s="24"/>
      <c r="Q1185" s="24"/>
      <c r="R1185" s="24"/>
      <c r="S1185" s="90"/>
      <c r="T1185" s="90"/>
      <c r="U1185" s="24"/>
      <c r="V1185" s="90"/>
      <c r="W1185" s="90"/>
      <c r="X1185" s="90"/>
      <c r="Y1185" s="24"/>
      <c r="Z1185" s="24"/>
      <c r="AA1185" s="24"/>
      <c r="AB1185" s="24"/>
      <c r="AC1185" s="24"/>
      <c r="AD1185" s="24"/>
      <c r="AE1185" s="24"/>
      <c r="AF1185" s="24"/>
      <c r="AG1185" s="24"/>
      <c r="AH1185" s="24"/>
      <c r="AI1185" s="24"/>
      <c r="AJ1185" s="24"/>
      <c r="AK1185" s="24"/>
    </row>
    <row r="1186" spans="1:37" x14ac:dyDescent="0.25">
      <c r="A1186" s="24"/>
      <c r="B1186" s="90"/>
      <c r="C1186" s="92"/>
      <c r="D1186" s="24"/>
      <c r="E1186" s="90"/>
      <c r="F1186" s="90"/>
      <c r="G1186" s="24"/>
      <c r="H1186" s="90"/>
      <c r="I1186" s="24"/>
      <c r="J1186" s="90"/>
      <c r="K1186" s="90"/>
      <c r="L1186" s="24"/>
      <c r="M1186" s="24"/>
      <c r="N1186" s="24"/>
      <c r="O1186" s="90"/>
      <c r="P1186" s="24"/>
      <c r="Q1186" s="24"/>
      <c r="R1186" s="24"/>
      <c r="S1186" s="90"/>
      <c r="T1186" s="90"/>
      <c r="U1186" s="24"/>
      <c r="V1186" s="90"/>
      <c r="W1186" s="90"/>
      <c r="X1186" s="90"/>
      <c r="Y1186" s="24"/>
      <c r="Z1186" s="24"/>
      <c r="AA1186" s="24"/>
      <c r="AB1186" s="24"/>
      <c r="AC1186" s="24"/>
      <c r="AD1186" s="24"/>
      <c r="AE1186" s="24"/>
      <c r="AF1186" s="24"/>
      <c r="AG1186" s="24"/>
      <c r="AH1186" s="24"/>
      <c r="AI1186" s="24"/>
      <c r="AJ1186" s="24"/>
      <c r="AK1186" s="24"/>
    </row>
    <row r="1187" spans="1:37" x14ac:dyDescent="0.25">
      <c r="A1187" s="24"/>
      <c r="B1187" s="90"/>
      <c r="C1187" s="92"/>
      <c r="D1187" s="24"/>
      <c r="E1187" s="90"/>
      <c r="F1187" s="90"/>
      <c r="G1187" s="24"/>
      <c r="H1187" s="90"/>
      <c r="I1187" s="24"/>
      <c r="J1187" s="90"/>
      <c r="K1187" s="90"/>
      <c r="L1187" s="24"/>
      <c r="M1187" s="24"/>
      <c r="N1187" s="24"/>
      <c r="O1187" s="90"/>
      <c r="P1187" s="24"/>
      <c r="Q1187" s="24"/>
      <c r="R1187" s="24"/>
      <c r="S1187" s="90"/>
      <c r="T1187" s="90"/>
      <c r="U1187" s="24"/>
      <c r="V1187" s="90"/>
      <c r="W1187" s="90"/>
      <c r="X1187" s="90"/>
      <c r="Y1187" s="24"/>
      <c r="Z1187" s="24"/>
      <c r="AA1187" s="24"/>
      <c r="AB1187" s="24"/>
      <c r="AC1187" s="24"/>
      <c r="AD1187" s="24"/>
      <c r="AE1187" s="24"/>
      <c r="AF1187" s="24"/>
      <c r="AG1187" s="24"/>
      <c r="AH1187" s="24"/>
      <c r="AI1187" s="24"/>
      <c r="AJ1187" s="24"/>
      <c r="AK1187" s="24"/>
    </row>
    <row r="1188" spans="1:37" x14ac:dyDescent="0.25">
      <c r="A1188" s="24"/>
      <c r="B1188" s="90"/>
      <c r="C1188" s="92"/>
      <c r="D1188" s="24"/>
      <c r="E1188" s="90"/>
      <c r="F1188" s="90"/>
      <c r="G1188" s="24"/>
      <c r="H1188" s="90"/>
      <c r="I1188" s="24"/>
      <c r="J1188" s="90"/>
      <c r="K1188" s="90"/>
      <c r="L1188" s="24"/>
      <c r="M1188" s="24"/>
      <c r="N1188" s="24"/>
      <c r="O1188" s="90"/>
      <c r="P1188" s="24"/>
      <c r="Q1188" s="24"/>
      <c r="R1188" s="24"/>
      <c r="S1188" s="90"/>
      <c r="T1188" s="90"/>
      <c r="U1188" s="24"/>
      <c r="V1188" s="90"/>
      <c r="W1188" s="90"/>
      <c r="X1188" s="90"/>
      <c r="Y1188" s="24"/>
      <c r="Z1188" s="24"/>
      <c r="AA1188" s="24"/>
      <c r="AB1188" s="24"/>
      <c r="AC1188" s="24"/>
      <c r="AD1188" s="24"/>
      <c r="AE1188" s="24"/>
      <c r="AF1188" s="24"/>
      <c r="AG1188" s="24"/>
      <c r="AH1188" s="24"/>
      <c r="AI1188" s="24"/>
      <c r="AJ1188" s="24"/>
      <c r="AK1188" s="24"/>
    </row>
    <row r="1189" spans="1:37" x14ac:dyDescent="0.25">
      <c r="A1189" s="24"/>
      <c r="B1189" s="90"/>
      <c r="C1189" s="92"/>
      <c r="D1189" s="24"/>
      <c r="E1189" s="90"/>
      <c r="F1189" s="90"/>
      <c r="G1189" s="24"/>
      <c r="H1189" s="90"/>
      <c r="I1189" s="24"/>
      <c r="J1189" s="90"/>
      <c r="K1189" s="90"/>
      <c r="L1189" s="24"/>
      <c r="M1189" s="24"/>
      <c r="N1189" s="24"/>
      <c r="O1189" s="90"/>
      <c r="P1189" s="24"/>
      <c r="Q1189" s="24"/>
      <c r="R1189" s="24"/>
      <c r="S1189" s="90"/>
      <c r="T1189" s="90"/>
      <c r="U1189" s="24"/>
      <c r="V1189" s="90"/>
      <c r="W1189" s="90"/>
      <c r="X1189" s="90"/>
      <c r="Y1189" s="24"/>
      <c r="Z1189" s="24"/>
      <c r="AA1189" s="24"/>
      <c r="AB1189" s="24"/>
      <c r="AC1189" s="24"/>
      <c r="AD1189" s="24"/>
      <c r="AE1189" s="24"/>
      <c r="AF1189" s="24"/>
      <c r="AG1189" s="24"/>
      <c r="AH1189" s="24"/>
      <c r="AI1189" s="24"/>
      <c r="AJ1189" s="24"/>
      <c r="AK1189" s="24"/>
    </row>
    <row r="1190" spans="1:37" x14ac:dyDescent="0.25">
      <c r="A1190" s="24"/>
      <c r="B1190" s="90"/>
      <c r="C1190" s="92"/>
      <c r="D1190" s="24"/>
      <c r="E1190" s="90"/>
      <c r="F1190" s="90"/>
      <c r="G1190" s="24"/>
      <c r="H1190" s="90"/>
      <c r="I1190" s="24"/>
      <c r="J1190" s="90"/>
      <c r="K1190" s="90"/>
      <c r="L1190" s="24"/>
      <c r="M1190" s="24"/>
      <c r="N1190" s="24"/>
      <c r="O1190" s="90"/>
      <c r="P1190" s="24"/>
      <c r="Q1190" s="24"/>
      <c r="R1190" s="24"/>
      <c r="S1190" s="90"/>
      <c r="T1190" s="90"/>
      <c r="U1190" s="24"/>
      <c r="V1190" s="90"/>
      <c r="W1190" s="90"/>
      <c r="X1190" s="90"/>
      <c r="Y1190" s="24"/>
      <c r="Z1190" s="24"/>
      <c r="AA1190" s="24"/>
      <c r="AB1190" s="24"/>
      <c r="AC1190" s="24"/>
      <c r="AD1190" s="24"/>
      <c r="AE1190" s="24"/>
      <c r="AF1190" s="24"/>
      <c r="AG1190" s="24"/>
      <c r="AH1190" s="24"/>
      <c r="AI1190" s="24"/>
      <c r="AJ1190" s="24"/>
      <c r="AK1190" s="24"/>
    </row>
    <row r="1191" spans="1:37" x14ac:dyDescent="0.25">
      <c r="A1191" s="24"/>
      <c r="B1191" s="90"/>
      <c r="C1191" s="92"/>
      <c r="D1191" s="24"/>
      <c r="E1191" s="90"/>
      <c r="F1191" s="90"/>
      <c r="G1191" s="24"/>
      <c r="H1191" s="90"/>
      <c r="I1191" s="24"/>
      <c r="J1191" s="90"/>
      <c r="K1191" s="90"/>
      <c r="L1191" s="24"/>
      <c r="M1191" s="24"/>
      <c r="N1191" s="24"/>
      <c r="O1191" s="90"/>
      <c r="P1191" s="24"/>
      <c r="Q1191" s="24"/>
      <c r="R1191" s="24"/>
      <c r="S1191" s="90"/>
      <c r="T1191" s="90"/>
      <c r="U1191" s="24"/>
      <c r="V1191" s="90"/>
      <c r="W1191" s="90"/>
      <c r="X1191" s="90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</row>
    <row r="1192" spans="1:37" x14ac:dyDescent="0.25">
      <c r="A1192" s="24"/>
      <c r="B1192" s="90"/>
      <c r="C1192" s="92"/>
      <c r="D1192" s="24"/>
      <c r="E1192" s="90"/>
      <c r="F1192" s="90"/>
      <c r="G1192" s="24"/>
      <c r="H1192" s="90"/>
      <c r="I1192" s="24"/>
      <c r="J1192" s="90"/>
      <c r="K1192" s="90"/>
      <c r="L1192" s="24"/>
      <c r="M1192" s="24"/>
      <c r="N1192" s="24"/>
      <c r="O1192" s="90"/>
      <c r="P1192" s="24"/>
      <c r="Q1192" s="24"/>
      <c r="R1192" s="24"/>
      <c r="S1192" s="90"/>
      <c r="T1192" s="90"/>
      <c r="U1192" s="24"/>
      <c r="V1192" s="90"/>
      <c r="W1192" s="90"/>
      <c r="X1192" s="90"/>
      <c r="Y1192" s="24"/>
      <c r="Z1192" s="24"/>
      <c r="AA1192" s="24"/>
      <c r="AB1192" s="24"/>
      <c r="AC1192" s="24"/>
      <c r="AD1192" s="24"/>
      <c r="AE1192" s="24"/>
      <c r="AF1192" s="24"/>
      <c r="AG1192" s="24"/>
      <c r="AH1192" s="24"/>
      <c r="AI1192" s="24"/>
      <c r="AJ1192" s="24"/>
      <c r="AK1192" s="24"/>
    </row>
    <row r="1193" spans="1:37" x14ac:dyDescent="0.25">
      <c r="A1193" s="24"/>
      <c r="B1193" s="90"/>
      <c r="C1193" s="92"/>
      <c r="D1193" s="24"/>
      <c r="E1193" s="90"/>
      <c r="F1193" s="90"/>
      <c r="G1193" s="24"/>
      <c r="H1193" s="90"/>
      <c r="I1193" s="24"/>
      <c r="J1193" s="90"/>
      <c r="K1193" s="90"/>
      <c r="L1193" s="24"/>
      <c r="M1193" s="24"/>
      <c r="N1193" s="24"/>
      <c r="O1193" s="90"/>
      <c r="P1193" s="24"/>
      <c r="Q1193" s="24"/>
      <c r="R1193" s="24"/>
      <c r="S1193" s="90"/>
      <c r="T1193" s="90"/>
      <c r="U1193" s="24"/>
      <c r="V1193" s="90"/>
      <c r="W1193" s="90"/>
      <c r="X1193" s="90"/>
      <c r="Y1193" s="24"/>
      <c r="Z1193" s="24"/>
      <c r="AA1193" s="24"/>
      <c r="AB1193" s="24"/>
      <c r="AC1193" s="24"/>
      <c r="AD1193" s="24"/>
      <c r="AE1193" s="24"/>
      <c r="AF1193" s="24"/>
      <c r="AG1193" s="24"/>
      <c r="AH1193" s="24"/>
      <c r="AI1193" s="24"/>
      <c r="AJ1193" s="24"/>
      <c r="AK1193" s="24"/>
    </row>
    <row r="1194" spans="1:37" x14ac:dyDescent="0.25">
      <c r="A1194" s="24"/>
      <c r="B1194" s="90"/>
      <c r="C1194" s="92"/>
      <c r="D1194" s="24"/>
      <c r="E1194" s="90"/>
      <c r="F1194" s="90"/>
      <c r="G1194" s="24"/>
      <c r="H1194" s="90"/>
      <c r="I1194" s="24"/>
      <c r="J1194" s="90"/>
      <c r="K1194" s="90"/>
      <c r="L1194" s="24"/>
      <c r="M1194" s="24"/>
      <c r="N1194" s="24"/>
      <c r="O1194" s="90"/>
      <c r="P1194" s="24"/>
      <c r="Q1194" s="24"/>
      <c r="R1194" s="24"/>
      <c r="S1194" s="90"/>
      <c r="T1194" s="90"/>
      <c r="U1194" s="24"/>
      <c r="V1194" s="90"/>
      <c r="W1194" s="90"/>
      <c r="X1194" s="90"/>
      <c r="Y1194" s="24"/>
      <c r="Z1194" s="24"/>
      <c r="AA1194" s="24"/>
      <c r="AB1194" s="24"/>
      <c r="AC1194" s="24"/>
      <c r="AD1194" s="24"/>
      <c r="AE1194" s="24"/>
      <c r="AF1194" s="24"/>
      <c r="AG1194" s="24"/>
      <c r="AH1194" s="24"/>
      <c r="AI1194" s="24"/>
      <c r="AJ1194" s="24"/>
      <c r="AK1194" s="24"/>
    </row>
    <row r="1195" spans="1:37" x14ac:dyDescent="0.25">
      <c r="A1195" s="24"/>
      <c r="B1195" s="90"/>
      <c r="C1195" s="92"/>
      <c r="D1195" s="24"/>
      <c r="E1195" s="90"/>
      <c r="F1195" s="90"/>
      <c r="G1195" s="24"/>
      <c r="H1195" s="90"/>
      <c r="I1195" s="24"/>
      <c r="J1195" s="90"/>
      <c r="K1195" s="90"/>
      <c r="L1195" s="24"/>
      <c r="M1195" s="24"/>
      <c r="N1195" s="24"/>
      <c r="O1195" s="90"/>
      <c r="P1195" s="24"/>
      <c r="Q1195" s="24"/>
      <c r="R1195" s="24"/>
      <c r="S1195" s="90"/>
      <c r="T1195" s="90"/>
      <c r="U1195" s="24"/>
      <c r="V1195" s="90"/>
      <c r="W1195" s="90"/>
      <c r="X1195" s="90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</row>
    <row r="1196" spans="1:37" x14ac:dyDescent="0.25">
      <c r="A1196" s="24"/>
      <c r="B1196" s="90"/>
      <c r="C1196" s="92"/>
      <c r="D1196" s="24"/>
      <c r="E1196" s="90"/>
      <c r="F1196" s="90"/>
      <c r="G1196" s="24"/>
      <c r="H1196" s="90"/>
      <c r="I1196" s="24"/>
      <c r="J1196" s="90"/>
      <c r="K1196" s="90"/>
      <c r="L1196" s="24"/>
      <c r="M1196" s="24"/>
      <c r="N1196" s="24"/>
      <c r="O1196" s="90"/>
      <c r="P1196" s="24"/>
      <c r="Q1196" s="24"/>
      <c r="R1196" s="24"/>
      <c r="S1196" s="90"/>
      <c r="T1196" s="90"/>
      <c r="U1196" s="24"/>
      <c r="V1196" s="90"/>
      <c r="W1196" s="90"/>
      <c r="X1196" s="90"/>
      <c r="Y1196" s="24"/>
      <c r="Z1196" s="24"/>
      <c r="AA1196" s="24"/>
      <c r="AB1196" s="24"/>
      <c r="AC1196" s="24"/>
      <c r="AD1196" s="24"/>
      <c r="AE1196" s="24"/>
      <c r="AF1196" s="24"/>
      <c r="AG1196" s="24"/>
      <c r="AH1196" s="24"/>
      <c r="AI1196" s="24"/>
      <c r="AJ1196" s="24"/>
      <c r="AK1196" s="24"/>
    </row>
    <row r="1197" spans="1:37" x14ac:dyDescent="0.25">
      <c r="A1197" s="24"/>
      <c r="B1197" s="90"/>
      <c r="C1197" s="92"/>
      <c r="D1197" s="24"/>
      <c r="E1197" s="90"/>
      <c r="F1197" s="90"/>
      <c r="G1197" s="24"/>
      <c r="H1197" s="90"/>
      <c r="I1197" s="24"/>
      <c r="J1197" s="90"/>
      <c r="K1197" s="90"/>
      <c r="L1197" s="24"/>
      <c r="M1197" s="24"/>
      <c r="N1197" s="24"/>
      <c r="O1197" s="90"/>
      <c r="P1197" s="24"/>
      <c r="Q1197" s="24"/>
      <c r="R1197" s="24"/>
      <c r="S1197" s="90"/>
      <c r="T1197" s="90"/>
      <c r="U1197" s="24"/>
      <c r="V1197" s="90"/>
      <c r="W1197" s="90"/>
      <c r="X1197" s="90"/>
      <c r="Y1197" s="24"/>
      <c r="Z1197" s="24"/>
      <c r="AA1197" s="24"/>
      <c r="AB1197" s="24"/>
      <c r="AC1197" s="24"/>
      <c r="AD1197" s="24"/>
      <c r="AE1197" s="24"/>
      <c r="AF1197" s="24"/>
      <c r="AG1197" s="24"/>
      <c r="AH1197" s="24"/>
      <c r="AI1197" s="24"/>
      <c r="AJ1197" s="24"/>
      <c r="AK1197" s="24"/>
    </row>
    <row r="1198" spans="1:37" x14ac:dyDescent="0.25">
      <c r="A1198" s="24"/>
      <c r="B1198" s="90"/>
      <c r="C1198" s="92"/>
      <c r="D1198" s="24"/>
      <c r="E1198" s="90"/>
      <c r="F1198" s="90"/>
      <c r="G1198" s="24"/>
      <c r="H1198" s="90"/>
      <c r="I1198" s="24"/>
      <c r="J1198" s="90"/>
      <c r="K1198" s="90"/>
      <c r="L1198" s="24"/>
      <c r="M1198" s="24"/>
      <c r="N1198" s="24"/>
      <c r="O1198" s="90"/>
      <c r="P1198" s="24"/>
      <c r="Q1198" s="24"/>
      <c r="R1198" s="24"/>
      <c r="S1198" s="90"/>
      <c r="T1198" s="90"/>
      <c r="U1198" s="24"/>
      <c r="V1198" s="90"/>
      <c r="W1198" s="90"/>
      <c r="X1198" s="90"/>
      <c r="Y1198" s="24"/>
      <c r="Z1198" s="24"/>
      <c r="AA1198" s="24"/>
      <c r="AB1198" s="24"/>
      <c r="AC1198" s="24"/>
      <c r="AD1198" s="24"/>
      <c r="AE1198" s="24"/>
      <c r="AF1198" s="24"/>
      <c r="AG1198" s="24"/>
      <c r="AH1198" s="24"/>
      <c r="AI1198" s="24"/>
      <c r="AJ1198" s="24"/>
      <c r="AK1198" s="24"/>
    </row>
    <row r="1199" spans="1:37" x14ac:dyDescent="0.25">
      <c r="A1199" s="24"/>
      <c r="B1199" s="90"/>
      <c r="C1199" s="92"/>
      <c r="D1199" s="24"/>
      <c r="E1199" s="90"/>
      <c r="F1199" s="90"/>
      <c r="G1199" s="24"/>
      <c r="H1199" s="90"/>
      <c r="I1199" s="24"/>
      <c r="J1199" s="90"/>
      <c r="K1199" s="90"/>
      <c r="L1199" s="24"/>
      <c r="M1199" s="24"/>
      <c r="N1199" s="24"/>
      <c r="O1199" s="90"/>
      <c r="P1199" s="24"/>
      <c r="Q1199" s="24"/>
      <c r="R1199" s="24"/>
      <c r="S1199" s="90"/>
      <c r="T1199" s="90"/>
      <c r="U1199" s="24"/>
      <c r="V1199" s="90"/>
      <c r="W1199" s="90"/>
      <c r="X1199" s="90"/>
      <c r="Y1199" s="24"/>
      <c r="Z1199" s="24"/>
      <c r="AA1199" s="24"/>
      <c r="AB1199" s="24"/>
      <c r="AC1199" s="24"/>
      <c r="AD1199" s="24"/>
      <c r="AE1199" s="24"/>
      <c r="AF1199" s="24"/>
      <c r="AG1199" s="24"/>
      <c r="AH1199" s="24"/>
      <c r="AI1199" s="24"/>
      <c r="AJ1199" s="24"/>
      <c r="AK1199" s="24"/>
    </row>
    <row r="1200" spans="1:37" x14ac:dyDescent="0.25">
      <c r="A1200" s="24"/>
      <c r="B1200" s="90"/>
      <c r="C1200" s="92"/>
      <c r="D1200" s="24"/>
      <c r="E1200" s="90"/>
      <c r="F1200" s="90"/>
      <c r="G1200" s="24"/>
      <c r="H1200" s="90"/>
      <c r="I1200" s="24"/>
      <c r="J1200" s="90"/>
      <c r="K1200" s="90"/>
      <c r="L1200" s="24"/>
      <c r="M1200" s="24"/>
      <c r="N1200" s="24"/>
      <c r="O1200" s="90"/>
      <c r="P1200" s="24"/>
      <c r="Q1200" s="24"/>
      <c r="R1200" s="24"/>
      <c r="S1200" s="90"/>
      <c r="T1200" s="90"/>
      <c r="U1200" s="24"/>
      <c r="V1200" s="90"/>
      <c r="W1200" s="90"/>
      <c r="X1200" s="90"/>
      <c r="Y1200" s="24"/>
      <c r="Z1200" s="24"/>
      <c r="AA1200" s="24"/>
      <c r="AB1200" s="24"/>
      <c r="AC1200" s="24"/>
      <c r="AD1200" s="24"/>
      <c r="AE1200" s="24"/>
      <c r="AF1200" s="24"/>
      <c r="AG1200" s="24"/>
      <c r="AH1200" s="24"/>
      <c r="AI1200" s="24"/>
      <c r="AJ1200" s="24"/>
      <c r="AK1200" s="24"/>
    </row>
    <row r="1201" spans="1:37" x14ac:dyDescent="0.25">
      <c r="A1201" s="24"/>
      <c r="B1201" s="90"/>
      <c r="C1201" s="92"/>
      <c r="D1201" s="24"/>
      <c r="E1201" s="90"/>
      <c r="F1201" s="90"/>
      <c r="G1201" s="24"/>
      <c r="H1201" s="90"/>
      <c r="I1201" s="24"/>
      <c r="J1201" s="90"/>
      <c r="K1201" s="90"/>
      <c r="L1201" s="24"/>
      <c r="M1201" s="24"/>
      <c r="N1201" s="24"/>
      <c r="O1201" s="90"/>
      <c r="P1201" s="24"/>
      <c r="Q1201" s="24"/>
      <c r="R1201" s="24"/>
      <c r="S1201" s="90"/>
      <c r="T1201" s="90"/>
      <c r="U1201" s="24"/>
      <c r="V1201" s="90"/>
      <c r="W1201" s="90"/>
      <c r="X1201" s="90"/>
      <c r="Y1201" s="24"/>
      <c r="Z1201" s="24"/>
      <c r="AA1201" s="24"/>
      <c r="AB1201" s="24"/>
      <c r="AC1201" s="24"/>
      <c r="AD1201" s="24"/>
      <c r="AE1201" s="24"/>
      <c r="AF1201" s="24"/>
      <c r="AG1201" s="24"/>
      <c r="AH1201" s="24"/>
      <c r="AI1201" s="24"/>
      <c r="AJ1201" s="24"/>
      <c r="AK1201" s="24"/>
    </row>
    <row r="1202" spans="1:37" x14ac:dyDescent="0.25">
      <c r="A1202" s="24"/>
      <c r="B1202" s="90"/>
      <c r="C1202" s="92"/>
      <c r="D1202" s="24"/>
      <c r="E1202" s="90"/>
      <c r="F1202" s="90"/>
      <c r="G1202" s="24"/>
      <c r="H1202" s="90"/>
      <c r="I1202" s="24"/>
      <c r="J1202" s="90"/>
      <c r="K1202" s="90"/>
      <c r="L1202" s="24"/>
      <c r="M1202" s="24"/>
      <c r="N1202" s="24"/>
      <c r="O1202" s="90"/>
      <c r="P1202" s="24"/>
      <c r="Q1202" s="24"/>
      <c r="R1202" s="24"/>
      <c r="S1202" s="90"/>
      <c r="T1202" s="90"/>
      <c r="U1202" s="24"/>
      <c r="V1202" s="90"/>
      <c r="W1202" s="90"/>
      <c r="X1202" s="90"/>
      <c r="Y1202" s="24"/>
      <c r="Z1202" s="24"/>
      <c r="AA1202" s="24"/>
      <c r="AB1202" s="24"/>
      <c r="AC1202" s="24"/>
      <c r="AD1202" s="24"/>
      <c r="AE1202" s="24"/>
      <c r="AF1202" s="24"/>
      <c r="AG1202" s="24"/>
      <c r="AH1202" s="24"/>
      <c r="AI1202" s="24"/>
      <c r="AJ1202" s="24"/>
      <c r="AK1202" s="24"/>
    </row>
    <row r="1203" spans="1:37" x14ac:dyDescent="0.25">
      <c r="A1203" s="24"/>
      <c r="B1203" s="90"/>
      <c r="C1203" s="92"/>
      <c r="D1203" s="24"/>
      <c r="E1203" s="90"/>
      <c r="F1203" s="90"/>
      <c r="G1203" s="24"/>
      <c r="H1203" s="90"/>
      <c r="I1203" s="24"/>
      <c r="J1203" s="90"/>
      <c r="K1203" s="90"/>
      <c r="L1203" s="24"/>
      <c r="M1203" s="24"/>
      <c r="N1203" s="24"/>
      <c r="O1203" s="90"/>
      <c r="P1203" s="24"/>
      <c r="Q1203" s="24"/>
      <c r="R1203" s="24"/>
      <c r="S1203" s="90"/>
      <c r="T1203" s="90"/>
      <c r="U1203" s="24"/>
      <c r="V1203" s="90"/>
      <c r="W1203" s="90"/>
      <c r="X1203" s="90"/>
      <c r="Y1203" s="24"/>
      <c r="Z1203" s="24"/>
      <c r="AA1203" s="24"/>
      <c r="AB1203" s="24"/>
      <c r="AC1203" s="24"/>
      <c r="AD1203" s="24"/>
      <c r="AE1203" s="24"/>
      <c r="AF1203" s="24"/>
      <c r="AG1203" s="24"/>
      <c r="AH1203" s="24"/>
      <c r="AI1203" s="24"/>
      <c r="AJ1203" s="24"/>
      <c r="AK1203" s="24"/>
    </row>
    <row r="1204" spans="1:37" x14ac:dyDescent="0.25">
      <c r="A1204" s="24"/>
      <c r="B1204" s="90"/>
      <c r="C1204" s="92"/>
      <c r="D1204" s="24"/>
      <c r="E1204" s="90"/>
      <c r="F1204" s="90"/>
      <c r="G1204" s="24"/>
      <c r="H1204" s="90"/>
      <c r="I1204" s="24"/>
      <c r="J1204" s="90"/>
      <c r="K1204" s="90"/>
      <c r="L1204" s="24"/>
      <c r="M1204" s="24"/>
      <c r="N1204" s="24"/>
      <c r="O1204" s="90"/>
      <c r="P1204" s="24"/>
      <c r="Q1204" s="24"/>
      <c r="R1204" s="24"/>
      <c r="S1204" s="90"/>
      <c r="T1204" s="90"/>
      <c r="U1204" s="24"/>
      <c r="V1204" s="90"/>
      <c r="W1204" s="90"/>
      <c r="X1204" s="90"/>
      <c r="Y1204" s="24"/>
      <c r="Z1204" s="24"/>
      <c r="AA1204" s="24"/>
      <c r="AB1204" s="24"/>
      <c r="AC1204" s="24"/>
      <c r="AD1204" s="24"/>
      <c r="AE1204" s="24"/>
      <c r="AF1204" s="24"/>
      <c r="AG1204" s="24"/>
      <c r="AH1204" s="24"/>
      <c r="AI1204" s="24"/>
      <c r="AJ1204" s="24"/>
      <c r="AK1204" s="24"/>
    </row>
    <row r="1205" spans="1:37" x14ac:dyDescent="0.25">
      <c r="A1205" s="24"/>
      <c r="B1205" s="90"/>
      <c r="C1205" s="92"/>
      <c r="D1205" s="24"/>
      <c r="E1205" s="90"/>
      <c r="F1205" s="90"/>
      <c r="G1205" s="24"/>
      <c r="H1205" s="90"/>
      <c r="I1205" s="24"/>
      <c r="J1205" s="90"/>
      <c r="K1205" s="90"/>
      <c r="L1205" s="24"/>
      <c r="M1205" s="24"/>
      <c r="N1205" s="24"/>
      <c r="O1205" s="90"/>
      <c r="P1205" s="24"/>
      <c r="Q1205" s="24"/>
      <c r="R1205" s="24"/>
      <c r="S1205" s="90"/>
      <c r="T1205" s="90"/>
      <c r="U1205" s="24"/>
      <c r="V1205" s="90"/>
      <c r="W1205" s="90"/>
      <c r="X1205" s="90"/>
      <c r="Y1205" s="24"/>
      <c r="Z1205" s="24"/>
      <c r="AA1205" s="24"/>
      <c r="AB1205" s="24"/>
      <c r="AC1205" s="24"/>
      <c r="AD1205" s="24"/>
      <c r="AE1205" s="24"/>
      <c r="AF1205" s="24"/>
      <c r="AG1205" s="24"/>
      <c r="AH1205" s="24"/>
      <c r="AI1205" s="24"/>
      <c r="AJ1205" s="24"/>
      <c r="AK1205" s="24"/>
    </row>
    <row r="1206" spans="1:37" x14ac:dyDescent="0.25">
      <c r="A1206" s="24"/>
      <c r="B1206" s="90"/>
      <c r="C1206" s="92"/>
      <c r="D1206" s="24"/>
      <c r="E1206" s="90"/>
      <c r="F1206" s="90"/>
      <c r="G1206" s="24"/>
      <c r="H1206" s="90"/>
      <c r="I1206" s="24"/>
      <c r="J1206" s="90"/>
      <c r="K1206" s="90"/>
      <c r="L1206" s="24"/>
      <c r="M1206" s="24"/>
      <c r="N1206" s="24"/>
      <c r="O1206" s="90"/>
      <c r="P1206" s="24"/>
      <c r="Q1206" s="24"/>
      <c r="R1206" s="24"/>
      <c r="S1206" s="90"/>
      <c r="T1206" s="90"/>
      <c r="U1206" s="24"/>
      <c r="V1206" s="90"/>
      <c r="W1206" s="90"/>
      <c r="X1206" s="90"/>
      <c r="Y1206" s="24"/>
      <c r="Z1206" s="24"/>
      <c r="AA1206" s="24"/>
      <c r="AB1206" s="24"/>
      <c r="AC1206" s="24"/>
      <c r="AD1206" s="24"/>
      <c r="AE1206" s="24"/>
      <c r="AF1206" s="24"/>
      <c r="AG1206" s="24"/>
      <c r="AH1206" s="24"/>
      <c r="AI1206" s="24"/>
      <c r="AJ1206" s="24"/>
      <c r="AK1206" s="24"/>
    </row>
    <row r="1207" spans="1:37" x14ac:dyDescent="0.25">
      <c r="A1207" s="24"/>
      <c r="B1207" s="90"/>
      <c r="C1207" s="92"/>
      <c r="D1207" s="24"/>
      <c r="E1207" s="90"/>
      <c r="F1207" s="90"/>
      <c r="G1207" s="24"/>
      <c r="H1207" s="90"/>
      <c r="I1207" s="24"/>
      <c r="J1207" s="90"/>
      <c r="K1207" s="90"/>
      <c r="L1207" s="24"/>
      <c r="M1207" s="24"/>
      <c r="N1207" s="24"/>
      <c r="O1207" s="90"/>
      <c r="P1207" s="24"/>
      <c r="Q1207" s="24"/>
      <c r="R1207" s="24"/>
      <c r="S1207" s="90"/>
      <c r="T1207" s="90"/>
      <c r="U1207" s="24"/>
      <c r="V1207" s="90"/>
      <c r="W1207" s="90"/>
      <c r="X1207" s="90"/>
      <c r="Y1207" s="24"/>
      <c r="Z1207" s="24"/>
      <c r="AA1207" s="24"/>
      <c r="AB1207" s="24"/>
      <c r="AC1207" s="24"/>
      <c r="AD1207" s="24"/>
      <c r="AE1207" s="24"/>
      <c r="AF1207" s="24"/>
      <c r="AG1207" s="24"/>
      <c r="AH1207" s="24"/>
      <c r="AI1207" s="24"/>
      <c r="AJ1207" s="24"/>
      <c r="AK1207" s="24"/>
    </row>
    <row r="1208" spans="1:37" x14ac:dyDescent="0.25">
      <c r="A1208" s="24"/>
      <c r="B1208" s="90"/>
      <c r="C1208" s="92"/>
      <c r="D1208" s="24"/>
      <c r="E1208" s="90"/>
      <c r="F1208" s="90"/>
      <c r="G1208" s="24"/>
      <c r="H1208" s="90"/>
      <c r="I1208" s="24"/>
      <c r="J1208" s="90"/>
      <c r="K1208" s="90"/>
      <c r="L1208" s="24"/>
      <c r="M1208" s="24"/>
      <c r="N1208" s="24"/>
      <c r="O1208" s="90"/>
      <c r="P1208" s="24"/>
      <c r="Q1208" s="24"/>
      <c r="R1208" s="24"/>
      <c r="S1208" s="90"/>
      <c r="T1208" s="90"/>
      <c r="U1208" s="24"/>
      <c r="V1208" s="90"/>
      <c r="W1208" s="90"/>
      <c r="X1208" s="90"/>
      <c r="Y1208" s="24"/>
      <c r="Z1208" s="24"/>
      <c r="AA1208" s="24"/>
      <c r="AB1208" s="24"/>
      <c r="AC1208" s="24"/>
      <c r="AD1208" s="24"/>
      <c r="AE1208" s="24"/>
      <c r="AF1208" s="24"/>
      <c r="AG1208" s="24"/>
      <c r="AH1208" s="24"/>
      <c r="AI1208" s="24"/>
      <c r="AJ1208" s="24"/>
      <c r="AK1208" s="24"/>
    </row>
    <row r="1209" spans="1:37" x14ac:dyDescent="0.25">
      <c r="A1209" s="24"/>
      <c r="B1209" s="90"/>
      <c r="C1209" s="92"/>
      <c r="D1209" s="24"/>
      <c r="E1209" s="90"/>
      <c r="F1209" s="90"/>
      <c r="G1209" s="24"/>
      <c r="H1209" s="90"/>
      <c r="I1209" s="24"/>
      <c r="J1209" s="90"/>
      <c r="K1209" s="90"/>
      <c r="L1209" s="24"/>
      <c r="M1209" s="24"/>
      <c r="N1209" s="24"/>
      <c r="O1209" s="90"/>
      <c r="P1209" s="24"/>
      <c r="Q1209" s="24"/>
      <c r="R1209" s="24"/>
      <c r="S1209" s="90"/>
      <c r="T1209" s="90"/>
      <c r="U1209" s="24"/>
      <c r="V1209" s="90"/>
      <c r="W1209" s="90"/>
      <c r="X1209" s="90"/>
      <c r="Y1209" s="24"/>
      <c r="Z1209" s="24"/>
      <c r="AA1209" s="24"/>
      <c r="AB1209" s="24"/>
      <c r="AC1209" s="24"/>
      <c r="AD1209" s="24"/>
      <c r="AE1209" s="24"/>
      <c r="AF1209" s="24"/>
      <c r="AG1209" s="24"/>
      <c r="AH1209" s="24"/>
      <c r="AI1209" s="24"/>
      <c r="AJ1209" s="24"/>
      <c r="AK1209" s="24"/>
    </row>
    <row r="1210" spans="1:37" x14ac:dyDescent="0.25">
      <c r="A1210" s="24"/>
      <c r="B1210" s="90"/>
      <c r="C1210" s="92"/>
      <c r="D1210" s="24"/>
      <c r="E1210" s="90"/>
      <c r="F1210" s="90"/>
      <c r="G1210" s="24"/>
      <c r="H1210" s="90"/>
      <c r="I1210" s="24"/>
      <c r="J1210" s="90"/>
      <c r="K1210" s="90"/>
      <c r="L1210" s="24"/>
      <c r="M1210" s="24"/>
      <c r="N1210" s="24"/>
      <c r="O1210" s="90"/>
      <c r="P1210" s="24"/>
      <c r="Q1210" s="24"/>
      <c r="R1210" s="24"/>
      <c r="S1210" s="90"/>
      <c r="T1210" s="90"/>
      <c r="U1210" s="24"/>
      <c r="V1210" s="90"/>
      <c r="W1210" s="90"/>
      <c r="X1210" s="90"/>
      <c r="Y1210" s="24"/>
      <c r="Z1210" s="24"/>
      <c r="AA1210" s="24"/>
      <c r="AB1210" s="24"/>
      <c r="AC1210" s="24"/>
      <c r="AD1210" s="24"/>
      <c r="AE1210" s="24"/>
      <c r="AF1210" s="24"/>
      <c r="AG1210" s="24"/>
      <c r="AH1210" s="24"/>
      <c r="AI1210" s="24"/>
      <c r="AJ1210" s="24"/>
      <c r="AK1210" s="24"/>
    </row>
    <row r="1211" spans="1:37" x14ac:dyDescent="0.25">
      <c r="A1211" s="24"/>
      <c r="B1211" s="90"/>
      <c r="C1211" s="92"/>
      <c r="D1211" s="24"/>
      <c r="E1211" s="90"/>
      <c r="F1211" s="90"/>
      <c r="G1211" s="24"/>
      <c r="H1211" s="90"/>
      <c r="I1211" s="24"/>
      <c r="J1211" s="90"/>
      <c r="K1211" s="90"/>
      <c r="L1211" s="24"/>
      <c r="M1211" s="24"/>
      <c r="N1211" s="24"/>
      <c r="O1211" s="90"/>
      <c r="P1211" s="24"/>
      <c r="Q1211" s="24"/>
      <c r="R1211" s="24"/>
      <c r="S1211" s="90"/>
      <c r="T1211" s="90"/>
      <c r="U1211" s="24"/>
      <c r="V1211" s="90"/>
      <c r="W1211" s="90"/>
      <c r="X1211" s="90"/>
      <c r="Y1211" s="24"/>
      <c r="Z1211" s="24"/>
      <c r="AA1211" s="24"/>
      <c r="AB1211" s="24"/>
      <c r="AC1211" s="24"/>
      <c r="AD1211" s="24"/>
      <c r="AE1211" s="24"/>
      <c r="AF1211" s="24"/>
      <c r="AG1211" s="24"/>
      <c r="AH1211" s="24"/>
      <c r="AI1211" s="24"/>
      <c r="AJ1211" s="24"/>
      <c r="AK1211" s="24"/>
    </row>
    <row r="1212" spans="1:37" x14ac:dyDescent="0.25">
      <c r="A1212" s="24"/>
      <c r="B1212" s="90"/>
      <c r="C1212" s="92"/>
      <c r="D1212" s="24"/>
      <c r="E1212" s="90"/>
      <c r="F1212" s="90"/>
      <c r="G1212" s="24"/>
      <c r="H1212" s="90"/>
      <c r="I1212" s="24"/>
      <c r="J1212" s="90"/>
      <c r="K1212" s="90"/>
      <c r="L1212" s="24"/>
      <c r="M1212" s="24"/>
      <c r="N1212" s="24"/>
      <c r="O1212" s="90"/>
      <c r="P1212" s="24"/>
      <c r="Q1212" s="24"/>
      <c r="R1212" s="24"/>
      <c r="S1212" s="90"/>
      <c r="T1212" s="90"/>
      <c r="U1212" s="24"/>
      <c r="V1212" s="90"/>
      <c r="W1212" s="90"/>
      <c r="X1212" s="90"/>
      <c r="Y1212" s="24"/>
      <c r="Z1212" s="24"/>
      <c r="AA1212" s="24"/>
      <c r="AB1212" s="24"/>
      <c r="AC1212" s="24"/>
      <c r="AD1212" s="24"/>
      <c r="AE1212" s="24"/>
      <c r="AF1212" s="24"/>
      <c r="AG1212" s="24"/>
      <c r="AH1212" s="24"/>
      <c r="AI1212" s="24"/>
      <c r="AJ1212" s="24"/>
      <c r="AK1212" s="24"/>
    </row>
    <row r="1213" spans="1:37" x14ac:dyDescent="0.25">
      <c r="A1213" s="24"/>
      <c r="B1213" s="90"/>
      <c r="C1213" s="92"/>
      <c r="D1213" s="24"/>
      <c r="E1213" s="90"/>
      <c r="F1213" s="90"/>
      <c r="G1213" s="24"/>
      <c r="H1213" s="90"/>
      <c r="I1213" s="24"/>
      <c r="J1213" s="90"/>
      <c r="K1213" s="90"/>
      <c r="L1213" s="24"/>
      <c r="M1213" s="24"/>
      <c r="N1213" s="24"/>
      <c r="O1213" s="90"/>
      <c r="P1213" s="24"/>
      <c r="Q1213" s="24"/>
      <c r="R1213" s="24"/>
      <c r="S1213" s="90"/>
      <c r="T1213" s="90"/>
      <c r="U1213" s="24"/>
      <c r="V1213" s="90"/>
      <c r="W1213" s="90"/>
      <c r="X1213" s="90"/>
      <c r="Y1213" s="24"/>
      <c r="Z1213" s="24"/>
      <c r="AA1213" s="24"/>
      <c r="AB1213" s="24"/>
      <c r="AC1213" s="24"/>
      <c r="AD1213" s="24"/>
      <c r="AE1213" s="24"/>
      <c r="AF1213" s="24"/>
      <c r="AG1213" s="24"/>
      <c r="AH1213" s="24"/>
      <c r="AI1213" s="24"/>
      <c r="AJ1213" s="24"/>
      <c r="AK1213" s="24"/>
    </row>
    <row r="1214" spans="1:37" x14ac:dyDescent="0.25">
      <c r="A1214" s="24"/>
      <c r="B1214" s="90"/>
      <c r="C1214" s="92"/>
      <c r="D1214" s="24"/>
      <c r="E1214" s="90"/>
      <c r="F1214" s="90"/>
      <c r="G1214" s="24"/>
      <c r="H1214" s="90"/>
      <c r="I1214" s="24"/>
      <c r="J1214" s="90"/>
      <c r="K1214" s="90"/>
      <c r="L1214" s="24"/>
      <c r="M1214" s="24"/>
      <c r="N1214" s="24"/>
      <c r="O1214" s="90"/>
      <c r="P1214" s="24"/>
      <c r="Q1214" s="24"/>
      <c r="R1214" s="24"/>
      <c r="S1214" s="90"/>
      <c r="T1214" s="90"/>
      <c r="U1214" s="24"/>
      <c r="V1214" s="90"/>
      <c r="W1214" s="90"/>
      <c r="X1214" s="90"/>
      <c r="Y1214" s="24"/>
      <c r="Z1214" s="24"/>
      <c r="AA1214" s="24"/>
      <c r="AB1214" s="24"/>
      <c r="AC1214" s="24"/>
      <c r="AD1214" s="24"/>
      <c r="AE1214" s="24"/>
      <c r="AF1214" s="24"/>
      <c r="AG1214" s="24"/>
      <c r="AH1214" s="24"/>
      <c r="AI1214" s="24"/>
      <c r="AJ1214" s="24"/>
      <c r="AK1214" s="24"/>
    </row>
    <row r="1215" spans="1:37" x14ac:dyDescent="0.25">
      <c r="A1215" s="24"/>
      <c r="B1215" s="90"/>
      <c r="C1215" s="92"/>
      <c r="D1215" s="24"/>
      <c r="E1215" s="90"/>
      <c r="F1215" s="90"/>
      <c r="G1215" s="24"/>
      <c r="H1215" s="90"/>
      <c r="I1215" s="24"/>
      <c r="J1215" s="90"/>
      <c r="K1215" s="90"/>
      <c r="L1215" s="24"/>
      <c r="M1215" s="24"/>
      <c r="N1215" s="24"/>
      <c r="O1215" s="90"/>
      <c r="P1215" s="24"/>
      <c r="Q1215" s="24"/>
      <c r="R1215" s="24"/>
      <c r="S1215" s="90"/>
      <c r="T1215" s="90"/>
      <c r="U1215" s="24"/>
      <c r="V1215" s="90"/>
      <c r="W1215" s="90"/>
      <c r="X1215" s="90"/>
      <c r="Y1215" s="24"/>
      <c r="Z1215" s="24"/>
      <c r="AA1215" s="24"/>
      <c r="AB1215" s="24"/>
      <c r="AC1215" s="24"/>
      <c r="AD1215" s="24"/>
      <c r="AE1215" s="24"/>
      <c r="AF1215" s="24"/>
      <c r="AG1215" s="24"/>
      <c r="AH1215" s="24"/>
      <c r="AI1215" s="24"/>
      <c r="AJ1215" s="24"/>
      <c r="AK1215" s="24"/>
    </row>
    <row r="1216" spans="1:37" x14ac:dyDescent="0.25">
      <c r="A1216" s="24"/>
      <c r="B1216" s="90"/>
      <c r="C1216" s="92"/>
      <c r="D1216" s="24"/>
      <c r="E1216" s="90"/>
      <c r="F1216" s="90"/>
      <c r="G1216" s="24"/>
      <c r="H1216" s="90"/>
      <c r="I1216" s="24"/>
      <c r="J1216" s="90"/>
      <c r="K1216" s="90"/>
      <c r="L1216" s="24"/>
      <c r="M1216" s="24"/>
      <c r="N1216" s="24"/>
      <c r="O1216" s="90"/>
      <c r="P1216" s="24"/>
      <c r="Q1216" s="24"/>
      <c r="R1216" s="24"/>
      <c r="S1216" s="90"/>
      <c r="T1216" s="90"/>
      <c r="U1216" s="24"/>
      <c r="V1216" s="90"/>
      <c r="W1216" s="90"/>
      <c r="X1216" s="90"/>
      <c r="Y1216" s="24"/>
      <c r="Z1216" s="24"/>
      <c r="AA1216" s="24"/>
      <c r="AB1216" s="24"/>
      <c r="AC1216" s="24"/>
      <c r="AD1216" s="24"/>
      <c r="AE1216" s="24"/>
      <c r="AF1216" s="24"/>
      <c r="AG1216" s="24"/>
      <c r="AH1216" s="24"/>
      <c r="AI1216" s="24"/>
      <c r="AJ1216" s="24"/>
      <c r="AK1216" s="24"/>
    </row>
    <row r="1217" spans="1:37" x14ac:dyDescent="0.25">
      <c r="A1217" s="24"/>
      <c r="B1217" s="90"/>
      <c r="C1217" s="92"/>
      <c r="D1217" s="24"/>
      <c r="E1217" s="90"/>
      <c r="F1217" s="90"/>
      <c r="G1217" s="24"/>
      <c r="H1217" s="90"/>
      <c r="I1217" s="24"/>
      <c r="J1217" s="90"/>
      <c r="K1217" s="90"/>
      <c r="L1217" s="24"/>
      <c r="M1217" s="24"/>
      <c r="N1217" s="24"/>
      <c r="O1217" s="90"/>
      <c r="P1217" s="24"/>
      <c r="Q1217" s="24"/>
      <c r="R1217" s="24"/>
      <c r="S1217" s="90"/>
      <c r="T1217" s="90"/>
      <c r="U1217" s="24"/>
      <c r="V1217" s="90"/>
      <c r="W1217" s="90"/>
      <c r="X1217" s="90"/>
      <c r="Y1217" s="24"/>
      <c r="Z1217" s="24"/>
      <c r="AA1217" s="24"/>
      <c r="AB1217" s="24"/>
      <c r="AC1217" s="24"/>
      <c r="AD1217" s="24"/>
      <c r="AE1217" s="24"/>
      <c r="AF1217" s="24"/>
      <c r="AG1217" s="24"/>
      <c r="AH1217" s="24"/>
      <c r="AI1217" s="24"/>
      <c r="AJ1217" s="24"/>
      <c r="AK1217" s="24"/>
    </row>
    <row r="1218" spans="1:37" x14ac:dyDescent="0.25">
      <c r="A1218" s="24"/>
      <c r="B1218" s="90"/>
      <c r="C1218" s="92"/>
      <c r="D1218" s="24"/>
      <c r="E1218" s="90"/>
      <c r="F1218" s="90"/>
      <c r="G1218" s="24"/>
      <c r="H1218" s="90"/>
      <c r="I1218" s="24"/>
      <c r="J1218" s="90"/>
      <c r="K1218" s="90"/>
      <c r="L1218" s="24"/>
      <c r="M1218" s="24"/>
      <c r="N1218" s="24"/>
      <c r="O1218" s="90"/>
      <c r="P1218" s="24"/>
      <c r="Q1218" s="24"/>
      <c r="R1218" s="24"/>
      <c r="S1218" s="90"/>
      <c r="T1218" s="90"/>
      <c r="U1218" s="24"/>
      <c r="V1218" s="90"/>
      <c r="W1218" s="90"/>
      <c r="X1218" s="90"/>
      <c r="Y1218" s="24"/>
      <c r="Z1218" s="24"/>
      <c r="AA1218" s="24"/>
      <c r="AB1218" s="24"/>
      <c r="AC1218" s="24"/>
      <c r="AD1218" s="24"/>
      <c r="AE1218" s="24"/>
      <c r="AF1218" s="24"/>
      <c r="AG1218" s="24"/>
      <c r="AH1218" s="24"/>
      <c r="AI1218" s="24"/>
      <c r="AJ1218" s="24"/>
      <c r="AK1218" s="24"/>
    </row>
    <row r="1219" spans="1:37" x14ac:dyDescent="0.25">
      <c r="A1219" s="24"/>
      <c r="B1219" s="90"/>
      <c r="C1219" s="92"/>
      <c r="D1219" s="24"/>
      <c r="E1219" s="90"/>
      <c r="F1219" s="90"/>
      <c r="G1219" s="24"/>
      <c r="H1219" s="90"/>
      <c r="I1219" s="24"/>
      <c r="J1219" s="90"/>
      <c r="K1219" s="90"/>
      <c r="L1219" s="24"/>
      <c r="M1219" s="24"/>
      <c r="N1219" s="24"/>
      <c r="O1219" s="90"/>
      <c r="P1219" s="24"/>
      <c r="Q1219" s="24"/>
      <c r="R1219" s="24"/>
      <c r="S1219" s="90"/>
      <c r="T1219" s="90"/>
      <c r="U1219" s="24"/>
      <c r="V1219" s="90"/>
      <c r="W1219" s="90"/>
      <c r="X1219" s="90"/>
      <c r="Y1219" s="24"/>
      <c r="Z1219" s="24"/>
      <c r="AA1219" s="24"/>
      <c r="AB1219" s="24"/>
      <c r="AC1219" s="24"/>
      <c r="AD1219" s="24"/>
      <c r="AE1219" s="24"/>
      <c r="AF1219" s="24"/>
      <c r="AG1219" s="24"/>
      <c r="AH1219" s="24"/>
      <c r="AI1219" s="24"/>
      <c r="AJ1219" s="24"/>
      <c r="AK1219" s="24"/>
    </row>
    <row r="1220" spans="1:37" x14ac:dyDescent="0.25">
      <c r="A1220" s="24"/>
      <c r="B1220" s="90"/>
      <c r="C1220" s="92"/>
      <c r="D1220" s="24"/>
      <c r="E1220" s="90"/>
      <c r="F1220" s="90"/>
      <c r="G1220" s="24"/>
      <c r="H1220" s="90"/>
      <c r="I1220" s="24"/>
      <c r="J1220" s="90"/>
      <c r="K1220" s="90"/>
      <c r="L1220" s="24"/>
      <c r="M1220" s="24"/>
      <c r="N1220" s="24"/>
      <c r="O1220" s="90"/>
      <c r="P1220" s="24"/>
      <c r="Q1220" s="24"/>
      <c r="R1220" s="24"/>
      <c r="S1220" s="90"/>
      <c r="T1220" s="90"/>
      <c r="U1220" s="24"/>
      <c r="V1220" s="90"/>
      <c r="W1220" s="90"/>
      <c r="X1220" s="90"/>
      <c r="Y1220" s="24"/>
      <c r="Z1220" s="24"/>
      <c r="AA1220" s="24"/>
      <c r="AB1220" s="24"/>
      <c r="AC1220" s="24"/>
      <c r="AD1220" s="24"/>
      <c r="AE1220" s="24"/>
      <c r="AF1220" s="24"/>
      <c r="AG1220" s="24"/>
      <c r="AH1220" s="24"/>
      <c r="AI1220" s="24"/>
      <c r="AJ1220" s="24"/>
      <c r="AK1220" s="24"/>
    </row>
    <row r="1221" spans="1:37" x14ac:dyDescent="0.25">
      <c r="A1221" s="24"/>
      <c r="B1221" s="90"/>
      <c r="C1221" s="92"/>
      <c r="D1221" s="24"/>
      <c r="E1221" s="90"/>
      <c r="F1221" s="90"/>
      <c r="G1221" s="24"/>
      <c r="H1221" s="90"/>
      <c r="I1221" s="24"/>
      <c r="J1221" s="90"/>
      <c r="K1221" s="90"/>
      <c r="L1221" s="24"/>
      <c r="M1221" s="24"/>
      <c r="N1221" s="24"/>
      <c r="O1221" s="90"/>
      <c r="P1221" s="24"/>
      <c r="Q1221" s="24"/>
      <c r="R1221" s="24"/>
      <c r="S1221" s="90"/>
      <c r="T1221" s="90"/>
      <c r="U1221" s="24"/>
      <c r="V1221" s="90"/>
      <c r="W1221" s="90"/>
      <c r="X1221" s="90"/>
      <c r="Y1221" s="24"/>
      <c r="Z1221" s="24"/>
      <c r="AA1221" s="24"/>
      <c r="AB1221" s="24"/>
      <c r="AC1221" s="24"/>
      <c r="AD1221" s="24"/>
      <c r="AE1221" s="24"/>
      <c r="AF1221" s="24"/>
      <c r="AG1221" s="24"/>
      <c r="AH1221" s="24"/>
      <c r="AI1221" s="24"/>
      <c r="AJ1221" s="24"/>
      <c r="AK1221" s="24"/>
    </row>
    <row r="1222" spans="1:37" x14ac:dyDescent="0.25">
      <c r="A1222" s="24"/>
      <c r="B1222" s="90"/>
      <c r="C1222" s="92"/>
      <c r="D1222" s="24"/>
      <c r="E1222" s="90"/>
      <c r="F1222" s="90"/>
      <c r="G1222" s="24"/>
      <c r="H1222" s="90"/>
      <c r="I1222" s="24"/>
      <c r="J1222" s="90"/>
      <c r="K1222" s="90"/>
      <c r="L1222" s="24"/>
      <c r="M1222" s="24"/>
      <c r="N1222" s="24"/>
      <c r="O1222" s="90"/>
      <c r="P1222" s="24"/>
      <c r="Q1222" s="24"/>
      <c r="R1222" s="24"/>
      <c r="S1222" s="90"/>
      <c r="T1222" s="90"/>
      <c r="U1222" s="24"/>
      <c r="V1222" s="90"/>
      <c r="W1222" s="90"/>
      <c r="X1222" s="90"/>
      <c r="Y1222" s="24"/>
      <c r="Z1222" s="24"/>
      <c r="AA1222" s="24"/>
      <c r="AB1222" s="24"/>
      <c r="AC1222" s="24"/>
      <c r="AD1222" s="24"/>
      <c r="AE1222" s="24"/>
      <c r="AF1222" s="24"/>
      <c r="AG1222" s="24"/>
      <c r="AH1222" s="24"/>
      <c r="AI1222" s="24"/>
      <c r="AJ1222" s="24"/>
      <c r="AK1222" s="24"/>
    </row>
    <row r="1223" spans="1:37" x14ac:dyDescent="0.25">
      <c r="A1223" s="24"/>
      <c r="B1223" s="90"/>
      <c r="C1223" s="92"/>
      <c r="D1223" s="24"/>
      <c r="E1223" s="90"/>
      <c r="F1223" s="90"/>
      <c r="G1223" s="24"/>
      <c r="H1223" s="90"/>
      <c r="I1223" s="24"/>
      <c r="J1223" s="90"/>
      <c r="K1223" s="90"/>
      <c r="L1223" s="24"/>
      <c r="M1223" s="24"/>
      <c r="N1223" s="24"/>
      <c r="O1223" s="90"/>
      <c r="P1223" s="24"/>
      <c r="Q1223" s="24"/>
      <c r="R1223" s="24"/>
      <c r="S1223" s="90"/>
      <c r="T1223" s="90"/>
      <c r="U1223" s="24"/>
      <c r="V1223" s="90"/>
      <c r="W1223" s="90"/>
      <c r="X1223" s="90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</row>
    <row r="1224" spans="1:37" x14ac:dyDescent="0.25">
      <c r="A1224" s="24"/>
      <c r="B1224" s="90"/>
      <c r="C1224" s="92"/>
      <c r="D1224" s="24"/>
      <c r="E1224" s="90"/>
      <c r="F1224" s="90"/>
      <c r="G1224" s="24"/>
      <c r="H1224" s="90"/>
      <c r="I1224" s="24"/>
      <c r="J1224" s="90"/>
      <c r="K1224" s="90"/>
      <c r="L1224" s="24"/>
      <c r="M1224" s="24"/>
      <c r="N1224" s="24"/>
      <c r="O1224" s="90"/>
      <c r="P1224" s="24"/>
      <c r="Q1224" s="24"/>
      <c r="R1224" s="24"/>
      <c r="S1224" s="90"/>
      <c r="T1224" s="90"/>
      <c r="U1224" s="24"/>
      <c r="V1224" s="90"/>
      <c r="W1224" s="90"/>
      <c r="X1224" s="90"/>
      <c r="Y1224" s="24"/>
      <c r="Z1224" s="24"/>
      <c r="AA1224" s="24"/>
      <c r="AB1224" s="24"/>
      <c r="AC1224" s="24"/>
      <c r="AD1224" s="24"/>
      <c r="AE1224" s="24"/>
      <c r="AF1224" s="24"/>
      <c r="AG1224" s="24"/>
      <c r="AH1224" s="24"/>
      <c r="AI1224" s="24"/>
      <c r="AJ1224" s="24"/>
      <c r="AK1224" s="24"/>
    </row>
    <row r="1225" spans="1:37" x14ac:dyDescent="0.25">
      <c r="A1225" s="24"/>
      <c r="B1225" s="90"/>
      <c r="C1225" s="92"/>
      <c r="D1225" s="24"/>
      <c r="E1225" s="90"/>
      <c r="F1225" s="90"/>
      <c r="G1225" s="24"/>
      <c r="H1225" s="90"/>
      <c r="I1225" s="24"/>
      <c r="J1225" s="90"/>
      <c r="K1225" s="90"/>
      <c r="L1225" s="24"/>
      <c r="M1225" s="24"/>
      <c r="N1225" s="24"/>
      <c r="O1225" s="90"/>
      <c r="P1225" s="24"/>
      <c r="Q1225" s="24"/>
      <c r="R1225" s="24"/>
      <c r="S1225" s="90"/>
      <c r="T1225" s="90"/>
      <c r="U1225" s="24"/>
      <c r="V1225" s="90"/>
      <c r="W1225" s="90"/>
      <c r="X1225" s="90"/>
      <c r="Y1225" s="24"/>
      <c r="Z1225" s="24"/>
      <c r="AA1225" s="24"/>
      <c r="AB1225" s="24"/>
      <c r="AC1225" s="24"/>
      <c r="AD1225" s="24"/>
      <c r="AE1225" s="24"/>
      <c r="AF1225" s="24"/>
      <c r="AG1225" s="24"/>
      <c r="AH1225" s="24"/>
      <c r="AI1225" s="24"/>
      <c r="AJ1225" s="24"/>
      <c r="AK1225" s="24"/>
    </row>
    <row r="1226" spans="1:37" x14ac:dyDescent="0.25">
      <c r="A1226" s="24"/>
      <c r="B1226" s="90"/>
      <c r="C1226" s="92"/>
      <c r="D1226" s="24"/>
      <c r="E1226" s="90"/>
      <c r="F1226" s="90"/>
      <c r="G1226" s="24"/>
      <c r="H1226" s="90"/>
      <c r="I1226" s="24"/>
      <c r="J1226" s="90"/>
      <c r="K1226" s="90"/>
      <c r="L1226" s="24"/>
      <c r="M1226" s="24"/>
      <c r="N1226" s="24"/>
      <c r="O1226" s="90"/>
      <c r="P1226" s="24"/>
      <c r="Q1226" s="24"/>
      <c r="R1226" s="24"/>
      <c r="S1226" s="90"/>
      <c r="T1226" s="90"/>
      <c r="U1226" s="24"/>
      <c r="V1226" s="90"/>
      <c r="W1226" s="90"/>
      <c r="X1226" s="90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</row>
    <row r="1227" spans="1:37" x14ac:dyDescent="0.25">
      <c r="A1227" s="24"/>
      <c r="B1227" s="90"/>
      <c r="C1227" s="92"/>
      <c r="D1227" s="24"/>
      <c r="E1227" s="90"/>
      <c r="F1227" s="90"/>
      <c r="G1227" s="24"/>
      <c r="H1227" s="90"/>
      <c r="I1227" s="24"/>
      <c r="J1227" s="90"/>
      <c r="K1227" s="90"/>
      <c r="L1227" s="24"/>
      <c r="M1227" s="24"/>
      <c r="N1227" s="24"/>
      <c r="O1227" s="90"/>
      <c r="P1227" s="24"/>
      <c r="Q1227" s="24"/>
      <c r="R1227" s="24"/>
      <c r="S1227" s="90"/>
      <c r="T1227" s="90"/>
      <c r="U1227" s="24"/>
      <c r="V1227" s="90"/>
      <c r="W1227" s="90"/>
      <c r="X1227" s="90"/>
      <c r="Y1227" s="24"/>
      <c r="Z1227" s="24"/>
      <c r="AA1227" s="24"/>
      <c r="AB1227" s="24"/>
      <c r="AC1227" s="24"/>
      <c r="AD1227" s="24"/>
      <c r="AE1227" s="24"/>
      <c r="AF1227" s="24"/>
      <c r="AG1227" s="24"/>
      <c r="AH1227" s="24"/>
      <c r="AI1227" s="24"/>
      <c r="AJ1227" s="24"/>
      <c r="AK1227" s="24"/>
    </row>
    <row r="1228" spans="1:37" x14ac:dyDescent="0.25">
      <c r="A1228" s="24"/>
      <c r="B1228" s="90"/>
      <c r="C1228" s="92"/>
      <c r="D1228" s="24"/>
      <c r="E1228" s="90"/>
      <c r="F1228" s="90"/>
      <c r="G1228" s="24"/>
      <c r="H1228" s="90"/>
      <c r="I1228" s="24"/>
      <c r="J1228" s="90"/>
      <c r="K1228" s="90"/>
      <c r="L1228" s="24"/>
      <c r="M1228" s="24"/>
      <c r="N1228" s="24"/>
      <c r="O1228" s="90"/>
      <c r="P1228" s="24"/>
      <c r="Q1228" s="24"/>
      <c r="R1228" s="24"/>
      <c r="S1228" s="90"/>
      <c r="T1228" s="90"/>
      <c r="U1228" s="24"/>
      <c r="V1228" s="90"/>
      <c r="W1228" s="90"/>
      <c r="X1228" s="90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</row>
    <row r="1229" spans="1:37" x14ac:dyDescent="0.25">
      <c r="A1229" s="24"/>
      <c r="B1229" s="90"/>
      <c r="C1229" s="92"/>
      <c r="D1229" s="24"/>
      <c r="E1229" s="90"/>
      <c r="F1229" s="90"/>
      <c r="G1229" s="24"/>
      <c r="H1229" s="90"/>
      <c r="I1229" s="24"/>
      <c r="J1229" s="90"/>
      <c r="K1229" s="90"/>
      <c r="L1229" s="24"/>
      <c r="M1229" s="24"/>
      <c r="N1229" s="24"/>
      <c r="O1229" s="90"/>
      <c r="P1229" s="24"/>
      <c r="Q1229" s="24"/>
      <c r="R1229" s="24"/>
      <c r="S1229" s="90"/>
      <c r="T1229" s="90"/>
      <c r="U1229" s="24"/>
      <c r="V1229" s="90"/>
      <c r="W1229" s="90"/>
      <c r="X1229" s="90"/>
      <c r="Y1229" s="24"/>
      <c r="Z1229" s="24"/>
      <c r="AA1229" s="24"/>
      <c r="AB1229" s="24"/>
      <c r="AC1229" s="24"/>
      <c r="AD1229" s="24"/>
      <c r="AE1229" s="24"/>
      <c r="AF1229" s="24"/>
      <c r="AG1229" s="24"/>
      <c r="AH1229" s="24"/>
      <c r="AI1229" s="24"/>
      <c r="AJ1229" s="24"/>
      <c r="AK1229" s="24"/>
    </row>
    <row r="1230" spans="1:37" x14ac:dyDescent="0.25">
      <c r="A1230" s="24"/>
      <c r="B1230" s="90"/>
      <c r="C1230" s="92"/>
      <c r="D1230" s="24"/>
      <c r="E1230" s="90"/>
      <c r="F1230" s="90"/>
      <c r="G1230" s="24"/>
      <c r="H1230" s="90"/>
      <c r="I1230" s="24"/>
      <c r="J1230" s="90"/>
      <c r="K1230" s="90"/>
      <c r="L1230" s="24"/>
      <c r="M1230" s="24"/>
      <c r="N1230" s="24"/>
      <c r="O1230" s="90"/>
      <c r="P1230" s="24"/>
      <c r="Q1230" s="24"/>
      <c r="R1230" s="24"/>
      <c r="S1230" s="90"/>
      <c r="T1230" s="90"/>
      <c r="U1230" s="24"/>
      <c r="V1230" s="90"/>
      <c r="W1230" s="90"/>
      <c r="X1230" s="90"/>
      <c r="Y1230" s="24"/>
      <c r="Z1230" s="24"/>
      <c r="AA1230" s="24"/>
      <c r="AB1230" s="24"/>
      <c r="AC1230" s="24"/>
      <c r="AD1230" s="24"/>
      <c r="AE1230" s="24"/>
      <c r="AF1230" s="24"/>
      <c r="AG1230" s="24"/>
      <c r="AH1230" s="24"/>
      <c r="AI1230" s="24"/>
      <c r="AJ1230" s="24"/>
      <c r="AK1230" s="24"/>
    </row>
    <row r="1231" spans="1:37" x14ac:dyDescent="0.25">
      <c r="A1231" s="24"/>
      <c r="B1231" s="90"/>
      <c r="C1231" s="92"/>
      <c r="D1231" s="24"/>
      <c r="E1231" s="90"/>
      <c r="F1231" s="90"/>
      <c r="G1231" s="24"/>
      <c r="H1231" s="90"/>
      <c r="I1231" s="24"/>
      <c r="J1231" s="90"/>
      <c r="K1231" s="90"/>
      <c r="L1231" s="24"/>
      <c r="M1231" s="24"/>
      <c r="N1231" s="24"/>
      <c r="O1231" s="90"/>
      <c r="P1231" s="24"/>
      <c r="Q1231" s="24"/>
      <c r="R1231" s="24"/>
      <c r="S1231" s="90"/>
      <c r="T1231" s="90"/>
      <c r="U1231" s="24"/>
      <c r="V1231" s="90"/>
      <c r="W1231" s="90"/>
      <c r="X1231" s="90"/>
      <c r="Y1231" s="24"/>
      <c r="Z1231" s="24"/>
      <c r="AA1231" s="24"/>
      <c r="AB1231" s="24"/>
      <c r="AC1231" s="24"/>
      <c r="AD1231" s="24"/>
      <c r="AE1231" s="24"/>
      <c r="AF1231" s="24"/>
      <c r="AG1231" s="24"/>
      <c r="AH1231" s="24"/>
      <c r="AI1231" s="24"/>
      <c r="AJ1231" s="24"/>
      <c r="AK1231" s="24"/>
    </row>
    <row r="1232" spans="1:37" x14ac:dyDescent="0.25">
      <c r="A1232" s="24"/>
      <c r="B1232" s="90"/>
      <c r="C1232" s="92"/>
      <c r="D1232" s="24"/>
      <c r="E1232" s="90"/>
      <c r="F1232" s="90"/>
      <c r="G1232" s="24"/>
      <c r="H1232" s="90"/>
      <c r="I1232" s="24"/>
      <c r="J1232" s="90"/>
      <c r="K1232" s="90"/>
      <c r="L1232" s="24"/>
      <c r="M1232" s="24"/>
      <c r="N1232" s="24"/>
      <c r="O1232" s="90"/>
      <c r="P1232" s="24"/>
      <c r="Q1232" s="24"/>
      <c r="R1232" s="24"/>
      <c r="S1232" s="90"/>
      <c r="T1232" s="90"/>
      <c r="U1232" s="24"/>
      <c r="V1232" s="90"/>
      <c r="W1232" s="90"/>
      <c r="X1232" s="90"/>
      <c r="Y1232" s="24"/>
      <c r="Z1232" s="24"/>
      <c r="AA1232" s="24"/>
      <c r="AB1232" s="24"/>
      <c r="AC1232" s="24"/>
      <c r="AD1232" s="24"/>
      <c r="AE1232" s="24"/>
      <c r="AF1232" s="24"/>
      <c r="AG1232" s="24"/>
      <c r="AH1232" s="24"/>
      <c r="AI1232" s="24"/>
      <c r="AJ1232" s="24"/>
      <c r="AK1232" s="24"/>
    </row>
    <row r="1233" spans="1:37" x14ac:dyDescent="0.25">
      <c r="A1233" s="24"/>
      <c r="B1233" s="90"/>
      <c r="C1233" s="92"/>
      <c r="D1233" s="24"/>
      <c r="E1233" s="90"/>
      <c r="F1233" s="90"/>
      <c r="G1233" s="24"/>
      <c r="H1233" s="90"/>
      <c r="I1233" s="24"/>
      <c r="J1233" s="90"/>
      <c r="K1233" s="90"/>
      <c r="L1233" s="24"/>
      <c r="M1233" s="24"/>
      <c r="N1233" s="24"/>
      <c r="O1233" s="90"/>
      <c r="P1233" s="24"/>
      <c r="Q1233" s="24"/>
      <c r="R1233" s="24"/>
      <c r="S1233" s="90"/>
      <c r="T1233" s="90"/>
      <c r="U1233" s="24"/>
      <c r="V1233" s="90"/>
      <c r="W1233" s="90"/>
      <c r="X1233" s="90"/>
      <c r="Y1233" s="24"/>
      <c r="Z1233" s="24"/>
      <c r="AA1233" s="24"/>
      <c r="AB1233" s="24"/>
      <c r="AC1233" s="24"/>
      <c r="AD1233" s="24"/>
      <c r="AE1233" s="24"/>
      <c r="AF1233" s="24"/>
      <c r="AG1233" s="24"/>
      <c r="AH1233" s="24"/>
      <c r="AI1233" s="24"/>
      <c r="AJ1233" s="24"/>
      <c r="AK1233" s="24"/>
    </row>
    <row r="1234" spans="1:37" x14ac:dyDescent="0.25">
      <c r="A1234" s="24"/>
      <c r="B1234" s="90"/>
      <c r="C1234" s="92"/>
      <c r="D1234" s="24"/>
      <c r="E1234" s="90"/>
      <c r="F1234" s="90"/>
      <c r="G1234" s="24"/>
      <c r="H1234" s="90"/>
      <c r="I1234" s="24"/>
      <c r="J1234" s="90"/>
      <c r="K1234" s="90"/>
      <c r="L1234" s="24"/>
      <c r="M1234" s="24"/>
      <c r="N1234" s="24"/>
      <c r="O1234" s="90"/>
      <c r="P1234" s="24"/>
      <c r="Q1234" s="24"/>
      <c r="R1234" s="24"/>
      <c r="S1234" s="90"/>
      <c r="T1234" s="90"/>
      <c r="U1234" s="24"/>
      <c r="V1234" s="90"/>
      <c r="W1234" s="90"/>
      <c r="X1234" s="90"/>
      <c r="Y1234" s="24"/>
      <c r="Z1234" s="24"/>
      <c r="AA1234" s="24"/>
      <c r="AB1234" s="24"/>
      <c r="AC1234" s="24"/>
      <c r="AD1234" s="24"/>
      <c r="AE1234" s="24"/>
      <c r="AF1234" s="24"/>
      <c r="AG1234" s="24"/>
      <c r="AH1234" s="24"/>
      <c r="AI1234" s="24"/>
      <c r="AJ1234" s="24"/>
      <c r="AK1234" s="24"/>
    </row>
    <row r="1235" spans="1:37" x14ac:dyDescent="0.25">
      <c r="A1235" s="24"/>
      <c r="B1235" s="90"/>
      <c r="C1235" s="92"/>
      <c r="D1235" s="24"/>
      <c r="E1235" s="90"/>
      <c r="F1235" s="90"/>
      <c r="G1235" s="24"/>
      <c r="H1235" s="90"/>
      <c r="I1235" s="24"/>
      <c r="J1235" s="90"/>
      <c r="K1235" s="90"/>
      <c r="L1235" s="24"/>
      <c r="M1235" s="24"/>
      <c r="N1235" s="24"/>
      <c r="O1235" s="90"/>
      <c r="P1235" s="24"/>
      <c r="Q1235" s="24"/>
      <c r="R1235" s="24"/>
      <c r="S1235" s="90"/>
      <c r="T1235" s="90"/>
      <c r="U1235" s="24"/>
      <c r="V1235" s="90"/>
      <c r="W1235" s="90"/>
      <c r="X1235" s="90"/>
      <c r="Y1235" s="24"/>
      <c r="Z1235" s="24"/>
      <c r="AA1235" s="24"/>
      <c r="AB1235" s="24"/>
      <c r="AC1235" s="24"/>
      <c r="AD1235" s="24"/>
      <c r="AE1235" s="24"/>
      <c r="AF1235" s="24"/>
      <c r="AG1235" s="24"/>
      <c r="AH1235" s="24"/>
      <c r="AI1235" s="24"/>
      <c r="AJ1235" s="24"/>
      <c r="AK1235" s="24"/>
    </row>
    <row r="1236" spans="1:37" x14ac:dyDescent="0.25">
      <c r="A1236" s="24"/>
      <c r="B1236" s="90"/>
      <c r="C1236" s="92"/>
      <c r="D1236" s="24"/>
      <c r="E1236" s="90"/>
      <c r="F1236" s="90"/>
      <c r="G1236" s="24"/>
      <c r="H1236" s="90"/>
      <c r="I1236" s="24"/>
      <c r="J1236" s="90"/>
      <c r="K1236" s="90"/>
      <c r="L1236" s="24"/>
      <c r="M1236" s="24"/>
      <c r="N1236" s="24"/>
      <c r="O1236" s="90"/>
      <c r="P1236" s="24"/>
      <c r="Q1236" s="24"/>
      <c r="R1236" s="24"/>
      <c r="S1236" s="90"/>
      <c r="T1236" s="90"/>
      <c r="U1236" s="24"/>
      <c r="V1236" s="90"/>
      <c r="W1236" s="90"/>
      <c r="X1236" s="90"/>
      <c r="Y1236" s="24"/>
      <c r="Z1236" s="24"/>
      <c r="AA1236" s="24"/>
      <c r="AB1236" s="24"/>
      <c r="AC1236" s="24"/>
      <c r="AD1236" s="24"/>
      <c r="AE1236" s="24"/>
      <c r="AF1236" s="24"/>
      <c r="AG1236" s="24"/>
      <c r="AH1236" s="24"/>
      <c r="AI1236" s="24"/>
      <c r="AJ1236" s="24"/>
      <c r="AK1236" s="24"/>
    </row>
    <row r="1237" spans="1:37" x14ac:dyDescent="0.25">
      <c r="A1237" s="24"/>
      <c r="B1237" s="90"/>
      <c r="C1237" s="92"/>
      <c r="D1237" s="24"/>
      <c r="E1237" s="90"/>
      <c r="F1237" s="90"/>
      <c r="G1237" s="24"/>
      <c r="H1237" s="90"/>
      <c r="I1237" s="24"/>
      <c r="J1237" s="90"/>
      <c r="K1237" s="90"/>
      <c r="L1237" s="24"/>
      <c r="M1237" s="24"/>
      <c r="N1237" s="24"/>
      <c r="O1237" s="90"/>
      <c r="P1237" s="24"/>
      <c r="Q1237" s="24"/>
      <c r="R1237" s="24"/>
      <c r="S1237" s="90"/>
      <c r="T1237" s="90"/>
      <c r="U1237" s="24"/>
      <c r="V1237" s="90"/>
      <c r="W1237" s="90"/>
      <c r="X1237" s="90"/>
      <c r="Y1237" s="24"/>
      <c r="Z1237" s="24"/>
      <c r="AA1237" s="24"/>
      <c r="AB1237" s="24"/>
      <c r="AC1237" s="24"/>
      <c r="AD1237" s="24"/>
      <c r="AE1237" s="24"/>
      <c r="AF1237" s="24"/>
      <c r="AG1237" s="24"/>
      <c r="AH1237" s="24"/>
      <c r="AI1237" s="24"/>
      <c r="AJ1237" s="24"/>
      <c r="AK1237" s="24"/>
    </row>
    <row r="1238" spans="1:37" x14ac:dyDescent="0.25">
      <c r="A1238" s="24"/>
      <c r="B1238" s="90"/>
      <c r="C1238" s="92"/>
      <c r="D1238" s="24"/>
      <c r="E1238" s="90"/>
      <c r="F1238" s="90"/>
      <c r="G1238" s="24"/>
      <c r="H1238" s="90"/>
      <c r="I1238" s="24"/>
      <c r="J1238" s="90"/>
      <c r="K1238" s="90"/>
      <c r="L1238" s="24"/>
      <c r="M1238" s="24"/>
      <c r="N1238" s="24"/>
      <c r="O1238" s="90"/>
      <c r="P1238" s="24"/>
      <c r="Q1238" s="24"/>
      <c r="R1238" s="24"/>
      <c r="S1238" s="90"/>
      <c r="T1238" s="90"/>
      <c r="U1238" s="24"/>
      <c r="V1238" s="90"/>
      <c r="W1238" s="90"/>
      <c r="X1238" s="90"/>
      <c r="Y1238" s="24"/>
      <c r="Z1238" s="24"/>
      <c r="AA1238" s="24"/>
      <c r="AB1238" s="24"/>
      <c r="AC1238" s="24"/>
      <c r="AD1238" s="24"/>
      <c r="AE1238" s="24"/>
      <c r="AF1238" s="24"/>
      <c r="AG1238" s="24"/>
      <c r="AH1238" s="24"/>
      <c r="AI1238" s="24"/>
      <c r="AJ1238" s="24"/>
      <c r="AK1238" s="24"/>
    </row>
    <row r="1239" spans="1:37" x14ac:dyDescent="0.25">
      <c r="A1239" s="24"/>
      <c r="B1239" s="90"/>
      <c r="C1239" s="92"/>
      <c r="D1239" s="24"/>
      <c r="E1239" s="90"/>
      <c r="F1239" s="90"/>
      <c r="G1239" s="24"/>
      <c r="H1239" s="90"/>
      <c r="I1239" s="24"/>
      <c r="J1239" s="90"/>
      <c r="K1239" s="90"/>
      <c r="L1239" s="24"/>
      <c r="M1239" s="24"/>
      <c r="N1239" s="24"/>
      <c r="O1239" s="90"/>
      <c r="P1239" s="24"/>
      <c r="Q1239" s="24"/>
      <c r="R1239" s="24"/>
      <c r="S1239" s="90"/>
      <c r="T1239" s="90"/>
      <c r="U1239" s="24"/>
      <c r="V1239" s="90"/>
      <c r="W1239" s="90"/>
      <c r="X1239" s="90"/>
      <c r="Y1239" s="24"/>
      <c r="Z1239" s="24"/>
      <c r="AA1239" s="24"/>
      <c r="AB1239" s="24"/>
      <c r="AC1239" s="24"/>
      <c r="AD1239" s="24"/>
      <c r="AE1239" s="24"/>
      <c r="AF1239" s="24"/>
      <c r="AG1239" s="24"/>
      <c r="AH1239" s="24"/>
      <c r="AI1239" s="24"/>
      <c r="AJ1239" s="24"/>
      <c r="AK1239" s="24"/>
    </row>
    <row r="1240" spans="1:37" x14ac:dyDescent="0.25">
      <c r="A1240" s="24"/>
      <c r="B1240" s="90"/>
      <c r="C1240" s="92"/>
      <c r="D1240" s="24"/>
      <c r="E1240" s="90"/>
      <c r="F1240" s="90"/>
      <c r="G1240" s="24"/>
      <c r="H1240" s="90"/>
      <c r="I1240" s="24"/>
      <c r="J1240" s="90"/>
      <c r="K1240" s="90"/>
      <c r="L1240" s="24"/>
      <c r="M1240" s="24"/>
      <c r="N1240" s="24"/>
      <c r="O1240" s="90"/>
      <c r="P1240" s="24"/>
      <c r="Q1240" s="24"/>
      <c r="R1240" s="24"/>
      <c r="S1240" s="90"/>
      <c r="T1240" s="90"/>
      <c r="U1240" s="24"/>
      <c r="V1240" s="90"/>
      <c r="W1240" s="90"/>
      <c r="X1240" s="90"/>
      <c r="Y1240" s="24"/>
      <c r="Z1240" s="24"/>
      <c r="AA1240" s="24"/>
      <c r="AB1240" s="24"/>
      <c r="AC1240" s="24"/>
      <c r="AD1240" s="24"/>
      <c r="AE1240" s="24"/>
      <c r="AF1240" s="24"/>
      <c r="AG1240" s="24"/>
      <c r="AH1240" s="24"/>
      <c r="AI1240" s="24"/>
      <c r="AJ1240" s="24"/>
      <c r="AK1240" s="24"/>
    </row>
    <row r="1241" spans="1:37" x14ac:dyDescent="0.25">
      <c r="A1241" s="24"/>
      <c r="B1241" s="90"/>
      <c r="C1241" s="92"/>
      <c r="D1241" s="24"/>
      <c r="E1241" s="90"/>
      <c r="F1241" s="90"/>
      <c r="G1241" s="24"/>
      <c r="H1241" s="90"/>
      <c r="I1241" s="24"/>
      <c r="J1241" s="90"/>
      <c r="K1241" s="90"/>
      <c r="L1241" s="24"/>
      <c r="M1241" s="24"/>
      <c r="N1241" s="24"/>
      <c r="O1241" s="90"/>
      <c r="P1241" s="24"/>
      <c r="Q1241" s="24"/>
      <c r="R1241" s="24"/>
      <c r="S1241" s="90"/>
      <c r="T1241" s="90"/>
      <c r="U1241" s="24"/>
      <c r="V1241" s="90"/>
      <c r="W1241" s="90"/>
      <c r="X1241" s="90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24"/>
      <c r="AJ1241" s="24"/>
      <c r="AK1241" s="24"/>
    </row>
    <row r="1242" spans="1:37" x14ac:dyDescent="0.25">
      <c r="A1242" s="24"/>
      <c r="B1242" s="90"/>
      <c r="C1242" s="92"/>
      <c r="D1242" s="24"/>
      <c r="E1242" s="90"/>
      <c r="F1242" s="90"/>
      <c r="G1242" s="24"/>
      <c r="H1242" s="90"/>
      <c r="I1242" s="24"/>
      <c r="J1242" s="90"/>
      <c r="K1242" s="90"/>
      <c r="L1242" s="24"/>
      <c r="M1242" s="24"/>
      <c r="N1242" s="24"/>
      <c r="O1242" s="90"/>
      <c r="P1242" s="24"/>
      <c r="Q1242" s="24"/>
      <c r="R1242" s="24"/>
      <c r="S1242" s="90"/>
      <c r="T1242" s="90"/>
      <c r="U1242" s="24"/>
      <c r="V1242" s="90"/>
      <c r="W1242" s="90"/>
      <c r="X1242" s="90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</row>
    <row r="1243" spans="1:37" x14ac:dyDescent="0.25">
      <c r="A1243" s="24"/>
      <c r="B1243" s="90"/>
      <c r="C1243" s="92"/>
      <c r="D1243" s="24"/>
      <c r="E1243" s="90"/>
      <c r="F1243" s="90"/>
      <c r="G1243" s="24"/>
      <c r="H1243" s="90"/>
      <c r="I1243" s="24"/>
      <c r="J1243" s="90"/>
      <c r="K1243" s="90"/>
      <c r="L1243" s="24"/>
      <c r="M1243" s="24"/>
      <c r="N1243" s="24"/>
      <c r="O1243" s="90"/>
      <c r="P1243" s="24"/>
      <c r="Q1243" s="24"/>
      <c r="R1243" s="24"/>
      <c r="S1243" s="90"/>
      <c r="T1243" s="90"/>
      <c r="U1243" s="24"/>
      <c r="V1243" s="90"/>
      <c r="W1243" s="90"/>
      <c r="X1243" s="90"/>
      <c r="Y1243" s="24"/>
      <c r="Z1243" s="24"/>
      <c r="AA1243" s="24"/>
      <c r="AB1243" s="24"/>
      <c r="AC1243" s="24"/>
      <c r="AD1243" s="24"/>
      <c r="AE1243" s="24"/>
      <c r="AF1243" s="24"/>
      <c r="AG1243" s="24"/>
      <c r="AH1243" s="24"/>
      <c r="AI1243" s="24"/>
      <c r="AJ1243" s="24"/>
      <c r="AK1243" s="24"/>
    </row>
    <row r="1244" spans="1:37" x14ac:dyDescent="0.25">
      <c r="A1244" s="24"/>
      <c r="B1244" s="90"/>
      <c r="C1244" s="92"/>
      <c r="D1244" s="24"/>
      <c r="E1244" s="90"/>
      <c r="F1244" s="90"/>
      <c r="G1244" s="24"/>
      <c r="H1244" s="90"/>
      <c r="I1244" s="24"/>
      <c r="J1244" s="90"/>
      <c r="K1244" s="90"/>
      <c r="L1244" s="24"/>
      <c r="M1244" s="24"/>
      <c r="N1244" s="24"/>
      <c r="O1244" s="90"/>
      <c r="P1244" s="24"/>
      <c r="Q1244" s="24"/>
      <c r="R1244" s="24"/>
      <c r="S1244" s="90"/>
      <c r="T1244" s="90"/>
      <c r="U1244" s="24"/>
      <c r="V1244" s="90"/>
      <c r="W1244" s="90"/>
      <c r="X1244" s="90"/>
      <c r="Y1244" s="24"/>
      <c r="Z1244" s="24"/>
      <c r="AA1244" s="24"/>
      <c r="AB1244" s="24"/>
      <c r="AC1244" s="24"/>
      <c r="AD1244" s="24"/>
      <c r="AE1244" s="24"/>
      <c r="AF1244" s="24"/>
      <c r="AG1244" s="24"/>
      <c r="AH1244" s="24"/>
      <c r="AI1244" s="24"/>
      <c r="AJ1244" s="24"/>
      <c r="AK1244" s="24"/>
    </row>
    <row r="1245" spans="1:37" x14ac:dyDescent="0.25">
      <c r="A1245" s="24"/>
      <c r="B1245" s="90"/>
      <c r="C1245" s="92"/>
      <c r="D1245" s="24"/>
      <c r="E1245" s="90"/>
      <c r="F1245" s="90"/>
      <c r="G1245" s="24"/>
      <c r="H1245" s="90"/>
      <c r="I1245" s="24"/>
      <c r="J1245" s="90"/>
      <c r="K1245" s="90"/>
      <c r="L1245" s="24"/>
      <c r="M1245" s="24"/>
      <c r="N1245" s="24"/>
      <c r="O1245" s="90"/>
      <c r="P1245" s="24"/>
      <c r="Q1245" s="24"/>
      <c r="R1245" s="24"/>
      <c r="S1245" s="90"/>
      <c r="T1245" s="90"/>
      <c r="U1245" s="24"/>
      <c r="V1245" s="90"/>
      <c r="W1245" s="90"/>
      <c r="X1245" s="90"/>
      <c r="Y1245" s="24"/>
      <c r="Z1245" s="24"/>
      <c r="AA1245" s="24"/>
      <c r="AB1245" s="24"/>
      <c r="AC1245" s="24"/>
      <c r="AD1245" s="24"/>
      <c r="AE1245" s="24"/>
      <c r="AF1245" s="24"/>
      <c r="AG1245" s="24"/>
      <c r="AH1245" s="24"/>
      <c r="AI1245" s="24"/>
      <c r="AJ1245" s="24"/>
      <c r="AK1245" s="24"/>
    </row>
    <row r="1246" spans="1:37" x14ac:dyDescent="0.25">
      <c r="A1246" s="24"/>
      <c r="B1246" s="90"/>
      <c r="C1246" s="92"/>
      <c r="D1246" s="24"/>
      <c r="E1246" s="90"/>
      <c r="F1246" s="90"/>
      <c r="G1246" s="24"/>
      <c r="H1246" s="90"/>
      <c r="I1246" s="24"/>
      <c r="J1246" s="90"/>
      <c r="K1246" s="90"/>
      <c r="L1246" s="24"/>
      <c r="M1246" s="24"/>
      <c r="N1246" s="24"/>
      <c r="O1246" s="90"/>
      <c r="P1246" s="24"/>
      <c r="Q1246" s="24"/>
      <c r="R1246" s="24"/>
      <c r="S1246" s="90"/>
      <c r="T1246" s="90"/>
      <c r="U1246" s="24"/>
      <c r="V1246" s="90"/>
      <c r="W1246" s="90"/>
      <c r="X1246" s="90"/>
      <c r="Y1246" s="24"/>
      <c r="Z1246" s="24"/>
      <c r="AA1246" s="24"/>
      <c r="AB1246" s="24"/>
      <c r="AC1246" s="24"/>
      <c r="AD1246" s="24"/>
      <c r="AE1246" s="24"/>
      <c r="AF1246" s="24"/>
      <c r="AG1246" s="24"/>
      <c r="AH1246" s="24"/>
      <c r="AI1246" s="24"/>
      <c r="AJ1246" s="24"/>
      <c r="AK1246" s="24"/>
    </row>
    <row r="1247" spans="1:37" x14ac:dyDescent="0.25">
      <c r="A1247" s="24"/>
      <c r="B1247" s="90"/>
      <c r="C1247" s="92"/>
      <c r="D1247" s="24"/>
      <c r="E1247" s="90"/>
      <c r="F1247" s="90"/>
      <c r="G1247" s="24"/>
      <c r="H1247" s="90"/>
      <c r="I1247" s="24"/>
      <c r="J1247" s="90"/>
      <c r="K1247" s="90"/>
      <c r="L1247" s="24"/>
      <c r="M1247" s="24"/>
      <c r="N1247" s="24"/>
      <c r="O1247" s="90"/>
      <c r="P1247" s="24"/>
      <c r="Q1247" s="24"/>
      <c r="R1247" s="24"/>
      <c r="S1247" s="90"/>
      <c r="T1247" s="90"/>
      <c r="U1247" s="24"/>
      <c r="V1247" s="90"/>
      <c r="W1247" s="90"/>
      <c r="X1247" s="90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</row>
    <row r="1248" spans="1:37" x14ac:dyDescent="0.25">
      <c r="A1248" s="24"/>
      <c r="B1248" s="90"/>
      <c r="C1248" s="92"/>
      <c r="D1248" s="24"/>
      <c r="E1248" s="90"/>
      <c r="F1248" s="90"/>
      <c r="G1248" s="24"/>
      <c r="H1248" s="90"/>
      <c r="I1248" s="24"/>
      <c r="J1248" s="90"/>
      <c r="K1248" s="90"/>
      <c r="L1248" s="24"/>
      <c r="M1248" s="24"/>
      <c r="N1248" s="24"/>
      <c r="O1248" s="90"/>
      <c r="P1248" s="24"/>
      <c r="Q1248" s="24"/>
      <c r="R1248" s="24"/>
      <c r="S1248" s="90"/>
      <c r="T1248" s="90"/>
      <c r="U1248" s="24"/>
      <c r="V1248" s="90"/>
      <c r="W1248" s="90"/>
      <c r="X1248" s="90"/>
      <c r="Y1248" s="24"/>
      <c r="Z1248" s="24"/>
      <c r="AA1248" s="24"/>
      <c r="AB1248" s="24"/>
      <c r="AC1248" s="24"/>
      <c r="AD1248" s="24"/>
      <c r="AE1248" s="24"/>
      <c r="AF1248" s="24"/>
      <c r="AG1248" s="24"/>
      <c r="AH1248" s="24"/>
      <c r="AI1248" s="24"/>
      <c r="AJ1248" s="24"/>
      <c r="AK1248" s="24"/>
    </row>
    <row r="1249" spans="1:37" x14ac:dyDescent="0.25">
      <c r="A1249" s="24"/>
      <c r="B1249" s="90"/>
      <c r="C1249" s="92"/>
      <c r="D1249" s="24"/>
      <c r="E1249" s="90"/>
      <c r="F1249" s="90"/>
      <c r="G1249" s="24"/>
      <c r="H1249" s="90"/>
      <c r="I1249" s="24"/>
      <c r="J1249" s="90"/>
      <c r="K1249" s="90"/>
      <c r="L1249" s="24"/>
      <c r="M1249" s="24"/>
      <c r="N1249" s="24"/>
      <c r="O1249" s="90"/>
      <c r="P1249" s="24"/>
      <c r="Q1249" s="24"/>
      <c r="R1249" s="24"/>
      <c r="S1249" s="90"/>
      <c r="T1249" s="90"/>
      <c r="U1249" s="24"/>
      <c r="V1249" s="90"/>
      <c r="W1249" s="90"/>
      <c r="X1249" s="90"/>
      <c r="Y1249" s="24"/>
      <c r="Z1249" s="24"/>
      <c r="AA1249" s="24"/>
      <c r="AB1249" s="24"/>
      <c r="AC1249" s="24"/>
      <c r="AD1249" s="24"/>
      <c r="AE1249" s="24"/>
      <c r="AF1249" s="24"/>
      <c r="AG1249" s="24"/>
      <c r="AH1249" s="24"/>
      <c r="AI1249" s="24"/>
      <c r="AJ1249" s="24"/>
      <c r="AK1249" s="24"/>
    </row>
    <row r="1250" spans="1:37" x14ac:dyDescent="0.25">
      <c r="A1250" s="24"/>
      <c r="B1250" s="90"/>
      <c r="C1250" s="92"/>
      <c r="D1250" s="24"/>
      <c r="E1250" s="90"/>
      <c r="F1250" s="90"/>
      <c r="G1250" s="24"/>
      <c r="H1250" s="90"/>
      <c r="I1250" s="24"/>
      <c r="J1250" s="90"/>
      <c r="K1250" s="90"/>
      <c r="L1250" s="24"/>
      <c r="M1250" s="24"/>
      <c r="N1250" s="24"/>
      <c r="O1250" s="90"/>
      <c r="P1250" s="24"/>
      <c r="Q1250" s="24"/>
      <c r="R1250" s="24"/>
      <c r="S1250" s="90"/>
      <c r="T1250" s="90"/>
      <c r="U1250" s="24"/>
      <c r="V1250" s="90"/>
      <c r="W1250" s="90"/>
      <c r="X1250" s="90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/>
      <c r="AK1250" s="24"/>
    </row>
    <row r="1251" spans="1:37" x14ac:dyDescent="0.25">
      <c r="A1251" s="24"/>
      <c r="B1251" s="90"/>
      <c r="C1251" s="92"/>
      <c r="D1251" s="24"/>
      <c r="E1251" s="90"/>
      <c r="F1251" s="90"/>
      <c r="G1251" s="24"/>
      <c r="H1251" s="90"/>
      <c r="I1251" s="24"/>
      <c r="J1251" s="90"/>
      <c r="K1251" s="90"/>
      <c r="L1251" s="24"/>
      <c r="M1251" s="24"/>
      <c r="N1251" s="24"/>
      <c r="O1251" s="90"/>
      <c r="P1251" s="24"/>
      <c r="Q1251" s="24"/>
      <c r="R1251" s="24"/>
      <c r="S1251" s="90"/>
      <c r="T1251" s="90"/>
      <c r="U1251" s="24"/>
      <c r="V1251" s="90"/>
      <c r="W1251" s="90"/>
      <c r="X1251" s="90"/>
      <c r="Y1251" s="24"/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</row>
    <row r="1252" spans="1:37" x14ac:dyDescent="0.25">
      <c r="A1252" s="24"/>
      <c r="B1252" s="90"/>
      <c r="C1252" s="92"/>
      <c r="D1252" s="24"/>
      <c r="E1252" s="90"/>
      <c r="F1252" s="90"/>
      <c r="G1252" s="24"/>
      <c r="H1252" s="90"/>
      <c r="I1252" s="24"/>
      <c r="J1252" s="90"/>
      <c r="K1252" s="90"/>
      <c r="L1252" s="24"/>
      <c r="M1252" s="24"/>
      <c r="N1252" s="24"/>
      <c r="O1252" s="90"/>
      <c r="P1252" s="24"/>
      <c r="Q1252" s="24"/>
      <c r="R1252" s="24"/>
      <c r="S1252" s="90"/>
      <c r="T1252" s="90"/>
      <c r="U1252" s="24"/>
      <c r="V1252" s="90"/>
      <c r="W1252" s="90"/>
      <c r="X1252" s="90"/>
      <c r="Y1252" s="24"/>
      <c r="Z1252" s="24"/>
      <c r="AA1252" s="24"/>
      <c r="AB1252" s="24"/>
      <c r="AC1252" s="24"/>
      <c r="AD1252" s="24"/>
      <c r="AE1252" s="24"/>
      <c r="AF1252" s="24"/>
      <c r="AG1252" s="24"/>
      <c r="AH1252" s="24"/>
      <c r="AI1252" s="24"/>
      <c r="AJ1252" s="24"/>
      <c r="AK1252" s="24"/>
    </row>
    <row r="1253" spans="1:37" x14ac:dyDescent="0.25">
      <c r="A1253" s="24"/>
      <c r="B1253" s="90"/>
      <c r="C1253" s="92"/>
      <c r="D1253" s="24"/>
      <c r="E1253" s="90"/>
      <c r="F1253" s="90"/>
      <c r="G1253" s="24"/>
      <c r="H1253" s="90"/>
      <c r="I1253" s="24"/>
      <c r="J1253" s="90"/>
      <c r="K1253" s="90"/>
      <c r="L1253" s="24"/>
      <c r="M1253" s="24"/>
      <c r="N1253" s="24"/>
      <c r="O1253" s="90"/>
      <c r="P1253" s="24"/>
      <c r="Q1253" s="24"/>
      <c r="R1253" s="24"/>
      <c r="S1253" s="90"/>
      <c r="T1253" s="90"/>
      <c r="U1253" s="24"/>
      <c r="V1253" s="90"/>
      <c r="W1253" s="90"/>
      <c r="X1253" s="90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</row>
    <row r="1254" spans="1:37" x14ac:dyDescent="0.25">
      <c r="A1254" s="24"/>
      <c r="B1254" s="90"/>
      <c r="C1254" s="92"/>
      <c r="D1254" s="24"/>
      <c r="E1254" s="90"/>
      <c r="F1254" s="90"/>
      <c r="G1254" s="24"/>
      <c r="H1254" s="90"/>
      <c r="I1254" s="24"/>
      <c r="J1254" s="90"/>
      <c r="K1254" s="90"/>
      <c r="L1254" s="24"/>
      <c r="M1254" s="24"/>
      <c r="N1254" s="24"/>
      <c r="O1254" s="90"/>
      <c r="P1254" s="24"/>
      <c r="Q1254" s="24"/>
      <c r="R1254" s="24"/>
      <c r="S1254" s="90"/>
      <c r="T1254" s="90"/>
      <c r="U1254" s="24"/>
      <c r="V1254" s="90"/>
      <c r="W1254" s="90"/>
      <c r="X1254" s="90"/>
      <c r="Y1254" s="24"/>
      <c r="Z1254" s="24"/>
      <c r="AA1254" s="24"/>
      <c r="AB1254" s="24"/>
      <c r="AC1254" s="24"/>
      <c r="AD1254" s="24"/>
      <c r="AE1254" s="24"/>
      <c r="AF1254" s="24"/>
      <c r="AG1254" s="24"/>
      <c r="AH1254" s="24"/>
      <c r="AI1254" s="24"/>
      <c r="AJ1254" s="24"/>
      <c r="AK1254" s="24"/>
    </row>
    <row r="1255" spans="1:37" x14ac:dyDescent="0.25">
      <c r="A1255" s="24"/>
      <c r="B1255" s="90"/>
      <c r="C1255" s="92"/>
      <c r="D1255" s="24"/>
      <c r="E1255" s="90"/>
      <c r="F1255" s="90"/>
      <c r="G1255" s="24"/>
      <c r="H1255" s="90"/>
      <c r="I1255" s="24"/>
      <c r="J1255" s="90"/>
      <c r="K1255" s="90"/>
      <c r="L1255" s="24"/>
      <c r="M1255" s="24"/>
      <c r="N1255" s="24"/>
      <c r="O1255" s="90"/>
      <c r="P1255" s="24"/>
      <c r="Q1255" s="24"/>
      <c r="R1255" s="24"/>
      <c r="S1255" s="90"/>
      <c r="T1255" s="90"/>
      <c r="U1255" s="24"/>
      <c r="V1255" s="90"/>
      <c r="W1255" s="90"/>
      <c r="X1255" s="90"/>
      <c r="Y1255" s="24"/>
      <c r="Z1255" s="24"/>
      <c r="AA1255" s="24"/>
      <c r="AB1255" s="24"/>
      <c r="AC1255" s="24"/>
      <c r="AD1255" s="24"/>
      <c r="AE1255" s="24"/>
      <c r="AF1255" s="24"/>
      <c r="AG1255" s="24"/>
      <c r="AH1255" s="24"/>
      <c r="AI1255" s="24"/>
      <c r="AJ1255" s="24"/>
      <c r="AK1255" s="24"/>
    </row>
    <row r="1256" spans="1:37" x14ac:dyDescent="0.25">
      <c r="A1256" s="24"/>
      <c r="B1256" s="90"/>
      <c r="C1256" s="92"/>
      <c r="D1256" s="24"/>
      <c r="E1256" s="90"/>
      <c r="F1256" s="90"/>
      <c r="G1256" s="24"/>
      <c r="H1256" s="90"/>
      <c r="I1256" s="24"/>
      <c r="J1256" s="90"/>
      <c r="K1256" s="90"/>
      <c r="L1256" s="24"/>
      <c r="M1256" s="24"/>
      <c r="N1256" s="24"/>
      <c r="O1256" s="90"/>
      <c r="P1256" s="24"/>
      <c r="Q1256" s="24"/>
      <c r="R1256" s="24"/>
      <c r="S1256" s="90"/>
      <c r="T1256" s="90"/>
      <c r="U1256" s="24"/>
      <c r="V1256" s="90"/>
      <c r="W1256" s="90"/>
      <c r="X1256" s="90"/>
      <c r="Y1256" s="24"/>
      <c r="Z1256" s="24"/>
      <c r="AA1256" s="24"/>
      <c r="AB1256" s="24"/>
      <c r="AC1256" s="24"/>
      <c r="AD1256" s="24"/>
      <c r="AE1256" s="24"/>
      <c r="AF1256" s="24"/>
      <c r="AG1256" s="24"/>
      <c r="AH1256" s="24"/>
      <c r="AI1256" s="24"/>
      <c r="AJ1256" s="24"/>
      <c r="AK1256" s="24"/>
    </row>
    <row r="1257" spans="1:37" x14ac:dyDescent="0.25">
      <c r="A1257" s="24"/>
      <c r="B1257" s="90"/>
      <c r="C1257" s="92"/>
      <c r="D1257" s="24"/>
      <c r="E1257" s="90"/>
      <c r="F1257" s="90"/>
      <c r="G1257" s="24"/>
      <c r="H1257" s="90"/>
      <c r="I1257" s="24"/>
      <c r="J1257" s="90"/>
      <c r="K1257" s="90"/>
      <c r="L1257" s="24"/>
      <c r="M1257" s="24"/>
      <c r="N1257" s="24"/>
      <c r="O1257" s="90"/>
      <c r="P1257" s="24"/>
      <c r="Q1257" s="24"/>
      <c r="R1257" s="24"/>
      <c r="S1257" s="90"/>
      <c r="T1257" s="90"/>
      <c r="U1257" s="24"/>
      <c r="V1257" s="90"/>
      <c r="W1257" s="90"/>
      <c r="X1257" s="90"/>
      <c r="Y1257" s="24"/>
      <c r="Z1257" s="24"/>
      <c r="AA1257" s="24"/>
      <c r="AB1257" s="24"/>
      <c r="AC1257" s="24"/>
      <c r="AD1257" s="24"/>
      <c r="AE1257" s="24"/>
      <c r="AF1257" s="24"/>
      <c r="AG1257" s="24"/>
      <c r="AH1257" s="24"/>
      <c r="AI1257" s="24"/>
      <c r="AJ1257" s="24"/>
      <c r="AK1257" s="24"/>
    </row>
    <row r="1258" spans="1:37" x14ac:dyDescent="0.25">
      <c r="A1258" s="24"/>
      <c r="B1258" s="90"/>
      <c r="C1258" s="92"/>
      <c r="D1258" s="24"/>
      <c r="E1258" s="90"/>
      <c r="F1258" s="90"/>
      <c r="G1258" s="24"/>
      <c r="H1258" s="90"/>
      <c r="I1258" s="24"/>
      <c r="J1258" s="90"/>
      <c r="K1258" s="90"/>
      <c r="L1258" s="24"/>
      <c r="M1258" s="24"/>
      <c r="N1258" s="24"/>
      <c r="O1258" s="90"/>
      <c r="P1258" s="24"/>
      <c r="Q1258" s="24"/>
      <c r="R1258" s="24"/>
      <c r="S1258" s="90"/>
      <c r="T1258" s="90"/>
      <c r="U1258" s="24"/>
      <c r="V1258" s="90"/>
      <c r="W1258" s="90"/>
      <c r="X1258" s="90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</row>
    <row r="1259" spans="1:37" x14ac:dyDescent="0.25">
      <c r="A1259" s="24"/>
      <c r="B1259" s="90"/>
      <c r="C1259" s="92"/>
      <c r="D1259" s="24"/>
      <c r="E1259" s="90"/>
      <c r="F1259" s="90"/>
      <c r="G1259" s="24"/>
      <c r="H1259" s="90"/>
      <c r="I1259" s="24"/>
      <c r="J1259" s="90"/>
      <c r="K1259" s="90"/>
      <c r="L1259" s="24"/>
      <c r="M1259" s="24"/>
      <c r="N1259" s="24"/>
      <c r="O1259" s="90"/>
      <c r="P1259" s="24"/>
      <c r="Q1259" s="24"/>
      <c r="R1259" s="24"/>
      <c r="S1259" s="90"/>
      <c r="T1259" s="90"/>
      <c r="U1259" s="24"/>
      <c r="V1259" s="90"/>
      <c r="W1259" s="90"/>
      <c r="X1259" s="90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/>
      <c r="AK1259" s="24"/>
    </row>
    <row r="1260" spans="1:37" x14ac:dyDescent="0.25">
      <c r="A1260" s="24"/>
      <c r="B1260" s="90"/>
      <c r="C1260" s="92"/>
      <c r="D1260" s="24"/>
      <c r="E1260" s="90"/>
      <c r="F1260" s="90"/>
      <c r="G1260" s="24"/>
      <c r="H1260" s="90"/>
      <c r="I1260" s="24"/>
      <c r="J1260" s="90"/>
      <c r="K1260" s="90"/>
      <c r="L1260" s="24"/>
      <c r="M1260" s="24"/>
      <c r="N1260" s="24"/>
      <c r="O1260" s="90"/>
      <c r="P1260" s="24"/>
      <c r="Q1260" s="24"/>
      <c r="R1260" s="24"/>
      <c r="S1260" s="90"/>
      <c r="T1260" s="90"/>
      <c r="U1260" s="24"/>
      <c r="V1260" s="90"/>
      <c r="W1260" s="90"/>
      <c r="X1260" s="90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</row>
    <row r="1261" spans="1:37" x14ac:dyDescent="0.25">
      <c r="A1261" s="24"/>
      <c r="B1261" s="90"/>
      <c r="C1261" s="92"/>
      <c r="D1261" s="24"/>
      <c r="E1261" s="90"/>
      <c r="F1261" s="90"/>
      <c r="G1261" s="24"/>
      <c r="H1261" s="90"/>
      <c r="I1261" s="24"/>
      <c r="J1261" s="90"/>
      <c r="K1261" s="90"/>
      <c r="L1261" s="24"/>
      <c r="M1261" s="24"/>
      <c r="N1261" s="24"/>
      <c r="O1261" s="90"/>
      <c r="P1261" s="24"/>
      <c r="Q1261" s="24"/>
      <c r="R1261" s="24"/>
      <c r="S1261" s="90"/>
      <c r="T1261" s="90"/>
      <c r="U1261" s="24"/>
      <c r="V1261" s="90"/>
      <c r="W1261" s="90"/>
      <c r="X1261" s="90"/>
      <c r="Y1261" s="24"/>
      <c r="Z1261" s="24"/>
      <c r="AA1261" s="24"/>
      <c r="AB1261" s="24"/>
      <c r="AC1261" s="24"/>
      <c r="AD1261" s="24"/>
      <c r="AE1261" s="24"/>
      <c r="AF1261" s="24"/>
      <c r="AG1261" s="24"/>
      <c r="AH1261" s="24"/>
      <c r="AI1261" s="24"/>
      <c r="AJ1261" s="24"/>
      <c r="AK1261" s="24"/>
    </row>
    <row r="1262" spans="1:37" x14ac:dyDescent="0.25">
      <c r="A1262" s="24"/>
      <c r="B1262" s="90"/>
      <c r="C1262" s="92"/>
      <c r="D1262" s="24"/>
      <c r="E1262" s="90"/>
      <c r="F1262" s="90"/>
      <c r="G1262" s="24"/>
      <c r="H1262" s="90"/>
      <c r="I1262" s="24"/>
      <c r="J1262" s="90"/>
      <c r="K1262" s="90"/>
      <c r="L1262" s="24"/>
      <c r="M1262" s="24"/>
      <c r="N1262" s="24"/>
      <c r="O1262" s="90"/>
      <c r="P1262" s="24"/>
      <c r="Q1262" s="24"/>
      <c r="R1262" s="24"/>
      <c r="S1262" s="90"/>
      <c r="T1262" s="90"/>
      <c r="U1262" s="24"/>
      <c r="V1262" s="90"/>
      <c r="W1262" s="90"/>
      <c r="X1262" s="90"/>
      <c r="Y1262" s="24"/>
      <c r="Z1262" s="24"/>
      <c r="AA1262" s="24"/>
      <c r="AB1262" s="24"/>
      <c r="AC1262" s="24"/>
      <c r="AD1262" s="24"/>
      <c r="AE1262" s="24"/>
      <c r="AF1262" s="24"/>
      <c r="AG1262" s="24"/>
      <c r="AH1262" s="24"/>
      <c r="AI1262" s="24"/>
      <c r="AJ1262" s="24"/>
      <c r="AK1262" s="24"/>
    </row>
    <row r="1263" spans="1:37" x14ac:dyDescent="0.25">
      <c r="A1263" s="24"/>
      <c r="B1263" s="90"/>
      <c r="C1263" s="92"/>
      <c r="D1263" s="24"/>
      <c r="E1263" s="90"/>
      <c r="F1263" s="90"/>
      <c r="G1263" s="24"/>
      <c r="H1263" s="90"/>
      <c r="I1263" s="24"/>
      <c r="J1263" s="90"/>
      <c r="K1263" s="90"/>
      <c r="L1263" s="24"/>
      <c r="M1263" s="24"/>
      <c r="N1263" s="24"/>
      <c r="O1263" s="90"/>
      <c r="P1263" s="24"/>
      <c r="Q1263" s="24"/>
      <c r="R1263" s="24"/>
      <c r="S1263" s="90"/>
      <c r="T1263" s="90"/>
      <c r="U1263" s="24"/>
      <c r="V1263" s="90"/>
      <c r="W1263" s="90"/>
      <c r="X1263" s="90"/>
      <c r="Y1263" s="24"/>
      <c r="Z1263" s="24"/>
      <c r="AA1263" s="24"/>
      <c r="AB1263" s="24"/>
      <c r="AC1263" s="24"/>
      <c r="AD1263" s="24"/>
      <c r="AE1263" s="24"/>
      <c r="AF1263" s="24"/>
      <c r="AG1263" s="24"/>
      <c r="AH1263" s="24"/>
      <c r="AI1263" s="24"/>
      <c r="AJ1263" s="24"/>
      <c r="AK1263" s="24"/>
    </row>
    <row r="1264" spans="1:37" x14ac:dyDescent="0.25">
      <c r="A1264" s="24"/>
      <c r="B1264" s="90"/>
      <c r="C1264" s="92"/>
      <c r="D1264" s="24"/>
      <c r="E1264" s="90"/>
      <c r="F1264" s="90"/>
      <c r="G1264" s="24"/>
      <c r="H1264" s="90"/>
      <c r="I1264" s="24"/>
      <c r="J1264" s="90"/>
      <c r="K1264" s="90"/>
      <c r="L1264" s="24"/>
      <c r="M1264" s="24"/>
      <c r="N1264" s="24"/>
      <c r="O1264" s="90"/>
      <c r="P1264" s="24"/>
      <c r="Q1264" s="24"/>
      <c r="R1264" s="24"/>
      <c r="S1264" s="90"/>
      <c r="T1264" s="90"/>
      <c r="U1264" s="24"/>
      <c r="V1264" s="90"/>
      <c r="W1264" s="90"/>
      <c r="X1264" s="90"/>
      <c r="Y1264" s="24"/>
      <c r="Z1264" s="24"/>
      <c r="AA1264" s="24"/>
      <c r="AB1264" s="24"/>
      <c r="AC1264" s="24"/>
      <c r="AD1264" s="24"/>
      <c r="AE1264" s="24"/>
      <c r="AF1264" s="24"/>
      <c r="AG1264" s="24"/>
      <c r="AH1264" s="24"/>
      <c r="AI1264" s="24"/>
      <c r="AJ1264" s="24"/>
      <c r="AK1264" s="24"/>
    </row>
    <row r="1265" spans="1:37" x14ac:dyDescent="0.25">
      <c r="A1265" s="24"/>
      <c r="B1265" s="90"/>
      <c r="C1265" s="92"/>
      <c r="D1265" s="24"/>
      <c r="E1265" s="90"/>
      <c r="F1265" s="90"/>
      <c r="G1265" s="24"/>
      <c r="H1265" s="90"/>
      <c r="I1265" s="24"/>
      <c r="J1265" s="90"/>
      <c r="K1265" s="90"/>
      <c r="L1265" s="24"/>
      <c r="M1265" s="24"/>
      <c r="N1265" s="24"/>
      <c r="O1265" s="90"/>
      <c r="P1265" s="24"/>
      <c r="Q1265" s="24"/>
      <c r="R1265" s="24"/>
      <c r="S1265" s="90"/>
      <c r="T1265" s="90"/>
      <c r="U1265" s="24"/>
      <c r="V1265" s="90"/>
      <c r="W1265" s="90"/>
      <c r="X1265" s="90"/>
      <c r="Y1265" s="24"/>
      <c r="Z1265" s="24"/>
      <c r="AA1265" s="24"/>
      <c r="AB1265" s="24"/>
      <c r="AC1265" s="24"/>
      <c r="AD1265" s="24"/>
      <c r="AE1265" s="24"/>
      <c r="AF1265" s="24"/>
      <c r="AG1265" s="24"/>
      <c r="AH1265" s="24"/>
      <c r="AI1265" s="24"/>
      <c r="AJ1265" s="24"/>
      <c r="AK1265" s="24"/>
    </row>
    <row r="1266" spans="1:37" x14ac:dyDescent="0.25">
      <c r="A1266" s="24"/>
      <c r="B1266" s="90"/>
      <c r="C1266" s="92"/>
      <c r="D1266" s="24"/>
      <c r="E1266" s="90"/>
      <c r="F1266" s="90"/>
      <c r="G1266" s="24"/>
      <c r="H1266" s="90"/>
      <c r="I1266" s="24"/>
      <c r="J1266" s="90"/>
      <c r="K1266" s="90"/>
      <c r="L1266" s="24"/>
      <c r="M1266" s="24"/>
      <c r="N1266" s="24"/>
      <c r="O1266" s="90"/>
      <c r="P1266" s="24"/>
      <c r="Q1266" s="24"/>
      <c r="R1266" s="24"/>
      <c r="S1266" s="90"/>
      <c r="T1266" s="90"/>
      <c r="U1266" s="24"/>
      <c r="V1266" s="90"/>
      <c r="W1266" s="90"/>
      <c r="X1266" s="90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</row>
    <row r="1267" spans="1:37" x14ac:dyDescent="0.25">
      <c r="A1267" s="24"/>
      <c r="B1267" s="90"/>
      <c r="C1267" s="92"/>
      <c r="D1267" s="24"/>
      <c r="E1267" s="90"/>
      <c r="F1267" s="90"/>
      <c r="G1267" s="24"/>
      <c r="H1267" s="90"/>
      <c r="I1267" s="24"/>
      <c r="J1267" s="90"/>
      <c r="K1267" s="90"/>
      <c r="L1267" s="24"/>
      <c r="M1267" s="24"/>
      <c r="N1267" s="24"/>
      <c r="O1267" s="90"/>
      <c r="P1267" s="24"/>
      <c r="Q1267" s="24"/>
      <c r="R1267" s="24"/>
      <c r="S1267" s="90"/>
      <c r="T1267" s="90"/>
      <c r="U1267" s="24"/>
      <c r="V1267" s="90"/>
      <c r="W1267" s="90"/>
      <c r="X1267" s="90"/>
      <c r="Y1267" s="24"/>
      <c r="Z1267" s="24"/>
      <c r="AA1267" s="24"/>
      <c r="AB1267" s="24"/>
      <c r="AC1267" s="24"/>
      <c r="AD1267" s="24"/>
      <c r="AE1267" s="24"/>
      <c r="AF1267" s="24"/>
      <c r="AG1267" s="24"/>
      <c r="AH1267" s="24"/>
      <c r="AI1267" s="24"/>
      <c r="AJ1267" s="24"/>
      <c r="AK1267" s="24"/>
    </row>
    <row r="1268" spans="1:37" x14ac:dyDescent="0.25">
      <c r="A1268" s="24"/>
      <c r="B1268" s="90"/>
      <c r="C1268" s="92"/>
      <c r="D1268" s="24"/>
      <c r="E1268" s="90"/>
      <c r="F1268" s="90"/>
      <c r="G1268" s="24"/>
      <c r="H1268" s="90"/>
      <c r="I1268" s="24"/>
      <c r="J1268" s="90"/>
      <c r="K1268" s="90"/>
      <c r="L1268" s="24"/>
      <c r="M1268" s="24"/>
      <c r="N1268" s="24"/>
      <c r="O1268" s="90"/>
      <c r="P1268" s="24"/>
      <c r="Q1268" s="24"/>
      <c r="R1268" s="24"/>
      <c r="S1268" s="90"/>
      <c r="T1268" s="90"/>
      <c r="U1268" s="24"/>
      <c r="V1268" s="90"/>
      <c r="W1268" s="90"/>
      <c r="X1268" s="90"/>
      <c r="Y1268" s="24"/>
      <c r="Z1268" s="24"/>
      <c r="AA1268" s="24"/>
      <c r="AB1268" s="24"/>
      <c r="AC1268" s="24"/>
      <c r="AD1268" s="24"/>
      <c r="AE1268" s="24"/>
      <c r="AF1268" s="24"/>
      <c r="AG1268" s="24"/>
      <c r="AH1268" s="24"/>
      <c r="AI1268" s="24"/>
      <c r="AJ1268" s="24"/>
      <c r="AK1268" s="24"/>
    </row>
    <row r="1269" spans="1:37" x14ac:dyDescent="0.25">
      <c r="A1269" s="24"/>
      <c r="B1269" s="90"/>
      <c r="C1269" s="92"/>
      <c r="D1269" s="24"/>
      <c r="E1269" s="90"/>
      <c r="F1269" s="90"/>
      <c r="G1269" s="24"/>
      <c r="H1269" s="90"/>
      <c r="I1269" s="24"/>
      <c r="J1269" s="90"/>
      <c r="K1269" s="90"/>
      <c r="L1269" s="24"/>
      <c r="M1269" s="24"/>
      <c r="N1269" s="24"/>
      <c r="O1269" s="90"/>
      <c r="P1269" s="24"/>
      <c r="Q1269" s="24"/>
      <c r="R1269" s="24"/>
      <c r="S1269" s="90"/>
      <c r="T1269" s="90"/>
      <c r="U1269" s="24"/>
      <c r="V1269" s="90"/>
      <c r="W1269" s="90"/>
      <c r="X1269" s="90"/>
      <c r="Y1269" s="24"/>
      <c r="Z1269" s="24"/>
      <c r="AA1269" s="24"/>
      <c r="AB1269" s="24"/>
      <c r="AC1269" s="24"/>
      <c r="AD1269" s="24"/>
      <c r="AE1269" s="24"/>
      <c r="AF1269" s="24"/>
      <c r="AG1269" s="24"/>
      <c r="AH1269" s="24"/>
      <c r="AI1269" s="24"/>
      <c r="AJ1269" s="24"/>
      <c r="AK1269" s="24"/>
    </row>
    <row r="1270" spans="1:37" x14ac:dyDescent="0.25">
      <c r="A1270" s="24"/>
      <c r="B1270" s="90"/>
      <c r="C1270" s="92"/>
      <c r="D1270" s="24"/>
      <c r="E1270" s="90"/>
      <c r="F1270" s="90"/>
      <c r="G1270" s="24"/>
      <c r="H1270" s="90"/>
      <c r="I1270" s="24"/>
      <c r="J1270" s="90"/>
      <c r="K1270" s="90"/>
      <c r="L1270" s="24"/>
      <c r="M1270" s="24"/>
      <c r="N1270" s="24"/>
      <c r="O1270" s="90"/>
      <c r="P1270" s="24"/>
      <c r="Q1270" s="24"/>
      <c r="R1270" s="24"/>
      <c r="S1270" s="90"/>
      <c r="T1270" s="90"/>
      <c r="U1270" s="24"/>
      <c r="V1270" s="90"/>
      <c r="W1270" s="90"/>
      <c r="X1270" s="90"/>
      <c r="Y1270" s="24"/>
      <c r="Z1270" s="24"/>
      <c r="AA1270" s="24"/>
      <c r="AB1270" s="24"/>
      <c r="AC1270" s="24"/>
      <c r="AD1270" s="24"/>
      <c r="AE1270" s="24"/>
      <c r="AF1270" s="24"/>
      <c r="AG1270" s="24"/>
      <c r="AH1270" s="24"/>
      <c r="AI1270" s="24"/>
      <c r="AJ1270" s="24"/>
      <c r="AK1270" s="24"/>
    </row>
    <row r="1271" spans="1:37" x14ac:dyDescent="0.25">
      <c r="A1271" s="24"/>
      <c r="B1271" s="90"/>
      <c r="C1271" s="92"/>
      <c r="D1271" s="24"/>
      <c r="E1271" s="90"/>
      <c r="F1271" s="90"/>
      <c r="G1271" s="24"/>
      <c r="H1271" s="90"/>
      <c r="I1271" s="24"/>
      <c r="J1271" s="90"/>
      <c r="K1271" s="90"/>
      <c r="L1271" s="24"/>
      <c r="M1271" s="24"/>
      <c r="N1271" s="24"/>
      <c r="O1271" s="90"/>
      <c r="P1271" s="24"/>
      <c r="Q1271" s="24"/>
      <c r="R1271" s="24"/>
      <c r="S1271" s="90"/>
      <c r="T1271" s="90"/>
      <c r="U1271" s="24"/>
      <c r="V1271" s="90"/>
      <c r="W1271" s="90"/>
      <c r="X1271" s="90"/>
      <c r="Y1271" s="24"/>
      <c r="Z1271" s="24"/>
      <c r="AA1271" s="24"/>
      <c r="AB1271" s="24"/>
      <c r="AC1271" s="24"/>
      <c r="AD1271" s="24"/>
      <c r="AE1271" s="24"/>
      <c r="AF1271" s="24"/>
      <c r="AG1271" s="24"/>
      <c r="AH1271" s="24"/>
      <c r="AI1271" s="24"/>
      <c r="AJ1271" s="24"/>
      <c r="AK1271" s="24"/>
    </row>
    <row r="1272" spans="1:37" x14ac:dyDescent="0.25">
      <c r="A1272" s="24"/>
      <c r="B1272" s="90"/>
      <c r="C1272" s="92"/>
      <c r="D1272" s="24"/>
      <c r="E1272" s="90"/>
      <c r="F1272" s="90"/>
      <c r="G1272" s="24"/>
      <c r="H1272" s="90"/>
      <c r="I1272" s="24"/>
      <c r="J1272" s="90"/>
      <c r="K1272" s="90"/>
      <c r="L1272" s="24"/>
      <c r="M1272" s="24"/>
      <c r="N1272" s="24"/>
      <c r="O1272" s="90"/>
      <c r="P1272" s="24"/>
      <c r="Q1272" s="24"/>
      <c r="R1272" s="24"/>
      <c r="S1272" s="90"/>
      <c r="T1272" s="90"/>
      <c r="U1272" s="24"/>
      <c r="V1272" s="90"/>
      <c r="W1272" s="90"/>
      <c r="X1272" s="90"/>
      <c r="Y1272" s="24"/>
      <c r="Z1272" s="24"/>
      <c r="AA1272" s="24"/>
      <c r="AB1272" s="24"/>
      <c r="AC1272" s="24"/>
      <c r="AD1272" s="24"/>
      <c r="AE1272" s="24"/>
      <c r="AF1272" s="24"/>
      <c r="AG1272" s="24"/>
      <c r="AH1272" s="24"/>
      <c r="AI1272" s="24"/>
      <c r="AJ1272" s="24"/>
      <c r="AK1272" s="24"/>
    </row>
    <row r="1273" spans="1:37" x14ac:dyDescent="0.25">
      <c r="A1273" s="24"/>
      <c r="B1273" s="90"/>
      <c r="C1273" s="92"/>
      <c r="D1273" s="24"/>
      <c r="E1273" s="90"/>
      <c r="F1273" s="90"/>
      <c r="G1273" s="24"/>
      <c r="H1273" s="90"/>
      <c r="I1273" s="24"/>
      <c r="J1273" s="90"/>
      <c r="K1273" s="90"/>
      <c r="L1273" s="24"/>
      <c r="M1273" s="24"/>
      <c r="N1273" s="24"/>
      <c r="O1273" s="90"/>
      <c r="P1273" s="24"/>
      <c r="Q1273" s="24"/>
      <c r="R1273" s="24"/>
      <c r="S1273" s="90"/>
      <c r="T1273" s="90"/>
      <c r="U1273" s="24"/>
      <c r="V1273" s="90"/>
      <c r="W1273" s="90"/>
      <c r="X1273" s="90"/>
      <c r="Y1273" s="24"/>
      <c r="Z1273" s="24"/>
      <c r="AA1273" s="24"/>
      <c r="AB1273" s="24"/>
      <c r="AC1273" s="24"/>
      <c r="AD1273" s="24"/>
      <c r="AE1273" s="24"/>
      <c r="AF1273" s="24"/>
      <c r="AG1273" s="24"/>
      <c r="AH1273" s="24"/>
      <c r="AI1273" s="24"/>
      <c r="AJ1273" s="24"/>
      <c r="AK1273" s="24"/>
    </row>
    <row r="1274" spans="1:37" x14ac:dyDescent="0.25">
      <c r="A1274" s="24"/>
      <c r="B1274" s="90"/>
      <c r="C1274" s="92"/>
      <c r="D1274" s="24"/>
      <c r="E1274" s="90"/>
      <c r="F1274" s="90"/>
      <c r="G1274" s="24"/>
      <c r="H1274" s="90"/>
      <c r="I1274" s="24"/>
      <c r="J1274" s="90"/>
      <c r="K1274" s="90"/>
      <c r="L1274" s="24"/>
      <c r="M1274" s="24"/>
      <c r="N1274" s="24"/>
      <c r="O1274" s="90"/>
      <c r="P1274" s="24"/>
      <c r="Q1274" s="24"/>
      <c r="R1274" s="24"/>
      <c r="S1274" s="90"/>
      <c r="T1274" s="90"/>
      <c r="U1274" s="24"/>
      <c r="V1274" s="90"/>
      <c r="W1274" s="90"/>
      <c r="X1274" s="90"/>
      <c r="Y1274" s="24"/>
      <c r="Z1274" s="24"/>
      <c r="AA1274" s="24"/>
      <c r="AB1274" s="24"/>
      <c r="AC1274" s="24"/>
      <c r="AD1274" s="24"/>
      <c r="AE1274" s="24"/>
      <c r="AF1274" s="24"/>
      <c r="AG1274" s="24"/>
      <c r="AH1274" s="24"/>
      <c r="AI1274" s="24"/>
      <c r="AJ1274" s="24"/>
      <c r="AK1274" s="24"/>
    </row>
    <row r="1275" spans="1:37" x14ac:dyDescent="0.25">
      <c r="A1275" s="24"/>
      <c r="B1275" s="90"/>
      <c r="C1275" s="92"/>
      <c r="D1275" s="24"/>
      <c r="E1275" s="90"/>
      <c r="F1275" s="90"/>
      <c r="G1275" s="24"/>
      <c r="H1275" s="90"/>
      <c r="I1275" s="24"/>
      <c r="J1275" s="90"/>
      <c r="K1275" s="90"/>
      <c r="L1275" s="24"/>
      <c r="M1275" s="24"/>
      <c r="N1275" s="24"/>
      <c r="O1275" s="90"/>
      <c r="P1275" s="24"/>
      <c r="Q1275" s="24"/>
      <c r="R1275" s="24"/>
      <c r="S1275" s="90"/>
      <c r="T1275" s="90"/>
      <c r="U1275" s="24"/>
      <c r="V1275" s="90"/>
      <c r="W1275" s="90"/>
      <c r="X1275" s="90"/>
      <c r="Y1275" s="24"/>
      <c r="Z1275" s="24"/>
      <c r="AA1275" s="24"/>
      <c r="AB1275" s="24"/>
      <c r="AC1275" s="24"/>
      <c r="AD1275" s="24"/>
      <c r="AE1275" s="24"/>
      <c r="AF1275" s="24"/>
      <c r="AG1275" s="24"/>
      <c r="AH1275" s="24"/>
      <c r="AI1275" s="24"/>
      <c r="AJ1275" s="24"/>
      <c r="AK1275" s="24"/>
    </row>
    <row r="1276" spans="1:37" x14ac:dyDescent="0.25">
      <c r="A1276" s="24"/>
      <c r="B1276" s="90"/>
      <c r="C1276" s="92"/>
      <c r="D1276" s="24"/>
      <c r="E1276" s="90"/>
      <c r="F1276" s="90"/>
      <c r="G1276" s="24"/>
      <c r="H1276" s="90"/>
      <c r="I1276" s="24"/>
      <c r="J1276" s="90"/>
      <c r="K1276" s="90"/>
      <c r="L1276" s="24"/>
      <c r="M1276" s="24"/>
      <c r="N1276" s="24"/>
      <c r="O1276" s="90"/>
      <c r="P1276" s="24"/>
      <c r="Q1276" s="24"/>
      <c r="R1276" s="24"/>
      <c r="S1276" s="90"/>
      <c r="T1276" s="90"/>
      <c r="U1276" s="24"/>
      <c r="V1276" s="90"/>
      <c r="W1276" s="90"/>
      <c r="X1276" s="90"/>
      <c r="Y1276" s="24"/>
      <c r="Z1276" s="24"/>
      <c r="AA1276" s="24"/>
      <c r="AB1276" s="24"/>
      <c r="AC1276" s="24"/>
      <c r="AD1276" s="24"/>
      <c r="AE1276" s="24"/>
      <c r="AF1276" s="24"/>
      <c r="AG1276" s="24"/>
      <c r="AH1276" s="24"/>
      <c r="AI1276" s="24"/>
      <c r="AJ1276" s="24"/>
      <c r="AK1276" s="24"/>
    </row>
    <row r="1277" spans="1:37" x14ac:dyDescent="0.25">
      <c r="A1277" s="24"/>
      <c r="B1277" s="90"/>
      <c r="C1277" s="92"/>
      <c r="D1277" s="24"/>
      <c r="E1277" s="90"/>
      <c r="F1277" s="90"/>
      <c r="G1277" s="24"/>
      <c r="H1277" s="90"/>
      <c r="I1277" s="24"/>
      <c r="J1277" s="90"/>
      <c r="K1277" s="90"/>
      <c r="L1277" s="24"/>
      <c r="M1277" s="24"/>
      <c r="N1277" s="24"/>
      <c r="O1277" s="90"/>
      <c r="P1277" s="24"/>
      <c r="Q1277" s="24"/>
      <c r="R1277" s="24"/>
      <c r="S1277" s="90"/>
      <c r="T1277" s="90"/>
      <c r="U1277" s="24"/>
      <c r="V1277" s="90"/>
      <c r="W1277" s="90"/>
      <c r="X1277" s="90"/>
      <c r="Y1277" s="24"/>
      <c r="Z1277" s="24"/>
      <c r="AA1277" s="24"/>
      <c r="AB1277" s="24"/>
      <c r="AC1277" s="24"/>
      <c r="AD1277" s="24"/>
      <c r="AE1277" s="24"/>
      <c r="AF1277" s="24"/>
      <c r="AG1277" s="24"/>
      <c r="AH1277" s="24"/>
      <c r="AI1277" s="24"/>
      <c r="AJ1277" s="24"/>
      <c r="AK1277" s="24"/>
    </row>
    <row r="1278" spans="1:37" x14ac:dyDescent="0.25">
      <c r="A1278" s="24"/>
      <c r="B1278" s="90"/>
      <c r="C1278" s="92"/>
      <c r="D1278" s="24"/>
      <c r="E1278" s="90"/>
      <c r="F1278" s="90"/>
      <c r="G1278" s="24"/>
      <c r="H1278" s="90"/>
      <c r="I1278" s="24"/>
      <c r="J1278" s="90"/>
      <c r="K1278" s="90"/>
      <c r="L1278" s="24"/>
      <c r="M1278" s="24"/>
      <c r="N1278" s="24"/>
      <c r="O1278" s="90"/>
      <c r="P1278" s="24"/>
      <c r="Q1278" s="24"/>
      <c r="R1278" s="24"/>
      <c r="S1278" s="90"/>
      <c r="T1278" s="90"/>
      <c r="U1278" s="24"/>
      <c r="V1278" s="90"/>
      <c r="W1278" s="90"/>
      <c r="X1278" s="90"/>
      <c r="Y1278" s="24"/>
      <c r="Z1278" s="24"/>
      <c r="AA1278" s="24"/>
      <c r="AB1278" s="24"/>
      <c r="AC1278" s="24"/>
      <c r="AD1278" s="24"/>
      <c r="AE1278" s="24"/>
      <c r="AF1278" s="24"/>
      <c r="AG1278" s="24"/>
      <c r="AH1278" s="24"/>
      <c r="AI1278" s="24"/>
      <c r="AJ1278" s="24"/>
      <c r="AK1278" s="24"/>
    </row>
    <row r="1279" spans="1:37" x14ac:dyDescent="0.25">
      <c r="A1279" s="24"/>
      <c r="B1279" s="90"/>
      <c r="C1279" s="92"/>
      <c r="D1279" s="24"/>
      <c r="E1279" s="90"/>
      <c r="F1279" s="90"/>
      <c r="G1279" s="24"/>
      <c r="H1279" s="90"/>
      <c r="I1279" s="24"/>
      <c r="J1279" s="90"/>
      <c r="K1279" s="90"/>
      <c r="L1279" s="24"/>
      <c r="M1279" s="24"/>
      <c r="N1279" s="24"/>
      <c r="O1279" s="90"/>
      <c r="P1279" s="24"/>
      <c r="Q1279" s="24"/>
      <c r="R1279" s="24"/>
      <c r="S1279" s="90"/>
      <c r="T1279" s="90"/>
      <c r="U1279" s="24"/>
      <c r="V1279" s="90"/>
      <c r="W1279" s="90"/>
      <c r="X1279" s="90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</row>
    <row r="1280" spans="1:37" x14ac:dyDescent="0.25">
      <c r="A1280" s="24"/>
      <c r="B1280" s="90"/>
      <c r="C1280" s="92"/>
      <c r="D1280" s="24"/>
      <c r="E1280" s="90"/>
      <c r="F1280" s="90"/>
      <c r="G1280" s="24"/>
      <c r="H1280" s="90"/>
      <c r="I1280" s="24"/>
      <c r="J1280" s="90"/>
      <c r="K1280" s="90"/>
      <c r="L1280" s="24"/>
      <c r="M1280" s="24"/>
      <c r="N1280" s="24"/>
      <c r="O1280" s="90"/>
      <c r="P1280" s="24"/>
      <c r="Q1280" s="24"/>
      <c r="R1280" s="24"/>
      <c r="S1280" s="90"/>
      <c r="T1280" s="90"/>
      <c r="U1280" s="24"/>
      <c r="V1280" s="90"/>
      <c r="W1280" s="90"/>
      <c r="X1280" s="90"/>
      <c r="Y1280" s="24"/>
      <c r="Z1280" s="24"/>
      <c r="AA1280" s="24"/>
      <c r="AB1280" s="24"/>
      <c r="AC1280" s="24"/>
      <c r="AD1280" s="24"/>
      <c r="AE1280" s="24"/>
      <c r="AF1280" s="24"/>
      <c r="AG1280" s="24"/>
      <c r="AH1280" s="24"/>
      <c r="AI1280" s="24"/>
      <c r="AJ1280" s="24"/>
      <c r="AK1280" s="24"/>
    </row>
    <row r="1281" spans="1:37" x14ac:dyDescent="0.25">
      <c r="A1281" s="24"/>
      <c r="B1281" s="90"/>
      <c r="C1281" s="92"/>
      <c r="D1281" s="24"/>
      <c r="E1281" s="90"/>
      <c r="F1281" s="90"/>
      <c r="G1281" s="24"/>
      <c r="H1281" s="90"/>
      <c r="I1281" s="24"/>
      <c r="J1281" s="90"/>
      <c r="K1281" s="90"/>
      <c r="L1281" s="24"/>
      <c r="M1281" s="24"/>
      <c r="N1281" s="24"/>
      <c r="O1281" s="90"/>
      <c r="P1281" s="24"/>
      <c r="Q1281" s="24"/>
      <c r="R1281" s="24"/>
      <c r="S1281" s="90"/>
      <c r="T1281" s="90"/>
      <c r="U1281" s="24"/>
      <c r="V1281" s="90"/>
      <c r="W1281" s="90"/>
      <c r="X1281" s="90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</row>
    <row r="1282" spans="1:37" x14ac:dyDescent="0.25">
      <c r="A1282" s="24"/>
      <c r="B1282" s="90"/>
      <c r="C1282" s="92"/>
      <c r="D1282" s="24"/>
      <c r="E1282" s="90"/>
      <c r="F1282" s="90"/>
      <c r="G1282" s="24"/>
      <c r="H1282" s="90"/>
      <c r="I1282" s="24"/>
      <c r="J1282" s="90"/>
      <c r="K1282" s="90"/>
      <c r="L1282" s="24"/>
      <c r="M1282" s="24"/>
      <c r="N1282" s="24"/>
      <c r="O1282" s="90"/>
      <c r="P1282" s="24"/>
      <c r="Q1282" s="24"/>
      <c r="R1282" s="24"/>
      <c r="S1282" s="90"/>
      <c r="T1282" s="90"/>
      <c r="U1282" s="24"/>
      <c r="V1282" s="90"/>
      <c r="W1282" s="90"/>
      <c r="X1282" s="90"/>
      <c r="Y1282" s="24"/>
      <c r="Z1282" s="24"/>
      <c r="AA1282" s="24"/>
      <c r="AB1282" s="24"/>
      <c r="AC1282" s="24"/>
      <c r="AD1282" s="24"/>
      <c r="AE1282" s="24"/>
      <c r="AF1282" s="24"/>
      <c r="AG1282" s="24"/>
      <c r="AH1282" s="24"/>
      <c r="AI1282" s="24"/>
      <c r="AJ1282" s="24"/>
      <c r="AK1282" s="24"/>
    </row>
    <row r="1283" spans="1:37" x14ac:dyDescent="0.25">
      <c r="A1283" s="24"/>
      <c r="B1283" s="90"/>
      <c r="C1283" s="92"/>
      <c r="D1283" s="24"/>
      <c r="E1283" s="90"/>
      <c r="F1283" s="90"/>
      <c r="G1283" s="24"/>
      <c r="H1283" s="90"/>
      <c r="I1283" s="24"/>
      <c r="J1283" s="90"/>
      <c r="K1283" s="90"/>
      <c r="L1283" s="24"/>
      <c r="M1283" s="24"/>
      <c r="N1283" s="24"/>
      <c r="O1283" s="90"/>
      <c r="P1283" s="24"/>
      <c r="Q1283" s="24"/>
      <c r="R1283" s="24"/>
      <c r="S1283" s="90"/>
      <c r="T1283" s="90"/>
      <c r="U1283" s="24"/>
      <c r="V1283" s="90"/>
      <c r="W1283" s="90"/>
      <c r="X1283" s="90"/>
      <c r="Y1283" s="24"/>
      <c r="Z1283" s="24"/>
      <c r="AA1283" s="24"/>
      <c r="AB1283" s="24"/>
      <c r="AC1283" s="24"/>
      <c r="AD1283" s="24"/>
      <c r="AE1283" s="24"/>
      <c r="AF1283" s="24"/>
      <c r="AG1283" s="24"/>
      <c r="AH1283" s="24"/>
      <c r="AI1283" s="24"/>
      <c r="AJ1283" s="24"/>
      <c r="AK1283" s="24"/>
    </row>
    <row r="1284" spans="1:37" x14ac:dyDescent="0.25">
      <c r="A1284" s="24"/>
      <c r="B1284" s="90"/>
      <c r="C1284" s="92"/>
      <c r="D1284" s="24"/>
      <c r="E1284" s="90"/>
      <c r="F1284" s="90"/>
      <c r="G1284" s="24"/>
      <c r="H1284" s="90"/>
      <c r="I1284" s="24"/>
      <c r="J1284" s="90"/>
      <c r="K1284" s="90"/>
      <c r="L1284" s="24"/>
      <c r="M1284" s="24"/>
      <c r="N1284" s="24"/>
      <c r="O1284" s="90"/>
      <c r="P1284" s="24"/>
      <c r="Q1284" s="24"/>
      <c r="R1284" s="24"/>
      <c r="S1284" s="90"/>
      <c r="T1284" s="90"/>
      <c r="U1284" s="24"/>
      <c r="V1284" s="90"/>
      <c r="W1284" s="90"/>
      <c r="X1284" s="90"/>
      <c r="Y1284" s="24"/>
      <c r="Z1284" s="24"/>
      <c r="AA1284" s="24"/>
      <c r="AB1284" s="24"/>
      <c r="AC1284" s="24"/>
      <c r="AD1284" s="24"/>
      <c r="AE1284" s="24"/>
      <c r="AF1284" s="24"/>
      <c r="AG1284" s="24"/>
      <c r="AH1284" s="24"/>
      <c r="AI1284" s="24"/>
      <c r="AJ1284" s="24"/>
      <c r="AK1284" s="24"/>
    </row>
    <row r="1285" spans="1:37" x14ac:dyDescent="0.25">
      <c r="A1285" s="24"/>
      <c r="B1285" s="90"/>
      <c r="C1285" s="92"/>
      <c r="D1285" s="24"/>
      <c r="E1285" s="90"/>
      <c r="F1285" s="90"/>
      <c r="G1285" s="24"/>
      <c r="H1285" s="90"/>
      <c r="I1285" s="24"/>
      <c r="J1285" s="90"/>
      <c r="K1285" s="90"/>
      <c r="L1285" s="24"/>
      <c r="M1285" s="24"/>
      <c r="N1285" s="24"/>
      <c r="O1285" s="90"/>
      <c r="P1285" s="24"/>
      <c r="Q1285" s="24"/>
      <c r="R1285" s="24"/>
      <c r="S1285" s="90"/>
      <c r="T1285" s="90"/>
      <c r="U1285" s="24"/>
      <c r="V1285" s="90"/>
      <c r="W1285" s="90"/>
      <c r="X1285" s="90"/>
      <c r="Y1285" s="24"/>
      <c r="Z1285" s="24"/>
      <c r="AA1285" s="24"/>
      <c r="AB1285" s="24"/>
      <c r="AC1285" s="24"/>
      <c r="AD1285" s="24"/>
      <c r="AE1285" s="24"/>
      <c r="AF1285" s="24"/>
      <c r="AG1285" s="24"/>
      <c r="AH1285" s="24"/>
      <c r="AI1285" s="24"/>
      <c r="AJ1285" s="24"/>
      <c r="AK1285" s="24"/>
    </row>
    <row r="1286" spans="1:37" x14ac:dyDescent="0.25">
      <c r="A1286" s="24"/>
      <c r="B1286" s="90"/>
      <c r="C1286" s="92"/>
      <c r="D1286" s="24"/>
      <c r="E1286" s="90"/>
      <c r="F1286" s="90"/>
      <c r="G1286" s="24"/>
      <c r="H1286" s="90"/>
      <c r="I1286" s="24"/>
      <c r="J1286" s="90"/>
      <c r="K1286" s="90"/>
      <c r="L1286" s="24"/>
      <c r="M1286" s="24"/>
      <c r="N1286" s="24"/>
      <c r="O1286" s="90"/>
      <c r="P1286" s="24"/>
      <c r="Q1286" s="24"/>
      <c r="R1286" s="24"/>
      <c r="S1286" s="90"/>
      <c r="T1286" s="90"/>
      <c r="U1286" s="24"/>
      <c r="V1286" s="90"/>
      <c r="W1286" s="90"/>
      <c r="X1286" s="90"/>
      <c r="Y1286" s="24"/>
      <c r="Z1286" s="24"/>
      <c r="AA1286" s="24"/>
      <c r="AB1286" s="24"/>
      <c r="AC1286" s="24"/>
      <c r="AD1286" s="24"/>
      <c r="AE1286" s="24"/>
      <c r="AF1286" s="24"/>
      <c r="AG1286" s="24"/>
      <c r="AH1286" s="24"/>
      <c r="AI1286" s="24"/>
      <c r="AJ1286" s="24"/>
      <c r="AK1286" s="24"/>
    </row>
    <row r="1287" spans="1:37" x14ac:dyDescent="0.25">
      <c r="A1287" s="24"/>
      <c r="B1287" s="90"/>
      <c r="C1287" s="92"/>
      <c r="D1287" s="24"/>
      <c r="E1287" s="90"/>
      <c r="F1287" s="90"/>
      <c r="G1287" s="24"/>
      <c r="H1287" s="90"/>
      <c r="I1287" s="24"/>
      <c r="J1287" s="90"/>
      <c r="K1287" s="90"/>
      <c r="L1287" s="24"/>
      <c r="M1287" s="24"/>
      <c r="N1287" s="24"/>
      <c r="O1287" s="90"/>
      <c r="P1287" s="24"/>
      <c r="Q1287" s="24"/>
      <c r="R1287" s="24"/>
      <c r="S1287" s="90"/>
      <c r="T1287" s="90"/>
      <c r="U1287" s="24"/>
      <c r="V1287" s="90"/>
      <c r="W1287" s="90"/>
      <c r="X1287" s="90"/>
      <c r="Y1287" s="24"/>
      <c r="Z1287" s="24"/>
      <c r="AA1287" s="24"/>
      <c r="AB1287" s="24"/>
      <c r="AC1287" s="24"/>
      <c r="AD1287" s="24"/>
      <c r="AE1287" s="24"/>
      <c r="AF1287" s="24"/>
      <c r="AG1287" s="24"/>
      <c r="AH1287" s="24"/>
      <c r="AI1287" s="24"/>
      <c r="AJ1287" s="24"/>
      <c r="AK1287" s="24"/>
    </row>
    <row r="1288" spans="1:37" x14ac:dyDescent="0.25">
      <c r="A1288" s="24"/>
      <c r="B1288" s="90"/>
      <c r="C1288" s="92"/>
      <c r="D1288" s="24"/>
      <c r="E1288" s="90"/>
      <c r="F1288" s="90"/>
      <c r="G1288" s="24"/>
      <c r="H1288" s="90"/>
      <c r="I1288" s="24"/>
      <c r="J1288" s="90"/>
      <c r="K1288" s="90"/>
      <c r="L1288" s="24"/>
      <c r="M1288" s="24"/>
      <c r="N1288" s="24"/>
      <c r="O1288" s="90"/>
      <c r="P1288" s="24"/>
      <c r="Q1288" s="24"/>
      <c r="R1288" s="24"/>
      <c r="S1288" s="90"/>
      <c r="T1288" s="90"/>
      <c r="U1288" s="24"/>
      <c r="V1288" s="90"/>
      <c r="W1288" s="90"/>
      <c r="X1288" s="90"/>
      <c r="Y1288" s="24"/>
      <c r="Z1288" s="24"/>
      <c r="AA1288" s="24"/>
      <c r="AB1288" s="24"/>
      <c r="AC1288" s="24"/>
      <c r="AD1288" s="24"/>
      <c r="AE1288" s="24"/>
      <c r="AF1288" s="24"/>
      <c r="AG1288" s="24"/>
      <c r="AH1288" s="24"/>
      <c r="AI1288" s="24"/>
      <c r="AJ1288" s="24"/>
      <c r="AK1288" s="24"/>
    </row>
    <row r="1289" spans="1:37" x14ac:dyDescent="0.25">
      <c r="A1289" s="24"/>
      <c r="B1289" s="90"/>
      <c r="C1289" s="92"/>
      <c r="D1289" s="24"/>
      <c r="E1289" s="90"/>
      <c r="F1289" s="90"/>
      <c r="G1289" s="24"/>
      <c r="H1289" s="90"/>
      <c r="I1289" s="24"/>
      <c r="J1289" s="90"/>
      <c r="K1289" s="90"/>
      <c r="L1289" s="24"/>
      <c r="M1289" s="24"/>
      <c r="N1289" s="24"/>
      <c r="O1289" s="90"/>
      <c r="P1289" s="24"/>
      <c r="Q1289" s="24"/>
      <c r="R1289" s="24"/>
      <c r="S1289" s="90"/>
      <c r="T1289" s="90"/>
      <c r="U1289" s="24"/>
      <c r="V1289" s="90"/>
      <c r="W1289" s="90"/>
      <c r="X1289" s="90"/>
      <c r="Y1289" s="24"/>
      <c r="Z1289" s="24"/>
      <c r="AA1289" s="24"/>
      <c r="AB1289" s="24"/>
      <c r="AC1289" s="24"/>
      <c r="AD1289" s="24"/>
      <c r="AE1289" s="24"/>
      <c r="AF1289" s="24"/>
      <c r="AG1289" s="24"/>
      <c r="AH1289" s="24"/>
      <c r="AI1289" s="24"/>
      <c r="AJ1289" s="24"/>
      <c r="AK1289" s="24"/>
    </row>
    <row r="1290" spans="1:37" x14ac:dyDescent="0.25">
      <c r="A1290" s="24"/>
      <c r="B1290" s="90"/>
      <c r="C1290" s="92"/>
      <c r="D1290" s="24"/>
      <c r="E1290" s="90"/>
      <c r="F1290" s="90"/>
      <c r="G1290" s="24"/>
      <c r="H1290" s="90"/>
      <c r="I1290" s="24"/>
      <c r="J1290" s="90"/>
      <c r="K1290" s="90"/>
      <c r="L1290" s="24"/>
      <c r="M1290" s="24"/>
      <c r="N1290" s="24"/>
      <c r="O1290" s="90"/>
      <c r="P1290" s="24"/>
      <c r="Q1290" s="24"/>
      <c r="R1290" s="24"/>
      <c r="S1290" s="90"/>
      <c r="T1290" s="90"/>
      <c r="U1290" s="24"/>
      <c r="V1290" s="90"/>
      <c r="W1290" s="90"/>
      <c r="X1290" s="90"/>
      <c r="Y1290" s="24"/>
      <c r="Z1290" s="24"/>
      <c r="AA1290" s="24"/>
      <c r="AB1290" s="24"/>
      <c r="AC1290" s="24"/>
      <c r="AD1290" s="24"/>
      <c r="AE1290" s="24"/>
      <c r="AF1290" s="24"/>
      <c r="AG1290" s="24"/>
      <c r="AH1290" s="24"/>
      <c r="AI1290" s="24"/>
      <c r="AJ1290" s="24"/>
      <c r="AK1290" s="24"/>
    </row>
    <row r="1291" spans="1:37" x14ac:dyDescent="0.25">
      <c r="A1291" s="24"/>
      <c r="B1291" s="90"/>
      <c r="C1291" s="92"/>
      <c r="D1291" s="24"/>
      <c r="E1291" s="90"/>
      <c r="F1291" s="90"/>
      <c r="G1291" s="24"/>
      <c r="H1291" s="90"/>
      <c r="I1291" s="24"/>
      <c r="J1291" s="90"/>
      <c r="K1291" s="90"/>
      <c r="L1291" s="24"/>
      <c r="M1291" s="24"/>
      <c r="N1291" s="24"/>
      <c r="O1291" s="90"/>
      <c r="P1291" s="24"/>
      <c r="Q1291" s="24"/>
      <c r="R1291" s="24"/>
      <c r="S1291" s="90"/>
      <c r="T1291" s="90"/>
      <c r="U1291" s="24"/>
      <c r="V1291" s="90"/>
      <c r="W1291" s="90"/>
      <c r="X1291" s="90"/>
      <c r="Y1291" s="24"/>
      <c r="Z1291" s="24"/>
      <c r="AA1291" s="24"/>
      <c r="AB1291" s="24"/>
      <c r="AC1291" s="24"/>
      <c r="AD1291" s="24"/>
      <c r="AE1291" s="24"/>
      <c r="AF1291" s="24"/>
      <c r="AG1291" s="24"/>
      <c r="AH1291" s="24"/>
      <c r="AI1291" s="24"/>
      <c r="AJ1291" s="24"/>
      <c r="AK1291" s="24"/>
    </row>
    <row r="1292" spans="1:37" x14ac:dyDescent="0.25">
      <c r="A1292" s="24"/>
      <c r="B1292" s="90"/>
      <c r="C1292" s="92"/>
      <c r="D1292" s="24"/>
      <c r="E1292" s="90"/>
      <c r="F1292" s="90"/>
      <c r="G1292" s="24"/>
      <c r="H1292" s="90"/>
      <c r="I1292" s="24"/>
      <c r="J1292" s="90"/>
      <c r="K1292" s="90"/>
      <c r="L1292" s="24"/>
      <c r="M1292" s="24"/>
      <c r="N1292" s="24"/>
      <c r="O1292" s="90"/>
      <c r="P1292" s="24"/>
      <c r="Q1292" s="24"/>
      <c r="R1292" s="24"/>
      <c r="S1292" s="90"/>
      <c r="T1292" s="90"/>
      <c r="U1292" s="24"/>
      <c r="V1292" s="90"/>
      <c r="W1292" s="90"/>
      <c r="X1292" s="90"/>
      <c r="Y1292" s="24"/>
      <c r="Z1292" s="24"/>
      <c r="AA1292" s="24"/>
      <c r="AB1292" s="24"/>
      <c r="AC1292" s="24"/>
      <c r="AD1292" s="24"/>
      <c r="AE1292" s="24"/>
      <c r="AF1292" s="24"/>
      <c r="AG1292" s="24"/>
      <c r="AH1292" s="24"/>
      <c r="AI1292" s="24"/>
      <c r="AJ1292" s="24"/>
      <c r="AK1292" s="24"/>
    </row>
    <row r="1293" spans="1:37" x14ac:dyDescent="0.25">
      <c r="A1293" s="24"/>
      <c r="B1293" s="90"/>
      <c r="C1293" s="92"/>
      <c r="D1293" s="24"/>
      <c r="E1293" s="90"/>
      <c r="F1293" s="90"/>
      <c r="G1293" s="24"/>
      <c r="H1293" s="90"/>
      <c r="I1293" s="24"/>
      <c r="J1293" s="90"/>
      <c r="K1293" s="90"/>
      <c r="L1293" s="24"/>
      <c r="M1293" s="24"/>
      <c r="N1293" s="24"/>
      <c r="O1293" s="90"/>
      <c r="P1293" s="24"/>
      <c r="Q1293" s="24"/>
      <c r="R1293" s="24"/>
      <c r="S1293" s="90"/>
      <c r="T1293" s="90"/>
      <c r="U1293" s="24"/>
      <c r="V1293" s="90"/>
      <c r="W1293" s="90"/>
      <c r="X1293" s="90"/>
      <c r="Y1293" s="24"/>
      <c r="Z1293" s="24"/>
      <c r="AA1293" s="24"/>
      <c r="AB1293" s="24"/>
      <c r="AC1293" s="24"/>
      <c r="AD1293" s="24"/>
      <c r="AE1293" s="24"/>
      <c r="AF1293" s="24"/>
      <c r="AG1293" s="24"/>
      <c r="AH1293" s="24"/>
      <c r="AI1293" s="24"/>
      <c r="AJ1293" s="24"/>
      <c r="AK1293" s="24"/>
    </row>
    <row r="1294" spans="1:37" x14ac:dyDescent="0.25">
      <c r="A1294" s="24"/>
      <c r="B1294" s="90"/>
      <c r="C1294" s="92"/>
      <c r="D1294" s="24"/>
      <c r="E1294" s="90"/>
      <c r="F1294" s="90"/>
      <c r="G1294" s="24"/>
      <c r="H1294" s="90"/>
      <c r="I1294" s="24"/>
      <c r="J1294" s="90"/>
      <c r="K1294" s="90"/>
      <c r="L1294" s="24"/>
      <c r="M1294" s="24"/>
      <c r="N1294" s="24"/>
      <c r="O1294" s="90"/>
      <c r="P1294" s="24"/>
      <c r="Q1294" s="24"/>
      <c r="R1294" s="24"/>
      <c r="S1294" s="90"/>
      <c r="T1294" s="90"/>
      <c r="U1294" s="24"/>
      <c r="V1294" s="90"/>
      <c r="W1294" s="90"/>
      <c r="X1294" s="90"/>
      <c r="Y1294" s="24"/>
      <c r="Z1294" s="24"/>
      <c r="AA1294" s="24"/>
      <c r="AB1294" s="24"/>
      <c r="AC1294" s="24"/>
      <c r="AD1294" s="24"/>
      <c r="AE1294" s="24"/>
      <c r="AF1294" s="24"/>
      <c r="AG1294" s="24"/>
      <c r="AH1294" s="24"/>
      <c r="AI1294" s="24"/>
      <c r="AJ1294" s="24"/>
      <c r="AK1294" s="24"/>
    </row>
    <row r="1295" spans="1:37" x14ac:dyDescent="0.25">
      <c r="A1295" s="24"/>
      <c r="B1295" s="90"/>
      <c r="C1295" s="92"/>
      <c r="D1295" s="24"/>
      <c r="E1295" s="90"/>
      <c r="F1295" s="90"/>
      <c r="G1295" s="24"/>
      <c r="H1295" s="90"/>
      <c r="I1295" s="24"/>
      <c r="J1295" s="90"/>
      <c r="K1295" s="90"/>
      <c r="L1295" s="24"/>
      <c r="M1295" s="24"/>
      <c r="N1295" s="24"/>
      <c r="O1295" s="90"/>
      <c r="P1295" s="24"/>
      <c r="Q1295" s="24"/>
      <c r="R1295" s="24"/>
      <c r="S1295" s="90"/>
      <c r="T1295" s="90"/>
      <c r="U1295" s="24"/>
      <c r="V1295" s="90"/>
      <c r="W1295" s="90"/>
      <c r="X1295" s="90"/>
      <c r="Y1295" s="24"/>
      <c r="Z1295" s="24"/>
      <c r="AA1295" s="24"/>
      <c r="AB1295" s="24"/>
      <c r="AC1295" s="24"/>
      <c r="AD1295" s="24"/>
      <c r="AE1295" s="24"/>
      <c r="AF1295" s="24"/>
      <c r="AG1295" s="24"/>
      <c r="AH1295" s="24"/>
      <c r="AI1295" s="24"/>
      <c r="AJ1295" s="24"/>
      <c r="AK1295" s="24"/>
    </row>
    <row r="1296" spans="1:37" x14ac:dyDescent="0.25">
      <c r="A1296" s="24"/>
      <c r="B1296" s="90"/>
      <c r="C1296" s="92"/>
      <c r="D1296" s="24"/>
      <c r="E1296" s="90"/>
      <c r="F1296" s="90"/>
      <c r="G1296" s="24"/>
      <c r="H1296" s="90"/>
      <c r="I1296" s="24"/>
      <c r="J1296" s="90"/>
      <c r="K1296" s="90"/>
      <c r="L1296" s="24"/>
      <c r="M1296" s="24"/>
      <c r="N1296" s="24"/>
      <c r="O1296" s="90"/>
      <c r="P1296" s="24"/>
      <c r="Q1296" s="24"/>
      <c r="R1296" s="24"/>
      <c r="S1296" s="90"/>
      <c r="T1296" s="90"/>
      <c r="U1296" s="24"/>
      <c r="V1296" s="90"/>
      <c r="W1296" s="90"/>
      <c r="X1296" s="90"/>
      <c r="Y1296" s="24"/>
      <c r="Z1296" s="24"/>
      <c r="AA1296" s="24"/>
      <c r="AB1296" s="24"/>
      <c r="AC1296" s="24"/>
      <c r="AD1296" s="24"/>
      <c r="AE1296" s="24"/>
      <c r="AF1296" s="24"/>
      <c r="AG1296" s="24"/>
      <c r="AH1296" s="24"/>
      <c r="AI1296" s="24"/>
      <c r="AJ1296" s="24"/>
      <c r="AK1296" s="24"/>
    </row>
    <row r="1297" spans="1:37" x14ac:dyDescent="0.25">
      <c r="A1297" s="24"/>
      <c r="B1297" s="90"/>
      <c r="C1297" s="92"/>
      <c r="D1297" s="24"/>
      <c r="E1297" s="90"/>
      <c r="F1297" s="90"/>
      <c r="G1297" s="24"/>
      <c r="H1297" s="90"/>
      <c r="I1297" s="24"/>
      <c r="J1297" s="90"/>
      <c r="K1297" s="90"/>
      <c r="L1297" s="24"/>
      <c r="M1297" s="24"/>
      <c r="N1297" s="24"/>
      <c r="O1297" s="90"/>
      <c r="P1297" s="24"/>
      <c r="Q1297" s="24"/>
      <c r="R1297" s="24"/>
      <c r="S1297" s="90"/>
      <c r="T1297" s="90"/>
      <c r="U1297" s="24"/>
      <c r="V1297" s="90"/>
      <c r="W1297" s="90"/>
      <c r="X1297" s="90"/>
      <c r="Y1297" s="24"/>
      <c r="Z1297" s="24"/>
      <c r="AA1297" s="24"/>
      <c r="AB1297" s="24"/>
      <c r="AC1297" s="24"/>
      <c r="AD1297" s="24"/>
      <c r="AE1297" s="24"/>
      <c r="AF1297" s="24"/>
      <c r="AG1297" s="24"/>
      <c r="AH1297" s="24"/>
      <c r="AI1297" s="24"/>
      <c r="AJ1297" s="24"/>
      <c r="AK1297" s="24"/>
    </row>
    <row r="1298" spans="1:37" x14ac:dyDescent="0.25">
      <c r="A1298" s="24"/>
      <c r="B1298" s="90"/>
      <c r="C1298" s="92"/>
      <c r="D1298" s="24"/>
      <c r="E1298" s="90"/>
      <c r="F1298" s="90"/>
      <c r="G1298" s="24"/>
      <c r="H1298" s="90"/>
      <c r="I1298" s="24"/>
      <c r="J1298" s="90"/>
      <c r="K1298" s="90"/>
      <c r="L1298" s="24"/>
      <c r="M1298" s="24"/>
      <c r="N1298" s="24"/>
      <c r="O1298" s="90"/>
      <c r="P1298" s="24"/>
      <c r="Q1298" s="24"/>
      <c r="R1298" s="24"/>
      <c r="S1298" s="90"/>
      <c r="T1298" s="90"/>
      <c r="U1298" s="24"/>
      <c r="V1298" s="90"/>
      <c r="W1298" s="90"/>
      <c r="X1298" s="90"/>
      <c r="Y1298" s="24"/>
      <c r="Z1298" s="24"/>
      <c r="AA1298" s="24"/>
      <c r="AB1298" s="24"/>
      <c r="AC1298" s="24"/>
      <c r="AD1298" s="24"/>
      <c r="AE1298" s="24"/>
      <c r="AF1298" s="24"/>
      <c r="AG1298" s="24"/>
      <c r="AH1298" s="24"/>
      <c r="AI1298" s="24"/>
      <c r="AJ1298" s="24"/>
      <c r="AK1298" s="24"/>
    </row>
    <row r="1299" spans="1:37" x14ac:dyDescent="0.25">
      <c r="A1299" s="24"/>
      <c r="B1299" s="90"/>
      <c r="C1299" s="92"/>
      <c r="D1299" s="24"/>
      <c r="E1299" s="90"/>
      <c r="F1299" s="90"/>
      <c r="G1299" s="24"/>
      <c r="H1299" s="90"/>
      <c r="I1299" s="24"/>
      <c r="J1299" s="90"/>
      <c r="K1299" s="90"/>
      <c r="L1299" s="24"/>
      <c r="M1299" s="24"/>
      <c r="N1299" s="24"/>
      <c r="O1299" s="90"/>
      <c r="P1299" s="24"/>
      <c r="Q1299" s="24"/>
      <c r="R1299" s="24"/>
      <c r="S1299" s="90"/>
      <c r="T1299" s="90"/>
      <c r="U1299" s="24"/>
      <c r="V1299" s="90"/>
      <c r="W1299" s="90"/>
      <c r="X1299" s="90"/>
      <c r="Y1299" s="24"/>
      <c r="Z1299" s="24"/>
      <c r="AA1299" s="24"/>
      <c r="AB1299" s="24"/>
      <c r="AC1299" s="24"/>
      <c r="AD1299" s="24"/>
      <c r="AE1299" s="24"/>
      <c r="AF1299" s="24"/>
      <c r="AG1299" s="24"/>
      <c r="AH1299" s="24"/>
      <c r="AI1299" s="24"/>
      <c r="AJ1299" s="24"/>
      <c r="AK1299" s="24"/>
    </row>
    <row r="1300" spans="1:37" x14ac:dyDescent="0.25">
      <c r="A1300" s="24"/>
      <c r="B1300" s="90"/>
      <c r="C1300" s="92"/>
      <c r="D1300" s="24"/>
      <c r="E1300" s="90"/>
      <c r="F1300" s="90"/>
      <c r="G1300" s="24"/>
      <c r="H1300" s="90"/>
      <c r="I1300" s="24"/>
      <c r="J1300" s="90"/>
      <c r="K1300" s="90"/>
      <c r="L1300" s="24"/>
      <c r="M1300" s="24"/>
      <c r="N1300" s="24"/>
      <c r="O1300" s="90"/>
      <c r="P1300" s="24"/>
      <c r="Q1300" s="24"/>
      <c r="R1300" s="24"/>
      <c r="S1300" s="90"/>
      <c r="T1300" s="90"/>
      <c r="U1300" s="24"/>
      <c r="V1300" s="90"/>
      <c r="W1300" s="90"/>
      <c r="X1300" s="90"/>
      <c r="Y1300" s="24"/>
      <c r="Z1300" s="24"/>
      <c r="AA1300" s="24"/>
      <c r="AB1300" s="24"/>
      <c r="AC1300" s="24"/>
      <c r="AD1300" s="24"/>
      <c r="AE1300" s="24"/>
      <c r="AF1300" s="24"/>
      <c r="AG1300" s="24"/>
      <c r="AH1300" s="24"/>
      <c r="AI1300" s="24"/>
      <c r="AJ1300" s="24"/>
      <c r="AK1300" s="24"/>
    </row>
    <row r="1301" spans="1:37" x14ac:dyDescent="0.25">
      <c r="A1301" s="24"/>
      <c r="B1301" s="90"/>
      <c r="C1301" s="92"/>
      <c r="D1301" s="24"/>
      <c r="E1301" s="90"/>
      <c r="F1301" s="90"/>
      <c r="G1301" s="24"/>
      <c r="H1301" s="90"/>
      <c r="I1301" s="24"/>
      <c r="J1301" s="90"/>
      <c r="K1301" s="90"/>
      <c r="L1301" s="24"/>
      <c r="M1301" s="24"/>
      <c r="N1301" s="24"/>
      <c r="O1301" s="90"/>
      <c r="P1301" s="24"/>
      <c r="Q1301" s="24"/>
      <c r="R1301" s="24"/>
      <c r="S1301" s="90"/>
      <c r="T1301" s="90"/>
      <c r="U1301" s="24"/>
      <c r="V1301" s="90"/>
      <c r="W1301" s="90"/>
      <c r="X1301" s="90"/>
      <c r="Y1301" s="24"/>
      <c r="Z1301" s="24"/>
      <c r="AA1301" s="24"/>
      <c r="AB1301" s="24"/>
      <c r="AC1301" s="24"/>
      <c r="AD1301" s="24"/>
      <c r="AE1301" s="24"/>
      <c r="AF1301" s="24"/>
      <c r="AG1301" s="24"/>
      <c r="AH1301" s="24"/>
      <c r="AI1301" s="24"/>
      <c r="AJ1301" s="24"/>
      <c r="AK1301" s="24"/>
    </row>
    <row r="1302" spans="1:37" x14ac:dyDescent="0.25">
      <c r="A1302" s="24"/>
      <c r="B1302" s="90"/>
      <c r="C1302" s="92"/>
      <c r="D1302" s="24"/>
      <c r="E1302" s="90"/>
      <c r="F1302" s="90"/>
      <c r="G1302" s="24"/>
      <c r="H1302" s="90"/>
      <c r="I1302" s="24"/>
      <c r="J1302" s="90"/>
      <c r="K1302" s="90"/>
      <c r="L1302" s="24"/>
      <c r="M1302" s="24"/>
      <c r="N1302" s="24"/>
      <c r="O1302" s="90"/>
      <c r="P1302" s="24"/>
      <c r="Q1302" s="24"/>
      <c r="R1302" s="24"/>
      <c r="S1302" s="90"/>
      <c r="T1302" s="90"/>
      <c r="U1302" s="24"/>
      <c r="V1302" s="90"/>
      <c r="W1302" s="90"/>
      <c r="X1302" s="90"/>
      <c r="Y1302" s="24"/>
      <c r="Z1302" s="24"/>
      <c r="AA1302" s="24"/>
      <c r="AB1302" s="24"/>
      <c r="AC1302" s="24"/>
      <c r="AD1302" s="24"/>
      <c r="AE1302" s="24"/>
      <c r="AF1302" s="24"/>
      <c r="AG1302" s="24"/>
      <c r="AH1302" s="24"/>
      <c r="AI1302" s="24"/>
      <c r="AJ1302" s="24"/>
      <c r="AK1302" s="24"/>
    </row>
    <row r="1303" spans="1:37" x14ac:dyDescent="0.25">
      <c r="A1303" s="24"/>
      <c r="B1303" s="90"/>
      <c r="C1303" s="92"/>
      <c r="D1303" s="24"/>
      <c r="E1303" s="90"/>
      <c r="F1303" s="90"/>
      <c r="G1303" s="24"/>
      <c r="H1303" s="90"/>
      <c r="I1303" s="24"/>
      <c r="J1303" s="90"/>
      <c r="K1303" s="90"/>
      <c r="L1303" s="24"/>
      <c r="M1303" s="24"/>
      <c r="N1303" s="24"/>
      <c r="O1303" s="90"/>
      <c r="P1303" s="24"/>
      <c r="Q1303" s="24"/>
      <c r="R1303" s="24"/>
      <c r="S1303" s="90"/>
      <c r="T1303" s="90"/>
      <c r="U1303" s="24"/>
      <c r="V1303" s="90"/>
      <c r="W1303" s="90"/>
      <c r="X1303" s="90"/>
      <c r="Y1303" s="24"/>
      <c r="Z1303" s="24"/>
      <c r="AA1303" s="24"/>
      <c r="AB1303" s="24"/>
      <c r="AC1303" s="24"/>
      <c r="AD1303" s="24"/>
      <c r="AE1303" s="24"/>
      <c r="AF1303" s="24"/>
      <c r="AG1303" s="24"/>
      <c r="AH1303" s="24"/>
      <c r="AI1303" s="24"/>
      <c r="AJ1303" s="24"/>
      <c r="AK1303" s="24"/>
    </row>
    <row r="1304" spans="1:37" x14ac:dyDescent="0.25">
      <c r="A1304" s="24"/>
      <c r="B1304" s="90"/>
      <c r="C1304" s="92"/>
      <c r="D1304" s="24"/>
      <c r="E1304" s="90"/>
      <c r="F1304" s="90"/>
      <c r="G1304" s="24"/>
      <c r="H1304" s="90"/>
      <c r="I1304" s="24"/>
      <c r="J1304" s="90"/>
      <c r="K1304" s="90"/>
      <c r="L1304" s="24"/>
      <c r="M1304" s="24"/>
      <c r="N1304" s="24"/>
      <c r="O1304" s="90"/>
      <c r="P1304" s="24"/>
      <c r="Q1304" s="24"/>
      <c r="R1304" s="24"/>
      <c r="S1304" s="90"/>
      <c r="T1304" s="90"/>
      <c r="U1304" s="24"/>
      <c r="V1304" s="90"/>
      <c r="W1304" s="90"/>
      <c r="X1304" s="90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</row>
    <row r="1305" spans="1:37" x14ac:dyDescent="0.25">
      <c r="A1305" s="24"/>
      <c r="B1305" s="90"/>
      <c r="C1305" s="92"/>
      <c r="D1305" s="24"/>
      <c r="E1305" s="90"/>
      <c r="F1305" s="90"/>
      <c r="G1305" s="24"/>
      <c r="H1305" s="90"/>
      <c r="I1305" s="24"/>
      <c r="J1305" s="90"/>
      <c r="K1305" s="90"/>
      <c r="L1305" s="24"/>
      <c r="M1305" s="24"/>
      <c r="N1305" s="24"/>
      <c r="O1305" s="90"/>
      <c r="P1305" s="24"/>
      <c r="Q1305" s="24"/>
      <c r="R1305" s="24"/>
      <c r="S1305" s="90"/>
      <c r="T1305" s="90"/>
      <c r="U1305" s="24"/>
      <c r="V1305" s="90"/>
      <c r="W1305" s="90"/>
      <c r="X1305" s="90"/>
      <c r="Y1305" s="24"/>
      <c r="Z1305" s="24"/>
      <c r="AA1305" s="24"/>
      <c r="AB1305" s="24"/>
      <c r="AC1305" s="24"/>
      <c r="AD1305" s="24"/>
      <c r="AE1305" s="24"/>
      <c r="AF1305" s="24"/>
      <c r="AG1305" s="24"/>
      <c r="AH1305" s="24"/>
      <c r="AI1305" s="24"/>
      <c r="AJ1305" s="24"/>
      <c r="AK1305" s="24"/>
    </row>
    <row r="1306" spans="1:37" x14ac:dyDescent="0.25">
      <c r="A1306" s="24"/>
      <c r="B1306" s="90"/>
      <c r="C1306" s="92"/>
      <c r="D1306" s="24"/>
      <c r="E1306" s="90"/>
      <c r="F1306" s="90"/>
      <c r="G1306" s="24"/>
      <c r="H1306" s="90"/>
      <c r="I1306" s="24"/>
      <c r="J1306" s="90"/>
      <c r="K1306" s="90"/>
      <c r="L1306" s="24"/>
      <c r="M1306" s="24"/>
      <c r="N1306" s="24"/>
      <c r="O1306" s="90"/>
      <c r="P1306" s="24"/>
      <c r="Q1306" s="24"/>
      <c r="R1306" s="24"/>
      <c r="S1306" s="90"/>
      <c r="T1306" s="90"/>
      <c r="U1306" s="24"/>
      <c r="V1306" s="90"/>
      <c r="W1306" s="90"/>
      <c r="X1306" s="90"/>
      <c r="Y1306" s="24"/>
      <c r="Z1306" s="24"/>
      <c r="AA1306" s="24"/>
      <c r="AB1306" s="24"/>
      <c r="AC1306" s="24"/>
      <c r="AD1306" s="24"/>
      <c r="AE1306" s="24"/>
      <c r="AF1306" s="24"/>
      <c r="AG1306" s="24"/>
      <c r="AH1306" s="24"/>
      <c r="AI1306" s="24"/>
      <c r="AJ1306" s="24"/>
      <c r="AK1306" s="24"/>
    </row>
    <row r="1307" spans="1:37" x14ac:dyDescent="0.25">
      <c r="A1307" s="24"/>
      <c r="B1307" s="90"/>
      <c r="C1307" s="92"/>
      <c r="D1307" s="24"/>
      <c r="E1307" s="90"/>
      <c r="F1307" s="90"/>
      <c r="G1307" s="24"/>
      <c r="H1307" s="90"/>
      <c r="I1307" s="24"/>
      <c r="J1307" s="90"/>
      <c r="K1307" s="90"/>
      <c r="L1307" s="24"/>
      <c r="M1307" s="24"/>
      <c r="N1307" s="24"/>
      <c r="O1307" s="90"/>
      <c r="P1307" s="24"/>
      <c r="Q1307" s="24"/>
      <c r="R1307" s="24"/>
      <c r="S1307" s="90"/>
      <c r="T1307" s="90"/>
      <c r="U1307" s="24"/>
      <c r="V1307" s="90"/>
      <c r="W1307" s="90"/>
      <c r="X1307" s="90"/>
      <c r="Y1307" s="24"/>
      <c r="Z1307" s="24"/>
      <c r="AA1307" s="24"/>
      <c r="AB1307" s="24"/>
      <c r="AC1307" s="24"/>
      <c r="AD1307" s="24"/>
      <c r="AE1307" s="24"/>
      <c r="AF1307" s="24"/>
      <c r="AG1307" s="24"/>
      <c r="AH1307" s="24"/>
      <c r="AI1307" s="24"/>
      <c r="AJ1307" s="24"/>
      <c r="AK1307" s="24"/>
    </row>
    <row r="1308" spans="1:37" x14ac:dyDescent="0.25">
      <c r="A1308" s="24"/>
      <c r="B1308" s="90"/>
      <c r="C1308" s="92"/>
      <c r="D1308" s="24"/>
      <c r="E1308" s="90"/>
      <c r="F1308" s="90"/>
      <c r="G1308" s="24"/>
      <c r="H1308" s="90"/>
      <c r="I1308" s="24"/>
      <c r="J1308" s="90"/>
      <c r="K1308" s="90"/>
      <c r="L1308" s="24"/>
      <c r="M1308" s="24"/>
      <c r="N1308" s="24"/>
      <c r="O1308" s="90"/>
      <c r="P1308" s="24"/>
      <c r="Q1308" s="24"/>
      <c r="R1308" s="24"/>
      <c r="S1308" s="90"/>
      <c r="T1308" s="90"/>
      <c r="U1308" s="24"/>
      <c r="V1308" s="90"/>
      <c r="W1308" s="90"/>
      <c r="X1308" s="90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24"/>
      <c r="AJ1308" s="24"/>
      <c r="AK1308" s="24"/>
    </row>
    <row r="1309" spans="1:37" x14ac:dyDescent="0.25">
      <c r="A1309" s="24"/>
      <c r="B1309" s="90"/>
      <c r="C1309" s="92"/>
      <c r="D1309" s="24"/>
      <c r="E1309" s="90"/>
      <c r="F1309" s="90"/>
      <c r="G1309" s="24"/>
      <c r="H1309" s="90"/>
      <c r="I1309" s="24"/>
      <c r="J1309" s="90"/>
      <c r="K1309" s="90"/>
      <c r="L1309" s="24"/>
      <c r="M1309" s="24"/>
      <c r="N1309" s="24"/>
      <c r="O1309" s="90"/>
      <c r="P1309" s="24"/>
      <c r="Q1309" s="24"/>
      <c r="R1309" s="24"/>
      <c r="S1309" s="90"/>
      <c r="T1309" s="90"/>
      <c r="U1309" s="24"/>
      <c r="V1309" s="90"/>
      <c r="W1309" s="90"/>
      <c r="X1309" s="90"/>
      <c r="Y1309" s="24"/>
      <c r="Z1309" s="24"/>
      <c r="AA1309" s="24"/>
      <c r="AB1309" s="24"/>
      <c r="AC1309" s="24"/>
      <c r="AD1309" s="24"/>
      <c r="AE1309" s="24"/>
      <c r="AF1309" s="24"/>
      <c r="AG1309" s="24"/>
      <c r="AH1309" s="24"/>
      <c r="AI1309" s="24"/>
      <c r="AJ1309" s="24"/>
      <c r="AK1309" s="24"/>
    </row>
    <row r="1310" spans="1:37" x14ac:dyDescent="0.25">
      <c r="A1310" s="24"/>
      <c r="B1310" s="90"/>
      <c r="C1310" s="92"/>
      <c r="D1310" s="24"/>
      <c r="E1310" s="90"/>
      <c r="F1310" s="90"/>
      <c r="G1310" s="24"/>
      <c r="H1310" s="90"/>
      <c r="I1310" s="24"/>
      <c r="J1310" s="90"/>
      <c r="K1310" s="90"/>
      <c r="L1310" s="24"/>
      <c r="M1310" s="24"/>
      <c r="N1310" s="24"/>
      <c r="O1310" s="90"/>
      <c r="P1310" s="24"/>
      <c r="Q1310" s="24"/>
      <c r="R1310" s="24"/>
      <c r="S1310" s="90"/>
      <c r="T1310" s="90"/>
      <c r="U1310" s="24"/>
      <c r="V1310" s="90"/>
      <c r="W1310" s="90"/>
      <c r="X1310" s="90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</row>
    <row r="1311" spans="1:37" x14ac:dyDescent="0.25">
      <c r="A1311" s="24"/>
      <c r="B1311" s="90"/>
      <c r="C1311" s="92"/>
      <c r="D1311" s="24"/>
      <c r="E1311" s="90"/>
      <c r="F1311" s="90"/>
      <c r="G1311" s="24"/>
      <c r="H1311" s="90"/>
      <c r="I1311" s="24"/>
      <c r="J1311" s="90"/>
      <c r="K1311" s="90"/>
      <c r="L1311" s="24"/>
      <c r="M1311" s="24"/>
      <c r="N1311" s="24"/>
      <c r="O1311" s="90"/>
      <c r="P1311" s="24"/>
      <c r="Q1311" s="24"/>
      <c r="R1311" s="24"/>
      <c r="S1311" s="90"/>
      <c r="T1311" s="90"/>
      <c r="U1311" s="24"/>
      <c r="V1311" s="90"/>
      <c r="W1311" s="90"/>
      <c r="X1311" s="90"/>
      <c r="Y1311" s="24"/>
      <c r="Z1311" s="24"/>
      <c r="AA1311" s="24"/>
      <c r="AB1311" s="24"/>
      <c r="AC1311" s="24"/>
      <c r="AD1311" s="24"/>
      <c r="AE1311" s="24"/>
      <c r="AF1311" s="24"/>
      <c r="AG1311" s="24"/>
      <c r="AH1311" s="24"/>
      <c r="AI1311" s="24"/>
      <c r="AJ1311" s="24"/>
      <c r="AK1311" s="24"/>
    </row>
    <row r="1312" spans="1:37" x14ac:dyDescent="0.25">
      <c r="A1312" s="24"/>
      <c r="B1312" s="90"/>
      <c r="C1312" s="92"/>
      <c r="D1312" s="24"/>
      <c r="E1312" s="90"/>
      <c r="F1312" s="90"/>
      <c r="G1312" s="24"/>
      <c r="H1312" s="90"/>
      <c r="I1312" s="24"/>
      <c r="J1312" s="90"/>
      <c r="K1312" s="90"/>
      <c r="L1312" s="24"/>
      <c r="M1312" s="24"/>
      <c r="N1312" s="24"/>
      <c r="O1312" s="90"/>
      <c r="P1312" s="24"/>
      <c r="Q1312" s="24"/>
      <c r="R1312" s="24"/>
      <c r="S1312" s="90"/>
      <c r="T1312" s="90"/>
      <c r="U1312" s="24"/>
      <c r="V1312" s="90"/>
      <c r="W1312" s="90"/>
      <c r="X1312" s="90"/>
      <c r="Y1312" s="24"/>
      <c r="Z1312" s="24"/>
      <c r="AA1312" s="24"/>
      <c r="AB1312" s="24"/>
      <c r="AC1312" s="24"/>
      <c r="AD1312" s="24"/>
      <c r="AE1312" s="24"/>
      <c r="AF1312" s="24"/>
      <c r="AG1312" s="24"/>
      <c r="AH1312" s="24"/>
      <c r="AI1312" s="24"/>
      <c r="AJ1312" s="24"/>
      <c r="AK1312" s="24"/>
    </row>
    <row r="1313" spans="1:37" x14ac:dyDescent="0.25">
      <c r="A1313" s="24"/>
      <c r="B1313" s="90"/>
      <c r="C1313" s="92"/>
      <c r="D1313" s="24"/>
      <c r="E1313" s="90"/>
      <c r="F1313" s="90"/>
      <c r="G1313" s="24"/>
      <c r="H1313" s="90"/>
      <c r="I1313" s="24"/>
      <c r="J1313" s="90"/>
      <c r="K1313" s="90"/>
      <c r="L1313" s="24"/>
      <c r="M1313" s="24"/>
      <c r="N1313" s="24"/>
      <c r="O1313" s="90"/>
      <c r="P1313" s="24"/>
      <c r="Q1313" s="24"/>
      <c r="R1313" s="24"/>
      <c r="S1313" s="90"/>
      <c r="T1313" s="90"/>
      <c r="U1313" s="24"/>
      <c r="V1313" s="90"/>
      <c r="W1313" s="90"/>
      <c r="X1313" s="90"/>
      <c r="Y1313" s="24"/>
      <c r="Z1313" s="24"/>
      <c r="AA1313" s="24"/>
      <c r="AB1313" s="24"/>
      <c r="AC1313" s="24"/>
      <c r="AD1313" s="24"/>
      <c r="AE1313" s="24"/>
      <c r="AF1313" s="24"/>
      <c r="AG1313" s="24"/>
      <c r="AH1313" s="24"/>
      <c r="AI1313" s="24"/>
      <c r="AJ1313" s="24"/>
      <c r="AK1313" s="24"/>
    </row>
    <row r="1314" spans="1:37" x14ac:dyDescent="0.25">
      <c r="A1314" s="24"/>
      <c r="B1314" s="90"/>
      <c r="C1314" s="92"/>
      <c r="D1314" s="24"/>
      <c r="E1314" s="90"/>
      <c r="F1314" s="90"/>
      <c r="G1314" s="24"/>
      <c r="H1314" s="90"/>
      <c r="I1314" s="24"/>
      <c r="J1314" s="90"/>
      <c r="K1314" s="90"/>
      <c r="L1314" s="24"/>
      <c r="M1314" s="24"/>
      <c r="N1314" s="24"/>
      <c r="O1314" s="90"/>
      <c r="P1314" s="24"/>
      <c r="Q1314" s="24"/>
      <c r="R1314" s="24"/>
      <c r="S1314" s="90"/>
      <c r="T1314" s="90"/>
      <c r="U1314" s="24"/>
      <c r="V1314" s="90"/>
      <c r="W1314" s="90"/>
      <c r="X1314" s="90"/>
      <c r="Y1314" s="24"/>
      <c r="Z1314" s="24"/>
      <c r="AA1314" s="24"/>
      <c r="AB1314" s="24"/>
      <c r="AC1314" s="24"/>
      <c r="AD1314" s="24"/>
      <c r="AE1314" s="24"/>
      <c r="AF1314" s="24"/>
      <c r="AG1314" s="24"/>
      <c r="AH1314" s="24"/>
      <c r="AI1314" s="24"/>
      <c r="AJ1314" s="24"/>
      <c r="AK1314" s="24"/>
    </row>
    <row r="1315" spans="1:37" x14ac:dyDescent="0.25">
      <c r="A1315" s="24"/>
      <c r="B1315" s="90"/>
      <c r="C1315" s="92"/>
      <c r="D1315" s="24"/>
      <c r="E1315" s="90"/>
      <c r="F1315" s="90"/>
      <c r="G1315" s="24"/>
      <c r="H1315" s="90"/>
      <c r="I1315" s="24"/>
      <c r="J1315" s="90"/>
      <c r="K1315" s="90"/>
      <c r="L1315" s="24"/>
      <c r="M1315" s="24"/>
      <c r="N1315" s="24"/>
      <c r="O1315" s="90"/>
      <c r="P1315" s="24"/>
      <c r="Q1315" s="24"/>
      <c r="R1315" s="24"/>
      <c r="S1315" s="90"/>
      <c r="T1315" s="90"/>
      <c r="U1315" s="24"/>
      <c r="V1315" s="90"/>
      <c r="W1315" s="90"/>
      <c r="X1315" s="90"/>
      <c r="Y1315" s="24"/>
      <c r="Z1315" s="24"/>
      <c r="AA1315" s="24"/>
      <c r="AB1315" s="24"/>
      <c r="AC1315" s="24"/>
      <c r="AD1315" s="24"/>
      <c r="AE1315" s="24"/>
      <c r="AF1315" s="24"/>
      <c r="AG1315" s="24"/>
      <c r="AH1315" s="24"/>
      <c r="AI1315" s="24"/>
      <c r="AJ1315" s="24"/>
      <c r="AK1315" s="24"/>
    </row>
    <row r="1316" spans="1:37" x14ac:dyDescent="0.25">
      <c r="A1316" s="24"/>
      <c r="B1316" s="90"/>
      <c r="C1316" s="92"/>
      <c r="D1316" s="24"/>
      <c r="E1316" s="90"/>
      <c r="F1316" s="90"/>
      <c r="G1316" s="24"/>
      <c r="H1316" s="90"/>
      <c r="I1316" s="24"/>
      <c r="J1316" s="90"/>
      <c r="K1316" s="90"/>
      <c r="L1316" s="24"/>
      <c r="M1316" s="24"/>
      <c r="N1316" s="24"/>
      <c r="O1316" s="90"/>
      <c r="P1316" s="24"/>
      <c r="Q1316" s="24"/>
      <c r="R1316" s="24"/>
      <c r="S1316" s="90"/>
      <c r="T1316" s="90"/>
      <c r="U1316" s="24"/>
      <c r="V1316" s="90"/>
      <c r="W1316" s="90"/>
      <c r="X1316" s="90"/>
      <c r="Y1316" s="24"/>
      <c r="Z1316" s="24"/>
      <c r="AA1316" s="24"/>
      <c r="AB1316" s="24"/>
      <c r="AC1316" s="24"/>
      <c r="AD1316" s="24"/>
      <c r="AE1316" s="24"/>
      <c r="AF1316" s="24"/>
      <c r="AG1316" s="24"/>
      <c r="AH1316" s="24"/>
      <c r="AI1316" s="24"/>
      <c r="AJ1316" s="24"/>
      <c r="AK1316" s="24"/>
    </row>
    <row r="1317" spans="1:37" x14ac:dyDescent="0.25">
      <c r="A1317" s="24"/>
      <c r="B1317" s="90"/>
      <c r="C1317" s="92"/>
      <c r="D1317" s="24"/>
      <c r="E1317" s="90"/>
      <c r="F1317" s="90"/>
      <c r="G1317" s="24"/>
      <c r="H1317" s="90"/>
      <c r="I1317" s="24"/>
      <c r="J1317" s="90"/>
      <c r="K1317" s="90"/>
      <c r="L1317" s="24"/>
      <c r="M1317" s="24"/>
      <c r="N1317" s="24"/>
      <c r="O1317" s="90"/>
      <c r="P1317" s="24"/>
      <c r="Q1317" s="24"/>
      <c r="R1317" s="24"/>
      <c r="S1317" s="90"/>
      <c r="T1317" s="90"/>
      <c r="U1317" s="24"/>
      <c r="V1317" s="90"/>
      <c r="W1317" s="90"/>
      <c r="X1317" s="90"/>
      <c r="Y1317" s="24"/>
      <c r="Z1317" s="24"/>
      <c r="AA1317" s="24"/>
      <c r="AB1317" s="24"/>
      <c r="AC1317" s="24"/>
      <c r="AD1317" s="24"/>
      <c r="AE1317" s="24"/>
      <c r="AF1317" s="24"/>
      <c r="AG1317" s="24"/>
      <c r="AH1317" s="24"/>
      <c r="AI1317" s="24"/>
      <c r="AJ1317" s="24"/>
      <c r="AK1317" s="24"/>
    </row>
    <row r="1318" spans="1:37" x14ac:dyDescent="0.25">
      <c r="A1318" s="24"/>
      <c r="B1318" s="90"/>
      <c r="C1318" s="92"/>
      <c r="D1318" s="24"/>
      <c r="E1318" s="90"/>
      <c r="F1318" s="90"/>
      <c r="G1318" s="24"/>
      <c r="H1318" s="90"/>
      <c r="I1318" s="24"/>
      <c r="J1318" s="90"/>
      <c r="K1318" s="90"/>
      <c r="L1318" s="24"/>
      <c r="M1318" s="24"/>
      <c r="N1318" s="24"/>
      <c r="O1318" s="90"/>
      <c r="P1318" s="24"/>
      <c r="Q1318" s="24"/>
      <c r="R1318" s="24"/>
      <c r="S1318" s="90"/>
      <c r="T1318" s="90"/>
      <c r="U1318" s="24"/>
      <c r="V1318" s="90"/>
      <c r="W1318" s="90"/>
      <c r="X1318" s="90"/>
      <c r="Y1318" s="24"/>
      <c r="Z1318" s="24"/>
      <c r="AA1318" s="24"/>
      <c r="AB1318" s="24"/>
      <c r="AC1318" s="24"/>
      <c r="AD1318" s="24"/>
      <c r="AE1318" s="24"/>
      <c r="AF1318" s="24"/>
      <c r="AG1318" s="24"/>
      <c r="AH1318" s="24"/>
      <c r="AI1318" s="24"/>
      <c r="AJ1318" s="24"/>
      <c r="AK1318" s="24"/>
    </row>
    <row r="1319" spans="1:37" x14ac:dyDescent="0.25">
      <c r="A1319" s="24"/>
      <c r="B1319" s="90"/>
      <c r="C1319" s="92"/>
      <c r="D1319" s="24"/>
      <c r="E1319" s="90"/>
      <c r="F1319" s="90"/>
      <c r="G1319" s="24"/>
      <c r="H1319" s="90"/>
      <c r="I1319" s="24"/>
      <c r="J1319" s="90"/>
      <c r="K1319" s="90"/>
      <c r="L1319" s="24"/>
      <c r="M1319" s="24"/>
      <c r="N1319" s="24"/>
      <c r="O1319" s="90"/>
      <c r="P1319" s="24"/>
      <c r="Q1319" s="24"/>
      <c r="R1319" s="24"/>
      <c r="S1319" s="90"/>
      <c r="T1319" s="90"/>
      <c r="U1319" s="24"/>
      <c r="V1319" s="90"/>
      <c r="W1319" s="90"/>
      <c r="X1319" s="90"/>
      <c r="Y1319" s="24"/>
      <c r="Z1319" s="24"/>
      <c r="AA1319" s="24"/>
      <c r="AB1319" s="24"/>
      <c r="AC1319" s="24"/>
      <c r="AD1319" s="24"/>
      <c r="AE1319" s="24"/>
      <c r="AF1319" s="24"/>
      <c r="AG1319" s="24"/>
      <c r="AH1319" s="24"/>
      <c r="AI1319" s="24"/>
      <c r="AJ1319" s="24"/>
      <c r="AK1319" s="24"/>
    </row>
    <row r="1320" spans="1:37" x14ac:dyDescent="0.25">
      <c r="A1320" s="24"/>
      <c r="B1320" s="90"/>
      <c r="C1320" s="92"/>
      <c r="D1320" s="24"/>
      <c r="E1320" s="90"/>
      <c r="F1320" s="90"/>
      <c r="G1320" s="24"/>
      <c r="H1320" s="90"/>
      <c r="I1320" s="24"/>
      <c r="J1320" s="90"/>
      <c r="K1320" s="90"/>
      <c r="L1320" s="24"/>
      <c r="M1320" s="24"/>
      <c r="N1320" s="24"/>
      <c r="O1320" s="90"/>
      <c r="P1320" s="24"/>
      <c r="Q1320" s="24"/>
      <c r="R1320" s="24"/>
      <c r="S1320" s="90"/>
      <c r="T1320" s="90"/>
      <c r="U1320" s="24"/>
      <c r="V1320" s="90"/>
      <c r="W1320" s="90"/>
      <c r="X1320" s="90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24"/>
      <c r="AJ1320" s="24"/>
      <c r="AK1320" s="24"/>
    </row>
    <row r="1321" spans="1:37" x14ac:dyDescent="0.25">
      <c r="A1321" s="24"/>
      <c r="B1321" s="90"/>
      <c r="C1321" s="92"/>
      <c r="D1321" s="24"/>
      <c r="E1321" s="90"/>
      <c r="F1321" s="90"/>
      <c r="G1321" s="24"/>
      <c r="H1321" s="90"/>
      <c r="I1321" s="24"/>
      <c r="J1321" s="90"/>
      <c r="K1321" s="90"/>
      <c r="L1321" s="24"/>
      <c r="M1321" s="24"/>
      <c r="N1321" s="24"/>
      <c r="O1321" s="90"/>
      <c r="P1321" s="24"/>
      <c r="Q1321" s="24"/>
      <c r="R1321" s="24"/>
      <c r="S1321" s="90"/>
      <c r="T1321" s="90"/>
      <c r="U1321" s="24"/>
      <c r="V1321" s="90"/>
      <c r="W1321" s="90"/>
      <c r="X1321" s="90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</row>
    <row r="1322" spans="1:37" x14ac:dyDescent="0.25">
      <c r="A1322" s="24"/>
      <c r="B1322" s="90"/>
      <c r="C1322" s="92"/>
      <c r="D1322" s="24"/>
      <c r="E1322" s="90"/>
      <c r="F1322" s="90"/>
      <c r="G1322" s="24"/>
      <c r="H1322" s="90"/>
      <c r="I1322" s="24"/>
      <c r="J1322" s="90"/>
      <c r="K1322" s="90"/>
      <c r="L1322" s="24"/>
      <c r="M1322" s="24"/>
      <c r="N1322" s="24"/>
      <c r="O1322" s="90"/>
      <c r="P1322" s="24"/>
      <c r="Q1322" s="24"/>
      <c r="R1322" s="24"/>
      <c r="S1322" s="90"/>
      <c r="T1322" s="90"/>
      <c r="U1322" s="24"/>
      <c r="V1322" s="90"/>
      <c r="W1322" s="90"/>
      <c r="X1322" s="90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24"/>
      <c r="AJ1322" s="24"/>
      <c r="AK1322" s="24"/>
    </row>
    <row r="1323" spans="1:37" x14ac:dyDescent="0.25">
      <c r="A1323" s="24"/>
      <c r="B1323" s="90"/>
      <c r="C1323" s="92"/>
      <c r="D1323" s="24"/>
      <c r="E1323" s="90"/>
      <c r="F1323" s="90"/>
      <c r="G1323" s="24"/>
      <c r="H1323" s="90"/>
      <c r="I1323" s="24"/>
      <c r="J1323" s="90"/>
      <c r="K1323" s="90"/>
      <c r="L1323" s="24"/>
      <c r="M1323" s="24"/>
      <c r="N1323" s="24"/>
      <c r="O1323" s="90"/>
      <c r="P1323" s="24"/>
      <c r="Q1323" s="24"/>
      <c r="R1323" s="24"/>
      <c r="S1323" s="90"/>
      <c r="T1323" s="90"/>
      <c r="U1323" s="24"/>
      <c r="V1323" s="90"/>
      <c r="W1323" s="90"/>
      <c r="X1323" s="90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</row>
    <row r="1324" spans="1:37" x14ac:dyDescent="0.25">
      <c r="A1324" s="24"/>
      <c r="B1324" s="90"/>
      <c r="C1324" s="92"/>
      <c r="D1324" s="24"/>
      <c r="E1324" s="90"/>
      <c r="F1324" s="90"/>
      <c r="G1324" s="24"/>
      <c r="H1324" s="90"/>
      <c r="I1324" s="24"/>
      <c r="J1324" s="90"/>
      <c r="K1324" s="90"/>
      <c r="L1324" s="24"/>
      <c r="M1324" s="24"/>
      <c r="N1324" s="24"/>
      <c r="O1324" s="90"/>
      <c r="P1324" s="24"/>
      <c r="Q1324" s="24"/>
      <c r="R1324" s="24"/>
      <c r="S1324" s="90"/>
      <c r="T1324" s="90"/>
      <c r="U1324" s="24"/>
      <c r="V1324" s="90"/>
      <c r="W1324" s="90"/>
      <c r="X1324" s="90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</row>
    <row r="1325" spans="1:37" x14ac:dyDescent="0.25">
      <c r="A1325" s="24"/>
      <c r="B1325" s="90"/>
      <c r="C1325" s="92"/>
      <c r="D1325" s="24"/>
      <c r="E1325" s="90"/>
      <c r="F1325" s="90"/>
      <c r="G1325" s="24"/>
      <c r="H1325" s="90"/>
      <c r="I1325" s="24"/>
      <c r="J1325" s="90"/>
      <c r="K1325" s="90"/>
      <c r="L1325" s="24"/>
      <c r="M1325" s="24"/>
      <c r="N1325" s="24"/>
      <c r="O1325" s="90"/>
      <c r="P1325" s="24"/>
      <c r="Q1325" s="24"/>
      <c r="R1325" s="24"/>
      <c r="S1325" s="90"/>
      <c r="T1325" s="90"/>
      <c r="U1325" s="24"/>
      <c r="V1325" s="90"/>
      <c r="W1325" s="90"/>
      <c r="X1325" s="90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</row>
    <row r="1326" spans="1:37" x14ac:dyDescent="0.25">
      <c r="A1326" s="24"/>
      <c r="B1326" s="90"/>
      <c r="C1326" s="92"/>
      <c r="D1326" s="24"/>
      <c r="E1326" s="90"/>
      <c r="F1326" s="90"/>
      <c r="G1326" s="24"/>
      <c r="H1326" s="90"/>
      <c r="I1326" s="24"/>
      <c r="J1326" s="90"/>
      <c r="K1326" s="90"/>
      <c r="L1326" s="24"/>
      <c r="M1326" s="24"/>
      <c r="N1326" s="24"/>
      <c r="O1326" s="90"/>
      <c r="P1326" s="24"/>
      <c r="Q1326" s="24"/>
      <c r="R1326" s="24"/>
      <c r="S1326" s="90"/>
      <c r="T1326" s="90"/>
      <c r="U1326" s="24"/>
      <c r="V1326" s="90"/>
      <c r="W1326" s="90"/>
      <c r="X1326" s="90"/>
      <c r="Y1326" s="24"/>
      <c r="Z1326" s="24"/>
      <c r="AA1326" s="24"/>
      <c r="AB1326" s="24"/>
      <c r="AC1326" s="24"/>
      <c r="AD1326" s="24"/>
      <c r="AE1326" s="24"/>
      <c r="AF1326" s="24"/>
      <c r="AG1326" s="24"/>
      <c r="AH1326" s="24"/>
      <c r="AI1326" s="24"/>
      <c r="AJ1326" s="24"/>
      <c r="AK1326" s="24"/>
    </row>
    <row r="1327" spans="1:37" x14ac:dyDescent="0.25">
      <c r="A1327" s="24"/>
      <c r="B1327" s="90"/>
      <c r="C1327" s="92"/>
      <c r="D1327" s="24"/>
      <c r="E1327" s="90"/>
      <c r="F1327" s="90"/>
      <c r="G1327" s="24"/>
      <c r="H1327" s="90"/>
      <c r="I1327" s="24"/>
      <c r="J1327" s="90"/>
      <c r="K1327" s="90"/>
      <c r="L1327" s="24"/>
      <c r="M1327" s="24"/>
      <c r="N1327" s="24"/>
      <c r="O1327" s="90"/>
      <c r="P1327" s="24"/>
      <c r="Q1327" s="24"/>
      <c r="R1327" s="24"/>
      <c r="S1327" s="90"/>
      <c r="T1327" s="90"/>
      <c r="U1327" s="24"/>
      <c r="V1327" s="90"/>
      <c r="W1327" s="90"/>
      <c r="X1327" s="90"/>
      <c r="Y1327" s="24"/>
      <c r="Z1327" s="24"/>
      <c r="AA1327" s="24"/>
      <c r="AB1327" s="24"/>
      <c r="AC1327" s="24"/>
      <c r="AD1327" s="24"/>
      <c r="AE1327" s="24"/>
      <c r="AF1327" s="24"/>
      <c r="AG1327" s="24"/>
      <c r="AH1327" s="24"/>
      <c r="AI1327" s="24"/>
      <c r="AJ1327" s="24"/>
      <c r="AK1327" s="24"/>
    </row>
    <row r="1328" spans="1:37" x14ac:dyDescent="0.25">
      <c r="A1328" s="24"/>
      <c r="B1328" s="90"/>
      <c r="C1328" s="92"/>
      <c r="D1328" s="24"/>
      <c r="E1328" s="90"/>
      <c r="F1328" s="90"/>
      <c r="G1328" s="24"/>
      <c r="H1328" s="90"/>
      <c r="I1328" s="24"/>
      <c r="J1328" s="90"/>
      <c r="K1328" s="90"/>
      <c r="L1328" s="24"/>
      <c r="M1328" s="24"/>
      <c r="N1328" s="24"/>
      <c r="O1328" s="90"/>
      <c r="P1328" s="24"/>
      <c r="Q1328" s="24"/>
      <c r="R1328" s="24"/>
      <c r="S1328" s="90"/>
      <c r="T1328" s="90"/>
      <c r="U1328" s="24"/>
      <c r="V1328" s="90"/>
      <c r="W1328" s="90"/>
      <c r="X1328" s="90"/>
      <c r="Y1328" s="24"/>
      <c r="Z1328" s="24"/>
      <c r="AA1328" s="24"/>
      <c r="AB1328" s="24"/>
      <c r="AC1328" s="24"/>
      <c r="AD1328" s="24"/>
      <c r="AE1328" s="24"/>
      <c r="AF1328" s="24"/>
      <c r="AG1328" s="24"/>
      <c r="AH1328" s="24"/>
      <c r="AI1328" s="24"/>
      <c r="AJ1328" s="24"/>
      <c r="AK1328" s="24"/>
    </row>
    <row r="1329" spans="1:37" x14ac:dyDescent="0.25">
      <c r="A1329" s="24"/>
      <c r="B1329" s="90"/>
      <c r="C1329" s="92"/>
      <c r="D1329" s="24"/>
      <c r="E1329" s="90"/>
      <c r="F1329" s="90"/>
      <c r="G1329" s="24"/>
      <c r="H1329" s="90"/>
      <c r="I1329" s="24"/>
      <c r="J1329" s="90"/>
      <c r="K1329" s="90"/>
      <c r="L1329" s="24"/>
      <c r="M1329" s="24"/>
      <c r="N1329" s="24"/>
      <c r="O1329" s="90"/>
      <c r="P1329" s="24"/>
      <c r="Q1329" s="24"/>
      <c r="R1329" s="24"/>
      <c r="S1329" s="90"/>
      <c r="T1329" s="90"/>
      <c r="U1329" s="24"/>
      <c r="V1329" s="90"/>
      <c r="W1329" s="90"/>
      <c r="X1329" s="90"/>
      <c r="Y1329" s="24"/>
      <c r="Z1329" s="24"/>
      <c r="AA1329" s="24"/>
      <c r="AB1329" s="24"/>
      <c r="AC1329" s="24"/>
      <c r="AD1329" s="24"/>
      <c r="AE1329" s="24"/>
      <c r="AF1329" s="24"/>
      <c r="AG1329" s="24"/>
      <c r="AH1329" s="24"/>
      <c r="AI1329" s="24"/>
      <c r="AJ1329" s="24"/>
      <c r="AK1329" s="24"/>
    </row>
    <row r="1330" spans="1:37" x14ac:dyDescent="0.25">
      <c r="A1330" s="24"/>
      <c r="B1330" s="90"/>
      <c r="C1330" s="92"/>
      <c r="D1330" s="24"/>
      <c r="E1330" s="90"/>
      <c r="F1330" s="90"/>
      <c r="G1330" s="24"/>
      <c r="H1330" s="90"/>
      <c r="I1330" s="24"/>
      <c r="J1330" s="90"/>
      <c r="K1330" s="90"/>
      <c r="L1330" s="24"/>
      <c r="M1330" s="24"/>
      <c r="N1330" s="24"/>
      <c r="O1330" s="90"/>
      <c r="P1330" s="24"/>
      <c r="Q1330" s="24"/>
      <c r="R1330" s="24"/>
      <c r="S1330" s="90"/>
      <c r="T1330" s="90"/>
      <c r="U1330" s="24"/>
      <c r="V1330" s="90"/>
      <c r="W1330" s="90"/>
      <c r="X1330" s="90"/>
      <c r="Y1330" s="24"/>
      <c r="Z1330" s="24"/>
      <c r="AA1330" s="24"/>
      <c r="AB1330" s="24"/>
      <c r="AC1330" s="24"/>
      <c r="AD1330" s="24"/>
      <c r="AE1330" s="24"/>
      <c r="AF1330" s="24"/>
      <c r="AG1330" s="24"/>
      <c r="AH1330" s="24"/>
      <c r="AI1330" s="24"/>
      <c r="AJ1330" s="24"/>
      <c r="AK1330" s="24"/>
    </row>
    <row r="1331" spans="1:37" x14ac:dyDescent="0.25">
      <c r="A1331" s="24"/>
      <c r="B1331" s="90"/>
      <c r="C1331" s="92"/>
      <c r="D1331" s="24"/>
      <c r="E1331" s="90"/>
      <c r="F1331" s="90"/>
      <c r="G1331" s="24"/>
      <c r="H1331" s="90"/>
      <c r="I1331" s="24"/>
      <c r="J1331" s="90"/>
      <c r="K1331" s="90"/>
      <c r="L1331" s="24"/>
      <c r="M1331" s="24"/>
      <c r="N1331" s="24"/>
      <c r="O1331" s="90"/>
      <c r="P1331" s="24"/>
      <c r="Q1331" s="24"/>
      <c r="R1331" s="24"/>
      <c r="S1331" s="90"/>
      <c r="T1331" s="90"/>
      <c r="U1331" s="24"/>
      <c r="V1331" s="90"/>
      <c r="W1331" s="90"/>
      <c r="X1331" s="90"/>
      <c r="Y1331" s="24"/>
      <c r="Z1331" s="24"/>
      <c r="AA1331" s="24"/>
      <c r="AB1331" s="24"/>
      <c r="AC1331" s="24"/>
      <c r="AD1331" s="24"/>
      <c r="AE1331" s="24"/>
      <c r="AF1331" s="24"/>
      <c r="AG1331" s="24"/>
      <c r="AH1331" s="24"/>
      <c r="AI1331" s="24"/>
      <c r="AJ1331" s="24"/>
      <c r="AK1331" s="24"/>
    </row>
    <row r="1332" spans="1:37" x14ac:dyDescent="0.25">
      <c r="A1332" s="24"/>
      <c r="B1332" s="90"/>
      <c r="C1332" s="92"/>
      <c r="D1332" s="24"/>
      <c r="E1332" s="90"/>
      <c r="F1332" s="90"/>
      <c r="G1332" s="24"/>
      <c r="H1332" s="90"/>
      <c r="I1332" s="24"/>
      <c r="J1332" s="90"/>
      <c r="K1332" s="90"/>
      <c r="L1332" s="24"/>
      <c r="M1332" s="24"/>
      <c r="N1332" s="24"/>
      <c r="O1332" s="90"/>
      <c r="P1332" s="24"/>
      <c r="Q1332" s="24"/>
      <c r="R1332" s="24"/>
      <c r="S1332" s="90"/>
      <c r="T1332" s="90"/>
      <c r="U1332" s="24"/>
      <c r="V1332" s="90"/>
      <c r="W1332" s="90"/>
      <c r="X1332" s="90"/>
      <c r="Y1332" s="24"/>
      <c r="Z1332" s="24"/>
      <c r="AA1332" s="24"/>
      <c r="AB1332" s="24"/>
      <c r="AC1332" s="24"/>
      <c r="AD1332" s="24"/>
      <c r="AE1332" s="24"/>
      <c r="AF1332" s="24"/>
      <c r="AG1332" s="24"/>
      <c r="AH1332" s="24"/>
      <c r="AI1332" s="24"/>
      <c r="AJ1332" s="24"/>
      <c r="AK1332" s="24"/>
    </row>
    <row r="1333" spans="1:37" x14ac:dyDescent="0.25">
      <c r="A1333" s="24"/>
      <c r="B1333" s="90"/>
      <c r="C1333" s="92"/>
      <c r="D1333" s="24"/>
      <c r="E1333" s="90"/>
      <c r="F1333" s="90"/>
      <c r="G1333" s="24"/>
      <c r="H1333" s="90"/>
      <c r="I1333" s="24"/>
      <c r="J1333" s="90"/>
      <c r="K1333" s="90"/>
      <c r="L1333" s="24"/>
      <c r="M1333" s="24"/>
      <c r="N1333" s="24"/>
      <c r="O1333" s="90"/>
      <c r="P1333" s="24"/>
      <c r="Q1333" s="24"/>
      <c r="R1333" s="24"/>
      <c r="S1333" s="90"/>
      <c r="T1333" s="90"/>
      <c r="U1333" s="24"/>
      <c r="V1333" s="90"/>
      <c r="W1333" s="90"/>
      <c r="X1333" s="90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</row>
    <row r="1334" spans="1:37" x14ac:dyDescent="0.25">
      <c r="A1334" s="24"/>
      <c r="B1334" s="90"/>
      <c r="C1334" s="92"/>
      <c r="D1334" s="24"/>
      <c r="E1334" s="90"/>
      <c r="F1334" s="90"/>
      <c r="G1334" s="24"/>
      <c r="H1334" s="90"/>
      <c r="I1334" s="24"/>
      <c r="J1334" s="90"/>
      <c r="K1334" s="90"/>
      <c r="L1334" s="24"/>
      <c r="M1334" s="24"/>
      <c r="N1334" s="24"/>
      <c r="O1334" s="90"/>
      <c r="P1334" s="24"/>
      <c r="Q1334" s="24"/>
      <c r="R1334" s="24"/>
      <c r="S1334" s="90"/>
      <c r="T1334" s="90"/>
      <c r="U1334" s="24"/>
      <c r="V1334" s="90"/>
      <c r="W1334" s="90"/>
      <c r="X1334" s="90"/>
      <c r="Y1334" s="24"/>
      <c r="Z1334" s="24"/>
      <c r="AA1334" s="24"/>
      <c r="AB1334" s="24"/>
      <c r="AC1334" s="24"/>
      <c r="AD1334" s="24"/>
      <c r="AE1334" s="24"/>
      <c r="AF1334" s="24"/>
      <c r="AG1334" s="24"/>
      <c r="AH1334" s="24"/>
      <c r="AI1334" s="24"/>
      <c r="AJ1334" s="24"/>
      <c r="AK1334" s="24"/>
    </row>
    <row r="1335" spans="1:37" x14ac:dyDescent="0.25">
      <c r="A1335" s="24"/>
      <c r="B1335" s="90"/>
      <c r="C1335" s="92"/>
      <c r="D1335" s="24"/>
      <c r="E1335" s="90"/>
      <c r="F1335" s="90"/>
      <c r="G1335" s="24"/>
      <c r="H1335" s="90"/>
      <c r="I1335" s="24"/>
      <c r="J1335" s="90"/>
      <c r="K1335" s="90"/>
      <c r="L1335" s="24"/>
      <c r="M1335" s="24"/>
      <c r="N1335" s="24"/>
      <c r="O1335" s="90"/>
      <c r="P1335" s="24"/>
      <c r="Q1335" s="24"/>
      <c r="R1335" s="24"/>
      <c r="S1335" s="90"/>
      <c r="T1335" s="90"/>
      <c r="U1335" s="24"/>
      <c r="V1335" s="90"/>
      <c r="W1335" s="90"/>
      <c r="X1335" s="90"/>
      <c r="Y1335" s="24"/>
      <c r="Z1335" s="24"/>
      <c r="AA1335" s="24"/>
      <c r="AB1335" s="24"/>
      <c r="AC1335" s="24"/>
      <c r="AD1335" s="24"/>
      <c r="AE1335" s="24"/>
      <c r="AF1335" s="24"/>
      <c r="AG1335" s="24"/>
      <c r="AH1335" s="24"/>
      <c r="AI1335" s="24"/>
      <c r="AJ1335" s="24"/>
      <c r="AK1335" s="24"/>
    </row>
    <row r="1336" spans="1:37" x14ac:dyDescent="0.25">
      <c r="A1336" s="24"/>
      <c r="B1336" s="90"/>
      <c r="C1336" s="92"/>
      <c r="D1336" s="24"/>
      <c r="E1336" s="90"/>
      <c r="F1336" s="90"/>
      <c r="G1336" s="24"/>
      <c r="H1336" s="90"/>
      <c r="I1336" s="24"/>
      <c r="J1336" s="90"/>
      <c r="K1336" s="90"/>
      <c r="L1336" s="24"/>
      <c r="M1336" s="24"/>
      <c r="N1336" s="24"/>
      <c r="O1336" s="90"/>
      <c r="P1336" s="24"/>
      <c r="Q1336" s="24"/>
      <c r="R1336" s="24"/>
      <c r="S1336" s="90"/>
      <c r="T1336" s="90"/>
      <c r="U1336" s="24"/>
      <c r="V1336" s="90"/>
      <c r="W1336" s="90"/>
      <c r="X1336" s="90"/>
      <c r="Y1336" s="24"/>
      <c r="Z1336" s="24"/>
      <c r="AA1336" s="24"/>
      <c r="AB1336" s="24"/>
      <c r="AC1336" s="24"/>
      <c r="AD1336" s="24"/>
      <c r="AE1336" s="24"/>
      <c r="AF1336" s="24"/>
      <c r="AG1336" s="24"/>
      <c r="AH1336" s="24"/>
      <c r="AI1336" s="24"/>
      <c r="AJ1336" s="24"/>
      <c r="AK1336" s="24"/>
    </row>
    <row r="1337" spans="1:37" x14ac:dyDescent="0.25">
      <c r="A1337" s="24"/>
      <c r="B1337" s="90"/>
      <c r="C1337" s="92"/>
      <c r="D1337" s="24"/>
      <c r="E1337" s="90"/>
      <c r="F1337" s="90"/>
      <c r="G1337" s="24"/>
      <c r="H1337" s="90"/>
      <c r="I1337" s="24"/>
      <c r="J1337" s="90"/>
      <c r="K1337" s="90"/>
      <c r="L1337" s="24"/>
      <c r="M1337" s="24"/>
      <c r="N1337" s="24"/>
      <c r="O1337" s="90"/>
      <c r="P1337" s="24"/>
      <c r="Q1337" s="24"/>
      <c r="R1337" s="24"/>
      <c r="S1337" s="90"/>
      <c r="T1337" s="90"/>
      <c r="U1337" s="24"/>
      <c r="V1337" s="90"/>
      <c r="W1337" s="90"/>
      <c r="X1337" s="90"/>
      <c r="Y1337" s="24"/>
      <c r="Z1337" s="24"/>
      <c r="AA1337" s="24"/>
      <c r="AB1337" s="24"/>
      <c r="AC1337" s="24"/>
      <c r="AD1337" s="24"/>
      <c r="AE1337" s="24"/>
      <c r="AF1337" s="24"/>
      <c r="AG1337" s="24"/>
      <c r="AH1337" s="24"/>
      <c r="AI1337" s="24"/>
      <c r="AJ1337" s="24"/>
      <c r="AK1337" s="24"/>
    </row>
    <row r="1338" spans="1:37" x14ac:dyDescent="0.25">
      <c r="A1338" s="24"/>
      <c r="B1338" s="90"/>
      <c r="C1338" s="92"/>
      <c r="D1338" s="24"/>
      <c r="E1338" s="90"/>
      <c r="F1338" s="90"/>
      <c r="G1338" s="24"/>
      <c r="H1338" s="90"/>
      <c r="I1338" s="24"/>
      <c r="J1338" s="90"/>
      <c r="K1338" s="90"/>
      <c r="L1338" s="24"/>
      <c r="M1338" s="24"/>
      <c r="N1338" s="24"/>
      <c r="O1338" s="90"/>
      <c r="P1338" s="24"/>
      <c r="Q1338" s="24"/>
      <c r="R1338" s="24"/>
      <c r="S1338" s="90"/>
      <c r="T1338" s="90"/>
      <c r="U1338" s="24"/>
      <c r="V1338" s="90"/>
      <c r="W1338" s="90"/>
      <c r="X1338" s="90"/>
      <c r="Y1338" s="24"/>
      <c r="Z1338" s="24"/>
      <c r="AA1338" s="24"/>
      <c r="AB1338" s="24"/>
      <c r="AC1338" s="24"/>
      <c r="AD1338" s="24"/>
      <c r="AE1338" s="24"/>
      <c r="AF1338" s="24"/>
      <c r="AG1338" s="24"/>
      <c r="AH1338" s="24"/>
      <c r="AI1338" s="24"/>
      <c r="AJ1338" s="24"/>
      <c r="AK1338" s="24"/>
    </row>
    <row r="1339" spans="1:37" x14ac:dyDescent="0.25">
      <c r="A1339" s="24"/>
      <c r="B1339" s="90"/>
      <c r="C1339" s="92"/>
      <c r="D1339" s="24"/>
      <c r="E1339" s="90"/>
      <c r="F1339" s="90"/>
      <c r="G1339" s="24"/>
      <c r="H1339" s="90"/>
      <c r="I1339" s="24"/>
      <c r="J1339" s="90"/>
      <c r="K1339" s="90"/>
      <c r="L1339" s="24"/>
      <c r="M1339" s="24"/>
      <c r="N1339" s="24"/>
      <c r="O1339" s="90"/>
      <c r="P1339" s="24"/>
      <c r="Q1339" s="24"/>
      <c r="R1339" s="24"/>
      <c r="S1339" s="90"/>
      <c r="T1339" s="90"/>
      <c r="U1339" s="24"/>
      <c r="V1339" s="90"/>
      <c r="W1339" s="90"/>
      <c r="X1339" s="90"/>
      <c r="Y1339" s="24"/>
      <c r="Z1339" s="24"/>
      <c r="AA1339" s="24"/>
      <c r="AB1339" s="24"/>
      <c r="AC1339" s="24"/>
      <c r="AD1339" s="24"/>
      <c r="AE1339" s="24"/>
      <c r="AF1339" s="24"/>
      <c r="AG1339" s="24"/>
      <c r="AH1339" s="24"/>
      <c r="AI1339" s="24"/>
      <c r="AJ1339" s="24"/>
      <c r="AK1339" s="24"/>
    </row>
    <row r="1340" spans="1:37" x14ac:dyDescent="0.25">
      <c r="A1340" s="24"/>
      <c r="B1340" s="90"/>
      <c r="C1340" s="92"/>
      <c r="D1340" s="24"/>
      <c r="E1340" s="90"/>
      <c r="F1340" s="90"/>
      <c r="G1340" s="24"/>
      <c r="H1340" s="90"/>
      <c r="I1340" s="24"/>
      <c r="J1340" s="90"/>
      <c r="K1340" s="90"/>
      <c r="L1340" s="24"/>
      <c r="M1340" s="24"/>
      <c r="N1340" s="24"/>
      <c r="O1340" s="90"/>
      <c r="P1340" s="24"/>
      <c r="Q1340" s="24"/>
      <c r="R1340" s="24"/>
      <c r="S1340" s="90"/>
      <c r="T1340" s="90"/>
      <c r="U1340" s="24"/>
      <c r="V1340" s="90"/>
      <c r="W1340" s="90"/>
      <c r="X1340" s="90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24"/>
      <c r="AI1340" s="24"/>
      <c r="AJ1340" s="24"/>
      <c r="AK1340" s="24"/>
    </row>
    <row r="1341" spans="1:37" x14ac:dyDescent="0.25">
      <c r="A1341" s="24"/>
      <c r="B1341" s="90"/>
      <c r="C1341" s="92"/>
      <c r="D1341" s="24"/>
      <c r="E1341" s="90"/>
      <c r="F1341" s="90"/>
      <c r="G1341" s="24"/>
      <c r="H1341" s="90"/>
      <c r="I1341" s="24"/>
      <c r="J1341" s="90"/>
      <c r="K1341" s="90"/>
      <c r="L1341" s="24"/>
      <c r="M1341" s="24"/>
      <c r="N1341" s="24"/>
      <c r="O1341" s="90"/>
      <c r="P1341" s="24"/>
      <c r="Q1341" s="24"/>
      <c r="R1341" s="24"/>
      <c r="S1341" s="90"/>
      <c r="T1341" s="90"/>
      <c r="U1341" s="24"/>
      <c r="V1341" s="90"/>
      <c r="W1341" s="90"/>
      <c r="X1341" s="90"/>
      <c r="Y1341" s="24"/>
      <c r="Z1341" s="24"/>
      <c r="AA1341" s="24"/>
      <c r="AB1341" s="24"/>
      <c r="AC1341" s="24"/>
      <c r="AD1341" s="24"/>
      <c r="AE1341" s="24"/>
      <c r="AF1341" s="24"/>
      <c r="AG1341" s="24"/>
      <c r="AH1341" s="24"/>
      <c r="AI1341" s="24"/>
      <c r="AJ1341" s="24"/>
      <c r="AK1341" s="24"/>
    </row>
    <row r="1342" spans="1:37" x14ac:dyDescent="0.25">
      <c r="A1342" s="24"/>
      <c r="B1342" s="90"/>
      <c r="C1342" s="92"/>
      <c r="D1342" s="24"/>
      <c r="E1342" s="90"/>
      <c r="F1342" s="90"/>
      <c r="G1342" s="24"/>
      <c r="H1342" s="90"/>
      <c r="I1342" s="24"/>
      <c r="J1342" s="90"/>
      <c r="K1342" s="90"/>
      <c r="L1342" s="24"/>
      <c r="M1342" s="24"/>
      <c r="N1342" s="24"/>
      <c r="O1342" s="90"/>
      <c r="P1342" s="24"/>
      <c r="Q1342" s="24"/>
      <c r="R1342" s="24"/>
      <c r="S1342" s="90"/>
      <c r="T1342" s="90"/>
      <c r="U1342" s="24"/>
      <c r="V1342" s="90"/>
      <c r="W1342" s="90"/>
      <c r="X1342" s="90"/>
      <c r="Y1342" s="24"/>
      <c r="Z1342" s="24"/>
      <c r="AA1342" s="24"/>
      <c r="AB1342" s="24"/>
      <c r="AC1342" s="24"/>
      <c r="AD1342" s="24"/>
      <c r="AE1342" s="24"/>
      <c r="AF1342" s="24"/>
      <c r="AG1342" s="24"/>
      <c r="AH1342" s="24"/>
      <c r="AI1342" s="24"/>
      <c r="AJ1342" s="24"/>
      <c r="AK1342" s="24"/>
    </row>
    <row r="1343" spans="1:37" x14ac:dyDescent="0.25">
      <c r="A1343" s="24"/>
      <c r="B1343" s="90"/>
      <c r="C1343" s="92"/>
      <c r="D1343" s="24"/>
      <c r="E1343" s="90"/>
      <c r="F1343" s="90"/>
      <c r="G1343" s="24"/>
      <c r="H1343" s="90"/>
      <c r="I1343" s="24"/>
      <c r="J1343" s="90"/>
      <c r="K1343" s="90"/>
      <c r="L1343" s="24"/>
      <c r="M1343" s="24"/>
      <c r="N1343" s="24"/>
      <c r="O1343" s="90"/>
      <c r="P1343" s="24"/>
      <c r="Q1343" s="24"/>
      <c r="R1343" s="24"/>
      <c r="S1343" s="90"/>
      <c r="T1343" s="90"/>
      <c r="U1343" s="24"/>
      <c r="V1343" s="90"/>
      <c r="W1343" s="90"/>
      <c r="X1343" s="90"/>
      <c r="Y1343" s="24"/>
      <c r="Z1343" s="24"/>
      <c r="AA1343" s="24"/>
      <c r="AB1343" s="24"/>
      <c r="AC1343" s="24"/>
      <c r="AD1343" s="24"/>
      <c r="AE1343" s="24"/>
      <c r="AF1343" s="24"/>
      <c r="AG1343" s="24"/>
      <c r="AH1343" s="24"/>
      <c r="AI1343" s="24"/>
      <c r="AJ1343" s="24"/>
      <c r="AK1343" s="24"/>
    </row>
    <row r="1344" spans="1:37" x14ac:dyDescent="0.25">
      <c r="A1344" s="24"/>
      <c r="B1344" s="90"/>
      <c r="C1344" s="92"/>
      <c r="D1344" s="24"/>
      <c r="E1344" s="90"/>
      <c r="F1344" s="90"/>
      <c r="G1344" s="24"/>
      <c r="H1344" s="90"/>
      <c r="I1344" s="24"/>
      <c r="J1344" s="90"/>
      <c r="K1344" s="90"/>
      <c r="L1344" s="24"/>
      <c r="M1344" s="24"/>
      <c r="N1344" s="24"/>
      <c r="O1344" s="90"/>
      <c r="P1344" s="24"/>
      <c r="Q1344" s="24"/>
      <c r="R1344" s="24"/>
      <c r="S1344" s="90"/>
      <c r="T1344" s="90"/>
      <c r="U1344" s="24"/>
      <c r="V1344" s="90"/>
      <c r="W1344" s="90"/>
      <c r="X1344" s="90"/>
      <c r="Y1344" s="24"/>
      <c r="Z1344" s="24"/>
      <c r="AA1344" s="24"/>
      <c r="AB1344" s="24"/>
      <c r="AC1344" s="24"/>
      <c r="AD1344" s="24"/>
      <c r="AE1344" s="24"/>
      <c r="AF1344" s="24"/>
      <c r="AG1344" s="24"/>
      <c r="AH1344" s="24"/>
      <c r="AI1344" s="24"/>
      <c r="AJ1344" s="24"/>
      <c r="AK1344" s="24"/>
    </row>
    <row r="1345" spans="1:37" x14ac:dyDescent="0.25">
      <c r="A1345" s="24"/>
      <c r="B1345" s="90"/>
      <c r="C1345" s="92"/>
      <c r="D1345" s="24"/>
      <c r="E1345" s="90"/>
      <c r="F1345" s="90"/>
      <c r="G1345" s="24"/>
      <c r="H1345" s="90"/>
      <c r="I1345" s="24"/>
      <c r="J1345" s="90"/>
      <c r="K1345" s="90"/>
      <c r="L1345" s="24"/>
      <c r="M1345" s="24"/>
      <c r="N1345" s="24"/>
      <c r="O1345" s="90"/>
      <c r="P1345" s="24"/>
      <c r="Q1345" s="24"/>
      <c r="R1345" s="24"/>
      <c r="S1345" s="90"/>
      <c r="T1345" s="90"/>
      <c r="U1345" s="24"/>
      <c r="V1345" s="90"/>
      <c r="W1345" s="90"/>
      <c r="X1345" s="90"/>
      <c r="Y1345" s="24"/>
      <c r="Z1345" s="24"/>
      <c r="AA1345" s="24"/>
      <c r="AB1345" s="24"/>
      <c r="AC1345" s="24"/>
      <c r="AD1345" s="24"/>
      <c r="AE1345" s="24"/>
      <c r="AF1345" s="24"/>
      <c r="AG1345" s="24"/>
      <c r="AH1345" s="24"/>
      <c r="AI1345" s="24"/>
      <c r="AJ1345" s="24"/>
      <c r="AK1345" s="24"/>
    </row>
    <row r="1346" spans="1:37" x14ac:dyDescent="0.25">
      <c r="A1346" s="24"/>
      <c r="B1346" s="90"/>
      <c r="C1346" s="92"/>
      <c r="D1346" s="24"/>
      <c r="E1346" s="90"/>
      <c r="F1346" s="90"/>
      <c r="G1346" s="24"/>
      <c r="H1346" s="90"/>
      <c r="I1346" s="24"/>
      <c r="J1346" s="90"/>
      <c r="K1346" s="90"/>
      <c r="L1346" s="24"/>
      <c r="M1346" s="24"/>
      <c r="N1346" s="24"/>
      <c r="O1346" s="90"/>
      <c r="P1346" s="24"/>
      <c r="Q1346" s="24"/>
      <c r="R1346" s="24"/>
      <c r="S1346" s="90"/>
      <c r="T1346" s="90"/>
      <c r="U1346" s="24"/>
      <c r="V1346" s="90"/>
      <c r="W1346" s="90"/>
      <c r="X1346" s="90"/>
      <c r="Y1346" s="24"/>
      <c r="Z1346" s="24"/>
      <c r="AA1346" s="24"/>
      <c r="AB1346" s="24"/>
      <c r="AC1346" s="24"/>
      <c r="AD1346" s="24"/>
      <c r="AE1346" s="24"/>
      <c r="AF1346" s="24"/>
      <c r="AG1346" s="24"/>
      <c r="AH1346" s="24"/>
      <c r="AI1346" s="24"/>
      <c r="AJ1346" s="24"/>
      <c r="AK1346" s="24"/>
    </row>
    <row r="1347" spans="1:37" x14ac:dyDescent="0.25">
      <c r="A1347" s="24"/>
      <c r="B1347" s="90"/>
      <c r="C1347" s="92"/>
      <c r="D1347" s="24"/>
      <c r="E1347" s="90"/>
      <c r="F1347" s="90"/>
      <c r="G1347" s="24"/>
      <c r="H1347" s="90"/>
      <c r="I1347" s="24"/>
      <c r="J1347" s="90"/>
      <c r="K1347" s="90"/>
      <c r="L1347" s="24"/>
      <c r="M1347" s="24"/>
      <c r="N1347" s="24"/>
      <c r="O1347" s="90"/>
      <c r="P1347" s="24"/>
      <c r="Q1347" s="24"/>
      <c r="R1347" s="24"/>
      <c r="S1347" s="90"/>
      <c r="T1347" s="90"/>
      <c r="U1347" s="24"/>
      <c r="V1347" s="90"/>
      <c r="W1347" s="90"/>
      <c r="X1347" s="90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24"/>
      <c r="AJ1347" s="24"/>
      <c r="AK1347" s="24"/>
    </row>
    <row r="1348" spans="1:37" x14ac:dyDescent="0.25">
      <c r="A1348" s="24"/>
      <c r="B1348" s="90"/>
      <c r="C1348" s="92"/>
      <c r="D1348" s="24"/>
      <c r="E1348" s="90"/>
      <c r="F1348" s="90"/>
      <c r="G1348" s="24"/>
      <c r="H1348" s="90"/>
      <c r="I1348" s="24"/>
      <c r="J1348" s="90"/>
      <c r="K1348" s="90"/>
      <c r="L1348" s="24"/>
      <c r="M1348" s="24"/>
      <c r="N1348" s="24"/>
      <c r="O1348" s="90"/>
      <c r="P1348" s="24"/>
      <c r="Q1348" s="24"/>
      <c r="R1348" s="24"/>
      <c r="S1348" s="90"/>
      <c r="T1348" s="90"/>
      <c r="U1348" s="24"/>
      <c r="V1348" s="90"/>
      <c r="W1348" s="90"/>
      <c r="X1348" s="90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</row>
    <row r="1349" spans="1:37" x14ac:dyDescent="0.25">
      <c r="A1349" s="24"/>
      <c r="B1349" s="90"/>
      <c r="C1349" s="92"/>
      <c r="D1349" s="24"/>
      <c r="E1349" s="90"/>
      <c r="F1349" s="90"/>
      <c r="G1349" s="24"/>
      <c r="H1349" s="90"/>
      <c r="I1349" s="24"/>
      <c r="J1349" s="90"/>
      <c r="K1349" s="90"/>
      <c r="L1349" s="24"/>
      <c r="M1349" s="24"/>
      <c r="N1349" s="24"/>
      <c r="O1349" s="90"/>
      <c r="P1349" s="24"/>
      <c r="Q1349" s="24"/>
      <c r="R1349" s="24"/>
      <c r="S1349" s="90"/>
      <c r="T1349" s="90"/>
      <c r="U1349" s="24"/>
      <c r="V1349" s="90"/>
      <c r="W1349" s="90"/>
      <c r="X1349" s="90"/>
      <c r="Y1349" s="24"/>
      <c r="Z1349" s="24"/>
      <c r="AA1349" s="24"/>
      <c r="AB1349" s="24"/>
      <c r="AC1349" s="24"/>
      <c r="AD1349" s="24"/>
      <c r="AE1349" s="24"/>
      <c r="AF1349" s="24"/>
      <c r="AG1349" s="24"/>
      <c r="AH1349" s="24"/>
      <c r="AI1349" s="24"/>
      <c r="AJ1349" s="24"/>
      <c r="AK1349" s="24"/>
    </row>
    <row r="1350" spans="1:37" x14ac:dyDescent="0.25">
      <c r="A1350" s="24"/>
      <c r="B1350" s="90"/>
      <c r="C1350" s="92"/>
      <c r="D1350" s="24"/>
      <c r="E1350" s="90"/>
      <c r="F1350" s="90"/>
      <c r="G1350" s="24"/>
      <c r="H1350" s="90"/>
      <c r="I1350" s="24"/>
      <c r="J1350" s="90"/>
      <c r="K1350" s="90"/>
      <c r="L1350" s="24"/>
      <c r="M1350" s="24"/>
      <c r="N1350" s="24"/>
      <c r="O1350" s="90"/>
      <c r="P1350" s="24"/>
      <c r="Q1350" s="24"/>
      <c r="R1350" s="24"/>
      <c r="S1350" s="90"/>
      <c r="T1350" s="90"/>
      <c r="U1350" s="24"/>
      <c r="V1350" s="90"/>
      <c r="W1350" s="90"/>
      <c r="X1350" s="90"/>
      <c r="Y1350" s="24"/>
      <c r="Z1350" s="24"/>
      <c r="AA1350" s="24"/>
      <c r="AB1350" s="24"/>
      <c r="AC1350" s="24"/>
      <c r="AD1350" s="24"/>
      <c r="AE1350" s="24"/>
      <c r="AF1350" s="24"/>
      <c r="AG1350" s="24"/>
      <c r="AH1350" s="24"/>
      <c r="AI1350" s="24"/>
      <c r="AJ1350" s="24"/>
      <c r="AK1350" s="24"/>
    </row>
    <row r="1351" spans="1:37" x14ac:dyDescent="0.25">
      <c r="A1351" s="24"/>
      <c r="B1351" s="90"/>
      <c r="C1351" s="92"/>
      <c r="D1351" s="24"/>
      <c r="E1351" s="90"/>
      <c r="F1351" s="90"/>
      <c r="G1351" s="24"/>
      <c r="H1351" s="90"/>
      <c r="I1351" s="24"/>
      <c r="J1351" s="90"/>
      <c r="K1351" s="90"/>
      <c r="L1351" s="24"/>
      <c r="M1351" s="24"/>
      <c r="N1351" s="24"/>
      <c r="O1351" s="90"/>
      <c r="P1351" s="24"/>
      <c r="Q1351" s="24"/>
      <c r="R1351" s="24"/>
      <c r="S1351" s="90"/>
      <c r="T1351" s="90"/>
      <c r="U1351" s="24"/>
      <c r="V1351" s="90"/>
      <c r="W1351" s="90"/>
      <c r="X1351" s="90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</row>
    <row r="1352" spans="1:37" x14ac:dyDescent="0.25">
      <c r="A1352" s="24"/>
      <c r="B1352" s="90"/>
      <c r="C1352" s="92"/>
      <c r="D1352" s="24"/>
      <c r="E1352" s="90"/>
      <c r="F1352" s="90"/>
      <c r="G1352" s="24"/>
      <c r="H1352" s="90"/>
      <c r="I1352" s="24"/>
      <c r="J1352" s="90"/>
      <c r="K1352" s="90"/>
      <c r="L1352" s="24"/>
      <c r="M1352" s="24"/>
      <c r="N1352" s="24"/>
      <c r="O1352" s="90"/>
      <c r="P1352" s="24"/>
      <c r="Q1352" s="24"/>
      <c r="R1352" s="24"/>
      <c r="S1352" s="90"/>
      <c r="T1352" s="90"/>
      <c r="U1352" s="24"/>
      <c r="V1352" s="90"/>
      <c r="W1352" s="90"/>
      <c r="X1352" s="90"/>
      <c r="Y1352" s="24"/>
      <c r="Z1352" s="24"/>
      <c r="AA1352" s="24"/>
      <c r="AB1352" s="24"/>
      <c r="AC1352" s="24"/>
      <c r="AD1352" s="24"/>
      <c r="AE1352" s="24"/>
      <c r="AF1352" s="24"/>
      <c r="AG1352" s="24"/>
      <c r="AH1352" s="24"/>
      <c r="AI1352" s="24"/>
      <c r="AJ1352" s="24"/>
      <c r="AK1352" s="24"/>
    </row>
    <row r="1353" spans="1:37" x14ac:dyDescent="0.25">
      <c r="A1353" s="24"/>
      <c r="B1353" s="90"/>
      <c r="C1353" s="92"/>
      <c r="D1353" s="24"/>
      <c r="E1353" s="90"/>
      <c r="F1353" s="90"/>
      <c r="G1353" s="24"/>
      <c r="H1353" s="90"/>
      <c r="I1353" s="24"/>
      <c r="J1353" s="90"/>
      <c r="K1353" s="90"/>
      <c r="L1353" s="24"/>
      <c r="M1353" s="24"/>
      <c r="N1353" s="24"/>
      <c r="O1353" s="90"/>
      <c r="P1353" s="24"/>
      <c r="Q1353" s="24"/>
      <c r="R1353" s="24"/>
      <c r="S1353" s="90"/>
      <c r="T1353" s="90"/>
      <c r="U1353" s="24"/>
      <c r="V1353" s="90"/>
      <c r="W1353" s="90"/>
      <c r="X1353" s="90"/>
      <c r="Y1353" s="24"/>
      <c r="Z1353" s="24"/>
      <c r="AA1353" s="24"/>
      <c r="AB1353" s="24"/>
      <c r="AC1353" s="24"/>
      <c r="AD1353" s="24"/>
      <c r="AE1353" s="24"/>
      <c r="AF1353" s="24"/>
      <c r="AG1353" s="24"/>
      <c r="AH1353" s="24"/>
      <c r="AI1353" s="24"/>
      <c r="AJ1353" s="24"/>
      <c r="AK1353" s="24"/>
    </row>
    <row r="1354" spans="1:37" x14ac:dyDescent="0.25">
      <c r="A1354" s="24"/>
      <c r="B1354" s="90"/>
      <c r="C1354" s="92"/>
      <c r="D1354" s="24"/>
      <c r="E1354" s="90"/>
      <c r="F1354" s="90"/>
      <c r="G1354" s="24"/>
      <c r="H1354" s="90"/>
      <c r="I1354" s="24"/>
      <c r="J1354" s="90"/>
      <c r="K1354" s="90"/>
      <c r="L1354" s="24"/>
      <c r="M1354" s="24"/>
      <c r="N1354" s="24"/>
      <c r="O1354" s="90"/>
      <c r="P1354" s="24"/>
      <c r="Q1354" s="24"/>
      <c r="R1354" s="24"/>
      <c r="S1354" s="90"/>
      <c r="T1354" s="90"/>
      <c r="U1354" s="24"/>
      <c r="V1354" s="90"/>
      <c r="W1354" s="90"/>
      <c r="X1354" s="90"/>
      <c r="Y1354" s="24"/>
      <c r="Z1354" s="24"/>
      <c r="AA1354" s="24"/>
      <c r="AB1354" s="24"/>
      <c r="AC1354" s="24"/>
      <c r="AD1354" s="24"/>
      <c r="AE1354" s="24"/>
      <c r="AF1354" s="24"/>
      <c r="AG1354" s="24"/>
      <c r="AH1354" s="24"/>
      <c r="AI1354" s="24"/>
      <c r="AJ1354" s="24"/>
      <c r="AK1354" s="24"/>
    </row>
    <row r="1355" spans="1:37" x14ac:dyDescent="0.25">
      <c r="A1355" s="24"/>
      <c r="B1355" s="90"/>
      <c r="C1355" s="92"/>
      <c r="D1355" s="24"/>
      <c r="E1355" s="90"/>
      <c r="F1355" s="90"/>
      <c r="G1355" s="24"/>
      <c r="H1355" s="90"/>
      <c r="I1355" s="24"/>
      <c r="J1355" s="90"/>
      <c r="K1355" s="90"/>
      <c r="L1355" s="24"/>
      <c r="M1355" s="24"/>
      <c r="N1355" s="24"/>
      <c r="O1355" s="90"/>
      <c r="P1355" s="24"/>
      <c r="Q1355" s="24"/>
      <c r="R1355" s="24"/>
      <c r="S1355" s="90"/>
      <c r="T1355" s="90"/>
      <c r="U1355" s="24"/>
      <c r="V1355" s="90"/>
      <c r="W1355" s="90"/>
      <c r="X1355" s="90"/>
      <c r="Y1355" s="24"/>
      <c r="Z1355" s="24"/>
      <c r="AA1355" s="24"/>
      <c r="AB1355" s="24"/>
      <c r="AC1355" s="24"/>
      <c r="AD1355" s="24"/>
      <c r="AE1355" s="24"/>
      <c r="AF1355" s="24"/>
      <c r="AG1355" s="24"/>
      <c r="AH1355" s="24"/>
      <c r="AI1355" s="24"/>
      <c r="AJ1355" s="24"/>
      <c r="AK1355" s="24"/>
    </row>
    <row r="1356" spans="1:37" x14ac:dyDescent="0.25">
      <c r="A1356" s="24"/>
      <c r="B1356" s="90"/>
      <c r="C1356" s="92"/>
      <c r="D1356" s="24"/>
      <c r="E1356" s="90"/>
      <c r="F1356" s="90"/>
      <c r="G1356" s="24"/>
      <c r="H1356" s="90"/>
      <c r="I1356" s="24"/>
      <c r="J1356" s="90"/>
      <c r="K1356" s="90"/>
      <c r="L1356" s="24"/>
      <c r="M1356" s="24"/>
      <c r="N1356" s="24"/>
      <c r="O1356" s="90"/>
      <c r="P1356" s="24"/>
      <c r="Q1356" s="24"/>
      <c r="R1356" s="24"/>
      <c r="S1356" s="90"/>
      <c r="T1356" s="90"/>
      <c r="U1356" s="24"/>
      <c r="V1356" s="90"/>
      <c r="W1356" s="90"/>
      <c r="X1356" s="90"/>
      <c r="Y1356" s="24"/>
      <c r="Z1356" s="24"/>
      <c r="AA1356" s="24"/>
      <c r="AB1356" s="24"/>
      <c r="AC1356" s="24"/>
      <c r="AD1356" s="24"/>
      <c r="AE1356" s="24"/>
      <c r="AF1356" s="24"/>
      <c r="AG1356" s="24"/>
      <c r="AH1356" s="24"/>
      <c r="AI1356" s="24"/>
      <c r="AJ1356" s="24"/>
      <c r="AK1356" s="24"/>
    </row>
    <row r="1357" spans="1:37" x14ac:dyDescent="0.25">
      <c r="A1357" s="24"/>
      <c r="B1357" s="90"/>
      <c r="C1357" s="92"/>
      <c r="D1357" s="24"/>
      <c r="E1357" s="90"/>
      <c r="F1357" s="90"/>
      <c r="G1357" s="24"/>
      <c r="H1357" s="90"/>
      <c r="I1357" s="24"/>
      <c r="J1357" s="90"/>
      <c r="K1357" s="90"/>
      <c r="L1357" s="24"/>
      <c r="M1357" s="24"/>
      <c r="N1357" s="24"/>
      <c r="O1357" s="90"/>
      <c r="P1357" s="24"/>
      <c r="Q1357" s="24"/>
      <c r="R1357" s="24"/>
      <c r="S1357" s="90"/>
      <c r="T1357" s="90"/>
      <c r="U1357" s="24"/>
      <c r="V1357" s="90"/>
      <c r="W1357" s="90"/>
      <c r="X1357" s="90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</row>
    <row r="1358" spans="1:37" x14ac:dyDescent="0.25">
      <c r="A1358" s="24"/>
      <c r="B1358" s="90"/>
      <c r="C1358" s="92"/>
      <c r="D1358" s="24"/>
      <c r="E1358" s="90"/>
      <c r="F1358" s="90"/>
      <c r="G1358" s="24"/>
      <c r="H1358" s="90"/>
      <c r="I1358" s="24"/>
      <c r="J1358" s="90"/>
      <c r="K1358" s="90"/>
      <c r="L1358" s="24"/>
      <c r="M1358" s="24"/>
      <c r="N1358" s="24"/>
      <c r="O1358" s="90"/>
      <c r="P1358" s="24"/>
      <c r="Q1358" s="24"/>
      <c r="R1358" s="24"/>
      <c r="S1358" s="90"/>
      <c r="T1358" s="90"/>
      <c r="U1358" s="24"/>
      <c r="V1358" s="90"/>
      <c r="W1358" s="90"/>
      <c r="X1358" s="90"/>
      <c r="Y1358" s="24"/>
      <c r="Z1358" s="24"/>
      <c r="AA1358" s="24"/>
      <c r="AB1358" s="24"/>
      <c r="AC1358" s="24"/>
      <c r="AD1358" s="24"/>
      <c r="AE1358" s="24"/>
      <c r="AF1358" s="24"/>
      <c r="AG1358" s="24"/>
      <c r="AH1358" s="24"/>
      <c r="AI1358" s="24"/>
      <c r="AJ1358" s="24"/>
      <c r="AK1358" s="24"/>
    </row>
    <row r="1359" spans="1:37" x14ac:dyDescent="0.25">
      <c r="A1359" s="24"/>
      <c r="B1359" s="90"/>
      <c r="C1359" s="92"/>
      <c r="D1359" s="24"/>
      <c r="E1359" s="90"/>
      <c r="F1359" s="90"/>
      <c r="G1359" s="24"/>
      <c r="H1359" s="90"/>
      <c r="I1359" s="24"/>
      <c r="J1359" s="90"/>
      <c r="K1359" s="90"/>
      <c r="L1359" s="24"/>
      <c r="M1359" s="24"/>
      <c r="N1359" s="24"/>
      <c r="O1359" s="90"/>
      <c r="P1359" s="24"/>
      <c r="Q1359" s="24"/>
      <c r="R1359" s="24"/>
      <c r="S1359" s="90"/>
      <c r="T1359" s="90"/>
      <c r="U1359" s="24"/>
      <c r="V1359" s="90"/>
      <c r="W1359" s="90"/>
      <c r="X1359" s="90"/>
      <c r="Y1359" s="24"/>
      <c r="Z1359" s="24"/>
      <c r="AA1359" s="24"/>
      <c r="AB1359" s="24"/>
      <c r="AC1359" s="24"/>
      <c r="AD1359" s="24"/>
      <c r="AE1359" s="24"/>
      <c r="AF1359" s="24"/>
      <c r="AG1359" s="24"/>
      <c r="AH1359" s="24"/>
      <c r="AI1359" s="24"/>
      <c r="AJ1359" s="24"/>
      <c r="AK1359" s="24"/>
    </row>
    <row r="1360" spans="1:37" x14ac:dyDescent="0.25">
      <c r="A1360" s="24"/>
      <c r="B1360" s="90"/>
      <c r="C1360" s="92"/>
      <c r="D1360" s="24"/>
      <c r="E1360" s="90"/>
      <c r="F1360" s="90"/>
      <c r="G1360" s="24"/>
      <c r="H1360" s="90"/>
      <c r="I1360" s="24"/>
      <c r="J1360" s="90"/>
      <c r="K1360" s="90"/>
      <c r="L1360" s="24"/>
      <c r="M1360" s="24"/>
      <c r="N1360" s="24"/>
      <c r="O1360" s="90"/>
      <c r="P1360" s="24"/>
      <c r="Q1360" s="24"/>
      <c r="R1360" s="24"/>
      <c r="S1360" s="90"/>
      <c r="T1360" s="90"/>
      <c r="U1360" s="24"/>
      <c r="V1360" s="90"/>
      <c r="W1360" s="90"/>
      <c r="X1360" s="90"/>
      <c r="Y1360" s="24"/>
      <c r="Z1360" s="24"/>
      <c r="AA1360" s="24"/>
      <c r="AB1360" s="24"/>
      <c r="AC1360" s="24"/>
      <c r="AD1360" s="24"/>
      <c r="AE1360" s="24"/>
      <c r="AF1360" s="24"/>
      <c r="AG1360" s="24"/>
      <c r="AH1360" s="24"/>
      <c r="AI1360" s="24"/>
      <c r="AJ1360" s="24"/>
      <c r="AK1360" s="24"/>
    </row>
    <row r="1361" spans="1:37" x14ac:dyDescent="0.25">
      <c r="A1361" s="24"/>
      <c r="B1361" s="90"/>
      <c r="C1361" s="92"/>
      <c r="D1361" s="24"/>
      <c r="E1361" s="90"/>
      <c r="F1361" s="90"/>
      <c r="G1361" s="24"/>
      <c r="H1361" s="90"/>
      <c r="I1361" s="24"/>
      <c r="J1361" s="90"/>
      <c r="K1361" s="90"/>
      <c r="L1361" s="24"/>
      <c r="M1361" s="24"/>
      <c r="N1361" s="24"/>
      <c r="O1361" s="90"/>
      <c r="P1361" s="24"/>
      <c r="Q1361" s="24"/>
      <c r="R1361" s="24"/>
      <c r="S1361" s="90"/>
      <c r="T1361" s="90"/>
      <c r="U1361" s="24"/>
      <c r="V1361" s="90"/>
      <c r="W1361" s="90"/>
      <c r="X1361" s="90"/>
      <c r="Y1361" s="24"/>
      <c r="Z1361" s="24"/>
      <c r="AA1361" s="24"/>
      <c r="AB1361" s="24"/>
      <c r="AC1361" s="24"/>
      <c r="AD1361" s="24"/>
      <c r="AE1361" s="24"/>
      <c r="AF1361" s="24"/>
      <c r="AG1361" s="24"/>
      <c r="AH1361" s="24"/>
      <c r="AI1361" s="24"/>
      <c r="AJ1361" s="24"/>
      <c r="AK1361" s="24"/>
    </row>
    <row r="1362" spans="1:37" x14ac:dyDescent="0.25">
      <c r="A1362" s="24"/>
      <c r="B1362" s="90"/>
      <c r="C1362" s="92"/>
      <c r="D1362" s="24"/>
      <c r="E1362" s="90"/>
      <c r="F1362" s="90"/>
      <c r="G1362" s="24"/>
      <c r="H1362" s="90"/>
      <c r="I1362" s="24"/>
      <c r="J1362" s="90"/>
      <c r="K1362" s="90"/>
      <c r="L1362" s="24"/>
      <c r="M1362" s="24"/>
      <c r="N1362" s="24"/>
      <c r="O1362" s="90"/>
      <c r="P1362" s="24"/>
      <c r="Q1362" s="24"/>
      <c r="R1362" s="24"/>
      <c r="S1362" s="90"/>
      <c r="T1362" s="90"/>
      <c r="U1362" s="24"/>
      <c r="V1362" s="90"/>
      <c r="W1362" s="90"/>
      <c r="X1362" s="90"/>
      <c r="Y1362" s="24"/>
      <c r="Z1362" s="24"/>
      <c r="AA1362" s="24"/>
      <c r="AB1362" s="24"/>
      <c r="AC1362" s="24"/>
      <c r="AD1362" s="24"/>
      <c r="AE1362" s="24"/>
      <c r="AF1362" s="24"/>
      <c r="AG1362" s="24"/>
      <c r="AH1362" s="24"/>
      <c r="AI1362" s="24"/>
      <c r="AJ1362" s="24"/>
      <c r="AK1362" s="24"/>
    </row>
    <row r="1363" spans="1:37" x14ac:dyDescent="0.25">
      <c r="A1363" s="24"/>
      <c r="B1363" s="90"/>
      <c r="C1363" s="92"/>
      <c r="D1363" s="24"/>
      <c r="E1363" s="90"/>
      <c r="F1363" s="90"/>
      <c r="G1363" s="24"/>
      <c r="H1363" s="90"/>
      <c r="I1363" s="24"/>
      <c r="J1363" s="90"/>
      <c r="K1363" s="90"/>
      <c r="L1363" s="24"/>
      <c r="M1363" s="24"/>
      <c r="N1363" s="24"/>
      <c r="O1363" s="90"/>
      <c r="P1363" s="24"/>
      <c r="Q1363" s="24"/>
      <c r="R1363" s="24"/>
      <c r="S1363" s="90"/>
      <c r="T1363" s="90"/>
      <c r="U1363" s="24"/>
      <c r="V1363" s="90"/>
      <c r="W1363" s="90"/>
      <c r="X1363" s="90"/>
      <c r="Y1363" s="24"/>
      <c r="Z1363" s="24"/>
      <c r="AA1363" s="24"/>
      <c r="AB1363" s="24"/>
      <c r="AC1363" s="24"/>
      <c r="AD1363" s="24"/>
      <c r="AE1363" s="24"/>
      <c r="AF1363" s="24"/>
      <c r="AG1363" s="24"/>
      <c r="AH1363" s="24"/>
      <c r="AI1363" s="24"/>
      <c r="AJ1363" s="24"/>
      <c r="AK1363" s="24"/>
    </row>
    <row r="1364" spans="1:37" x14ac:dyDescent="0.25">
      <c r="A1364" s="24"/>
      <c r="B1364" s="90"/>
      <c r="C1364" s="92"/>
      <c r="D1364" s="24"/>
      <c r="E1364" s="90"/>
      <c r="F1364" s="90"/>
      <c r="G1364" s="24"/>
      <c r="H1364" s="90"/>
      <c r="I1364" s="24"/>
      <c r="J1364" s="90"/>
      <c r="K1364" s="90"/>
      <c r="L1364" s="24"/>
      <c r="M1364" s="24"/>
      <c r="N1364" s="24"/>
      <c r="O1364" s="90"/>
      <c r="P1364" s="24"/>
      <c r="Q1364" s="24"/>
      <c r="R1364" s="24"/>
      <c r="S1364" s="90"/>
      <c r="T1364" s="90"/>
      <c r="U1364" s="24"/>
      <c r="V1364" s="90"/>
      <c r="W1364" s="90"/>
      <c r="X1364" s="90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</row>
    <row r="1365" spans="1:37" x14ac:dyDescent="0.25">
      <c r="A1365" s="24"/>
      <c r="B1365" s="90"/>
      <c r="C1365" s="92"/>
      <c r="D1365" s="24"/>
      <c r="E1365" s="90"/>
      <c r="F1365" s="90"/>
      <c r="G1365" s="24"/>
      <c r="H1365" s="90"/>
      <c r="I1365" s="24"/>
      <c r="J1365" s="90"/>
      <c r="K1365" s="90"/>
      <c r="L1365" s="24"/>
      <c r="M1365" s="24"/>
      <c r="N1365" s="24"/>
      <c r="O1365" s="90"/>
      <c r="P1365" s="24"/>
      <c r="Q1365" s="24"/>
      <c r="R1365" s="24"/>
      <c r="S1365" s="90"/>
      <c r="T1365" s="90"/>
      <c r="U1365" s="24"/>
      <c r="V1365" s="90"/>
      <c r="W1365" s="90"/>
      <c r="X1365" s="90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</row>
    <row r="1366" spans="1:37" x14ac:dyDescent="0.25">
      <c r="A1366" s="24"/>
      <c r="B1366" s="90"/>
      <c r="C1366" s="92"/>
      <c r="D1366" s="24"/>
      <c r="E1366" s="90"/>
      <c r="F1366" s="90"/>
      <c r="G1366" s="24"/>
      <c r="H1366" s="90"/>
      <c r="I1366" s="24"/>
      <c r="J1366" s="90"/>
      <c r="K1366" s="90"/>
      <c r="L1366" s="24"/>
      <c r="M1366" s="24"/>
      <c r="N1366" s="24"/>
      <c r="O1366" s="90"/>
      <c r="P1366" s="24"/>
      <c r="Q1366" s="24"/>
      <c r="R1366" s="24"/>
      <c r="S1366" s="90"/>
      <c r="T1366" s="90"/>
      <c r="U1366" s="24"/>
      <c r="V1366" s="90"/>
      <c r="W1366" s="90"/>
      <c r="X1366" s="90"/>
      <c r="Y1366" s="24"/>
      <c r="Z1366" s="24"/>
      <c r="AA1366" s="24"/>
      <c r="AB1366" s="24"/>
      <c r="AC1366" s="24"/>
      <c r="AD1366" s="24"/>
      <c r="AE1366" s="24"/>
      <c r="AF1366" s="24"/>
      <c r="AG1366" s="24"/>
      <c r="AH1366" s="24"/>
      <c r="AI1366" s="24"/>
      <c r="AJ1366" s="24"/>
      <c r="AK1366" s="24"/>
    </row>
    <row r="1367" spans="1:37" x14ac:dyDescent="0.25">
      <c r="A1367" s="24"/>
      <c r="B1367" s="90"/>
      <c r="C1367" s="92"/>
      <c r="D1367" s="24"/>
      <c r="E1367" s="90"/>
      <c r="F1367" s="90"/>
      <c r="G1367" s="24"/>
      <c r="H1367" s="90"/>
      <c r="I1367" s="24"/>
      <c r="J1367" s="90"/>
      <c r="K1367" s="90"/>
      <c r="L1367" s="24"/>
      <c r="M1367" s="24"/>
      <c r="N1367" s="24"/>
      <c r="O1367" s="90"/>
      <c r="P1367" s="24"/>
      <c r="Q1367" s="24"/>
      <c r="R1367" s="24"/>
      <c r="S1367" s="90"/>
      <c r="T1367" s="90"/>
      <c r="U1367" s="24"/>
      <c r="V1367" s="90"/>
      <c r="W1367" s="90"/>
      <c r="X1367" s="90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</row>
    <row r="1368" spans="1:37" x14ac:dyDescent="0.25">
      <c r="A1368" s="24"/>
      <c r="B1368" s="90"/>
      <c r="C1368" s="92"/>
      <c r="D1368" s="24"/>
      <c r="E1368" s="90"/>
      <c r="F1368" s="90"/>
      <c r="G1368" s="24"/>
      <c r="H1368" s="90"/>
      <c r="I1368" s="24"/>
      <c r="J1368" s="90"/>
      <c r="K1368" s="90"/>
      <c r="L1368" s="24"/>
      <c r="M1368" s="24"/>
      <c r="N1368" s="24"/>
      <c r="O1368" s="90"/>
      <c r="P1368" s="24"/>
      <c r="Q1368" s="24"/>
      <c r="R1368" s="24"/>
      <c r="S1368" s="90"/>
      <c r="T1368" s="90"/>
      <c r="U1368" s="24"/>
      <c r="V1368" s="90"/>
      <c r="W1368" s="90"/>
      <c r="X1368" s="90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</row>
    <row r="1369" spans="1:37" x14ac:dyDescent="0.25">
      <c r="A1369" s="24"/>
      <c r="B1369" s="90"/>
      <c r="C1369" s="92"/>
      <c r="D1369" s="24"/>
      <c r="E1369" s="90"/>
      <c r="F1369" s="90"/>
      <c r="G1369" s="24"/>
      <c r="H1369" s="90"/>
      <c r="I1369" s="24"/>
      <c r="J1369" s="90"/>
      <c r="K1369" s="90"/>
      <c r="L1369" s="24"/>
      <c r="M1369" s="24"/>
      <c r="N1369" s="24"/>
      <c r="O1369" s="90"/>
      <c r="P1369" s="24"/>
      <c r="Q1369" s="24"/>
      <c r="R1369" s="24"/>
      <c r="S1369" s="90"/>
      <c r="T1369" s="90"/>
      <c r="U1369" s="24"/>
      <c r="V1369" s="90"/>
      <c r="W1369" s="90"/>
      <c r="X1369" s="90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</row>
    <row r="1370" spans="1:37" x14ac:dyDescent="0.25">
      <c r="A1370" s="24"/>
      <c r="B1370" s="90"/>
      <c r="C1370" s="92"/>
      <c r="D1370" s="24"/>
      <c r="E1370" s="90"/>
      <c r="F1370" s="90"/>
      <c r="G1370" s="24"/>
      <c r="H1370" s="90"/>
      <c r="I1370" s="24"/>
      <c r="J1370" s="90"/>
      <c r="K1370" s="90"/>
      <c r="L1370" s="24"/>
      <c r="M1370" s="24"/>
      <c r="N1370" s="24"/>
      <c r="O1370" s="90"/>
      <c r="P1370" s="24"/>
      <c r="Q1370" s="24"/>
      <c r="R1370" s="24"/>
      <c r="S1370" s="90"/>
      <c r="T1370" s="90"/>
      <c r="U1370" s="24"/>
      <c r="V1370" s="90"/>
      <c r="W1370" s="90"/>
      <c r="X1370" s="90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</row>
    <row r="1371" spans="1:37" x14ac:dyDescent="0.25">
      <c r="A1371" s="24"/>
      <c r="B1371" s="90"/>
      <c r="C1371" s="92"/>
      <c r="D1371" s="24"/>
      <c r="E1371" s="90"/>
      <c r="F1371" s="90"/>
      <c r="G1371" s="24"/>
      <c r="H1371" s="90"/>
      <c r="I1371" s="24"/>
      <c r="J1371" s="90"/>
      <c r="K1371" s="90"/>
      <c r="L1371" s="24"/>
      <c r="M1371" s="24"/>
      <c r="N1371" s="24"/>
      <c r="O1371" s="90"/>
      <c r="P1371" s="24"/>
      <c r="Q1371" s="24"/>
      <c r="R1371" s="24"/>
      <c r="S1371" s="90"/>
      <c r="T1371" s="90"/>
      <c r="U1371" s="24"/>
      <c r="V1371" s="90"/>
      <c r="W1371" s="90"/>
      <c r="X1371" s="90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</row>
    <row r="1372" spans="1:37" x14ac:dyDescent="0.25">
      <c r="A1372" s="24"/>
      <c r="B1372" s="90"/>
      <c r="C1372" s="92"/>
      <c r="D1372" s="24"/>
      <c r="E1372" s="90"/>
      <c r="F1372" s="90"/>
      <c r="G1372" s="24"/>
      <c r="H1372" s="90"/>
      <c r="I1372" s="24"/>
      <c r="J1372" s="90"/>
      <c r="K1372" s="90"/>
      <c r="L1372" s="24"/>
      <c r="M1372" s="24"/>
      <c r="N1372" s="24"/>
      <c r="O1372" s="90"/>
      <c r="P1372" s="24"/>
      <c r="Q1372" s="24"/>
      <c r="R1372" s="24"/>
      <c r="S1372" s="90"/>
      <c r="T1372" s="90"/>
      <c r="U1372" s="24"/>
      <c r="V1372" s="90"/>
      <c r="W1372" s="90"/>
      <c r="X1372" s="90"/>
      <c r="Y1372" s="24"/>
      <c r="Z1372" s="24"/>
      <c r="AA1372" s="24"/>
      <c r="AB1372" s="24"/>
      <c r="AC1372" s="24"/>
      <c r="AD1372" s="24"/>
      <c r="AE1372" s="24"/>
      <c r="AF1372" s="24"/>
      <c r="AG1372" s="24"/>
      <c r="AH1372" s="24"/>
      <c r="AI1372" s="24"/>
      <c r="AJ1372" s="24"/>
      <c r="AK1372" s="24"/>
    </row>
    <row r="1373" spans="1:37" x14ac:dyDescent="0.25">
      <c r="A1373" s="24"/>
      <c r="B1373" s="90"/>
      <c r="C1373" s="92"/>
      <c r="D1373" s="24"/>
      <c r="E1373" s="90"/>
      <c r="F1373" s="90"/>
      <c r="G1373" s="24"/>
      <c r="H1373" s="90"/>
      <c r="I1373" s="24"/>
      <c r="J1373" s="90"/>
      <c r="K1373" s="90"/>
      <c r="L1373" s="24"/>
      <c r="M1373" s="24"/>
      <c r="N1373" s="24"/>
      <c r="O1373" s="90"/>
      <c r="P1373" s="24"/>
      <c r="Q1373" s="24"/>
      <c r="R1373" s="24"/>
      <c r="S1373" s="90"/>
      <c r="T1373" s="90"/>
      <c r="U1373" s="24"/>
      <c r="V1373" s="90"/>
      <c r="W1373" s="90"/>
      <c r="X1373" s="90"/>
      <c r="Y1373" s="24"/>
      <c r="Z1373" s="24"/>
      <c r="AA1373" s="24"/>
      <c r="AB1373" s="24"/>
      <c r="AC1373" s="24"/>
      <c r="AD1373" s="24"/>
      <c r="AE1373" s="24"/>
      <c r="AF1373" s="24"/>
      <c r="AG1373" s="24"/>
      <c r="AH1373" s="24"/>
      <c r="AI1373" s="24"/>
      <c r="AJ1373" s="24"/>
      <c r="AK1373" s="24"/>
    </row>
    <row r="1374" spans="1:37" x14ac:dyDescent="0.25">
      <c r="A1374" s="24"/>
      <c r="B1374" s="90"/>
      <c r="C1374" s="92"/>
      <c r="D1374" s="24"/>
      <c r="E1374" s="90"/>
      <c r="F1374" s="90"/>
      <c r="G1374" s="24"/>
      <c r="H1374" s="90"/>
      <c r="I1374" s="24"/>
      <c r="J1374" s="90"/>
      <c r="K1374" s="90"/>
      <c r="L1374" s="24"/>
      <c r="M1374" s="24"/>
      <c r="N1374" s="24"/>
      <c r="O1374" s="90"/>
      <c r="P1374" s="24"/>
      <c r="Q1374" s="24"/>
      <c r="R1374" s="24"/>
      <c r="S1374" s="90"/>
      <c r="T1374" s="90"/>
      <c r="U1374" s="24"/>
      <c r="V1374" s="90"/>
      <c r="W1374" s="90"/>
      <c r="X1374" s="90"/>
      <c r="Y1374" s="24"/>
      <c r="Z1374" s="24"/>
      <c r="AA1374" s="24"/>
      <c r="AB1374" s="24"/>
      <c r="AC1374" s="24"/>
      <c r="AD1374" s="24"/>
      <c r="AE1374" s="24"/>
      <c r="AF1374" s="24"/>
      <c r="AG1374" s="24"/>
      <c r="AH1374" s="24"/>
      <c r="AI1374" s="24"/>
      <c r="AJ1374" s="24"/>
      <c r="AK1374" s="24"/>
    </row>
    <row r="1375" spans="1:37" x14ac:dyDescent="0.25">
      <c r="A1375" s="24"/>
      <c r="B1375" s="90"/>
      <c r="C1375" s="92"/>
      <c r="D1375" s="24"/>
      <c r="E1375" s="90"/>
      <c r="F1375" s="90"/>
      <c r="G1375" s="24"/>
      <c r="H1375" s="90"/>
      <c r="I1375" s="24"/>
      <c r="J1375" s="90"/>
      <c r="K1375" s="90"/>
      <c r="L1375" s="24"/>
      <c r="M1375" s="24"/>
      <c r="N1375" s="24"/>
      <c r="O1375" s="90"/>
      <c r="P1375" s="24"/>
      <c r="Q1375" s="24"/>
      <c r="R1375" s="24"/>
      <c r="S1375" s="90"/>
      <c r="T1375" s="90"/>
      <c r="U1375" s="24"/>
      <c r="V1375" s="90"/>
      <c r="W1375" s="90"/>
      <c r="X1375" s="90"/>
      <c r="Y1375" s="24"/>
      <c r="Z1375" s="24"/>
      <c r="AA1375" s="24"/>
      <c r="AB1375" s="24"/>
      <c r="AC1375" s="24"/>
      <c r="AD1375" s="24"/>
      <c r="AE1375" s="24"/>
      <c r="AF1375" s="24"/>
      <c r="AG1375" s="24"/>
      <c r="AH1375" s="24"/>
      <c r="AI1375" s="24"/>
      <c r="AJ1375" s="24"/>
      <c r="AK1375" s="24"/>
    </row>
    <row r="1376" spans="1:37" x14ac:dyDescent="0.25">
      <c r="A1376" s="24"/>
      <c r="B1376" s="90"/>
      <c r="C1376" s="92"/>
      <c r="D1376" s="24"/>
      <c r="E1376" s="90"/>
      <c r="F1376" s="90"/>
      <c r="G1376" s="24"/>
      <c r="H1376" s="90"/>
      <c r="I1376" s="24"/>
      <c r="J1376" s="90"/>
      <c r="K1376" s="90"/>
      <c r="L1376" s="24"/>
      <c r="M1376" s="24"/>
      <c r="N1376" s="24"/>
      <c r="O1376" s="90"/>
      <c r="P1376" s="24"/>
      <c r="Q1376" s="24"/>
      <c r="R1376" s="24"/>
      <c r="S1376" s="90"/>
      <c r="T1376" s="90"/>
      <c r="U1376" s="24"/>
      <c r="V1376" s="90"/>
      <c r="W1376" s="90"/>
      <c r="X1376" s="90"/>
      <c r="Y1376" s="24"/>
      <c r="Z1376" s="24"/>
      <c r="AA1376" s="24"/>
      <c r="AB1376" s="24"/>
      <c r="AC1376" s="24"/>
      <c r="AD1376" s="24"/>
      <c r="AE1376" s="24"/>
      <c r="AF1376" s="24"/>
      <c r="AG1376" s="24"/>
      <c r="AH1376" s="24"/>
      <c r="AI1376" s="24"/>
      <c r="AJ1376" s="24"/>
      <c r="AK1376" s="24"/>
    </row>
    <row r="1377" spans="1:37" x14ac:dyDescent="0.25">
      <c r="A1377" s="24"/>
      <c r="B1377" s="90"/>
      <c r="C1377" s="92"/>
      <c r="D1377" s="24"/>
      <c r="E1377" s="90"/>
      <c r="F1377" s="90"/>
      <c r="G1377" s="24"/>
      <c r="H1377" s="90"/>
      <c r="I1377" s="24"/>
      <c r="J1377" s="90"/>
      <c r="K1377" s="90"/>
      <c r="L1377" s="24"/>
      <c r="M1377" s="24"/>
      <c r="N1377" s="24"/>
      <c r="O1377" s="90"/>
      <c r="P1377" s="24"/>
      <c r="Q1377" s="24"/>
      <c r="R1377" s="24"/>
      <c r="S1377" s="90"/>
      <c r="T1377" s="90"/>
      <c r="U1377" s="24"/>
      <c r="V1377" s="90"/>
      <c r="W1377" s="90"/>
      <c r="X1377" s="90"/>
      <c r="Y1377" s="24"/>
      <c r="Z1377" s="24"/>
      <c r="AA1377" s="24"/>
      <c r="AB1377" s="24"/>
      <c r="AC1377" s="24"/>
      <c r="AD1377" s="24"/>
      <c r="AE1377" s="24"/>
      <c r="AF1377" s="24"/>
      <c r="AG1377" s="24"/>
      <c r="AH1377" s="24"/>
      <c r="AI1377" s="24"/>
      <c r="AJ1377" s="24"/>
      <c r="AK1377" s="24"/>
    </row>
    <row r="1378" spans="1:37" x14ac:dyDescent="0.25">
      <c r="A1378" s="24"/>
      <c r="B1378" s="90"/>
      <c r="C1378" s="92"/>
      <c r="D1378" s="24"/>
      <c r="E1378" s="90"/>
      <c r="F1378" s="90"/>
      <c r="G1378" s="24"/>
      <c r="H1378" s="90"/>
      <c r="I1378" s="24"/>
      <c r="J1378" s="90"/>
      <c r="K1378" s="90"/>
      <c r="L1378" s="24"/>
      <c r="M1378" s="24"/>
      <c r="N1378" s="24"/>
      <c r="O1378" s="90"/>
      <c r="P1378" s="24"/>
      <c r="Q1378" s="24"/>
      <c r="R1378" s="24"/>
      <c r="S1378" s="90"/>
      <c r="T1378" s="90"/>
      <c r="U1378" s="24"/>
      <c r="V1378" s="90"/>
      <c r="W1378" s="90"/>
      <c r="X1378" s="90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</row>
    <row r="1379" spans="1:37" x14ac:dyDescent="0.25">
      <c r="A1379" s="24"/>
      <c r="B1379" s="90"/>
      <c r="C1379" s="92"/>
      <c r="D1379" s="24"/>
      <c r="E1379" s="90"/>
      <c r="F1379" s="90"/>
      <c r="G1379" s="24"/>
      <c r="H1379" s="90"/>
      <c r="I1379" s="24"/>
      <c r="J1379" s="90"/>
      <c r="K1379" s="90"/>
      <c r="L1379" s="24"/>
      <c r="M1379" s="24"/>
      <c r="N1379" s="24"/>
      <c r="O1379" s="90"/>
      <c r="P1379" s="24"/>
      <c r="Q1379" s="24"/>
      <c r="R1379" s="24"/>
      <c r="S1379" s="90"/>
      <c r="T1379" s="90"/>
      <c r="U1379" s="24"/>
      <c r="V1379" s="90"/>
      <c r="W1379" s="90"/>
      <c r="X1379" s="90"/>
      <c r="Y1379" s="24"/>
      <c r="Z1379" s="24"/>
      <c r="AA1379" s="24"/>
      <c r="AB1379" s="24"/>
      <c r="AC1379" s="24"/>
      <c r="AD1379" s="24"/>
      <c r="AE1379" s="24"/>
      <c r="AF1379" s="24"/>
      <c r="AG1379" s="24"/>
      <c r="AH1379" s="24"/>
      <c r="AI1379" s="24"/>
      <c r="AJ1379" s="24"/>
      <c r="AK1379" s="24"/>
    </row>
    <row r="1380" spans="1:37" x14ac:dyDescent="0.25">
      <c r="A1380" s="24"/>
      <c r="B1380" s="90"/>
      <c r="C1380" s="92"/>
      <c r="D1380" s="24"/>
      <c r="E1380" s="90"/>
      <c r="F1380" s="90"/>
      <c r="G1380" s="24"/>
      <c r="H1380" s="90"/>
      <c r="I1380" s="24"/>
      <c r="J1380" s="90"/>
      <c r="K1380" s="90"/>
      <c r="L1380" s="24"/>
      <c r="M1380" s="24"/>
      <c r="N1380" s="24"/>
      <c r="O1380" s="90"/>
      <c r="P1380" s="24"/>
      <c r="Q1380" s="24"/>
      <c r="R1380" s="24"/>
      <c r="S1380" s="90"/>
      <c r="T1380" s="90"/>
      <c r="U1380" s="24"/>
      <c r="V1380" s="90"/>
      <c r="W1380" s="90"/>
      <c r="X1380" s="90"/>
      <c r="Y1380" s="24"/>
      <c r="Z1380" s="24"/>
      <c r="AA1380" s="24"/>
      <c r="AB1380" s="24"/>
      <c r="AC1380" s="24"/>
      <c r="AD1380" s="24"/>
      <c r="AE1380" s="24"/>
      <c r="AF1380" s="24"/>
      <c r="AG1380" s="24"/>
      <c r="AH1380" s="24"/>
      <c r="AI1380" s="24"/>
      <c r="AJ1380" s="24"/>
      <c r="AK1380" s="24"/>
    </row>
    <row r="1381" spans="1:37" x14ac:dyDescent="0.25">
      <c r="A1381" s="24"/>
      <c r="B1381" s="90"/>
      <c r="C1381" s="92"/>
      <c r="D1381" s="24"/>
      <c r="E1381" s="90"/>
      <c r="F1381" s="90"/>
      <c r="G1381" s="24"/>
      <c r="H1381" s="90"/>
      <c r="I1381" s="24"/>
      <c r="J1381" s="90"/>
      <c r="K1381" s="90"/>
      <c r="L1381" s="24"/>
      <c r="M1381" s="24"/>
      <c r="N1381" s="24"/>
      <c r="O1381" s="90"/>
      <c r="P1381" s="24"/>
      <c r="Q1381" s="24"/>
      <c r="R1381" s="24"/>
      <c r="S1381" s="90"/>
      <c r="T1381" s="90"/>
      <c r="U1381" s="24"/>
      <c r="V1381" s="90"/>
      <c r="W1381" s="90"/>
      <c r="X1381" s="90"/>
      <c r="Y1381" s="24"/>
      <c r="Z1381" s="24"/>
      <c r="AA1381" s="24"/>
      <c r="AB1381" s="24"/>
      <c r="AC1381" s="24"/>
      <c r="AD1381" s="24"/>
      <c r="AE1381" s="24"/>
      <c r="AF1381" s="24"/>
      <c r="AG1381" s="24"/>
      <c r="AH1381" s="24"/>
      <c r="AI1381" s="24"/>
      <c r="AJ1381" s="24"/>
      <c r="AK1381" s="24"/>
    </row>
    <row r="1382" spans="1:37" x14ac:dyDescent="0.25">
      <c r="A1382" s="24"/>
      <c r="B1382" s="90"/>
      <c r="C1382" s="92"/>
      <c r="D1382" s="24"/>
      <c r="E1382" s="90"/>
      <c r="F1382" s="90"/>
      <c r="G1382" s="24"/>
      <c r="H1382" s="90"/>
      <c r="I1382" s="24"/>
      <c r="J1382" s="90"/>
      <c r="K1382" s="90"/>
      <c r="L1382" s="24"/>
      <c r="M1382" s="24"/>
      <c r="N1382" s="24"/>
      <c r="O1382" s="90"/>
      <c r="P1382" s="24"/>
      <c r="Q1382" s="24"/>
      <c r="R1382" s="24"/>
      <c r="S1382" s="90"/>
      <c r="T1382" s="90"/>
      <c r="U1382" s="24"/>
      <c r="V1382" s="90"/>
      <c r="W1382" s="90"/>
      <c r="X1382" s="90"/>
      <c r="Y1382" s="24"/>
      <c r="Z1382" s="24"/>
      <c r="AA1382" s="24"/>
      <c r="AB1382" s="24"/>
      <c r="AC1382" s="24"/>
      <c r="AD1382" s="24"/>
      <c r="AE1382" s="24"/>
      <c r="AF1382" s="24"/>
      <c r="AG1382" s="24"/>
      <c r="AH1382" s="24"/>
      <c r="AI1382" s="24"/>
      <c r="AJ1382" s="24"/>
      <c r="AK1382" s="24"/>
    </row>
    <row r="1383" spans="1:37" x14ac:dyDescent="0.25">
      <c r="A1383" s="24"/>
      <c r="B1383" s="90"/>
      <c r="C1383" s="92"/>
      <c r="D1383" s="24"/>
      <c r="E1383" s="90"/>
      <c r="F1383" s="90"/>
      <c r="G1383" s="24"/>
      <c r="H1383" s="90"/>
      <c r="I1383" s="24"/>
      <c r="J1383" s="90"/>
      <c r="K1383" s="90"/>
      <c r="L1383" s="24"/>
      <c r="M1383" s="24"/>
      <c r="N1383" s="24"/>
      <c r="O1383" s="90"/>
      <c r="P1383" s="24"/>
      <c r="Q1383" s="24"/>
      <c r="R1383" s="24"/>
      <c r="S1383" s="90"/>
      <c r="T1383" s="90"/>
      <c r="U1383" s="24"/>
      <c r="V1383" s="90"/>
      <c r="W1383" s="90"/>
      <c r="X1383" s="90"/>
      <c r="Y1383" s="24"/>
      <c r="Z1383" s="24"/>
      <c r="AA1383" s="24"/>
      <c r="AB1383" s="24"/>
      <c r="AC1383" s="24"/>
      <c r="AD1383" s="24"/>
      <c r="AE1383" s="24"/>
      <c r="AF1383" s="24"/>
      <c r="AG1383" s="24"/>
      <c r="AH1383" s="24"/>
      <c r="AI1383" s="24"/>
      <c r="AJ1383" s="24"/>
      <c r="AK1383" s="24"/>
    </row>
    <row r="1384" spans="1:37" x14ac:dyDescent="0.25">
      <c r="A1384" s="24"/>
      <c r="B1384" s="90"/>
      <c r="C1384" s="92"/>
      <c r="D1384" s="24"/>
      <c r="E1384" s="90"/>
      <c r="F1384" s="90"/>
      <c r="G1384" s="24"/>
      <c r="H1384" s="90"/>
      <c r="I1384" s="24"/>
      <c r="J1384" s="90"/>
      <c r="K1384" s="90"/>
      <c r="L1384" s="24"/>
      <c r="M1384" s="24"/>
      <c r="N1384" s="24"/>
      <c r="O1384" s="90"/>
      <c r="P1384" s="24"/>
      <c r="Q1384" s="24"/>
      <c r="R1384" s="24"/>
      <c r="S1384" s="90"/>
      <c r="T1384" s="90"/>
      <c r="U1384" s="24"/>
      <c r="V1384" s="90"/>
      <c r="W1384" s="90"/>
      <c r="X1384" s="90"/>
      <c r="Y1384" s="24"/>
      <c r="Z1384" s="24"/>
      <c r="AA1384" s="24"/>
      <c r="AB1384" s="24"/>
      <c r="AC1384" s="24"/>
      <c r="AD1384" s="24"/>
      <c r="AE1384" s="24"/>
      <c r="AF1384" s="24"/>
      <c r="AG1384" s="24"/>
      <c r="AH1384" s="24"/>
      <c r="AI1384" s="24"/>
      <c r="AJ1384" s="24"/>
      <c r="AK1384" s="24"/>
    </row>
    <row r="1385" spans="1:37" x14ac:dyDescent="0.25">
      <c r="A1385" s="24"/>
      <c r="B1385" s="90"/>
      <c r="C1385" s="92"/>
      <c r="D1385" s="24"/>
      <c r="E1385" s="90"/>
      <c r="F1385" s="90"/>
      <c r="G1385" s="24"/>
      <c r="H1385" s="90"/>
      <c r="I1385" s="24"/>
      <c r="J1385" s="90"/>
      <c r="K1385" s="90"/>
      <c r="L1385" s="24"/>
      <c r="M1385" s="24"/>
      <c r="N1385" s="24"/>
      <c r="O1385" s="90"/>
      <c r="P1385" s="24"/>
      <c r="Q1385" s="24"/>
      <c r="R1385" s="24"/>
      <c r="S1385" s="90"/>
      <c r="T1385" s="90"/>
      <c r="U1385" s="24"/>
      <c r="V1385" s="90"/>
      <c r="W1385" s="90"/>
      <c r="X1385" s="90"/>
      <c r="Y1385" s="24"/>
      <c r="Z1385" s="24"/>
      <c r="AA1385" s="24"/>
      <c r="AB1385" s="24"/>
      <c r="AC1385" s="24"/>
      <c r="AD1385" s="24"/>
      <c r="AE1385" s="24"/>
      <c r="AF1385" s="24"/>
      <c r="AG1385" s="24"/>
      <c r="AH1385" s="24"/>
      <c r="AI1385" s="24"/>
      <c r="AJ1385" s="24"/>
      <c r="AK1385" s="24"/>
    </row>
    <row r="1386" spans="1:37" x14ac:dyDescent="0.25">
      <c r="A1386" s="24"/>
      <c r="B1386" s="90"/>
      <c r="C1386" s="92"/>
      <c r="D1386" s="24"/>
      <c r="E1386" s="90"/>
      <c r="F1386" s="90"/>
      <c r="G1386" s="24"/>
      <c r="H1386" s="90"/>
      <c r="I1386" s="24"/>
      <c r="J1386" s="90"/>
      <c r="K1386" s="90"/>
      <c r="L1386" s="24"/>
      <c r="M1386" s="24"/>
      <c r="N1386" s="24"/>
      <c r="O1386" s="90"/>
      <c r="P1386" s="24"/>
      <c r="Q1386" s="24"/>
      <c r="R1386" s="24"/>
      <c r="S1386" s="90"/>
      <c r="T1386" s="90"/>
      <c r="U1386" s="24"/>
      <c r="V1386" s="90"/>
      <c r="W1386" s="90"/>
      <c r="X1386" s="90"/>
      <c r="Y1386" s="24"/>
      <c r="Z1386" s="24"/>
      <c r="AA1386" s="24"/>
      <c r="AB1386" s="24"/>
      <c r="AC1386" s="24"/>
      <c r="AD1386" s="24"/>
      <c r="AE1386" s="24"/>
      <c r="AF1386" s="24"/>
      <c r="AG1386" s="24"/>
      <c r="AH1386" s="24"/>
      <c r="AI1386" s="24"/>
      <c r="AJ1386" s="24"/>
      <c r="AK1386" s="24"/>
    </row>
    <row r="1387" spans="1:37" x14ac:dyDescent="0.25">
      <c r="A1387" s="24"/>
      <c r="B1387" s="90"/>
      <c r="C1387" s="92"/>
      <c r="D1387" s="24"/>
      <c r="E1387" s="90"/>
      <c r="F1387" s="90"/>
      <c r="G1387" s="24"/>
      <c r="H1387" s="90"/>
      <c r="I1387" s="24"/>
      <c r="J1387" s="90"/>
      <c r="K1387" s="90"/>
      <c r="L1387" s="24"/>
      <c r="M1387" s="24"/>
      <c r="N1387" s="24"/>
      <c r="O1387" s="90"/>
      <c r="P1387" s="24"/>
      <c r="Q1387" s="24"/>
      <c r="R1387" s="24"/>
      <c r="S1387" s="90"/>
      <c r="T1387" s="90"/>
      <c r="U1387" s="24"/>
      <c r="V1387" s="90"/>
      <c r="W1387" s="90"/>
      <c r="X1387" s="90"/>
      <c r="Y1387" s="24"/>
      <c r="Z1387" s="24"/>
      <c r="AA1387" s="24"/>
      <c r="AB1387" s="24"/>
      <c r="AC1387" s="24"/>
      <c r="AD1387" s="24"/>
      <c r="AE1387" s="24"/>
      <c r="AF1387" s="24"/>
      <c r="AG1387" s="24"/>
      <c r="AH1387" s="24"/>
      <c r="AI1387" s="24"/>
      <c r="AJ1387" s="24"/>
      <c r="AK1387" s="24"/>
    </row>
    <row r="1388" spans="1:37" x14ac:dyDescent="0.25">
      <c r="A1388" s="24"/>
      <c r="B1388" s="90"/>
      <c r="C1388" s="92"/>
      <c r="D1388" s="24"/>
      <c r="E1388" s="90"/>
      <c r="F1388" s="90"/>
      <c r="G1388" s="24"/>
      <c r="H1388" s="90"/>
      <c r="I1388" s="24"/>
      <c r="J1388" s="90"/>
      <c r="K1388" s="90"/>
      <c r="L1388" s="24"/>
      <c r="M1388" s="24"/>
      <c r="N1388" s="24"/>
      <c r="O1388" s="90"/>
      <c r="P1388" s="24"/>
      <c r="Q1388" s="24"/>
      <c r="R1388" s="24"/>
      <c r="S1388" s="90"/>
      <c r="T1388" s="90"/>
      <c r="U1388" s="24"/>
      <c r="V1388" s="90"/>
      <c r="W1388" s="90"/>
      <c r="X1388" s="90"/>
      <c r="Y1388" s="24"/>
      <c r="Z1388" s="24"/>
      <c r="AA1388" s="24"/>
      <c r="AB1388" s="24"/>
      <c r="AC1388" s="24"/>
      <c r="AD1388" s="24"/>
      <c r="AE1388" s="24"/>
      <c r="AF1388" s="24"/>
      <c r="AG1388" s="24"/>
      <c r="AH1388" s="24"/>
      <c r="AI1388" s="24"/>
      <c r="AJ1388" s="24"/>
      <c r="AK1388" s="24"/>
    </row>
    <row r="1389" spans="1:37" x14ac:dyDescent="0.25">
      <c r="A1389" s="24"/>
      <c r="B1389" s="90"/>
      <c r="C1389" s="92"/>
      <c r="D1389" s="24"/>
      <c r="E1389" s="90"/>
      <c r="F1389" s="90"/>
      <c r="G1389" s="24"/>
      <c r="H1389" s="90"/>
      <c r="I1389" s="24"/>
      <c r="J1389" s="90"/>
      <c r="K1389" s="90"/>
      <c r="L1389" s="24"/>
      <c r="M1389" s="24"/>
      <c r="N1389" s="24"/>
      <c r="O1389" s="90"/>
      <c r="P1389" s="24"/>
      <c r="Q1389" s="24"/>
      <c r="R1389" s="24"/>
      <c r="S1389" s="90"/>
      <c r="T1389" s="90"/>
      <c r="U1389" s="24"/>
      <c r="V1389" s="90"/>
      <c r="W1389" s="90"/>
      <c r="X1389" s="90"/>
      <c r="Y1389" s="24"/>
      <c r="Z1389" s="24"/>
      <c r="AA1389" s="24"/>
      <c r="AB1389" s="24"/>
      <c r="AC1389" s="24"/>
      <c r="AD1389" s="24"/>
      <c r="AE1389" s="24"/>
      <c r="AF1389" s="24"/>
      <c r="AG1389" s="24"/>
      <c r="AH1389" s="24"/>
      <c r="AI1389" s="24"/>
      <c r="AJ1389" s="24"/>
      <c r="AK1389" s="24"/>
    </row>
    <row r="1390" spans="1:37" x14ac:dyDescent="0.25">
      <c r="A1390" s="24"/>
      <c r="B1390" s="90"/>
      <c r="C1390" s="92"/>
      <c r="D1390" s="24"/>
      <c r="E1390" s="90"/>
      <c r="F1390" s="90"/>
      <c r="G1390" s="24"/>
      <c r="H1390" s="90"/>
      <c r="I1390" s="24"/>
      <c r="J1390" s="90"/>
      <c r="K1390" s="90"/>
      <c r="L1390" s="24"/>
      <c r="M1390" s="24"/>
      <c r="N1390" s="24"/>
      <c r="O1390" s="90"/>
      <c r="P1390" s="24"/>
      <c r="Q1390" s="24"/>
      <c r="R1390" s="24"/>
      <c r="S1390" s="90"/>
      <c r="T1390" s="90"/>
      <c r="U1390" s="24"/>
      <c r="V1390" s="90"/>
      <c r="W1390" s="90"/>
      <c r="X1390" s="90"/>
      <c r="Y1390" s="24"/>
      <c r="Z1390" s="24"/>
      <c r="AA1390" s="24"/>
      <c r="AB1390" s="24"/>
      <c r="AC1390" s="24"/>
      <c r="AD1390" s="24"/>
      <c r="AE1390" s="24"/>
      <c r="AF1390" s="24"/>
      <c r="AG1390" s="24"/>
      <c r="AH1390" s="24"/>
      <c r="AI1390" s="24"/>
      <c r="AJ1390" s="24"/>
      <c r="AK1390" s="24"/>
    </row>
    <row r="1391" spans="1:37" x14ac:dyDescent="0.25">
      <c r="A1391" s="24"/>
      <c r="B1391" s="90"/>
      <c r="C1391" s="92"/>
      <c r="D1391" s="24"/>
      <c r="E1391" s="90"/>
      <c r="F1391" s="90"/>
      <c r="G1391" s="24"/>
      <c r="H1391" s="90"/>
      <c r="I1391" s="24"/>
      <c r="J1391" s="90"/>
      <c r="K1391" s="90"/>
      <c r="L1391" s="24"/>
      <c r="M1391" s="24"/>
      <c r="N1391" s="24"/>
      <c r="O1391" s="90"/>
      <c r="P1391" s="24"/>
      <c r="Q1391" s="24"/>
      <c r="R1391" s="24"/>
      <c r="S1391" s="90"/>
      <c r="T1391" s="90"/>
      <c r="U1391" s="24"/>
      <c r="V1391" s="90"/>
      <c r="W1391" s="90"/>
      <c r="X1391" s="90"/>
      <c r="Y1391" s="24"/>
      <c r="Z1391" s="24"/>
      <c r="AA1391" s="24"/>
      <c r="AB1391" s="24"/>
      <c r="AC1391" s="24"/>
      <c r="AD1391" s="24"/>
      <c r="AE1391" s="24"/>
      <c r="AF1391" s="24"/>
      <c r="AG1391" s="24"/>
      <c r="AH1391" s="24"/>
      <c r="AI1391" s="24"/>
      <c r="AJ1391" s="24"/>
      <c r="AK1391" s="24"/>
    </row>
    <row r="1392" spans="1:37" x14ac:dyDescent="0.25">
      <c r="A1392" s="24"/>
      <c r="B1392" s="90"/>
      <c r="C1392" s="92"/>
      <c r="D1392" s="24"/>
      <c r="E1392" s="90"/>
      <c r="F1392" s="90"/>
      <c r="G1392" s="24"/>
      <c r="H1392" s="90"/>
      <c r="I1392" s="24"/>
      <c r="J1392" s="90"/>
      <c r="K1392" s="90"/>
      <c r="L1392" s="24"/>
      <c r="M1392" s="24"/>
      <c r="N1392" s="24"/>
      <c r="O1392" s="90"/>
      <c r="P1392" s="24"/>
      <c r="Q1392" s="24"/>
      <c r="R1392" s="24"/>
      <c r="S1392" s="90"/>
      <c r="T1392" s="90"/>
      <c r="U1392" s="24"/>
      <c r="V1392" s="90"/>
      <c r="W1392" s="90"/>
      <c r="X1392" s="90"/>
      <c r="Y1392" s="24"/>
      <c r="Z1392" s="24"/>
      <c r="AA1392" s="24"/>
      <c r="AB1392" s="24"/>
      <c r="AC1392" s="24"/>
      <c r="AD1392" s="24"/>
      <c r="AE1392" s="24"/>
      <c r="AF1392" s="24"/>
      <c r="AG1392" s="24"/>
      <c r="AH1392" s="24"/>
      <c r="AI1392" s="24"/>
      <c r="AJ1392" s="24"/>
      <c r="AK1392" s="24"/>
    </row>
    <row r="1393" spans="1:37" x14ac:dyDescent="0.25">
      <c r="A1393" s="24"/>
      <c r="B1393" s="90"/>
      <c r="C1393" s="92"/>
      <c r="D1393" s="24"/>
      <c r="E1393" s="90"/>
      <c r="F1393" s="90"/>
      <c r="G1393" s="24"/>
      <c r="H1393" s="90"/>
      <c r="I1393" s="24"/>
      <c r="J1393" s="90"/>
      <c r="K1393" s="90"/>
      <c r="L1393" s="24"/>
      <c r="M1393" s="24"/>
      <c r="N1393" s="24"/>
      <c r="O1393" s="90"/>
      <c r="P1393" s="24"/>
      <c r="Q1393" s="24"/>
      <c r="R1393" s="24"/>
      <c r="S1393" s="90"/>
      <c r="T1393" s="90"/>
      <c r="U1393" s="24"/>
      <c r="V1393" s="90"/>
      <c r="W1393" s="90"/>
      <c r="X1393" s="90"/>
      <c r="Y1393" s="24"/>
      <c r="Z1393" s="24"/>
      <c r="AA1393" s="24"/>
      <c r="AB1393" s="24"/>
      <c r="AC1393" s="24"/>
      <c r="AD1393" s="24"/>
      <c r="AE1393" s="24"/>
      <c r="AF1393" s="24"/>
      <c r="AG1393" s="24"/>
      <c r="AH1393" s="24"/>
      <c r="AI1393" s="24"/>
      <c r="AJ1393" s="24"/>
      <c r="AK1393" s="24"/>
    </row>
    <row r="1394" spans="1:37" x14ac:dyDescent="0.25">
      <c r="A1394" s="24"/>
      <c r="B1394" s="90"/>
      <c r="C1394" s="92"/>
      <c r="D1394" s="24"/>
      <c r="E1394" s="90"/>
      <c r="F1394" s="90"/>
      <c r="G1394" s="24"/>
      <c r="H1394" s="90"/>
      <c r="I1394" s="24"/>
      <c r="J1394" s="90"/>
      <c r="K1394" s="90"/>
      <c r="L1394" s="24"/>
      <c r="M1394" s="24"/>
      <c r="N1394" s="24"/>
      <c r="O1394" s="90"/>
      <c r="P1394" s="24"/>
      <c r="Q1394" s="24"/>
      <c r="R1394" s="24"/>
      <c r="S1394" s="90"/>
      <c r="T1394" s="90"/>
      <c r="U1394" s="24"/>
      <c r="V1394" s="90"/>
      <c r="W1394" s="90"/>
      <c r="X1394" s="90"/>
      <c r="Y1394" s="24"/>
      <c r="Z1394" s="24"/>
      <c r="AA1394" s="24"/>
      <c r="AB1394" s="24"/>
      <c r="AC1394" s="24"/>
      <c r="AD1394" s="24"/>
      <c r="AE1394" s="24"/>
      <c r="AF1394" s="24"/>
      <c r="AG1394" s="24"/>
      <c r="AH1394" s="24"/>
      <c r="AI1394" s="24"/>
      <c r="AJ1394" s="24"/>
      <c r="AK1394" s="24"/>
    </row>
    <row r="1395" spans="1:37" x14ac:dyDescent="0.25">
      <c r="A1395" s="24"/>
      <c r="B1395" s="90"/>
      <c r="C1395" s="92"/>
      <c r="D1395" s="24"/>
      <c r="E1395" s="90"/>
      <c r="F1395" s="90"/>
      <c r="G1395" s="24"/>
      <c r="H1395" s="90"/>
      <c r="I1395" s="24"/>
      <c r="J1395" s="90"/>
      <c r="K1395" s="90"/>
      <c r="L1395" s="24"/>
      <c r="M1395" s="24"/>
      <c r="N1395" s="24"/>
      <c r="O1395" s="90"/>
      <c r="P1395" s="24"/>
      <c r="Q1395" s="24"/>
      <c r="R1395" s="24"/>
      <c r="S1395" s="90"/>
      <c r="T1395" s="90"/>
      <c r="U1395" s="24"/>
      <c r="V1395" s="90"/>
      <c r="W1395" s="90"/>
      <c r="X1395" s="90"/>
      <c r="Y1395" s="24"/>
      <c r="Z1395" s="24"/>
      <c r="AA1395" s="24"/>
      <c r="AB1395" s="24"/>
      <c r="AC1395" s="24"/>
      <c r="AD1395" s="24"/>
      <c r="AE1395" s="24"/>
      <c r="AF1395" s="24"/>
      <c r="AG1395" s="24"/>
      <c r="AH1395" s="24"/>
      <c r="AI1395" s="24"/>
      <c r="AJ1395" s="24"/>
      <c r="AK1395" s="24"/>
    </row>
    <row r="1396" spans="1:37" x14ac:dyDescent="0.25">
      <c r="A1396" s="24"/>
      <c r="B1396" s="90"/>
      <c r="C1396" s="92"/>
      <c r="D1396" s="24"/>
      <c r="E1396" s="90"/>
      <c r="F1396" s="90"/>
      <c r="G1396" s="24"/>
      <c r="H1396" s="90"/>
      <c r="I1396" s="24"/>
      <c r="J1396" s="90"/>
      <c r="K1396" s="90"/>
      <c r="L1396" s="24"/>
      <c r="M1396" s="24"/>
      <c r="N1396" s="24"/>
      <c r="O1396" s="90"/>
      <c r="P1396" s="24"/>
      <c r="Q1396" s="24"/>
      <c r="R1396" s="24"/>
      <c r="S1396" s="90"/>
      <c r="T1396" s="90"/>
      <c r="U1396" s="24"/>
      <c r="V1396" s="90"/>
      <c r="W1396" s="90"/>
      <c r="X1396" s="90"/>
      <c r="Y1396" s="24"/>
      <c r="Z1396" s="24"/>
      <c r="AA1396" s="24"/>
      <c r="AB1396" s="24"/>
      <c r="AC1396" s="24"/>
      <c r="AD1396" s="24"/>
      <c r="AE1396" s="24"/>
      <c r="AF1396" s="24"/>
      <c r="AG1396" s="24"/>
      <c r="AH1396" s="24"/>
      <c r="AI1396" s="24"/>
      <c r="AJ1396" s="24"/>
      <c r="AK1396" s="24"/>
    </row>
    <row r="1397" spans="1:37" x14ac:dyDescent="0.25">
      <c r="A1397" s="24"/>
      <c r="B1397" s="90"/>
      <c r="C1397" s="92"/>
      <c r="D1397" s="24"/>
      <c r="E1397" s="90"/>
      <c r="F1397" s="90"/>
      <c r="G1397" s="24"/>
      <c r="H1397" s="90"/>
      <c r="I1397" s="24"/>
      <c r="J1397" s="90"/>
      <c r="K1397" s="90"/>
      <c r="L1397" s="24"/>
      <c r="M1397" s="24"/>
      <c r="N1397" s="24"/>
      <c r="O1397" s="90"/>
      <c r="P1397" s="24"/>
      <c r="Q1397" s="24"/>
      <c r="R1397" s="24"/>
      <c r="S1397" s="90"/>
      <c r="T1397" s="90"/>
      <c r="U1397" s="24"/>
      <c r="V1397" s="90"/>
      <c r="W1397" s="90"/>
      <c r="X1397" s="90"/>
      <c r="Y1397" s="24"/>
      <c r="Z1397" s="24"/>
      <c r="AA1397" s="24"/>
      <c r="AB1397" s="24"/>
      <c r="AC1397" s="24"/>
      <c r="AD1397" s="24"/>
      <c r="AE1397" s="24"/>
      <c r="AF1397" s="24"/>
      <c r="AG1397" s="24"/>
      <c r="AH1397" s="24"/>
      <c r="AI1397" s="24"/>
      <c r="AJ1397" s="24"/>
      <c r="AK1397" s="24"/>
    </row>
    <row r="1398" spans="1:37" x14ac:dyDescent="0.25">
      <c r="A1398" s="24"/>
      <c r="B1398" s="90"/>
      <c r="C1398" s="92"/>
      <c r="D1398" s="24"/>
      <c r="E1398" s="90"/>
      <c r="F1398" s="90"/>
      <c r="G1398" s="24"/>
      <c r="H1398" s="90"/>
      <c r="I1398" s="24"/>
      <c r="J1398" s="90"/>
      <c r="K1398" s="90"/>
      <c r="L1398" s="24"/>
      <c r="M1398" s="24"/>
      <c r="N1398" s="24"/>
      <c r="O1398" s="90"/>
      <c r="P1398" s="24"/>
      <c r="Q1398" s="24"/>
      <c r="R1398" s="24"/>
      <c r="S1398" s="90"/>
      <c r="T1398" s="90"/>
      <c r="U1398" s="24"/>
      <c r="V1398" s="90"/>
      <c r="W1398" s="90"/>
      <c r="X1398" s="90"/>
      <c r="Y1398" s="24"/>
      <c r="Z1398" s="24"/>
      <c r="AA1398" s="24"/>
      <c r="AB1398" s="24"/>
      <c r="AC1398" s="24"/>
      <c r="AD1398" s="24"/>
      <c r="AE1398" s="24"/>
      <c r="AF1398" s="24"/>
      <c r="AG1398" s="24"/>
      <c r="AH1398" s="24"/>
      <c r="AI1398" s="24"/>
      <c r="AJ1398" s="24"/>
      <c r="AK1398" s="24"/>
    </row>
    <row r="1399" spans="1:37" x14ac:dyDescent="0.25">
      <c r="A1399" s="24"/>
      <c r="B1399" s="90"/>
      <c r="C1399" s="92"/>
      <c r="D1399" s="24"/>
      <c r="E1399" s="90"/>
      <c r="F1399" s="90"/>
      <c r="G1399" s="24"/>
      <c r="H1399" s="90"/>
      <c r="I1399" s="24"/>
      <c r="J1399" s="90"/>
      <c r="K1399" s="90"/>
      <c r="L1399" s="24"/>
      <c r="M1399" s="24"/>
      <c r="N1399" s="24"/>
      <c r="O1399" s="90"/>
      <c r="P1399" s="24"/>
      <c r="Q1399" s="24"/>
      <c r="R1399" s="24"/>
      <c r="S1399" s="90"/>
      <c r="T1399" s="90"/>
      <c r="U1399" s="24"/>
      <c r="V1399" s="90"/>
      <c r="W1399" s="90"/>
      <c r="X1399" s="90"/>
      <c r="Y1399" s="24"/>
      <c r="Z1399" s="24"/>
      <c r="AA1399" s="24"/>
      <c r="AB1399" s="24"/>
      <c r="AC1399" s="24"/>
      <c r="AD1399" s="24"/>
      <c r="AE1399" s="24"/>
      <c r="AF1399" s="24"/>
      <c r="AG1399" s="24"/>
      <c r="AH1399" s="24"/>
      <c r="AI1399" s="24"/>
      <c r="AJ1399" s="24"/>
      <c r="AK1399" s="24"/>
    </row>
    <row r="1400" spans="1:37" x14ac:dyDescent="0.25">
      <c r="A1400" s="24"/>
      <c r="B1400" s="90"/>
      <c r="C1400" s="92"/>
      <c r="D1400" s="24"/>
      <c r="E1400" s="90"/>
      <c r="F1400" s="90"/>
      <c r="G1400" s="24"/>
      <c r="H1400" s="90"/>
      <c r="I1400" s="24"/>
      <c r="J1400" s="90"/>
      <c r="K1400" s="90"/>
      <c r="L1400" s="24"/>
      <c r="M1400" s="24"/>
      <c r="N1400" s="24"/>
      <c r="O1400" s="90"/>
      <c r="P1400" s="24"/>
      <c r="Q1400" s="24"/>
      <c r="R1400" s="24"/>
      <c r="S1400" s="90"/>
      <c r="T1400" s="90"/>
      <c r="U1400" s="24"/>
      <c r="V1400" s="90"/>
      <c r="W1400" s="90"/>
      <c r="X1400" s="90"/>
      <c r="Y1400" s="24"/>
      <c r="Z1400" s="24"/>
      <c r="AA1400" s="24"/>
      <c r="AB1400" s="24"/>
      <c r="AC1400" s="24"/>
      <c r="AD1400" s="24"/>
      <c r="AE1400" s="24"/>
      <c r="AF1400" s="24"/>
      <c r="AG1400" s="24"/>
      <c r="AH1400" s="24"/>
      <c r="AI1400" s="24"/>
      <c r="AJ1400" s="24"/>
      <c r="AK1400" s="24"/>
    </row>
    <row r="1401" spans="1:37" x14ac:dyDescent="0.25">
      <c r="A1401" s="24"/>
      <c r="B1401" s="90"/>
      <c r="C1401" s="92"/>
      <c r="D1401" s="24"/>
      <c r="E1401" s="90"/>
      <c r="F1401" s="90"/>
      <c r="G1401" s="24"/>
      <c r="H1401" s="90"/>
      <c r="I1401" s="24"/>
      <c r="J1401" s="90"/>
      <c r="K1401" s="90"/>
      <c r="L1401" s="24"/>
      <c r="M1401" s="24"/>
      <c r="N1401" s="24"/>
      <c r="O1401" s="90"/>
      <c r="P1401" s="24"/>
      <c r="Q1401" s="24"/>
      <c r="R1401" s="24"/>
      <c r="S1401" s="90"/>
      <c r="T1401" s="90"/>
      <c r="U1401" s="24"/>
      <c r="V1401" s="90"/>
      <c r="W1401" s="90"/>
      <c r="X1401" s="90"/>
      <c r="Y1401" s="24"/>
      <c r="Z1401" s="24"/>
      <c r="AA1401" s="24"/>
      <c r="AB1401" s="24"/>
      <c r="AC1401" s="24"/>
      <c r="AD1401" s="24"/>
      <c r="AE1401" s="24"/>
      <c r="AF1401" s="24"/>
      <c r="AG1401" s="24"/>
      <c r="AH1401" s="24"/>
      <c r="AI1401" s="24"/>
      <c r="AJ1401" s="24"/>
      <c r="AK1401" s="24"/>
    </row>
    <row r="1402" spans="1:37" x14ac:dyDescent="0.25">
      <c r="A1402" s="24"/>
      <c r="B1402" s="90"/>
      <c r="C1402" s="92"/>
      <c r="D1402" s="24"/>
      <c r="E1402" s="90"/>
      <c r="F1402" s="90"/>
      <c r="G1402" s="24"/>
      <c r="H1402" s="90"/>
      <c r="I1402" s="24"/>
      <c r="J1402" s="90"/>
      <c r="K1402" s="90"/>
      <c r="L1402" s="24"/>
      <c r="M1402" s="24"/>
      <c r="N1402" s="24"/>
      <c r="O1402" s="90"/>
      <c r="P1402" s="24"/>
      <c r="Q1402" s="24"/>
      <c r="R1402" s="24"/>
      <c r="S1402" s="90"/>
      <c r="T1402" s="90"/>
      <c r="U1402" s="24"/>
      <c r="V1402" s="90"/>
      <c r="W1402" s="90"/>
      <c r="X1402" s="90"/>
      <c r="Y1402" s="24"/>
      <c r="Z1402" s="24"/>
      <c r="AA1402" s="24"/>
      <c r="AB1402" s="24"/>
      <c r="AC1402" s="24"/>
      <c r="AD1402" s="24"/>
      <c r="AE1402" s="24"/>
      <c r="AF1402" s="24"/>
      <c r="AG1402" s="24"/>
      <c r="AH1402" s="24"/>
      <c r="AI1402" s="24"/>
      <c r="AJ1402" s="24"/>
      <c r="AK1402" s="24"/>
    </row>
    <row r="1403" spans="1:37" x14ac:dyDescent="0.25">
      <c r="A1403" s="24"/>
      <c r="B1403" s="90"/>
      <c r="C1403" s="92"/>
      <c r="D1403" s="24"/>
      <c r="E1403" s="90"/>
      <c r="F1403" s="90"/>
      <c r="G1403" s="24"/>
      <c r="H1403" s="90"/>
      <c r="I1403" s="24"/>
      <c r="J1403" s="90"/>
      <c r="K1403" s="90"/>
      <c r="L1403" s="24"/>
      <c r="M1403" s="24"/>
      <c r="N1403" s="24"/>
      <c r="O1403" s="90"/>
      <c r="P1403" s="24"/>
      <c r="Q1403" s="24"/>
      <c r="R1403" s="24"/>
      <c r="S1403" s="90"/>
      <c r="T1403" s="90"/>
      <c r="U1403" s="24"/>
      <c r="V1403" s="90"/>
      <c r="W1403" s="90"/>
      <c r="X1403" s="90"/>
      <c r="Y1403" s="24"/>
      <c r="Z1403" s="24"/>
      <c r="AA1403" s="24"/>
      <c r="AB1403" s="24"/>
      <c r="AC1403" s="24"/>
      <c r="AD1403" s="24"/>
      <c r="AE1403" s="24"/>
      <c r="AF1403" s="24"/>
      <c r="AG1403" s="24"/>
      <c r="AH1403" s="24"/>
      <c r="AI1403" s="24"/>
      <c r="AJ1403" s="24"/>
      <c r="AK1403" s="24"/>
    </row>
    <row r="1404" spans="1:37" x14ac:dyDescent="0.25">
      <c r="A1404" s="24"/>
      <c r="B1404" s="90"/>
      <c r="C1404" s="92"/>
      <c r="D1404" s="24"/>
      <c r="E1404" s="90"/>
      <c r="F1404" s="90"/>
      <c r="G1404" s="24"/>
      <c r="H1404" s="90"/>
      <c r="I1404" s="24"/>
      <c r="J1404" s="90"/>
      <c r="K1404" s="90"/>
      <c r="L1404" s="24"/>
      <c r="M1404" s="24"/>
      <c r="N1404" s="24"/>
      <c r="O1404" s="90"/>
      <c r="P1404" s="24"/>
      <c r="Q1404" s="24"/>
      <c r="R1404" s="24"/>
      <c r="S1404" s="90"/>
      <c r="T1404" s="90"/>
      <c r="U1404" s="24"/>
      <c r="V1404" s="90"/>
      <c r="W1404" s="90"/>
      <c r="X1404" s="90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</row>
    <row r="1405" spans="1:37" x14ac:dyDescent="0.25">
      <c r="A1405" s="24"/>
      <c r="B1405" s="90"/>
      <c r="C1405" s="92"/>
      <c r="D1405" s="24"/>
      <c r="E1405" s="90"/>
      <c r="F1405" s="90"/>
      <c r="G1405" s="24"/>
      <c r="H1405" s="90"/>
      <c r="I1405" s="24"/>
      <c r="J1405" s="90"/>
      <c r="K1405" s="90"/>
      <c r="L1405" s="24"/>
      <c r="M1405" s="24"/>
      <c r="N1405" s="24"/>
      <c r="O1405" s="90"/>
      <c r="P1405" s="24"/>
      <c r="Q1405" s="24"/>
      <c r="R1405" s="24"/>
      <c r="S1405" s="90"/>
      <c r="T1405" s="90"/>
      <c r="U1405" s="24"/>
      <c r="V1405" s="90"/>
      <c r="W1405" s="90"/>
      <c r="X1405" s="90"/>
      <c r="Y1405" s="24"/>
      <c r="Z1405" s="24"/>
      <c r="AA1405" s="24"/>
      <c r="AB1405" s="24"/>
      <c r="AC1405" s="24"/>
      <c r="AD1405" s="24"/>
      <c r="AE1405" s="24"/>
      <c r="AF1405" s="24"/>
      <c r="AG1405" s="24"/>
      <c r="AH1405" s="24"/>
      <c r="AI1405" s="24"/>
      <c r="AJ1405" s="24"/>
      <c r="AK1405" s="24"/>
    </row>
    <row r="1406" spans="1:37" x14ac:dyDescent="0.25">
      <c r="A1406" s="24"/>
      <c r="B1406" s="90"/>
      <c r="C1406" s="92"/>
      <c r="D1406" s="24"/>
      <c r="E1406" s="90"/>
      <c r="F1406" s="90"/>
      <c r="G1406" s="24"/>
      <c r="H1406" s="90"/>
      <c r="I1406" s="24"/>
      <c r="J1406" s="90"/>
      <c r="K1406" s="90"/>
      <c r="L1406" s="24"/>
      <c r="M1406" s="24"/>
      <c r="N1406" s="24"/>
      <c r="O1406" s="90"/>
      <c r="P1406" s="24"/>
      <c r="Q1406" s="24"/>
      <c r="R1406" s="24"/>
      <c r="S1406" s="90"/>
      <c r="T1406" s="90"/>
      <c r="U1406" s="24"/>
      <c r="V1406" s="90"/>
      <c r="W1406" s="90"/>
      <c r="X1406" s="90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</row>
    <row r="1407" spans="1:37" x14ac:dyDescent="0.25">
      <c r="A1407" s="24"/>
      <c r="B1407" s="90"/>
      <c r="C1407" s="92"/>
      <c r="D1407" s="24"/>
      <c r="E1407" s="90"/>
      <c r="F1407" s="90"/>
      <c r="G1407" s="24"/>
      <c r="H1407" s="90"/>
      <c r="I1407" s="24"/>
      <c r="J1407" s="90"/>
      <c r="K1407" s="90"/>
      <c r="L1407" s="24"/>
      <c r="M1407" s="24"/>
      <c r="N1407" s="24"/>
      <c r="O1407" s="90"/>
      <c r="P1407" s="24"/>
      <c r="Q1407" s="24"/>
      <c r="R1407" s="24"/>
      <c r="S1407" s="90"/>
      <c r="T1407" s="90"/>
      <c r="U1407" s="24"/>
      <c r="V1407" s="90"/>
      <c r="W1407" s="90"/>
      <c r="X1407" s="90"/>
      <c r="Y1407" s="24"/>
      <c r="Z1407" s="24"/>
      <c r="AA1407" s="24"/>
      <c r="AB1407" s="24"/>
      <c r="AC1407" s="24"/>
      <c r="AD1407" s="24"/>
      <c r="AE1407" s="24"/>
      <c r="AF1407" s="24"/>
      <c r="AG1407" s="24"/>
      <c r="AH1407" s="24"/>
      <c r="AI1407" s="24"/>
      <c r="AJ1407" s="24"/>
      <c r="AK1407" s="24"/>
    </row>
    <row r="1408" spans="1:37" x14ac:dyDescent="0.25">
      <c r="A1408" s="24"/>
      <c r="B1408" s="90"/>
      <c r="C1408" s="92"/>
      <c r="D1408" s="24"/>
      <c r="E1408" s="90"/>
      <c r="F1408" s="90"/>
      <c r="G1408" s="24"/>
      <c r="H1408" s="90"/>
      <c r="I1408" s="24"/>
      <c r="J1408" s="90"/>
      <c r="K1408" s="90"/>
      <c r="L1408" s="24"/>
      <c r="M1408" s="24"/>
      <c r="N1408" s="24"/>
      <c r="O1408" s="90"/>
      <c r="P1408" s="24"/>
      <c r="Q1408" s="24"/>
      <c r="R1408" s="24"/>
      <c r="S1408" s="90"/>
      <c r="T1408" s="90"/>
      <c r="U1408" s="24"/>
      <c r="V1408" s="90"/>
      <c r="W1408" s="90"/>
      <c r="X1408" s="90"/>
      <c r="Y1408" s="24"/>
      <c r="Z1408" s="24"/>
      <c r="AA1408" s="24"/>
      <c r="AB1408" s="24"/>
      <c r="AC1408" s="24"/>
      <c r="AD1408" s="24"/>
      <c r="AE1408" s="24"/>
      <c r="AF1408" s="24"/>
      <c r="AG1408" s="24"/>
      <c r="AH1408" s="24"/>
      <c r="AI1408" s="24"/>
      <c r="AJ1408" s="24"/>
      <c r="AK1408" s="24"/>
    </row>
    <row r="1409" spans="1:37" x14ac:dyDescent="0.25">
      <c r="A1409" s="24"/>
      <c r="B1409" s="90"/>
      <c r="C1409" s="92"/>
      <c r="D1409" s="24"/>
      <c r="E1409" s="90"/>
      <c r="F1409" s="90"/>
      <c r="G1409" s="24"/>
      <c r="H1409" s="90"/>
      <c r="I1409" s="24"/>
      <c r="J1409" s="90"/>
      <c r="K1409" s="90"/>
      <c r="L1409" s="24"/>
      <c r="M1409" s="24"/>
      <c r="N1409" s="24"/>
      <c r="O1409" s="90"/>
      <c r="P1409" s="24"/>
      <c r="Q1409" s="24"/>
      <c r="R1409" s="24"/>
      <c r="S1409" s="90"/>
      <c r="T1409" s="90"/>
      <c r="U1409" s="24"/>
      <c r="V1409" s="90"/>
      <c r="W1409" s="90"/>
      <c r="X1409" s="90"/>
      <c r="Y1409" s="24"/>
      <c r="Z1409" s="24"/>
      <c r="AA1409" s="24"/>
      <c r="AB1409" s="24"/>
      <c r="AC1409" s="24"/>
      <c r="AD1409" s="24"/>
      <c r="AE1409" s="24"/>
      <c r="AF1409" s="24"/>
      <c r="AG1409" s="24"/>
      <c r="AH1409" s="24"/>
      <c r="AI1409" s="24"/>
      <c r="AJ1409" s="24"/>
      <c r="AK1409" s="24"/>
    </row>
    <row r="1410" spans="1:37" x14ac:dyDescent="0.25">
      <c r="A1410" s="24"/>
      <c r="B1410" s="90"/>
      <c r="C1410" s="92"/>
      <c r="D1410" s="24"/>
      <c r="E1410" s="90"/>
      <c r="F1410" s="90"/>
      <c r="G1410" s="24"/>
      <c r="H1410" s="90"/>
      <c r="I1410" s="24"/>
      <c r="J1410" s="90"/>
      <c r="K1410" s="90"/>
      <c r="L1410" s="24"/>
      <c r="M1410" s="24"/>
      <c r="N1410" s="24"/>
      <c r="O1410" s="90"/>
      <c r="P1410" s="24"/>
      <c r="Q1410" s="24"/>
      <c r="R1410" s="24"/>
      <c r="S1410" s="90"/>
      <c r="T1410" s="90"/>
      <c r="U1410" s="24"/>
      <c r="V1410" s="90"/>
      <c r="W1410" s="90"/>
      <c r="X1410" s="90"/>
      <c r="Y1410" s="24"/>
      <c r="Z1410" s="24"/>
      <c r="AA1410" s="24"/>
      <c r="AB1410" s="24"/>
      <c r="AC1410" s="24"/>
      <c r="AD1410" s="24"/>
      <c r="AE1410" s="24"/>
      <c r="AF1410" s="24"/>
      <c r="AG1410" s="24"/>
      <c r="AH1410" s="24"/>
      <c r="AI1410" s="24"/>
      <c r="AJ1410" s="24"/>
      <c r="AK1410" s="24"/>
    </row>
    <row r="1411" spans="1:37" x14ac:dyDescent="0.25">
      <c r="A1411" s="24"/>
      <c r="B1411" s="90"/>
      <c r="C1411" s="92"/>
      <c r="D1411" s="24"/>
      <c r="E1411" s="90"/>
      <c r="F1411" s="90"/>
      <c r="G1411" s="24"/>
      <c r="H1411" s="90"/>
      <c r="I1411" s="24"/>
      <c r="J1411" s="90"/>
      <c r="K1411" s="90"/>
      <c r="L1411" s="24"/>
      <c r="M1411" s="24"/>
      <c r="N1411" s="24"/>
      <c r="O1411" s="90"/>
      <c r="P1411" s="24"/>
      <c r="Q1411" s="24"/>
      <c r="R1411" s="24"/>
      <c r="S1411" s="90"/>
      <c r="T1411" s="90"/>
      <c r="U1411" s="24"/>
      <c r="V1411" s="90"/>
      <c r="W1411" s="90"/>
      <c r="X1411" s="90"/>
      <c r="Y1411" s="24"/>
      <c r="Z1411" s="24"/>
      <c r="AA1411" s="24"/>
      <c r="AB1411" s="24"/>
      <c r="AC1411" s="24"/>
      <c r="AD1411" s="24"/>
      <c r="AE1411" s="24"/>
      <c r="AF1411" s="24"/>
      <c r="AG1411" s="24"/>
      <c r="AH1411" s="24"/>
      <c r="AI1411" s="24"/>
      <c r="AJ1411" s="24"/>
      <c r="AK1411" s="24"/>
    </row>
    <row r="1412" spans="1:37" x14ac:dyDescent="0.25">
      <c r="A1412" s="24"/>
      <c r="B1412" s="90"/>
      <c r="C1412" s="92"/>
      <c r="D1412" s="24"/>
      <c r="E1412" s="90"/>
      <c r="F1412" s="90"/>
      <c r="G1412" s="24"/>
      <c r="H1412" s="90"/>
      <c r="I1412" s="24"/>
      <c r="J1412" s="90"/>
      <c r="K1412" s="90"/>
      <c r="L1412" s="24"/>
      <c r="M1412" s="24"/>
      <c r="N1412" s="24"/>
      <c r="O1412" s="90"/>
      <c r="P1412" s="24"/>
      <c r="Q1412" s="24"/>
      <c r="R1412" s="24"/>
      <c r="S1412" s="90"/>
      <c r="T1412" s="90"/>
      <c r="U1412" s="24"/>
      <c r="V1412" s="90"/>
      <c r="W1412" s="90"/>
      <c r="X1412" s="90"/>
      <c r="Y1412" s="24"/>
      <c r="Z1412" s="24"/>
      <c r="AA1412" s="24"/>
      <c r="AB1412" s="24"/>
      <c r="AC1412" s="24"/>
      <c r="AD1412" s="24"/>
      <c r="AE1412" s="24"/>
      <c r="AF1412" s="24"/>
      <c r="AG1412" s="24"/>
      <c r="AH1412" s="24"/>
      <c r="AI1412" s="24"/>
      <c r="AJ1412" s="24"/>
      <c r="AK1412" s="24"/>
    </row>
    <row r="1413" spans="1:37" x14ac:dyDescent="0.25">
      <c r="A1413" s="24"/>
      <c r="B1413" s="90"/>
      <c r="C1413" s="92"/>
      <c r="D1413" s="24"/>
      <c r="E1413" s="90"/>
      <c r="F1413" s="90"/>
      <c r="G1413" s="24"/>
      <c r="H1413" s="90"/>
      <c r="I1413" s="24"/>
      <c r="J1413" s="90"/>
      <c r="K1413" s="90"/>
      <c r="L1413" s="24"/>
      <c r="M1413" s="24"/>
      <c r="N1413" s="24"/>
      <c r="O1413" s="90"/>
      <c r="P1413" s="24"/>
      <c r="Q1413" s="24"/>
      <c r="R1413" s="24"/>
      <c r="S1413" s="90"/>
      <c r="T1413" s="90"/>
      <c r="U1413" s="24"/>
      <c r="V1413" s="90"/>
      <c r="W1413" s="90"/>
      <c r="X1413" s="90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</row>
    <row r="1414" spans="1:37" x14ac:dyDescent="0.25">
      <c r="A1414" s="24"/>
      <c r="B1414" s="90"/>
      <c r="C1414" s="92"/>
      <c r="D1414" s="24"/>
      <c r="E1414" s="90"/>
      <c r="F1414" s="90"/>
      <c r="G1414" s="24"/>
      <c r="H1414" s="90"/>
      <c r="I1414" s="24"/>
      <c r="J1414" s="90"/>
      <c r="K1414" s="90"/>
      <c r="L1414" s="24"/>
      <c r="M1414" s="24"/>
      <c r="N1414" s="24"/>
      <c r="O1414" s="90"/>
      <c r="P1414" s="24"/>
      <c r="Q1414" s="24"/>
      <c r="R1414" s="24"/>
      <c r="S1414" s="90"/>
      <c r="T1414" s="90"/>
      <c r="U1414" s="24"/>
      <c r="V1414" s="90"/>
      <c r="W1414" s="90"/>
      <c r="X1414" s="90"/>
      <c r="Y1414" s="24"/>
      <c r="Z1414" s="24"/>
      <c r="AA1414" s="24"/>
      <c r="AB1414" s="24"/>
      <c r="AC1414" s="24"/>
      <c r="AD1414" s="24"/>
      <c r="AE1414" s="24"/>
      <c r="AF1414" s="24"/>
      <c r="AG1414" s="24"/>
      <c r="AH1414" s="24"/>
      <c r="AI1414" s="24"/>
      <c r="AJ1414" s="24"/>
      <c r="AK1414" s="24"/>
    </row>
    <row r="1415" spans="1:37" x14ac:dyDescent="0.25">
      <c r="A1415" s="24"/>
      <c r="B1415" s="90"/>
      <c r="C1415" s="92"/>
      <c r="D1415" s="24"/>
      <c r="E1415" s="90"/>
      <c r="F1415" s="90"/>
      <c r="G1415" s="24"/>
      <c r="H1415" s="90"/>
      <c r="I1415" s="24"/>
      <c r="J1415" s="90"/>
      <c r="K1415" s="90"/>
      <c r="L1415" s="24"/>
      <c r="M1415" s="24"/>
      <c r="N1415" s="24"/>
      <c r="O1415" s="90"/>
      <c r="P1415" s="24"/>
      <c r="Q1415" s="24"/>
      <c r="R1415" s="24"/>
      <c r="S1415" s="90"/>
      <c r="T1415" s="90"/>
      <c r="U1415" s="24"/>
      <c r="V1415" s="90"/>
      <c r="W1415" s="90"/>
      <c r="X1415" s="90"/>
      <c r="Y1415" s="24"/>
      <c r="Z1415" s="24"/>
      <c r="AA1415" s="24"/>
      <c r="AB1415" s="24"/>
      <c r="AC1415" s="24"/>
      <c r="AD1415" s="24"/>
      <c r="AE1415" s="24"/>
      <c r="AF1415" s="24"/>
      <c r="AG1415" s="24"/>
      <c r="AH1415" s="24"/>
      <c r="AI1415" s="24"/>
      <c r="AJ1415" s="24"/>
      <c r="AK1415" s="24"/>
    </row>
    <row r="1416" spans="1:37" x14ac:dyDescent="0.25">
      <c r="A1416" s="24"/>
      <c r="B1416" s="90"/>
      <c r="C1416" s="92"/>
      <c r="D1416" s="24"/>
      <c r="E1416" s="90"/>
      <c r="F1416" s="90"/>
      <c r="G1416" s="24"/>
      <c r="H1416" s="90"/>
      <c r="I1416" s="24"/>
      <c r="J1416" s="90"/>
      <c r="K1416" s="90"/>
      <c r="L1416" s="24"/>
      <c r="M1416" s="24"/>
      <c r="N1416" s="24"/>
      <c r="O1416" s="90"/>
      <c r="P1416" s="24"/>
      <c r="Q1416" s="24"/>
      <c r="R1416" s="24"/>
      <c r="S1416" s="90"/>
      <c r="T1416" s="90"/>
      <c r="U1416" s="24"/>
      <c r="V1416" s="90"/>
      <c r="W1416" s="90"/>
      <c r="X1416" s="90"/>
      <c r="Y1416" s="24"/>
      <c r="Z1416" s="24"/>
      <c r="AA1416" s="24"/>
      <c r="AB1416" s="24"/>
      <c r="AC1416" s="24"/>
      <c r="AD1416" s="24"/>
      <c r="AE1416" s="24"/>
      <c r="AF1416" s="24"/>
      <c r="AG1416" s="24"/>
      <c r="AH1416" s="24"/>
      <c r="AI1416" s="24"/>
      <c r="AJ1416" s="24"/>
      <c r="AK1416" s="24"/>
    </row>
    <row r="1417" spans="1:37" x14ac:dyDescent="0.25">
      <c r="A1417" s="24"/>
      <c r="B1417" s="90"/>
      <c r="C1417" s="92"/>
      <c r="D1417" s="24"/>
      <c r="E1417" s="90"/>
      <c r="F1417" s="90"/>
      <c r="G1417" s="24"/>
      <c r="H1417" s="90"/>
      <c r="I1417" s="24"/>
      <c r="J1417" s="90"/>
      <c r="K1417" s="90"/>
      <c r="L1417" s="24"/>
      <c r="M1417" s="24"/>
      <c r="N1417" s="24"/>
      <c r="O1417" s="90"/>
      <c r="P1417" s="24"/>
      <c r="Q1417" s="24"/>
      <c r="R1417" s="24"/>
      <c r="S1417" s="90"/>
      <c r="T1417" s="90"/>
      <c r="U1417" s="24"/>
      <c r="V1417" s="90"/>
      <c r="W1417" s="90"/>
      <c r="X1417" s="90"/>
      <c r="Y1417" s="24"/>
      <c r="Z1417" s="24"/>
      <c r="AA1417" s="24"/>
      <c r="AB1417" s="24"/>
      <c r="AC1417" s="24"/>
      <c r="AD1417" s="24"/>
      <c r="AE1417" s="24"/>
      <c r="AF1417" s="24"/>
      <c r="AG1417" s="24"/>
      <c r="AH1417" s="24"/>
      <c r="AI1417" s="24"/>
      <c r="AJ1417" s="24"/>
      <c r="AK1417" s="24"/>
    </row>
    <row r="1418" spans="1:37" x14ac:dyDescent="0.25">
      <c r="A1418" s="24"/>
      <c r="B1418" s="90"/>
      <c r="C1418" s="92"/>
      <c r="D1418" s="24"/>
      <c r="E1418" s="90"/>
      <c r="F1418" s="90"/>
      <c r="G1418" s="24"/>
      <c r="H1418" s="90"/>
      <c r="I1418" s="24"/>
      <c r="J1418" s="90"/>
      <c r="K1418" s="90"/>
      <c r="L1418" s="24"/>
      <c r="M1418" s="24"/>
      <c r="N1418" s="24"/>
      <c r="O1418" s="90"/>
      <c r="P1418" s="24"/>
      <c r="Q1418" s="24"/>
      <c r="R1418" s="24"/>
      <c r="S1418" s="90"/>
      <c r="T1418" s="90"/>
      <c r="U1418" s="24"/>
      <c r="V1418" s="90"/>
      <c r="W1418" s="90"/>
      <c r="X1418" s="90"/>
      <c r="Y1418" s="24"/>
      <c r="Z1418" s="24"/>
      <c r="AA1418" s="24"/>
      <c r="AB1418" s="24"/>
      <c r="AC1418" s="24"/>
      <c r="AD1418" s="24"/>
      <c r="AE1418" s="24"/>
      <c r="AF1418" s="24"/>
      <c r="AG1418" s="24"/>
      <c r="AH1418" s="24"/>
      <c r="AI1418" s="24"/>
      <c r="AJ1418" s="24"/>
      <c r="AK1418" s="24"/>
    </row>
    <row r="1419" spans="1:37" x14ac:dyDescent="0.25">
      <c r="A1419" s="24"/>
      <c r="B1419" s="90"/>
      <c r="C1419" s="92"/>
      <c r="D1419" s="24"/>
      <c r="E1419" s="90"/>
      <c r="F1419" s="90"/>
      <c r="G1419" s="24"/>
      <c r="H1419" s="90"/>
      <c r="I1419" s="24"/>
      <c r="J1419" s="90"/>
      <c r="K1419" s="90"/>
      <c r="L1419" s="24"/>
      <c r="M1419" s="24"/>
      <c r="N1419" s="24"/>
      <c r="O1419" s="90"/>
      <c r="P1419" s="24"/>
      <c r="Q1419" s="24"/>
      <c r="R1419" s="24"/>
      <c r="S1419" s="90"/>
      <c r="T1419" s="90"/>
      <c r="U1419" s="24"/>
      <c r="V1419" s="90"/>
      <c r="W1419" s="90"/>
      <c r="X1419" s="90"/>
      <c r="Y1419" s="24"/>
      <c r="Z1419" s="24"/>
      <c r="AA1419" s="24"/>
      <c r="AB1419" s="24"/>
      <c r="AC1419" s="24"/>
      <c r="AD1419" s="24"/>
      <c r="AE1419" s="24"/>
      <c r="AF1419" s="24"/>
      <c r="AG1419" s="24"/>
      <c r="AH1419" s="24"/>
      <c r="AI1419" s="24"/>
      <c r="AJ1419" s="24"/>
      <c r="AK1419" s="24"/>
    </row>
    <row r="1420" spans="1:37" x14ac:dyDescent="0.25">
      <c r="A1420" s="24"/>
      <c r="B1420" s="90"/>
      <c r="C1420" s="92"/>
      <c r="D1420" s="24"/>
      <c r="E1420" s="90"/>
      <c r="F1420" s="90"/>
      <c r="G1420" s="24"/>
      <c r="H1420" s="90"/>
      <c r="I1420" s="24"/>
      <c r="J1420" s="90"/>
      <c r="K1420" s="90"/>
      <c r="L1420" s="24"/>
      <c r="M1420" s="24"/>
      <c r="N1420" s="24"/>
      <c r="O1420" s="90"/>
      <c r="P1420" s="24"/>
      <c r="Q1420" s="24"/>
      <c r="R1420" s="24"/>
      <c r="S1420" s="90"/>
      <c r="T1420" s="90"/>
      <c r="U1420" s="24"/>
      <c r="V1420" s="90"/>
      <c r="W1420" s="90"/>
      <c r="X1420" s="90"/>
      <c r="Y1420" s="24"/>
      <c r="Z1420" s="24"/>
      <c r="AA1420" s="24"/>
      <c r="AB1420" s="24"/>
      <c r="AC1420" s="24"/>
      <c r="AD1420" s="24"/>
      <c r="AE1420" s="24"/>
      <c r="AF1420" s="24"/>
      <c r="AG1420" s="24"/>
      <c r="AH1420" s="24"/>
      <c r="AI1420" s="24"/>
      <c r="AJ1420" s="24"/>
      <c r="AK1420" s="24"/>
    </row>
    <row r="1421" spans="1:37" x14ac:dyDescent="0.25">
      <c r="A1421" s="24"/>
      <c r="B1421" s="90"/>
      <c r="C1421" s="92"/>
      <c r="D1421" s="24"/>
      <c r="E1421" s="90"/>
      <c r="F1421" s="90"/>
      <c r="G1421" s="24"/>
      <c r="H1421" s="90"/>
      <c r="I1421" s="24"/>
      <c r="J1421" s="90"/>
      <c r="K1421" s="90"/>
      <c r="L1421" s="24"/>
      <c r="M1421" s="24"/>
      <c r="N1421" s="24"/>
      <c r="O1421" s="90"/>
      <c r="P1421" s="24"/>
      <c r="Q1421" s="24"/>
      <c r="R1421" s="24"/>
      <c r="S1421" s="90"/>
      <c r="T1421" s="90"/>
      <c r="U1421" s="24"/>
      <c r="V1421" s="90"/>
      <c r="W1421" s="90"/>
      <c r="X1421" s="90"/>
      <c r="Y1421" s="24"/>
      <c r="Z1421" s="24"/>
      <c r="AA1421" s="24"/>
      <c r="AB1421" s="24"/>
      <c r="AC1421" s="24"/>
      <c r="AD1421" s="24"/>
      <c r="AE1421" s="24"/>
      <c r="AF1421" s="24"/>
      <c r="AG1421" s="24"/>
      <c r="AH1421" s="24"/>
      <c r="AI1421" s="24"/>
      <c r="AJ1421" s="24"/>
      <c r="AK1421" s="24"/>
    </row>
    <row r="1422" spans="1:37" x14ac:dyDescent="0.25">
      <c r="A1422" s="24"/>
      <c r="B1422" s="90"/>
      <c r="C1422" s="92"/>
      <c r="D1422" s="24"/>
      <c r="E1422" s="90"/>
      <c r="F1422" s="90"/>
      <c r="G1422" s="24"/>
      <c r="H1422" s="90"/>
      <c r="I1422" s="24"/>
      <c r="J1422" s="90"/>
      <c r="K1422" s="90"/>
      <c r="L1422" s="24"/>
      <c r="M1422" s="24"/>
      <c r="N1422" s="24"/>
      <c r="O1422" s="90"/>
      <c r="P1422" s="24"/>
      <c r="Q1422" s="24"/>
      <c r="R1422" s="24"/>
      <c r="S1422" s="90"/>
      <c r="T1422" s="90"/>
      <c r="U1422" s="24"/>
      <c r="V1422" s="90"/>
      <c r="W1422" s="90"/>
      <c r="X1422" s="90"/>
      <c r="Y1422" s="24"/>
      <c r="Z1422" s="24"/>
      <c r="AA1422" s="24"/>
      <c r="AB1422" s="24"/>
      <c r="AC1422" s="24"/>
      <c r="AD1422" s="24"/>
      <c r="AE1422" s="24"/>
      <c r="AF1422" s="24"/>
      <c r="AG1422" s="24"/>
      <c r="AH1422" s="24"/>
      <c r="AI1422" s="24"/>
      <c r="AJ1422" s="24"/>
      <c r="AK1422" s="24"/>
    </row>
    <row r="1423" spans="1:37" x14ac:dyDescent="0.25">
      <c r="A1423" s="24"/>
      <c r="B1423" s="90"/>
      <c r="C1423" s="92"/>
      <c r="D1423" s="24"/>
      <c r="E1423" s="90"/>
      <c r="F1423" s="90"/>
      <c r="G1423" s="24"/>
      <c r="H1423" s="90"/>
      <c r="I1423" s="24"/>
      <c r="J1423" s="90"/>
      <c r="K1423" s="90"/>
      <c r="L1423" s="24"/>
      <c r="M1423" s="24"/>
      <c r="N1423" s="24"/>
      <c r="O1423" s="90"/>
      <c r="P1423" s="24"/>
      <c r="Q1423" s="24"/>
      <c r="R1423" s="24"/>
      <c r="S1423" s="90"/>
      <c r="T1423" s="90"/>
      <c r="U1423" s="24"/>
      <c r="V1423" s="90"/>
      <c r="W1423" s="90"/>
      <c r="X1423" s="90"/>
      <c r="Y1423" s="24"/>
      <c r="Z1423" s="24"/>
      <c r="AA1423" s="24"/>
      <c r="AB1423" s="24"/>
      <c r="AC1423" s="24"/>
      <c r="AD1423" s="24"/>
      <c r="AE1423" s="24"/>
      <c r="AF1423" s="24"/>
      <c r="AG1423" s="24"/>
      <c r="AH1423" s="24"/>
      <c r="AI1423" s="24"/>
      <c r="AJ1423" s="24"/>
      <c r="AK1423" s="24"/>
    </row>
    <row r="1424" spans="1:37" x14ac:dyDescent="0.25">
      <c r="A1424" s="24"/>
      <c r="B1424" s="90"/>
      <c r="C1424" s="92"/>
      <c r="D1424" s="24"/>
      <c r="E1424" s="90"/>
      <c r="F1424" s="90"/>
      <c r="G1424" s="24"/>
      <c r="H1424" s="90"/>
      <c r="I1424" s="24"/>
      <c r="J1424" s="90"/>
      <c r="K1424" s="90"/>
      <c r="L1424" s="24"/>
      <c r="M1424" s="24"/>
      <c r="N1424" s="24"/>
      <c r="O1424" s="90"/>
      <c r="P1424" s="24"/>
      <c r="Q1424" s="24"/>
      <c r="R1424" s="24"/>
      <c r="S1424" s="90"/>
      <c r="T1424" s="90"/>
      <c r="U1424" s="24"/>
      <c r="V1424" s="90"/>
      <c r="W1424" s="90"/>
      <c r="X1424" s="90"/>
      <c r="Y1424" s="24"/>
      <c r="Z1424" s="24"/>
      <c r="AA1424" s="24"/>
      <c r="AB1424" s="24"/>
      <c r="AC1424" s="24"/>
      <c r="AD1424" s="24"/>
      <c r="AE1424" s="24"/>
      <c r="AF1424" s="24"/>
      <c r="AG1424" s="24"/>
      <c r="AH1424" s="24"/>
      <c r="AI1424" s="24"/>
      <c r="AJ1424" s="24"/>
      <c r="AK1424" s="24"/>
    </row>
    <row r="1425" spans="1:37" x14ac:dyDescent="0.25">
      <c r="A1425" s="24"/>
      <c r="B1425" s="90"/>
      <c r="C1425" s="92"/>
      <c r="D1425" s="24"/>
      <c r="E1425" s="90"/>
      <c r="F1425" s="90"/>
      <c r="G1425" s="24"/>
      <c r="H1425" s="90"/>
      <c r="I1425" s="24"/>
      <c r="J1425" s="90"/>
      <c r="K1425" s="90"/>
      <c r="L1425" s="24"/>
      <c r="M1425" s="24"/>
      <c r="N1425" s="24"/>
      <c r="O1425" s="90"/>
      <c r="P1425" s="24"/>
      <c r="Q1425" s="24"/>
      <c r="R1425" s="24"/>
      <c r="S1425" s="90"/>
      <c r="T1425" s="90"/>
      <c r="U1425" s="24"/>
      <c r="V1425" s="90"/>
      <c r="W1425" s="90"/>
      <c r="X1425" s="90"/>
      <c r="Y1425" s="24"/>
      <c r="Z1425" s="24"/>
      <c r="AA1425" s="24"/>
      <c r="AB1425" s="24"/>
      <c r="AC1425" s="24"/>
      <c r="AD1425" s="24"/>
      <c r="AE1425" s="24"/>
      <c r="AF1425" s="24"/>
      <c r="AG1425" s="24"/>
      <c r="AH1425" s="24"/>
      <c r="AI1425" s="24"/>
      <c r="AJ1425" s="24"/>
      <c r="AK1425" s="24"/>
    </row>
    <row r="1426" spans="1:37" x14ac:dyDescent="0.25">
      <c r="A1426" s="24"/>
      <c r="B1426" s="90"/>
      <c r="C1426" s="92"/>
      <c r="D1426" s="24"/>
      <c r="E1426" s="90"/>
      <c r="F1426" s="90"/>
      <c r="G1426" s="24"/>
      <c r="H1426" s="90"/>
      <c r="I1426" s="24"/>
      <c r="J1426" s="90"/>
      <c r="K1426" s="90"/>
      <c r="L1426" s="24"/>
      <c r="M1426" s="24"/>
      <c r="N1426" s="24"/>
      <c r="O1426" s="90"/>
      <c r="P1426" s="24"/>
      <c r="Q1426" s="24"/>
      <c r="R1426" s="24"/>
      <c r="S1426" s="90"/>
      <c r="T1426" s="90"/>
      <c r="U1426" s="24"/>
      <c r="V1426" s="90"/>
      <c r="W1426" s="90"/>
      <c r="X1426" s="90"/>
      <c r="Y1426" s="24"/>
      <c r="Z1426" s="24"/>
      <c r="AA1426" s="24"/>
      <c r="AB1426" s="24"/>
      <c r="AC1426" s="24"/>
      <c r="AD1426" s="24"/>
      <c r="AE1426" s="24"/>
      <c r="AF1426" s="24"/>
      <c r="AG1426" s="24"/>
      <c r="AH1426" s="24"/>
      <c r="AI1426" s="24"/>
      <c r="AJ1426" s="24"/>
      <c r="AK1426" s="24"/>
    </row>
    <row r="1427" spans="1:37" x14ac:dyDescent="0.25">
      <c r="A1427" s="24"/>
      <c r="B1427" s="90"/>
      <c r="C1427" s="92"/>
      <c r="D1427" s="24"/>
      <c r="E1427" s="90"/>
      <c r="F1427" s="90"/>
      <c r="G1427" s="24"/>
      <c r="H1427" s="90"/>
      <c r="I1427" s="24"/>
      <c r="J1427" s="90"/>
      <c r="K1427" s="90"/>
      <c r="L1427" s="24"/>
      <c r="M1427" s="24"/>
      <c r="N1427" s="24"/>
      <c r="O1427" s="90"/>
      <c r="P1427" s="24"/>
      <c r="Q1427" s="24"/>
      <c r="R1427" s="24"/>
      <c r="S1427" s="90"/>
      <c r="T1427" s="90"/>
      <c r="U1427" s="24"/>
      <c r="V1427" s="90"/>
      <c r="W1427" s="90"/>
      <c r="X1427" s="90"/>
      <c r="Y1427" s="24"/>
      <c r="Z1427" s="24"/>
      <c r="AA1427" s="24"/>
      <c r="AB1427" s="24"/>
      <c r="AC1427" s="24"/>
      <c r="AD1427" s="24"/>
      <c r="AE1427" s="24"/>
      <c r="AF1427" s="24"/>
      <c r="AG1427" s="24"/>
      <c r="AH1427" s="24"/>
      <c r="AI1427" s="24"/>
      <c r="AJ1427" s="24"/>
      <c r="AK1427" s="24"/>
    </row>
    <row r="1428" spans="1:37" x14ac:dyDescent="0.25">
      <c r="A1428" s="24"/>
      <c r="B1428" s="90"/>
      <c r="C1428" s="92"/>
      <c r="D1428" s="24"/>
      <c r="E1428" s="90"/>
      <c r="F1428" s="90"/>
      <c r="G1428" s="24"/>
      <c r="H1428" s="90"/>
      <c r="I1428" s="24"/>
      <c r="J1428" s="90"/>
      <c r="K1428" s="90"/>
      <c r="L1428" s="24"/>
      <c r="M1428" s="24"/>
      <c r="N1428" s="24"/>
      <c r="O1428" s="90"/>
      <c r="P1428" s="24"/>
      <c r="Q1428" s="24"/>
      <c r="R1428" s="24"/>
      <c r="S1428" s="90"/>
      <c r="T1428" s="90"/>
      <c r="U1428" s="24"/>
      <c r="V1428" s="90"/>
      <c r="W1428" s="90"/>
      <c r="X1428" s="90"/>
      <c r="Y1428" s="24"/>
      <c r="Z1428" s="24"/>
      <c r="AA1428" s="24"/>
      <c r="AB1428" s="24"/>
      <c r="AC1428" s="24"/>
      <c r="AD1428" s="24"/>
      <c r="AE1428" s="24"/>
      <c r="AF1428" s="24"/>
      <c r="AG1428" s="24"/>
      <c r="AH1428" s="24"/>
      <c r="AI1428" s="24"/>
      <c r="AJ1428" s="24"/>
      <c r="AK1428" s="24"/>
    </row>
    <row r="1429" spans="1:37" x14ac:dyDescent="0.25">
      <c r="A1429" s="24"/>
      <c r="B1429" s="90"/>
      <c r="C1429" s="92"/>
      <c r="D1429" s="24"/>
      <c r="E1429" s="90"/>
      <c r="F1429" s="90"/>
      <c r="G1429" s="24"/>
      <c r="H1429" s="90"/>
      <c r="I1429" s="24"/>
      <c r="J1429" s="90"/>
      <c r="K1429" s="90"/>
      <c r="L1429" s="24"/>
      <c r="M1429" s="24"/>
      <c r="N1429" s="24"/>
      <c r="O1429" s="90"/>
      <c r="P1429" s="24"/>
      <c r="Q1429" s="24"/>
      <c r="R1429" s="24"/>
      <c r="S1429" s="90"/>
      <c r="T1429" s="90"/>
      <c r="U1429" s="24"/>
      <c r="V1429" s="90"/>
      <c r="W1429" s="90"/>
      <c r="X1429" s="90"/>
      <c r="Y1429" s="24"/>
      <c r="Z1429" s="24"/>
      <c r="AA1429" s="24"/>
      <c r="AB1429" s="24"/>
      <c r="AC1429" s="24"/>
      <c r="AD1429" s="24"/>
      <c r="AE1429" s="24"/>
      <c r="AF1429" s="24"/>
      <c r="AG1429" s="24"/>
      <c r="AH1429" s="24"/>
      <c r="AI1429" s="24"/>
      <c r="AJ1429" s="24"/>
      <c r="AK1429" s="24"/>
    </row>
    <row r="1430" spans="1:37" x14ac:dyDescent="0.25">
      <c r="A1430" s="24"/>
      <c r="B1430" s="90"/>
      <c r="C1430" s="92"/>
      <c r="D1430" s="24"/>
      <c r="E1430" s="90"/>
      <c r="F1430" s="90"/>
      <c r="G1430" s="24"/>
      <c r="H1430" s="90"/>
      <c r="I1430" s="24"/>
      <c r="J1430" s="90"/>
      <c r="K1430" s="90"/>
      <c r="L1430" s="24"/>
      <c r="M1430" s="24"/>
      <c r="N1430" s="24"/>
      <c r="O1430" s="90"/>
      <c r="P1430" s="24"/>
      <c r="Q1430" s="24"/>
      <c r="R1430" s="24"/>
      <c r="S1430" s="90"/>
      <c r="T1430" s="90"/>
      <c r="U1430" s="24"/>
      <c r="V1430" s="90"/>
      <c r="W1430" s="90"/>
      <c r="X1430" s="90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24"/>
      <c r="AJ1430" s="24"/>
      <c r="AK1430" s="24"/>
    </row>
    <row r="1431" spans="1:37" x14ac:dyDescent="0.25">
      <c r="A1431" s="24"/>
      <c r="B1431" s="90"/>
      <c r="C1431" s="92"/>
      <c r="D1431" s="24"/>
      <c r="E1431" s="90"/>
      <c r="F1431" s="90"/>
      <c r="G1431" s="24"/>
      <c r="H1431" s="90"/>
      <c r="I1431" s="24"/>
      <c r="J1431" s="90"/>
      <c r="K1431" s="90"/>
      <c r="L1431" s="24"/>
      <c r="M1431" s="24"/>
      <c r="N1431" s="24"/>
      <c r="O1431" s="90"/>
      <c r="P1431" s="24"/>
      <c r="Q1431" s="24"/>
      <c r="R1431" s="24"/>
      <c r="S1431" s="90"/>
      <c r="T1431" s="90"/>
      <c r="U1431" s="24"/>
      <c r="V1431" s="90"/>
      <c r="W1431" s="90"/>
      <c r="X1431" s="90"/>
      <c r="Y1431" s="24"/>
      <c r="Z1431" s="24"/>
      <c r="AA1431" s="24"/>
      <c r="AB1431" s="24"/>
      <c r="AC1431" s="24"/>
      <c r="AD1431" s="24"/>
      <c r="AE1431" s="24"/>
      <c r="AF1431" s="24"/>
      <c r="AG1431" s="24"/>
      <c r="AH1431" s="24"/>
      <c r="AI1431" s="24"/>
      <c r="AJ1431" s="24"/>
      <c r="AK1431" s="24"/>
    </row>
    <row r="1432" spans="1:37" x14ac:dyDescent="0.25">
      <c r="A1432" s="24"/>
      <c r="B1432" s="90"/>
      <c r="C1432" s="92"/>
      <c r="D1432" s="24"/>
      <c r="E1432" s="90"/>
      <c r="F1432" s="90"/>
      <c r="G1432" s="24"/>
      <c r="H1432" s="90"/>
      <c r="I1432" s="24"/>
      <c r="J1432" s="90"/>
      <c r="K1432" s="90"/>
      <c r="L1432" s="24"/>
      <c r="M1432" s="24"/>
      <c r="N1432" s="24"/>
      <c r="O1432" s="90"/>
      <c r="P1432" s="24"/>
      <c r="Q1432" s="24"/>
      <c r="R1432" s="24"/>
      <c r="S1432" s="90"/>
      <c r="T1432" s="90"/>
      <c r="U1432" s="24"/>
      <c r="V1432" s="90"/>
      <c r="W1432" s="90"/>
      <c r="X1432" s="90"/>
      <c r="Y1432" s="24"/>
      <c r="Z1432" s="24"/>
      <c r="AA1432" s="24"/>
      <c r="AB1432" s="24"/>
      <c r="AC1432" s="24"/>
      <c r="AD1432" s="24"/>
      <c r="AE1432" s="24"/>
      <c r="AF1432" s="24"/>
      <c r="AG1432" s="24"/>
      <c r="AH1432" s="24"/>
      <c r="AI1432" s="24"/>
      <c r="AJ1432" s="24"/>
      <c r="AK1432" s="24"/>
    </row>
    <row r="1433" spans="1:37" x14ac:dyDescent="0.25">
      <c r="A1433" s="24"/>
      <c r="B1433" s="90"/>
      <c r="C1433" s="92"/>
      <c r="D1433" s="24"/>
      <c r="E1433" s="90"/>
      <c r="F1433" s="90"/>
      <c r="G1433" s="24"/>
      <c r="H1433" s="90"/>
      <c r="I1433" s="24"/>
      <c r="J1433" s="90"/>
      <c r="K1433" s="90"/>
      <c r="L1433" s="24"/>
      <c r="M1433" s="24"/>
      <c r="N1433" s="24"/>
      <c r="O1433" s="90"/>
      <c r="P1433" s="24"/>
      <c r="Q1433" s="24"/>
      <c r="R1433" s="24"/>
      <c r="S1433" s="90"/>
      <c r="T1433" s="90"/>
      <c r="U1433" s="24"/>
      <c r="V1433" s="90"/>
      <c r="W1433" s="90"/>
      <c r="X1433" s="90"/>
      <c r="Y1433" s="24"/>
      <c r="Z1433" s="24"/>
      <c r="AA1433" s="24"/>
      <c r="AB1433" s="24"/>
      <c r="AC1433" s="24"/>
      <c r="AD1433" s="24"/>
      <c r="AE1433" s="24"/>
      <c r="AF1433" s="24"/>
      <c r="AG1433" s="24"/>
      <c r="AH1433" s="24"/>
      <c r="AI1433" s="24"/>
      <c r="AJ1433" s="24"/>
      <c r="AK1433" s="24"/>
    </row>
    <row r="1434" spans="1:37" x14ac:dyDescent="0.25">
      <c r="A1434" s="24"/>
      <c r="B1434" s="90"/>
      <c r="C1434" s="92"/>
      <c r="D1434" s="24"/>
      <c r="E1434" s="90"/>
      <c r="F1434" s="90"/>
      <c r="G1434" s="24"/>
      <c r="H1434" s="90"/>
      <c r="I1434" s="24"/>
      <c r="J1434" s="90"/>
      <c r="K1434" s="90"/>
      <c r="L1434" s="24"/>
      <c r="M1434" s="24"/>
      <c r="N1434" s="24"/>
      <c r="O1434" s="90"/>
      <c r="P1434" s="24"/>
      <c r="Q1434" s="24"/>
      <c r="R1434" s="24"/>
      <c r="S1434" s="90"/>
      <c r="T1434" s="90"/>
      <c r="U1434" s="24"/>
      <c r="V1434" s="90"/>
      <c r="W1434" s="90"/>
      <c r="X1434" s="90"/>
      <c r="Y1434" s="24"/>
      <c r="Z1434" s="24"/>
      <c r="AA1434" s="24"/>
      <c r="AB1434" s="24"/>
      <c r="AC1434" s="24"/>
      <c r="AD1434" s="24"/>
      <c r="AE1434" s="24"/>
      <c r="AF1434" s="24"/>
      <c r="AG1434" s="24"/>
      <c r="AH1434" s="24"/>
      <c r="AI1434" s="24"/>
      <c r="AJ1434" s="24"/>
      <c r="AK1434" s="24"/>
    </row>
    <row r="1435" spans="1:37" x14ac:dyDescent="0.25">
      <c r="A1435" s="24"/>
      <c r="B1435" s="90"/>
      <c r="C1435" s="92"/>
      <c r="D1435" s="24"/>
      <c r="E1435" s="90"/>
      <c r="F1435" s="90"/>
      <c r="G1435" s="24"/>
      <c r="H1435" s="90"/>
      <c r="I1435" s="24"/>
      <c r="J1435" s="90"/>
      <c r="K1435" s="90"/>
      <c r="L1435" s="24"/>
      <c r="M1435" s="24"/>
      <c r="N1435" s="24"/>
      <c r="O1435" s="90"/>
      <c r="P1435" s="24"/>
      <c r="Q1435" s="24"/>
      <c r="R1435" s="24"/>
      <c r="S1435" s="90"/>
      <c r="T1435" s="90"/>
      <c r="U1435" s="24"/>
      <c r="V1435" s="90"/>
      <c r="W1435" s="90"/>
      <c r="X1435" s="90"/>
      <c r="Y1435" s="24"/>
      <c r="Z1435" s="24"/>
      <c r="AA1435" s="24"/>
      <c r="AB1435" s="24"/>
      <c r="AC1435" s="24"/>
      <c r="AD1435" s="24"/>
      <c r="AE1435" s="24"/>
      <c r="AF1435" s="24"/>
      <c r="AG1435" s="24"/>
      <c r="AH1435" s="24"/>
      <c r="AI1435" s="24"/>
      <c r="AJ1435" s="24"/>
      <c r="AK1435" s="24"/>
    </row>
    <row r="1436" spans="1:37" x14ac:dyDescent="0.25">
      <c r="A1436" s="24"/>
      <c r="B1436" s="90"/>
      <c r="C1436" s="92"/>
      <c r="D1436" s="24"/>
      <c r="E1436" s="90"/>
      <c r="F1436" s="90"/>
      <c r="G1436" s="24"/>
      <c r="H1436" s="90"/>
      <c r="I1436" s="24"/>
      <c r="J1436" s="90"/>
      <c r="K1436" s="90"/>
      <c r="L1436" s="24"/>
      <c r="M1436" s="24"/>
      <c r="N1436" s="24"/>
      <c r="O1436" s="90"/>
      <c r="P1436" s="24"/>
      <c r="Q1436" s="24"/>
      <c r="R1436" s="24"/>
      <c r="S1436" s="90"/>
      <c r="T1436" s="90"/>
      <c r="U1436" s="24"/>
      <c r="V1436" s="90"/>
      <c r="W1436" s="90"/>
      <c r="X1436" s="90"/>
      <c r="Y1436" s="24"/>
      <c r="Z1436" s="24"/>
      <c r="AA1436" s="24"/>
      <c r="AB1436" s="24"/>
      <c r="AC1436" s="24"/>
      <c r="AD1436" s="24"/>
      <c r="AE1436" s="24"/>
      <c r="AF1436" s="24"/>
      <c r="AG1436" s="24"/>
      <c r="AH1436" s="24"/>
      <c r="AI1436" s="24"/>
      <c r="AJ1436" s="24"/>
      <c r="AK1436" s="24"/>
    </row>
    <row r="1437" spans="1:37" x14ac:dyDescent="0.25">
      <c r="A1437" s="24"/>
      <c r="B1437" s="90"/>
      <c r="C1437" s="92"/>
      <c r="D1437" s="24"/>
      <c r="E1437" s="90"/>
      <c r="F1437" s="90"/>
      <c r="G1437" s="24"/>
      <c r="H1437" s="90"/>
      <c r="I1437" s="24"/>
      <c r="J1437" s="90"/>
      <c r="K1437" s="90"/>
      <c r="L1437" s="24"/>
      <c r="M1437" s="24"/>
      <c r="N1437" s="24"/>
      <c r="O1437" s="90"/>
      <c r="P1437" s="24"/>
      <c r="Q1437" s="24"/>
      <c r="R1437" s="24"/>
      <c r="S1437" s="90"/>
      <c r="T1437" s="90"/>
      <c r="U1437" s="24"/>
      <c r="V1437" s="90"/>
      <c r="W1437" s="90"/>
      <c r="X1437" s="90"/>
      <c r="Y1437" s="24"/>
      <c r="Z1437" s="24"/>
      <c r="AA1437" s="24"/>
      <c r="AB1437" s="24"/>
      <c r="AC1437" s="24"/>
      <c r="AD1437" s="24"/>
      <c r="AE1437" s="24"/>
      <c r="AF1437" s="24"/>
      <c r="AG1437" s="24"/>
      <c r="AH1437" s="24"/>
      <c r="AI1437" s="24"/>
      <c r="AJ1437" s="24"/>
      <c r="AK1437" s="24"/>
    </row>
    <row r="1438" spans="1:37" x14ac:dyDescent="0.25">
      <c r="A1438" s="24"/>
      <c r="B1438" s="90"/>
      <c r="C1438" s="92"/>
      <c r="D1438" s="24"/>
      <c r="E1438" s="90"/>
      <c r="F1438" s="90"/>
      <c r="G1438" s="24"/>
      <c r="H1438" s="90"/>
      <c r="I1438" s="24"/>
      <c r="J1438" s="90"/>
      <c r="K1438" s="90"/>
      <c r="L1438" s="24"/>
      <c r="M1438" s="24"/>
      <c r="N1438" s="24"/>
      <c r="O1438" s="90"/>
      <c r="P1438" s="24"/>
      <c r="Q1438" s="24"/>
      <c r="R1438" s="24"/>
      <c r="S1438" s="90"/>
      <c r="T1438" s="90"/>
      <c r="U1438" s="24"/>
      <c r="V1438" s="90"/>
      <c r="W1438" s="90"/>
      <c r="X1438" s="90"/>
      <c r="Y1438" s="24"/>
      <c r="Z1438" s="24"/>
      <c r="AA1438" s="24"/>
      <c r="AB1438" s="24"/>
      <c r="AC1438" s="24"/>
      <c r="AD1438" s="24"/>
      <c r="AE1438" s="24"/>
      <c r="AF1438" s="24"/>
      <c r="AG1438" s="24"/>
      <c r="AH1438" s="24"/>
      <c r="AI1438" s="24"/>
      <c r="AJ1438" s="24"/>
      <c r="AK1438" s="24"/>
    </row>
    <row r="1439" spans="1:37" x14ac:dyDescent="0.25">
      <c r="A1439" s="24"/>
      <c r="B1439" s="90"/>
      <c r="C1439" s="92"/>
      <c r="D1439" s="24"/>
      <c r="E1439" s="90"/>
      <c r="F1439" s="90"/>
      <c r="G1439" s="24"/>
      <c r="H1439" s="90"/>
      <c r="I1439" s="24"/>
      <c r="J1439" s="90"/>
      <c r="K1439" s="90"/>
      <c r="L1439" s="24"/>
      <c r="M1439" s="24"/>
      <c r="N1439" s="24"/>
      <c r="O1439" s="90"/>
      <c r="P1439" s="24"/>
      <c r="Q1439" s="24"/>
      <c r="R1439" s="24"/>
      <c r="S1439" s="90"/>
      <c r="T1439" s="90"/>
      <c r="U1439" s="24"/>
      <c r="V1439" s="90"/>
      <c r="W1439" s="90"/>
      <c r="X1439" s="90"/>
      <c r="Y1439" s="24"/>
      <c r="Z1439" s="24"/>
      <c r="AA1439" s="24"/>
      <c r="AB1439" s="24"/>
      <c r="AC1439" s="24"/>
      <c r="AD1439" s="24"/>
      <c r="AE1439" s="24"/>
      <c r="AF1439" s="24"/>
      <c r="AG1439" s="24"/>
      <c r="AH1439" s="24"/>
      <c r="AI1439" s="24"/>
      <c r="AJ1439" s="24"/>
      <c r="AK1439" s="24"/>
    </row>
    <row r="1440" spans="1:37" x14ac:dyDescent="0.25">
      <c r="A1440" s="24"/>
      <c r="B1440" s="90"/>
      <c r="C1440" s="92"/>
      <c r="D1440" s="24"/>
      <c r="E1440" s="90"/>
      <c r="F1440" s="90"/>
      <c r="G1440" s="24"/>
      <c r="H1440" s="90"/>
      <c r="I1440" s="24"/>
      <c r="J1440" s="90"/>
      <c r="K1440" s="90"/>
      <c r="L1440" s="24"/>
      <c r="M1440" s="24"/>
      <c r="N1440" s="24"/>
      <c r="O1440" s="90"/>
      <c r="P1440" s="24"/>
      <c r="Q1440" s="24"/>
      <c r="R1440" s="24"/>
      <c r="S1440" s="90"/>
      <c r="T1440" s="90"/>
      <c r="U1440" s="24"/>
      <c r="V1440" s="90"/>
      <c r="W1440" s="90"/>
      <c r="X1440" s="90"/>
      <c r="Y1440" s="24"/>
      <c r="Z1440" s="24"/>
      <c r="AA1440" s="24"/>
      <c r="AB1440" s="24"/>
      <c r="AC1440" s="24"/>
      <c r="AD1440" s="24"/>
      <c r="AE1440" s="24"/>
      <c r="AF1440" s="24"/>
      <c r="AG1440" s="24"/>
      <c r="AH1440" s="24"/>
      <c r="AI1440" s="24"/>
      <c r="AJ1440" s="24"/>
      <c r="AK1440" s="24"/>
    </row>
    <row r="1441" spans="1:37" x14ac:dyDescent="0.25">
      <c r="A1441" s="24"/>
      <c r="B1441" s="90"/>
      <c r="C1441" s="92"/>
      <c r="D1441" s="24"/>
      <c r="E1441" s="90"/>
      <c r="F1441" s="90"/>
      <c r="G1441" s="24"/>
      <c r="H1441" s="90"/>
      <c r="I1441" s="24"/>
      <c r="J1441" s="90"/>
      <c r="K1441" s="90"/>
      <c r="L1441" s="24"/>
      <c r="M1441" s="24"/>
      <c r="N1441" s="24"/>
      <c r="O1441" s="90"/>
      <c r="P1441" s="24"/>
      <c r="Q1441" s="24"/>
      <c r="R1441" s="24"/>
      <c r="S1441" s="90"/>
      <c r="T1441" s="90"/>
      <c r="U1441" s="24"/>
      <c r="V1441" s="90"/>
      <c r="W1441" s="90"/>
      <c r="X1441" s="90"/>
      <c r="Y1441" s="24"/>
      <c r="Z1441" s="24"/>
      <c r="AA1441" s="24"/>
      <c r="AB1441" s="24"/>
      <c r="AC1441" s="24"/>
      <c r="AD1441" s="24"/>
      <c r="AE1441" s="24"/>
      <c r="AF1441" s="24"/>
      <c r="AG1441" s="24"/>
      <c r="AH1441" s="24"/>
      <c r="AI1441" s="24"/>
      <c r="AJ1441" s="24"/>
      <c r="AK1441" s="24"/>
    </row>
    <row r="1442" spans="1:37" x14ac:dyDescent="0.25">
      <c r="A1442" s="24"/>
      <c r="B1442" s="90"/>
      <c r="C1442" s="92"/>
      <c r="D1442" s="24"/>
      <c r="E1442" s="90"/>
      <c r="F1442" s="90"/>
      <c r="G1442" s="24"/>
      <c r="H1442" s="90"/>
      <c r="I1442" s="24"/>
      <c r="J1442" s="90"/>
      <c r="K1442" s="90"/>
      <c r="L1442" s="24"/>
      <c r="M1442" s="24"/>
      <c r="N1442" s="24"/>
      <c r="O1442" s="90"/>
      <c r="P1442" s="24"/>
      <c r="Q1442" s="24"/>
      <c r="R1442" s="24"/>
      <c r="S1442" s="90"/>
      <c r="T1442" s="90"/>
      <c r="U1442" s="24"/>
      <c r="V1442" s="90"/>
      <c r="W1442" s="90"/>
      <c r="X1442" s="90"/>
      <c r="Y1442" s="24"/>
      <c r="Z1442" s="24"/>
      <c r="AA1442" s="24"/>
      <c r="AB1442" s="24"/>
      <c r="AC1442" s="24"/>
      <c r="AD1442" s="24"/>
      <c r="AE1442" s="24"/>
      <c r="AF1442" s="24"/>
      <c r="AG1442" s="24"/>
      <c r="AH1442" s="24"/>
      <c r="AI1442" s="24"/>
      <c r="AJ1442" s="24"/>
      <c r="AK1442" s="24"/>
    </row>
    <row r="1443" spans="1:37" x14ac:dyDescent="0.25">
      <c r="A1443" s="24"/>
      <c r="B1443" s="90"/>
      <c r="C1443" s="92"/>
      <c r="D1443" s="24"/>
      <c r="E1443" s="90"/>
      <c r="F1443" s="90"/>
      <c r="G1443" s="24"/>
      <c r="H1443" s="90"/>
      <c r="I1443" s="24"/>
      <c r="J1443" s="90"/>
      <c r="K1443" s="90"/>
      <c r="L1443" s="24"/>
      <c r="M1443" s="24"/>
      <c r="N1443" s="24"/>
      <c r="O1443" s="90"/>
      <c r="P1443" s="24"/>
      <c r="Q1443" s="24"/>
      <c r="R1443" s="24"/>
      <c r="S1443" s="90"/>
      <c r="T1443" s="90"/>
      <c r="U1443" s="24"/>
      <c r="V1443" s="90"/>
      <c r="W1443" s="90"/>
      <c r="X1443" s="90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</row>
    <row r="1444" spans="1:37" x14ac:dyDescent="0.25">
      <c r="A1444" s="24"/>
      <c r="B1444" s="90"/>
      <c r="C1444" s="92"/>
      <c r="D1444" s="24"/>
      <c r="E1444" s="90"/>
      <c r="F1444" s="90"/>
      <c r="G1444" s="24"/>
      <c r="H1444" s="90"/>
      <c r="I1444" s="24"/>
      <c r="J1444" s="90"/>
      <c r="K1444" s="90"/>
      <c r="L1444" s="24"/>
      <c r="M1444" s="24"/>
      <c r="N1444" s="24"/>
      <c r="O1444" s="90"/>
      <c r="P1444" s="24"/>
      <c r="Q1444" s="24"/>
      <c r="R1444" s="24"/>
      <c r="S1444" s="90"/>
      <c r="T1444" s="90"/>
      <c r="U1444" s="24"/>
      <c r="V1444" s="90"/>
      <c r="W1444" s="90"/>
      <c r="X1444" s="90"/>
      <c r="Y1444" s="24"/>
      <c r="Z1444" s="24"/>
      <c r="AA1444" s="24"/>
      <c r="AB1444" s="24"/>
      <c r="AC1444" s="24"/>
      <c r="AD1444" s="24"/>
      <c r="AE1444" s="24"/>
      <c r="AF1444" s="24"/>
      <c r="AG1444" s="24"/>
      <c r="AH1444" s="24"/>
      <c r="AI1444" s="24"/>
      <c r="AJ1444" s="24"/>
      <c r="AK1444" s="24"/>
    </row>
    <row r="1445" spans="1:37" x14ac:dyDescent="0.25">
      <c r="A1445" s="24"/>
      <c r="B1445" s="90"/>
      <c r="C1445" s="92"/>
      <c r="D1445" s="24"/>
      <c r="E1445" s="90"/>
      <c r="F1445" s="90"/>
      <c r="G1445" s="24"/>
      <c r="H1445" s="90"/>
      <c r="I1445" s="24"/>
      <c r="J1445" s="90"/>
      <c r="K1445" s="90"/>
      <c r="L1445" s="24"/>
      <c r="M1445" s="24"/>
      <c r="N1445" s="24"/>
      <c r="O1445" s="90"/>
      <c r="P1445" s="24"/>
      <c r="Q1445" s="24"/>
      <c r="R1445" s="24"/>
      <c r="S1445" s="90"/>
      <c r="T1445" s="90"/>
      <c r="U1445" s="24"/>
      <c r="V1445" s="90"/>
      <c r="W1445" s="90"/>
      <c r="X1445" s="90"/>
      <c r="Y1445" s="24"/>
      <c r="Z1445" s="24"/>
      <c r="AA1445" s="24"/>
      <c r="AB1445" s="24"/>
      <c r="AC1445" s="24"/>
      <c r="AD1445" s="24"/>
      <c r="AE1445" s="24"/>
      <c r="AF1445" s="24"/>
      <c r="AG1445" s="24"/>
      <c r="AH1445" s="24"/>
      <c r="AI1445" s="24"/>
      <c r="AJ1445" s="24"/>
      <c r="AK1445" s="24"/>
    </row>
    <row r="1446" spans="1:37" x14ac:dyDescent="0.25">
      <c r="A1446" s="24"/>
      <c r="B1446" s="90"/>
      <c r="C1446" s="92"/>
      <c r="D1446" s="24"/>
      <c r="E1446" s="90"/>
      <c r="F1446" s="90"/>
      <c r="G1446" s="24"/>
      <c r="H1446" s="90"/>
      <c r="I1446" s="24"/>
      <c r="J1446" s="90"/>
      <c r="K1446" s="90"/>
      <c r="L1446" s="24"/>
      <c r="M1446" s="24"/>
      <c r="N1446" s="24"/>
      <c r="O1446" s="90"/>
      <c r="P1446" s="24"/>
      <c r="Q1446" s="24"/>
      <c r="R1446" s="24"/>
      <c r="S1446" s="90"/>
      <c r="T1446" s="90"/>
      <c r="U1446" s="24"/>
      <c r="V1446" s="90"/>
      <c r="W1446" s="90"/>
      <c r="X1446" s="90"/>
      <c r="Y1446" s="24"/>
      <c r="Z1446" s="24"/>
      <c r="AA1446" s="24"/>
      <c r="AB1446" s="24"/>
      <c r="AC1446" s="24"/>
      <c r="AD1446" s="24"/>
      <c r="AE1446" s="24"/>
      <c r="AF1446" s="24"/>
      <c r="AG1446" s="24"/>
      <c r="AH1446" s="24"/>
      <c r="AI1446" s="24"/>
      <c r="AJ1446" s="24"/>
      <c r="AK1446" s="24"/>
    </row>
    <row r="1447" spans="1:37" x14ac:dyDescent="0.25">
      <c r="A1447" s="24"/>
      <c r="B1447" s="90"/>
      <c r="C1447" s="92"/>
      <c r="D1447" s="24"/>
      <c r="E1447" s="90"/>
      <c r="F1447" s="90"/>
      <c r="G1447" s="24"/>
      <c r="H1447" s="90"/>
      <c r="I1447" s="24"/>
      <c r="J1447" s="90"/>
      <c r="K1447" s="90"/>
      <c r="L1447" s="24"/>
      <c r="M1447" s="24"/>
      <c r="N1447" s="24"/>
      <c r="O1447" s="90"/>
      <c r="P1447" s="24"/>
      <c r="Q1447" s="24"/>
      <c r="R1447" s="24"/>
      <c r="S1447" s="90"/>
      <c r="T1447" s="90"/>
      <c r="U1447" s="24"/>
      <c r="V1447" s="90"/>
      <c r="W1447" s="90"/>
      <c r="X1447" s="90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</row>
    <row r="1448" spans="1:37" x14ac:dyDescent="0.25">
      <c r="A1448" s="24"/>
      <c r="B1448" s="90"/>
      <c r="C1448" s="92"/>
      <c r="D1448" s="24"/>
      <c r="E1448" s="90"/>
      <c r="F1448" s="90"/>
      <c r="G1448" s="24"/>
      <c r="H1448" s="90"/>
      <c r="I1448" s="24"/>
      <c r="J1448" s="90"/>
      <c r="K1448" s="90"/>
      <c r="L1448" s="24"/>
      <c r="M1448" s="24"/>
      <c r="N1448" s="24"/>
      <c r="O1448" s="90"/>
      <c r="P1448" s="24"/>
      <c r="Q1448" s="24"/>
      <c r="R1448" s="24"/>
      <c r="S1448" s="90"/>
      <c r="T1448" s="90"/>
      <c r="U1448" s="24"/>
      <c r="V1448" s="90"/>
      <c r="W1448" s="90"/>
      <c r="X1448" s="90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24"/>
      <c r="AJ1448" s="24"/>
      <c r="AK1448" s="24"/>
    </row>
    <row r="1449" spans="1:37" x14ac:dyDescent="0.25">
      <c r="A1449" s="24"/>
      <c r="B1449" s="90"/>
      <c r="C1449" s="92"/>
      <c r="D1449" s="24"/>
      <c r="E1449" s="90"/>
      <c r="F1449" s="90"/>
      <c r="G1449" s="24"/>
      <c r="H1449" s="90"/>
      <c r="I1449" s="24"/>
      <c r="J1449" s="90"/>
      <c r="K1449" s="90"/>
      <c r="L1449" s="24"/>
      <c r="M1449" s="24"/>
      <c r="N1449" s="24"/>
      <c r="O1449" s="90"/>
      <c r="P1449" s="24"/>
      <c r="Q1449" s="24"/>
      <c r="R1449" s="24"/>
      <c r="S1449" s="90"/>
      <c r="T1449" s="90"/>
      <c r="U1449" s="24"/>
      <c r="V1449" s="90"/>
      <c r="W1449" s="90"/>
      <c r="X1449" s="90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</row>
    <row r="1450" spans="1:37" x14ac:dyDescent="0.25">
      <c r="A1450" s="24"/>
      <c r="B1450" s="90"/>
      <c r="C1450" s="92"/>
      <c r="D1450" s="24"/>
      <c r="E1450" s="90"/>
      <c r="F1450" s="90"/>
      <c r="G1450" s="24"/>
      <c r="H1450" s="90"/>
      <c r="I1450" s="24"/>
      <c r="J1450" s="90"/>
      <c r="K1450" s="90"/>
      <c r="L1450" s="24"/>
      <c r="M1450" s="24"/>
      <c r="N1450" s="24"/>
      <c r="O1450" s="90"/>
      <c r="P1450" s="24"/>
      <c r="Q1450" s="24"/>
      <c r="R1450" s="24"/>
      <c r="S1450" s="90"/>
      <c r="T1450" s="90"/>
      <c r="U1450" s="24"/>
      <c r="V1450" s="90"/>
      <c r="W1450" s="90"/>
      <c r="X1450" s="90"/>
      <c r="Y1450" s="24"/>
      <c r="Z1450" s="24"/>
      <c r="AA1450" s="24"/>
      <c r="AB1450" s="24"/>
      <c r="AC1450" s="24"/>
      <c r="AD1450" s="24"/>
      <c r="AE1450" s="24"/>
      <c r="AF1450" s="24"/>
      <c r="AG1450" s="24"/>
      <c r="AH1450" s="24"/>
      <c r="AI1450" s="24"/>
      <c r="AJ1450" s="24"/>
      <c r="AK1450" s="24"/>
    </row>
    <row r="1451" spans="1:37" x14ac:dyDescent="0.25">
      <c r="A1451" s="24"/>
      <c r="B1451" s="90"/>
      <c r="C1451" s="92"/>
      <c r="D1451" s="24"/>
      <c r="E1451" s="90"/>
      <c r="F1451" s="90"/>
      <c r="G1451" s="24"/>
      <c r="H1451" s="90"/>
      <c r="I1451" s="24"/>
      <c r="J1451" s="90"/>
      <c r="K1451" s="90"/>
      <c r="L1451" s="24"/>
      <c r="M1451" s="24"/>
      <c r="N1451" s="24"/>
      <c r="O1451" s="90"/>
      <c r="P1451" s="24"/>
      <c r="Q1451" s="24"/>
      <c r="R1451" s="24"/>
      <c r="S1451" s="90"/>
      <c r="T1451" s="90"/>
      <c r="U1451" s="24"/>
      <c r="V1451" s="90"/>
      <c r="W1451" s="90"/>
      <c r="X1451" s="90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</row>
    <row r="1452" spans="1:37" x14ac:dyDescent="0.25">
      <c r="A1452" s="24"/>
      <c r="B1452" s="90"/>
      <c r="C1452" s="92"/>
      <c r="D1452" s="24"/>
      <c r="E1452" s="90"/>
      <c r="F1452" s="90"/>
      <c r="G1452" s="24"/>
      <c r="H1452" s="90"/>
      <c r="I1452" s="24"/>
      <c r="J1452" s="90"/>
      <c r="K1452" s="90"/>
      <c r="L1452" s="24"/>
      <c r="M1452" s="24"/>
      <c r="N1452" s="24"/>
      <c r="O1452" s="90"/>
      <c r="P1452" s="24"/>
      <c r="Q1452" s="24"/>
      <c r="R1452" s="24"/>
      <c r="S1452" s="90"/>
      <c r="T1452" s="90"/>
      <c r="U1452" s="24"/>
      <c r="V1452" s="90"/>
      <c r="W1452" s="90"/>
      <c r="X1452" s="90"/>
      <c r="Y1452" s="24"/>
      <c r="Z1452" s="24"/>
      <c r="AA1452" s="24"/>
      <c r="AB1452" s="24"/>
      <c r="AC1452" s="24"/>
      <c r="AD1452" s="24"/>
      <c r="AE1452" s="24"/>
      <c r="AF1452" s="24"/>
      <c r="AG1452" s="24"/>
      <c r="AH1452" s="24"/>
      <c r="AI1452" s="24"/>
      <c r="AJ1452" s="24"/>
      <c r="AK1452" s="24"/>
    </row>
    <row r="1453" spans="1:37" x14ac:dyDescent="0.25">
      <c r="A1453" s="24"/>
      <c r="B1453" s="90"/>
      <c r="C1453" s="92"/>
      <c r="D1453" s="24"/>
      <c r="E1453" s="90"/>
      <c r="F1453" s="90"/>
      <c r="G1453" s="24"/>
      <c r="H1453" s="90"/>
      <c r="I1453" s="24"/>
      <c r="J1453" s="90"/>
      <c r="K1453" s="90"/>
      <c r="L1453" s="24"/>
      <c r="M1453" s="24"/>
      <c r="N1453" s="24"/>
      <c r="O1453" s="90"/>
      <c r="P1453" s="24"/>
      <c r="Q1453" s="24"/>
      <c r="R1453" s="24"/>
      <c r="S1453" s="90"/>
      <c r="T1453" s="90"/>
      <c r="U1453" s="24"/>
      <c r="V1453" s="90"/>
      <c r="W1453" s="90"/>
      <c r="X1453" s="90"/>
      <c r="Y1453" s="24"/>
      <c r="Z1453" s="24"/>
      <c r="AA1453" s="24"/>
      <c r="AB1453" s="24"/>
      <c r="AC1453" s="24"/>
      <c r="AD1453" s="24"/>
      <c r="AE1453" s="24"/>
      <c r="AF1453" s="24"/>
      <c r="AG1453" s="24"/>
      <c r="AH1453" s="24"/>
      <c r="AI1453" s="24"/>
      <c r="AJ1453" s="24"/>
      <c r="AK1453" s="24"/>
    </row>
    <row r="1454" spans="1:37" x14ac:dyDescent="0.25">
      <c r="A1454" s="24"/>
      <c r="B1454" s="90"/>
      <c r="C1454" s="92"/>
      <c r="D1454" s="24"/>
      <c r="E1454" s="90"/>
      <c r="F1454" s="90"/>
      <c r="G1454" s="24"/>
      <c r="H1454" s="90"/>
      <c r="I1454" s="24"/>
      <c r="J1454" s="90"/>
      <c r="K1454" s="90"/>
      <c r="L1454" s="24"/>
      <c r="M1454" s="24"/>
      <c r="N1454" s="24"/>
      <c r="O1454" s="90"/>
      <c r="P1454" s="24"/>
      <c r="Q1454" s="24"/>
      <c r="R1454" s="24"/>
      <c r="S1454" s="90"/>
      <c r="T1454" s="90"/>
      <c r="U1454" s="24"/>
      <c r="V1454" s="90"/>
      <c r="W1454" s="90"/>
      <c r="X1454" s="90"/>
      <c r="Y1454" s="24"/>
      <c r="Z1454" s="24"/>
      <c r="AA1454" s="24"/>
      <c r="AB1454" s="24"/>
      <c r="AC1454" s="24"/>
      <c r="AD1454" s="24"/>
      <c r="AE1454" s="24"/>
      <c r="AF1454" s="24"/>
      <c r="AG1454" s="24"/>
      <c r="AH1454" s="24"/>
      <c r="AI1454" s="24"/>
      <c r="AJ1454" s="24"/>
      <c r="AK1454" s="24"/>
    </row>
    <row r="1455" spans="1:37" x14ac:dyDescent="0.25">
      <c r="A1455" s="24"/>
      <c r="B1455" s="90"/>
      <c r="C1455" s="92"/>
      <c r="D1455" s="24"/>
      <c r="E1455" s="90"/>
      <c r="F1455" s="90"/>
      <c r="G1455" s="24"/>
      <c r="H1455" s="90"/>
      <c r="I1455" s="24"/>
      <c r="J1455" s="90"/>
      <c r="K1455" s="90"/>
      <c r="L1455" s="24"/>
      <c r="M1455" s="24"/>
      <c r="N1455" s="24"/>
      <c r="O1455" s="90"/>
      <c r="P1455" s="24"/>
      <c r="Q1455" s="24"/>
      <c r="R1455" s="24"/>
      <c r="S1455" s="90"/>
      <c r="T1455" s="90"/>
      <c r="U1455" s="24"/>
      <c r="V1455" s="90"/>
      <c r="W1455" s="90"/>
      <c r="X1455" s="90"/>
      <c r="Y1455" s="24"/>
      <c r="Z1455" s="24"/>
      <c r="AA1455" s="24"/>
      <c r="AB1455" s="24"/>
      <c r="AC1455" s="24"/>
      <c r="AD1455" s="24"/>
      <c r="AE1455" s="24"/>
      <c r="AF1455" s="24"/>
      <c r="AG1455" s="24"/>
      <c r="AH1455" s="24"/>
      <c r="AI1455" s="24"/>
      <c r="AJ1455" s="24"/>
      <c r="AK1455" s="24"/>
    </row>
    <row r="1456" spans="1:37" x14ac:dyDescent="0.25">
      <c r="A1456" s="24"/>
      <c r="B1456" s="90"/>
      <c r="C1456" s="92"/>
      <c r="D1456" s="24"/>
      <c r="E1456" s="90"/>
      <c r="F1456" s="90"/>
      <c r="G1456" s="24"/>
      <c r="H1456" s="90"/>
      <c r="I1456" s="24"/>
      <c r="J1456" s="90"/>
      <c r="K1456" s="90"/>
      <c r="L1456" s="24"/>
      <c r="M1456" s="24"/>
      <c r="N1456" s="24"/>
      <c r="O1456" s="90"/>
      <c r="P1456" s="24"/>
      <c r="Q1456" s="24"/>
      <c r="R1456" s="24"/>
      <c r="S1456" s="90"/>
      <c r="T1456" s="90"/>
      <c r="U1456" s="24"/>
      <c r="V1456" s="90"/>
      <c r="W1456" s="90"/>
      <c r="X1456" s="90"/>
      <c r="Y1456" s="24"/>
      <c r="Z1456" s="24"/>
      <c r="AA1456" s="24"/>
      <c r="AB1456" s="24"/>
      <c r="AC1456" s="24"/>
      <c r="AD1456" s="24"/>
      <c r="AE1456" s="24"/>
      <c r="AF1456" s="24"/>
      <c r="AG1456" s="24"/>
      <c r="AH1456" s="24"/>
      <c r="AI1456" s="24"/>
      <c r="AJ1456" s="24"/>
      <c r="AK1456" s="24"/>
    </row>
    <row r="1457" spans="1:37" x14ac:dyDescent="0.25">
      <c r="A1457" s="24"/>
      <c r="B1457" s="90"/>
      <c r="C1457" s="92"/>
      <c r="D1457" s="24"/>
      <c r="E1457" s="90"/>
      <c r="F1457" s="90"/>
      <c r="G1457" s="24"/>
      <c r="H1457" s="90"/>
      <c r="I1457" s="24"/>
      <c r="J1457" s="90"/>
      <c r="K1457" s="90"/>
      <c r="L1457" s="24"/>
      <c r="M1457" s="24"/>
      <c r="N1457" s="24"/>
      <c r="O1457" s="90"/>
      <c r="P1457" s="24"/>
      <c r="Q1457" s="24"/>
      <c r="R1457" s="24"/>
      <c r="S1457" s="90"/>
      <c r="T1457" s="90"/>
      <c r="U1457" s="24"/>
      <c r="V1457" s="90"/>
      <c r="W1457" s="90"/>
      <c r="X1457" s="90"/>
      <c r="Y1457" s="24"/>
      <c r="Z1457" s="24"/>
      <c r="AA1457" s="24"/>
      <c r="AB1457" s="24"/>
      <c r="AC1457" s="24"/>
      <c r="AD1457" s="24"/>
      <c r="AE1457" s="24"/>
      <c r="AF1457" s="24"/>
      <c r="AG1457" s="24"/>
      <c r="AH1457" s="24"/>
      <c r="AI1457" s="24"/>
      <c r="AJ1457" s="24"/>
      <c r="AK1457" s="24"/>
    </row>
    <row r="1458" spans="1:37" x14ac:dyDescent="0.25">
      <c r="A1458" s="24"/>
      <c r="B1458" s="90"/>
      <c r="C1458" s="92"/>
      <c r="D1458" s="24"/>
      <c r="E1458" s="90"/>
      <c r="F1458" s="90"/>
      <c r="G1458" s="24"/>
      <c r="H1458" s="90"/>
      <c r="I1458" s="24"/>
      <c r="J1458" s="90"/>
      <c r="K1458" s="90"/>
      <c r="L1458" s="24"/>
      <c r="M1458" s="24"/>
      <c r="N1458" s="24"/>
      <c r="O1458" s="90"/>
      <c r="P1458" s="24"/>
      <c r="Q1458" s="24"/>
      <c r="R1458" s="24"/>
      <c r="S1458" s="90"/>
      <c r="T1458" s="90"/>
      <c r="U1458" s="24"/>
      <c r="V1458" s="90"/>
      <c r="W1458" s="90"/>
      <c r="X1458" s="90"/>
      <c r="Y1458" s="24"/>
      <c r="Z1458" s="24"/>
      <c r="AA1458" s="24"/>
      <c r="AB1458" s="24"/>
      <c r="AC1458" s="24"/>
      <c r="AD1458" s="24"/>
      <c r="AE1458" s="24"/>
      <c r="AF1458" s="24"/>
      <c r="AG1458" s="24"/>
      <c r="AH1458" s="24"/>
      <c r="AI1458" s="24"/>
      <c r="AJ1458" s="24"/>
      <c r="AK1458" s="24"/>
    </row>
    <row r="1459" spans="1:37" x14ac:dyDescent="0.25">
      <c r="A1459" s="24"/>
      <c r="B1459" s="90"/>
      <c r="C1459" s="92"/>
      <c r="D1459" s="24"/>
      <c r="E1459" s="90"/>
      <c r="F1459" s="90"/>
      <c r="G1459" s="24"/>
      <c r="H1459" s="90"/>
      <c r="I1459" s="24"/>
      <c r="J1459" s="90"/>
      <c r="K1459" s="90"/>
      <c r="L1459" s="24"/>
      <c r="M1459" s="24"/>
      <c r="N1459" s="24"/>
      <c r="O1459" s="90"/>
      <c r="P1459" s="24"/>
      <c r="Q1459" s="24"/>
      <c r="R1459" s="24"/>
      <c r="S1459" s="90"/>
      <c r="T1459" s="90"/>
      <c r="U1459" s="24"/>
      <c r="V1459" s="90"/>
      <c r="W1459" s="90"/>
      <c r="X1459" s="90"/>
      <c r="Y1459" s="24"/>
      <c r="Z1459" s="24"/>
      <c r="AA1459" s="24"/>
      <c r="AB1459" s="24"/>
      <c r="AC1459" s="24"/>
      <c r="AD1459" s="24"/>
      <c r="AE1459" s="24"/>
      <c r="AF1459" s="24"/>
      <c r="AG1459" s="24"/>
      <c r="AH1459" s="24"/>
      <c r="AI1459" s="24"/>
      <c r="AJ1459" s="24"/>
      <c r="AK1459" s="24"/>
    </row>
    <row r="1460" spans="1:37" x14ac:dyDescent="0.25">
      <c r="A1460" s="24"/>
      <c r="B1460" s="90"/>
      <c r="C1460" s="92"/>
      <c r="D1460" s="24"/>
      <c r="E1460" s="90"/>
      <c r="F1460" s="90"/>
      <c r="G1460" s="24"/>
      <c r="H1460" s="90"/>
      <c r="I1460" s="24"/>
      <c r="J1460" s="90"/>
      <c r="K1460" s="90"/>
      <c r="L1460" s="24"/>
      <c r="M1460" s="24"/>
      <c r="N1460" s="24"/>
      <c r="O1460" s="90"/>
      <c r="P1460" s="24"/>
      <c r="Q1460" s="24"/>
      <c r="R1460" s="24"/>
      <c r="S1460" s="90"/>
      <c r="T1460" s="90"/>
      <c r="U1460" s="24"/>
      <c r="V1460" s="90"/>
      <c r="W1460" s="90"/>
      <c r="X1460" s="90"/>
      <c r="Y1460" s="24"/>
      <c r="Z1460" s="24"/>
      <c r="AA1460" s="24"/>
      <c r="AB1460" s="24"/>
      <c r="AC1460" s="24"/>
      <c r="AD1460" s="24"/>
      <c r="AE1460" s="24"/>
      <c r="AF1460" s="24"/>
      <c r="AG1460" s="24"/>
      <c r="AH1460" s="24"/>
      <c r="AI1460" s="24"/>
      <c r="AJ1460" s="24"/>
      <c r="AK1460" s="24"/>
    </row>
    <row r="1461" spans="1:37" x14ac:dyDescent="0.25">
      <c r="A1461" s="24"/>
      <c r="B1461" s="90"/>
      <c r="C1461" s="92"/>
      <c r="D1461" s="24"/>
      <c r="E1461" s="90"/>
      <c r="F1461" s="90"/>
      <c r="G1461" s="24"/>
      <c r="H1461" s="90"/>
      <c r="I1461" s="24"/>
      <c r="J1461" s="90"/>
      <c r="K1461" s="90"/>
      <c r="L1461" s="24"/>
      <c r="M1461" s="24"/>
      <c r="N1461" s="24"/>
      <c r="O1461" s="90"/>
      <c r="P1461" s="24"/>
      <c r="Q1461" s="24"/>
      <c r="R1461" s="24"/>
      <c r="S1461" s="90"/>
      <c r="T1461" s="90"/>
      <c r="U1461" s="24"/>
      <c r="V1461" s="90"/>
      <c r="W1461" s="90"/>
      <c r="X1461" s="90"/>
      <c r="Y1461" s="24"/>
      <c r="Z1461" s="24"/>
      <c r="AA1461" s="24"/>
      <c r="AB1461" s="24"/>
      <c r="AC1461" s="24"/>
      <c r="AD1461" s="24"/>
      <c r="AE1461" s="24"/>
      <c r="AF1461" s="24"/>
      <c r="AG1461" s="24"/>
      <c r="AH1461" s="24"/>
      <c r="AI1461" s="24"/>
      <c r="AJ1461" s="24"/>
      <c r="AK1461" s="24"/>
    </row>
    <row r="1462" spans="1:37" x14ac:dyDescent="0.25">
      <c r="A1462" s="24"/>
      <c r="B1462" s="90"/>
      <c r="C1462" s="92"/>
      <c r="D1462" s="24"/>
      <c r="E1462" s="90"/>
      <c r="F1462" s="90"/>
      <c r="G1462" s="24"/>
      <c r="H1462" s="90"/>
      <c r="I1462" s="24"/>
      <c r="J1462" s="90"/>
      <c r="K1462" s="90"/>
      <c r="L1462" s="24"/>
      <c r="M1462" s="24"/>
      <c r="N1462" s="24"/>
      <c r="O1462" s="90"/>
      <c r="P1462" s="24"/>
      <c r="Q1462" s="24"/>
      <c r="R1462" s="24"/>
      <c r="S1462" s="90"/>
      <c r="T1462" s="90"/>
      <c r="U1462" s="24"/>
      <c r="V1462" s="90"/>
      <c r="W1462" s="90"/>
      <c r="X1462" s="90"/>
      <c r="Y1462" s="24"/>
      <c r="Z1462" s="24"/>
      <c r="AA1462" s="24"/>
      <c r="AB1462" s="24"/>
      <c r="AC1462" s="24"/>
      <c r="AD1462" s="24"/>
      <c r="AE1462" s="24"/>
      <c r="AF1462" s="24"/>
      <c r="AG1462" s="24"/>
      <c r="AH1462" s="24"/>
      <c r="AI1462" s="24"/>
      <c r="AJ1462" s="24"/>
      <c r="AK1462" s="24"/>
    </row>
    <row r="1463" spans="1:37" x14ac:dyDescent="0.25">
      <c r="A1463" s="24"/>
      <c r="B1463" s="90"/>
      <c r="C1463" s="92"/>
      <c r="D1463" s="24"/>
      <c r="E1463" s="90"/>
      <c r="F1463" s="90"/>
      <c r="G1463" s="24"/>
      <c r="H1463" s="90"/>
      <c r="I1463" s="24"/>
      <c r="J1463" s="90"/>
      <c r="K1463" s="90"/>
      <c r="L1463" s="24"/>
      <c r="M1463" s="24"/>
      <c r="N1463" s="24"/>
      <c r="O1463" s="90"/>
      <c r="P1463" s="24"/>
      <c r="Q1463" s="24"/>
      <c r="R1463" s="24"/>
      <c r="S1463" s="90"/>
      <c r="T1463" s="90"/>
      <c r="U1463" s="24"/>
      <c r="V1463" s="90"/>
      <c r="W1463" s="90"/>
      <c r="X1463" s="90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4"/>
      <c r="AI1463" s="24"/>
      <c r="AJ1463" s="24"/>
      <c r="AK1463" s="24"/>
    </row>
    <row r="1464" spans="1:37" x14ac:dyDescent="0.25">
      <c r="A1464" s="24"/>
      <c r="B1464" s="90"/>
      <c r="C1464" s="92"/>
      <c r="D1464" s="24"/>
      <c r="E1464" s="90"/>
      <c r="F1464" s="90"/>
      <c r="G1464" s="24"/>
      <c r="H1464" s="90"/>
      <c r="I1464" s="24"/>
      <c r="J1464" s="90"/>
      <c r="K1464" s="90"/>
      <c r="L1464" s="24"/>
      <c r="M1464" s="24"/>
      <c r="N1464" s="24"/>
      <c r="O1464" s="90"/>
      <c r="P1464" s="24"/>
      <c r="Q1464" s="24"/>
      <c r="R1464" s="24"/>
      <c r="S1464" s="90"/>
      <c r="T1464" s="90"/>
      <c r="U1464" s="24"/>
      <c r="V1464" s="90"/>
      <c r="W1464" s="90"/>
      <c r="X1464" s="90"/>
      <c r="Y1464" s="24"/>
      <c r="Z1464" s="24"/>
      <c r="AA1464" s="24"/>
      <c r="AB1464" s="24"/>
      <c r="AC1464" s="24"/>
      <c r="AD1464" s="24"/>
      <c r="AE1464" s="24"/>
      <c r="AF1464" s="24"/>
      <c r="AG1464" s="24"/>
      <c r="AH1464" s="24"/>
      <c r="AI1464" s="24"/>
      <c r="AJ1464" s="24"/>
      <c r="AK1464" s="24"/>
    </row>
    <row r="1465" spans="1:37" x14ac:dyDescent="0.25">
      <c r="A1465" s="24"/>
      <c r="B1465" s="90"/>
      <c r="C1465" s="92"/>
      <c r="D1465" s="24"/>
      <c r="E1465" s="90"/>
      <c r="F1465" s="90"/>
      <c r="G1465" s="24"/>
      <c r="H1465" s="90"/>
      <c r="I1465" s="24"/>
      <c r="J1465" s="90"/>
      <c r="K1465" s="90"/>
      <c r="L1465" s="24"/>
      <c r="M1465" s="24"/>
      <c r="N1465" s="24"/>
      <c r="O1465" s="90"/>
      <c r="P1465" s="24"/>
      <c r="Q1465" s="24"/>
      <c r="R1465" s="24"/>
      <c r="S1465" s="90"/>
      <c r="T1465" s="90"/>
      <c r="U1465" s="24"/>
      <c r="V1465" s="90"/>
      <c r="W1465" s="90"/>
      <c r="X1465" s="90"/>
      <c r="Y1465" s="24"/>
      <c r="Z1465" s="24"/>
      <c r="AA1465" s="24"/>
      <c r="AB1465" s="24"/>
      <c r="AC1465" s="24"/>
      <c r="AD1465" s="24"/>
      <c r="AE1465" s="24"/>
      <c r="AF1465" s="24"/>
      <c r="AG1465" s="24"/>
      <c r="AH1465" s="24"/>
      <c r="AI1465" s="24"/>
      <c r="AJ1465" s="24"/>
      <c r="AK1465" s="24"/>
    </row>
    <row r="1466" spans="1:37" x14ac:dyDescent="0.25">
      <c r="A1466" s="24"/>
      <c r="B1466" s="90"/>
      <c r="C1466" s="92"/>
      <c r="D1466" s="24"/>
      <c r="E1466" s="90"/>
      <c r="F1466" s="90"/>
      <c r="G1466" s="24"/>
      <c r="H1466" s="90"/>
      <c r="I1466" s="24"/>
      <c r="J1466" s="90"/>
      <c r="K1466" s="90"/>
      <c r="L1466" s="24"/>
      <c r="M1466" s="24"/>
      <c r="N1466" s="24"/>
      <c r="O1466" s="90"/>
      <c r="P1466" s="24"/>
      <c r="Q1466" s="24"/>
      <c r="R1466" s="24"/>
      <c r="S1466" s="90"/>
      <c r="T1466" s="90"/>
      <c r="U1466" s="24"/>
      <c r="V1466" s="90"/>
      <c r="W1466" s="90"/>
      <c r="X1466" s="90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24"/>
      <c r="AJ1466" s="24"/>
      <c r="AK1466" s="24"/>
    </row>
    <row r="1467" spans="1:37" x14ac:dyDescent="0.25">
      <c r="A1467" s="24"/>
      <c r="B1467" s="90"/>
      <c r="C1467" s="92"/>
      <c r="D1467" s="24"/>
      <c r="E1467" s="90"/>
      <c r="F1467" s="90"/>
      <c r="G1467" s="24"/>
      <c r="H1467" s="90"/>
      <c r="I1467" s="24"/>
      <c r="J1467" s="90"/>
      <c r="K1467" s="90"/>
      <c r="L1467" s="24"/>
      <c r="M1467" s="24"/>
      <c r="N1467" s="24"/>
      <c r="O1467" s="90"/>
      <c r="P1467" s="24"/>
      <c r="Q1467" s="24"/>
      <c r="R1467" s="24"/>
      <c r="S1467" s="90"/>
      <c r="T1467" s="90"/>
      <c r="U1467" s="24"/>
      <c r="V1467" s="90"/>
      <c r="W1467" s="90"/>
      <c r="X1467" s="90"/>
      <c r="Y1467" s="24"/>
      <c r="Z1467" s="24"/>
      <c r="AA1467" s="24"/>
      <c r="AB1467" s="24"/>
      <c r="AC1467" s="24"/>
      <c r="AD1467" s="24"/>
      <c r="AE1467" s="24"/>
      <c r="AF1467" s="24"/>
      <c r="AG1467" s="24"/>
      <c r="AH1467" s="24"/>
      <c r="AI1467" s="24"/>
      <c r="AJ1467" s="24"/>
      <c r="AK1467" s="24"/>
    </row>
    <row r="1468" spans="1:37" x14ac:dyDescent="0.25">
      <c r="A1468" s="24"/>
      <c r="B1468" s="90"/>
      <c r="C1468" s="92"/>
      <c r="D1468" s="24"/>
      <c r="E1468" s="90"/>
      <c r="F1468" s="90"/>
      <c r="G1468" s="24"/>
      <c r="H1468" s="90"/>
      <c r="I1468" s="24"/>
      <c r="J1468" s="90"/>
      <c r="K1468" s="90"/>
      <c r="L1468" s="24"/>
      <c r="M1468" s="24"/>
      <c r="N1468" s="24"/>
      <c r="O1468" s="90"/>
      <c r="P1468" s="24"/>
      <c r="Q1468" s="24"/>
      <c r="R1468" s="24"/>
      <c r="S1468" s="90"/>
      <c r="T1468" s="90"/>
      <c r="U1468" s="24"/>
      <c r="V1468" s="90"/>
      <c r="W1468" s="90"/>
      <c r="X1468" s="90"/>
      <c r="Y1468" s="24"/>
      <c r="Z1468" s="24"/>
      <c r="AA1468" s="24"/>
      <c r="AB1468" s="24"/>
      <c r="AC1468" s="24"/>
      <c r="AD1468" s="24"/>
      <c r="AE1468" s="24"/>
      <c r="AF1468" s="24"/>
      <c r="AG1468" s="24"/>
      <c r="AH1468" s="24"/>
      <c r="AI1468" s="24"/>
      <c r="AJ1468" s="24"/>
      <c r="AK1468" s="24"/>
    </row>
    <row r="1469" spans="1:37" x14ac:dyDescent="0.25">
      <c r="A1469" s="24"/>
      <c r="B1469" s="90"/>
      <c r="C1469" s="92"/>
      <c r="D1469" s="24"/>
      <c r="E1469" s="90"/>
      <c r="F1469" s="90"/>
      <c r="G1469" s="24"/>
      <c r="H1469" s="90"/>
      <c r="I1469" s="24"/>
      <c r="J1469" s="90"/>
      <c r="K1469" s="90"/>
      <c r="L1469" s="24"/>
      <c r="M1469" s="24"/>
      <c r="N1469" s="24"/>
      <c r="O1469" s="90"/>
      <c r="P1469" s="24"/>
      <c r="Q1469" s="24"/>
      <c r="R1469" s="24"/>
      <c r="S1469" s="90"/>
      <c r="T1469" s="90"/>
      <c r="U1469" s="24"/>
      <c r="V1469" s="90"/>
      <c r="W1469" s="90"/>
      <c r="X1469" s="90"/>
      <c r="Y1469" s="24"/>
      <c r="Z1469" s="24"/>
      <c r="AA1469" s="24"/>
      <c r="AB1469" s="24"/>
      <c r="AC1469" s="24"/>
      <c r="AD1469" s="24"/>
      <c r="AE1469" s="24"/>
      <c r="AF1469" s="24"/>
      <c r="AG1469" s="24"/>
      <c r="AH1469" s="24"/>
      <c r="AI1469" s="24"/>
      <c r="AJ1469" s="24"/>
      <c r="AK1469" s="24"/>
    </row>
    <row r="1470" spans="1:37" x14ac:dyDescent="0.25">
      <c r="A1470" s="24"/>
      <c r="B1470" s="90"/>
      <c r="C1470" s="92"/>
      <c r="D1470" s="24"/>
      <c r="E1470" s="90"/>
      <c r="F1470" s="90"/>
      <c r="G1470" s="24"/>
      <c r="H1470" s="90"/>
      <c r="I1470" s="24"/>
      <c r="J1470" s="90"/>
      <c r="K1470" s="90"/>
      <c r="L1470" s="24"/>
      <c r="M1470" s="24"/>
      <c r="N1470" s="24"/>
      <c r="O1470" s="90"/>
      <c r="P1470" s="24"/>
      <c r="Q1470" s="24"/>
      <c r="R1470" s="24"/>
      <c r="S1470" s="90"/>
      <c r="T1470" s="90"/>
      <c r="U1470" s="24"/>
      <c r="V1470" s="90"/>
      <c r="W1470" s="90"/>
      <c r="X1470" s="90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</row>
    <row r="1471" spans="1:37" x14ac:dyDescent="0.25">
      <c r="A1471" s="24"/>
      <c r="B1471" s="90"/>
      <c r="C1471" s="92"/>
      <c r="D1471" s="24"/>
      <c r="E1471" s="90"/>
      <c r="F1471" s="90"/>
      <c r="G1471" s="24"/>
      <c r="H1471" s="90"/>
      <c r="I1471" s="24"/>
      <c r="J1471" s="90"/>
      <c r="K1471" s="90"/>
      <c r="L1471" s="24"/>
      <c r="M1471" s="24"/>
      <c r="N1471" s="24"/>
      <c r="O1471" s="90"/>
      <c r="P1471" s="24"/>
      <c r="Q1471" s="24"/>
      <c r="R1471" s="24"/>
      <c r="S1471" s="90"/>
      <c r="T1471" s="90"/>
      <c r="U1471" s="24"/>
      <c r="V1471" s="90"/>
      <c r="W1471" s="90"/>
      <c r="X1471" s="90"/>
      <c r="Y1471" s="24"/>
      <c r="Z1471" s="24"/>
      <c r="AA1471" s="24"/>
      <c r="AB1471" s="24"/>
      <c r="AC1471" s="24"/>
      <c r="AD1471" s="24"/>
      <c r="AE1471" s="24"/>
      <c r="AF1471" s="24"/>
      <c r="AG1471" s="24"/>
      <c r="AH1471" s="24"/>
      <c r="AI1471" s="24"/>
      <c r="AJ1471" s="24"/>
      <c r="AK1471" s="24"/>
    </row>
    <row r="1472" spans="1:37" x14ac:dyDescent="0.25">
      <c r="A1472" s="24"/>
      <c r="B1472" s="90"/>
      <c r="C1472" s="92"/>
      <c r="D1472" s="24"/>
      <c r="E1472" s="90"/>
      <c r="F1472" s="90"/>
      <c r="G1472" s="24"/>
      <c r="H1472" s="90"/>
      <c r="I1472" s="24"/>
      <c r="J1472" s="90"/>
      <c r="K1472" s="90"/>
      <c r="L1472" s="24"/>
      <c r="M1472" s="24"/>
      <c r="N1472" s="24"/>
      <c r="O1472" s="90"/>
      <c r="P1472" s="24"/>
      <c r="Q1472" s="24"/>
      <c r="R1472" s="24"/>
      <c r="S1472" s="90"/>
      <c r="T1472" s="90"/>
      <c r="U1472" s="24"/>
      <c r="V1472" s="90"/>
      <c r="W1472" s="90"/>
      <c r="X1472" s="90"/>
      <c r="Y1472" s="24"/>
      <c r="Z1472" s="24"/>
      <c r="AA1472" s="24"/>
      <c r="AB1472" s="24"/>
      <c r="AC1472" s="24"/>
      <c r="AD1472" s="24"/>
      <c r="AE1472" s="24"/>
      <c r="AF1472" s="24"/>
      <c r="AG1472" s="24"/>
      <c r="AH1472" s="24"/>
      <c r="AI1472" s="24"/>
      <c r="AJ1472" s="24"/>
      <c r="AK1472" s="24"/>
    </row>
    <row r="1473" spans="1:37" x14ac:dyDescent="0.25">
      <c r="A1473" s="24"/>
      <c r="B1473" s="90"/>
      <c r="C1473" s="92"/>
      <c r="D1473" s="24"/>
      <c r="E1473" s="90"/>
      <c r="F1473" s="90"/>
      <c r="G1473" s="24"/>
      <c r="H1473" s="90"/>
      <c r="I1473" s="24"/>
      <c r="J1473" s="90"/>
      <c r="K1473" s="90"/>
      <c r="L1473" s="24"/>
      <c r="M1473" s="24"/>
      <c r="N1473" s="24"/>
      <c r="O1473" s="90"/>
      <c r="P1473" s="24"/>
      <c r="Q1473" s="24"/>
      <c r="R1473" s="24"/>
      <c r="S1473" s="90"/>
      <c r="T1473" s="90"/>
      <c r="U1473" s="24"/>
      <c r="V1473" s="90"/>
      <c r="W1473" s="90"/>
      <c r="X1473" s="90"/>
      <c r="Y1473" s="24"/>
      <c r="Z1473" s="24"/>
      <c r="AA1473" s="24"/>
      <c r="AB1473" s="24"/>
      <c r="AC1473" s="24"/>
      <c r="AD1473" s="24"/>
      <c r="AE1473" s="24"/>
      <c r="AF1473" s="24"/>
      <c r="AG1473" s="24"/>
      <c r="AH1473" s="24"/>
      <c r="AI1473" s="24"/>
      <c r="AJ1473" s="24"/>
      <c r="AK1473" s="24"/>
    </row>
    <row r="1474" spans="1:37" x14ac:dyDescent="0.25">
      <c r="A1474" s="24"/>
      <c r="B1474" s="90"/>
      <c r="C1474" s="92"/>
      <c r="D1474" s="24"/>
      <c r="E1474" s="90"/>
      <c r="F1474" s="90"/>
      <c r="G1474" s="24"/>
      <c r="H1474" s="90"/>
      <c r="I1474" s="24"/>
      <c r="J1474" s="90"/>
      <c r="K1474" s="90"/>
      <c r="L1474" s="24"/>
      <c r="M1474" s="24"/>
      <c r="N1474" s="24"/>
      <c r="O1474" s="90"/>
      <c r="P1474" s="24"/>
      <c r="Q1474" s="24"/>
      <c r="R1474" s="24"/>
      <c r="S1474" s="90"/>
      <c r="T1474" s="90"/>
      <c r="U1474" s="24"/>
      <c r="V1474" s="90"/>
      <c r="W1474" s="90"/>
      <c r="X1474" s="90"/>
      <c r="Y1474" s="24"/>
      <c r="Z1474" s="24"/>
      <c r="AA1474" s="24"/>
      <c r="AB1474" s="24"/>
      <c r="AC1474" s="24"/>
      <c r="AD1474" s="24"/>
      <c r="AE1474" s="24"/>
      <c r="AF1474" s="24"/>
      <c r="AG1474" s="24"/>
      <c r="AH1474" s="24"/>
      <c r="AI1474" s="24"/>
      <c r="AJ1474" s="24"/>
      <c r="AK1474" s="24"/>
    </row>
    <row r="1475" spans="1:37" x14ac:dyDescent="0.25">
      <c r="A1475" s="24"/>
      <c r="B1475" s="90"/>
      <c r="C1475" s="92"/>
      <c r="D1475" s="24"/>
      <c r="E1475" s="90"/>
      <c r="F1475" s="90"/>
      <c r="G1475" s="24"/>
      <c r="H1475" s="90"/>
      <c r="I1475" s="24"/>
      <c r="J1475" s="90"/>
      <c r="K1475" s="90"/>
      <c r="L1475" s="24"/>
      <c r="M1475" s="24"/>
      <c r="N1475" s="24"/>
      <c r="O1475" s="90"/>
      <c r="P1475" s="24"/>
      <c r="Q1475" s="24"/>
      <c r="R1475" s="24"/>
      <c r="S1475" s="90"/>
      <c r="T1475" s="90"/>
      <c r="U1475" s="24"/>
      <c r="V1475" s="90"/>
      <c r="W1475" s="90"/>
      <c r="X1475" s="90"/>
      <c r="Y1475" s="24"/>
      <c r="Z1475" s="24"/>
      <c r="AA1475" s="24"/>
      <c r="AB1475" s="24"/>
      <c r="AC1475" s="24"/>
      <c r="AD1475" s="24"/>
      <c r="AE1475" s="24"/>
      <c r="AF1475" s="24"/>
      <c r="AG1475" s="24"/>
      <c r="AH1475" s="24"/>
      <c r="AI1475" s="24"/>
      <c r="AJ1475" s="24"/>
      <c r="AK1475" s="24"/>
    </row>
    <row r="1476" spans="1:37" x14ac:dyDescent="0.25">
      <c r="A1476" s="24"/>
      <c r="B1476" s="90"/>
      <c r="C1476" s="92"/>
      <c r="D1476" s="24"/>
      <c r="E1476" s="90"/>
      <c r="F1476" s="90"/>
      <c r="G1476" s="24"/>
      <c r="H1476" s="90"/>
      <c r="I1476" s="24"/>
      <c r="J1476" s="90"/>
      <c r="K1476" s="90"/>
      <c r="L1476" s="24"/>
      <c r="M1476" s="24"/>
      <c r="N1476" s="24"/>
      <c r="O1476" s="90"/>
      <c r="P1476" s="24"/>
      <c r="Q1476" s="24"/>
      <c r="R1476" s="24"/>
      <c r="S1476" s="90"/>
      <c r="T1476" s="90"/>
      <c r="U1476" s="24"/>
      <c r="V1476" s="90"/>
      <c r="W1476" s="90"/>
      <c r="X1476" s="90"/>
      <c r="Y1476" s="24"/>
      <c r="Z1476" s="24"/>
      <c r="AA1476" s="24"/>
      <c r="AB1476" s="24"/>
      <c r="AC1476" s="24"/>
      <c r="AD1476" s="24"/>
      <c r="AE1476" s="24"/>
      <c r="AF1476" s="24"/>
      <c r="AG1476" s="24"/>
      <c r="AH1476" s="24"/>
      <c r="AI1476" s="24"/>
      <c r="AJ1476" s="24"/>
      <c r="AK1476" s="24"/>
    </row>
    <row r="1477" spans="1:37" x14ac:dyDescent="0.25">
      <c r="A1477" s="24"/>
      <c r="B1477" s="90"/>
      <c r="C1477" s="92"/>
      <c r="D1477" s="24"/>
      <c r="E1477" s="90"/>
      <c r="F1477" s="90"/>
      <c r="G1477" s="24"/>
      <c r="H1477" s="90"/>
      <c r="I1477" s="24"/>
      <c r="J1477" s="90"/>
      <c r="K1477" s="90"/>
      <c r="L1477" s="24"/>
      <c r="M1477" s="24"/>
      <c r="N1477" s="24"/>
      <c r="O1477" s="90"/>
      <c r="P1477" s="24"/>
      <c r="Q1477" s="24"/>
      <c r="R1477" s="24"/>
      <c r="S1477" s="90"/>
      <c r="T1477" s="90"/>
      <c r="U1477" s="24"/>
      <c r="V1477" s="90"/>
      <c r="W1477" s="90"/>
      <c r="X1477" s="90"/>
      <c r="Y1477" s="24"/>
      <c r="Z1477" s="24"/>
      <c r="AA1477" s="24"/>
      <c r="AB1477" s="24"/>
      <c r="AC1477" s="24"/>
      <c r="AD1477" s="24"/>
      <c r="AE1477" s="24"/>
      <c r="AF1477" s="24"/>
      <c r="AG1477" s="24"/>
      <c r="AH1477" s="24"/>
      <c r="AI1477" s="24"/>
      <c r="AJ1477" s="24"/>
      <c r="AK1477" s="24"/>
    </row>
    <row r="1478" spans="1:37" x14ac:dyDescent="0.25">
      <c r="A1478" s="24"/>
      <c r="B1478" s="90"/>
      <c r="C1478" s="92"/>
      <c r="D1478" s="24"/>
      <c r="E1478" s="90"/>
      <c r="F1478" s="90"/>
      <c r="G1478" s="24"/>
      <c r="H1478" s="90"/>
      <c r="I1478" s="24"/>
      <c r="J1478" s="90"/>
      <c r="K1478" s="90"/>
      <c r="L1478" s="24"/>
      <c r="M1478" s="24"/>
      <c r="N1478" s="24"/>
      <c r="O1478" s="90"/>
      <c r="P1478" s="24"/>
      <c r="Q1478" s="24"/>
      <c r="R1478" s="24"/>
      <c r="S1478" s="90"/>
      <c r="T1478" s="90"/>
      <c r="U1478" s="24"/>
      <c r="V1478" s="90"/>
      <c r="W1478" s="90"/>
      <c r="X1478" s="90"/>
      <c r="Y1478" s="24"/>
      <c r="Z1478" s="24"/>
      <c r="AA1478" s="24"/>
      <c r="AB1478" s="24"/>
      <c r="AC1478" s="24"/>
      <c r="AD1478" s="24"/>
      <c r="AE1478" s="24"/>
      <c r="AF1478" s="24"/>
      <c r="AG1478" s="24"/>
      <c r="AH1478" s="24"/>
      <c r="AI1478" s="24"/>
      <c r="AJ1478" s="24"/>
      <c r="AK1478" s="24"/>
    </row>
    <row r="1479" spans="1:37" x14ac:dyDescent="0.25">
      <c r="A1479" s="24"/>
      <c r="B1479" s="90"/>
      <c r="C1479" s="92"/>
      <c r="D1479" s="24"/>
      <c r="E1479" s="90"/>
      <c r="F1479" s="90"/>
      <c r="G1479" s="24"/>
      <c r="H1479" s="90"/>
      <c r="I1479" s="24"/>
      <c r="J1479" s="90"/>
      <c r="K1479" s="90"/>
      <c r="L1479" s="24"/>
      <c r="M1479" s="24"/>
      <c r="N1479" s="24"/>
      <c r="O1479" s="90"/>
      <c r="P1479" s="24"/>
      <c r="Q1479" s="24"/>
      <c r="R1479" s="24"/>
      <c r="S1479" s="90"/>
      <c r="T1479" s="90"/>
      <c r="U1479" s="24"/>
      <c r="V1479" s="90"/>
      <c r="W1479" s="90"/>
      <c r="X1479" s="90"/>
      <c r="Y1479" s="24"/>
      <c r="Z1479" s="24"/>
      <c r="AA1479" s="24"/>
      <c r="AB1479" s="24"/>
      <c r="AC1479" s="24"/>
      <c r="AD1479" s="24"/>
      <c r="AE1479" s="24"/>
      <c r="AF1479" s="24"/>
      <c r="AG1479" s="24"/>
      <c r="AH1479" s="24"/>
      <c r="AI1479" s="24"/>
      <c r="AJ1479" s="24"/>
      <c r="AK1479" s="24"/>
    </row>
    <row r="1480" spans="1:37" x14ac:dyDescent="0.25">
      <c r="A1480" s="24"/>
      <c r="B1480" s="90"/>
      <c r="C1480" s="92"/>
      <c r="D1480" s="24"/>
      <c r="E1480" s="90"/>
      <c r="F1480" s="90"/>
      <c r="G1480" s="24"/>
      <c r="H1480" s="90"/>
      <c r="I1480" s="24"/>
      <c r="J1480" s="90"/>
      <c r="K1480" s="90"/>
      <c r="L1480" s="24"/>
      <c r="M1480" s="24"/>
      <c r="N1480" s="24"/>
      <c r="O1480" s="90"/>
      <c r="P1480" s="24"/>
      <c r="Q1480" s="24"/>
      <c r="R1480" s="24"/>
      <c r="S1480" s="90"/>
      <c r="T1480" s="90"/>
      <c r="U1480" s="24"/>
      <c r="V1480" s="90"/>
      <c r="W1480" s="90"/>
      <c r="X1480" s="90"/>
      <c r="Y1480" s="24"/>
      <c r="Z1480" s="24"/>
      <c r="AA1480" s="24"/>
      <c r="AB1480" s="24"/>
      <c r="AC1480" s="24"/>
      <c r="AD1480" s="24"/>
      <c r="AE1480" s="24"/>
      <c r="AF1480" s="24"/>
      <c r="AG1480" s="24"/>
      <c r="AH1480" s="24"/>
      <c r="AI1480" s="24"/>
      <c r="AJ1480" s="24"/>
      <c r="AK1480" s="24"/>
    </row>
    <row r="1481" spans="1:37" x14ac:dyDescent="0.25">
      <c r="A1481" s="24"/>
      <c r="B1481" s="90"/>
      <c r="C1481" s="92"/>
      <c r="D1481" s="24"/>
      <c r="E1481" s="90"/>
      <c r="F1481" s="90"/>
      <c r="G1481" s="24"/>
      <c r="H1481" s="90"/>
      <c r="I1481" s="24"/>
      <c r="J1481" s="90"/>
      <c r="K1481" s="90"/>
      <c r="L1481" s="24"/>
      <c r="M1481" s="24"/>
      <c r="N1481" s="24"/>
      <c r="O1481" s="90"/>
      <c r="P1481" s="24"/>
      <c r="Q1481" s="24"/>
      <c r="R1481" s="24"/>
      <c r="S1481" s="90"/>
      <c r="T1481" s="90"/>
      <c r="U1481" s="24"/>
      <c r="V1481" s="90"/>
      <c r="W1481" s="90"/>
      <c r="X1481" s="90"/>
      <c r="Y1481" s="24"/>
      <c r="Z1481" s="24"/>
      <c r="AA1481" s="24"/>
      <c r="AB1481" s="24"/>
      <c r="AC1481" s="24"/>
      <c r="AD1481" s="24"/>
      <c r="AE1481" s="24"/>
      <c r="AF1481" s="24"/>
      <c r="AG1481" s="24"/>
      <c r="AH1481" s="24"/>
      <c r="AI1481" s="24"/>
      <c r="AJ1481" s="24"/>
      <c r="AK1481" s="24"/>
    </row>
    <row r="1482" spans="1:37" x14ac:dyDescent="0.25">
      <c r="A1482" s="24"/>
      <c r="B1482" s="90"/>
      <c r="C1482" s="92"/>
      <c r="D1482" s="24"/>
      <c r="E1482" s="90"/>
      <c r="F1482" s="90"/>
      <c r="G1482" s="24"/>
      <c r="H1482" s="90"/>
      <c r="I1482" s="24"/>
      <c r="J1482" s="90"/>
      <c r="K1482" s="90"/>
      <c r="L1482" s="24"/>
      <c r="M1482" s="24"/>
      <c r="N1482" s="24"/>
      <c r="O1482" s="90"/>
      <c r="P1482" s="24"/>
      <c r="Q1482" s="24"/>
      <c r="R1482" s="24"/>
      <c r="S1482" s="90"/>
      <c r="T1482" s="90"/>
      <c r="U1482" s="24"/>
      <c r="V1482" s="90"/>
      <c r="W1482" s="90"/>
      <c r="X1482" s="90"/>
      <c r="Y1482" s="24"/>
      <c r="Z1482" s="24"/>
      <c r="AA1482" s="24"/>
      <c r="AB1482" s="24"/>
      <c r="AC1482" s="24"/>
      <c r="AD1482" s="24"/>
      <c r="AE1482" s="24"/>
      <c r="AF1482" s="24"/>
      <c r="AG1482" s="24"/>
      <c r="AH1482" s="24"/>
      <c r="AI1482" s="24"/>
      <c r="AJ1482" s="24"/>
      <c r="AK1482" s="24"/>
    </row>
    <row r="1483" spans="1:37" x14ac:dyDescent="0.25">
      <c r="A1483" s="24"/>
      <c r="B1483" s="90"/>
      <c r="C1483" s="92"/>
      <c r="D1483" s="24"/>
      <c r="E1483" s="90"/>
      <c r="F1483" s="90"/>
      <c r="G1483" s="24"/>
      <c r="H1483" s="90"/>
      <c r="I1483" s="24"/>
      <c r="J1483" s="90"/>
      <c r="K1483" s="90"/>
      <c r="L1483" s="24"/>
      <c r="M1483" s="24"/>
      <c r="N1483" s="24"/>
      <c r="O1483" s="90"/>
      <c r="P1483" s="24"/>
      <c r="Q1483" s="24"/>
      <c r="R1483" s="24"/>
      <c r="S1483" s="90"/>
      <c r="T1483" s="90"/>
      <c r="U1483" s="24"/>
      <c r="V1483" s="90"/>
      <c r="W1483" s="90"/>
      <c r="X1483" s="90"/>
      <c r="Y1483" s="24"/>
      <c r="Z1483" s="24"/>
      <c r="AA1483" s="24"/>
      <c r="AB1483" s="24"/>
      <c r="AC1483" s="24"/>
      <c r="AD1483" s="24"/>
      <c r="AE1483" s="24"/>
      <c r="AF1483" s="24"/>
      <c r="AG1483" s="24"/>
      <c r="AH1483" s="24"/>
      <c r="AI1483" s="24"/>
      <c r="AJ1483" s="24"/>
      <c r="AK1483" s="24"/>
    </row>
    <row r="1484" spans="1:37" x14ac:dyDescent="0.25">
      <c r="A1484" s="24"/>
      <c r="B1484" s="90"/>
      <c r="C1484" s="92"/>
      <c r="D1484" s="24"/>
      <c r="E1484" s="90"/>
      <c r="F1484" s="90"/>
      <c r="G1484" s="24"/>
      <c r="H1484" s="90"/>
      <c r="I1484" s="24"/>
      <c r="J1484" s="90"/>
      <c r="K1484" s="90"/>
      <c r="L1484" s="24"/>
      <c r="M1484" s="24"/>
      <c r="N1484" s="24"/>
      <c r="O1484" s="90"/>
      <c r="P1484" s="24"/>
      <c r="Q1484" s="24"/>
      <c r="R1484" s="24"/>
      <c r="S1484" s="90"/>
      <c r="T1484" s="90"/>
      <c r="U1484" s="24"/>
      <c r="V1484" s="90"/>
      <c r="W1484" s="90"/>
      <c r="X1484" s="90"/>
      <c r="Y1484" s="24"/>
      <c r="Z1484" s="24"/>
      <c r="AA1484" s="24"/>
      <c r="AB1484" s="24"/>
      <c r="AC1484" s="24"/>
      <c r="AD1484" s="24"/>
      <c r="AE1484" s="24"/>
      <c r="AF1484" s="24"/>
      <c r="AG1484" s="24"/>
      <c r="AH1484" s="24"/>
      <c r="AI1484" s="24"/>
      <c r="AJ1484" s="24"/>
      <c r="AK1484" s="24"/>
    </row>
    <row r="1485" spans="1:37" x14ac:dyDescent="0.25">
      <c r="A1485" s="24"/>
      <c r="B1485" s="90"/>
      <c r="C1485" s="92"/>
      <c r="D1485" s="24"/>
      <c r="E1485" s="90"/>
      <c r="F1485" s="90"/>
      <c r="G1485" s="24"/>
      <c r="H1485" s="90"/>
      <c r="I1485" s="24"/>
      <c r="J1485" s="90"/>
      <c r="K1485" s="90"/>
      <c r="L1485" s="24"/>
      <c r="M1485" s="24"/>
      <c r="N1485" s="24"/>
      <c r="O1485" s="90"/>
      <c r="P1485" s="24"/>
      <c r="Q1485" s="24"/>
      <c r="R1485" s="24"/>
      <c r="S1485" s="90"/>
      <c r="T1485" s="90"/>
      <c r="U1485" s="24"/>
      <c r="V1485" s="90"/>
      <c r="W1485" s="90"/>
      <c r="X1485" s="90"/>
      <c r="Y1485" s="24"/>
      <c r="Z1485" s="24"/>
      <c r="AA1485" s="24"/>
      <c r="AB1485" s="24"/>
      <c r="AC1485" s="24"/>
      <c r="AD1485" s="24"/>
      <c r="AE1485" s="24"/>
      <c r="AF1485" s="24"/>
      <c r="AG1485" s="24"/>
      <c r="AH1485" s="24"/>
      <c r="AI1485" s="24"/>
      <c r="AJ1485" s="24"/>
      <c r="AK1485" s="24"/>
    </row>
    <row r="1486" spans="1:37" x14ac:dyDescent="0.25">
      <c r="A1486" s="24"/>
      <c r="B1486" s="90"/>
      <c r="C1486" s="92"/>
      <c r="D1486" s="24"/>
      <c r="E1486" s="90"/>
      <c r="F1486" s="90"/>
      <c r="G1486" s="24"/>
      <c r="H1486" s="90"/>
      <c r="I1486" s="24"/>
      <c r="J1486" s="90"/>
      <c r="K1486" s="90"/>
      <c r="L1486" s="24"/>
      <c r="M1486" s="24"/>
      <c r="N1486" s="24"/>
      <c r="O1486" s="90"/>
      <c r="P1486" s="24"/>
      <c r="Q1486" s="24"/>
      <c r="R1486" s="24"/>
      <c r="S1486" s="90"/>
      <c r="T1486" s="90"/>
      <c r="U1486" s="24"/>
      <c r="V1486" s="90"/>
      <c r="W1486" s="90"/>
      <c r="X1486" s="90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</row>
    <row r="1487" spans="1:37" x14ac:dyDescent="0.25">
      <c r="A1487" s="24"/>
      <c r="B1487" s="90"/>
      <c r="C1487" s="92"/>
      <c r="D1487" s="24"/>
      <c r="E1487" s="90"/>
      <c r="F1487" s="90"/>
      <c r="G1487" s="24"/>
      <c r="H1487" s="90"/>
      <c r="I1487" s="24"/>
      <c r="J1487" s="90"/>
      <c r="K1487" s="90"/>
      <c r="L1487" s="24"/>
      <c r="M1487" s="24"/>
      <c r="N1487" s="24"/>
      <c r="O1487" s="90"/>
      <c r="P1487" s="24"/>
      <c r="Q1487" s="24"/>
      <c r="R1487" s="24"/>
      <c r="S1487" s="90"/>
      <c r="T1487" s="90"/>
      <c r="U1487" s="24"/>
      <c r="V1487" s="90"/>
      <c r="W1487" s="90"/>
      <c r="X1487" s="90"/>
      <c r="Y1487" s="24"/>
      <c r="Z1487" s="24"/>
      <c r="AA1487" s="24"/>
      <c r="AB1487" s="24"/>
      <c r="AC1487" s="24"/>
      <c r="AD1487" s="24"/>
      <c r="AE1487" s="24"/>
      <c r="AF1487" s="24"/>
      <c r="AG1487" s="24"/>
      <c r="AH1487" s="24"/>
      <c r="AI1487" s="24"/>
      <c r="AJ1487" s="24"/>
      <c r="AK1487" s="24"/>
    </row>
    <row r="1488" spans="1:37" x14ac:dyDescent="0.25">
      <c r="A1488" s="24"/>
      <c r="B1488" s="90"/>
      <c r="C1488" s="92"/>
      <c r="D1488" s="24"/>
      <c r="E1488" s="90"/>
      <c r="F1488" s="90"/>
      <c r="G1488" s="24"/>
      <c r="H1488" s="90"/>
      <c r="I1488" s="24"/>
      <c r="J1488" s="90"/>
      <c r="K1488" s="90"/>
      <c r="L1488" s="24"/>
      <c r="M1488" s="24"/>
      <c r="N1488" s="24"/>
      <c r="O1488" s="90"/>
      <c r="P1488" s="24"/>
      <c r="Q1488" s="24"/>
      <c r="R1488" s="24"/>
      <c r="S1488" s="90"/>
      <c r="T1488" s="90"/>
      <c r="U1488" s="24"/>
      <c r="V1488" s="90"/>
      <c r="W1488" s="90"/>
      <c r="X1488" s="90"/>
      <c r="Y1488" s="24"/>
      <c r="Z1488" s="24"/>
      <c r="AA1488" s="24"/>
      <c r="AB1488" s="24"/>
      <c r="AC1488" s="24"/>
      <c r="AD1488" s="24"/>
      <c r="AE1488" s="24"/>
      <c r="AF1488" s="24"/>
      <c r="AG1488" s="24"/>
      <c r="AH1488" s="24"/>
      <c r="AI1488" s="24"/>
      <c r="AJ1488" s="24"/>
      <c r="AK1488" s="24"/>
    </row>
    <row r="1489" spans="1:37" x14ac:dyDescent="0.25">
      <c r="A1489" s="24"/>
      <c r="B1489" s="90"/>
      <c r="C1489" s="92"/>
      <c r="D1489" s="24"/>
      <c r="E1489" s="90"/>
      <c r="F1489" s="90"/>
      <c r="G1489" s="24"/>
      <c r="H1489" s="90"/>
      <c r="I1489" s="24"/>
      <c r="J1489" s="90"/>
      <c r="K1489" s="90"/>
      <c r="L1489" s="24"/>
      <c r="M1489" s="24"/>
      <c r="N1489" s="24"/>
      <c r="O1489" s="90"/>
      <c r="P1489" s="24"/>
      <c r="Q1489" s="24"/>
      <c r="R1489" s="24"/>
      <c r="S1489" s="90"/>
      <c r="T1489" s="90"/>
      <c r="U1489" s="24"/>
      <c r="V1489" s="90"/>
      <c r="W1489" s="90"/>
      <c r="X1489" s="90"/>
      <c r="Y1489" s="24"/>
      <c r="Z1489" s="24"/>
      <c r="AA1489" s="24"/>
      <c r="AB1489" s="24"/>
      <c r="AC1489" s="24"/>
      <c r="AD1489" s="24"/>
      <c r="AE1489" s="24"/>
      <c r="AF1489" s="24"/>
      <c r="AG1489" s="24"/>
      <c r="AH1489" s="24"/>
      <c r="AI1489" s="24"/>
      <c r="AJ1489" s="24"/>
      <c r="AK1489" s="24"/>
    </row>
    <row r="1490" spans="1:37" x14ac:dyDescent="0.25">
      <c r="A1490" s="24"/>
      <c r="B1490" s="90"/>
      <c r="C1490" s="92"/>
      <c r="D1490" s="24"/>
      <c r="E1490" s="90"/>
      <c r="F1490" s="90"/>
      <c r="G1490" s="24"/>
      <c r="H1490" s="90"/>
      <c r="I1490" s="24"/>
      <c r="J1490" s="90"/>
      <c r="K1490" s="90"/>
      <c r="L1490" s="24"/>
      <c r="M1490" s="24"/>
      <c r="N1490" s="24"/>
      <c r="O1490" s="90"/>
      <c r="P1490" s="24"/>
      <c r="Q1490" s="24"/>
      <c r="R1490" s="24"/>
      <c r="S1490" s="90"/>
      <c r="T1490" s="90"/>
      <c r="U1490" s="24"/>
      <c r="V1490" s="90"/>
      <c r="W1490" s="90"/>
      <c r="X1490" s="90"/>
      <c r="Y1490" s="24"/>
      <c r="Z1490" s="24"/>
      <c r="AA1490" s="24"/>
      <c r="AB1490" s="24"/>
      <c r="AC1490" s="24"/>
      <c r="AD1490" s="24"/>
      <c r="AE1490" s="24"/>
      <c r="AF1490" s="24"/>
      <c r="AG1490" s="24"/>
      <c r="AH1490" s="24"/>
      <c r="AI1490" s="24"/>
      <c r="AJ1490" s="24"/>
      <c r="AK1490" s="24"/>
    </row>
    <row r="1491" spans="1:37" x14ac:dyDescent="0.25">
      <c r="A1491" s="24"/>
      <c r="B1491" s="90"/>
      <c r="C1491" s="92"/>
      <c r="D1491" s="24"/>
      <c r="E1491" s="90"/>
      <c r="F1491" s="90"/>
      <c r="G1491" s="24"/>
      <c r="H1491" s="90"/>
      <c r="I1491" s="24"/>
      <c r="J1491" s="90"/>
      <c r="K1491" s="90"/>
      <c r="L1491" s="24"/>
      <c r="M1491" s="24"/>
      <c r="N1491" s="24"/>
      <c r="O1491" s="90"/>
      <c r="P1491" s="24"/>
      <c r="Q1491" s="24"/>
      <c r="R1491" s="24"/>
      <c r="S1491" s="90"/>
      <c r="T1491" s="90"/>
      <c r="U1491" s="24"/>
      <c r="V1491" s="90"/>
      <c r="W1491" s="90"/>
      <c r="X1491" s="90"/>
      <c r="Y1491" s="24"/>
      <c r="Z1491" s="24"/>
      <c r="AA1491" s="24"/>
      <c r="AB1491" s="24"/>
      <c r="AC1491" s="24"/>
      <c r="AD1491" s="24"/>
      <c r="AE1491" s="24"/>
      <c r="AF1491" s="24"/>
      <c r="AG1491" s="24"/>
      <c r="AH1491" s="24"/>
      <c r="AI1491" s="24"/>
      <c r="AJ1491" s="24"/>
      <c r="AK1491" s="24"/>
    </row>
    <row r="1492" spans="1:37" x14ac:dyDescent="0.25">
      <c r="A1492" s="24"/>
      <c r="B1492" s="90"/>
      <c r="C1492" s="92"/>
      <c r="D1492" s="24"/>
      <c r="E1492" s="90"/>
      <c r="F1492" s="90"/>
      <c r="G1492" s="24"/>
      <c r="H1492" s="90"/>
      <c r="I1492" s="24"/>
      <c r="J1492" s="90"/>
      <c r="K1492" s="90"/>
      <c r="L1492" s="24"/>
      <c r="M1492" s="24"/>
      <c r="N1492" s="24"/>
      <c r="O1492" s="90"/>
      <c r="P1492" s="24"/>
      <c r="Q1492" s="24"/>
      <c r="R1492" s="24"/>
      <c r="S1492" s="90"/>
      <c r="T1492" s="90"/>
      <c r="U1492" s="24"/>
      <c r="V1492" s="90"/>
      <c r="W1492" s="90"/>
      <c r="X1492" s="90"/>
      <c r="Y1492" s="24"/>
      <c r="Z1492" s="24"/>
      <c r="AA1492" s="24"/>
      <c r="AB1492" s="24"/>
      <c r="AC1492" s="24"/>
      <c r="AD1492" s="24"/>
      <c r="AE1492" s="24"/>
      <c r="AF1492" s="24"/>
      <c r="AG1492" s="24"/>
      <c r="AH1492" s="24"/>
      <c r="AI1492" s="24"/>
      <c r="AJ1492" s="24"/>
      <c r="AK1492" s="24"/>
    </row>
    <row r="1493" spans="1:37" x14ac:dyDescent="0.25">
      <c r="A1493" s="24"/>
      <c r="B1493" s="90"/>
      <c r="C1493" s="92"/>
      <c r="D1493" s="24"/>
      <c r="E1493" s="90"/>
      <c r="F1493" s="90"/>
      <c r="G1493" s="24"/>
      <c r="H1493" s="90"/>
      <c r="I1493" s="24"/>
      <c r="J1493" s="90"/>
      <c r="K1493" s="90"/>
      <c r="L1493" s="24"/>
      <c r="M1493" s="24"/>
      <c r="N1493" s="24"/>
      <c r="O1493" s="90"/>
      <c r="P1493" s="24"/>
      <c r="Q1493" s="24"/>
      <c r="R1493" s="24"/>
      <c r="S1493" s="90"/>
      <c r="T1493" s="90"/>
      <c r="U1493" s="24"/>
      <c r="V1493" s="90"/>
      <c r="W1493" s="90"/>
      <c r="X1493" s="90"/>
      <c r="Y1493" s="24"/>
      <c r="Z1493" s="24"/>
      <c r="AA1493" s="24"/>
      <c r="AB1493" s="24"/>
      <c r="AC1493" s="24"/>
      <c r="AD1493" s="24"/>
      <c r="AE1493" s="24"/>
      <c r="AF1493" s="24"/>
      <c r="AG1493" s="24"/>
      <c r="AH1493" s="24"/>
      <c r="AI1493" s="24"/>
      <c r="AJ1493" s="24"/>
      <c r="AK1493" s="24"/>
    </row>
    <row r="1494" spans="1:37" x14ac:dyDescent="0.25">
      <c r="A1494" s="24"/>
      <c r="B1494" s="90"/>
      <c r="C1494" s="92"/>
      <c r="D1494" s="24"/>
      <c r="E1494" s="90"/>
      <c r="F1494" s="90"/>
      <c r="G1494" s="24"/>
      <c r="H1494" s="90"/>
      <c r="I1494" s="24"/>
      <c r="J1494" s="90"/>
      <c r="K1494" s="90"/>
      <c r="L1494" s="24"/>
      <c r="M1494" s="24"/>
      <c r="N1494" s="24"/>
      <c r="O1494" s="90"/>
      <c r="P1494" s="24"/>
      <c r="Q1494" s="24"/>
      <c r="R1494" s="24"/>
      <c r="S1494" s="90"/>
      <c r="T1494" s="90"/>
      <c r="U1494" s="24"/>
      <c r="V1494" s="90"/>
      <c r="W1494" s="90"/>
      <c r="X1494" s="90"/>
      <c r="Y1494" s="24"/>
      <c r="Z1494" s="24"/>
      <c r="AA1494" s="24"/>
      <c r="AB1494" s="24"/>
      <c r="AC1494" s="24"/>
      <c r="AD1494" s="24"/>
      <c r="AE1494" s="24"/>
      <c r="AF1494" s="24"/>
      <c r="AG1494" s="24"/>
      <c r="AH1494" s="24"/>
      <c r="AI1494" s="24"/>
      <c r="AJ1494" s="24"/>
      <c r="AK1494" s="24"/>
    </row>
    <row r="1495" spans="1:37" x14ac:dyDescent="0.25">
      <c r="A1495" s="24"/>
      <c r="B1495" s="90"/>
      <c r="C1495" s="92"/>
      <c r="D1495" s="24"/>
      <c r="E1495" s="90"/>
      <c r="F1495" s="90"/>
      <c r="G1495" s="24"/>
      <c r="H1495" s="90"/>
      <c r="I1495" s="24"/>
      <c r="J1495" s="90"/>
      <c r="K1495" s="90"/>
      <c r="L1495" s="24"/>
      <c r="M1495" s="24"/>
      <c r="N1495" s="24"/>
      <c r="O1495" s="90"/>
      <c r="P1495" s="24"/>
      <c r="Q1495" s="24"/>
      <c r="R1495" s="24"/>
      <c r="S1495" s="90"/>
      <c r="T1495" s="90"/>
      <c r="U1495" s="24"/>
      <c r="V1495" s="90"/>
      <c r="W1495" s="90"/>
      <c r="X1495" s="90"/>
      <c r="Y1495" s="24"/>
      <c r="Z1495" s="24"/>
      <c r="AA1495" s="24"/>
      <c r="AB1495" s="24"/>
      <c r="AC1495" s="24"/>
      <c r="AD1495" s="24"/>
      <c r="AE1495" s="24"/>
      <c r="AF1495" s="24"/>
      <c r="AG1495" s="24"/>
      <c r="AH1495" s="24"/>
      <c r="AI1495" s="24"/>
      <c r="AJ1495" s="24"/>
      <c r="AK1495" s="24"/>
    </row>
    <row r="1496" spans="1:37" x14ac:dyDescent="0.25">
      <c r="A1496" s="24"/>
      <c r="B1496" s="90"/>
      <c r="C1496" s="92"/>
      <c r="D1496" s="24"/>
      <c r="E1496" s="90"/>
      <c r="F1496" s="90"/>
      <c r="G1496" s="24"/>
      <c r="H1496" s="90"/>
      <c r="I1496" s="24"/>
      <c r="J1496" s="90"/>
      <c r="K1496" s="90"/>
      <c r="L1496" s="24"/>
      <c r="M1496" s="24"/>
      <c r="N1496" s="24"/>
      <c r="O1496" s="90"/>
      <c r="P1496" s="24"/>
      <c r="Q1496" s="24"/>
      <c r="R1496" s="24"/>
      <c r="S1496" s="90"/>
      <c r="T1496" s="90"/>
      <c r="U1496" s="24"/>
      <c r="V1496" s="90"/>
      <c r="W1496" s="90"/>
      <c r="X1496" s="90"/>
      <c r="Y1496" s="24"/>
      <c r="Z1496" s="24"/>
      <c r="AA1496" s="24"/>
      <c r="AB1496" s="24"/>
      <c r="AC1496" s="24"/>
      <c r="AD1496" s="24"/>
      <c r="AE1496" s="24"/>
      <c r="AF1496" s="24"/>
      <c r="AG1496" s="24"/>
      <c r="AH1496" s="24"/>
      <c r="AI1496" s="24"/>
      <c r="AJ1496" s="24"/>
      <c r="AK1496" s="24"/>
    </row>
    <row r="1497" spans="1:37" x14ac:dyDescent="0.25">
      <c r="A1497" s="24"/>
      <c r="B1497" s="90"/>
      <c r="C1497" s="92"/>
      <c r="D1497" s="24"/>
      <c r="E1497" s="90"/>
      <c r="F1497" s="90"/>
      <c r="G1497" s="24"/>
      <c r="H1497" s="90"/>
      <c r="I1497" s="24"/>
      <c r="J1497" s="90"/>
      <c r="K1497" s="90"/>
      <c r="L1497" s="24"/>
      <c r="M1497" s="24"/>
      <c r="N1497" s="24"/>
      <c r="O1497" s="90"/>
      <c r="P1497" s="24"/>
      <c r="Q1497" s="24"/>
      <c r="R1497" s="24"/>
      <c r="S1497" s="90"/>
      <c r="T1497" s="90"/>
      <c r="U1497" s="24"/>
      <c r="V1497" s="90"/>
      <c r="W1497" s="90"/>
      <c r="X1497" s="90"/>
      <c r="Y1497" s="24"/>
      <c r="Z1497" s="24"/>
      <c r="AA1497" s="24"/>
      <c r="AB1497" s="24"/>
      <c r="AC1497" s="24"/>
      <c r="AD1497" s="24"/>
      <c r="AE1497" s="24"/>
      <c r="AF1497" s="24"/>
      <c r="AG1497" s="24"/>
      <c r="AH1497" s="24"/>
      <c r="AI1497" s="24"/>
      <c r="AJ1497" s="24"/>
      <c r="AK1497" s="24"/>
    </row>
    <row r="1498" spans="1:37" x14ac:dyDescent="0.25">
      <c r="A1498" s="24"/>
      <c r="B1498" s="90"/>
      <c r="C1498" s="92"/>
      <c r="D1498" s="24"/>
      <c r="E1498" s="90"/>
      <c r="F1498" s="90"/>
      <c r="G1498" s="24"/>
      <c r="H1498" s="90"/>
      <c r="I1498" s="24"/>
      <c r="J1498" s="90"/>
      <c r="K1498" s="90"/>
      <c r="L1498" s="24"/>
      <c r="M1498" s="24"/>
      <c r="N1498" s="24"/>
      <c r="O1498" s="90"/>
      <c r="P1498" s="24"/>
      <c r="Q1498" s="24"/>
      <c r="R1498" s="24"/>
      <c r="S1498" s="90"/>
      <c r="T1498" s="90"/>
      <c r="U1498" s="24"/>
      <c r="V1498" s="90"/>
      <c r="W1498" s="90"/>
      <c r="X1498" s="90"/>
      <c r="Y1498" s="24"/>
      <c r="Z1498" s="24"/>
      <c r="AA1498" s="24"/>
      <c r="AB1498" s="24"/>
      <c r="AC1498" s="24"/>
      <c r="AD1498" s="24"/>
      <c r="AE1498" s="24"/>
      <c r="AF1498" s="24"/>
      <c r="AG1498" s="24"/>
      <c r="AH1498" s="24"/>
      <c r="AI1498" s="24"/>
      <c r="AJ1498" s="24"/>
      <c r="AK1498" s="24"/>
    </row>
    <row r="1499" spans="1:37" x14ac:dyDescent="0.25">
      <c r="A1499" s="24"/>
      <c r="B1499" s="90"/>
      <c r="C1499" s="92"/>
      <c r="D1499" s="24"/>
      <c r="E1499" s="90"/>
      <c r="F1499" s="90"/>
      <c r="G1499" s="24"/>
      <c r="H1499" s="90"/>
      <c r="I1499" s="24"/>
      <c r="J1499" s="90"/>
      <c r="K1499" s="90"/>
      <c r="L1499" s="24"/>
      <c r="M1499" s="24"/>
      <c r="N1499" s="24"/>
      <c r="O1499" s="90"/>
      <c r="P1499" s="24"/>
      <c r="Q1499" s="24"/>
      <c r="R1499" s="24"/>
      <c r="S1499" s="90"/>
      <c r="T1499" s="90"/>
      <c r="U1499" s="24"/>
      <c r="V1499" s="90"/>
      <c r="W1499" s="90"/>
      <c r="X1499" s="90"/>
      <c r="Y1499" s="24"/>
      <c r="Z1499" s="24"/>
      <c r="AA1499" s="24"/>
      <c r="AB1499" s="24"/>
      <c r="AC1499" s="24"/>
      <c r="AD1499" s="24"/>
      <c r="AE1499" s="24"/>
      <c r="AF1499" s="24"/>
      <c r="AG1499" s="24"/>
      <c r="AH1499" s="24"/>
      <c r="AI1499" s="24"/>
      <c r="AJ1499" s="24"/>
      <c r="AK1499" s="24"/>
    </row>
    <row r="1500" spans="1:37" x14ac:dyDescent="0.25">
      <c r="A1500" s="24"/>
      <c r="B1500" s="90"/>
      <c r="C1500" s="92"/>
      <c r="D1500" s="24"/>
      <c r="E1500" s="90"/>
      <c r="F1500" s="90"/>
      <c r="G1500" s="24"/>
      <c r="H1500" s="90"/>
      <c r="I1500" s="24"/>
      <c r="J1500" s="90"/>
      <c r="K1500" s="90"/>
      <c r="L1500" s="24"/>
      <c r="M1500" s="24"/>
      <c r="N1500" s="24"/>
      <c r="O1500" s="90"/>
      <c r="P1500" s="24"/>
      <c r="Q1500" s="24"/>
      <c r="R1500" s="24"/>
      <c r="S1500" s="90"/>
      <c r="T1500" s="90"/>
      <c r="U1500" s="24"/>
      <c r="V1500" s="90"/>
      <c r="W1500" s="90"/>
      <c r="X1500" s="90"/>
      <c r="Y1500" s="24"/>
      <c r="Z1500" s="24"/>
      <c r="AA1500" s="24"/>
      <c r="AB1500" s="24"/>
      <c r="AC1500" s="24"/>
      <c r="AD1500" s="24"/>
      <c r="AE1500" s="24"/>
      <c r="AF1500" s="24"/>
      <c r="AG1500" s="24"/>
      <c r="AH1500" s="24"/>
      <c r="AI1500" s="24"/>
      <c r="AJ1500" s="24"/>
      <c r="AK1500" s="24"/>
    </row>
    <row r="1501" spans="1:37" x14ac:dyDescent="0.25">
      <c r="A1501" s="24"/>
      <c r="B1501" s="90"/>
      <c r="C1501" s="92"/>
      <c r="D1501" s="24"/>
      <c r="E1501" s="90"/>
      <c r="F1501" s="90"/>
      <c r="G1501" s="24"/>
      <c r="H1501" s="90"/>
      <c r="I1501" s="24"/>
      <c r="J1501" s="90"/>
      <c r="K1501" s="90"/>
      <c r="L1501" s="24"/>
      <c r="M1501" s="24"/>
      <c r="N1501" s="24"/>
      <c r="O1501" s="90"/>
      <c r="P1501" s="24"/>
      <c r="Q1501" s="24"/>
      <c r="R1501" s="24"/>
      <c r="S1501" s="90"/>
      <c r="T1501" s="90"/>
      <c r="U1501" s="24"/>
      <c r="V1501" s="90"/>
      <c r="W1501" s="90"/>
      <c r="X1501" s="90"/>
      <c r="Y1501" s="24"/>
      <c r="Z1501" s="24"/>
      <c r="AA1501" s="24"/>
      <c r="AB1501" s="24"/>
      <c r="AC1501" s="24"/>
      <c r="AD1501" s="24"/>
      <c r="AE1501" s="24"/>
      <c r="AF1501" s="24"/>
      <c r="AG1501" s="24"/>
      <c r="AH1501" s="24"/>
      <c r="AI1501" s="24"/>
      <c r="AJ1501" s="24"/>
      <c r="AK1501" s="24"/>
    </row>
    <row r="1502" spans="1:37" x14ac:dyDescent="0.25">
      <c r="A1502" s="24"/>
      <c r="B1502" s="90"/>
      <c r="C1502" s="92"/>
      <c r="D1502" s="24"/>
      <c r="E1502" s="90"/>
      <c r="F1502" s="90"/>
      <c r="G1502" s="24"/>
      <c r="H1502" s="90"/>
      <c r="I1502" s="24"/>
      <c r="J1502" s="90"/>
      <c r="K1502" s="90"/>
      <c r="L1502" s="24"/>
      <c r="M1502" s="24"/>
      <c r="N1502" s="24"/>
      <c r="O1502" s="90"/>
      <c r="P1502" s="24"/>
      <c r="Q1502" s="24"/>
      <c r="R1502" s="24"/>
      <c r="S1502" s="90"/>
      <c r="T1502" s="90"/>
      <c r="U1502" s="24"/>
      <c r="V1502" s="90"/>
      <c r="W1502" s="90"/>
      <c r="X1502" s="90"/>
      <c r="Y1502" s="24"/>
      <c r="Z1502" s="24"/>
      <c r="AA1502" s="24"/>
      <c r="AB1502" s="24"/>
      <c r="AC1502" s="24"/>
      <c r="AD1502" s="24"/>
      <c r="AE1502" s="24"/>
      <c r="AF1502" s="24"/>
      <c r="AG1502" s="24"/>
      <c r="AH1502" s="24"/>
      <c r="AI1502" s="24"/>
      <c r="AJ1502" s="24"/>
      <c r="AK1502" s="24"/>
    </row>
    <row r="1503" spans="1:37" x14ac:dyDescent="0.25">
      <c r="A1503" s="24"/>
      <c r="B1503" s="90"/>
      <c r="C1503" s="92"/>
      <c r="D1503" s="24"/>
      <c r="E1503" s="90"/>
      <c r="F1503" s="90"/>
      <c r="G1503" s="24"/>
      <c r="H1503" s="90"/>
      <c r="I1503" s="24"/>
      <c r="J1503" s="90"/>
      <c r="K1503" s="90"/>
      <c r="L1503" s="24"/>
      <c r="M1503" s="24"/>
      <c r="N1503" s="24"/>
      <c r="O1503" s="90"/>
      <c r="P1503" s="24"/>
      <c r="Q1503" s="24"/>
      <c r="R1503" s="24"/>
      <c r="S1503" s="90"/>
      <c r="T1503" s="90"/>
      <c r="U1503" s="24"/>
      <c r="V1503" s="90"/>
      <c r="W1503" s="90"/>
      <c r="X1503" s="90"/>
      <c r="Y1503" s="24"/>
      <c r="Z1503" s="24"/>
      <c r="AA1503" s="24"/>
      <c r="AB1503" s="24"/>
      <c r="AC1503" s="24"/>
      <c r="AD1503" s="24"/>
      <c r="AE1503" s="24"/>
      <c r="AF1503" s="24"/>
      <c r="AG1503" s="24"/>
      <c r="AH1503" s="24"/>
      <c r="AI1503" s="24"/>
      <c r="AJ1503" s="24"/>
      <c r="AK1503" s="24"/>
    </row>
    <row r="1504" spans="1:37" x14ac:dyDescent="0.25">
      <c r="A1504" s="24"/>
      <c r="B1504" s="90"/>
      <c r="C1504" s="92"/>
      <c r="D1504" s="24"/>
      <c r="E1504" s="90"/>
      <c r="F1504" s="90"/>
      <c r="G1504" s="24"/>
      <c r="H1504" s="90"/>
      <c r="I1504" s="24"/>
      <c r="J1504" s="90"/>
      <c r="K1504" s="90"/>
      <c r="L1504" s="24"/>
      <c r="M1504" s="24"/>
      <c r="N1504" s="24"/>
      <c r="O1504" s="90"/>
      <c r="P1504" s="24"/>
      <c r="Q1504" s="24"/>
      <c r="R1504" s="24"/>
      <c r="S1504" s="90"/>
      <c r="T1504" s="90"/>
      <c r="U1504" s="24"/>
      <c r="V1504" s="90"/>
      <c r="W1504" s="90"/>
      <c r="X1504" s="90"/>
      <c r="Y1504" s="24"/>
      <c r="Z1504" s="24"/>
      <c r="AA1504" s="24"/>
      <c r="AB1504" s="24"/>
      <c r="AC1504" s="24"/>
      <c r="AD1504" s="24"/>
      <c r="AE1504" s="24"/>
      <c r="AF1504" s="24"/>
      <c r="AG1504" s="24"/>
      <c r="AH1504" s="24"/>
      <c r="AI1504" s="24"/>
      <c r="AJ1504" s="24"/>
      <c r="AK1504" s="24"/>
    </row>
    <row r="1505" spans="1:37" x14ac:dyDescent="0.25">
      <c r="A1505" s="24"/>
      <c r="B1505" s="90"/>
      <c r="C1505" s="92"/>
      <c r="D1505" s="24"/>
      <c r="E1505" s="90"/>
      <c r="F1505" s="90"/>
      <c r="G1505" s="24"/>
      <c r="H1505" s="90"/>
      <c r="I1505" s="24"/>
      <c r="J1505" s="90"/>
      <c r="K1505" s="90"/>
      <c r="L1505" s="24"/>
      <c r="M1505" s="24"/>
      <c r="N1505" s="24"/>
      <c r="O1505" s="90"/>
      <c r="P1505" s="24"/>
      <c r="Q1505" s="24"/>
      <c r="R1505" s="24"/>
      <c r="S1505" s="90"/>
      <c r="T1505" s="90"/>
      <c r="U1505" s="24"/>
      <c r="V1505" s="90"/>
      <c r="W1505" s="90"/>
      <c r="X1505" s="90"/>
      <c r="Y1505" s="24"/>
      <c r="Z1505" s="24"/>
      <c r="AA1505" s="24"/>
      <c r="AB1505" s="24"/>
      <c r="AC1505" s="24"/>
      <c r="AD1505" s="24"/>
      <c r="AE1505" s="24"/>
      <c r="AF1505" s="24"/>
      <c r="AG1505" s="24"/>
      <c r="AH1505" s="24"/>
      <c r="AI1505" s="24"/>
      <c r="AJ1505" s="24"/>
      <c r="AK1505" s="24"/>
    </row>
    <row r="1506" spans="1:37" x14ac:dyDescent="0.25">
      <c r="A1506" s="24"/>
      <c r="B1506" s="90"/>
      <c r="C1506" s="92"/>
      <c r="D1506" s="24"/>
      <c r="E1506" s="90"/>
      <c r="F1506" s="90"/>
      <c r="G1506" s="24"/>
      <c r="H1506" s="90"/>
      <c r="I1506" s="24"/>
      <c r="J1506" s="90"/>
      <c r="K1506" s="90"/>
      <c r="L1506" s="24"/>
      <c r="M1506" s="24"/>
      <c r="N1506" s="24"/>
      <c r="O1506" s="90"/>
      <c r="P1506" s="24"/>
      <c r="Q1506" s="24"/>
      <c r="R1506" s="24"/>
      <c r="S1506" s="90"/>
      <c r="T1506" s="90"/>
      <c r="U1506" s="24"/>
      <c r="V1506" s="90"/>
      <c r="W1506" s="90"/>
      <c r="X1506" s="90"/>
      <c r="Y1506" s="24"/>
      <c r="Z1506" s="24"/>
      <c r="AA1506" s="24"/>
      <c r="AB1506" s="24"/>
      <c r="AC1506" s="24"/>
      <c r="AD1506" s="24"/>
      <c r="AE1506" s="24"/>
      <c r="AF1506" s="24"/>
      <c r="AG1506" s="24"/>
      <c r="AH1506" s="24"/>
      <c r="AI1506" s="24"/>
      <c r="AJ1506" s="24"/>
      <c r="AK1506" s="24"/>
    </row>
    <row r="1507" spans="1:37" x14ac:dyDescent="0.25">
      <c r="A1507" s="24"/>
      <c r="B1507" s="90"/>
      <c r="C1507" s="92"/>
      <c r="D1507" s="24"/>
      <c r="E1507" s="90"/>
      <c r="F1507" s="90"/>
      <c r="G1507" s="24"/>
      <c r="H1507" s="90"/>
      <c r="I1507" s="24"/>
      <c r="J1507" s="90"/>
      <c r="K1507" s="90"/>
      <c r="L1507" s="24"/>
      <c r="M1507" s="24"/>
      <c r="N1507" s="24"/>
      <c r="O1507" s="90"/>
      <c r="P1507" s="24"/>
      <c r="Q1507" s="24"/>
      <c r="R1507" s="24"/>
      <c r="S1507" s="90"/>
      <c r="T1507" s="90"/>
      <c r="U1507" s="24"/>
      <c r="V1507" s="90"/>
      <c r="W1507" s="90"/>
      <c r="X1507" s="90"/>
      <c r="Y1507" s="24"/>
      <c r="Z1507" s="24"/>
      <c r="AA1507" s="24"/>
      <c r="AB1507" s="24"/>
      <c r="AC1507" s="24"/>
      <c r="AD1507" s="24"/>
      <c r="AE1507" s="24"/>
      <c r="AF1507" s="24"/>
      <c r="AG1507" s="24"/>
      <c r="AH1507" s="24"/>
      <c r="AI1507" s="24"/>
      <c r="AJ1507" s="24"/>
      <c r="AK1507" s="24"/>
    </row>
    <row r="1508" spans="1:37" x14ac:dyDescent="0.25">
      <c r="A1508" s="24"/>
      <c r="B1508" s="90"/>
      <c r="C1508" s="92"/>
      <c r="D1508" s="24"/>
      <c r="E1508" s="90"/>
      <c r="F1508" s="90"/>
      <c r="G1508" s="24"/>
      <c r="H1508" s="90"/>
      <c r="I1508" s="24"/>
      <c r="J1508" s="90"/>
      <c r="K1508" s="90"/>
      <c r="L1508" s="24"/>
      <c r="M1508" s="24"/>
      <c r="N1508" s="24"/>
      <c r="O1508" s="90"/>
      <c r="P1508" s="24"/>
      <c r="Q1508" s="24"/>
      <c r="R1508" s="24"/>
      <c r="S1508" s="90"/>
      <c r="T1508" s="90"/>
      <c r="U1508" s="24"/>
      <c r="V1508" s="90"/>
      <c r="W1508" s="90"/>
      <c r="X1508" s="90"/>
      <c r="Y1508" s="24"/>
      <c r="Z1508" s="24"/>
      <c r="AA1508" s="24"/>
      <c r="AB1508" s="24"/>
      <c r="AC1508" s="24"/>
      <c r="AD1508" s="24"/>
      <c r="AE1508" s="24"/>
      <c r="AF1508" s="24"/>
      <c r="AG1508" s="24"/>
      <c r="AH1508" s="24"/>
      <c r="AI1508" s="24"/>
      <c r="AJ1508" s="24"/>
      <c r="AK1508" s="24"/>
    </row>
    <row r="1509" spans="1:37" x14ac:dyDescent="0.25">
      <c r="A1509" s="24"/>
      <c r="B1509" s="90"/>
      <c r="C1509" s="92"/>
      <c r="D1509" s="24"/>
      <c r="E1509" s="90"/>
      <c r="F1509" s="90"/>
      <c r="G1509" s="24"/>
      <c r="H1509" s="90"/>
      <c r="I1509" s="24"/>
      <c r="J1509" s="90"/>
      <c r="K1509" s="90"/>
      <c r="L1509" s="24"/>
      <c r="M1509" s="24"/>
      <c r="N1509" s="24"/>
      <c r="O1509" s="90"/>
      <c r="P1509" s="24"/>
      <c r="Q1509" s="24"/>
      <c r="R1509" s="24"/>
      <c r="S1509" s="90"/>
      <c r="T1509" s="90"/>
      <c r="U1509" s="24"/>
      <c r="V1509" s="90"/>
      <c r="W1509" s="90"/>
      <c r="X1509" s="90"/>
      <c r="Y1509" s="24"/>
      <c r="Z1509" s="24"/>
      <c r="AA1509" s="24"/>
      <c r="AB1509" s="24"/>
      <c r="AC1509" s="24"/>
      <c r="AD1509" s="24"/>
      <c r="AE1509" s="24"/>
      <c r="AF1509" s="24"/>
      <c r="AG1509" s="24"/>
      <c r="AH1509" s="24"/>
      <c r="AI1509" s="24"/>
      <c r="AJ1509" s="24"/>
      <c r="AK1509" s="24"/>
    </row>
    <row r="1510" spans="1:37" x14ac:dyDescent="0.25">
      <c r="A1510" s="24"/>
      <c r="B1510" s="90"/>
      <c r="C1510" s="92"/>
      <c r="D1510" s="24"/>
      <c r="E1510" s="90"/>
      <c r="F1510" s="90"/>
      <c r="G1510" s="24"/>
      <c r="H1510" s="90"/>
      <c r="I1510" s="24"/>
      <c r="J1510" s="90"/>
      <c r="K1510" s="90"/>
      <c r="L1510" s="24"/>
      <c r="M1510" s="24"/>
      <c r="N1510" s="24"/>
      <c r="O1510" s="90"/>
      <c r="P1510" s="24"/>
      <c r="Q1510" s="24"/>
      <c r="R1510" s="24"/>
      <c r="S1510" s="90"/>
      <c r="T1510" s="90"/>
      <c r="U1510" s="24"/>
      <c r="V1510" s="90"/>
      <c r="W1510" s="90"/>
      <c r="X1510" s="90"/>
      <c r="Y1510" s="24"/>
      <c r="Z1510" s="24"/>
      <c r="AA1510" s="24"/>
      <c r="AB1510" s="24"/>
      <c r="AC1510" s="24"/>
      <c r="AD1510" s="24"/>
      <c r="AE1510" s="24"/>
      <c r="AF1510" s="24"/>
      <c r="AG1510" s="24"/>
      <c r="AH1510" s="24"/>
      <c r="AI1510" s="24"/>
      <c r="AJ1510" s="24"/>
      <c r="AK1510" s="24"/>
    </row>
    <row r="1511" spans="1:37" x14ac:dyDescent="0.25">
      <c r="A1511" s="24"/>
      <c r="B1511" s="90"/>
      <c r="C1511" s="92"/>
      <c r="D1511" s="24"/>
      <c r="E1511" s="90"/>
      <c r="F1511" s="90"/>
      <c r="G1511" s="24"/>
      <c r="H1511" s="90"/>
      <c r="I1511" s="24"/>
      <c r="J1511" s="90"/>
      <c r="K1511" s="90"/>
      <c r="L1511" s="24"/>
      <c r="M1511" s="24"/>
      <c r="N1511" s="24"/>
      <c r="O1511" s="90"/>
      <c r="P1511" s="24"/>
      <c r="Q1511" s="24"/>
      <c r="R1511" s="24"/>
      <c r="S1511" s="90"/>
      <c r="T1511" s="90"/>
      <c r="U1511" s="24"/>
      <c r="V1511" s="90"/>
      <c r="W1511" s="90"/>
      <c r="X1511" s="90"/>
      <c r="Y1511" s="24"/>
      <c r="Z1511" s="24"/>
      <c r="AA1511" s="24"/>
      <c r="AB1511" s="24"/>
      <c r="AC1511" s="24"/>
      <c r="AD1511" s="24"/>
      <c r="AE1511" s="24"/>
      <c r="AF1511" s="24"/>
      <c r="AG1511" s="24"/>
      <c r="AH1511" s="24"/>
      <c r="AI1511" s="24"/>
      <c r="AJ1511" s="24"/>
      <c r="AK1511" s="24"/>
    </row>
    <row r="1512" spans="1:37" x14ac:dyDescent="0.25">
      <c r="A1512" s="24"/>
      <c r="B1512" s="90"/>
      <c r="C1512" s="92"/>
      <c r="D1512" s="24"/>
      <c r="E1512" s="90"/>
      <c r="F1512" s="90"/>
      <c r="G1512" s="24"/>
      <c r="H1512" s="90"/>
      <c r="I1512" s="24"/>
      <c r="J1512" s="90"/>
      <c r="K1512" s="90"/>
      <c r="L1512" s="24"/>
      <c r="M1512" s="24"/>
      <c r="N1512" s="24"/>
      <c r="O1512" s="90"/>
      <c r="P1512" s="24"/>
      <c r="Q1512" s="24"/>
      <c r="R1512" s="24"/>
      <c r="S1512" s="90"/>
      <c r="T1512" s="90"/>
      <c r="U1512" s="24"/>
      <c r="V1512" s="90"/>
      <c r="W1512" s="90"/>
      <c r="X1512" s="90"/>
      <c r="Y1512" s="24"/>
      <c r="Z1512" s="24"/>
      <c r="AA1512" s="24"/>
      <c r="AB1512" s="24"/>
      <c r="AC1512" s="24"/>
      <c r="AD1512" s="24"/>
      <c r="AE1512" s="24"/>
      <c r="AF1512" s="24"/>
      <c r="AG1512" s="24"/>
      <c r="AH1512" s="24"/>
      <c r="AI1512" s="24"/>
      <c r="AJ1512" s="24"/>
      <c r="AK1512" s="24"/>
    </row>
    <row r="1513" spans="1:37" x14ac:dyDescent="0.25">
      <c r="A1513" s="24"/>
      <c r="B1513" s="90"/>
      <c r="C1513" s="92"/>
      <c r="D1513" s="24"/>
      <c r="E1513" s="90"/>
      <c r="F1513" s="90"/>
      <c r="G1513" s="24"/>
      <c r="H1513" s="90"/>
      <c r="I1513" s="24"/>
      <c r="J1513" s="90"/>
      <c r="K1513" s="90"/>
      <c r="L1513" s="24"/>
      <c r="M1513" s="24"/>
      <c r="N1513" s="24"/>
      <c r="O1513" s="90"/>
      <c r="P1513" s="24"/>
      <c r="Q1513" s="24"/>
      <c r="R1513" s="24"/>
      <c r="S1513" s="90"/>
      <c r="T1513" s="90"/>
      <c r="U1513" s="24"/>
      <c r="V1513" s="90"/>
      <c r="W1513" s="90"/>
      <c r="X1513" s="90"/>
      <c r="Y1513" s="24"/>
      <c r="Z1513" s="24"/>
      <c r="AA1513" s="24"/>
      <c r="AB1513" s="24"/>
      <c r="AC1513" s="24"/>
      <c r="AD1513" s="24"/>
      <c r="AE1513" s="24"/>
      <c r="AF1513" s="24"/>
      <c r="AG1513" s="24"/>
      <c r="AH1513" s="24"/>
      <c r="AI1513" s="24"/>
      <c r="AJ1513" s="24"/>
      <c r="AK1513" s="24"/>
    </row>
    <row r="1514" spans="1:37" x14ac:dyDescent="0.25">
      <c r="A1514" s="24"/>
      <c r="B1514" s="90"/>
      <c r="C1514" s="92"/>
      <c r="D1514" s="24"/>
      <c r="E1514" s="90"/>
      <c r="F1514" s="90"/>
      <c r="G1514" s="24"/>
      <c r="H1514" s="90"/>
      <c r="I1514" s="24"/>
      <c r="J1514" s="90"/>
      <c r="K1514" s="90"/>
      <c r="L1514" s="24"/>
      <c r="M1514" s="24"/>
      <c r="N1514" s="24"/>
      <c r="O1514" s="90"/>
      <c r="P1514" s="24"/>
      <c r="Q1514" s="24"/>
      <c r="R1514" s="24"/>
      <c r="S1514" s="90"/>
      <c r="T1514" s="90"/>
      <c r="U1514" s="24"/>
      <c r="V1514" s="90"/>
      <c r="W1514" s="90"/>
      <c r="X1514" s="90"/>
      <c r="Y1514" s="24"/>
      <c r="Z1514" s="24"/>
      <c r="AA1514" s="24"/>
      <c r="AB1514" s="24"/>
      <c r="AC1514" s="24"/>
      <c r="AD1514" s="24"/>
      <c r="AE1514" s="24"/>
      <c r="AF1514" s="24"/>
      <c r="AG1514" s="24"/>
      <c r="AH1514" s="24"/>
      <c r="AI1514" s="24"/>
      <c r="AJ1514" s="24"/>
      <c r="AK1514" s="24"/>
    </row>
    <row r="1515" spans="1:37" x14ac:dyDescent="0.25">
      <c r="A1515" s="24"/>
      <c r="B1515" s="90"/>
      <c r="C1515" s="92"/>
      <c r="D1515" s="24"/>
      <c r="E1515" s="90"/>
      <c r="F1515" s="90"/>
      <c r="G1515" s="24"/>
      <c r="H1515" s="90"/>
      <c r="I1515" s="24"/>
      <c r="J1515" s="90"/>
      <c r="K1515" s="90"/>
      <c r="L1515" s="24"/>
      <c r="M1515" s="24"/>
      <c r="N1515" s="24"/>
      <c r="O1515" s="90"/>
      <c r="P1515" s="24"/>
      <c r="Q1515" s="24"/>
      <c r="R1515" s="24"/>
      <c r="S1515" s="90"/>
      <c r="T1515" s="90"/>
      <c r="U1515" s="24"/>
      <c r="V1515" s="90"/>
      <c r="W1515" s="90"/>
      <c r="X1515" s="90"/>
      <c r="Y1515" s="24"/>
      <c r="Z1515" s="24"/>
      <c r="AA1515" s="24"/>
      <c r="AB1515" s="24"/>
      <c r="AC1515" s="24"/>
      <c r="AD1515" s="24"/>
      <c r="AE1515" s="24"/>
      <c r="AF1515" s="24"/>
      <c r="AG1515" s="24"/>
      <c r="AH1515" s="24"/>
      <c r="AI1515" s="24"/>
      <c r="AJ1515" s="24"/>
      <c r="AK1515" s="24"/>
    </row>
    <row r="1516" spans="1:37" x14ac:dyDescent="0.25">
      <c r="A1516" s="24"/>
      <c r="B1516" s="90"/>
      <c r="C1516" s="92"/>
      <c r="D1516" s="24"/>
      <c r="E1516" s="90"/>
      <c r="F1516" s="90"/>
      <c r="G1516" s="24"/>
      <c r="H1516" s="90"/>
      <c r="I1516" s="24"/>
      <c r="J1516" s="90"/>
      <c r="K1516" s="90"/>
      <c r="L1516" s="24"/>
      <c r="M1516" s="24"/>
      <c r="N1516" s="24"/>
      <c r="O1516" s="90"/>
      <c r="P1516" s="24"/>
      <c r="Q1516" s="24"/>
      <c r="R1516" s="24"/>
      <c r="S1516" s="90"/>
      <c r="T1516" s="90"/>
      <c r="U1516" s="24"/>
      <c r="V1516" s="90"/>
      <c r="W1516" s="90"/>
      <c r="X1516" s="90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</row>
    <row r="1517" spans="1:37" x14ac:dyDescent="0.25">
      <c r="A1517" s="24"/>
      <c r="B1517" s="90"/>
      <c r="C1517" s="92"/>
      <c r="D1517" s="24"/>
      <c r="E1517" s="90"/>
      <c r="F1517" s="90"/>
      <c r="G1517" s="24"/>
      <c r="H1517" s="90"/>
      <c r="I1517" s="24"/>
      <c r="J1517" s="90"/>
      <c r="K1517" s="90"/>
      <c r="L1517" s="24"/>
      <c r="M1517" s="24"/>
      <c r="N1517" s="24"/>
      <c r="O1517" s="90"/>
      <c r="P1517" s="24"/>
      <c r="Q1517" s="24"/>
      <c r="R1517" s="24"/>
      <c r="S1517" s="90"/>
      <c r="T1517" s="90"/>
      <c r="U1517" s="24"/>
      <c r="V1517" s="90"/>
      <c r="W1517" s="90"/>
      <c r="X1517" s="90"/>
      <c r="Y1517" s="24"/>
      <c r="Z1517" s="24"/>
      <c r="AA1517" s="24"/>
      <c r="AB1517" s="24"/>
      <c r="AC1517" s="24"/>
      <c r="AD1517" s="24"/>
      <c r="AE1517" s="24"/>
      <c r="AF1517" s="24"/>
      <c r="AG1517" s="24"/>
      <c r="AH1517" s="24"/>
      <c r="AI1517" s="24"/>
      <c r="AJ1517" s="24"/>
      <c r="AK1517" s="24"/>
    </row>
    <row r="1518" spans="1:37" x14ac:dyDescent="0.25">
      <c r="A1518" s="24"/>
      <c r="B1518" s="90"/>
      <c r="C1518" s="92"/>
      <c r="D1518" s="24"/>
      <c r="E1518" s="90"/>
      <c r="F1518" s="90"/>
      <c r="G1518" s="24"/>
      <c r="H1518" s="90"/>
      <c r="I1518" s="24"/>
      <c r="J1518" s="90"/>
      <c r="K1518" s="90"/>
      <c r="L1518" s="24"/>
      <c r="M1518" s="24"/>
      <c r="N1518" s="24"/>
      <c r="O1518" s="90"/>
      <c r="P1518" s="24"/>
      <c r="Q1518" s="24"/>
      <c r="R1518" s="24"/>
      <c r="S1518" s="90"/>
      <c r="T1518" s="90"/>
      <c r="U1518" s="24"/>
      <c r="V1518" s="90"/>
      <c r="W1518" s="90"/>
      <c r="X1518" s="90"/>
      <c r="Y1518" s="24"/>
      <c r="Z1518" s="24"/>
      <c r="AA1518" s="24"/>
      <c r="AB1518" s="24"/>
      <c r="AC1518" s="24"/>
      <c r="AD1518" s="24"/>
      <c r="AE1518" s="24"/>
      <c r="AF1518" s="24"/>
      <c r="AG1518" s="24"/>
      <c r="AH1518" s="24"/>
      <c r="AI1518" s="24"/>
      <c r="AJ1518" s="24"/>
      <c r="AK1518" s="24"/>
    </row>
    <row r="1519" spans="1:37" x14ac:dyDescent="0.25">
      <c r="A1519" s="24"/>
      <c r="B1519" s="90"/>
      <c r="C1519" s="92"/>
      <c r="D1519" s="24"/>
      <c r="E1519" s="90"/>
      <c r="F1519" s="90"/>
      <c r="G1519" s="24"/>
      <c r="H1519" s="90"/>
      <c r="I1519" s="24"/>
      <c r="J1519" s="90"/>
      <c r="K1519" s="90"/>
      <c r="L1519" s="24"/>
      <c r="M1519" s="24"/>
      <c r="N1519" s="24"/>
      <c r="O1519" s="90"/>
      <c r="P1519" s="24"/>
      <c r="Q1519" s="24"/>
      <c r="R1519" s="24"/>
      <c r="S1519" s="90"/>
      <c r="T1519" s="90"/>
      <c r="U1519" s="24"/>
      <c r="V1519" s="90"/>
      <c r="W1519" s="90"/>
      <c r="X1519" s="90"/>
      <c r="Y1519" s="24"/>
      <c r="Z1519" s="24"/>
      <c r="AA1519" s="24"/>
      <c r="AB1519" s="24"/>
      <c r="AC1519" s="24"/>
      <c r="AD1519" s="24"/>
      <c r="AE1519" s="24"/>
      <c r="AF1519" s="24"/>
      <c r="AG1519" s="24"/>
      <c r="AH1519" s="24"/>
      <c r="AI1519" s="24"/>
      <c r="AJ1519" s="24"/>
      <c r="AK1519" s="24"/>
    </row>
    <row r="1520" spans="1:37" x14ac:dyDescent="0.25">
      <c r="A1520" s="24"/>
      <c r="B1520" s="90"/>
      <c r="C1520" s="92"/>
      <c r="D1520" s="24"/>
      <c r="E1520" s="90"/>
      <c r="F1520" s="90"/>
      <c r="G1520" s="24"/>
      <c r="H1520" s="90"/>
      <c r="I1520" s="24"/>
      <c r="J1520" s="90"/>
      <c r="K1520" s="90"/>
      <c r="L1520" s="24"/>
      <c r="M1520" s="24"/>
      <c r="N1520" s="24"/>
      <c r="O1520" s="90"/>
      <c r="P1520" s="24"/>
      <c r="Q1520" s="24"/>
      <c r="R1520" s="24"/>
      <c r="S1520" s="90"/>
      <c r="T1520" s="90"/>
      <c r="U1520" s="24"/>
      <c r="V1520" s="90"/>
      <c r="W1520" s="90"/>
      <c r="X1520" s="90"/>
      <c r="Y1520" s="24"/>
      <c r="Z1520" s="24"/>
      <c r="AA1520" s="24"/>
      <c r="AB1520" s="24"/>
      <c r="AC1520" s="24"/>
      <c r="AD1520" s="24"/>
      <c r="AE1520" s="24"/>
      <c r="AF1520" s="24"/>
      <c r="AG1520" s="24"/>
      <c r="AH1520" s="24"/>
      <c r="AI1520" s="24"/>
      <c r="AJ1520" s="24"/>
      <c r="AK1520" s="24"/>
    </row>
    <row r="1521" spans="1:37" x14ac:dyDescent="0.25">
      <c r="A1521" s="24"/>
      <c r="B1521" s="90"/>
      <c r="C1521" s="92"/>
      <c r="D1521" s="24"/>
      <c r="E1521" s="90"/>
      <c r="F1521" s="90"/>
      <c r="G1521" s="24"/>
      <c r="H1521" s="90"/>
      <c r="I1521" s="24"/>
      <c r="J1521" s="90"/>
      <c r="K1521" s="90"/>
      <c r="L1521" s="24"/>
      <c r="M1521" s="24"/>
      <c r="N1521" s="24"/>
      <c r="O1521" s="90"/>
      <c r="P1521" s="24"/>
      <c r="Q1521" s="24"/>
      <c r="R1521" s="24"/>
      <c r="S1521" s="90"/>
      <c r="T1521" s="90"/>
      <c r="U1521" s="24"/>
      <c r="V1521" s="90"/>
      <c r="W1521" s="90"/>
      <c r="X1521" s="90"/>
      <c r="Y1521" s="24"/>
      <c r="Z1521" s="24"/>
      <c r="AA1521" s="24"/>
      <c r="AB1521" s="24"/>
      <c r="AC1521" s="24"/>
      <c r="AD1521" s="24"/>
      <c r="AE1521" s="24"/>
      <c r="AF1521" s="24"/>
      <c r="AG1521" s="24"/>
      <c r="AH1521" s="24"/>
      <c r="AI1521" s="24"/>
      <c r="AJ1521" s="24"/>
      <c r="AK1521" s="24"/>
    </row>
    <row r="1522" spans="1:37" x14ac:dyDescent="0.25">
      <c r="A1522" s="24"/>
      <c r="B1522" s="90"/>
      <c r="C1522" s="92"/>
      <c r="D1522" s="24"/>
      <c r="E1522" s="90"/>
      <c r="F1522" s="90"/>
      <c r="G1522" s="24"/>
      <c r="H1522" s="90"/>
      <c r="I1522" s="24"/>
      <c r="J1522" s="90"/>
      <c r="K1522" s="90"/>
      <c r="L1522" s="24"/>
      <c r="M1522" s="24"/>
      <c r="N1522" s="24"/>
      <c r="O1522" s="90"/>
      <c r="P1522" s="24"/>
      <c r="Q1522" s="24"/>
      <c r="R1522" s="24"/>
      <c r="S1522" s="90"/>
      <c r="T1522" s="90"/>
      <c r="U1522" s="24"/>
      <c r="V1522" s="90"/>
      <c r="W1522" s="90"/>
      <c r="X1522" s="90"/>
      <c r="Y1522" s="24"/>
      <c r="Z1522" s="24"/>
      <c r="AA1522" s="24"/>
      <c r="AB1522" s="24"/>
      <c r="AC1522" s="24"/>
      <c r="AD1522" s="24"/>
      <c r="AE1522" s="24"/>
      <c r="AF1522" s="24"/>
      <c r="AG1522" s="24"/>
      <c r="AH1522" s="24"/>
      <c r="AI1522" s="24"/>
      <c r="AJ1522" s="24"/>
      <c r="AK1522" s="24"/>
    </row>
    <row r="1523" spans="1:37" x14ac:dyDescent="0.25">
      <c r="A1523" s="24"/>
      <c r="B1523" s="90"/>
      <c r="C1523" s="92"/>
      <c r="D1523" s="24"/>
      <c r="E1523" s="90"/>
      <c r="F1523" s="90"/>
      <c r="G1523" s="24"/>
      <c r="H1523" s="90"/>
      <c r="I1523" s="24"/>
      <c r="J1523" s="90"/>
      <c r="K1523" s="90"/>
      <c r="L1523" s="24"/>
      <c r="M1523" s="24"/>
      <c r="N1523" s="24"/>
      <c r="O1523" s="90"/>
      <c r="P1523" s="24"/>
      <c r="Q1523" s="24"/>
      <c r="R1523" s="24"/>
      <c r="S1523" s="90"/>
      <c r="T1523" s="90"/>
      <c r="U1523" s="24"/>
      <c r="V1523" s="90"/>
      <c r="W1523" s="90"/>
      <c r="X1523" s="90"/>
      <c r="Y1523" s="24"/>
      <c r="Z1523" s="24"/>
      <c r="AA1523" s="24"/>
      <c r="AB1523" s="24"/>
      <c r="AC1523" s="24"/>
      <c r="AD1523" s="24"/>
      <c r="AE1523" s="24"/>
      <c r="AF1523" s="24"/>
      <c r="AG1523" s="24"/>
      <c r="AH1523" s="24"/>
      <c r="AI1523" s="24"/>
      <c r="AJ1523" s="24"/>
      <c r="AK1523" s="24"/>
    </row>
    <row r="1524" spans="1:37" x14ac:dyDescent="0.25">
      <c r="A1524" s="24"/>
      <c r="B1524" s="90"/>
      <c r="C1524" s="92"/>
      <c r="D1524" s="24"/>
      <c r="E1524" s="90"/>
      <c r="F1524" s="90"/>
      <c r="G1524" s="24"/>
      <c r="H1524" s="90"/>
      <c r="I1524" s="24"/>
      <c r="J1524" s="90"/>
      <c r="K1524" s="90"/>
      <c r="L1524" s="24"/>
      <c r="M1524" s="24"/>
      <c r="N1524" s="24"/>
      <c r="O1524" s="90"/>
      <c r="P1524" s="24"/>
      <c r="Q1524" s="24"/>
      <c r="R1524" s="24"/>
      <c r="S1524" s="90"/>
      <c r="T1524" s="90"/>
      <c r="U1524" s="24"/>
      <c r="V1524" s="90"/>
      <c r="W1524" s="90"/>
      <c r="X1524" s="90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24"/>
      <c r="AJ1524" s="24"/>
      <c r="AK1524" s="24"/>
    </row>
    <row r="1525" spans="1:37" x14ac:dyDescent="0.25">
      <c r="A1525" s="24"/>
      <c r="B1525" s="90"/>
      <c r="C1525" s="92"/>
      <c r="D1525" s="24"/>
      <c r="E1525" s="90"/>
      <c r="F1525" s="90"/>
      <c r="G1525" s="24"/>
      <c r="H1525" s="90"/>
      <c r="I1525" s="24"/>
      <c r="J1525" s="90"/>
      <c r="K1525" s="90"/>
      <c r="L1525" s="24"/>
      <c r="M1525" s="24"/>
      <c r="N1525" s="24"/>
      <c r="O1525" s="90"/>
      <c r="P1525" s="24"/>
      <c r="Q1525" s="24"/>
      <c r="R1525" s="24"/>
      <c r="S1525" s="90"/>
      <c r="T1525" s="90"/>
      <c r="U1525" s="24"/>
      <c r="V1525" s="90"/>
      <c r="W1525" s="90"/>
      <c r="X1525" s="90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4"/>
      <c r="AI1525" s="24"/>
      <c r="AJ1525" s="24"/>
      <c r="AK1525" s="24"/>
    </row>
    <row r="1526" spans="1:37" x14ac:dyDescent="0.25">
      <c r="A1526" s="24"/>
      <c r="B1526" s="90"/>
      <c r="C1526" s="92"/>
      <c r="D1526" s="24"/>
      <c r="E1526" s="90"/>
      <c r="F1526" s="90"/>
      <c r="G1526" s="24"/>
      <c r="H1526" s="90"/>
      <c r="I1526" s="24"/>
      <c r="J1526" s="90"/>
      <c r="K1526" s="90"/>
      <c r="L1526" s="24"/>
      <c r="M1526" s="24"/>
      <c r="N1526" s="24"/>
      <c r="O1526" s="90"/>
      <c r="P1526" s="24"/>
      <c r="Q1526" s="24"/>
      <c r="R1526" s="24"/>
      <c r="S1526" s="90"/>
      <c r="T1526" s="90"/>
      <c r="U1526" s="24"/>
      <c r="V1526" s="90"/>
      <c r="W1526" s="90"/>
      <c r="X1526" s="90"/>
      <c r="Y1526" s="24"/>
      <c r="Z1526" s="24"/>
      <c r="AA1526" s="24"/>
      <c r="AB1526" s="24"/>
      <c r="AC1526" s="24"/>
      <c r="AD1526" s="24"/>
      <c r="AE1526" s="24"/>
      <c r="AF1526" s="24"/>
      <c r="AG1526" s="24"/>
      <c r="AH1526" s="24"/>
      <c r="AI1526" s="24"/>
      <c r="AJ1526" s="24"/>
      <c r="AK1526" s="24"/>
    </row>
    <row r="1527" spans="1:37" x14ac:dyDescent="0.25">
      <c r="A1527" s="24"/>
      <c r="B1527" s="90"/>
      <c r="C1527" s="92"/>
      <c r="D1527" s="24"/>
      <c r="E1527" s="90"/>
      <c r="F1527" s="90"/>
      <c r="G1527" s="24"/>
      <c r="H1527" s="90"/>
      <c r="I1527" s="24"/>
      <c r="J1527" s="90"/>
      <c r="K1527" s="90"/>
      <c r="L1527" s="24"/>
      <c r="M1527" s="24"/>
      <c r="N1527" s="24"/>
      <c r="O1527" s="90"/>
      <c r="P1527" s="24"/>
      <c r="Q1527" s="24"/>
      <c r="R1527" s="24"/>
      <c r="S1527" s="90"/>
      <c r="T1527" s="90"/>
      <c r="U1527" s="24"/>
      <c r="V1527" s="90"/>
      <c r="W1527" s="90"/>
      <c r="X1527" s="90"/>
      <c r="Y1527" s="24"/>
      <c r="Z1527" s="24"/>
      <c r="AA1527" s="24"/>
      <c r="AB1527" s="24"/>
      <c r="AC1527" s="24"/>
      <c r="AD1527" s="24"/>
      <c r="AE1527" s="24"/>
      <c r="AF1527" s="24"/>
      <c r="AG1527" s="24"/>
      <c r="AH1527" s="24"/>
      <c r="AI1527" s="24"/>
      <c r="AJ1527" s="24"/>
      <c r="AK1527" s="24"/>
    </row>
    <row r="1528" spans="1:37" x14ac:dyDescent="0.25">
      <c r="A1528" s="24"/>
      <c r="B1528" s="90"/>
      <c r="C1528" s="92"/>
      <c r="D1528" s="24"/>
      <c r="E1528" s="90"/>
      <c r="F1528" s="90"/>
      <c r="G1528" s="24"/>
      <c r="H1528" s="90"/>
      <c r="I1528" s="24"/>
      <c r="J1528" s="90"/>
      <c r="K1528" s="90"/>
      <c r="L1528" s="24"/>
      <c r="M1528" s="24"/>
      <c r="N1528" s="24"/>
      <c r="O1528" s="90"/>
      <c r="P1528" s="24"/>
      <c r="Q1528" s="24"/>
      <c r="R1528" s="24"/>
      <c r="S1528" s="90"/>
      <c r="T1528" s="90"/>
      <c r="U1528" s="24"/>
      <c r="V1528" s="90"/>
      <c r="W1528" s="90"/>
      <c r="X1528" s="90"/>
      <c r="Y1528" s="24"/>
      <c r="Z1528" s="24"/>
      <c r="AA1528" s="24"/>
      <c r="AB1528" s="24"/>
      <c r="AC1528" s="24"/>
      <c r="AD1528" s="24"/>
      <c r="AE1528" s="24"/>
      <c r="AF1528" s="24"/>
      <c r="AG1528" s="24"/>
      <c r="AH1528" s="24"/>
      <c r="AI1528" s="24"/>
      <c r="AJ1528" s="24"/>
      <c r="AK1528" s="24"/>
    </row>
    <row r="1529" spans="1:37" x14ac:dyDescent="0.25">
      <c r="A1529" s="24"/>
      <c r="B1529" s="90"/>
      <c r="C1529" s="92"/>
      <c r="D1529" s="24"/>
      <c r="E1529" s="90"/>
      <c r="F1529" s="90"/>
      <c r="G1529" s="24"/>
      <c r="H1529" s="90"/>
      <c r="I1529" s="24"/>
      <c r="J1529" s="90"/>
      <c r="K1529" s="90"/>
      <c r="L1529" s="24"/>
      <c r="M1529" s="24"/>
      <c r="N1529" s="24"/>
      <c r="O1529" s="90"/>
      <c r="P1529" s="24"/>
      <c r="Q1529" s="24"/>
      <c r="R1529" s="24"/>
      <c r="S1529" s="90"/>
      <c r="T1529" s="90"/>
      <c r="U1529" s="24"/>
      <c r="V1529" s="90"/>
      <c r="W1529" s="90"/>
      <c r="X1529" s="90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</row>
    <row r="1530" spans="1:37" x14ac:dyDescent="0.25">
      <c r="A1530" s="24"/>
      <c r="B1530" s="90"/>
      <c r="C1530" s="92"/>
      <c r="D1530" s="24"/>
      <c r="E1530" s="90"/>
      <c r="F1530" s="90"/>
      <c r="G1530" s="24"/>
      <c r="H1530" s="90"/>
      <c r="I1530" s="24"/>
      <c r="J1530" s="90"/>
      <c r="K1530" s="90"/>
      <c r="L1530" s="24"/>
      <c r="M1530" s="24"/>
      <c r="N1530" s="24"/>
      <c r="O1530" s="90"/>
      <c r="P1530" s="24"/>
      <c r="Q1530" s="24"/>
      <c r="R1530" s="24"/>
      <c r="S1530" s="90"/>
      <c r="T1530" s="90"/>
      <c r="U1530" s="24"/>
      <c r="V1530" s="90"/>
      <c r="W1530" s="90"/>
      <c r="X1530" s="90"/>
      <c r="Y1530" s="24"/>
      <c r="Z1530" s="24"/>
      <c r="AA1530" s="24"/>
      <c r="AB1530" s="24"/>
      <c r="AC1530" s="24"/>
      <c r="AD1530" s="24"/>
      <c r="AE1530" s="24"/>
      <c r="AF1530" s="24"/>
      <c r="AG1530" s="24"/>
      <c r="AH1530" s="24"/>
      <c r="AI1530" s="24"/>
      <c r="AJ1530" s="24"/>
      <c r="AK1530" s="24"/>
    </row>
    <row r="1531" spans="1:37" x14ac:dyDescent="0.25">
      <c r="A1531" s="24"/>
      <c r="B1531" s="90"/>
      <c r="C1531" s="92"/>
      <c r="D1531" s="24"/>
      <c r="E1531" s="90"/>
      <c r="F1531" s="90"/>
      <c r="G1531" s="24"/>
      <c r="H1531" s="90"/>
      <c r="I1531" s="24"/>
      <c r="J1531" s="90"/>
      <c r="K1531" s="90"/>
      <c r="L1531" s="24"/>
      <c r="M1531" s="24"/>
      <c r="N1531" s="24"/>
      <c r="O1531" s="90"/>
      <c r="P1531" s="24"/>
      <c r="Q1531" s="24"/>
      <c r="R1531" s="24"/>
      <c r="S1531" s="90"/>
      <c r="T1531" s="90"/>
      <c r="U1531" s="24"/>
      <c r="V1531" s="90"/>
      <c r="W1531" s="90"/>
      <c r="X1531" s="90"/>
      <c r="Y1531" s="24"/>
      <c r="Z1531" s="24"/>
      <c r="AA1531" s="24"/>
      <c r="AB1531" s="24"/>
      <c r="AC1531" s="24"/>
      <c r="AD1531" s="24"/>
      <c r="AE1531" s="24"/>
      <c r="AF1531" s="24"/>
      <c r="AG1531" s="24"/>
      <c r="AH1531" s="24"/>
      <c r="AI1531" s="24"/>
      <c r="AJ1531" s="24"/>
      <c r="AK1531" s="24"/>
    </row>
    <row r="1532" spans="1:37" x14ac:dyDescent="0.25">
      <c r="A1532" s="24"/>
      <c r="B1532" s="90"/>
      <c r="C1532" s="92"/>
      <c r="D1532" s="24"/>
      <c r="E1532" s="90"/>
      <c r="F1532" s="90"/>
      <c r="G1532" s="24"/>
      <c r="H1532" s="90"/>
      <c r="I1532" s="24"/>
      <c r="J1532" s="90"/>
      <c r="K1532" s="90"/>
      <c r="L1532" s="24"/>
      <c r="M1532" s="24"/>
      <c r="N1532" s="24"/>
      <c r="O1532" s="90"/>
      <c r="P1532" s="24"/>
      <c r="Q1532" s="24"/>
      <c r="R1532" s="24"/>
      <c r="S1532" s="90"/>
      <c r="T1532" s="90"/>
      <c r="U1532" s="24"/>
      <c r="V1532" s="90"/>
      <c r="W1532" s="90"/>
      <c r="X1532" s="90"/>
      <c r="Y1532" s="24"/>
      <c r="Z1532" s="24"/>
      <c r="AA1532" s="24"/>
      <c r="AB1532" s="24"/>
      <c r="AC1532" s="24"/>
      <c r="AD1532" s="24"/>
      <c r="AE1532" s="24"/>
      <c r="AF1532" s="24"/>
      <c r="AG1532" s="24"/>
      <c r="AH1532" s="24"/>
      <c r="AI1532" s="24"/>
      <c r="AJ1532" s="24"/>
      <c r="AK1532" s="24"/>
    </row>
    <row r="1533" spans="1:37" x14ac:dyDescent="0.25">
      <c r="A1533" s="24"/>
      <c r="B1533" s="90"/>
      <c r="C1533" s="92"/>
      <c r="D1533" s="24"/>
      <c r="E1533" s="90"/>
      <c r="F1533" s="90"/>
      <c r="G1533" s="24"/>
      <c r="H1533" s="90"/>
      <c r="I1533" s="24"/>
      <c r="J1533" s="90"/>
      <c r="K1533" s="90"/>
      <c r="L1533" s="24"/>
      <c r="M1533" s="24"/>
      <c r="N1533" s="24"/>
      <c r="O1533" s="90"/>
      <c r="P1533" s="24"/>
      <c r="Q1533" s="24"/>
      <c r="R1533" s="24"/>
      <c r="S1533" s="90"/>
      <c r="T1533" s="90"/>
      <c r="U1533" s="24"/>
      <c r="V1533" s="90"/>
      <c r="W1533" s="90"/>
      <c r="X1533" s="90"/>
      <c r="Y1533" s="24"/>
      <c r="Z1533" s="24"/>
      <c r="AA1533" s="24"/>
      <c r="AB1533" s="24"/>
      <c r="AC1533" s="24"/>
      <c r="AD1533" s="24"/>
      <c r="AE1533" s="24"/>
      <c r="AF1533" s="24"/>
      <c r="AG1533" s="24"/>
      <c r="AH1533" s="24"/>
      <c r="AI1533" s="24"/>
      <c r="AJ1533" s="24"/>
      <c r="AK1533" s="24"/>
    </row>
    <row r="1534" spans="1:37" x14ac:dyDescent="0.25">
      <c r="A1534" s="24"/>
      <c r="B1534" s="90"/>
      <c r="C1534" s="92"/>
      <c r="D1534" s="24"/>
      <c r="E1534" s="90"/>
      <c r="F1534" s="90"/>
      <c r="G1534" s="24"/>
      <c r="H1534" s="90"/>
      <c r="I1534" s="24"/>
      <c r="J1534" s="90"/>
      <c r="K1534" s="90"/>
      <c r="L1534" s="24"/>
      <c r="M1534" s="24"/>
      <c r="N1534" s="24"/>
      <c r="O1534" s="90"/>
      <c r="P1534" s="24"/>
      <c r="Q1534" s="24"/>
      <c r="R1534" s="24"/>
      <c r="S1534" s="90"/>
      <c r="T1534" s="90"/>
      <c r="U1534" s="24"/>
      <c r="V1534" s="90"/>
      <c r="W1534" s="90"/>
      <c r="X1534" s="90"/>
      <c r="Y1534" s="24"/>
      <c r="Z1534" s="24"/>
      <c r="AA1534" s="24"/>
      <c r="AB1534" s="24"/>
      <c r="AC1534" s="24"/>
      <c r="AD1534" s="24"/>
      <c r="AE1534" s="24"/>
      <c r="AF1534" s="24"/>
      <c r="AG1534" s="24"/>
      <c r="AH1534" s="24"/>
      <c r="AI1534" s="24"/>
      <c r="AJ1534" s="24"/>
      <c r="AK1534" s="24"/>
    </row>
    <row r="1535" spans="1:37" x14ac:dyDescent="0.25">
      <c r="A1535" s="24"/>
      <c r="B1535" s="90"/>
      <c r="C1535" s="92"/>
      <c r="D1535" s="24"/>
      <c r="E1535" s="90"/>
      <c r="F1535" s="90"/>
      <c r="G1535" s="24"/>
      <c r="H1535" s="90"/>
      <c r="I1535" s="24"/>
      <c r="J1535" s="90"/>
      <c r="K1535" s="90"/>
      <c r="L1535" s="24"/>
      <c r="M1535" s="24"/>
      <c r="N1535" s="24"/>
      <c r="O1535" s="90"/>
      <c r="P1535" s="24"/>
      <c r="Q1535" s="24"/>
      <c r="R1535" s="24"/>
      <c r="S1535" s="90"/>
      <c r="T1535" s="90"/>
      <c r="U1535" s="24"/>
      <c r="V1535" s="90"/>
      <c r="W1535" s="90"/>
      <c r="X1535" s="90"/>
      <c r="Y1535" s="24"/>
      <c r="Z1535" s="24"/>
      <c r="AA1535" s="24"/>
      <c r="AB1535" s="24"/>
      <c r="AC1535" s="24"/>
      <c r="AD1535" s="24"/>
      <c r="AE1535" s="24"/>
      <c r="AF1535" s="24"/>
      <c r="AG1535" s="24"/>
      <c r="AH1535" s="24"/>
      <c r="AI1535" s="24"/>
      <c r="AJ1535" s="24"/>
      <c r="AK1535" s="24"/>
    </row>
    <row r="1536" spans="1:37" x14ac:dyDescent="0.25">
      <c r="A1536" s="24"/>
      <c r="B1536" s="90"/>
      <c r="C1536" s="92"/>
      <c r="D1536" s="24"/>
      <c r="E1536" s="90"/>
      <c r="F1536" s="90"/>
      <c r="G1536" s="24"/>
      <c r="H1536" s="90"/>
      <c r="I1536" s="24"/>
      <c r="J1536" s="90"/>
      <c r="K1536" s="90"/>
      <c r="L1536" s="24"/>
      <c r="M1536" s="24"/>
      <c r="N1536" s="24"/>
      <c r="O1536" s="90"/>
      <c r="P1536" s="24"/>
      <c r="Q1536" s="24"/>
      <c r="R1536" s="24"/>
      <c r="S1536" s="90"/>
      <c r="T1536" s="90"/>
      <c r="U1536" s="24"/>
      <c r="V1536" s="90"/>
      <c r="W1536" s="90"/>
      <c r="X1536" s="90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</row>
    <row r="1537" spans="1:37" x14ac:dyDescent="0.25">
      <c r="A1537" s="24"/>
      <c r="B1537" s="90"/>
      <c r="C1537" s="92"/>
      <c r="D1537" s="24"/>
      <c r="E1537" s="90"/>
      <c r="F1537" s="90"/>
      <c r="G1537" s="24"/>
      <c r="H1537" s="90"/>
      <c r="I1537" s="24"/>
      <c r="J1537" s="90"/>
      <c r="K1537" s="90"/>
      <c r="L1537" s="24"/>
      <c r="M1537" s="24"/>
      <c r="N1537" s="24"/>
      <c r="O1537" s="90"/>
      <c r="P1537" s="24"/>
      <c r="Q1537" s="24"/>
      <c r="R1537" s="24"/>
      <c r="S1537" s="90"/>
      <c r="T1537" s="90"/>
      <c r="U1537" s="24"/>
      <c r="V1537" s="90"/>
      <c r="W1537" s="90"/>
      <c r="X1537" s="90"/>
      <c r="Y1537" s="24"/>
      <c r="Z1537" s="24"/>
      <c r="AA1537" s="24"/>
      <c r="AB1537" s="24"/>
      <c r="AC1537" s="24"/>
      <c r="AD1537" s="24"/>
      <c r="AE1537" s="24"/>
      <c r="AF1537" s="24"/>
      <c r="AG1537" s="24"/>
      <c r="AH1537" s="24"/>
      <c r="AI1537" s="24"/>
      <c r="AJ1537" s="24"/>
      <c r="AK1537" s="24"/>
    </row>
    <row r="1538" spans="1:37" x14ac:dyDescent="0.25">
      <c r="A1538" s="24"/>
      <c r="B1538" s="90"/>
      <c r="C1538" s="92"/>
      <c r="D1538" s="24"/>
      <c r="E1538" s="90"/>
      <c r="F1538" s="90"/>
      <c r="G1538" s="24"/>
      <c r="H1538" s="90"/>
      <c r="I1538" s="24"/>
      <c r="J1538" s="90"/>
      <c r="K1538" s="90"/>
      <c r="L1538" s="24"/>
      <c r="M1538" s="24"/>
      <c r="N1538" s="24"/>
      <c r="O1538" s="90"/>
      <c r="P1538" s="24"/>
      <c r="Q1538" s="24"/>
      <c r="R1538" s="24"/>
      <c r="S1538" s="90"/>
      <c r="T1538" s="90"/>
      <c r="U1538" s="24"/>
      <c r="V1538" s="90"/>
      <c r="W1538" s="90"/>
      <c r="X1538" s="90"/>
      <c r="Y1538" s="24"/>
      <c r="Z1538" s="24"/>
      <c r="AA1538" s="24"/>
      <c r="AB1538" s="24"/>
      <c r="AC1538" s="24"/>
      <c r="AD1538" s="24"/>
      <c r="AE1538" s="24"/>
      <c r="AF1538" s="24"/>
      <c r="AG1538" s="24"/>
      <c r="AH1538" s="24"/>
      <c r="AI1538" s="24"/>
      <c r="AJ1538" s="24"/>
      <c r="AK1538" s="24"/>
    </row>
    <row r="1539" spans="1:37" x14ac:dyDescent="0.25">
      <c r="A1539" s="24"/>
      <c r="B1539" s="90"/>
      <c r="C1539" s="92"/>
      <c r="D1539" s="24"/>
      <c r="E1539" s="90"/>
      <c r="F1539" s="90"/>
      <c r="G1539" s="24"/>
      <c r="H1539" s="90"/>
      <c r="I1539" s="24"/>
      <c r="J1539" s="90"/>
      <c r="K1539" s="90"/>
      <c r="L1539" s="24"/>
      <c r="M1539" s="24"/>
      <c r="N1539" s="24"/>
      <c r="O1539" s="90"/>
      <c r="P1539" s="24"/>
      <c r="Q1539" s="24"/>
      <c r="R1539" s="24"/>
      <c r="S1539" s="90"/>
      <c r="T1539" s="90"/>
      <c r="U1539" s="24"/>
      <c r="V1539" s="90"/>
      <c r="W1539" s="90"/>
      <c r="X1539" s="90"/>
      <c r="Y1539" s="24"/>
      <c r="Z1539" s="24"/>
      <c r="AA1539" s="24"/>
      <c r="AB1539" s="24"/>
      <c r="AC1539" s="24"/>
      <c r="AD1539" s="24"/>
      <c r="AE1539" s="24"/>
      <c r="AF1539" s="24"/>
      <c r="AG1539" s="24"/>
      <c r="AH1539" s="24"/>
      <c r="AI1539" s="24"/>
      <c r="AJ1539" s="24"/>
      <c r="AK1539" s="24"/>
    </row>
    <row r="1540" spans="1:37" x14ac:dyDescent="0.25">
      <c r="A1540" s="24"/>
      <c r="B1540" s="90"/>
      <c r="C1540" s="92"/>
      <c r="D1540" s="24"/>
      <c r="E1540" s="90"/>
      <c r="F1540" s="90"/>
      <c r="G1540" s="24"/>
      <c r="H1540" s="90"/>
      <c r="I1540" s="24"/>
      <c r="J1540" s="90"/>
      <c r="K1540" s="90"/>
      <c r="L1540" s="24"/>
      <c r="M1540" s="24"/>
      <c r="N1540" s="24"/>
      <c r="O1540" s="90"/>
      <c r="P1540" s="24"/>
      <c r="Q1540" s="24"/>
      <c r="R1540" s="24"/>
      <c r="S1540" s="90"/>
      <c r="T1540" s="90"/>
      <c r="U1540" s="24"/>
      <c r="V1540" s="90"/>
      <c r="W1540" s="90"/>
      <c r="X1540" s="90"/>
      <c r="Y1540" s="24"/>
      <c r="Z1540" s="24"/>
      <c r="AA1540" s="24"/>
      <c r="AB1540" s="24"/>
      <c r="AC1540" s="24"/>
      <c r="AD1540" s="24"/>
      <c r="AE1540" s="24"/>
      <c r="AF1540" s="24"/>
      <c r="AG1540" s="24"/>
      <c r="AH1540" s="24"/>
      <c r="AI1540" s="24"/>
      <c r="AJ1540" s="24"/>
      <c r="AK1540" s="24"/>
    </row>
    <row r="1541" spans="1:37" x14ac:dyDescent="0.25">
      <c r="A1541" s="24"/>
      <c r="B1541" s="90"/>
      <c r="C1541" s="92"/>
      <c r="D1541" s="24"/>
      <c r="E1541" s="90"/>
      <c r="F1541" s="90"/>
      <c r="G1541" s="24"/>
      <c r="H1541" s="90"/>
      <c r="I1541" s="24"/>
      <c r="J1541" s="90"/>
      <c r="K1541" s="90"/>
      <c r="L1541" s="24"/>
      <c r="M1541" s="24"/>
      <c r="N1541" s="24"/>
      <c r="O1541" s="90"/>
      <c r="P1541" s="24"/>
      <c r="Q1541" s="24"/>
      <c r="R1541" s="24"/>
      <c r="S1541" s="90"/>
      <c r="T1541" s="90"/>
      <c r="U1541" s="24"/>
      <c r="V1541" s="90"/>
      <c r="W1541" s="90"/>
      <c r="X1541" s="90"/>
      <c r="Y1541" s="24"/>
      <c r="Z1541" s="24"/>
      <c r="AA1541" s="24"/>
      <c r="AB1541" s="24"/>
      <c r="AC1541" s="24"/>
      <c r="AD1541" s="24"/>
      <c r="AE1541" s="24"/>
      <c r="AF1541" s="24"/>
      <c r="AG1541" s="24"/>
      <c r="AH1541" s="24"/>
      <c r="AI1541" s="24"/>
      <c r="AJ1541" s="24"/>
      <c r="AK1541" s="24"/>
    </row>
    <row r="1542" spans="1:37" x14ac:dyDescent="0.25">
      <c r="A1542" s="24"/>
      <c r="B1542" s="90"/>
      <c r="C1542" s="92"/>
      <c r="D1542" s="24"/>
      <c r="E1542" s="90"/>
      <c r="F1542" s="90"/>
      <c r="G1542" s="24"/>
      <c r="H1542" s="90"/>
      <c r="I1542" s="24"/>
      <c r="J1542" s="90"/>
      <c r="K1542" s="90"/>
      <c r="L1542" s="24"/>
      <c r="M1542" s="24"/>
      <c r="N1542" s="24"/>
      <c r="O1542" s="90"/>
      <c r="P1542" s="24"/>
      <c r="Q1542" s="24"/>
      <c r="R1542" s="24"/>
      <c r="S1542" s="90"/>
      <c r="T1542" s="90"/>
      <c r="U1542" s="24"/>
      <c r="V1542" s="90"/>
      <c r="W1542" s="90"/>
      <c r="X1542" s="90"/>
      <c r="Y1542" s="24"/>
      <c r="Z1542" s="24"/>
      <c r="AA1542" s="24"/>
      <c r="AB1542" s="24"/>
      <c r="AC1542" s="24"/>
      <c r="AD1542" s="24"/>
      <c r="AE1542" s="24"/>
      <c r="AF1542" s="24"/>
      <c r="AG1542" s="24"/>
      <c r="AH1542" s="24"/>
      <c r="AI1542" s="24"/>
      <c r="AJ1542" s="24"/>
      <c r="AK1542" s="24"/>
    </row>
    <row r="1543" spans="1:37" x14ac:dyDescent="0.25">
      <c r="A1543" s="24"/>
      <c r="B1543" s="90"/>
      <c r="C1543" s="92"/>
      <c r="D1543" s="24"/>
      <c r="E1543" s="90"/>
      <c r="F1543" s="90"/>
      <c r="G1543" s="24"/>
      <c r="H1543" s="90"/>
      <c r="I1543" s="24"/>
      <c r="J1543" s="90"/>
      <c r="K1543" s="90"/>
      <c r="L1543" s="24"/>
      <c r="M1543" s="24"/>
      <c r="N1543" s="24"/>
      <c r="O1543" s="90"/>
      <c r="P1543" s="24"/>
      <c r="Q1543" s="24"/>
      <c r="R1543" s="24"/>
      <c r="S1543" s="90"/>
      <c r="T1543" s="90"/>
      <c r="U1543" s="24"/>
      <c r="V1543" s="90"/>
      <c r="W1543" s="90"/>
      <c r="X1543" s="90"/>
      <c r="Y1543" s="24"/>
      <c r="Z1543" s="24"/>
      <c r="AA1543" s="24"/>
      <c r="AB1543" s="24"/>
      <c r="AC1543" s="24"/>
      <c r="AD1543" s="24"/>
      <c r="AE1543" s="24"/>
      <c r="AF1543" s="24"/>
      <c r="AG1543" s="24"/>
      <c r="AH1543" s="24"/>
      <c r="AI1543" s="24"/>
      <c r="AJ1543" s="24"/>
      <c r="AK1543" s="24"/>
    </row>
    <row r="1544" spans="1:37" x14ac:dyDescent="0.25">
      <c r="A1544" s="24"/>
      <c r="B1544" s="90"/>
      <c r="C1544" s="92"/>
      <c r="D1544" s="24"/>
      <c r="E1544" s="90"/>
      <c r="F1544" s="90"/>
      <c r="G1544" s="24"/>
      <c r="H1544" s="90"/>
      <c r="I1544" s="24"/>
      <c r="J1544" s="90"/>
      <c r="K1544" s="90"/>
      <c r="L1544" s="24"/>
      <c r="M1544" s="24"/>
      <c r="N1544" s="24"/>
      <c r="O1544" s="90"/>
      <c r="P1544" s="24"/>
      <c r="Q1544" s="24"/>
      <c r="R1544" s="24"/>
      <c r="S1544" s="90"/>
      <c r="T1544" s="90"/>
      <c r="U1544" s="24"/>
      <c r="V1544" s="90"/>
      <c r="W1544" s="90"/>
      <c r="X1544" s="90"/>
      <c r="Y1544" s="24"/>
      <c r="Z1544" s="24"/>
      <c r="AA1544" s="24"/>
      <c r="AB1544" s="24"/>
      <c r="AC1544" s="24"/>
      <c r="AD1544" s="24"/>
      <c r="AE1544" s="24"/>
      <c r="AF1544" s="24"/>
      <c r="AG1544" s="24"/>
      <c r="AH1544" s="24"/>
      <c r="AI1544" s="24"/>
      <c r="AJ1544" s="24"/>
      <c r="AK1544" s="24"/>
    </row>
    <row r="1545" spans="1:37" x14ac:dyDescent="0.25">
      <c r="A1545" s="24"/>
      <c r="B1545" s="90"/>
      <c r="C1545" s="92"/>
      <c r="D1545" s="24"/>
      <c r="E1545" s="90"/>
      <c r="F1545" s="90"/>
      <c r="G1545" s="24"/>
      <c r="H1545" s="90"/>
      <c r="I1545" s="24"/>
      <c r="J1545" s="90"/>
      <c r="K1545" s="90"/>
      <c r="L1545" s="24"/>
      <c r="M1545" s="24"/>
      <c r="N1545" s="24"/>
      <c r="O1545" s="90"/>
      <c r="P1545" s="24"/>
      <c r="Q1545" s="24"/>
      <c r="R1545" s="24"/>
      <c r="S1545" s="90"/>
      <c r="T1545" s="90"/>
      <c r="U1545" s="24"/>
      <c r="V1545" s="90"/>
      <c r="W1545" s="90"/>
      <c r="X1545" s="90"/>
      <c r="Y1545" s="24"/>
      <c r="Z1545" s="24"/>
      <c r="AA1545" s="24"/>
      <c r="AB1545" s="24"/>
      <c r="AC1545" s="24"/>
      <c r="AD1545" s="24"/>
      <c r="AE1545" s="24"/>
      <c r="AF1545" s="24"/>
      <c r="AG1545" s="24"/>
      <c r="AH1545" s="24"/>
      <c r="AI1545" s="24"/>
      <c r="AJ1545" s="24"/>
      <c r="AK1545" s="24"/>
    </row>
    <row r="1546" spans="1:37" x14ac:dyDescent="0.25">
      <c r="A1546" s="24"/>
      <c r="B1546" s="90"/>
      <c r="C1546" s="92"/>
      <c r="D1546" s="24"/>
      <c r="E1546" s="90"/>
      <c r="F1546" s="90"/>
      <c r="G1546" s="24"/>
      <c r="H1546" s="90"/>
      <c r="I1546" s="24"/>
      <c r="J1546" s="90"/>
      <c r="K1546" s="90"/>
      <c r="L1546" s="24"/>
      <c r="M1546" s="24"/>
      <c r="N1546" s="24"/>
      <c r="O1546" s="90"/>
      <c r="P1546" s="24"/>
      <c r="Q1546" s="24"/>
      <c r="R1546" s="24"/>
      <c r="S1546" s="90"/>
      <c r="T1546" s="90"/>
      <c r="U1546" s="24"/>
      <c r="V1546" s="90"/>
      <c r="W1546" s="90"/>
      <c r="X1546" s="90"/>
      <c r="Y1546" s="24"/>
      <c r="Z1546" s="24"/>
      <c r="AA1546" s="24"/>
      <c r="AB1546" s="24"/>
      <c r="AC1546" s="24"/>
      <c r="AD1546" s="24"/>
      <c r="AE1546" s="24"/>
      <c r="AF1546" s="24"/>
      <c r="AG1546" s="24"/>
      <c r="AH1546" s="24"/>
      <c r="AI1546" s="24"/>
      <c r="AJ1546" s="24"/>
      <c r="AK1546" s="24"/>
    </row>
    <row r="1547" spans="1:37" x14ac:dyDescent="0.25">
      <c r="A1547" s="24"/>
      <c r="B1547" s="90"/>
      <c r="C1547" s="92"/>
      <c r="D1547" s="24"/>
      <c r="E1547" s="90"/>
      <c r="F1547" s="90"/>
      <c r="G1547" s="24"/>
      <c r="H1547" s="90"/>
      <c r="I1547" s="24"/>
      <c r="J1547" s="90"/>
      <c r="K1547" s="90"/>
      <c r="L1547" s="24"/>
      <c r="M1547" s="24"/>
      <c r="N1547" s="24"/>
      <c r="O1547" s="90"/>
      <c r="P1547" s="24"/>
      <c r="Q1547" s="24"/>
      <c r="R1547" s="24"/>
      <c r="S1547" s="90"/>
      <c r="T1547" s="90"/>
      <c r="U1547" s="24"/>
      <c r="V1547" s="90"/>
      <c r="W1547" s="90"/>
      <c r="X1547" s="90"/>
      <c r="Y1547" s="24"/>
      <c r="Z1547" s="24"/>
      <c r="AA1547" s="24"/>
      <c r="AB1547" s="24"/>
      <c r="AC1547" s="24"/>
      <c r="AD1547" s="24"/>
      <c r="AE1547" s="24"/>
      <c r="AF1547" s="24"/>
      <c r="AG1547" s="24"/>
      <c r="AH1547" s="24"/>
      <c r="AI1547" s="24"/>
      <c r="AJ1547" s="24"/>
      <c r="AK1547" s="24"/>
    </row>
    <row r="1548" spans="1:37" x14ac:dyDescent="0.25">
      <c r="A1548" s="24"/>
      <c r="B1548" s="90"/>
      <c r="C1548" s="92"/>
      <c r="D1548" s="24"/>
      <c r="E1548" s="90"/>
      <c r="F1548" s="90"/>
      <c r="G1548" s="24"/>
      <c r="H1548" s="90"/>
      <c r="I1548" s="24"/>
      <c r="J1548" s="90"/>
      <c r="K1548" s="90"/>
      <c r="L1548" s="24"/>
      <c r="M1548" s="24"/>
      <c r="N1548" s="24"/>
      <c r="O1548" s="90"/>
      <c r="P1548" s="24"/>
      <c r="Q1548" s="24"/>
      <c r="R1548" s="24"/>
      <c r="S1548" s="90"/>
      <c r="T1548" s="90"/>
      <c r="U1548" s="24"/>
      <c r="V1548" s="90"/>
      <c r="W1548" s="90"/>
      <c r="X1548" s="90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24"/>
      <c r="AJ1548" s="24"/>
      <c r="AK1548" s="24"/>
    </row>
    <row r="1549" spans="1:37" x14ac:dyDescent="0.25">
      <c r="A1549" s="24"/>
      <c r="B1549" s="90"/>
      <c r="C1549" s="92"/>
      <c r="D1549" s="24"/>
      <c r="E1549" s="90"/>
      <c r="F1549" s="90"/>
      <c r="G1549" s="24"/>
      <c r="H1549" s="90"/>
      <c r="I1549" s="24"/>
      <c r="J1549" s="90"/>
      <c r="K1549" s="90"/>
      <c r="L1549" s="24"/>
      <c r="M1549" s="24"/>
      <c r="N1549" s="24"/>
      <c r="O1549" s="90"/>
      <c r="P1549" s="24"/>
      <c r="Q1549" s="24"/>
      <c r="R1549" s="24"/>
      <c r="S1549" s="90"/>
      <c r="T1549" s="90"/>
      <c r="U1549" s="24"/>
      <c r="V1549" s="90"/>
      <c r="W1549" s="90"/>
      <c r="X1549" s="90"/>
      <c r="Y1549" s="24"/>
      <c r="Z1549" s="24"/>
      <c r="AA1549" s="24"/>
      <c r="AB1549" s="24"/>
      <c r="AC1549" s="24"/>
      <c r="AD1549" s="24"/>
      <c r="AE1549" s="24"/>
      <c r="AF1549" s="24"/>
      <c r="AG1549" s="24"/>
      <c r="AH1549" s="24"/>
      <c r="AI1549" s="24"/>
      <c r="AJ1549" s="24"/>
      <c r="AK1549" s="24"/>
    </row>
    <row r="1550" spans="1:37" x14ac:dyDescent="0.25">
      <c r="A1550" s="24"/>
      <c r="B1550" s="90"/>
      <c r="C1550" s="92"/>
      <c r="D1550" s="24"/>
      <c r="E1550" s="90"/>
      <c r="F1550" s="90"/>
      <c r="G1550" s="24"/>
      <c r="H1550" s="90"/>
      <c r="I1550" s="24"/>
      <c r="J1550" s="90"/>
      <c r="K1550" s="90"/>
      <c r="L1550" s="24"/>
      <c r="M1550" s="24"/>
      <c r="N1550" s="24"/>
      <c r="O1550" s="90"/>
      <c r="P1550" s="24"/>
      <c r="Q1550" s="24"/>
      <c r="R1550" s="24"/>
      <c r="S1550" s="90"/>
      <c r="T1550" s="90"/>
      <c r="U1550" s="24"/>
      <c r="V1550" s="90"/>
      <c r="W1550" s="90"/>
      <c r="X1550" s="90"/>
      <c r="Y1550" s="24"/>
      <c r="Z1550" s="24"/>
      <c r="AA1550" s="24"/>
      <c r="AB1550" s="24"/>
      <c r="AC1550" s="24"/>
      <c r="AD1550" s="24"/>
      <c r="AE1550" s="24"/>
      <c r="AF1550" s="24"/>
      <c r="AG1550" s="24"/>
      <c r="AH1550" s="24"/>
      <c r="AI1550" s="24"/>
      <c r="AJ1550" s="24"/>
      <c r="AK1550" s="24"/>
    </row>
    <row r="1551" spans="1:37" x14ac:dyDescent="0.25">
      <c r="A1551" s="24"/>
      <c r="B1551" s="90"/>
      <c r="C1551" s="92"/>
      <c r="D1551" s="24"/>
      <c r="E1551" s="90"/>
      <c r="F1551" s="90"/>
      <c r="G1551" s="24"/>
      <c r="H1551" s="90"/>
      <c r="I1551" s="24"/>
      <c r="J1551" s="90"/>
      <c r="K1551" s="90"/>
      <c r="L1551" s="24"/>
      <c r="M1551" s="24"/>
      <c r="N1551" s="24"/>
      <c r="O1551" s="90"/>
      <c r="P1551" s="24"/>
      <c r="Q1551" s="24"/>
      <c r="R1551" s="24"/>
      <c r="S1551" s="90"/>
      <c r="T1551" s="90"/>
      <c r="U1551" s="24"/>
      <c r="V1551" s="90"/>
      <c r="W1551" s="90"/>
      <c r="X1551" s="90"/>
      <c r="Y1551" s="24"/>
      <c r="Z1551" s="24"/>
      <c r="AA1551" s="24"/>
      <c r="AB1551" s="24"/>
      <c r="AC1551" s="24"/>
      <c r="AD1551" s="24"/>
      <c r="AE1551" s="24"/>
      <c r="AF1551" s="24"/>
      <c r="AG1551" s="24"/>
      <c r="AH1551" s="24"/>
      <c r="AI1551" s="24"/>
      <c r="AJ1551" s="24"/>
      <c r="AK1551" s="24"/>
    </row>
    <row r="1552" spans="1:37" x14ac:dyDescent="0.25">
      <c r="A1552" s="24"/>
      <c r="B1552" s="90"/>
      <c r="C1552" s="92"/>
      <c r="D1552" s="24"/>
      <c r="E1552" s="90"/>
      <c r="F1552" s="90"/>
      <c r="G1552" s="24"/>
      <c r="H1552" s="90"/>
      <c r="I1552" s="24"/>
      <c r="J1552" s="90"/>
      <c r="K1552" s="90"/>
      <c r="L1552" s="24"/>
      <c r="M1552" s="24"/>
      <c r="N1552" s="24"/>
      <c r="O1552" s="90"/>
      <c r="P1552" s="24"/>
      <c r="Q1552" s="24"/>
      <c r="R1552" s="24"/>
      <c r="S1552" s="90"/>
      <c r="T1552" s="90"/>
      <c r="U1552" s="24"/>
      <c r="V1552" s="90"/>
      <c r="W1552" s="90"/>
      <c r="X1552" s="90"/>
      <c r="Y1552" s="24"/>
      <c r="Z1552" s="24"/>
      <c r="AA1552" s="24"/>
      <c r="AB1552" s="24"/>
      <c r="AC1552" s="24"/>
      <c r="AD1552" s="24"/>
      <c r="AE1552" s="24"/>
      <c r="AF1552" s="24"/>
      <c r="AG1552" s="24"/>
      <c r="AH1552" s="24"/>
      <c r="AI1552" s="24"/>
      <c r="AJ1552" s="24"/>
      <c r="AK1552" s="24"/>
    </row>
    <row r="1553" spans="1:37" x14ac:dyDescent="0.25">
      <c r="A1553" s="24"/>
      <c r="B1553" s="90"/>
      <c r="C1553" s="92"/>
      <c r="D1553" s="24"/>
      <c r="E1553" s="90"/>
      <c r="F1553" s="90"/>
      <c r="G1553" s="24"/>
      <c r="H1553" s="90"/>
      <c r="I1553" s="24"/>
      <c r="J1553" s="90"/>
      <c r="K1553" s="90"/>
      <c r="L1553" s="24"/>
      <c r="M1553" s="24"/>
      <c r="N1553" s="24"/>
      <c r="O1553" s="90"/>
      <c r="P1553" s="24"/>
      <c r="Q1553" s="24"/>
      <c r="R1553" s="24"/>
      <c r="S1553" s="90"/>
      <c r="T1553" s="90"/>
      <c r="U1553" s="24"/>
      <c r="V1553" s="90"/>
      <c r="W1553" s="90"/>
      <c r="X1553" s="90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</row>
    <row r="1554" spans="1:37" x14ac:dyDescent="0.25">
      <c r="A1554" s="24"/>
      <c r="B1554" s="90"/>
      <c r="C1554" s="92"/>
      <c r="D1554" s="24"/>
      <c r="E1554" s="90"/>
      <c r="F1554" s="90"/>
      <c r="G1554" s="24"/>
      <c r="H1554" s="90"/>
      <c r="I1554" s="24"/>
      <c r="J1554" s="90"/>
      <c r="K1554" s="90"/>
      <c r="L1554" s="24"/>
      <c r="M1554" s="24"/>
      <c r="N1554" s="24"/>
      <c r="O1554" s="90"/>
      <c r="P1554" s="24"/>
      <c r="Q1554" s="24"/>
      <c r="R1554" s="24"/>
      <c r="S1554" s="90"/>
      <c r="T1554" s="90"/>
      <c r="U1554" s="24"/>
      <c r="V1554" s="90"/>
      <c r="W1554" s="90"/>
      <c r="X1554" s="90"/>
      <c r="Y1554" s="24"/>
      <c r="Z1554" s="24"/>
      <c r="AA1554" s="24"/>
      <c r="AB1554" s="24"/>
      <c r="AC1554" s="24"/>
      <c r="AD1554" s="24"/>
      <c r="AE1554" s="24"/>
      <c r="AF1554" s="24"/>
      <c r="AG1554" s="24"/>
      <c r="AH1554" s="24"/>
      <c r="AI1554" s="24"/>
      <c r="AJ1554" s="24"/>
      <c r="AK1554" s="24"/>
    </row>
    <row r="1555" spans="1:37" x14ac:dyDescent="0.25">
      <c r="A1555" s="24"/>
      <c r="B1555" s="90"/>
      <c r="C1555" s="92"/>
      <c r="D1555" s="24"/>
      <c r="E1555" s="90"/>
      <c r="F1555" s="90"/>
      <c r="G1555" s="24"/>
      <c r="H1555" s="90"/>
      <c r="I1555" s="24"/>
      <c r="J1555" s="90"/>
      <c r="K1555" s="90"/>
      <c r="L1555" s="24"/>
      <c r="M1555" s="24"/>
      <c r="N1555" s="24"/>
      <c r="O1555" s="90"/>
      <c r="P1555" s="24"/>
      <c r="Q1555" s="24"/>
      <c r="R1555" s="24"/>
      <c r="S1555" s="90"/>
      <c r="T1555" s="90"/>
      <c r="U1555" s="24"/>
      <c r="V1555" s="90"/>
      <c r="W1555" s="90"/>
      <c r="X1555" s="90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</row>
    <row r="1556" spans="1:37" x14ac:dyDescent="0.25">
      <c r="A1556" s="24"/>
      <c r="B1556" s="90"/>
      <c r="C1556" s="92"/>
      <c r="D1556" s="24"/>
      <c r="E1556" s="90"/>
      <c r="F1556" s="90"/>
      <c r="G1556" s="24"/>
      <c r="H1556" s="90"/>
      <c r="I1556" s="24"/>
      <c r="J1556" s="90"/>
      <c r="K1556" s="90"/>
      <c r="L1556" s="24"/>
      <c r="M1556" s="24"/>
      <c r="N1556" s="24"/>
      <c r="O1556" s="90"/>
      <c r="P1556" s="24"/>
      <c r="Q1556" s="24"/>
      <c r="R1556" s="24"/>
      <c r="S1556" s="90"/>
      <c r="T1556" s="90"/>
      <c r="U1556" s="24"/>
      <c r="V1556" s="90"/>
      <c r="W1556" s="90"/>
      <c r="X1556" s="90"/>
      <c r="Y1556" s="24"/>
      <c r="Z1556" s="24"/>
      <c r="AA1556" s="24"/>
      <c r="AB1556" s="24"/>
      <c r="AC1556" s="24"/>
      <c r="AD1556" s="24"/>
      <c r="AE1556" s="24"/>
      <c r="AF1556" s="24"/>
      <c r="AG1556" s="24"/>
      <c r="AH1556" s="24"/>
      <c r="AI1556" s="24"/>
      <c r="AJ1556" s="24"/>
      <c r="AK1556" s="24"/>
    </row>
    <row r="1557" spans="1:37" x14ac:dyDescent="0.25">
      <c r="A1557" s="24"/>
      <c r="B1557" s="90"/>
      <c r="C1557" s="92"/>
      <c r="D1557" s="24"/>
      <c r="E1557" s="90"/>
      <c r="F1557" s="90"/>
      <c r="G1557" s="24"/>
      <c r="H1557" s="90"/>
      <c r="I1557" s="24"/>
      <c r="J1557" s="90"/>
      <c r="K1557" s="90"/>
      <c r="L1557" s="24"/>
      <c r="M1557" s="24"/>
      <c r="N1557" s="24"/>
      <c r="O1557" s="90"/>
      <c r="P1557" s="24"/>
      <c r="Q1557" s="24"/>
      <c r="R1557" s="24"/>
      <c r="S1557" s="90"/>
      <c r="T1557" s="90"/>
      <c r="U1557" s="24"/>
      <c r="V1557" s="90"/>
      <c r="W1557" s="90"/>
      <c r="X1557" s="90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</row>
    <row r="1558" spans="1:37" x14ac:dyDescent="0.25">
      <c r="A1558" s="24"/>
      <c r="B1558" s="90"/>
      <c r="C1558" s="92"/>
      <c r="D1558" s="24"/>
      <c r="E1558" s="90"/>
      <c r="F1558" s="90"/>
      <c r="G1558" s="24"/>
      <c r="H1558" s="90"/>
      <c r="I1558" s="24"/>
      <c r="J1558" s="90"/>
      <c r="K1558" s="90"/>
      <c r="L1558" s="24"/>
      <c r="M1558" s="24"/>
      <c r="N1558" s="24"/>
      <c r="O1558" s="90"/>
      <c r="P1558" s="24"/>
      <c r="Q1558" s="24"/>
      <c r="R1558" s="24"/>
      <c r="S1558" s="90"/>
      <c r="T1558" s="90"/>
      <c r="U1558" s="24"/>
      <c r="V1558" s="90"/>
      <c r="W1558" s="90"/>
      <c r="X1558" s="90"/>
      <c r="Y1558" s="24"/>
      <c r="Z1558" s="24"/>
      <c r="AA1558" s="24"/>
      <c r="AB1558" s="24"/>
      <c r="AC1558" s="24"/>
      <c r="AD1558" s="24"/>
      <c r="AE1558" s="24"/>
      <c r="AF1558" s="24"/>
      <c r="AG1558" s="24"/>
      <c r="AH1558" s="24"/>
      <c r="AI1558" s="24"/>
      <c r="AJ1558" s="24"/>
      <c r="AK1558" s="24"/>
    </row>
    <row r="1559" spans="1:37" x14ac:dyDescent="0.25">
      <c r="A1559" s="24"/>
      <c r="B1559" s="90"/>
      <c r="C1559" s="92"/>
      <c r="D1559" s="24"/>
      <c r="E1559" s="90"/>
      <c r="F1559" s="90"/>
      <c r="G1559" s="24"/>
      <c r="H1559" s="90"/>
      <c r="I1559" s="24"/>
      <c r="J1559" s="90"/>
      <c r="K1559" s="90"/>
      <c r="L1559" s="24"/>
      <c r="M1559" s="24"/>
      <c r="N1559" s="24"/>
      <c r="O1559" s="90"/>
      <c r="P1559" s="24"/>
      <c r="Q1559" s="24"/>
      <c r="R1559" s="24"/>
      <c r="S1559" s="90"/>
      <c r="T1559" s="90"/>
      <c r="U1559" s="24"/>
      <c r="V1559" s="90"/>
      <c r="W1559" s="90"/>
      <c r="X1559" s="90"/>
      <c r="Y1559" s="24"/>
      <c r="Z1559" s="24"/>
      <c r="AA1559" s="24"/>
      <c r="AB1559" s="24"/>
      <c r="AC1559" s="24"/>
      <c r="AD1559" s="24"/>
      <c r="AE1559" s="24"/>
      <c r="AF1559" s="24"/>
      <c r="AG1559" s="24"/>
      <c r="AH1559" s="24"/>
      <c r="AI1559" s="24"/>
      <c r="AJ1559" s="24"/>
      <c r="AK1559" s="24"/>
    </row>
    <row r="1560" spans="1:37" x14ac:dyDescent="0.25">
      <c r="A1560" s="24"/>
      <c r="B1560" s="90"/>
      <c r="C1560" s="92"/>
      <c r="D1560" s="24"/>
      <c r="E1560" s="90"/>
      <c r="F1560" s="90"/>
      <c r="G1560" s="24"/>
      <c r="H1560" s="90"/>
      <c r="I1560" s="24"/>
      <c r="J1560" s="90"/>
      <c r="K1560" s="90"/>
      <c r="L1560" s="24"/>
      <c r="M1560" s="24"/>
      <c r="N1560" s="24"/>
      <c r="O1560" s="90"/>
      <c r="P1560" s="24"/>
      <c r="Q1560" s="24"/>
      <c r="R1560" s="24"/>
      <c r="S1560" s="90"/>
      <c r="T1560" s="90"/>
      <c r="U1560" s="24"/>
      <c r="V1560" s="90"/>
      <c r="W1560" s="90"/>
      <c r="X1560" s="90"/>
      <c r="Y1560" s="24"/>
      <c r="Z1560" s="24"/>
      <c r="AA1560" s="24"/>
      <c r="AB1560" s="24"/>
      <c r="AC1560" s="24"/>
      <c r="AD1560" s="24"/>
      <c r="AE1560" s="24"/>
      <c r="AF1560" s="24"/>
      <c r="AG1560" s="24"/>
      <c r="AH1560" s="24"/>
      <c r="AI1560" s="24"/>
      <c r="AJ1560" s="24"/>
      <c r="AK1560" s="24"/>
    </row>
    <row r="1561" spans="1:37" x14ac:dyDescent="0.25">
      <c r="A1561" s="24"/>
      <c r="B1561" s="90"/>
      <c r="C1561" s="92"/>
      <c r="D1561" s="24"/>
      <c r="E1561" s="90"/>
      <c r="F1561" s="90"/>
      <c r="G1561" s="24"/>
      <c r="H1561" s="90"/>
      <c r="I1561" s="24"/>
      <c r="J1561" s="90"/>
      <c r="K1561" s="90"/>
      <c r="L1561" s="24"/>
      <c r="M1561" s="24"/>
      <c r="N1561" s="24"/>
      <c r="O1561" s="90"/>
      <c r="P1561" s="24"/>
      <c r="Q1561" s="24"/>
      <c r="R1561" s="24"/>
      <c r="S1561" s="90"/>
      <c r="T1561" s="90"/>
      <c r="U1561" s="24"/>
      <c r="V1561" s="90"/>
      <c r="W1561" s="90"/>
      <c r="X1561" s="90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</row>
    <row r="1562" spans="1:37" x14ac:dyDescent="0.25">
      <c r="A1562" s="24"/>
      <c r="B1562" s="90"/>
      <c r="C1562" s="92"/>
      <c r="D1562" s="24"/>
      <c r="E1562" s="90"/>
      <c r="F1562" s="90"/>
      <c r="G1562" s="24"/>
      <c r="H1562" s="90"/>
      <c r="I1562" s="24"/>
      <c r="J1562" s="90"/>
      <c r="K1562" s="90"/>
      <c r="L1562" s="24"/>
      <c r="M1562" s="24"/>
      <c r="N1562" s="24"/>
      <c r="O1562" s="90"/>
      <c r="P1562" s="24"/>
      <c r="Q1562" s="24"/>
      <c r="R1562" s="24"/>
      <c r="S1562" s="90"/>
      <c r="T1562" s="90"/>
      <c r="U1562" s="24"/>
      <c r="V1562" s="90"/>
      <c r="W1562" s="90"/>
      <c r="X1562" s="90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4"/>
      <c r="AI1562" s="24"/>
      <c r="AJ1562" s="24"/>
      <c r="AK1562" s="24"/>
    </row>
    <row r="1563" spans="1:37" x14ac:dyDescent="0.25">
      <c r="A1563" s="24"/>
      <c r="B1563" s="90"/>
      <c r="C1563" s="92"/>
      <c r="D1563" s="24"/>
      <c r="E1563" s="90"/>
      <c r="F1563" s="90"/>
      <c r="G1563" s="24"/>
      <c r="H1563" s="90"/>
      <c r="I1563" s="24"/>
      <c r="J1563" s="90"/>
      <c r="K1563" s="90"/>
      <c r="L1563" s="24"/>
      <c r="M1563" s="24"/>
      <c r="N1563" s="24"/>
      <c r="O1563" s="90"/>
      <c r="P1563" s="24"/>
      <c r="Q1563" s="24"/>
      <c r="R1563" s="24"/>
      <c r="S1563" s="90"/>
      <c r="T1563" s="90"/>
      <c r="U1563" s="24"/>
      <c r="V1563" s="90"/>
      <c r="W1563" s="90"/>
      <c r="X1563" s="90"/>
      <c r="Y1563" s="24"/>
      <c r="Z1563" s="24"/>
      <c r="AA1563" s="24"/>
      <c r="AB1563" s="24"/>
      <c r="AC1563" s="24"/>
      <c r="AD1563" s="24"/>
      <c r="AE1563" s="24"/>
      <c r="AF1563" s="24"/>
      <c r="AG1563" s="24"/>
      <c r="AH1563" s="24"/>
      <c r="AI1563" s="24"/>
      <c r="AJ1563" s="24"/>
      <c r="AK1563" s="24"/>
    </row>
    <row r="1564" spans="1:37" x14ac:dyDescent="0.25">
      <c r="A1564" s="24"/>
      <c r="B1564" s="90"/>
      <c r="C1564" s="92"/>
      <c r="D1564" s="24"/>
      <c r="E1564" s="90"/>
      <c r="F1564" s="90"/>
      <c r="G1564" s="24"/>
      <c r="H1564" s="90"/>
      <c r="I1564" s="24"/>
      <c r="J1564" s="90"/>
      <c r="K1564" s="90"/>
      <c r="L1564" s="24"/>
      <c r="M1564" s="24"/>
      <c r="N1564" s="24"/>
      <c r="O1564" s="90"/>
      <c r="P1564" s="24"/>
      <c r="Q1564" s="24"/>
      <c r="R1564" s="24"/>
      <c r="S1564" s="90"/>
      <c r="T1564" s="90"/>
      <c r="U1564" s="24"/>
      <c r="V1564" s="90"/>
      <c r="W1564" s="90"/>
      <c r="X1564" s="90"/>
      <c r="Y1564" s="24"/>
      <c r="Z1564" s="24"/>
      <c r="AA1564" s="24"/>
      <c r="AB1564" s="24"/>
      <c r="AC1564" s="24"/>
      <c r="AD1564" s="24"/>
      <c r="AE1564" s="24"/>
      <c r="AF1564" s="24"/>
      <c r="AG1564" s="24"/>
      <c r="AH1564" s="24"/>
      <c r="AI1564" s="24"/>
      <c r="AJ1564" s="24"/>
      <c r="AK1564" s="24"/>
    </row>
    <row r="1565" spans="1:37" x14ac:dyDescent="0.25">
      <c r="A1565" s="24"/>
      <c r="B1565" s="90"/>
      <c r="C1565" s="92"/>
      <c r="D1565" s="24"/>
      <c r="E1565" s="90"/>
      <c r="F1565" s="90"/>
      <c r="G1565" s="24"/>
      <c r="H1565" s="90"/>
      <c r="I1565" s="24"/>
      <c r="J1565" s="90"/>
      <c r="K1565" s="90"/>
      <c r="L1565" s="24"/>
      <c r="M1565" s="24"/>
      <c r="N1565" s="24"/>
      <c r="O1565" s="90"/>
      <c r="P1565" s="24"/>
      <c r="Q1565" s="24"/>
      <c r="R1565" s="24"/>
      <c r="S1565" s="90"/>
      <c r="T1565" s="90"/>
      <c r="U1565" s="24"/>
      <c r="V1565" s="90"/>
      <c r="W1565" s="90"/>
      <c r="X1565" s="90"/>
      <c r="Y1565" s="24"/>
      <c r="Z1565" s="24"/>
      <c r="AA1565" s="24"/>
      <c r="AB1565" s="24"/>
      <c r="AC1565" s="24"/>
      <c r="AD1565" s="24"/>
      <c r="AE1565" s="24"/>
      <c r="AF1565" s="24"/>
      <c r="AG1565" s="24"/>
      <c r="AH1565" s="24"/>
      <c r="AI1565" s="24"/>
      <c r="AJ1565" s="24"/>
      <c r="AK1565" s="24"/>
    </row>
    <row r="1566" spans="1:37" x14ac:dyDescent="0.25">
      <c r="A1566" s="24"/>
      <c r="B1566" s="90"/>
      <c r="C1566" s="92"/>
      <c r="D1566" s="24"/>
      <c r="E1566" s="90"/>
      <c r="F1566" s="90"/>
      <c r="G1566" s="24"/>
      <c r="H1566" s="90"/>
      <c r="I1566" s="24"/>
      <c r="J1566" s="90"/>
      <c r="K1566" s="90"/>
      <c r="L1566" s="24"/>
      <c r="M1566" s="24"/>
      <c r="N1566" s="24"/>
      <c r="O1566" s="90"/>
      <c r="P1566" s="24"/>
      <c r="Q1566" s="24"/>
      <c r="R1566" s="24"/>
      <c r="S1566" s="90"/>
      <c r="T1566" s="90"/>
      <c r="U1566" s="24"/>
      <c r="V1566" s="90"/>
      <c r="W1566" s="90"/>
      <c r="X1566" s="90"/>
      <c r="Y1566" s="24"/>
      <c r="Z1566" s="24"/>
      <c r="AA1566" s="24"/>
      <c r="AB1566" s="24"/>
      <c r="AC1566" s="24"/>
      <c r="AD1566" s="24"/>
      <c r="AE1566" s="24"/>
      <c r="AF1566" s="24"/>
      <c r="AG1566" s="24"/>
      <c r="AH1566" s="24"/>
      <c r="AI1566" s="24"/>
      <c r="AJ1566" s="24"/>
      <c r="AK1566" s="24"/>
    </row>
    <row r="1567" spans="1:37" x14ac:dyDescent="0.25">
      <c r="A1567" s="24"/>
      <c r="B1567" s="90"/>
      <c r="C1567" s="92"/>
      <c r="D1567" s="24"/>
      <c r="E1567" s="90"/>
      <c r="F1567" s="90"/>
      <c r="G1567" s="24"/>
      <c r="H1567" s="90"/>
      <c r="I1567" s="24"/>
      <c r="J1567" s="90"/>
      <c r="K1567" s="90"/>
      <c r="L1567" s="24"/>
      <c r="M1567" s="24"/>
      <c r="N1567" s="24"/>
      <c r="O1567" s="90"/>
      <c r="P1567" s="24"/>
      <c r="Q1567" s="24"/>
      <c r="R1567" s="24"/>
      <c r="S1567" s="90"/>
      <c r="T1567" s="90"/>
      <c r="U1567" s="24"/>
      <c r="V1567" s="90"/>
      <c r="W1567" s="90"/>
      <c r="X1567" s="90"/>
      <c r="Y1567" s="24"/>
      <c r="Z1567" s="24"/>
      <c r="AA1567" s="24"/>
      <c r="AB1567" s="24"/>
      <c r="AC1567" s="24"/>
      <c r="AD1567" s="24"/>
      <c r="AE1567" s="24"/>
      <c r="AF1567" s="24"/>
      <c r="AG1567" s="24"/>
      <c r="AH1567" s="24"/>
      <c r="AI1567" s="24"/>
      <c r="AJ1567" s="24"/>
      <c r="AK1567" s="24"/>
    </row>
    <row r="1568" spans="1:37" x14ac:dyDescent="0.25">
      <c r="A1568" s="24"/>
      <c r="B1568" s="90"/>
      <c r="C1568" s="92"/>
      <c r="D1568" s="24"/>
      <c r="E1568" s="90"/>
      <c r="F1568" s="90"/>
      <c r="G1568" s="24"/>
      <c r="H1568" s="90"/>
      <c r="I1568" s="24"/>
      <c r="J1568" s="90"/>
      <c r="K1568" s="90"/>
      <c r="L1568" s="24"/>
      <c r="M1568" s="24"/>
      <c r="N1568" s="24"/>
      <c r="O1568" s="90"/>
      <c r="P1568" s="24"/>
      <c r="Q1568" s="24"/>
      <c r="R1568" s="24"/>
      <c r="S1568" s="90"/>
      <c r="T1568" s="90"/>
      <c r="U1568" s="24"/>
      <c r="V1568" s="90"/>
      <c r="W1568" s="90"/>
      <c r="X1568" s="90"/>
      <c r="Y1568" s="24"/>
      <c r="Z1568" s="24"/>
      <c r="AA1568" s="24"/>
      <c r="AB1568" s="24"/>
      <c r="AC1568" s="24"/>
      <c r="AD1568" s="24"/>
      <c r="AE1568" s="24"/>
      <c r="AF1568" s="24"/>
      <c r="AG1568" s="24"/>
      <c r="AH1568" s="24"/>
      <c r="AI1568" s="24"/>
      <c r="AJ1568" s="24"/>
      <c r="AK1568" s="24"/>
    </row>
    <row r="1569" spans="1:37" x14ac:dyDescent="0.25">
      <c r="A1569" s="24"/>
      <c r="B1569" s="90"/>
      <c r="C1569" s="92"/>
      <c r="D1569" s="24"/>
      <c r="E1569" s="90"/>
      <c r="F1569" s="90"/>
      <c r="G1569" s="24"/>
      <c r="H1569" s="90"/>
      <c r="I1569" s="24"/>
      <c r="J1569" s="90"/>
      <c r="K1569" s="90"/>
      <c r="L1569" s="24"/>
      <c r="M1569" s="24"/>
      <c r="N1569" s="24"/>
      <c r="O1569" s="90"/>
      <c r="P1569" s="24"/>
      <c r="Q1569" s="24"/>
      <c r="R1569" s="24"/>
      <c r="S1569" s="90"/>
      <c r="T1569" s="90"/>
      <c r="U1569" s="24"/>
      <c r="V1569" s="90"/>
      <c r="W1569" s="90"/>
      <c r="X1569" s="90"/>
      <c r="Y1569" s="24"/>
      <c r="Z1569" s="24"/>
      <c r="AA1569" s="24"/>
      <c r="AB1569" s="24"/>
      <c r="AC1569" s="24"/>
      <c r="AD1569" s="24"/>
      <c r="AE1569" s="24"/>
      <c r="AF1569" s="24"/>
      <c r="AG1569" s="24"/>
      <c r="AH1569" s="24"/>
      <c r="AI1569" s="24"/>
      <c r="AJ1569" s="24"/>
      <c r="AK1569" s="24"/>
    </row>
    <row r="1570" spans="1:37" x14ac:dyDescent="0.25">
      <c r="A1570" s="24"/>
      <c r="B1570" s="90"/>
      <c r="C1570" s="92"/>
      <c r="D1570" s="24"/>
      <c r="E1570" s="90"/>
      <c r="F1570" s="90"/>
      <c r="G1570" s="24"/>
      <c r="H1570" s="90"/>
      <c r="I1570" s="24"/>
      <c r="J1570" s="90"/>
      <c r="K1570" s="90"/>
      <c r="L1570" s="24"/>
      <c r="M1570" s="24"/>
      <c r="N1570" s="24"/>
      <c r="O1570" s="90"/>
      <c r="P1570" s="24"/>
      <c r="Q1570" s="24"/>
      <c r="R1570" s="24"/>
      <c r="S1570" s="90"/>
      <c r="T1570" s="90"/>
      <c r="U1570" s="24"/>
      <c r="V1570" s="90"/>
      <c r="W1570" s="90"/>
      <c r="X1570" s="90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</row>
    <row r="1571" spans="1:37" x14ac:dyDescent="0.25">
      <c r="A1571" s="24"/>
      <c r="B1571" s="90"/>
      <c r="C1571" s="92"/>
      <c r="D1571" s="24"/>
      <c r="E1571" s="90"/>
      <c r="F1571" s="90"/>
      <c r="G1571" s="24"/>
      <c r="H1571" s="90"/>
      <c r="I1571" s="24"/>
      <c r="J1571" s="90"/>
      <c r="K1571" s="90"/>
      <c r="L1571" s="24"/>
      <c r="M1571" s="24"/>
      <c r="N1571" s="24"/>
      <c r="O1571" s="90"/>
      <c r="P1571" s="24"/>
      <c r="Q1571" s="24"/>
      <c r="R1571" s="24"/>
      <c r="S1571" s="90"/>
      <c r="T1571" s="90"/>
      <c r="U1571" s="24"/>
      <c r="V1571" s="90"/>
      <c r="W1571" s="90"/>
      <c r="X1571" s="90"/>
      <c r="Y1571" s="24"/>
      <c r="Z1571" s="24"/>
      <c r="AA1571" s="24"/>
      <c r="AB1571" s="24"/>
      <c r="AC1571" s="24"/>
      <c r="AD1571" s="24"/>
      <c r="AE1571" s="24"/>
      <c r="AF1571" s="24"/>
      <c r="AG1571" s="24"/>
      <c r="AH1571" s="24"/>
      <c r="AI1571" s="24"/>
      <c r="AJ1571" s="24"/>
      <c r="AK1571" s="24"/>
    </row>
    <row r="1572" spans="1:37" x14ac:dyDescent="0.25">
      <c r="A1572" s="24"/>
      <c r="B1572" s="90"/>
      <c r="C1572" s="92"/>
      <c r="D1572" s="24"/>
      <c r="E1572" s="90"/>
      <c r="F1572" s="90"/>
      <c r="G1572" s="24"/>
      <c r="H1572" s="90"/>
      <c r="I1572" s="24"/>
      <c r="J1572" s="90"/>
      <c r="K1572" s="90"/>
      <c r="L1572" s="24"/>
      <c r="M1572" s="24"/>
      <c r="N1572" s="24"/>
      <c r="O1572" s="90"/>
      <c r="P1572" s="24"/>
      <c r="Q1572" s="24"/>
      <c r="R1572" s="24"/>
      <c r="S1572" s="90"/>
      <c r="T1572" s="90"/>
      <c r="U1572" s="24"/>
      <c r="V1572" s="90"/>
      <c r="W1572" s="90"/>
      <c r="X1572" s="90"/>
      <c r="Y1572" s="24"/>
      <c r="Z1572" s="24"/>
      <c r="AA1572" s="24"/>
      <c r="AB1572" s="24"/>
      <c r="AC1572" s="24"/>
      <c r="AD1572" s="24"/>
      <c r="AE1572" s="24"/>
      <c r="AF1572" s="24"/>
      <c r="AG1572" s="24"/>
      <c r="AH1572" s="24"/>
      <c r="AI1572" s="24"/>
      <c r="AJ1572" s="24"/>
      <c r="AK1572" s="24"/>
    </row>
    <row r="1573" spans="1:37" x14ac:dyDescent="0.25">
      <c r="A1573" s="24"/>
      <c r="B1573" s="90"/>
      <c r="C1573" s="92"/>
      <c r="D1573" s="24"/>
      <c r="E1573" s="90"/>
      <c r="F1573" s="90"/>
      <c r="G1573" s="24"/>
      <c r="H1573" s="90"/>
      <c r="I1573" s="24"/>
      <c r="J1573" s="90"/>
      <c r="K1573" s="90"/>
      <c r="L1573" s="24"/>
      <c r="M1573" s="24"/>
      <c r="N1573" s="24"/>
      <c r="O1573" s="90"/>
      <c r="P1573" s="24"/>
      <c r="Q1573" s="24"/>
      <c r="R1573" s="24"/>
      <c r="S1573" s="90"/>
      <c r="T1573" s="90"/>
      <c r="U1573" s="24"/>
      <c r="V1573" s="90"/>
      <c r="W1573" s="90"/>
      <c r="X1573" s="90"/>
      <c r="Y1573" s="24"/>
      <c r="Z1573" s="24"/>
      <c r="AA1573" s="24"/>
      <c r="AB1573" s="24"/>
      <c r="AC1573" s="24"/>
      <c r="AD1573" s="24"/>
      <c r="AE1573" s="24"/>
      <c r="AF1573" s="24"/>
      <c r="AG1573" s="24"/>
      <c r="AH1573" s="24"/>
      <c r="AI1573" s="24"/>
      <c r="AJ1573" s="24"/>
      <c r="AK1573" s="24"/>
    </row>
    <row r="1574" spans="1:37" x14ac:dyDescent="0.25">
      <c r="A1574" s="24"/>
      <c r="B1574" s="90"/>
      <c r="C1574" s="92"/>
      <c r="D1574" s="24"/>
      <c r="E1574" s="90"/>
      <c r="F1574" s="90"/>
      <c r="G1574" s="24"/>
      <c r="H1574" s="90"/>
      <c r="I1574" s="24"/>
      <c r="J1574" s="90"/>
      <c r="K1574" s="90"/>
      <c r="L1574" s="24"/>
      <c r="M1574" s="24"/>
      <c r="N1574" s="24"/>
      <c r="O1574" s="90"/>
      <c r="P1574" s="24"/>
      <c r="Q1574" s="24"/>
      <c r="R1574" s="24"/>
      <c r="S1574" s="90"/>
      <c r="T1574" s="90"/>
      <c r="U1574" s="24"/>
      <c r="V1574" s="90"/>
      <c r="W1574" s="90"/>
      <c r="X1574" s="90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</row>
    <row r="1575" spans="1:37" x14ac:dyDescent="0.25">
      <c r="A1575" s="24"/>
      <c r="B1575" s="90"/>
      <c r="C1575" s="92"/>
      <c r="D1575" s="24"/>
      <c r="E1575" s="90"/>
      <c r="F1575" s="90"/>
      <c r="G1575" s="24"/>
      <c r="H1575" s="90"/>
      <c r="I1575" s="24"/>
      <c r="J1575" s="90"/>
      <c r="K1575" s="90"/>
      <c r="L1575" s="24"/>
      <c r="M1575" s="24"/>
      <c r="N1575" s="24"/>
      <c r="O1575" s="90"/>
      <c r="P1575" s="24"/>
      <c r="Q1575" s="24"/>
      <c r="R1575" s="24"/>
      <c r="S1575" s="90"/>
      <c r="T1575" s="90"/>
      <c r="U1575" s="24"/>
      <c r="V1575" s="90"/>
      <c r="W1575" s="90"/>
      <c r="X1575" s="90"/>
      <c r="Y1575" s="24"/>
      <c r="Z1575" s="24"/>
      <c r="AA1575" s="24"/>
      <c r="AB1575" s="24"/>
      <c r="AC1575" s="24"/>
      <c r="AD1575" s="24"/>
      <c r="AE1575" s="24"/>
      <c r="AF1575" s="24"/>
      <c r="AG1575" s="24"/>
      <c r="AH1575" s="24"/>
      <c r="AI1575" s="24"/>
      <c r="AJ1575" s="24"/>
      <c r="AK1575" s="24"/>
    </row>
    <row r="1576" spans="1:37" x14ac:dyDescent="0.25">
      <c r="A1576" s="24"/>
      <c r="B1576" s="90"/>
      <c r="C1576" s="92"/>
      <c r="D1576" s="24"/>
      <c r="E1576" s="90"/>
      <c r="F1576" s="90"/>
      <c r="G1576" s="24"/>
      <c r="H1576" s="90"/>
      <c r="I1576" s="24"/>
      <c r="J1576" s="90"/>
      <c r="K1576" s="90"/>
      <c r="L1576" s="24"/>
      <c r="M1576" s="24"/>
      <c r="N1576" s="24"/>
      <c r="O1576" s="90"/>
      <c r="P1576" s="24"/>
      <c r="Q1576" s="24"/>
      <c r="R1576" s="24"/>
      <c r="S1576" s="90"/>
      <c r="T1576" s="90"/>
      <c r="U1576" s="24"/>
      <c r="V1576" s="90"/>
      <c r="W1576" s="90"/>
      <c r="X1576" s="90"/>
      <c r="Y1576" s="24"/>
      <c r="Z1576" s="24"/>
      <c r="AA1576" s="24"/>
      <c r="AB1576" s="24"/>
      <c r="AC1576" s="24"/>
      <c r="AD1576" s="24"/>
      <c r="AE1576" s="24"/>
      <c r="AF1576" s="24"/>
      <c r="AG1576" s="24"/>
      <c r="AH1576" s="24"/>
      <c r="AI1576" s="24"/>
      <c r="AJ1576" s="24"/>
      <c r="AK1576" s="24"/>
    </row>
    <row r="1577" spans="1:37" x14ac:dyDescent="0.25">
      <c r="A1577" s="24"/>
      <c r="B1577" s="90"/>
      <c r="C1577" s="92"/>
      <c r="D1577" s="24"/>
      <c r="E1577" s="90"/>
      <c r="F1577" s="90"/>
      <c r="G1577" s="24"/>
      <c r="H1577" s="90"/>
      <c r="I1577" s="24"/>
      <c r="J1577" s="90"/>
      <c r="K1577" s="90"/>
      <c r="L1577" s="24"/>
      <c r="M1577" s="24"/>
      <c r="N1577" s="24"/>
      <c r="O1577" s="90"/>
      <c r="P1577" s="24"/>
      <c r="Q1577" s="24"/>
      <c r="R1577" s="24"/>
      <c r="S1577" s="90"/>
      <c r="T1577" s="90"/>
      <c r="U1577" s="24"/>
      <c r="V1577" s="90"/>
      <c r="W1577" s="90"/>
      <c r="X1577" s="90"/>
      <c r="Y1577" s="24"/>
      <c r="Z1577" s="24"/>
      <c r="AA1577" s="24"/>
      <c r="AB1577" s="24"/>
      <c r="AC1577" s="24"/>
      <c r="AD1577" s="24"/>
      <c r="AE1577" s="24"/>
      <c r="AF1577" s="24"/>
      <c r="AG1577" s="24"/>
      <c r="AH1577" s="24"/>
      <c r="AI1577" s="24"/>
      <c r="AJ1577" s="24"/>
      <c r="AK1577" s="24"/>
    </row>
    <row r="1578" spans="1:37" x14ac:dyDescent="0.25">
      <c r="A1578" s="24"/>
      <c r="B1578" s="90"/>
      <c r="C1578" s="92"/>
      <c r="D1578" s="24"/>
      <c r="E1578" s="90"/>
      <c r="F1578" s="90"/>
      <c r="G1578" s="24"/>
      <c r="H1578" s="90"/>
      <c r="I1578" s="24"/>
      <c r="J1578" s="90"/>
      <c r="K1578" s="90"/>
      <c r="L1578" s="24"/>
      <c r="M1578" s="24"/>
      <c r="N1578" s="24"/>
      <c r="O1578" s="90"/>
      <c r="P1578" s="24"/>
      <c r="Q1578" s="24"/>
      <c r="R1578" s="24"/>
      <c r="S1578" s="90"/>
      <c r="T1578" s="90"/>
      <c r="U1578" s="24"/>
      <c r="V1578" s="90"/>
      <c r="W1578" s="90"/>
      <c r="X1578" s="90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</row>
    <row r="1579" spans="1:37" x14ac:dyDescent="0.25">
      <c r="A1579" s="24"/>
      <c r="B1579" s="90"/>
      <c r="C1579" s="92"/>
      <c r="D1579" s="24"/>
      <c r="E1579" s="90"/>
      <c r="F1579" s="90"/>
      <c r="G1579" s="24"/>
      <c r="H1579" s="90"/>
      <c r="I1579" s="24"/>
      <c r="J1579" s="90"/>
      <c r="K1579" s="90"/>
      <c r="L1579" s="24"/>
      <c r="M1579" s="24"/>
      <c r="N1579" s="24"/>
      <c r="O1579" s="90"/>
      <c r="P1579" s="24"/>
      <c r="Q1579" s="24"/>
      <c r="R1579" s="24"/>
      <c r="S1579" s="90"/>
      <c r="T1579" s="90"/>
      <c r="U1579" s="24"/>
      <c r="V1579" s="90"/>
      <c r="W1579" s="90"/>
      <c r="X1579" s="90"/>
      <c r="Y1579" s="24"/>
      <c r="Z1579" s="24"/>
      <c r="AA1579" s="24"/>
      <c r="AB1579" s="24"/>
      <c r="AC1579" s="24"/>
      <c r="AD1579" s="24"/>
      <c r="AE1579" s="24"/>
      <c r="AF1579" s="24"/>
      <c r="AG1579" s="24"/>
      <c r="AH1579" s="24"/>
      <c r="AI1579" s="24"/>
      <c r="AJ1579" s="24"/>
      <c r="AK1579" s="24"/>
    </row>
    <row r="1580" spans="1:37" x14ac:dyDescent="0.25">
      <c r="A1580" s="24"/>
      <c r="B1580" s="90"/>
      <c r="C1580" s="92"/>
      <c r="D1580" s="24"/>
      <c r="E1580" s="90"/>
      <c r="F1580" s="90"/>
      <c r="G1580" s="24"/>
      <c r="H1580" s="90"/>
      <c r="I1580" s="24"/>
      <c r="J1580" s="90"/>
      <c r="K1580" s="90"/>
      <c r="L1580" s="24"/>
      <c r="M1580" s="24"/>
      <c r="N1580" s="24"/>
      <c r="O1580" s="90"/>
      <c r="P1580" s="24"/>
      <c r="Q1580" s="24"/>
      <c r="R1580" s="24"/>
      <c r="S1580" s="90"/>
      <c r="T1580" s="90"/>
      <c r="U1580" s="24"/>
      <c r="V1580" s="90"/>
      <c r="W1580" s="90"/>
      <c r="X1580" s="90"/>
      <c r="Y1580" s="24"/>
      <c r="Z1580" s="24"/>
      <c r="AA1580" s="24"/>
      <c r="AB1580" s="24"/>
      <c r="AC1580" s="24"/>
      <c r="AD1580" s="24"/>
      <c r="AE1580" s="24"/>
      <c r="AF1580" s="24"/>
      <c r="AG1580" s="24"/>
      <c r="AH1580" s="24"/>
      <c r="AI1580" s="24"/>
      <c r="AJ1580" s="24"/>
      <c r="AK1580" s="24"/>
    </row>
    <row r="1581" spans="1:37" x14ac:dyDescent="0.25">
      <c r="A1581" s="24"/>
      <c r="B1581" s="90"/>
      <c r="C1581" s="92"/>
      <c r="D1581" s="24"/>
      <c r="E1581" s="90"/>
      <c r="F1581" s="90"/>
      <c r="G1581" s="24"/>
      <c r="H1581" s="90"/>
      <c r="I1581" s="24"/>
      <c r="J1581" s="90"/>
      <c r="K1581" s="90"/>
      <c r="L1581" s="24"/>
      <c r="M1581" s="24"/>
      <c r="N1581" s="24"/>
      <c r="O1581" s="90"/>
      <c r="P1581" s="24"/>
      <c r="Q1581" s="24"/>
      <c r="R1581" s="24"/>
      <c r="S1581" s="90"/>
      <c r="T1581" s="90"/>
      <c r="U1581" s="24"/>
      <c r="V1581" s="90"/>
      <c r="W1581" s="90"/>
      <c r="X1581" s="90"/>
      <c r="Y1581" s="24"/>
      <c r="Z1581" s="24"/>
      <c r="AA1581" s="24"/>
      <c r="AB1581" s="24"/>
      <c r="AC1581" s="24"/>
      <c r="AD1581" s="24"/>
      <c r="AE1581" s="24"/>
      <c r="AF1581" s="24"/>
      <c r="AG1581" s="24"/>
      <c r="AH1581" s="24"/>
      <c r="AI1581" s="24"/>
      <c r="AJ1581" s="24"/>
      <c r="AK1581" s="24"/>
    </row>
    <row r="1582" spans="1:37" x14ac:dyDescent="0.25">
      <c r="A1582" s="24"/>
      <c r="B1582" s="90"/>
      <c r="C1582" s="92"/>
      <c r="D1582" s="24"/>
      <c r="E1582" s="90"/>
      <c r="F1582" s="90"/>
      <c r="G1582" s="24"/>
      <c r="H1582" s="90"/>
      <c r="I1582" s="24"/>
      <c r="J1582" s="90"/>
      <c r="K1582" s="90"/>
      <c r="L1582" s="24"/>
      <c r="M1582" s="24"/>
      <c r="N1582" s="24"/>
      <c r="O1582" s="90"/>
      <c r="P1582" s="24"/>
      <c r="Q1582" s="24"/>
      <c r="R1582" s="24"/>
      <c r="S1582" s="90"/>
      <c r="T1582" s="90"/>
      <c r="U1582" s="24"/>
      <c r="V1582" s="90"/>
      <c r="W1582" s="90"/>
      <c r="X1582" s="90"/>
      <c r="Y1582" s="24"/>
      <c r="Z1582" s="24"/>
      <c r="AA1582" s="24"/>
      <c r="AB1582" s="24"/>
      <c r="AC1582" s="24"/>
      <c r="AD1582" s="24"/>
      <c r="AE1582" s="24"/>
      <c r="AF1582" s="24"/>
      <c r="AG1582" s="24"/>
      <c r="AH1582" s="24"/>
      <c r="AI1582" s="24"/>
      <c r="AJ1582" s="24"/>
      <c r="AK1582" s="24"/>
    </row>
    <row r="1583" spans="1:37" x14ac:dyDescent="0.25">
      <c r="A1583" s="24"/>
      <c r="B1583" s="90"/>
      <c r="C1583" s="92"/>
      <c r="D1583" s="24"/>
      <c r="E1583" s="90"/>
      <c r="F1583" s="90"/>
      <c r="G1583" s="24"/>
      <c r="H1583" s="90"/>
      <c r="I1583" s="24"/>
      <c r="J1583" s="90"/>
      <c r="K1583" s="90"/>
      <c r="L1583" s="24"/>
      <c r="M1583" s="24"/>
      <c r="N1583" s="24"/>
      <c r="O1583" s="90"/>
      <c r="P1583" s="24"/>
      <c r="Q1583" s="24"/>
      <c r="R1583" s="24"/>
      <c r="S1583" s="90"/>
      <c r="T1583" s="90"/>
      <c r="U1583" s="24"/>
      <c r="V1583" s="90"/>
      <c r="W1583" s="90"/>
      <c r="X1583" s="90"/>
      <c r="Y1583" s="24"/>
      <c r="Z1583" s="24"/>
      <c r="AA1583" s="24"/>
      <c r="AB1583" s="24"/>
      <c r="AC1583" s="24"/>
      <c r="AD1583" s="24"/>
      <c r="AE1583" s="24"/>
      <c r="AF1583" s="24"/>
      <c r="AG1583" s="24"/>
      <c r="AH1583" s="24"/>
      <c r="AI1583" s="24"/>
      <c r="AJ1583" s="24"/>
      <c r="AK1583" s="24"/>
    </row>
    <row r="1584" spans="1:37" x14ac:dyDescent="0.25">
      <c r="A1584" s="24"/>
      <c r="B1584" s="90"/>
      <c r="C1584" s="92"/>
      <c r="D1584" s="24"/>
      <c r="E1584" s="90"/>
      <c r="F1584" s="90"/>
      <c r="G1584" s="24"/>
      <c r="H1584" s="90"/>
      <c r="I1584" s="24"/>
      <c r="J1584" s="90"/>
      <c r="K1584" s="90"/>
      <c r="L1584" s="24"/>
      <c r="M1584" s="24"/>
      <c r="N1584" s="24"/>
      <c r="O1584" s="90"/>
      <c r="P1584" s="24"/>
      <c r="Q1584" s="24"/>
      <c r="R1584" s="24"/>
      <c r="S1584" s="90"/>
      <c r="T1584" s="90"/>
      <c r="U1584" s="24"/>
      <c r="V1584" s="90"/>
      <c r="W1584" s="90"/>
      <c r="X1584" s="90"/>
      <c r="Y1584" s="24"/>
      <c r="Z1584" s="24"/>
      <c r="AA1584" s="24"/>
      <c r="AB1584" s="24"/>
      <c r="AC1584" s="24"/>
      <c r="AD1584" s="24"/>
      <c r="AE1584" s="24"/>
      <c r="AF1584" s="24"/>
      <c r="AG1584" s="24"/>
      <c r="AH1584" s="24"/>
      <c r="AI1584" s="24"/>
      <c r="AJ1584" s="24"/>
      <c r="AK1584" s="24"/>
    </row>
    <row r="1585" spans="1:37" x14ac:dyDescent="0.25">
      <c r="A1585" s="24"/>
      <c r="B1585" s="90"/>
      <c r="C1585" s="92"/>
      <c r="D1585" s="24"/>
      <c r="E1585" s="90"/>
      <c r="F1585" s="90"/>
      <c r="G1585" s="24"/>
      <c r="H1585" s="90"/>
      <c r="I1585" s="24"/>
      <c r="J1585" s="90"/>
      <c r="K1585" s="90"/>
      <c r="L1585" s="24"/>
      <c r="M1585" s="24"/>
      <c r="N1585" s="24"/>
      <c r="O1585" s="90"/>
      <c r="P1585" s="24"/>
      <c r="Q1585" s="24"/>
      <c r="R1585" s="24"/>
      <c r="S1585" s="90"/>
      <c r="T1585" s="90"/>
      <c r="U1585" s="24"/>
      <c r="V1585" s="90"/>
      <c r="W1585" s="90"/>
      <c r="X1585" s="90"/>
      <c r="Y1585" s="24"/>
      <c r="Z1585" s="24"/>
      <c r="AA1585" s="24"/>
      <c r="AB1585" s="24"/>
      <c r="AC1585" s="24"/>
      <c r="AD1585" s="24"/>
      <c r="AE1585" s="24"/>
      <c r="AF1585" s="24"/>
      <c r="AG1585" s="24"/>
      <c r="AH1585" s="24"/>
      <c r="AI1585" s="24"/>
      <c r="AJ1585" s="24"/>
      <c r="AK1585" s="24"/>
    </row>
    <row r="1586" spans="1:37" x14ac:dyDescent="0.25">
      <c r="A1586" s="24"/>
      <c r="B1586" s="90"/>
      <c r="C1586" s="92"/>
      <c r="D1586" s="24"/>
      <c r="E1586" s="90"/>
      <c r="F1586" s="90"/>
      <c r="G1586" s="24"/>
      <c r="H1586" s="90"/>
      <c r="I1586" s="24"/>
      <c r="J1586" s="90"/>
      <c r="K1586" s="90"/>
      <c r="L1586" s="24"/>
      <c r="M1586" s="24"/>
      <c r="N1586" s="24"/>
      <c r="O1586" s="90"/>
      <c r="P1586" s="24"/>
      <c r="Q1586" s="24"/>
      <c r="R1586" s="24"/>
      <c r="S1586" s="90"/>
      <c r="T1586" s="90"/>
      <c r="U1586" s="24"/>
      <c r="V1586" s="90"/>
      <c r="W1586" s="90"/>
      <c r="X1586" s="90"/>
      <c r="Y1586" s="24"/>
      <c r="Z1586" s="24"/>
      <c r="AA1586" s="24"/>
      <c r="AB1586" s="24"/>
      <c r="AC1586" s="24"/>
      <c r="AD1586" s="24"/>
      <c r="AE1586" s="24"/>
      <c r="AF1586" s="24"/>
      <c r="AG1586" s="24"/>
      <c r="AH1586" s="24"/>
      <c r="AI1586" s="24"/>
      <c r="AJ1586" s="24"/>
      <c r="AK1586" s="24"/>
    </row>
    <row r="1587" spans="1:37" x14ac:dyDescent="0.25">
      <c r="A1587" s="24"/>
      <c r="B1587" s="90"/>
      <c r="C1587" s="92"/>
      <c r="D1587" s="24"/>
      <c r="E1587" s="90"/>
      <c r="F1587" s="90"/>
      <c r="G1587" s="24"/>
      <c r="H1587" s="90"/>
      <c r="I1587" s="24"/>
      <c r="J1587" s="90"/>
      <c r="K1587" s="90"/>
      <c r="L1587" s="24"/>
      <c r="M1587" s="24"/>
      <c r="N1587" s="24"/>
      <c r="O1587" s="90"/>
      <c r="P1587" s="24"/>
      <c r="Q1587" s="24"/>
      <c r="R1587" s="24"/>
      <c r="S1587" s="90"/>
      <c r="T1587" s="90"/>
      <c r="U1587" s="24"/>
      <c r="V1587" s="90"/>
      <c r="W1587" s="90"/>
      <c r="X1587" s="90"/>
      <c r="Y1587" s="24"/>
      <c r="Z1587" s="24"/>
      <c r="AA1587" s="24"/>
      <c r="AB1587" s="24"/>
      <c r="AC1587" s="24"/>
      <c r="AD1587" s="24"/>
      <c r="AE1587" s="24"/>
      <c r="AF1587" s="24"/>
      <c r="AG1587" s="24"/>
      <c r="AH1587" s="24"/>
      <c r="AI1587" s="24"/>
      <c r="AJ1587" s="24"/>
      <c r="AK1587" s="24"/>
    </row>
    <row r="1588" spans="1:37" x14ac:dyDescent="0.25">
      <c r="A1588" s="24"/>
      <c r="B1588" s="90"/>
      <c r="C1588" s="92"/>
      <c r="D1588" s="24"/>
      <c r="E1588" s="90"/>
      <c r="F1588" s="90"/>
      <c r="G1588" s="24"/>
      <c r="H1588" s="90"/>
      <c r="I1588" s="24"/>
      <c r="J1588" s="90"/>
      <c r="K1588" s="90"/>
      <c r="L1588" s="24"/>
      <c r="M1588" s="24"/>
      <c r="N1588" s="24"/>
      <c r="O1588" s="90"/>
      <c r="P1588" s="24"/>
      <c r="Q1588" s="24"/>
      <c r="R1588" s="24"/>
      <c r="S1588" s="90"/>
      <c r="T1588" s="90"/>
      <c r="U1588" s="24"/>
      <c r="V1588" s="90"/>
      <c r="W1588" s="90"/>
      <c r="X1588" s="90"/>
      <c r="Y1588" s="24"/>
      <c r="Z1588" s="24"/>
      <c r="AA1588" s="24"/>
      <c r="AB1588" s="24"/>
      <c r="AC1588" s="24"/>
      <c r="AD1588" s="24"/>
      <c r="AE1588" s="24"/>
      <c r="AF1588" s="24"/>
      <c r="AG1588" s="24"/>
      <c r="AH1588" s="24"/>
      <c r="AI1588" s="24"/>
      <c r="AJ1588" s="24"/>
      <c r="AK1588" s="24"/>
    </row>
    <row r="1589" spans="1:37" x14ac:dyDescent="0.25">
      <c r="A1589" s="24"/>
      <c r="B1589" s="90"/>
      <c r="C1589" s="92"/>
      <c r="D1589" s="24"/>
      <c r="E1589" s="90"/>
      <c r="F1589" s="90"/>
      <c r="G1589" s="24"/>
      <c r="H1589" s="90"/>
      <c r="I1589" s="24"/>
      <c r="J1589" s="90"/>
      <c r="K1589" s="90"/>
      <c r="L1589" s="24"/>
      <c r="M1589" s="24"/>
      <c r="N1589" s="24"/>
      <c r="O1589" s="90"/>
      <c r="P1589" s="24"/>
      <c r="Q1589" s="24"/>
      <c r="R1589" s="24"/>
      <c r="S1589" s="90"/>
      <c r="T1589" s="90"/>
      <c r="U1589" s="24"/>
      <c r="V1589" s="90"/>
      <c r="W1589" s="90"/>
      <c r="X1589" s="90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</row>
    <row r="1590" spans="1:37" x14ac:dyDescent="0.25">
      <c r="A1590" s="24"/>
      <c r="B1590" s="90"/>
      <c r="C1590" s="92"/>
      <c r="D1590" s="24"/>
      <c r="E1590" s="90"/>
      <c r="F1590" s="90"/>
      <c r="G1590" s="24"/>
      <c r="H1590" s="90"/>
      <c r="I1590" s="24"/>
      <c r="J1590" s="90"/>
      <c r="K1590" s="90"/>
      <c r="L1590" s="24"/>
      <c r="M1590" s="24"/>
      <c r="N1590" s="24"/>
      <c r="O1590" s="90"/>
      <c r="P1590" s="24"/>
      <c r="Q1590" s="24"/>
      <c r="R1590" s="24"/>
      <c r="S1590" s="90"/>
      <c r="T1590" s="90"/>
      <c r="U1590" s="24"/>
      <c r="V1590" s="90"/>
      <c r="W1590" s="90"/>
      <c r="X1590" s="90"/>
      <c r="Y1590" s="24"/>
      <c r="Z1590" s="24"/>
      <c r="AA1590" s="24"/>
      <c r="AB1590" s="24"/>
      <c r="AC1590" s="24"/>
      <c r="AD1590" s="24"/>
      <c r="AE1590" s="24"/>
      <c r="AF1590" s="24"/>
      <c r="AG1590" s="24"/>
      <c r="AH1590" s="24"/>
      <c r="AI1590" s="24"/>
      <c r="AJ1590" s="24"/>
      <c r="AK1590" s="24"/>
    </row>
    <row r="1591" spans="1:37" x14ac:dyDescent="0.25">
      <c r="A1591" s="24"/>
      <c r="B1591" s="90"/>
      <c r="C1591" s="92"/>
      <c r="D1591" s="24"/>
      <c r="E1591" s="90"/>
      <c r="F1591" s="90"/>
      <c r="G1591" s="24"/>
      <c r="H1591" s="90"/>
      <c r="I1591" s="24"/>
      <c r="J1591" s="90"/>
      <c r="K1591" s="90"/>
      <c r="L1591" s="24"/>
      <c r="M1591" s="24"/>
      <c r="N1591" s="24"/>
      <c r="O1591" s="90"/>
      <c r="P1591" s="24"/>
      <c r="Q1591" s="24"/>
      <c r="R1591" s="24"/>
      <c r="S1591" s="90"/>
      <c r="T1591" s="90"/>
      <c r="U1591" s="24"/>
      <c r="V1591" s="90"/>
      <c r="W1591" s="90"/>
      <c r="X1591" s="90"/>
      <c r="Y1591" s="24"/>
      <c r="Z1591" s="24"/>
      <c r="AA1591" s="24"/>
      <c r="AB1591" s="24"/>
      <c r="AC1591" s="24"/>
      <c r="AD1591" s="24"/>
      <c r="AE1591" s="24"/>
      <c r="AF1591" s="24"/>
      <c r="AG1591" s="24"/>
      <c r="AH1591" s="24"/>
      <c r="AI1591" s="24"/>
      <c r="AJ1591" s="24"/>
      <c r="AK1591" s="24"/>
    </row>
    <row r="1592" spans="1:37" x14ac:dyDescent="0.25">
      <c r="A1592" s="24"/>
      <c r="B1592" s="90"/>
      <c r="C1592" s="92"/>
      <c r="D1592" s="24"/>
      <c r="E1592" s="90"/>
      <c r="F1592" s="90"/>
      <c r="G1592" s="24"/>
      <c r="H1592" s="90"/>
      <c r="I1592" s="24"/>
      <c r="J1592" s="90"/>
      <c r="K1592" s="90"/>
      <c r="L1592" s="24"/>
      <c r="M1592" s="24"/>
      <c r="N1592" s="24"/>
      <c r="O1592" s="90"/>
      <c r="P1592" s="24"/>
      <c r="Q1592" s="24"/>
      <c r="R1592" s="24"/>
      <c r="S1592" s="90"/>
      <c r="T1592" s="90"/>
      <c r="U1592" s="24"/>
      <c r="V1592" s="90"/>
      <c r="W1592" s="90"/>
      <c r="X1592" s="90"/>
      <c r="Y1592" s="24"/>
      <c r="Z1592" s="24"/>
      <c r="AA1592" s="24"/>
      <c r="AB1592" s="24"/>
      <c r="AC1592" s="24"/>
      <c r="AD1592" s="24"/>
      <c r="AE1592" s="24"/>
      <c r="AF1592" s="24"/>
      <c r="AG1592" s="24"/>
      <c r="AH1592" s="24"/>
      <c r="AI1592" s="24"/>
      <c r="AJ1592" s="24"/>
      <c r="AK1592" s="24"/>
    </row>
    <row r="1593" spans="1:37" x14ac:dyDescent="0.25">
      <c r="A1593" s="24"/>
      <c r="B1593" s="90"/>
      <c r="C1593" s="92"/>
      <c r="D1593" s="24"/>
      <c r="E1593" s="90"/>
      <c r="F1593" s="90"/>
      <c r="G1593" s="24"/>
      <c r="H1593" s="90"/>
      <c r="I1593" s="24"/>
      <c r="J1593" s="90"/>
      <c r="K1593" s="90"/>
      <c r="L1593" s="24"/>
      <c r="M1593" s="24"/>
      <c r="N1593" s="24"/>
      <c r="O1593" s="90"/>
      <c r="P1593" s="24"/>
      <c r="Q1593" s="24"/>
      <c r="R1593" s="24"/>
      <c r="S1593" s="90"/>
      <c r="T1593" s="90"/>
      <c r="U1593" s="24"/>
      <c r="V1593" s="90"/>
      <c r="W1593" s="90"/>
      <c r="X1593" s="90"/>
      <c r="Y1593" s="24"/>
      <c r="Z1593" s="24"/>
      <c r="AA1593" s="24"/>
      <c r="AB1593" s="24"/>
      <c r="AC1593" s="24"/>
      <c r="AD1593" s="24"/>
      <c r="AE1593" s="24"/>
      <c r="AF1593" s="24"/>
      <c r="AG1593" s="24"/>
      <c r="AH1593" s="24"/>
      <c r="AI1593" s="24"/>
      <c r="AJ1593" s="24"/>
      <c r="AK1593" s="24"/>
    </row>
    <row r="1594" spans="1:37" x14ac:dyDescent="0.25">
      <c r="A1594" s="24"/>
      <c r="B1594" s="90"/>
      <c r="C1594" s="92"/>
      <c r="D1594" s="24"/>
      <c r="E1594" s="90"/>
      <c r="F1594" s="90"/>
      <c r="G1594" s="24"/>
      <c r="H1594" s="90"/>
      <c r="I1594" s="24"/>
      <c r="J1594" s="90"/>
      <c r="K1594" s="90"/>
      <c r="L1594" s="24"/>
      <c r="M1594" s="24"/>
      <c r="N1594" s="24"/>
      <c r="O1594" s="90"/>
      <c r="P1594" s="24"/>
      <c r="Q1594" s="24"/>
      <c r="R1594" s="24"/>
      <c r="S1594" s="90"/>
      <c r="T1594" s="90"/>
      <c r="U1594" s="24"/>
      <c r="V1594" s="90"/>
      <c r="W1594" s="90"/>
      <c r="X1594" s="90"/>
      <c r="Y1594" s="24"/>
      <c r="Z1594" s="24"/>
      <c r="AA1594" s="24"/>
      <c r="AB1594" s="24"/>
      <c r="AC1594" s="24"/>
      <c r="AD1594" s="24"/>
      <c r="AE1594" s="24"/>
      <c r="AF1594" s="24"/>
      <c r="AG1594" s="24"/>
      <c r="AH1594" s="24"/>
      <c r="AI1594" s="24"/>
      <c r="AJ1594" s="24"/>
      <c r="AK1594" s="24"/>
    </row>
    <row r="1595" spans="1:37" x14ac:dyDescent="0.25">
      <c r="A1595" s="24"/>
      <c r="B1595" s="90"/>
      <c r="C1595" s="92"/>
      <c r="D1595" s="24"/>
      <c r="E1595" s="90"/>
      <c r="F1595" s="90"/>
      <c r="G1595" s="24"/>
      <c r="H1595" s="90"/>
      <c r="I1595" s="24"/>
      <c r="J1595" s="90"/>
      <c r="K1595" s="90"/>
      <c r="L1595" s="24"/>
      <c r="M1595" s="24"/>
      <c r="N1595" s="24"/>
      <c r="O1595" s="90"/>
      <c r="P1595" s="24"/>
      <c r="Q1595" s="24"/>
      <c r="R1595" s="24"/>
      <c r="S1595" s="90"/>
      <c r="T1595" s="90"/>
      <c r="U1595" s="24"/>
      <c r="V1595" s="90"/>
      <c r="W1595" s="90"/>
      <c r="X1595" s="90"/>
      <c r="Y1595" s="24"/>
      <c r="Z1595" s="24"/>
      <c r="AA1595" s="24"/>
      <c r="AB1595" s="24"/>
      <c r="AC1595" s="24"/>
      <c r="AD1595" s="24"/>
      <c r="AE1595" s="24"/>
      <c r="AF1595" s="24"/>
      <c r="AG1595" s="24"/>
      <c r="AH1595" s="24"/>
      <c r="AI1595" s="24"/>
      <c r="AJ1595" s="24"/>
      <c r="AK1595" s="24"/>
    </row>
    <row r="1596" spans="1:37" x14ac:dyDescent="0.25">
      <c r="A1596" s="24"/>
      <c r="B1596" s="90"/>
      <c r="C1596" s="92"/>
      <c r="D1596" s="24"/>
      <c r="E1596" s="90"/>
      <c r="F1596" s="90"/>
      <c r="G1596" s="24"/>
      <c r="H1596" s="90"/>
      <c r="I1596" s="24"/>
      <c r="J1596" s="90"/>
      <c r="K1596" s="90"/>
      <c r="L1596" s="24"/>
      <c r="M1596" s="24"/>
      <c r="N1596" s="24"/>
      <c r="O1596" s="90"/>
      <c r="P1596" s="24"/>
      <c r="Q1596" s="24"/>
      <c r="R1596" s="24"/>
      <c r="S1596" s="90"/>
      <c r="T1596" s="90"/>
      <c r="U1596" s="24"/>
      <c r="V1596" s="90"/>
      <c r="W1596" s="90"/>
      <c r="X1596" s="90"/>
      <c r="Y1596" s="24"/>
      <c r="Z1596" s="24"/>
      <c r="AA1596" s="24"/>
      <c r="AB1596" s="24"/>
      <c r="AC1596" s="24"/>
      <c r="AD1596" s="24"/>
      <c r="AE1596" s="24"/>
      <c r="AF1596" s="24"/>
      <c r="AG1596" s="24"/>
      <c r="AH1596" s="24"/>
      <c r="AI1596" s="24"/>
      <c r="AJ1596" s="24"/>
      <c r="AK1596" s="24"/>
    </row>
    <row r="1597" spans="1:37" x14ac:dyDescent="0.25">
      <c r="A1597" s="24"/>
      <c r="B1597" s="90"/>
      <c r="C1597" s="92"/>
      <c r="D1597" s="24"/>
      <c r="E1597" s="90"/>
      <c r="F1597" s="90"/>
      <c r="G1597" s="24"/>
      <c r="H1597" s="90"/>
      <c r="I1597" s="24"/>
      <c r="J1597" s="90"/>
      <c r="K1597" s="90"/>
      <c r="L1597" s="24"/>
      <c r="M1597" s="24"/>
      <c r="N1597" s="24"/>
      <c r="O1597" s="90"/>
      <c r="P1597" s="24"/>
      <c r="Q1597" s="24"/>
      <c r="R1597" s="24"/>
      <c r="S1597" s="90"/>
      <c r="T1597" s="90"/>
      <c r="U1597" s="24"/>
      <c r="V1597" s="90"/>
      <c r="W1597" s="90"/>
      <c r="X1597" s="90"/>
      <c r="Y1597" s="24"/>
      <c r="Z1597" s="24"/>
      <c r="AA1597" s="24"/>
      <c r="AB1597" s="24"/>
      <c r="AC1597" s="24"/>
      <c r="AD1597" s="24"/>
      <c r="AE1597" s="24"/>
      <c r="AF1597" s="24"/>
      <c r="AG1597" s="24"/>
      <c r="AH1597" s="24"/>
      <c r="AI1597" s="24"/>
      <c r="AJ1597" s="24"/>
      <c r="AK1597" s="24"/>
    </row>
    <row r="1598" spans="1:37" x14ac:dyDescent="0.25">
      <c r="A1598" s="24"/>
      <c r="B1598" s="90"/>
      <c r="C1598" s="92"/>
      <c r="D1598" s="24"/>
      <c r="E1598" s="90"/>
      <c r="F1598" s="90"/>
      <c r="G1598" s="24"/>
      <c r="H1598" s="90"/>
      <c r="I1598" s="24"/>
      <c r="J1598" s="90"/>
      <c r="K1598" s="90"/>
      <c r="L1598" s="24"/>
      <c r="M1598" s="24"/>
      <c r="N1598" s="24"/>
      <c r="O1598" s="90"/>
      <c r="P1598" s="24"/>
      <c r="Q1598" s="24"/>
      <c r="R1598" s="24"/>
      <c r="S1598" s="90"/>
      <c r="T1598" s="90"/>
      <c r="U1598" s="24"/>
      <c r="V1598" s="90"/>
      <c r="W1598" s="90"/>
      <c r="X1598" s="90"/>
      <c r="Y1598" s="24"/>
      <c r="Z1598" s="24"/>
      <c r="AA1598" s="24"/>
      <c r="AB1598" s="24"/>
      <c r="AC1598" s="24"/>
      <c r="AD1598" s="24"/>
      <c r="AE1598" s="24"/>
      <c r="AF1598" s="24"/>
      <c r="AG1598" s="24"/>
      <c r="AH1598" s="24"/>
      <c r="AI1598" s="24"/>
      <c r="AJ1598" s="24"/>
      <c r="AK1598" s="24"/>
    </row>
    <row r="1599" spans="1:37" x14ac:dyDescent="0.25">
      <c r="A1599" s="24"/>
      <c r="B1599" s="90"/>
      <c r="C1599" s="92"/>
      <c r="D1599" s="24"/>
      <c r="E1599" s="90"/>
      <c r="F1599" s="90"/>
      <c r="G1599" s="24"/>
      <c r="H1599" s="90"/>
      <c r="I1599" s="24"/>
      <c r="J1599" s="90"/>
      <c r="K1599" s="90"/>
      <c r="L1599" s="24"/>
      <c r="M1599" s="24"/>
      <c r="N1599" s="24"/>
      <c r="O1599" s="90"/>
      <c r="P1599" s="24"/>
      <c r="Q1599" s="24"/>
      <c r="R1599" s="24"/>
      <c r="S1599" s="90"/>
      <c r="T1599" s="90"/>
      <c r="U1599" s="24"/>
      <c r="V1599" s="90"/>
      <c r="W1599" s="90"/>
      <c r="X1599" s="90"/>
      <c r="Y1599" s="24"/>
      <c r="Z1599" s="24"/>
      <c r="AA1599" s="24"/>
      <c r="AB1599" s="24"/>
      <c r="AC1599" s="24"/>
      <c r="AD1599" s="24"/>
      <c r="AE1599" s="24"/>
      <c r="AF1599" s="24"/>
      <c r="AG1599" s="24"/>
      <c r="AH1599" s="24"/>
      <c r="AI1599" s="24"/>
      <c r="AJ1599" s="24"/>
      <c r="AK1599" s="24"/>
    </row>
    <row r="1600" spans="1:37" x14ac:dyDescent="0.25">
      <c r="A1600" s="24"/>
      <c r="B1600" s="90"/>
      <c r="C1600" s="92"/>
      <c r="D1600" s="24"/>
      <c r="E1600" s="90"/>
      <c r="F1600" s="90"/>
      <c r="G1600" s="24"/>
      <c r="H1600" s="90"/>
      <c r="I1600" s="24"/>
      <c r="J1600" s="90"/>
      <c r="K1600" s="90"/>
      <c r="L1600" s="24"/>
      <c r="M1600" s="24"/>
      <c r="N1600" s="24"/>
      <c r="O1600" s="90"/>
      <c r="P1600" s="24"/>
      <c r="Q1600" s="24"/>
      <c r="R1600" s="24"/>
      <c r="S1600" s="90"/>
      <c r="T1600" s="90"/>
      <c r="U1600" s="24"/>
      <c r="V1600" s="90"/>
      <c r="W1600" s="90"/>
      <c r="X1600" s="90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</row>
    <row r="1601" spans="1:37" x14ac:dyDescent="0.25">
      <c r="A1601" s="24"/>
      <c r="B1601" s="90"/>
      <c r="C1601" s="92"/>
      <c r="D1601" s="24"/>
      <c r="E1601" s="90"/>
      <c r="F1601" s="90"/>
      <c r="G1601" s="24"/>
      <c r="H1601" s="90"/>
      <c r="I1601" s="24"/>
      <c r="J1601" s="90"/>
      <c r="K1601" s="90"/>
      <c r="L1601" s="24"/>
      <c r="M1601" s="24"/>
      <c r="N1601" s="24"/>
      <c r="O1601" s="90"/>
      <c r="P1601" s="24"/>
      <c r="Q1601" s="24"/>
      <c r="R1601" s="24"/>
      <c r="S1601" s="90"/>
      <c r="T1601" s="90"/>
      <c r="U1601" s="24"/>
      <c r="V1601" s="90"/>
      <c r="W1601" s="90"/>
      <c r="X1601" s="90"/>
      <c r="Y1601" s="24"/>
      <c r="Z1601" s="24"/>
      <c r="AA1601" s="24"/>
      <c r="AB1601" s="24"/>
      <c r="AC1601" s="24"/>
      <c r="AD1601" s="24"/>
      <c r="AE1601" s="24"/>
      <c r="AF1601" s="24"/>
      <c r="AG1601" s="24"/>
      <c r="AH1601" s="24"/>
      <c r="AI1601" s="24"/>
      <c r="AJ1601" s="24"/>
      <c r="AK1601" s="24"/>
    </row>
    <row r="1602" spans="1:37" x14ac:dyDescent="0.25">
      <c r="A1602" s="24"/>
      <c r="B1602" s="90"/>
      <c r="C1602" s="92"/>
      <c r="D1602" s="24"/>
      <c r="E1602" s="90"/>
      <c r="F1602" s="90"/>
      <c r="G1602" s="24"/>
      <c r="H1602" s="90"/>
      <c r="I1602" s="24"/>
      <c r="J1602" s="90"/>
      <c r="K1602" s="90"/>
      <c r="L1602" s="24"/>
      <c r="M1602" s="24"/>
      <c r="N1602" s="24"/>
      <c r="O1602" s="90"/>
      <c r="P1602" s="24"/>
      <c r="Q1602" s="24"/>
      <c r="R1602" s="24"/>
      <c r="S1602" s="90"/>
      <c r="T1602" s="90"/>
      <c r="U1602" s="24"/>
      <c r="V1602" s="90"/>
      <c r="W1602" s="90"/>
      <c r="X1602" s="90"/>
      <c r="Y1602" s="24"/>
      <c r="Z1602" s="24"/>
      <c r="AA1602" s="24"/>
      <c r="AB1602" s="24"/>
      <c r="AC1602" s="24"/>
      <c r="AD1602" s="24"/>
      <c r="AE1602" s="24"/>
      <c r="AF1602" s="24"/>
      <c r="AG1602" s="24"/>
      <c r="AH1602" s="24"/>
      <c r="AI1602" s="24"/>
      <c r="AJ1602" s="24"/>
      <c r="AK1602" s="24"/>
    </row>
    <row r="1603" spans="1:37" x14ac:dyDescent="0.25">
      <c r="A1603" s="24"/>
      <c r="B1603" s="90"/>
      <c r="C1603" s="92"/>
      <c r="D1603" s="24"/>
      <c r="E1603" s="90"/>
      <c r="F1603" s="90"/>
      <c r="G1603" s="24"/>
      <c r="H1603" s="90"/>
      <c r="I1603" s="24"/>
      <c r="J1603" s="90"/>
      <c r="K1603" s="90"/>
      <c r="L1603" s="24"/>
      <c r="M1603" s="24"/>
      <c r="N1603" s="24"/>
      <c r="O1603" s="90"/>
      <c r="P1603" s="24"/>
      <c r="Q1603" s="24"/>
      <c r="R1603" s="24"/>
      <c r="S1603" s="90"/>
      <c r="T1603" s="90"/>
      <c r="U1603" s="24"/>
      <c r="V1603" s="90"/>
      <c r="W1603" s="90"/>
      <c r="X1603" s="90"/>
      <c r="Y1603" s="24"/>
      <c r="Z1603" s="24"/>
      <c r="AA1603" s="24"/>
      <c r="AB1603" s="24"/>
      <c r="AC1603" s="24"/>
      <c r="AD1603" s="24"/>
      <c r="AE1603" s="24"/>
      <c r="AF1603" s="24"/>
      <c r="AG1603" s="24"/>
      <c r="AH1603" s="24"/>
      <c r="AI1603" s="24"/>
      <c r="AJ1603" s="24"/>
      <c r="AK1603" s="24"/>
    </row>
    <row r="1604" spans="1:37" x14ac:dyDescent="0.25">
      <c r="A1604" s="24"/>
      <c r="B1604" s="90"/>
      <c r="C1604" s="92"/>
      <c r="D1604" s="24"/>
      <c r="E1604" s="90"/>
      <c r="F1604" s="90"/>
      <c r="G1604" s="24"/>
      <c r="H1604" s="90"/>
      <c r="I1604" s="24"/>
      <c r="J1604" s="90"/>
      <c r="K1604" s="90"/>
      <c r="L1604" s="24"/>
      <c r="M1604" s="24"/>
      <c r="N1604" s="24"/>
      <c r="O1604" s="90"/>
      <c r="P1604" s="24"/>
      <c r="Q1604" s="24"/>
      <c r="R1604" s="24"/>
      <c r="S1604" s="90"/>
      <c r="T1604" s="90"/>
      <c r="U1604" s="24"/>
      <c r="V1604" s="90"/>
      <c r="W1604" s="90"/>
      <c r="X1604" s="90"/>
      <c r="Y1604" s="24"/>
      <c r="Z1604" s="24"/>
      <c r="AA1604" s="24"/>
      <c r="AB1604" s="24"/>
      <c r="AC1604" s="24"/>
      <c r="AD1604" s="24"/>
      <c r="AE1604" s="24"/>
      <c r="AF1604" s="24"/>
      <c r="AG1604" s="24"/>
      <c r="AH1604" s="24"/>
      <c r="AI1604" s="24"/>
      <c r="AJ1604" s="24"/>
      <c r="AK1604" s="24"/>
    </row>
    <row r="1605" spans="1:37" x14ac:dyDescent="0.25">
      <c r="A1605" s="24"/>
      <c r="B1605" s="90"/>
      <c r="C1605" s="92"/>
      <c r="D1605" s="24"/>
      <c r="E1605" s="90"/>
      <c r="F1605" s="90"/>
      <c r="G1605" s="24"/>
      <c r="H1605" s="90"/>
      <c r="I1605" s="24"/>
      <c r="J1605" s="90"/>
      <c r="K1605" s="90"/>
      <c r="L1605" s="24"/>
      <c r="M1605" s="24"/>
      <c r="N1605" s="24"/>
      <c r="O1605" s="90"/>
      <c r="P1605" s="24"/>
      <c r="Q1605" s="24"/>
      <c r="R1605" s="24"/>
      <c r="S1605" s="90"/>
      <c r="T1605" s="90"/>
      <c r="U1605" s="24"/>
      <c r="V1605" s="90"/>
      <c r="W1605" s="90"/>
      <c r="X1605" s="90"/>
      <c r="Y1605" s="24"/>
      <c r="Z1605" s="24"/>
      <c r="AA1605" s="24"/>
      <c r="AB1605" s="24"/>
      <c r="AC1605" s="24"/>
      <c r="AD1605" s="24"/>
      <c r="AE1605" s="24"/>
      <c r="AF1605" s="24"/>
      <c r="AG1605" s="24"/>
      <c r="AH1605" s="24"/>
      <c r="AI1605" s="24"/>
      <c r="AJ1605" s="24"/>
      <c r="AK1605" s="24"/>
    </row>
    <row r="1606" spans="1:37" x14ac:dyDescent="0.25">
      <c r="A1606" s="24"/>
      <c r="B1606" s="90"/>
      <c r="C1606" s="92"/>
      <c r="D1606" s="24"/>
      <c r="E1606" s="90"/>
      <c r="F1606" s="90"/>
      <c r="G1606" s="24"/>
      <c r="H1606" s="90"/>
      <c r="I1606" s="24"/>
      <c r="J1606" s="90"/>
      <c r="K1606" s="90"/>
      <c r="L1606" s="24"/>
      <c r="M1606" s="24"/>
      <c r="N1606" s="24"/>
      <c r="O1606" s="90"/>
      <c r="P1606" s="24"/>
      <c r="Q1606" s="24"/>
      <c r="R1606" s="24"/>
      <c r="S1606" s="90"/>
      <c r="T1606" s="90"/>
      <c r="U1606" s="24"/>
      <c r="V1606" s="90"/>
      <c r="W1606" s="90"/>
      <c r="X1606" s="90"/>
      <c r="Y1606" s="24"/>
      <c r="Z1606" s="24"/>
      <c r="AA1606" s="24"/>
      <c r="AB1606" s="24"/>
      <c r="AC1606" s="24"/>
      <c r="AD1606" s="24"/>
      <c r="AE1606" s="24"/>
      <c r="AF1606" s="24"/>
      <c r="AG1606" s="24"/>
      <c r="AH1606" s="24"/>
      <c r="AI1606" s="24"/>
      <c r="AJ1606" s="24"/>
      <c r="AK1606" s="24"/>
    </row>
    <row r="1607" spans="1:37" x14ac:dyDescent="0.25">
      <c r="A1607" s="24"/>
      <c r="B1607" s="90"/>
      <c r="C1607" s="92"/>
      <c r="D1607" s="24"/>
      <c r="E1607" s="90"/>
      <c r="F1607" s="90"/>
      <c r="G1607" s="24"/>
      <c r="H1607" s="90"/>
      <c r="I1607" s="24"/>
      <c r="J1607" s="90"/>
      <c r="K1607" s="90"/>
      <c r="L1607" s="24"/>
      <c r="M1607" s="24"/>
      <c r="N1607" s="24"/>
      <c r="O1607" s="90"/>
      <c r="P1607" s="24"/>
      <c r="Q1607" s="24"/>
      <c r="R1607" s="24"/>
      <c r="S1607" s="90"/>
      <c r="T1607" s="90"/>
      <c r="U1607" s="24"/>
      <c r="V1607" s="90"/>
      <c r="W1607" s="90"/>
      <c r="X1607" s="90"/>
      <c r="Y1607" s="24"/>
      <c r="Z1607" s="24"/>
      <c r="AA1607" s="24"/>
      <c r="AB1607" s="24"/>
      <c r="AC1607" s="24"/>
      <c r="AD1607" s="24"/>
      <c r="AE1607" s="24"/>
      <c r="AF1607" s="24"/>
      <c r="AG1607" s="24"/>
      <c r="AH1607" s="24"/>
      <c r="AI1607" s="24"/>
      <c r="AJ1607" s="24"/>
      <c r="AK1607" s="24"/>
    </row>
    <row r="1608" spans="1:37" x14ac:dyDescent="0.25">
      <c r="A1608" s="24"/>
      <c r="B1608" s="90"/>
      <c r="C1608" s="92"/>
      <c r="D1608" s="24"/>
      <c r="E1608" s="90"/>
      <c r="F1608" s="90"/>
      <c r="G1608" s="24"/>
      <c r="H1608" s="90"/>
      <c r="I1608" s="24"/>
      <c r="J1608" s="90"/>
      <c r="K1608" s="90"/>
      <c r="L1608" s="24"/>
      <c r="M1608" s="24"/>
      <c r="N1608" s="24"/>
      <c r="O1608" s="90"/>
      <c r="P1608" s="24"/>
      <c r="Q1608" s="24"/>
      <c r="R1608" s="24"/>
      <c r="S1608" s="90"/>
      <c r="T1608" s="90"/>
      <c r="U1608" s="24"/>
      <c r="V1608" s="90"/>
      <c r="W1608" s="90"/>
      <c r="X1608" s="90"/>
      <c r="Y1608" s="24"/>
      <c r="Z1608" s="24"/>
      <c r="AA1608" s="24"/>
      <c r="AB1608" s="24"/>
      <c r="AC1608" s="24"/>
      <c r="AD1608" s="24"/>
      <c r="AE1608" s="24"/>
      <c r="AF1608" s="24"/>
      <c r="AG1608" s="24"/>
      <c r="AH1608" s="24"/>
      <c r="AI1608" s="24"/>
      <c r="AJ1608" s="24"/>
      <c r="AK1608" s="24"/>
    </row>
    <row r="1609" spans="1:37" x14ac:dyDescent="0.25">
      <c r="A1609" s="24"/>
      <c r="B1609" s="90"/>
      <c r="C1609" s="92"/>
      <c r="D1609" s="24"/>
      <c r="E1609" s="90"/>
      <c r="F1609" s="90"/>
      <c r="G1609" s="24"/>
      <c r="H1609" s="90"/>
      <c r="I1609" s="24"/>
      <c r="J1609" s="90"/>
      <c r="K1609" s="90"/>
      <c r="L1609" s="24"/>
      <c r="M1609" s="24"/>
      <c r="N1609" s="24"/>
      <c r="O1609" s="90"/>
      <c r="P1609" s="24"/>
      <c r="Q1609" s="24"/>
      <c r="R1609" s="24"/>
      <c r="S1609" s="90"/>
      <c r="T1609" s="90"/>
      <c r="U1609" s="24"/>
      <c r="V1609" s="90"/>
      <c r="W1609" s="90"/>
      <c r="X1609" s="90"/>
      <c r="Y1609" s="24"/>
      <c r="Z1609" s="24"/>
      <c r="AA1609" s="24"/>
      <c r="AB1609" s="24"/>
      <c r="AC1609" s="24"/>
      <c r="AD1609" s="24"/>
      <c r="AE1609" s="24"/>
      <c r="AF1609" s="24"/>
      <c r="AG1609" s="24"/>
      <c r="AH1609" s="24"/>
      <c r="AI1609" s="24"/>
      <c r="AJ1609" s="24"/>
      <c r="AK1609" s="24"/>
    </row>
    <row r="1610" spans="1:37" x14ac:dyDescent="0.25">
      <c r="A1610" s="24"/>
      <c r="B1610" s="90"/>
      <c r="C1610" s="92"/>
      <c r="D1610" s="24"/>
      <c r="E1610" s="90"/>
      <c r="F1610" s="90"/>
      <c r="G1610" s="24"/>
      <c r="H1610" s="90"/>
      <c r="I1610" s="24"/>
      <c r="J1610" s="90"/>
      <c r="K1610" s="90"/>
      <c r="L1610" s="24"/>
      <c r="M1610" s="24"/>
      <c r="N1610" s="24"/>
      <c r="O1610" s="90"/>
      <c r="P1610" s="24"/>
      <c r="Q1610" s="24"/>
      <c r="R1610" s="24"/>
      <c r="S1610" s="90"/>
      <c r="T1610" s="90"/>
      <c r="U1610" s="24"/>
      <c r="V1610" s="90"/>
      <c r="W1610" s="90"/>
      <c r="X1610" s="90"/>
      <c r="Y1610" s="24"/>
      <c r="Z1610" s="24"/>
      <c r="AA1610" s="24"/>
      <c r="AB1610" s="24"/>
      <c r="AC1610" s="24"/>
      <c r="AD1610" s="24"/>
      <c r="AE1610" s="24"/>
      <c r="AF1610" s="24"/>
      <c r="AG1610" s="24"/>
      <c r="AH1610" s="24"/>
      <c r="AI1610" s="24"/>
      <c r="AJ1610" s="24"/>
      <c r="AK1610" s="24"/>
    </row>
    <row r="1611" spans="1:37" x14ac:dyDescent="0.25">
      <c r="A1611" s="24"/>
      <c r="B1611" s="90"/>
      <c r="C1611" s="92"/>
      <c r="D1611" s="24"/>
      <c r="E1611" s="90"/>
      <c r="F1611" s="90"/>
      <c r="G1611" s="24"/>
      <c r="H1611" s="90"/>
      <c r="I1611" s="24"/>
      <c r="J1611" s="90"/>
      <c r="K1611" s="90"/>
      <c r="L1611" s="24"/>
      <c r="M1611" s="24"/>
      <c r="N1611" s="24"/>
      <c r="O1611" s="90"/>
      <c r="P1611" s="24"/>
      <c r="Q1611" s="24"/>
      <c r="R1611" s="24"/>
      <c r="S1611" s="90"/>
      <c r="T1611" s="90"/>
      <c r="U1611" s="24"/>
      <c r="V1611" s="90"/>
      <c r="W1611" s="90"/>
      <c r="X1611" s="90"/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</row>
    <row r="1612" spans="1:37" x14ac:dyDescent="0.25">
      <c r="A1612" s="24"/>
      <c r="B1612" s="90"/>
      <c r="C1612" s="92"/>
      <c r="D1612" s="24"/>
      <c r="E1612" s="90"/>
      <c r="F1612" s="90"/>
      <c r="G1612" s="24"/>
      <c r="H1612" s="90"/>
      <c r="I1612" s="24"/>
      <c r="J1612" s="90"/>
      <c r="K1612" s="90"/>
      <c r="L1612" s="24"/>
      <c r="M1612" s="24"/>
      <c r="N1612" s="24"/>
      <c r="O1612" s="90"/>
      <c r="P1612" s="24"/>
      <c r="Q1612" s="24"/>
      <c r="R1612" s="24"/>
      <c r="S1612" s="90"/>
      <c r="T1612" s="90"/>
      <c r="U1612" s="24"/>
      <c r="V1612" s="90"/>
      <c r="W1612" s="90"/>
      <c r="X1612" s="90"/>
      <c r="Y1612" s="24"/>
      <c r="Z1612" s="24"/>
      <c r="AA1612" s="24"/>
      <c r="AB1612" s="24"/>
      <c r="AC1612" s="24"/>
      <c r="AD1612" s="24"/>
      <c r="AE1612" s="24"/>
      <c r="AF1612" s="24"/>
      <c r="AG1612" s="24"/>
      <c r="AH1612" s="24"/>
      <c r="AI1612" s="24"/>
      <c r="AJ1612" s="24"/>
      <c r="AK1612" s="24"/>
    </row>
    <row r="1613" spans="1:37" x14ac:dyDescent="0.25">
      <c r="A1613" s="24"/>
      <c r="B1613" s="90"/>
      <c r="C1613" s="92"/>
      <c r="D1613" s="24"/>
      <c r="E1613" s="90"/>
      <c r="F1613" s="90"/>
      <c r="G1613" s="24"/>
      <c r="H1613" s="90"/>
      <c r="I1613" s="24"/>
      <c r="J1613" s="90"/>
      <c r="K1613" s="90"/>
      <c r="L1613" s="24"/>
      <c r="M1613" s="24"/>
      <c r="N1613" s="24"/>
      <c r="O1613" s="90"/>
      <c r="P1613" s="24"/>
      <c r="Q1613" s="24"/>
      <c r="R1613" s="24"/>
      <c r="S1613" s="90"/>
      <c r="T1613" s="90"/>
      <c r="U1613" s="24"/>
      <c r="V1613" s="90"/>
      <c r="W1613" s="90"/>
      <c r="X1613" s="90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</row>
    <row r="1614" spans="1:37" x14ac:dyDescent="0.25">
      <c r="A1614" s="24"/>
      <c r="B1614" s="90"/>
      <c r="C1614" s="92"/>
      <c r="D1614" s="24"/>
      <c r="E1614" s="90"/>
      <c r="F1614" s="90"/>
      <c r="G1614" s="24"/>
      <c r="H1614" s="90"/>
      <c r="I1614" s="24"/>
      <c r="J1614" s="90"/>
      <c r="K1614" s="90"/>
      <c r="L1614" s="24"/>
      <c r="M1614" s="24"/>
      <c r="N1614" s="24"/>
      <c r="O1614" s="90"/>
      <c r="P1614" s="24"/>
      <c r="Q1614" s="24"/>
      <c r="R1614" s="24"/>
      <c r="S1614" s="90"/>
      <c r="T1614" s="90"/>
      <c r="U1614" s="24"/>
      <c r="V1614" s="90"/>
      <c r="W1614" s="90"/>
      <c r="X1614" s="90"/>
      <c r="Y1614" s="24"/>
      <c r="Z1614" s="24"/>
      <c r="AA1614" s="24"/>
      <c r="AB1614" s="24"/>
      <c r="AC1614" s="24"/>
      <c r="AD1614" s="24"/>
      <c r="AE1614" s="24"/>
      <c r="AF1614" s="24"/>
      <c r="AG1614" s="24"/>
      <c r="AH1614" s="24"/>
      <c r="AI1614" s="24"/>
      <c r="AJ1614" s="24"/>
      <c r="AK1614" s="24"/>
    </row>
    <row r="1615" spans="1:37" x14ac:dyDescent="0.25">
      <c r="A1615" s="24"/>
      <c r="B1615" s="90"/>
      <c r="C1615" s="92"/>
      <c r="D1615" s="24"/>
      <c r="E1615" s="90"/>
      <c r="F1615" s="90"/>
      <c r="G1615" s="24"/>
      <c r="H1615" s="90"/>
      <c r="I1615" s="24"/>
      <c r="J1615" s="90"/>
      <c r="K1615" s="90"/>
      <c r="L1615" s="24"/>
      <c r="M1615" s="24"/>
      <c r="N1615" s="24"/>
      <c r="O1615" s="90"/>
      <c r="P1615" s="24"/>
      <c r="Q1615" s="24"/>
      <c r="R1615" s="24"/>
      <c r="S1615" s="90"/>
      <c r="T1615" s="90"/>
      <c r="U1615" s="24"/>
      <c r="V1615" s="90"/>
      <c r="W1615" s="90"/>
      <c r="X1615" s="90"/>
      <c r="Y1615" s="24"/>
      <c r="Z1615" s="24"/>
      <c r="AA1615" s="24"/>
      <c r="AB1615" s="24"/>
      <c r="AC1615" s="24"/>
      <c r="AD1615" s="24"/>
      <c r="AE1615" s="24"/>
      <c r="AF1615" s="24"/>
      <c r="AG1615" s="24"/>
      <c r="AH1615" s="24"/>
      <c r="AI1615" s="24"/>
      <c r="AJ1615" s="24"/>
      <c r="AK1615" s="24"/>
    </row>
    <row r="1616" spans="1:37" x14ac:dyDescent="0.25">
      <c r="A1616" s="24"/>
      <c r="B1616" s="90"/>
      <c r="C1616" s="92"/>
      <c r="D1616" s="24"/>
      <c r="E1616" s="90"/>
      <c r="F1616" s="90"/>
      <c r="G1616" s="24"/>
      <c r="H1616" s="90"/>
      <c r="I1616" s="24"/>
      <c r="J1616" s="90"/>
      <c r="K1616" s="90"/>
      <c r="L1616" s="24"/>
      <c r="M1616" s="24"/>
      <c r="N1616" s="24"/>
      <c r="O1616" s="90"/>
      <c r="P1616" s="24"/>
      <c r="Q1616" s="24"/>
      <c r="R1616" s="24"/>
      <c r="S1616" s="90"/>
      <c r="T1616" s="90"/>
      <c r="U1616" s="24"/>
      <c r="V1616" s="90"/>
      <c r="W1616" s="90"/>
      <c r="X1616" s="90"/>
      <c r="Y1616" s="24"/>
      <c r="Z1616" s="24"/>
      <c r="AA1616" s="24"/>
      <c r="AB1616" s="24"/>
      <c r="AC1616" s="24"/>
      <c r="AD1616" s="24"/>
      <c r="AE1616" s="24"/>
      <c r="AF1616" s="24"/>
      <c r="AG1616" s="24"/>
      <c r="AH1616" s="24"/>
      <c r="AI1616" s="24"/>
      <c r="AJ1616" s="24"/>
      <c r="AK1616" s="24"/>
    </row>
    <row r="1617" spans="1:37" x14ac:dyDescent="0.25">
      <c r="A1617" s="24"/>
      <c r="B1617" s="90"/>
      <c r="C1617" s="92"/>
      <c r="D1617" s="24"/>
      <c r="E1617" s="90"/>
      <c r="F1617" s="90"/>
      <c r="G1617" s="24"/>
      <c r="H1617" s="90"/>
      <c r="I1617" s="24"/>
      <c r="J1617" s="90"/>
      <c r="K1617" s="90"/>
      <c r="L1617" s="24"/>
      <c r="M1617" s="24"/>
      <c r="N1617" s="24"/>
      <c r="O1617" s="90"/>
      <c r="P1617" s="24"/>
      <c r="Q1617" s="24"/>
      <c r="R1617" s="24"/>
      <c r="S1617" s="90"/>
      <c r="T1617" s="90"/>
      <c r="U1617" s="24"/>
      <c r="V1617" s="90"/>
      <c r="W1617" s="90"/>
      <c r="X1617" s="90"/>
      <c r="Y1617" s="24"/>
      <c r="Z1617" s="24"/>
      <c r="AA1617" s="24"/>
      <c r="AB1617" s="24"/>
      <c r="AC1617" s="24"/>
      <c r="AD1617" s="24"/>
      <c r="AE1617" s="24"/>
      <c r="AF1617" s="24"/>
      <c r="AG1617" s="24"/>
      <c r="AH1617" s="24"/>
      <c r="AI1617" s="24"/>
      <c r="AJ1617" s="24"/>
      <c r="AK1617" s="24"/>
    </row>
    <row r="1618" spans="1:37" x14ac:dyDescent="0.25">
      <c r="A1618" s="24"/>
      <c r="B1618" s="90"/>
      <c r="C1618" s="92"/>
      <c r="D1618" s="24"/>
      <c r="E1618" s="90"/>
      <c r="F1618" s="90"/>
      <c r="G1618" s="24"/>
      <c r="H1618" s="90"/>
      <c r="I1618" s="24"/>
      <c r="J1618" s="90"/>
      <c r="K1618" s="90"/>
      <c r="L1618" s="24"/>
      <c r="M1618" s="24"/>
      <c r="N1618" s="24"/>
      <c r="O1618" s="90"/>
      <c r="P1618" s="24"/>
      <c r="Q1618" s="24"/>
      <c r="R1618" s="24"/>
      <c r="S1618" s="90"/>
      <c r="T1618" s="90"/>
      <c r="U1618" s="24"/>
      <c r="V1618" s="90"/>
      <c r="W1618" s="90"/>
      <c r="X1618" s="90"/>
      <c r="Y1618" s="24"/>
      <c r="Z1618" s="24"/>
      <c r="AA1618" s="24"/>
      <c r="AB1618" s="24"/>
      <c r="AC1618" s="24"/>
      <c r="AD1618" s="24"/>
      <c r="AE1618" s="24"/>
      <c r="AF1618" s="24"/>
      <c r="AG1618" s="24"/>
      <c r="AH1618" s="24"/>
      <c r="AI1618" s="24"/>
      <c r="AJ1618" s="24"/>
      <c r="AK1618" s="24"/>
    </row>
    <row r="1619" spans="1:37" x14ac:dyDescent="0.25">
      <c r="A1619" s="24"/>
      <c r="B1619" s="90"/>
      <c r="C1619" s="92"/>
      <c r="D1619" s="24"/>
      <c r="E1619" s="90"/>
      <c r="F1619" s="90"/>
      <c r="G1619" s="24"/>
      <c r="H1619" s="90"/>
      <c r="I1619" s="24"/>
      <c r="J1619" s="90"/>
      <c r="K1619" s="90"/>
      <c r="L1619" s="24"/>
      <c r="M1619" s="24"/>
      <c r="N1619" s="24"/>
      <c r="O1619" s="90"/>
      <c r="P1619" s="24"/>
      <c r="Q1619" s="24"/>
      <c r="R1619" s="24"/>
      <c r="S1619" s="90"/>
      <c r="T1619" s="90"/>
      <c r="U1619" s="24"/>
      <c r="V1619" s="90"/>
      <c r="W1619" s="90"/>
      <c r="X1619" s="90"/>
      <c r="Y1619" s="24"/>
      <c r="Z1619" s="24"/>
      <c r="AA1619" s="24"/>
      <c r="AB1619" s="24"/>
      <c r="AC1619" s="24"/>
      <c r="AD1619" s="24"/>
      <c r="AE1619" s="24"/>
      <c r="AF1619" s="24"/>
      <c r="AG1619" s="24"/>
      <c r="AH1619" s="24"/>
      <c r="AI1619" s="24"/>
      <c r="AJ1619" s="24"/>
      <c r="AK1619" s="24"/>
    </row>
    <row r="1620" spans="1:37" x14ac:dyDescent="0.25">
      <c r="A1620" s="24"/>
      <c r="B1620" s="90"/>
      <c r="C1620" s="92"/>
      <c r="D1620" s="24"/>
      <c r="E1620" s="90"/>
      <c r="F1620" s="90"/>
      <c r="G1620" s="24"/>
      <c r="H1620" s="90"/>
      <c r="I1620" s="24"/>
      <c r="J1620" s="90"/>
      <c r="K1620" s="90"/>
      <c r="L1620" s="24"/>
      <c r="M1620" s="24"/>
      <c r="N1620" s="24"/>
      <c r="O1620" s="90"/>
      <c r="P1620" s="24"/>
      <c r="Q1620" s="24"/>
      <c r="R1620" s="24"/>
      <c r="S1620" s="90"/>
      <c r="T1620" s="90"/>
      <c r="U1620" s="24"/>
      <c r="V1620" s="90"/>
      <c r="W1620" s="90"/>
      <c r="X1620" s="90"/>
      <c r="Y1620" s="24"/>
      <c r="Z1620" s="24"/>
      <c r="AA1620" s="24"/>
      <c r="AB1620" s="24"/>
      <c r="AC1620" s="24"/>
      <c r="AD1620" s="24"/>
      <c r="AE1620" s="24"/>
      <c r="AF1620" s="24"/>
      <c r="AG1620" s="24"/>
      <c r="AH1620" s="24"/>
      <c r="AI1620" s="24"/>
      <c r="AJ1620" s="24"/>
      <c r="AK1620" s="24"/>
    </row>
    <row r="1621" spans="1:37" x14ac:dyDescent="0.25">
      <c r="A1621" s="24"/>
      <c r="B1621" s="90"/>
      <c r="C1621" s="92"/>
      <c r="D1621" s="24"/>
      <c r="E1621" s="90"/>
      <c r="F1621" s="90"/>
      <c r="G1621" s="24"/>
      <c r="H1621" s="90"/>
      <c r="I1621" s="24"/>
      <c r="J1621" s="90"/>
      <c r="K1621" s="90"/>
      <c r="L1621" s="24"/>
      <c r="M1621" s="24"/>
      <c r="N1621" s="24"/>
      <c r="O1621" s="90"/>
      <c r="P1621" s="24"/>
      <c r="Q1621" s="24"/>
      <c r="R1621" s="24"/>
      <c r="S1621" s="90"/>
      <c r="T1621" s="90"/>
      <c r="U1621" s="24"/>
      <c r="V1621" s="90"/>
      <c r="W1621" s="90"/>
      <c r="X1621" s="90"/>
      <c r="Y1621" s="24"/>
      <c r="Z1621" s="24"/>
      <c r="AA1621" s="24"/>
      <c r="AB1621" s="24"/>
      <c r="AC1621" s="24"/>
      <c r="AD1621" s="24"/>
      <c r="AE1621" s="24"/>
      <c r="AF1621" s="24"/>
      <c r="AG1621" s="24"/>
      <c r="AH1621" s="24"/>
      <c r="AI1621" s="24"/>
      <c r="AJ1621" s="24"/>
      <c r="AK1621" s="24"/>
    </row>
    <row r="1622" spans="1:37" x14ac:dyDescent="0.25">
      <c r="A1622" s="24"/>
      <c r="B1622" s="90"/>
      <c r="C1622" s="92"/>
      <c r="D1622" s="24"/>
      <c r="E1622" s="90"/>
      <c r="F1622" s="90"/>
      <c r="G1622" s="24"/>
      <c r="H1622" s="90"/>
      <c r="I1622" s="24"/>
      <c r="J1622" s="90"/>
      <c r="K1622" s="90"/>
      <c r="L1622" s="24"/>
      <c r="M1622" s="24"/>
      <c r="N1622" s="24"/>
      <c r="O1622" s="90"/>
      <c r="P1622" s="24"/>
      <c r="Q1622" s="24"/>
      <c r="R1622" s="24"/>
      <c r="S1622" s="90"/>
      <c r="T1622" s="90"/>
      <c r="U1622" s="24"/>
      <c r="V1622" s="90"/>
      <c r="W1622" s="90"/>
      <c r="X1622" s="90"/>
      <c r="Y1622" s="24"/>
      <c r="Z1622" s="24"/>
      <c r="AA1622" s="24"/>
      <c r="AB1622" s="24"/>
      <c r="AC1622" s="24"/>
      <c r="AD1622" s="24"/>
      <c r="AE1622" s="24"/>
      <c r="AF1622" s="24"/>
      <c r="AG1622" s="24"/>
      <c r="AH1622" s="24"/>
      <c r="AI1622" s="24"/>
      <c r="AJ1622" s="24"/>
      <c r="AK1622" s="24"/>
    </row>
    <row r="1623" spans="1:37" x14ac:dyDescent="0.25">
      <c r="A1623" s="24"/>
      <c r="B1623" s="90"/>
      <c r="C1623" s="92"/>
      <c r="D1623" s="24"/>
      <c r="E1623" s="90"/>
      <c r="F1623" s="90"/>
      <c r="G1623" s="24"/>
      <c r="H1623" s="90"/>
      <c r="I1623" s="24"/>
      <c r="J1623" s="90"/>
      <c r="K1623" s="90"/>
      <c r="L1623" s="24"/>
      <c r="M1623" s="24"/>
      <c r="N1623" s="24"/>
      <c r="O1623" s="90"/>
      <c r="P1623" s="24"/>
      <c r="Q1623" s="24"/>
      <c r="R1623" s="24"/>
      <c r="S1623" s="90"/>
      <c r="T1623" s="90"/>
      <c r="U1623" s="24"/>
      <c r="V1623" s="90"/>
      <c r="W1623" s="90"/>
      <c r="X1623" s="90"/>
      <c r="Y1623" s="24"/>
      <c r="Z1623" s="24"/>
      <c r="AA1623" s="24"/>
      <c r="AB1623" s="24"/>
      <c r="AC1623" s="24"/>
      <c r="AD1623" s="24"/>
      <c r="AE1623" s="24"/>
      <c r="AF1623" s="24"/>
      <c r="AG1623" s="24"/>
      <c r="AH1623" s="24"/>
      <c r="AI1623" s="24"/>
      <c r="AJ1623" s="24"/>
      <c r="AK1623" s="24"/>
    </row>
    <row r="1624" spans="1:37" x14ac:dyDescent="0.25">
      <c r="A1624" s="24"/>
      <c r="B1624" s="90"/>
      <c r="C1624" s="92"/>
      <c r="D1624" s="24"/>
      <c r="E1624" s="90"/>
      <c r="F1624" s="90"/>
      <c r="G1624" s="24"/>
      <c r="H1624" s="90"/>
      <c r="I1624" s="24"/>
      <c r="J1624" s="90"/>
      <c r="K1624" s="90"/>
      <c r="L1624" s="24"/>
      <c r="M1624" s="24"/>
      <c r="N1624" s="24"/>
      <c r="O1624" s="90"/>
      <c r="P1624" s="24"/>
      <c r="Q1624" s="24"/>
      <c r="R1624" s="24"/>
      <c r="S1624" s="90"/>
      <c r="T1624" s="90"/>
      <c r="U1624" s="24"/>
      <c r="V1624" s="90"/>
      <c r="W1624" s="90"/>
      <c r="X1624" s="90"/>
      <c r="Y1624" s="24"/>
      <c r="Z1624" s="24"/>
      <c r="AA1624" s="24"/>
      <c r="AB1624" s="24"/>
      <c r="AC1624" s="24"/>
      <c r="AD1624" s="24"/>
      <c r="AE1624" s="24"/>
      <c r="AF1624" s="24"/>
      <c r="AG1624" s="24"/>
      <c r="AH1624" s="24"/>
      <c r="AI1624" s="24"/>
      <c r="AJ1624" s="24"/>
      <c r="AK1624" s="24"/>
    </row>
    <row r="1625" spans="1:37" x14ac:dyDescent="0.25">
      <c r="A1625" s="24"/>
      <c r="B1625" s="90"/>
      <c r="C1625" s="92"/>
      <c r="D1625" s="24"/>
      <c r="E1625" s="90"/>
      <c r="F1625" s="90"/>
      <c r="G1625" s="24"/>
      <c r="H1625" s="90"/>
      <c r="I1625" s="24"/>
      <c r="J1625" s="90"/>
      <c r="K1625" s="90"/>
      <c r="L1625" s="24"/>
      <c r="M1625" s="24"/>
      <c r="N1625" s="24"/>
      <c r="O1625" s="90"/>
      <c r="P1625" s="24"/>
      <c r="Q1625" s="24"/>
      <c r="R1625" s="24"/>
      <c r="S1625" s="90"/>
      <c r="T1625" s="90"/>
      <c r="U1625" s="24"/>
      <c r="V1625" s="90"/>
      <c r="W1625" s="90"/>
      <c r="X1625" s="90"/>
      <c r="Y1625" s="24"/>
      <c r="Z1625" s="24"/>
      <c r="AA1625" s="24"/>
      <c r="AB1625" s="24"/>
      <c r="AC1625" s="24"/>
      <c r="AD1625" s="24"/>
      <c r="AE1625" s="24"/>
      <c r="AF1625" s="24"/>
      <c r="AG1625" s="24"/>
      <c r="AH1625" s="24"/>
      <c r="AI1625" s="24"/>
      <c r="AJ1625" s="24"/>
      <c r="AK1625" s="24"/>
    </row>
    <row r="1626" spans="1:37" x14ac:dyDescent="0.25">
      <c r="A1626" s="24"/>
      <c r="B1626" s="90"/>
      <c r="C1626" s="92"/>
      <c r="D1626" s="24"/>
      <c r="E1626" s="90"/>
      <c r="F1626" s="90"/>
      <c r="G1626" s="24"/>
      <c r="H1626" s="90"/>
      <c r="I1626" s="24"/>
      <c r="J1626" s="90"/>
      <c r="K1626" s="90"/>
      <c r="L1626" s="24"/>
      <c r="M1626" s="24"/>
      <c r="N1626" s="24"/>
      <c r="O1626" s="90"/>
      <c r="P1626" s="24"/>
      <c r="Q1626" s="24"/>
      <c r="R1626" s="24"/>
      <c r="S1626" s="90"/>
      <c r="T1626" s="90"/>
      <c r="U1626" s="24"/>
      <c r="V1626" s="90"/>
      <c r="W1626" s="90"/>
      <c r="X1626" s="90"/>
      <c r="Y1626" s="24"/>
      <c r="Z1626" s="24"/>
      <c r="AA1626" s="24"/>
      <c r="AB1626" s="24"/>
      <c r="AC1626" s="24"/>
      <c r="AD1626" s="24"/>
      <c r="AE1626" s="24"/>
      <c r="AF1626" s="24"/>
      <c r="AG1626" s="24"/>
      <c r="AH1626" s="24"/>
      <c r="AI1626" s="24"/>
      <c r="AJ1626" s="24"/>
      <c r="AK1626" s="24"/>
    </row>
    <row r="1627" spans="1:37" x14ac:dyDescent="0.25">
      <c r="A1627" s="24"/>
      <c r="B1627" s="90"/>
      <c r="C1627" s="92"/>
      <c r="D1627" s="24"/>
      <c r="E1627" s="90"/>
      <c r="F1627" s="90"/>
      <c r="G1627" s="24"/>
      <c r="H1627" s="90"/>
      <c r="I1627" s="24"/>
      <c r="J1627" s="90"/>
      <c r="K1627" s="90"/>
      <c r="L1627" s="24"/>
      <c r="M1627" s="24"/>
      <c r="N1627" s="24"/>
      <c r="O1627" s="90"/>
      <c r="P1627" s="24"/>
      <c r="Q1627" s="24"/>
      <c r="R1627" s="24"/>
      <c r="S1627" s="90"/>
      <c r="T1627" s="90"/>
      <c r="U1627" s="24"/>
      <c r="V1627" s="90"/>
      <c r="W1627" s="90"/>
      <c r="X1627" s="90"/>
      <c r="Y1627" s="24"/>
      <c r="Z1627" s="24"/>
      <c r="AA1627" s="24"/>
      <c r="AB1627" s="24"/>
      <c r="AC1627" s="24"/>
      <c r="AD1627" s="24"/>
      <c r="AE1627" s="24"/>
      <c r="AF1627" s="24"/>
      <c r="AG1627" s="24"/>
      <c r="AH1627" s="24"/>
      <c r="AI1627" s="24"/>
      <c r="AJ1627" s="24"/>
      <c r="AK1627" s="24"/>
    </row>
    <row r="1628" spans="1:37" x14ac:dyDescent="0.25">
      <c r="A1628" s="24"/>
      <c r="B1628" s="90"/>
      <c r="C1628" s="92"/>
      <c r="D1628" s="24"/>
      <c r="E1628" s="90"/>
      <c r="F1628" s="90"/>
      <c r="G1628" s="24"/>
      <c r="H1628" s="90"/>
      <c r="I1628" s="24"/>
      <c r="J1628" s="90"/>
      <c r="K1628" s="90"/>
      <c r="L1628" s="24"/>
      <c r="M1628" s="24"/>
      <c r="N1628" s="24"/>
      <c r="O1628" s="90"/>
      <c r="P1628" s="24"/>
      <c r="Q1628" s="24"/>
      <c r="R1628" s="24"/>
      <c r="S1628" s="90"/>
      <c r="T1628" s="90"/>
      <c r="U1628" s="24"/>
      <c r="V1628" s="90"/>
      <c r="W1628" s="90"/>
      <c r="X1628" s="90"/>
      <c r="Y1628" s="24"/>
      <c r="Z1628" s="24"/>
      <c r="AA1628" s="24"/>
      <c r="AB1628" s="24"/>
      <c r="AC1628" s="24"/>
      <c r="AD1628" s="24"/>
      <c r="AE1628" s="24"/>
      <c r="AF1628" s="24"/>
      <c r="AG1628" s="24"/>
      <c r="AH1628" s="24"/>
      <c r="AI1628" s="24"/>
      <c r="AJ1628" s="24"/>
      <c r="AK1628" s="24"/>
    </row>
    <row r="1629" spans="1:37" x14ac:dyDescent="0.25">
      <c r="A1629" s="24"/>
      <c r="B1629" s="90"/>
      <c r="C1629" s="92"/>
      <c r="D1629" s="24"/>
      <c r="E1629" s="90"/>
      <c r="F1629" s="90"/>
      <c r="G1629" s="24"/>
      <c r="H1629" s="90"/>
      <c r="I1629" s="24"/>
      <c r="J1629" s="90"/>
      <c r="K1629" s="90"/>
      <c r="L1629" s="24"/>
      <c r="M1629" s="24"/>
      <c r="N1629" s="24"/>
      <c r="O1629" s="90"/>
      <c r="P1629" s="24"/>
      <c r="Q1629" s="24"/>
      <c r="R1629" s="24"/>
      <c r="S1629" s="90"/>
      <c r="T1629" s="90"/>
      <c r="U1629" s="24"/>
      <c r="V1629" s="90"/>
      <c r="W1629" s="90"/>
      <c r="X1629" s="90"/>
      <c r="Y1629" s="24"/>
      <c r="Z1629" s="24"/>
      <c r="AA1629" s="24"/>
      <c r="AB1629" s="24"/>
      <c r="AC1629" s="24"/>
      <c r="AD1629" s="24"/>
      <c r="AE1629" s="24"/>
      <c r="AF1629" s="24"/>
      <c r="AG1629" s="24"/>
      <c r="AH1629" s="24"/>
      <c r="AI1629" s="24"/>
      <c r="AJ1629" s="24"/>
      <c r="AK1629" s="24"/>
    </row>
    <row r="1630" spans="1:37" x14ac:dyDescent="0.25">
      <c r="A1630" s="24"/>
      <c r="B1630" s="90"/>
      <c r="C1630" s="92"/>
      <c r="D1630" s="24"/>
      <c r="E1630" s="90"/>
      <c r="F1630" s="90"/>
      <c r="G1630" s="24"/>
      <c r="H1630" s="90"/>
      <c r="I1630" s="24"/>
      <c r="J1630" s="90"/>
      <c r="K1630" s="90"/>
      <c r="L1630" s="24"/>
      <c r="M1630" s="24"/>
      <c r="N1630" s="24"/>
      <c r="O1630" s="90"/>
      <c r="P1630" s="24"/>
      <c r="Q1630" s="24"/>
      <c r="R1630" s="24"/>
      <c r="S1630" s="90"/>
      <c r="T1630" s="90"/>
      <c r="U1630" s="24"/>
      <c r="V1630" s="90"/>
      <c r="W1630" s="90"/>
      <c r="X1630" s="90"/>
      <c r="Y1630" s="24"/>
      <c r="Z1630" s="24"/>
      <c r="AA1630" s="24"/>
      <c r="AB1630" s="24"/>
      <c r="AC1630" s="24"/>
      <c r="AD1630" s="24"/>
      <c r="AE1630" s="24"/>
      <c r="AF1630" s="24"/>
      <c r="AG1630" s="24"/>
      <c r="AH1630" s="24"/>
      <c r="AI1630" s="24"/>
      <c r="AJ1630" s="24"/>
      <c r="AK1630" s="24"/>
    </row>
    <row r="1631" spans="1:37" x14ac:dyDescent="0.25">
      <c r="A1631" s="24"/>
      <c r="B1631" s="90"/>
      <c r="C1631" s="92"/>
      <c r="D1631" s="24"/>
      <c r="E1631" s="90"/>
      <c r="F1631" s="90"/>
      <c r="G1631" s="24"/>
      <c r="H1631" s="90"/>
      <c r="I1631" s="24"/>
      <c r="J1631" s="90"/>
      <c r="K1631" s="90"/>
      <c r="L1631" s="24"/>
      <c r="M1631" s="24"/>
      <c r="N1631" s="24"/>
      <c r="O1631" s="90"/>
      <c r="P1631" s="24"/>
      <c r="Q1631" s="24"/>
      <c r="R1631" s="24"/>
      <c r="S1631" s="90"/>
      <c r="T1631" s="90"/>
      <c r="U1631" s="24"/>
      <c r="V1631" s="90"/>
      <c r="W1631" s="90"/>
      <c r="X1631" s="90"/>
      <c r="Y1631" s="24"/>
      <c r="Z1631" s="24"/>
      <c r="AA1631" s="24"/>
      <c r="AB1631" s="24"/>
      <c r="AC1631" s="24"/>
      <c r="AD1631" s="24"/>
      <c r="AE1631" s="24"/>
      <c r="AF1631" s="24"/>
      <c r="AG1631" s="24"/>
      <c r="AH1631" s="24"/>
      <c r="AI1631" s="24"/>
      <c r="AJ1631" s="24"/>
      <c r="AK1631" s="24"/>
    </row>
    <row r="1632" spans="1:37" x14ac:dyDescent="0.25">
      <c r="A1632" s="24"/>
      <c r="B1632" s="90"/>
      <c r="C1632" s="92"/>
      <c r="D1632" s="24"/>
      <c r="E1632" s="90"/>
      <c r="F1632" s="90"/>
      <c r="G1632" s="24"/>
      <c r="H1632" s="90"/>
      <c r="I1632" s="24"/>
      <c r="J1632" s="90"/>
      <c r="K1632" s="90"/>
      <c r="L1632" s="24"/>
      <c r="M1632" s="24"/>
      <c r="N1632" s="24"/>
      <c r="O1632" s="90"/>
      <c r="P1632" s="24"/>
      <c r="Q1632" s="24"/>
      <c r="R1632" s="24"/>
      <c r="S1632" s="90"/>
      <c r="T1632" s="90"/>
      <c r="U1632" s="24"/>
      <c r="V1632" s="90"/>
      <c r="W1632" s="90"/>
      <c r="X1632" s="90"/>
      <c r="Y1632" s="24"/>
      <c r="Z1632" s="24"/>
      <c r="AA1632" s="24"/>
      <c r="AB1632" s="24"/>
      <c r="AC1632" s="24"/>
      <c r="AD1632" s="24"/>
      <c r="AE1632" s="24"/>
      <c r="AF1632" s="24"/>
      <c r="AG1632" s="24"/>
      <c r="AH1632" s="24"/>
      <c r="AI1632" s="24"/>
      <c r="AJ1632" s="24"/>
      <c r="AK1632" s="24"/>
    </row>
    <row r="1633" spans="1:37" x14ac:dyDescent="0.25">
      <c r="A1633" s="24"/>
      <c r="B1633" s="90"/>
      <c r="C1633" s="92"/>
      <c r="D1633" s="24"/>
      <c r="E1633" s="90"/>
      <c r="F1633" s="90"/>
      <c r="G1633" s="24"/>
      <c r="H1633" s="90"/>
      <c r="I1633" s="24"/>
      <c r="J1633" s="90"/>
      <c r="K1633" s="90"/>
      <c r="L1633" s="24"/>
      <c r="M1633" s="24"/>
      <c r="N1633" s="24"/>
      <c r="O1633" s="90"/>
      <c r="P1633" s="24"/>
      <c r="Q1633" s="24"/>
      <c r="R1633" s="24"/>
      <c r="S1633" s="90"/>
      <c r="T1633" s="90"/>
      <c r="U1633" s="24"/>
      <c r="V1633" s="90"/>
      <c r="W1633" s="90"/>
      <c r="X1633" s="90"/>
      <c r="Y1633" s="24"/>
      <c r="Z1633" s="24"/>
      <c r="AA1633" s="24"/>
      <c r="AB1633" s="24"/>
      <c r="AC1633" s="24"/>
      <c r="AD1633" s="24"/>
      <c r="AE1633" s="24"/>
      <c r="AF1633" s="24"/>
      <c r="AG1633" s="24"/>
      <c r="AH1633" s="24"/>
      <c r="AI1633" s="24"/>
      <c r="AJ1633" s="24"/>
      <c r="AK1633" s="24"/>
    </row>
    <row r="1634" spans="1:37" x14ac:dyDescent="0.25">
      <c r="A1634" s="24"/>
      <c r="B1634" s="90"/>
      <c r="C1634" s="92"/>
      <c r="D1634" s="24"/>
      <c r="E1634" s="90"/>
      <c r="F1634" s="90"/>
      <c r="G1634" s="24"/>
      <c r="H1634" s="90"/>
      <c r="I1634" s="24"/>
      <c r="J1634" s="90"/>
      <c r="K1634" s="90"/>
      <c r="L1634" s="24"/>
      <c r="M1634" s="24"/>
      <c r="N1634" s="24"/>
      <c r="O1634" s="90"/>
      <c r="P1634" s="24"/>
      <c r="Q1634" s="24"/>
      <c r="R1634" s="24"/>
      <c r="S1634" s="90"/>
      <c r="T1634" s="90"/>
      <c r="U1634" s="24"/>
      <c r="V1634" s="90"/>
      <c r="W1634" s="90"/>
      <c r="X1634" s="90"/>
      <c r="Y1634" s="24"/>
      <c r="Z1634" s="24"/>
      <c r="AA1634" s="24"/>
      <c r="AB1634" s="24"/>
      <c r="AC1634" s="24"/>
      <c r="AD1634" s="24"/>
      <c r="AE1634" s="24"/>
      <c r="AF1634" s="24"/>
      <c r="AG1634" s="24"/>
      <c r="AH1634" s="24"/>
      <c r="AI1634" s="24"/>
      <c r="AJ1634" s="24"/>
      <c r="AK1634" s="24"/>
    </row>
    <row r="1635" spans="1:37" x14ac:dyDescent="0.25">
      <c r="A1635" s="24"/>
      <c r="B1635" s="90"/>
      <c r="C1635" s="92"/>
      <c r="D1635" s="24"/>
      <c r="E1635" s="90"/>
      <c r="F1635" s="90"/>
      <c r="G1635" s="24"/>
      <c r="H1635" s="90"/>
      <c r="I1635" s="24"/>
      <c r="J1635" s="90"/>
      <c r="K1635" s="90"/>
      <c r="L1635" s="24"/>
      <c r="M1635" s="24"/>
      <c r="N1635" s="24"/>
      <c r="O1635" s="90"/>
      <c r="P1635" s="24"/>
      <c r="Q1635" s="24"/>
      <c r="R1635" s="24"/>
      <c r="S1635" s="90"/>
      <c r="T1635" s="90"/>
      <c r="U1635" s="24"/>
      <c r="V1635" s="90"/>
      <c r="W1635" s="90"/>
      <c r="X1635" s="90"/>
      <c r="Y1635" s="24"/>
      <c r="Z1635" s="24"/>
      <c r="AA1635" s="24"/>
      <c r="AB1635" s="24"/>
      <c r="AC1635" s="24"/>
      <c r="AD1635" s="24"/>
      <c r="AE1635" s="24"/>
      <c r="AF1635" s="24"/>
      <c r="AG1635" s="24"/>
      <c r="AH1635" s="24"/>
      <c r="AI1635" s="24"/>
      <c r="AJ1635" s="24"/>
      <c r="AK1635" s="24"/>
    </row>
    <row r="1636" spans="1:37" x14ac:dyDescent="0.25">
      <c r="A1636" s="24"/>
      <c r="B1636" s="90"/>
      <c r="C1636" s="92"/>
      <c r="D1636" s="24"/>
      <c r="E1636" s="90"/>
      <c r="F1636" s="90"/>
      <c r="G1636" s="24"/>
      <c r="H1636" s="90"/>
      <c r="I1636" s="24"/>
      <c r="J1636" s="90"/>
      <c r="K1636" s="90"/>
      <c r="L1636" s="24"/>
      <c r="M1636" s="24"/>
      <c r="N1636" s="24"/>
      <c r="O1636" s="90"/>
      <c r="P1636" s="24"/>
      <c r="Q1636" s="24"/>
      <c r="R1636" s="24"/>
      <c r="S1636" s="90"/>
      <c r="T1636" s="90"/>
      <c r="U1636" s="24"/>
      <c r="V1636" s="90"/>
      <c r="W1636" s="90"/>
      <c r="X1636" s="90"/>
      <c r="Y1636" s="24"/>
      <c r="Z1636" s="24"/>
      <c r="AA1636" s="24"/>
      <c r="AB1636" s="24"/>
      <c r="AC1636" s="24"/>
      <c r="AD1636" s="24"/>
      <c r="AE1636" s="24"/>
      <c r="AF1636" s="24"/>
      <c r="AG1636" s="24"/>
      <c r="AH1636" s="24"/>
      <c r="AI1636" s="24"/>
      <c r="AJ1636" s="24"/>
      <c r="AK1636" s="24"/>
    </row>
    <row r="1637" spans="1:37" x14ac:dyDescent="0.25">
      <c r="A1637" s="24"/>
      <c r="B1637" s="90"/>
      <c r="C1637" s="92"/>
      <c r="D1637" s="24"/>
      <c r="E1637" s="90"/>
      <c r="F1637" s="90"/>
      <c r="G1637" s="24"/>
      <c r="H1637" s="90"/>
      <c r="I1637" s="24"/>
      <c r="J1637" s="90"/>
      <c r="K1637" s="90"/>
      <c r="L1637" s="24"/>
      <c r="M1637" s="24"/>
      <c r="N1637" s="24"/>
      <c r="O1637" s="90"/>
      <c r="P1637" s="24"/>
      <c r="Q1637" s="24"/>
      <c r="R1637" s="24"/>
      <c r="S1637" s="90"/>
      <c r="T1637" s="90"/>
      <c r="U1637" s="24"/>
      <c r="V1637" s="90"/>
      <c r="W1637" s="90"/>
      <c r="X1637" s="90"/>
      <c r="Y1637" s="24"/>
      <c r="Z1637" s="24"/>
      <c r="AA1637" s="24"/>
      <c r="AB1637" s="24"/>
      <c r="AC1637" s="24"/>
      <c r="AD1637" s="24"/>
      <c r="AE1637" s="24"/>
      <c r="AF1637" s="24"/>
      <c r="AG1637" s="24"/>
      <c r="AH1637" s="24"/>
      <c r="AI1637" s="24"/>
      <c r="AJ1637" s="24"/>
      <c r="AK1637" s="24"/>
    </row>
    <row r="1638" spans="1:37" x14ac:dyDescent="0.25">
      <c r="A1638" s="24"/>
      <c r="B1638" s="90"/>
      <c r="C1638" s="92"/>
      <c r="D1638" s="24"/>
      <c r="E1638" s="90"/>
      <c r="F1638" s="90"/>
      <c r="G1638" s="24"/>
      <c r="H1638" s="90"/>
      <c r="I1638" s="24"/>
      <c r="J1638" s="90"/>
      <c r="K1638" s="90"/>
      <c r="L1638" s="24"/>
      <c r="M1638" s="24"/>
      <c r="N1638" s="24"/>
      <c r="O1638" s="90"/>
      <c r="P1638" s="24"/>
      <c r="Q1638" s="24"/>
      <c r="R1638" s="24"/>
      <c r="S1638" s="90"/>
      <c r="T1638" s="90"/>
      <c r="U1638" s="24"/>
      <c r="V1638" s="90"/>
      <c r="W1638" s="90"/>
      <c r="X1638" s="90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</row>
    <row r="1639" spans="1:37" x14ac:dyDescent="0.25">
      <c r="A1639" s="24"/>
      <c r="B1639" s="90"/>
      <c r="C1639" s="92"/>
      <c r="D1639" s="24"/>
      <c r="E1639" s="90"/>
      <c r="F1639" s="90"/>
      <c r="G1639" s="24"/>
      <c r="H1639" s="90"/>
      <c r="I1639" s="24"/>
      <c r="J1639" s="90"/>
      <c r="K1639" s="90"/>
      <c r="L1639" s="24"/>
      <c r="M1639" s="24"/>
      <c r="N1639" s="24"/>
      <c r="O1639" s="90"/>
      <c r="P1639" s="24"/>
      <c r="Q1639" s="24"/>
      <c r="R1639" s="24"/>
      <c r="S1639" s="90"/>
      <c r="T1639" s="90"/>
      <c r="U1639" s="24"/>
      <c r="V1639" s="90"/>
      <c r="W1639" s="90"/>
      <c r="X1639" s="90"/>
      <c r="Y1639" s="24"/>
      <c r="Z1639" s="24"/>
      <c r="AA1639" s="24"/>
      <c r="AB1639" s="24"/>
      <c r="AC1639" s="24"/>
      <c r="AD1639" s="24"/>
      <c r="AE1639" s="24"/>
      <c r="AF1639" s="24"/>
      <c r="AG1639" s="24"/>
      <c r="AH1639" s="24"/>
      <c r="AI1639" s="24"/>
      <c r="AJ1639" s="24"/>
      <c r="AK1639" s="24"/>
    </row>
    <row r="1640" spans="1:37" x14ac:dyDescent="0.25">
      <c r="A1640" s="24"/>
      <c r="B1640" s="90"/>
      <c r="C1640" s="92"/>
      <c r="D1640" s="24"/>
      <c r="E1640" s="90"/>
      <c r="F1640" s="90"/>
      <c r="G1640" s="24"/>
      <c r="H1640" s="90"/>
      <c r="I1640" s="24"/>
      <c r="J1640" s="90"/>
      <c r="K1640" s="90"/>
      <c r="L1640" s="24"/>
      <c r="M1640" s="24"/>
      <c r="N1640" s="24"/>
      <c r="O1640" s="90"/>
      <c r="P1640" s="24"/>
      <c r="Q1640" s="24"/>
      <c r="R1640" s="24"/>
      <c r="S1640" s="90"/>
      <c r="T1640" s="90"/>
      <c r="U1640" s="24"/>
      <c r="V1640" s="90"/>
      <c r="W1640" s="90"/>
      <c r="X1640" s="90"/>
      <c r="Y1640" s="24"/>
      <c r="Z1640" s="24"/>
      <c r="AA1640" s="24"/>
      <c r="AB1640" s="24"/>
      <c r="AC1640" s="24"/>
      <c r="AD1640" s="24"/>
      <c r="AE1640" s="24"/>
      <c r="AF1640" s="24"/>
      <c r="AG1640" s="24"/>
      <c r="AH1640" s="24"/>
      <c r="AI1640" s="24"/>
      <c r="AJ1640" s="24"/>
      <c r="AK1640" s="24"/>
    </row>
    <row r="1641" spans="1:37" x14ac:dyDescent="0.25">
      <c r="A1641" s="24"/>
      <c r="B1641" s="90"/>
      <c r="C1641" s="92"/>
      <c r="D1641" s="24"/>
      <c r="E1641" s="90"/>
      <c r="F1641" s="90"/>
      <c r="G1641" s="24"/>
      <c r="H1641" s="90"/>
      <c r="I1641" s="24"/>
      <c r="J1641" s="90"/>
      <c r="K1641" s="90"/>
      <c r="L1641" s="24"/>
      <c r="M1641" s="24"/>
      <c r="N1641" s="24"/>
      <c r="O1641" s="90"/>
      <c r="P1641" s="24"/>
      <c r="Q1641" s="24"/>
      <c r="R1641" s="24"/>
      <c r="S1641" s="90"/>
      <c r="T1641" s="90"/>
      <c r="U1641" s="24"/>
      <c r="V1641" s="90"/>
      <c r="W1641" s="90"/>
      <c r="X1641" s="90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4"/>
      <c r="AI1641" s="24"/>
      <c r="AJ1641" s="24"/>
      <c r="AK1641" s="24"/>
    </row>
    <row r="1642" spans="1:37" x14ac:dyDescent="0.25">
      <c r="A1642" s="24"/>
      <c r="B1642" s="90"/>
      <c r="C1642" s="92"/>
      <c r="D1642" s="24"/>
      <c r="E1642" s="90"/>
      <c r="F1642" s="90"/>
      <c r="G1642" s="24"/>
      <c r="H1642" s="90"/>
      <c r="I1642" s="24"/>
      <c r="J1642" s="90"/>
      <c r="K1642" s="90"/>
      <c r="L1642" s="24"/>
      <c r="M1642" s="24"/>
      <c r="N1642" s="24"/>
      <c r="O1642" s="90"/>
      <c r="P1642" s="24"/>
      <c r="Q1642" s="24"/>
      <c r="R1642" s="24"/>
      <c r="S1642" s="90"/>
      <c r="T1642" s="90"/>
      <c r="U1642" s="24"/>
      <c r="V1642" s="90"/>
      <c r="W1642" s="90"/>
      <c r="X1642" s="90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24"/>
      <c r="AJ1642" s="24"/>
      <c r="AK1642" s="24"/>
    </row>
    <row r="1643" spans="1:37" x14ac:dyDescent="0.25">
      <c r="A1643" s="24"/>
      <c r="B1643" s="90"/>
      <c r="C1643" s="92"/>
      <c r="D1643" s="24"/>
      <c r="E1643" s="90"/>
      <c r="F1643" s="90"/>
      <c r="G1643" s="24"/>
      <c r="H1643" s="90"/>
      <c r="I1643" s="24"/>
      <c r="J1643" s="90"/>
      <c r="K1643" s="90"/>
      <c r="L1643" s="24"/>
      <c r="M1643" s="24"/>
      <c r="N1643" s="24"/>
      <c r="O1643" s="90"/>
      <c r="P1643" s="24"/>
      <c r="Q1643" s="24"/>
      <c r="R1643" s="24"/>
      <c r="S1643" s="90"/>
      <c r="T1643" s="90"/>
      <c r="U1643" s="24"/>
      <c r="V1643" s="90"/>
      <c r="W1643" s="90"/>
      <c r="X1643" s="90"/>
      <c r="Y1643" s="24"/>
      <c r="Z1643" s="24"/>
      <c r="AA1643" s="24"/>
      <c r="AB1643" s="24"/>
      <c r="AC1643" s="24"/>
      <c r="AD1643" s="24"/>
      <c r="AE1643" s="24"/>
      <c r="AF1643" s="24"/>
      <c r="AG1643" s="24"/>
      <c r="AH1643" s="24"/>
      <c r="AI1643" s="24"/>
      <c r="AJ1643" s="24"/>
      <c r="AK1643" s="24"/>
    </row>
    <row r="1644" spans="1:37" x14ac:dyDescent="0.25">
      <c r="A1644" s="24"/>
      <c r="B1644" s="90"/>
      <c r="C1644" s="92"/>
      <c r="D1644" s="24"/>
      <c r="E1644" s="90"/>
      <c r="F1644" s="90"/>
      <c r="G1644" s="24"/>
      <c r="H1644" s="90"/>
      <c r="I1644" s="24"/>
      <c r="J1644" s="90"/>
      <c r="K1644" s="90"/>
      <c r="L1644" s="24"/>
      <c r="M1644" s="24"/>
      <c r="N1644" s="24"/>
      <c r="O1644" s="90"/>
      <c r="P1644" s="24"/>
      <c r="Q1644" s="24"/>
      <c r="R1644" s="24"/>
      <c r="S1644" s="90"/>
      <c r="T1644" s="90"/>
      <c r="U1644" s="24"/>
      <c r="V1644" s="90"/>
      <c r="W1644" s="90"/>
      <c r="X1644" s="90"/>
      <c r="Y1644" s="24"/>
      <c r="Z1644" s="24"/>
      <c r="AA1644" s="24"/>
      <c r="AB1644" s="24"/>
      <c r="AC1644" s="24"/>
      <c r="AD1644" s="24"/>
      <c r="AE1644" s="24"/>
      <c r="AF1644" s="24"/>
      <c r="AG1644" s="24"/>
      <c r="AH1644" s="24"/>
      <c r="AI1644" s="24"/>
      <c r="AJ1644" s="24"/>
      <c r="AK1644" s="24"/>
    </row>
    <row r="1645" spans="1:37" x14ac:dyDescent="0.25">
      <c r="A1645" s="24"/>
      <c r="B1645" s="90"/>
      <c r="C1645" s="92"/>
      <c r="D1645" s="24"/>
      <c r="E1645" s="90"/>
      <c r="F1645" s="90"/>
      <c r="G1645" s="24"/>
      <c r="H1645" s="90"/>
      <c r="I1645" s="24"/>
      <c r="J1645" s="90"/>
      <c r="K1645" s="90"/>
      <c r="L1645" s="24"/>
      <c r="M1645" s="24"/>
      <c r="N1645" s="24"/>
      <c r="O1645" s="90"/>
      <c r="P1645" s="24"/>
      <c r="Q1645" s="24"/>
      <c r="R1645" s="24"/>
      <c r="S1645" s="90"/>
      <c r="T1645" s="90"/>
      <c r="U1645" s="24"/>
      <c r="V1645" s="90"/>
      <c r="W1645" s="90"/>
      <c r="X1645" s="90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24"/>
      <c r="AJ1645" s="24"/>
      <c r="AK1645" s="24"/>
    </row>
    <row r="1646" spans="1:37" x14ac:dyDescent="0.25">
      <c r="A1646" s="24"/>
      <c r="B1646" s="90"/>
      <c r="C1646" s="92"/>
      <c r="D1646" s="24"/>
      <c r="E1646" s="90"/>
      <c r="F1646" s="90"/>
      <c r="G1646" s="24"/>
      <c r="H1646" s="90"/>
      <c r="I1646" s="24"/>
      <c r="J1646" s="90"/>
      <c r="K1646" s="90"/>
      <c r="L1646" s="24"/>
      <c r="M1646" s="24"/>
      <c r="N1646" s="24"/>
      <c r="O1646" s="90"/>
      <c r="P1646" s="24"/>
      <c r="Q1646" s="24"/>
      <c r="R1646" s="24"/>
      <c r="S1646" s="90"/>
      <c r="T1646" s="90"/>
      <c r="U1646" s="24"/>
      <c r="V1646" s="90"/>
      <c r="W1646" s="90"/>
      <c r="X1646" s="90"/>
      <c r="Y1646" s="24"/>
      <c r="Z1646" s="24"/>
      <c r="AA1646" s="24"/>
      <c r="AB1646" s="24"/>
      <c r="AC1646" s="24"/>
      <c r="AD1646" s="24"/>
      <c r="AE1646" s="24"/>
      <c r="AF1646" s="24"/>
      <c r="AG1646" s="24"/>
      <c r="AH1646" s="24"/>
      <c r="AI1646" s="24"/>
      <c r="AJ1646" s="24"/>
      <c r="AK1646" s="24"/>
    </row>
    <row r="1647" spans="1:37" x14ac:dyDescent="0.25">
      <c r="A1647" s="24"/>
      <c r="B1647" s="90"/>
      <c r="C1647" s="92"/>
      <c r="D1647" s="24"/>
      <c r="E1647" s="90"/>
      <c r="F1647" s="90"/>
      <c r="G1647" s="24"/>
      <c r="H1647" s="90"/>
      <c r="I1647" s="24"/>
      <c r="J1647" s="90"/>
      <c r="K1647" s="90"/>
      <c r="L1647" s="24"/>
      <c r="M1647" s="24"/>
      <c r="N1647" s="24"/>
      <c r="O1647" s="90"/>
      <c r="P1647" s="24"/>
      <c r="Q1647" s="24"/>
      <c r="R1647" s="24"/>
      <c r="S1647" s="90"/>
      <c r="T1647" s="90"/>
      <c r="U1647" s="24"/>
      <c r="V1647" s="90"/>
      <c r="W1647" s="90"/>
      <c r="X1647" s="90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</row>
    <row r="1648" spans="1:37" x14ac:dyDescent="0.25">
      <c r="A1648" s="24"/>
      <c r="B1648" s="90"/>
      <c r="C1648" s="92"/>
      <c r="D1648" s="24"/>
      <c r="E1648" s="90"/>
      <c r="F1648" s="90"/>
      <c r="G1648" s="24"/>
      <c r="H1648" s="90"/>
      <c r="I1648" s="24"/>
      <c r="J1648" s="90"/>
      <c r="K1648" s="90"/>
      <c r="L1648" s="24"/>
      <c r="M1648" s="24"/>
      <c r="N1648" s="24"/>
      <c r="O1648" s="90"/>
      <c r="P1648" s="24"/>
      <c r="Q1648" s="24"/>
      <c r="R1648" s="24"/>
      <c r="S1648" s="90"/>
      <c r="T1648" s="90"/>
      <c r="U1648" s="24"/>
      <c r="V1648" s="90"/>
      <c r="W1648" s="90"/>
      <c r="X1648" s="90"/>
      <c r="Y1648" s="24"/>
      <c r="Z1648" s="24"/>
      <c r="AA1648" s="24"/>
      <c r="AB1648" s="24"/>
      <c r="AC1648" s="24"/>
      <c r="AD1648" s="24"/>
      <c r="AE1648" s="24"/>
      <c r="AF1648" s="24"/>
      <c r="AG1648" s="24"/>
      <c r="AH1648" s="24"/>
      <c r="AI1648" s="24"/>
      <c r="AJ1648" s="24"/>
      <c r="AK1648" s="24"/>
    </row>
    <row r="1649" spans="1:37" x14ac:dyDescent="0.25">
      <c r="A1649" s="24"/>
      <c r="B1649" s="90"/>
      <c r="C1649" s="92"/>
      <c r="D1649" s="24"/>
      <c r="E1649" s="90"/>
      <c r="F1649" s="90"/>
      <c r="G1649" s="24"/>
      <c r="H1649" s="90"/>
      <c r="I1649" s="24"/>
      <c r="J1649" s="90"/>
      <c r="K1649" s="90"/>
      <c r="L1649" s="24"/>
      <c r="M1649" s="24"/>
      <c r="N1649" s="24"/>
      <c r="O1649" s="90"/>
      <c r="P1649" s="24"/>
      <c r="Q1649" s="24"/>
      <c r="R1649" s="24"/>
      <c r="S1649" s="90"/>
      <c r="T1649" s="90"/>
      <c r="U1649" s="24"/>
      <c r="V1649" s="90"/>
      <c r="W1649" s="90"/>
      <c r="X1649" s="90"/>
      <c r="Y1649" s="24"/>
      <c r="Z1649" s="24"/>
      <c r="AA1649" s="24"/>
      <c r="AB1649" s="24"/>
      <c r="AC1649" s="24"/>
      <c r="AD1649" s="24"/>
      <c r="AE1649" s="24"/>
      <c r="AF1649" s="24"/>
      <c r="AG1649" s="24"/>
      <c r="AH1649" s="24"/>
      <c r="AI1649" s="24"/>
      <c r="AJ1649" s="24"/>
      <c r="AK1649" s="24"/>
    </row>
    <row r="1650" spans="1:37" x14ac:dyDescent="0.25">
      <c r="A1650" s="24"/>
      <c r="B1650" s="90"/>
      <c r="C1650" s="92"/>
      <c r="D1650" s="24"/>
      <c r="E1650" s="90"/>
      <c r="F1650" s="90"/>
      <c r="G1650" s="24"/>
      <c r="H1650" s="90"/>
      <c r="I1650" s="24"/>
      <c r="J1650" s="90"/>
      <c r="K1650" s="90"/>
      <c r="L1650" s="24"/>
      <c r="M1650" s="24"/>
      <c r="N1650" s="24"/>
      <c r="O1650" s="90"/>
      <c r="P1650" s="24"/>
      <c r="Q1650" s="24"/>
      <c r="R1650" s="24"/>
      <c r="S1650" s="90"/>
      <c r="T1650" s="90"/>
      <c r="U1650" s="24"/>
      <c r="V1650" s="90"/>
      <c r="W1650" s="90"/>
      <c r="X1650" s="90"/>
      <c r="Y1650" s="24"/>
      <c r="Z1650" s="24"/>
      <c r="AA1650" s="24"/>
      <c r="AB1650" s="24"/>
      <c r="AC1650" s="24"/>
      <c r="AD1650" s="24"/>
      <c r="AE1650" s="24"/>
      <c r="AF1650" s="24"/>
      <c r="AG1650" s="24"/>
      <c r="AH1650" s="24"/>
      <c r="AI1650" s="24"/>
      <c r="AJ1650" s="24"/>
      <c r="AK1650" s="24"/>
    </row>
    <row r="1651" spans="1:37" x14ac:dyDescent="0.25">
      <c r="A1651" s="24"/>
      <c r="B1651" s="90"/>
      <c r="C1651" s="92"/>
      <c r="D1651" s="24"/>
      <c r="E1651" s="90"/>
      <c r="F1651" s="90"/>
      <c r="G1651" s="24"/>
      <c r="H1651" s="90"/>
      <c r="I1651" s="24"/>
      <c r="J1651" s="90"/>
      <c r="K1651" s="90"/>
      <c r="L1651" s="24"/>
      <c r="M1651" s="24"/>
      <c r="N1651" s="24"/>
      <c r="O1651" s="90"/>
      <c r="P1651" s="24"/>
      <c r="Q1651" s="24"/>
      <c r="R1651" s="24"/>
      <c r="S1651" s="90"/>
      <c r="T1651" s="90"/>
      <c r="U1651" s="24"/>
      <c r="V1651" s="90"/>
      <c r="W1651" s="90"/>
      <c r="X1651" s="90"/>
      <c r="Y1651" s="24"/>
      <c r="Z1651" s="24"/>
      <c r="AA1651" s="24"/>
      <c r="AB1651" s="24"/>
      <c r="AC1651" s="24"/>
      <c r="AD1651" s="24"/>
      <c r="AE1651" s="24"/>
      <c r="AF1651" s="24"/>
      <c r="AG1651" s="24"/>
      <c r="AH1651" s="24"/>
      <c r="AI1651" s="24"/>
      <c r="AJ1651" s="24"/>
      <c r="AK1651" s="24"/>
    </row>
    <row r="1652" spans="1:37" x14ac:dyDescent="0.25">
      <c r="A1652" s="24"/>
      <c r="B1652" s="90"/>
      <c r="C1652" s="92"/>
      <c r="D1652" s="24"/>
      <c r="E1652" s="90"/>
      <c r="F1652" s="90"/>
      <c r="G1652" s="24"/>
      <c r="H1652" s="90"/>
      <c r="I1652" s="24"/>
      <c r="J1652" s="90"/>
      <c r="K1652" s="90"/>
      <c r="L1652" s="24"/>
      <c r="M1652" s="24"/>
      <c r="N1652" s="24"/>
      <c r="O1652" s="90"/>
      <c r="P1652" s="24"/>
      <c r="Q1652" s="24"/>
      <c r="R1652" s="24"/>
      <c r="S1652" s="90"/>
      <c r="T1652" s="90"/>
      <c r="U1652" s="24"/>
      <c r="V1652" s="90"/>
      <c r="W1652" s="90"/>
      <c r="X1652" s="90"/>
      <c r="Y1652" s="24"/>
      <c r="Z1652" s="24"/>
      <c r="AA1652" s="24"/>
      <c r="AB1652" s="24"/>
      <c r="AC1652" s="24"/>
      <c r="AD1652" s="24"/>
      <c r="AE1652" s="24"/>
      <c r="AF1652" s="24"/>
      <c r="AG1652" s="24"/>
      <c r="AH1652" s="24"/>
      <c r="AI1652" s="24"/>
      <c r="AJ1652" s="24"/>
      <c r="AK1652" s="24"/>
    </row>
    <row r="1653" spans="1:37" x14ac:dyDescent="0.25">
      <c r="A1653" s="24"/>
      <c r="B1653" s="90"/>
      <c r="C1653" s="92"/>
      <c r="D1653" s="24"/>
      <c r="E1653" s="90"/>
      <c r="F1653" s="90"/>
      <c r="G1653" s="24"/>
      <c r="H1653" s="90"/>
      <c r="I1653" s="24"/>
      <c r="J1653" s="90"/>
      <c r="K1653" s="90"/>
      <c r="L1653" s="24"/>
      <c r="M1653" s="24"/>
      <c r="N1653" s="24"/>
      <c r="O1653" s="90"/>
      <c r="P1653" s="24"/>
      <c r="Q1653" s="24"/>
      <c r="R1653" s="24"/>
      <c r="S1653" s="90"/>
      <c r="T1653" s="90"/>
      <c r="U1653" s="24"/>
      <c r="V1653" s="90"/>
      <c r="W1653" s="90"/>
      <c r="X1653" s="90"/>
      <c r="Y1653" s="24"/>
      <c r="Z1653" s="24"/>
      <c r="AA1653" s="24"/>
      <c r="AB1653" s="24"/>
      <c r="AC1653" s="24"/>
      <c r="AD1653" s="24"/>
      <c r="AE1653" s="24"/>
      <c r="AF1653" s="24"/>
      <c r="AG1653" s="24"/>
      <c r="AH1653" s="24"/>
      <c r="AI1653" s="24"/>
      <c r="AJ1653" s="24"/>
      <c r="AK1653" s="24"/>
    </row>
    <row r="1654" spans="1:37" x14ac:dyDescent="0.25">
      <c r="A1654" s="24"/>
      <c r="B1654" s="90"/>
      <c r="C1654" s="92"/>
      <c r="D1654" s="24"/>
      <c r="E1654" s="90"/>
      <c r="F1654" s="90"/>
      <c r="G1654" s="24"/>
      <c r="H1654" s="90"/>
      <c r="I1654" s="24"/>
      <c r="J1654" s="90"/>
      <c r="K1654" s="90"/>
      <c r="L1654" s="24"/>
      <c r="M1654" s="24"/>
      <c r="N1654" s="24"/>
      <c r="O1654" s="90"/>
      <c r="P1654" s="24"/>
      <c r="Q1654" s="24"/>
      <c r="R1654" s="24"/>
      <c r="S1654" s="90"/>
      <c r="T1654" s="90"/>
      <c r="U1654" s="24"/>
      <c r="V1654" s="90"/>
      <c r="W1654" s="90"/>
      <c r="X1654" s="90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</row>
    <row r="1655" spans="1:37" x14ac:dyDescent="0.25">
      <c r="A1655" s="24"/>
      <c r="B1655" s="90"/>
      <c r="C1655" s="92"/>
      <c r="D1655" s="24"/>
      <c r="E1655" s="90"/>
      <c r="F1655" s="90"/>
      <c r="G1655" s="24"/>
      <c r="H1655" s="90"/>
      <c r="I1655" s="24"/>
      <c r="J1655" s="90"/>
      <c r="K1655" s="90"/>
      <c r="L1655" s="24"/>
      <c r="M1655" s="24"/>
      <c r="N1655" s="24"/>
      <c r="O1655" s="90"/>
      <c r="P1655" s="24"/>
      <c r="Q1655" s="24"/>
      <c r="R1655" s="24"/>
      <c r="S1655" s="90"/>
      <c r="T1655" s="90"/>
      <c r="U1655" s="24"/>
      <c r="V1655" s="90"/>
      <c r="W1655" s="90"/>
      <c r="X1655" s="90"/>
      <c r="Y1655" s="24"/>
      <c r="Z1655" s="24"/>
      <c r="AA1655" s="24"/>
      <c r="AB1655" s="24"/>
      <c r="AC1655" s="24"/>
      <c r="AD1655" s="24"/>
      <c r="AE1655" s="24"/>
      <c r="AF1655" s="24"/>
      <c r="AG1655" s="24"/>
      <c r="AH1655" s="24"/>
      <c r="AI1655" s="24"/>
      <c r="AJ1655" s="24"/>
      <c r="AK1655" s="24"/>
    </row>
    <row r="1656" spans="1:37" x14ac:dyDescent="0.25">
      <c r="A1656" s="24"/>
      <c r="B1656" s="90"/>
      <c r="C1656" s="92"/>
      <c r="D1656" s="24"/>
      <c r="E1656" s="90"/>
      <c r="F1656" s="90"/>
      <c r="G1656" s="24"/>
      <c r="H1656" s="90"/>
      <c r="I1656" s="24"/>
      <c r="J1656" s="90"/>
      <c r="K1656" s="90"/>
      <c r="L1656" s="24"/>
      <c r="M1656" s="24"/>
      <c r="N1656" s="24"/>
      <c r="O1656" s="90"/>
      <c r="P1656" s="24"/>
      <c r="Q1656" s="24"/>
      <c r="R1656" s="24"/>
      <c r="S1656" s="90"/>
      <c r="T1656" s="90"/>
      <c r="U1656" s="24"/>
      <c r="V1656" s="90"/>
      <c r="W1656" s="90"/>
      <c r="X1656" s="90"/>
      <c r="Y1656" s="24"/>
      <c r="Z1656" s="24"/>
      <c r="AA1656" s="24"/>
      <c r="AB1656" s="24"/>
      <c r="AC1656" s="24"/>
      <c r="AD1656" s="24"/>
      <c r="AE1656" s="24"/>
      <c r="AF1656" s="24"/>
      <c r="AG1656" s="24"/>
      <c r="AH1656" s="24"/>
      <c r="AI1656" s="24"/>
      <c r="AJ1656" s="24"/>
      <c r="AK1656" s="24"/>
    </row>
    <row r="1657" spans="1:37" x14ac:dyDescent="0.25">
      <c r="A1657" s="24"/>
      <c r="B1657" s="90"/>
      <c r="C1657" s="92"/>
      <c r="D1657" s="24"/>
      <c r="E1657" s="90"/>
      <c r="F1657" s="90"/>
      <c r="G1657" s="24"/>
      <c r="H1657" s="90"/>
      <c r="I1657" s="24"/>
      <c r="J1657" s="90"/>
      <c r="K1657" s="90"/>
      <c r="L1657" s="24"/>
      <c r="M1657" s="24"/>
      <c r="N1657" s="24"/>
      <c r="O1657" s="90"/>
      <c r="P1657" s="24"/>
      <c r="Q1657" s="24"/>
      <c r="R1657" s="24"/>
      <c r="S1657" s="90"/>
      <c r="T1657" s="90"/>
      <c r="U1657" s="24"/>
      <c r="V1657" s="90"/>
      <c r="W1657" s="90"/>
      <c r="X1657" s="90"/>
      <c r="Y1657" s="24"/>
      <c r="Z1657" s="24"/>
      <c r="AA1657" s="24"/>
      <c r="AB1657" s="24"/>
      <c r="AC1657" s="24"/>
      <c r="AD1657" s="24"/>
      <c r="AE1657" s="24"/>
      <c r="AF1657" s="24"/>
      <c r="AG1657" s="24"/>
      <c r="AH1657" s="24"/>
      <c r="AI1657" s="24"/>
      <c r="AJ1657" s="24"/>
      <c r="AK1657" s="24"/>
    </row>
    <row r="1658" spans="1:37" x14ac:dyDescent="0.25">
      <c r="A1658" s="24"/>
      <c r="B1658" s="90"/>
      <c r="C1658" s="92"/>
      <c r="D1658" s="24"/>
      <c r="E1658" s="90"/>
      <c r="F1658" s="90"/>
      <c r="G1658" s="24"/>
      <c r="H1658" s="90"/>
      <c r="I1658" s="24"/>
      <c r="J1658" s="90"/>
      <c r="K1658" s="90"/>
      <c r="L1658" s="24"/>
      <c r="M1658" s="24"/>
      <c r="N1658" s="24"/>
      <c r="O1658" s="90"/>
      <c r="P1658" s="24"/>
      <c r="Q1658" s="24"/>
      <c r="R1658" s="24"/>
      <c r="S1658" s="90"/>
      <c r="T1658" s="90"/>
      <c r="U1658" s="24"/>
      <c r="V1658" s="90"/>
      <c r="W1658" s="90"/>
      <c r="X1658" s="90"/>
      <c r="Y1658" s="24"/>
      <c r="Z1658" s="24"/>
      <c r="AA1658" s="24"/>
      <c r="AB1658" s="24"/>
      <c r="AC1658" s="24"/>
      <c r="AD1658" s="24"/>
      <c r="AE1658" s="24"/>
      <c r="AF1658" s="24"/>
      <c r="AG1658" s="24"/>
      <c r="AH1658" s="24"/>
      <c r="AI1658" s="24"/>
      <c r="AJ1658" s="24"/>
      <c r="AK1658" s="24"/>
    </row>
    <row r="1659" spans="1:37" x14ac:dyDescent="0.25">
      <c r="A1659" s="24"/>
      <c r="B1659" s="90"/>
      <c r="C1659" s="92"/>
      <c r="D1659" s="24"/>
      <c r="E1659" s="90"/>
      <c r="F1659" s="90"/>
      <c r="G1659" s="24"/>
      <c r="H1659" s="90"/>
      <c r="I1659" s="24"/>
      <c r="J1659" s="90"/>
      <c r="K1659" s="90"/>
      <c r="L1659" s="24"/>
      <c r="M1659" s="24"/>
      <c r="N1659" s="24"/>
      <c r="O1659" s="90"/>
      <c r="P1659" s="24"/>
      <c r="Q1659" s="24"/>
      <c r="R1659" s="24"/>
      <c r="S1659" s="90"/>
      <c r="T1659" s="90"/>
      <c r="U1659" s="24"/>
      <c r="V1659" s="90"/>
      <c r="W1659" s="90"/>
      <c r="X1659" s="90"/>
      <c r="Y1659" s="24"/>
      <c r="Z1659" s="24"/>
      <c r="AA1659" s="24"/>
      <c r="AB1659" s="24"/>
      <c r="AC1659" s="24"/>
      <c r="AD1659" s="24"/>
      <c r="AE1659" s="24"/>
      <c r="AF1659" s="24"/>
      <c r="AG1659" s="24"/>
      <c r="AH1659" s="24"/>
      <c r="AI1659" s="24"/>
      <c r="AJ1659" s="24"/>
      <c r="AK1659" s="24"/>
    </row>
    <row r="1660" spans="1:37" x14ac:dyDescent="0.25">
      <c r="A1660" s="24"/>
      <c r="B1660" s="90"/>
      <c r="C1660" s="92"/>
      <c r="D1660" s="24"/>
      <c r="E1660" s="90"/>
      <c r="F1660" s="90"/>
      <c r="G1660" s="24"/>
      <c r="H1660" s="90"/>
      <c r="I1660" s="24"/>
      <c r="J1660" s="90"/>
      <c r="K1660" s="90"/>
      <c r="L1660" s="24"/>
      <c r="M1660" s="24"/>
      <c r="N1660" s="24"/>
      <c r="O1660" s="90"/>
      <c r="P1660" s="24"/>
      <c r="Q1660" s="24"/>
      <c r="R1660" s="24"/>
      <c r="S1660" s="90"/>
      <c r="T1660" s="90"/>
      <c r="U1660" s="24"/>
      <c r="V1660" s="90"/>
      <c r="W1660" s="90"/>
      <c r="X1660" s="90"/>
      <c r="Y1660" s="24"/>
      <c r="Z1660" s="24"/>
      <c r="AA1660" s="24"/>
      <c r="AB1660" s="24"/>
      <c r="AC1660" s="24"/>
      <c r="AD1660" s="24"/>
      <c r="AE1660" s="24"/>
      <c r="AF1660" s="24"/>
      <c r="AG1660" s="24"/>
      <c r="AH1660" s="24"/>
      <c r="AI1660" s="24"/>
      <c r="AJ1660" s="24"/>
      <c r="AK1660" s="24"/>
    </row>
    <row r="1661" spans="1:37" x14ac:dyDescent="0.25">
      <c r="A1661" s="24"/>
      <c r="B1661" s="90"/>
      <c r="C1661" s="92"/>
      <c r="D1661" s="24"/>
      <c r="E1661" s="90"/>
      <c r="F1661" s="90"/>
      <c r="G1661" s="24"/>
      <c r="H1661" s="90"/>
      <c r="I1661" s="24"/>
      <c r="J1661" s="90"/>
      <c r="K1661" s="90"/>
      <c r="L1661" s="24"/>
      <c r="M1661" s="24"/>
      <c r="N1661" s="24"/>
      <c r="O1661" s="90"/>
      <c r="P1661" s="24"/>
      <c r="Q1661" s="24"/>
      <c r="R1661" s="24"/>
      <c r="S1661" s="90"/>
      <c r="T1661" s="90"/>
      <c r="U1661" s="24"/>
      <c r="V1661" s="90"/>
      <c r="W1661" s="90"/>
      <c r="X1661" s="90"/>
      <c r="Y1661" s="24"/>
      <c r="Z1661" s="24"/>
      <c r="AA1661" s="24"/>
      <c r="AB1661" s="24"/>
      <c r="AC1661" s="24"/>
      <c r="AD1661" s="24"/>
      <c r="AE1661" s="24"/>
      <c r="AF1661" s="24"/>
      <c r="AG1661" s="24"/>
      <c r="AH1661" s="24"/>
      <c r="AI1661" s="24"/>
      <c r="AJ1661" s="24"/>
      <c r="AK1661" s="24"/>
    </row>
    <row r="1662" spans="1:37" x14ac:dyDescent="0.25">
      <c r="A1662" s="24"/>
      <c r="B1662" s="90"/>
      <c r="C1662" s="92"/>
      <c r="D1662" s="24"/>
      <c r="E1662" s="90"/>
      <c r="F1662" s="90"/>
      <c r="G1662" s="24"/>
      <c r="H1662" s="90"/>
      <c r="I1662" s="24"/>
      <c r="J1662" s="90"/>
      <c r="K1662" s="90"/>
      <c r="L1662" s="24"/>
      <c r="M1662" s="24"/>
      <c r="N1662" s="24"/>
      <c r="O1662" s="90"/>
      <c r="P1662" s="24"/>
      <c r="Q1662" s="24"/>
      <c r="R1662" s="24"/>
      <c r="S1662" s="90"/>
      <c r="T1662" s="90"/>
      <c r="U1662" s="24"/>
      <c r="V1662" s="90"/>
      <c r="W1662" s="90"/>
      <c r="X1662" s="90"/>
      <c r="Y1662" s="24"/>
      <c r="Z1662" s="24"/>
      <c r="AA1662" s="24"/>
      <c r="AB1662" s="24"/>
      <c r="AC1662" s="24"/>
      <c r="AD1662" s="24"/>
      <c r="AE1662" s="24"/>
      <c r="AF1662" s="24"/>
      <c r="AG1662" s="24"/>
      <c r="AH1662" s="24"/>
      <c r="AI1662" s="24"/>
      <c r="AJ1662" s="24"/>
      <c r="AK1662" s="24"/>
    </row>
    <row r="1663" spans="1:37" x14ac:dyDescent="0.25">
      <c r="A1663" s="24"/>
      <c r="B1663" s="90"/>
      <c r="C1663" s="92"/>
      <c r="D1663" s="24"/>
      <c r="E1663" s="90"/>
      <c r="F1663" s="90"/>
      <c r="G1663" s="24"/>
      <c r="H1663" s="90"/>
      <c r="I1663" s="24"/>
      <c r="J1663" s="90"/>
      <c r="K1663" s="90"/>
      <c r="L1663" s="24"/>
      <c r="M1663" s="24"/>
      <c r="N1663" s="24"/>
      <c r="O1663" s="90"/>
      <c r="P1663" s="24"/>
      <c r="Q1663" s="24"/>
      <c r="R1663" s="24"/>
      <c r="S1663" s="90"/>
      <c r="T1663" s="90"/>
      <c r="U1663" s="24"/>
      <c r="V1663" s="90"/>
      <c r="W1663" s="90"/>
      <c r="X1663" s="90"/>
      <c r="Y1663" s="24"/>
      <c r="Z1663" s="24"/>
      <c r="AA1663" s="24"/>
      <c r="AB1663" s="24"/>
      <c r="AC1663" s="24"/>
      <c r="AD1663" s="24"/>
      <c r="AE1663" s="24"/>
      <c r="AF1663" s="24"/>
      <c r="AG1663" s="24"/>
      <c r="AH1663" s="24"/>
      <c r="AI1663" s="24"/>
      <c r="AJ1663" s="24"/>
      <c r="AK1663" s="24"/>
    </row>
    <row r="1664" spans="1:37" x14ac:dyDescent="0.25">
      <c r="A1664" s="24"/>
      <c r="B1664" s="90"/>
      <c r="C1664" s="92"/>
      <c r="D1664" s="24"/>
      <c r="E1664" s="90"/>
      <c r="F1664" s="90"/>
      <c r="G1664" s="24"/>
      <c r="H1664" s="90"/>
      <c r="I1664" s="24"/>
      <c r="J1664" s="90"/>
      <c r="K1664" s="90"/>
      <c r="L1664" s="24"/>
      <c r="M1664" s="24"/>
      <c r="N1664" s="24"/>
      <c r="O1664" s="90"/>
      <c r="P1664" s="24"/>
      <c r="Q1664" s="24"/>
      <c r="R1664" s="24"/>
      <c r="S1664" s="90"/>
      <c r="T1664" s="90"/>
      <c r="U1664" s="24"/>
      <c r="V1664" s="90"/>
      <c r="W1664" s="90"/>
      <c r="X1664" s="90"/>
      <c r="Y1664" s="24"/>
      <c r="Z1664" s="24"/>
      <c r="AA1664" s="24"/>
      <c r="AB1664" s="24"/>
      <c r="AC1664" s="24"/>
      <c r="AD1664" s="24"/>
      <c r="AE1664" s="24"/>
      <c r="AF1664" s="24"/>
      <c r="AG1664" s="24"/>
      <c r="AH1664" s="24"/>
      <c r="AI1664" s="24"/>
      <c r="AJ1664" s="24"/>
      <c r="AK1664" s="24"/>
    </row>
    <row r="1665" spans="1:37" x14ac:dyDescent="0.25">
      <c r="A1665" s="24"/>
      <c r="B1665" s="90"/>
      <c r="C1665" s="92"/>
      <c r="D1665" s="24"/>
      <c r="E1665" s="90"/>
      <c r="F1665" s="90"/>
      <c r="G1665" s="24"/>
      <c r="H1665" s="90"/>
      <c r="I1665" s="24"/>
      <c r="J1665" s="90"/>
      <c r="K1665" s="90"/>
      <c r="L1665" s="24"/>
      <c r="M1665" s="24"/>
      <c r="N1665" s="24"/>
      <c r="O1665" s="90"/>
      <c r="P1665" s="24"/>
      <c r="Q1665" s="24"/>
      <c r="R1665" s="24"/>
      <c r="S1665" s="90"/>
      <c r="T1665" s="90"/>
      <c r="U1665" s="24"/>
      <c r="V1665" s="90"/>
      <c r="W1665" s="90"/>
      <c r="X1665" s="90"/>
      <c r="Y1665" s="24"/>
      <c r="Z1665" s="24"/>
      <c r="AA1665" s="24"/>
      <c r="AB1665" s="24"/>
      <c r="AC1665" s="24"/>
      <c r="AD1665" s="24"/>
      <c r="AE1665" s="24"/>
      <c r="AF1665" s="24"/>
      <c r="AG1665" s="24"/>
      <c r="AH1665" s="24"/>
      <c r="AI1665" s="24"/>
      <c r="AJ1665" s="24"/>
      <c r="AK1665" s="24"/>
    </row>
    <row r="1666" spans="1:37" x14ac:dyDescent="0.25">
      <c r="A1666" s="24"/>
      <c r="B1666" s="90"/>
      <c r="C1666" s="92"/>
      <c r="D1666" s="24"/>
      <c r="E1666" s="90"/>
      <c r="F1666" s="90"/>
      <c r="G1666" s="24"/>
      <c r="H1666" s="90"/>
      <c r="I1666" s="24"/>
      <c r="J1666" s="90"/>
      <c r="K1666" s="90"/>
      <c r="L1666" s="24"/>
      <c r="M1666" s="24"/>
      <c r="N1666" s="24"/>
      <c r="O1666" s="90"/>
      <c r="P1666" s="24"/>
      <c r="Q1666" s="24"/>
      <c r="R1666" s="24"/>
      <c r="S1666" s="90"/>
      <c r="T1666" s="90"/>
      <c r="U1666" s="24"/>
      <c r="V1666" s="90"/>
      <c r="W1666" s="90"/>
      <c r="X1666" s="90"/>
      <c r="Y1666" s="24"/>
      <c r="Z1666" s="24"/>
      <c r="AA1666" s="24"/>
      <c r="AB1666" s="24"/>
      <c r="AC1666" s="24"/>
      <c r="AD1666" s="24"/>
      <c r="AE1666" s="24"/>
      <c r="AF1666" s="24"/>
      <c r="AG1666" s="24"/>
      <c r="AH1666" s="24"/>
      <c r="AI1666" s="24"/>
      <c r="AJ1666" s="24"/>
      <c r="AK1666" s="24"/>
    </row>
    <row r="1667" spans="1:37" x14ac:dyDescent="0.25">
      <c r="A1667" s="24"/>
      <c r="B1667" s="90"/>
      <c r="C1667" s="92"/>
      <c r="D1667" s="24"/>
      <c r="E1667" s="90"/>
      <c r="F1667" s="90"/>
      <c r="G1667" s="24"/>
      <c r="H1667" s="90"/>
      <c r="I1667" s="24"/>
      <c r="J1667" s="90"/>
      <c r="K1667" s="90"/>
      <c r="L1667" s="24"/>
      <c r="M1667" s="24"/>
      <c r="N1667" s="24"/>
      <c r="O1667" s="90"/>
      <c r="P1667" s="24"/>
      <c r="Q1667" s="24"/>
      <c r="R1667" s="24"/>
      <c r="S1667" s="90"/>
      <c r="T1667" s="90"/>
      <c r="U1667" s="24"/>
      <c r="V1667" s="90"/>
      <c r="W1667" s="90"/>
      <c r="X1667" s="90"/>
      <c r="Y1667" s="24"/>
      <c r="Z1667" s="24"/>
      <c r="AA1667" s="24"/>
      <c r="AB1667" s="24"/>
      <c r="AC1667" s="24"/>
      <c r="AD1667" s="24"/>
      <c r="AE1667" s="24"/>
      <c r="AF1667" s="24"/>
      <c r="AG1667" s="24"/>
      <c r="AH1667" s="24"/>
      <c r="AI1667" s="24"/>
      <c r="AJ1667" s="24"/>
      <c r="AK1667" s="24"/>
    </row>
    <row r="1668" spans="1:37" x14ac:dyDescent="0.25">
      <c r="A1668" s="24"/>
      <c r="B1668" s="90"/>
      <c r="C1668" s="92"/>
      <c r="D1668" s="24"/>
      <c r="E1668" s="90"/>
      <c r="F1668" s="90"/>
      <c r="G1668" s="24"/>
      <c r="H1668" s="90"/>
      <c r="I1668" s="24"/>
      <c r="J1668" s="90"/>
      <c r="K1668" s="90"/>
      <c r="L1668" s="24"/>
      <c r="M1668" s="24"/>
      <c r="N1668" s="24"/>
      <c r="O1668" s="90"/>
      <c r="P1668" s="24"/>
      <c r="Q1668" s="24"/>
      <c r="R1668" s="24"/>
      <c r="S1668" s="90"/>
      <c r="T1668" s="90"/>
      <c r="U1668" s="24"/>
      <c r="V1668" s="90"/>
      <c r="W1668" s="90"/>
      <c r="X1668" s="90"/>
      <c r="Y1668" s="24"/>
      <c r="Z1668" s="24"/>
      <c r="AA1668" s="24"/>
      <c r="AB1668" s="24"/>
      <c r="AC1668" s="24"/>
      <c r="AD1668" s="24"/>
      <c r="AE1668" s="24"/>
      <c r="AF1668" s="24"/>
      <c r="AG1668" s="24"/>
      <c r="AH1668" s="24"/>
      <c r="AI1668" s="24"/>
      <c r="AJ1668" s="24"/>
      <c r="AK1668" s="24"/>
    </row>
    <row r="1669" spans="1:37" x14ac:dyDescent="0.25">
      <c r="A1669" s="24"/>
      <c r="B1669" s="90"/>
      <c r="C1669" s="92"/>
      <c r="D1669" s="24"/>
      <c r="E1669" s="90"/>
      <c r="F1669" s="90"/>
      <c r="G1669" s="24"/>
      <c r="H1669" s="90"/>
      <c r="I1669" s="24"/>
      <c r="J1669" s="90"/>
      <c r="K1669" s="90"/>
      <c r="L1669" s="24"/>
      <c r="M1669" s="24"/>
      <c r="N1669" s="24"/>
      <c r="O1669" s="90"/>
      <c r="P1669" s="24"/>
      <c r="Q1669" s="24"/>
      <c r="R1669" s="24"/>
      <c r="S1669" s="90"/>
      <c r="T1669" s="90"/>
      <c r="U1669" s="24"/>
      <c r="V1669" s="90"/>
      <c r="W1669" s="90"/>
      <c r="X1669" s="90"/>
      <c r="Y1669" s="24"/>
      <c r="Z1669" s="24"/>
      <c r="AA1669" s="24"/>
      <c r="AB1669" s="24"/>
      <c r="AC1669" s="24"/>
      <c r="AD1669" s="24"/>
      <c r="AE1669" s="24"/>
      <c r="AF1669" s="24"/>
      <c r="AG1669" s="24"/>
      <c r="AH1669" s="24"/>
      <c r="AI1669" s="24"/>
      <c r="AJ1669" s="24"/>
      <c r="AK1669" s="24"/>
    </row>
    <row r="1670" spans="1:37" x14ac:dyDescent="0.25">
      <c r="A1670" s="24"/>
      <c r="B1670" s="90"/>
      <c r="C1670" s="92"/>
      <c r="D1670" s="24"/>
      <c r="E1670" s="90"/>
      <c r="F1670" s="90"/>
      <c r="G1670" s="24"/>
      <c r="H1670" s="90"/>
      <c r="I1670" s="24"/>
      <c r="J1670" s="90"/>
      <c r="K1670" s="90"/>
      <c r="L1670" s="24"/>
      <c r="M1670" s="24"/>
      <c r="N1670" s="24"/>
      <c r="O1670" s="90"/>
      <c r="P1670" s="24"/>
      <c r="Q1670" s="24"/>
      <c r="R1670" s="24"/>
      <c r="S1670" s="90"/>
      <c r="T1670" s="90"/>
      <c r="U1670" s="24"/>
      <c r="V1670" s="90"/>
      <c r="W1670" s="90"/>
      <c r="X1670" s="90"/>
      <c r="Y1670" s="24"/>
      <c r="Z1670" s="24"/>
      <c r="AA1670" s="24"/>
      <c r="AB1670" s="24"/>
      <c r="AC1670" s="24"/>
      <c r="AD1670" s="24"/>
      <c r="AE1670" s="24"/>
      <c r="AF1670" s="24"/>
      <c r="AG1670" s="24"/>
      <c r="AH1670" s="24"/>
      <c r="AI1670" s="24"/>
      <c r="AJ1670" s="24"/>
      <c r="AK1670" s="24"/>
    </row>
    <row r="1671" spans="1:37" x14ac:dyDescent="0.25">
      <c r="A1671" s="24"/>
      <c r="B1671" s="90"/>
      <c r="C1671" s="92"/>
      <c r="D1671" s="24"/>
      <c r="E1671" s="90"/>
      <c r="F1671" s="90"/>
      <c r="G1671" s="24"/>
      <c r="H1671" s="90"/>
      <c r="I1671" s="24"/>
      <c r="J1671" s="90"/>
      <c r="K1671" s="90"/>
      <c r="L1671" s="24"/>
      <c r="M1671" s="24"/>
      <c r="N1671" s="24"/>
      <c r="O1671" s="90"/>
      <c r="P1671" s="24"/>
      <c r="Q1671" s="24"/>
      <c r="R1671" s="24"/>
      <c r="S1671" s="90"/>
      <c r="T1671" s="90"/>
      <c r="U1671" s="24"/>
      <c r="V1671" s="90"/>
      <c r="W1671" s="90"/>
      <c r="X1671" s="90"/>
      <c r="Y1671" s="24"/>
      <c r="Z1671" s="24"/>
      <c r="AA1671" s="24"/>
      <c r="AB1671" s="24"/>
      <c r="AC1671" s="24"/>
      <c r="AD1671" s="24"/>
      <c r="AE1671" s="24"/>
      <c r="AF1671" s="24"/>
      <c r="AG1671" s="24"/>
      <c r="AH1671" s="24"/>
      <c r="AI1671" s="24"/>
      <c r="AJ1671" s="24"/>
      <c r="AK1671" s="24"/>
    </row>
    <row r="1672" spans="1:37" x14ac:dyDescent="0.25">
      <c r="A1672" s="24"/>
      <c r="B1672" s="90"/>
      <c r="C1672" s="92"/>
      <c r="D1672" s="24"/>
      <c r="E1672" s="90"/>
      <c r="F1672" s="90"/>
      <c r="G1672" s="24"/>
      <c r="H1672" s="90"/>
      <c r="I1672" s="24"/>
      <c r="J1672" s="90"/>
      <c r="K1672" s="90"/>
      <c r="L1672" s="24"/>
      <c r="M1672" s="24"/>
      <c r="N1672" s="24"/>
      <c r="O1672" s="90"/>
      <c r="P1672" s="24"/>
      <c r="Q1672" s="24"/>
      <c r="R1672" s="24"/>
      <c r="S1672" s="90"/>
      <c r="T1672" s="90"/>
      <c r="U1672" s="24"/>
      <c r="V1672" s="90"/>
      <c r="W1672" s="90"/>
      <c r="X1672" s="90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</row>
    <row r="1673" spans="1:37" x14ac:dyDescent="0.25">
      <c r="A1673" s="24"/>
      <c r="B1673" s="90"/>
      <c r="C1673" s="92"/>
      <c r="D1673" s="24"/>
      <c r="E1673" s="90"/>
      <c r="F1673" s="90"/>
      <c r="G1673" s="24"/>
      <c r="H1673" s="90"/>
      <c r="I1673" s="24"/>
      <c r="J1673" s="90"/>
      <c r="K1673" s="90"/>
      <c r="L1673" s="24"/>
      <c r="M1673" s="24"/>
      <c r="N1673" s="24"/>
      <c r="O1673" s="90"/>
      <c r="P1673" s="24"/>
      <c r="Q1673" s="24"/>
      <c r="R1673" s="24"/>
      <c r="S1673" s="90"/>
      <c r="T1673" s="90"/>
      <c r="U1673" s="24"/>
      <c r="V1673" s="90"/>
      <c r="W1673" s="90"/>
      <c r="X1673" s="90"/>
      <c r="Y1673" s="24"/>
      <c r="Z1673" s="24"/>
      <c r="AA1673" s="24"/>
      <c r="AB1673" s="24"/>
      <c r="AC1673" s="24"/>
      <c r="AD1673" s="24"/>
      <c r="AE1673" s="24"/>
      <c r="AF1673" s="24"/>
      <c r="AG1673" s="24"/>
      <c r="AH1673" s="24"/>
      <c r="AI1673" s="24"/>
      <c r="AJ1673" s="24"/>
      <c r="AK1673" s="24"/>
    </row>
    <row r="1674" spans="1:37" x14ac:dyDescent="0.25">
      <c r="A1674" s="24"/>
      <c r="B1674" s="90"/>
      <c r="C1674" s="92"/>
      <c r="D1674" s="24"/>
      <c r="E1674" s="90"/>
      <c r="F1674" s="90"/>
      <c r="G1674" s="24"/>
      <c r="H1674" s="90"/>
      <c r="I1674" s="24"/>
      <c r="J1674" s="90"/>
      <c r="K1674" s="90"/>
      <c r="L1674" s="24"/>
      <c r="M1674" s="24"/>
      <c r="N1674" s="24"/>
      <c r="O1674" s="90"/>
      <c r="P1674" s="24"/>
      <c r="Q1674" s="24"/>
      <c r="R1674" s="24"/>
      <c r="S1674" s="90"/>
      <c r="T1674" s="90"/>
      <c r="U1674" s="24"/>
      <c r="V1674" s="90"/>
      <c r="W1674" s="90"/>
      <c r="X1674" s="90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</row>
    <row r="1675" spans="1:37" x14ac:dyDescent="0.25">
      <c r="A1675" s="24"/>
      <c r="B1675" s="90"/>
      <c r="C1675" s="92"/>
      <c r="D1675" s="24"/>
      <c r="E1675" s="90"/>
      <c r="F1675" s="90"/>
      <c r="G1675" s="24"/>
      <c r="H1675" s="90"/>
      <c r="I1675" s="24"/>
      <c r="J1675" s="90"/>
      <c r="K1675" s="90"/>
      <c r="L1675" s="24"/>
      <c r="M1675" s="24"/>
      <c r="N1675" s="24"/>
      <c r="O1675" s="90"/>
      <c r="P1675" s="24"/>
      <c r="Q1675" s="24"/>
      <c r="R1675" s="24"/>
      <c r="S1675" s="90"/>
      <c r="T1675" s="90"/>
      <c r="U1675" s="24"/>
      <c r="V1675" s="90"/>
      <c r="W1675" s="90"/>
      <c r="X1675" s="90"/>
      <c r="Y1675" s="24"/>
      <c r="Z1675" s="24"/>
      <c r="AA1675" s="24"/>
      <c r="AB1675" s="24"/>
      <c r="AC1675" s="24"/>
      <c r="AD1675" s="24"/>
      <c r="AE1675" s="24"/>
      <c r="AF1675" s="24"/>
      <c r="AG1675" s="24"/>
      <c r="AH1675" s="24"/>
      <c r="AI1675" s="24"/>
      <c r="AJ1675" s="24"/>
      <c r="AK1675" s="24"/>
    </row>
    <row r="1676" spans="1:37" x14ac:dyDescent="0.25">
      <c r="A1676" s="24"/>
      <c r="B1676" s="90"/>
      <c r="C1676" s="92"/>
      <c r="D1676" s="24"/>
      <c r="E1676" s="90"/>
      <c r="F1676" s="90"/>
      <c r="G1676" s="24"/>
      <c r="H1676" s="90"/>
      <c r="I1676" s="24"/>
      <c r="J1676" s="90"/>
      <c r="K1676" s="90"/>
      <c r="L1676" s="24"/>
      <c r="M1676" s="24"/>
      <c r="N1676" s="24"/>
      <c r="O1676" s="90"/>
      <c r="P1676" s="24"/>
      <c r="Q1676" s="24"/>
      <c r="R1676" s="24"/>
      <c r="S1676" s="90"/>
      <c r="T1676" s="90"/>
      <c r="U1676" s="24"/>
      <c r="V1676" s="90"/>
      <c r="W1676" s="90"/>
      <c r="X1676" s="90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</row>
    <row r="1677" spans="1:37" x14ac:dyDescent="0.25">
      <c r="A1677" s="24"/>
      <c r="B1677" s="90"/>
      <c r="C1677" s="92"/>
      <c r="D1677" s="24"/>
      <c r="E1677" s="90"/>
      <c r="F1677" s="90"/>
      <c r="G1677" s="24"/>
      <c r="H1677" s="90"/>
      <c r="I1677" s="24"/>
      <c r="J1677" s="90"/>
      <c r="K1677" s="90"/>
      <c r="L1677" s="24"/>
      <c r="M1677" s="24"/>
      <c r="N1677" s="24"/>
      <c r="O1677" s="90"/>
      <c r="P1677" s="24"/>
      <c r="Q1677" s="24"/>
      <c r="R1677" s="24"/>
      <c r="S1677" s="90"/>
      <c r="T1677" s="90"/>
      <c r="U1677" s="24"/>
      <c r="V1677" s="90"/>
      <c r="W1677" s="90"/>
      <c r="X1677" s="90"/>
      <c r="Y1677" s="24"/>
      <c r="Z1677" s="24"/>
      <c r="AA1677" s="24"/>
      <c r="AB1677" s="24"/>
      <c r="AC1677" s="24"/>
      <c r="AD1677" s="24"/>
      <c r="AE1677" s="24"/>
      <c r="AF1677" s="24"/>
      <c r="AG1677" s="24"/>
      <c r="AH1677" s="24"/>
      <c r="AI1677" s="24"/>
      <c r="AJ1677" s="24"/>
      <c r="AK1677" s="24"/>
    </row>
    <row r="1678" spans="1:37" x14ac:dyDescent="0.25">
      <c r="A1678" s="24"/>
      <c r="B1678" s="90"/>
      <c r="C1678" s="92"/>
      <c r="D1678" s="24"/>
      <c r="E1678" s="90"/>
      <c r="F1678" s="90"/>
      <c r="G1678" s="24"/>
      <c r="H1678" s="90"/>
      <c r="I1678" s="24"/>
      <c r="J1678" s="90"/>
      <c r="K1678" s="90"/>
      <c r="L1678" s="24"/>
      <c r="M1678" s="24"/>
      <c r="N1678" s="24"/>
      <c r="O1678" s="90"/>
      <c r="P1678" s="24"/>
      <c r="Q1678" s="24"/>
      <c r="R1678" s="24"/>
      <c r="S1678" s="90"/>
      <c r="T1678" s="90"/>
      <c r="U1678" s="24"/>
      <c r="V1678" s="90"/>
      <c r="W1678" s="90"/>
      <c r="X1678" s="90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</row>
    <row r="1679" spans="1:37" x14ac:dyDescent="0.25">
      <c r="A1679" s="24"/>
      <c r="B1679" s="90"/>
      <c r="C1679" s="92"/>
      <c r="D1679" s="24"/>
      <c r="E1679" s="90"/>
      <c r="F1679" s="90"/>
      <c r="G1679" s="24"/>
      <c r="H1679" s="90"/>
      <c r="I1679" s="24"/>
      <c r="J1679" s="90"/>
      <c r="K1679" s="90"/>
      <c r="L1679" s="24"/>
      <c r="M1679" s="24"/>
      <c r="N1679" s="24"/>
      <c r="O1679" s="90"/>
      <c r="P1679" s="24"/>
      <c r="Q1679" s="24"/>
      <c r="R1679" s="24"/>
      <c r="S1679" s="90"/>
      <c r="T1679" s="90"/>
      <c r="U1679" s="24"/>
      <c r="V1679" s="90"/>
      <c r="W1679" s="90"/>
      <c r="X1679" s="90"/>
      <c r="Y1679" s="24"/>
      <c r="Z1679" s="24"/>
      <c r="AA1679" s="24"/>
      <c r="AB1679" s="24"/>
      <c r="AC1679" s="24"/>
      <c r="AD1679" s="24"/>
      <c r="AE1679" s="24"/>
      <c r="AF1679" s="24"/>
      <c r="AG1679" s="24"/>
      <c r="AH1679" s="24"/>
      <c r="AI1679" s="24"/>
      <c r="AJ1679" s="24"/>
      <c r="AK1679" s="24"/>
    </row>
    <row r="1680" spans="1:37" x14ac:dyDescent="0.25">
      <c r="A1680" s="24"/>
      <c r="B1680" s="90"/>
      <c r="C1680" s="92"/>
      <c r="D1680" s="24"/>
      <c r="E1680" s="90"/>
      <c r="F1680" s="90"/>
      <c r="G1680" s="24"/>
      <c r="H1680" s="90"/>
      <c r="I1680" s="24"/>
      <c r="J1680" s="90"/>
      <c r="K1680" s="90"/>
      <c r="L1680" s="24"/>
      <c r="M1680" s="24"/>
      <c r="N1680" s="24"/>
      <c r="O1680" s="90"/>
      <c r="P1680" s="24"/>
      <c r="Q1680" s="24"/>
      <c r="R1680" s="24"/>
      <c r="S1680" s="90"/>
      <c r="T1680" s="90"/>
      <c r="U1680" s="24"/>
      <c r="V1680" s="90"/>
      <c r="W1680" s="90"/>
      <c r="X1680" s="90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</row>
    <row r="1681" spans="1:37" x14ac:dyDescent="0.25">
      <c r="A1681" s="24"/>
      <c r="B1681" s="90"/>
      <c r="C1681" s="92"/>
      <c r="D1681" s="24"/>
      <c r="E1681" s="90"/>
      <c r="F1681" s="90"/>
      <c r="G1681" s="24"/>
      <c r="H1681" s="90"/>
      <c r="I1681" s="24"/>
      <c r="J1681" s="90"/>
      <c r="K1681" s="90"/>
      <c r="L1681" s="24"/>
      <c r="M1681" s="24"/>
      <c r="N1681" s="24"/>
      <c r="O1681" s="90"/>
      <c r="P1681" s="24"/>
      <c r="Q1681" s="24"/>
      <c r="R1681" s="24"/>
      <c r="S1681" s="90"/>
      <c r="T1681" s="90"/>
      <c r="U1681" s="24"/>
      <c r="V1681" s="90"/>
      <c r="W1681" s="90"/>
      <c r="X1681" s="90"/>
      <c r="Y1681" s="24"/>
      <c r="Z1681" s="24"/>
      <c r="AA1681" s="24"/>
      <c r="AB1681" s="24"/>
      <c r="AC1681" s="24"/>
      <c r="AD1681" s="24"/>
      <c r="AE1681" s="24"/>
      <c r="AF1681" s="24"/>
      <c r="AG1681" s="24"/>
      <c r="AH1681" s="24"/>
      <c r="AI1681" s="24"/>
      <c r="AJ1681" s="24"/>
      <c r="AK1681" s="24"/>
    </row>
    <row r="1682" spans="1:37" x14ac:dyDescent="0.25">
      <c r="A1682" s="24"/>
      <c r="B1682" s="90"/>
      <c r="C1682" s="92"/>
      <c r="D1682" s="24"/>
      <c r="E1682" s="90"/>
      <c r="F1682" s="90"/>
      <c r="G1682" s="24"/>
      <c r="H1682" s="90"/>
      <c r="I1682" s="24"/>
      <c r="J1682" s="90"/>
      <c r="K1682" s="90"/>
      <c r="L1682" s="24"/>
      <c r="M1682" s="24"/>
      <c r="N1682" s="24"/>
      <c r="O1682" s="90"/>
      <c r="P1682" s="24"/>
      <c r="Q1682" s="24"/>
      <c r="R1682" s="24"/>
      <c r="S1682" s="90"/>
      <c r="T1682" s="90"/>
      <c r="U1682" s="24"/>
      <c r="V1682" s="90"/>
      <c r="W1682" s="90"/>
      <c r="X1682" s="90"/>
      <c r="Y1682" s="24"/>
      <c r="Z1682" s="24"/>
      <c r="AA1682" s="24"/>
      <c r="AB1682" s="24"/>
      <c r="AC1682" s="24"/>
      <c r="AD1682" s="24"/>
      <c r="AE1682" s="24"/>
      <c r="AF1682" s="24"/>
      <c r="AG1682" s="24"/>
      <c r="AH1682" s="24"/>
      <c r="AI1682" s="24"/>
      <c r="AJ1682" s="24"/>
      <c r="AK1682" s="24"/>
    </row>
    <row r="1683" spans="1:37" x14ac:dyDescent="0.25">
      <c r="A1683" s="24"/>
      <c r="B1683" s="90"/>
      <c r="C1683" s="92"/>
      <c r="D1683" s="24"/>
      <c r="E1683" s="90"/>
      <c r="F1683" s="90"/>
      <c r="G1683" s="24"/>
      <c r="H1683" s="90"/>
      <c r="I1683" s="24"/>
      <c r="J1683" s="90"/>
      <c r="K1683" s="90"/>
      <c r="L1683" s="24"/>
      <c r="M1683" s="24"/>
      <c r="N1683" s="24"/>
      <c r="O1683" s="90"/>
      <c r="P1683" s="24"/>
      <c r="Q1683" s="24"/>
      <c r="R1683" s="24"/>
      <c r="S1683" s="90"/>
      <c r="T1683" s="90"/>
      <c r="U1683" s="24"/>
      <c r="V1683" s="90"/>
      <c r="W1683" s="90"/>
      <c r="X1683" s="90"/>
      <c r="Y1683" s="24"/>
      <c r="Z1683" s="24"/>
      <c r="AA1683" s="24"/>
      <c r="AB1683" s="24"/>
      <c r="AC1683" s="24"/>
      <c r="AD1683" s="24"/>
      <c r="AE1683" s="24"/>
      <c r="AF1683" s="24"/>
      <c r="AG1683" s="24"/>
      <c r="AH1683" s="24"/>
      <c r="AI1683" s="24"/>
      <c r="AJ1683" s="24"/>
      <c r="AK1683" s="24"/>
    </row>
    <row r="1684" spans="1:37" x14ac:dyDescent="0.25">
      <c r="A1684" s="24"/>
      <c r="B1684" s="90"/>
      <c r="C1684" s="92"/>
      <c r="D1684" s="24"/>
      <c r="E1684" s="90"/>
      <c r="F1684" s="90"/>
      <c r="G1684" s="24"/>
      <c r="H1684" s="90"/>
      <c r="I1684" s="24"/>
      <c r="J1684" s="90"/>
      <c r="K1684" s="90"/>
      <c r="L1684" s="24"/>
      <c r="M1684" s="24"/>
      <c r="N1684" s="24"/>
      <c r="O1684" s="90"/>
      <c r="P1684" s="24"/>
      <c r="Q1684" s="24"/>
      <c r="R1684" s="24"/>
      <c r="S1684" s="90"/>
      <c r="T1684" s="90"/>
      <c r="U1684" s="24"/>
      <c r="V1684" s="90"/>
      <c r="W1684" s="90"/>
      <c r="X1684" s="90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</row>
    <row r="1685" spans="1:37" x14ac:dyDescent="0.25">
      <c r="A1685" s="24"/>
      <c r="B1685" s="90"/>
      <c r="C1685" s="92"/>
      <c r="D1685" s="24"/>
      <c r="E1685" s="90"/>
      <c r="F1685" s="90"/>
      <c r="G1685" s="24"/>
      <c r="H1685" s="90"/>
      <c r="I1685" s="24"/>
      <c r="J1685" s="90"/>
      <c r="K1685" s="90"/>
      <c r="L1685" s="24"/>
      <c r="M1685" s="24"/>
      <c r="N1685" s="24"/>
      <c r="O1685" s="90"/>
      <c r="P1685" s="24"/>
      <c r="Q1685" s="24"/>
      <c r="R1685" s="24"/>
      <c r="S1685" s="90"/>
      <c r="T1685" s="90"/>
      <c r="U1685" s="24"/>
      <c r="V1685" s="90"/>
      <c r="W1685" s="90"/>
      <c r="X1685" s="90"/>
      <c r="Y1685" s="24"/>
      <c r="Z1685" s="24"/>
      <c r="AA1685" s="24"/>
      <c r="AB1685" s="24"/>
      <c r="AC1685" s="24"/>
      <c r="AD1685" s="24"/>
      <c r="AE1685" s="24"/>
      <c r="AF1685" s="24"/>
      <c r="AG1685" s="24"/>
      <c r="AH1685" s="24"/>
      <c r="AI1685" s="24"/>
      <c r="AJ1685" s="24"/>
      <c r="AK1685" s="24"/>
    </row>
    <row r="1686" spans="1:37" x14ac:dyDescent="0.25">
      <c r="A1686" s="24"/>
      <c r="B1686" s="90"/>
      <c r="C1686" s="92"/>
      <c r="D1686" s="24"/>
      <c r="E1686" s="90"/>
      <c r="F1686" s="90"/>
      <c r="G1686" s="24"/>
      <c r="H1686" s="90"/>
      <c r="I1686" s="24"/>
      <c r="J1686" s="90"/>
      <c r="K1686" s="90"/>
      <c r="L1686" s="24"/>
      <c r="M1686" s="24"/>
      <c r="N1686" s="24"/>
      <c r="O1686" s="90"/>
      <c r="P1686" s="24"/>
      <c r="Q1686" s="24"/>
      <c r="R1686" s="24"/>
      <c r="S1686" s="90"/>
      <c r="T1686" s="90"/>
      <c r="U1686" s="24"/>
      <c r="V1686" s="90"/>
      <c r="W1686" s="90"/>
      <c r="X1686" s="90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</row>
    <row r="1687" spans="1:37" x14ac:dyDescent="0.25">
      <c r="A1687" s="24"/>
      <c r="B1687" s="90"/>
      <c r="C1687" s="92"/>
      <c r="D1687" s="24"/>
      <c r="E1687" s="90"/>
      <c r="F1687" s="90"/>
      <c r="G1687" s="24"/>
      <c r="H1687" s="90"/>
      <c r="I1687" s="24"/>
      <c r="J1687" s="90"/>
      <c r="K1687" s="90"/>
      <c r="L1687" s="24"/>
      <c r="M1687" s="24"/>
      <c r="N1687" s="24"/>
      <c r="O1687" s="90"/>
      <c r="P1687" s="24"/>
      <c r="Q1687" s="24"/>
      <c r="R1687" s="24"/>
      <c r="S1687" s="90"/>
      <c r="T1687" s="90"/>
      <c r="U1687" s="24"/>
      <c r="V1687" s="90"/>
      <c r="W1687" s="90"/>
      <c r="X1687" s="90"/>
      <c r="Y1687" s="24"/>
      <c r="Z1687" s="24"/>
      <c r="AA1687" s="24"/>
      <c r="AB1687" s="24"/>
      <c r="AC1687" s="24"/>
      <c r="AD1687" s="24"/>
      <c r="AE1687" s="24"/>
      <c r="AF1687" s="24"/>
      <c r="AG1687" s="24"/>
      <c r="AH1687" s="24"/>
      <c r="AI1687" s="24"/>
      <c r="AJ1687" s="24"/>
      <c r="AK1687" s="24"/>
    </row>
    <row r="1688" spans="1:37" x14ac:dyDescent="0.25">
      <c r="A1688" s="24"/>
      <c r="B1688" s="90"/>
      <c r="C1688" s="92"/>
      <c r="D1688" s="24"/>
      <c r="E1688" s="90"/>
      <c r="F1688" s="90"/>
      <c r="G1688" s="24"/>
      <c r="H1688" s="90"/>
      <c r="I1688" s="24"/>
      <c r="J1688" s="90"/>
      <c r="K1688" s="90"/>
      <c r="L1688" s="24"/>
      <c r="M1688" s="24"/>
      <c r="N1688" s="24"/>
      <c r="O1688" s="90"/>
      <c r="P1688" s="24"/>
      <c r="Q1688" s="24"/>
      <c r="R1688" s="24"/>
      <c r="S1688" s="90"/>
      <c r="T1688" s="90"/>
      <c r="U1688" s="24"/>
      <c r="V1688" s="90"/>
      <c r="W1688" s="90"/>
      <c r="X1688" s="90"/>
      <c r="Y1688" s="24"/>
      <c r="Z1688" s="24"/>
      <c r="AA1688" s="24"/>
      <c r="AB1688" s="24"/>
      <c r="AC1688" s="24"/>
      <c r="AD1688" s="24"/>
      <c r="AE1688" s="24"/>
      <c r="AF1688" s="24"/>
      <c r="AG1688" s="24"/>
      <c r="AH1688" s="24"/>
      <c r="AI1688" s="24"/>
      <c r="AJ1688" s="24"/>
      <c r="AK1688" s="24"/>
    </row>
    <row r="1689" spans="1:37" x14ac:dyDescent="0.25">
      <c r="A1689" s="24"/>
      <c r="B1689" s="90"/>
      <c r="C1689" s="92"/>
      <c r="D1689" s="24"/>
      <c r="E1689" s="90"/>
      <c r="F1689" s="90"/>
      <c r="G1689" s="24"/>
      <c r="H1689" s="90"/>
      <c r="I1689" s="24"/>
      <c r="J1689" s="90"/>
      <c r="K1689" s="90"/>
      <c r="L1689" s="24"/>
      <c r="M1689" s="24"/>
      <c r="N1689" s="24"/>
      <c r="O1689" s="90"/>
      <c r="P1689" s="24"/>
      <c r="Q1689" s="24"/>
      <c r="R1689" s="24"/>
      <c r="S1689" s="90"/>
      <c r="T1689" s="90"/>
      <c r="U1689" s="24"/>
      <c r="V1689" s="90"/>
      <c r="W1689" s="90"/>
      <c r="X1689" s="90"/>
      <c r="Y1689" s="24"/>
      <c r="Z1689" s="24"/>
      <c r="AA1689" s="24"/>
      <c r="AB1689" s="24"/>
      <c r="AC1689" s="24"/>
      <c r="AD1689" s="24"/>
      <c r="AE1689" s="24"/>
      <c r="AF1689" s="24"/>
      <c r="AG1689" s="24"/>
      <c r="AH1689" s="24"/>
      <c r="AI1689" s="24"/>
      <c r="AJ1689" s="24"/>
      <c r="AK1689" s="24"/>
    </row>
    <row r="1690" spans="1:37" x14ac:dyDescent="0.25">
      <c r="A1690" s="24"/>
      <c r="B1690" s="90"/>
      <c r="C1690" s="92"/>
      <c r="D1690" s="24"/>
      <c r="E1690" s="90"/>
      <c r="F1690" s="90"/>
      <c r="G1690" s="24"/>
      <c r="H1690" s="90"/>
      <c r="I1690" s="24"/>
      <c r="J1690" s="90"/>
      <c r="K1690" s="90"/>
      <c r="L1690" s="24"/>
      <c r="M1690" s="24"/>
      <c r="N1690" s="24"/>
      <c r="O1690" s="90"/>
      <c r="P1690" s="24"/>
      <c r="Q1690" s="24"/>
      <c r="R1690" s="24"/>
      <c r="S1690" s="90"/>
      <c r="T1690" s="90"/>
      <c r="U1690" s="24"/>
      <c r="V1690" s="90"/>
      <c r="W1690" s="90"/>
      <c r="X1690" s="90"/>
      <c r="Y1690" s="24"/>
      <c r="Z1690" s="24"/>
      <c r="AA1690" s="24"/>
      <c r="AB1690" s="24"/>
      <c r="AC1690" s="24"/>
      <c r="AD1690" s="24"/>
      <c r="AE1690" s="24"/>
      <c r="AF1690" s="24"/>
      <c r="AG1690" s="24"/>
      <c r="AH1690" s="24"/>
      <c r="AI1690" s="24"/>
      <c r="AJ1690" s="24"/>
      <c r="AK1690" s="24"/>
    </row>
    <row r="1691" spans="1:37" x14ac:dyDescent="0.25">
      <c r="A1691" s="24"/>
      <c r="B1691" s="90"/>
      <c r="C1691" s="92"/>
      <c r="D1691" s="24"/>
      <c r="E1691" s="90"/>
      <c r="F1691" s="90"/>
      <c r="G1691" s="24"/>
      <c r="H1691" s="90"/>
      <c r="I1691" s="24"/>
      <c r="J1691" s="90"/>
      <c r="K1691" s="90"/>
      <c r="L1691" s="24"/>
      <c r="M1691" s="24"/>
      <c r="N1691" s="24"/>
      <c r="O1691" s="90"/>
      <c r="P1691" s="24"/>
      <c r="Q1691" s="24"/>
      <c r="R1691" s="24"/>
      <c r="S1691" s="90"/>
      <c r="T1691" s="90"/>
      <c r="U1691" s="24"/>
      <c r="V1691" s="90"/>
      <c r="W1691" s="90"/>
      <c r="X1691" s="90"/>
      <c r="Y1691" s="24"/>
      <c r="Z1691" s="24"/>
      <c r="AA1691" s="24"/>
      <c r="AB1691" s="24"/>
      <c r="AC1691" s="24"/>
      <c r="AD1691" s="24"/>
      <c r="AE1691" s="24"/>
      <c r="AF1691" s="24"/>
      <c r="AG1691" s="24"/>
      <c r="AH1691" s="24"/>
      <c r="AI1691" s="24"/>
      <c r="AJ1691" s="24"/>
      <c r="AK1691" s="24"/>
    </row>
    <row r="1692" spans="1:37" x14ac:dyDescent="0.25">
      <c r="A1692" s="24"/>
      <c r="B1692" s="90"/>
      <c r="C1692" s="92"/>
      <c r="D1692" s="24"/>
      <c r="E1692" s="90"/>
      <c r="F1692" s="90"/>
      <c r="G1692" s="24"/>
      <c r="H1692" s="90"/>
      <c r="I1692" s="24"/>
      <c r="J1692" s="90"/>
      <c r="K1692" s="90"/>
      <c r="L1692" s="24"/>
      <c r="M1692" s="24"/>
      <c r="N1692" s="24"/>
      <c r="O1692" s="90"/>
      <c r="P1692" s="24"/>
      <c r="Q1692" s="24"/>
      <c r="R1692" s="24"/>
      <c r="S1692" s="90"/>
      <c r="T1692" s="90"/>
      <c r="U1692" s="24"/>
      <c r="V1692" s="90"/>
      <c r="W1692" s="90"/>
      <c r="X1692" s="90"/>
      <c r="Y1692" s="24"/>
      <c r="Z1692" s="24"/>
      <c r="AA1692" s="24"/>
      <c r="AB1692" s="24"/>
      <c r="AC1692" s="24"/>
      <c r="AD1692" s="24"/>
      <c r="AE1692" s="24"/>
      <c r="AF1692" s="24"/>
      <c r="AG1692" s="24"/>
      <c r="AH1692" s="24"/>
      <c r="AI1692" s="24"/>
      <c r="AJ1692" s="24"/>
      <c r="AK1692" s="24"/>
    </row>
    <row r="1693" spans="1:37" x14ac:dyDescent="0.25">
      <c r="A1693" s="24"/>
      <c r="B1693" s="90"/>
      <c r="C1693" s="92"/>
      <c r="D1693" s="24"/>
      <c r="E1693" s="90"/>
      <c r="F1693" s="90"/>
      <c r="G1693" s="24"/>
      <c r="H1693" s="90"/>
      <c r="I1693" s="24"/>
      <c r="J1693" s="90"/>
      <c r="K1693" s="90"/>
      <c r="L1693" s="24"/>
      <c r="M1693" s="24"/>
      <c r="N1693" s="24"/>
      <c r="O1693" s="90"/>
      <c r="P1693" s="24"/>
      <c r="Q1693" s="24"/>
      <c r="R1693" s="24"/>
      <c r="S1693" s="90"/>
      <c r="T1693" s="90"/>
      <c r="U1693" s="24"/>
      <c r="V1693" s="90"/>
      <c r="W1693" s="90"/>
      <c r="X1693" s="90"/>
      <c r="Y1693" s="24"/>
      <c r="Z1693" s="24"/>
      <c r="AA1693" s="24"/>
      <c r="AB1693" s="24"/>
      <c r="AC1693" s="24"/>
      <c r="AD1693" s="24"/>
      <c r="AE1693" s="24"/>
      <c r="AF1693" s="24"/>
      <c r="AG1693" s="24"/>
      <c r="AH1693" s="24"/>
      <c r="AI1693" s="24"/>
      <c r="AJ1693" s="24"/>
      <c r="AK1693" s="24"/>
    </row>
    <row r="1694" spans="1:37" x14ac:dyDescent="0.25">
      <c r="A1694" s="24"/>
      <c r="B1694" s="90"/>
      <c r="C1694" s="92"/>
      <c r="D1694" s="24"/>
      <c r="E1694" s="90"/>
      <c r="F1694" s="90"/>
      <c r="G1694" s="24"/>
      <c r="H1694" s="90"/>
      <c r="I1694" s="24"/>
      <c r="J1694" s="90"/>
      <c r="K1694" s="90"/>
      <c r="L1694" s="24"/>
      <c r="M1694" s="24"/>
      <c r="N1694" s="24"/>
      <c r="O1694" s="90"/>
      <c r="P1694" s="24"/>
      <c r="Q1694" s="24"/>
      <c r="R1694" s="24"/>
      <c r="S1694" s="90"/>
      <c r="T1694" s="90"/>
      <c r="U1694" s="24"/>
      <c r="V1694" s="90"/>
      <c r="W1694" s="90"/>
      <c r="X1694" s="90"/>
      <c r="Y1694" s="24"/>
      <c r="Z1694" s="24"/>
      <c r="AA1694" s="24"/>
      <c r="AB1694" s="24"/>
      <c r="AC1694" s="24"/>
      <c r="AD1694" s="24"/>
      <c r="AE1694" s="24"/>
      <c r="AF1694" s="24"/>
      <c r="AG1694" s="24"/>
      <c r="AH1694" s="24"/>
      <c r="AI1694" s="24"/>
      <c r="AJ1694" s="24"/>
      <c r="AK1694" s="24"/>
    </row>
    <row r="1695" spans="1:37" x14ac:dyDescent="0.25">
      <c r="A1695" s="24"/>
      <c r="B1695" s="90"/>
      <c r="C1695" s="92"/>
      <c r="D1695" s="24"/>
      <c r="E1695" s="90"/>
      <c r="F1695" s="90"/>
      <c r="G1695" s="24"/>
      <c r="H1695" s="90"/>
      <c r="I1695" s="24"/>
      <c r="J1695" s="90"/>
      <c r="K1695" s="90"/>
      <c r="L1695" s="24"/>
      <c r="M1695" s="24"/>
      <c r="N1695" s="24"/>
      <c r="O1695" s="90"/>
      <c r="P1695" s="24"/>
      <c r="Q1695" s="24"/>
      <c r="R1695" s="24"/>
      <c r="S1695" s="90"/>
      <c r="T1695" s="90"/>
      <c r="U1695" s="24"/>
      <c r="V1695" s="90"/>
      <c r="W1695" s="90"/>
      <c r="X1695" s="90"/>
      <c r="Y1695" s="24"/>
      <c r="Z1695" s="24"/>
      <c r="AA1695" s="24"/>
      <c r="AB1695" s="24"/>
      <c r="AC1695" s="24"/>
      <c r="AD1695" s="24"/>
      <c r="AE1695" s="24"/>
      <c r="AF1695" s="24"/>
      <c r="AG1695" s="24"/>
      <c r="AH1695" s="24"/>
      <c r="AI1695" s="24"/>
      <c r="AJ1695" s="24"/>
      <c r="AK1695" s="24"/>
    </row>
    <row r="1696" spans="1:37" x14ac:dyDescent="0.25">
      <c r="A1696" s="24"/>
      <c r="B1696" s="90"/>
      <c r="C1696" s="92"/>
      <c r="D1696" s="24"/>
      <c r="E1696" s="90"/>
      <c r="F1696" s="90"/>
      <c r="G1696" s="24"/>
      <c r="H1696" s="90"/>
      <c r="I1696" s="24"/>
      <c r="J1696" s="90"/>
      <c r="K1696" s="90"/>
      <c r="L1696" s="24"/>
      <c r="M1696" s="24"/>
      <c r="N1696" s="24"/>
      <c r="O1696" s="90"/>
      <c r="P1696" s="24"/>
      <c r="Q1696" s="24"/>
      <c r="R1696" s="24"/>
      <c r="S1696" s="90"/>
      <c r="T1696" s="90"/>
      <c r="U1696" s="24"/>
      <c r="V1696" s="90"/>
      <c r="W1696" s="90"/>
      <c r="X1696" s="90"/>
      <c r="Y1696" s="24"/>
      <c r="Z1696" s="24"/>
      <c r="AA1696" s="24"/>
      <c r="AB1696" s="24"/>
      <c r="AC1696" s="24"/>
      <c r="AD1696" s="24"/>
      <c r="AE1696" s="24"/>
      <c r="AF1696" s="24"/>
      <c r="AG1696" s="24"/>
      <c r="AH1696" s="24"/>
      <c r="AI1696" s="24"/>
      <c r="AJ1696" s="24"/>
      <c r="AK1696" s="24"/>
    </row>
  </sheetData>
  <sheetProtection algorithmName="SHA-512" hashValue="fcCXda8D9obz9r2sUm+3PxbCGO+VQCs5DBjEhic6NqC2qR6zG2KKbYUHe63mT0RLXUc/Z/pqTnK9P4ESJ1/w8w==" saltValue="XhV/fiDyeE7f5o13RMfpGA==" spinCount="100000" sheet="1" objects="1" scenarios="1" selectLockedCells="1"/>
  <mergeCells count="63">
    <mergeCell ref="A63:W63"/>
    <mergeCell ref="A68:W68"/>
    <mergeCell ref="A81:W81"/>
    <mergeCell ref="A430:W430"/>
    <mergeCell ref="A413:O413"/>
    <mergeCell ref="A305:O305"/>
    <mergeCell ref="G306:H306"/>
    <mergeCell ref="A392:O392"/>
    <mergeCell ref="G393:H393"/>
    <mergeCell ref="K393:L393"/>
    <mergeCell ref="A398:O398"/>
    <mergeCell ref="A236:W236"/>
    <mergeCell ref="A379:O379"/>
    <mergeCell ref="G380:H380"/>
    <mergeCell ref="K380:L380"/>
    <mergeCell ref="H475:I475"/>
    <mergeCell ref="K475:N475"/>
    <mergeCell ref="Z520:AB520"/>
    <mergeCell ref="A16:W16"/>
    <mergeCell ref="A23:W23"/>
    <mergeCell ref="A28:W28"/>
    <mergeCell ref="A436:W436"/>
    <mergeCell ref="A279:O279"/>
    <mergeCell ref="G280:H280"/>
    <mergeCell ref="K280:L280"/>
    <mergeCell ref="A35:W35"/>
    <mergeCell ref="K306:L306"/>
    <mergeCell ref="A372:O372"/>
    <mergeCell ref="G373:H373"/>
    <mergeCell ref="K373:L373"/>
    <mergeCell ref="A44:W44"/>
    <mergeCell ref="A6:W6"/>
    <mergeCell ref="O475:R475"/>
    <mergeCell ref="T475:U475"/>
    <mergeCell ref="A474:W474"/>
    <mergeCell ref="F499:G499"/>
    <mergeCell ref="H499:I499"/>
    <mergeCell ref="K499:N499"/>
    <mergeCell ref="O499:R499"/>
    <mergeCell ref="T499:U499"/>
    <mergeCell ref="A498:W498"/>
    <mergeCell ref="A290:O290"/>
    <mergeCell ref="G291:H291"/>
    <mergeCell ref="K291:L291"/>
    <mergeCell ref="A459:W459"/>
    <mergeCell ref="A467:W467"/>
    <mergeCell ref="A425:O425"/>
    <mergeCell ref="A1:W1"/>
    <mergeCell ref="F514:G514"/>
    <mergeCell ref="H514:I514"/>
    <mergeCell ref="K514:N514"/>
    <mergeCell ref="O514:R514"/>
    <mergeCell ref="T514:U514"/>
    <mergeCell ref="A513:W513"/>
    <mergeCell ref="F505:G505"/>
    <mergeCell ref="H505:I505"/>
    <mergeCell ref="K505:N505"/>
    <mergeCell ref="O505:R505"/>
    <mergeCell ref="T505:U505"/>
    <mergeCell ref="A504:W504"/>
    <mergeCell ref="F475:G475"/>
    <mergeCell ref="A453:W453"/>
    <mergeCell ref="A418:O41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GZ855"/>
  <sheetViews>
    <sheetView zoomScale="60" zoomScaleNormal="60" workbookViewId="0">
      <selection activeCell="F23" sqref="F23"/>
    </sheetView>
  </sheetViews>
  <sheetFormatPr defaultRowHeight="15" x14ac:dyDescent="0.25"/>
  <cols>
    <col min="1" max="1" width="67.5703125" style="1" bestFit="1" customWidth="1"/>
    <col min="2" max="2" width="22.5703125" style="1" bestFit="1" customWidth="1"/>
    <col min="3" max="3" width="29.85546875" style="1" bestFit="1" customWidth="1"/>
    <col min="4" max="4" width="27.28515625" style="1" bestFit="1" customWidth="1"/>
    <col min="5" max="5" width="20" style="1" bestFit="1" customWidth="1"/>
    <col min="6" max="6" width="25" style="1" bestFit="1" customWidth="1"/>
    <col min="7" max="7" width="31.140625" style="1" bestFit="1" customWidth="1"/>
    <col min="8" max="8" width="28.5703125" style="1" bestFit="1" customWidth="1"/>
    <col min="9" max="9" width="80.7109375" style="1" bestFit="1" customWidth="1"/>
    <col min="10" max="10" width="25.5703125" style="1" bestFit="1" customWidth="1"/>
    <col min="11" max="11" width="32.7109375" style="1" bestFit="1" customWidth="1"/>
    <col min="12" max="12" width="30.28515625" style="1" bestFit="1" customWidth="1"/>
    <col min="13" max="13" width="31.140625" style="1" bestFit="1" customWidth="1"/>
    <col min="14" max="14" width="29.85546875" style="1" bestFit="1" customWidth="1"/>
    <col min="15" max="15" width="41.5703125" style="1" bestFit="1" customWidth="1"/>
    <col min="16" max="16" width="32.5703125" style="1" bestFit="1" customWidth="1"/>
    <col min="17" max="17" width="30.28515625" style="1" bestFit="1" customWidth="1"/>
    <col min="18" max="18" width="31.140625" style="1" bestFit="1" customWidth="1"/>
    <col min="19" max="19" width="29.85546875" style="1" bestFit="1" customWidth="1"/>
    <col min="20" max="20" width="25.28515625" style="1" bestFit="1" customWidth="1"/>
    <col min="21" max="21" width="37.140625" style="1" bestFit="1" customWidth="1"/>
    <col min="22" max="22" width="30.140625" style="1" bestFit="1" customWidth="1"/>
    <col min="23" max="23" width="31" style="1" bestFit="1" customWidth="1"/>
    <col min="24" max="24" width="29.7109375" style="1" bestFit="1" customWidth="1"/>
    <col min="25" max="25" width="24.28515625" style="1" bestFit="1" customWidth="1"/>
    <col min="26" max="26" width="27.7109375" style="1" bestFit="1" customWidth="1"/>
    <col min="27" max="27" width="53" style="1" bestFit="1" customWidth="1"/>
    <col min="28" max="28" width="19.140625" style="1" bestFit="1" customWidth="1"/>
    <col min="29" max="29" width="20.42578125" style="1" bestFit="1" customWidth="1"/>
    <col min="30" max="31" width="22.140625" style="1" bestFit="1" customWidth="1"/>
    <col min="32" max="32" width="22" style="1" bestFit="1" customWidth="1"/>
    <col min="33" max="33" width="48.85546875" style="1" bestFit="1" customWidth="1"/>
    <col min="34" max="34" width="14.42578125" style="1" bestFit="1" customWidth="1"/>
    <col min="35" max="35" width="13" style="1" bestFit="1" customWidth="1"/>
    <col min="36" max="36" width="19.140625" style="1" bestFit="1" customWidth="1"/>
    <col min="37" max="37" width="20.42578125" style="1" bestFit="1" customWidth="1"/>
    <col min="38" max="38" width="22.140625" style="1" bestFit="1" customWidth="1"/>
    <col min="39" max="39" width="55" style="1" bestFit="1" customWidth="1"/>
    <col min="40" max="40" width="22" style="1" bestFit="1" customWidth="1"/>
    <col min="41" max="41" width="18" style="1" bestFit="1" customWidth="1"/>
    <col min="42" max="42" width="17.85546875" style="1" bestFit="1" customWidth="1"/>
    <col min="43" max="43" width="15.85546875" style="1" bestFit="1" customWidth="1"/>
    <col min="44" max="44" width="13" style="1" bestFit="1" customWidth="1"/>
    <col min="45" max="45" width="67" style="1" bestFit="1" customWidth="1"/>
    <col min="46" max="46" width="29.85546875" style="1" bestFit="1" customWidth="1"/>
    <col min="47" max="47" width="27.28515625" style="1" bestFit="1" customWidth="1"/>
    <col min="48" max="48" width="20" style="1" bestFit="1" customWidth="1"/>
    <col min="49" max="49" width="23.85546875" style="1" bestFit="1" customWidth="1"/>
    <col min="50" max="50" width="31.140625" style="1" bestFit="1" customWidth="1"/>
    <col min="51" max="51" width="28.5703125" style="1" bestFit="1" customWidth="1"/>
    <col min="52" max="52" width="43.85546875" style="1" bestFit="1" customWidth="1"/>
    <col min="53" max="53" width="25.5703125" style="1" bestFit="1" customWidth="1"/>
    <col min="54" max="54" width="32.7109375" style="1" bestFit="1" customWidth="1"/>
    <col min="55" max="55" width="30.28515625" style="1" bestFit="1" customWidth="1"/>
    <col min="56" max="56" width="31.140625" style="1" bestFit="1" customWidth="1"/>
    <col min="57" max="57" width="29.85546875" style="1" bestFit="1" customWidth="1"/>
    <col min="58" max="58" width="25.5703125" style="1" bestFit="1" customWidth="1"/>
    <col min="59" max="59" width="32.5703125" style="1" bestFit="1" customWidth="1"/>
    <col min="60" max="60" width="30.28515625" style="1" bestFit="1" customWidth="1"/>
    <col min="61" max="61" width="31.140625" style="1" bestFit="1" customWidth="1"/>
    <col min="62" max="62" width="29.85546875" style="1" bestFit="1" customWidth="1"/>
    <col min="63" max="63" width="25.28515625" style="1" bestFit="1" customWidth="1"/>
    <col min="64" max="64" width="32.42578125" style="1" bestFit="1" customWidth="1"/>
    <col min="65" max="65" width="30.140625" style="1" bestFit="1" customWidth="1"/>
    <col min="66" max="66" width="31" style="1" bestFit="1" customWidth="1"/>
    <col min="67" max="67" width="29.7109375" style="1" bestFit="1" customWidth="1"/>
    <col min="68" max="68" width="23" style="1" bestFit="1" customWidth="1"/>
    <col min="69" max="69" width="27.7109375" style="1" bestFit="1" customWidth="1"/>
    <col min="70" max="70" width="28.42578125" style="1" bestFit="1" customWidth="1"/>
    <col min="71" max="71" width="19.140625" style="1" bestFit="1" customWidth="1"/>
    <col min="72" max="72" width="20.42578125" style="1" bestFit="1" customWidth="1"/>
    <col min="73" max="73" width="24.28515625" style="1" bestFit="1" customWidth="1"/>
    <col min="74" max="74" width="22.140625" style="1" bestFit="1" customWidth="1"/>
    <col min="75" max="75" width="22" style="1" bestFit="1" customWidth="1"/>
    <col min="76" max="76" width="17.85546875" style="1" bestFit="1" customWidth="1"/>
    <col min="77" max="77" width="14.42578125" style="1" bestFit="1" customWidth="1"/>
    <col min="78" max="78" width="15.28515625" style="1" bestFit="1" customWidth="1"/>
    <col min="79" max="79" width="19.140625" style="1" bestFit="1" customWidth="1"/>
    <col min="80" max="80" width="20.42578125" style="1" bestFit="1" customWidth="1"/>
    <col min="81" max="82" width="22.140625" style="1" bestFit="1" customWidth="1"/>
    <col min="83" max="83" width="22" style="1" bestFit="1" customWidth="1"/>
    <col min="84" max="84" width="17.85546875" style="1" bestFit="1" customWidth="1"/>
    <col min="85" max="85" width="15" style="1" bestFit="1" customWidth="1"/>
    <col min="86" max="86" width="4.5703125" style="1" bestFit="1" customWidth="1"/>
    <col min="87" max="87" width="27.28515625" style="1" bestFit="1" customWidth="1"/>
    <col min="88" max="88" width="22.5703125" style="1" bestFit="1" customWidth="1"/>
    <col min="89" max="89" width="29.85546875" style="1" bestFit="1" customWidth="1"/>
    <col min="90" max="90" width="27.28515625" style="1" bestFit="1" customWidth="1"/>
    <col min="91" max="91" width="20" style="1" bestFit="1" customWidth="1"/>
    <col min="92" max="92" width="23.85546875" style="1" bestFit="1" customWidth="1"/>
    <col min="93" max="93" width="31.140625" style="1" bestFit="1" customWidth="1"/>
    <col min="94" max="94" width="28.5703125" style="1" bestFit="1" customWidth="1"/>
    <col min="95" max="95" width="22.7109375" style="1" bestFit="1" customWidth="1"/>
    <col min="96" max="96" width="25.5703125" style="1" bestFit="1" customWidth="1"/>
    <col min="97" max="97" width="32.7109375" style="1" bestFit="1" customWidth="1"/>
    <col min="98" max="98" width="30.28515625" style="1" bestFit="1" customWidth="1"/>
    <col min="99" max="99" width="31.140625" style="1" bestFit="1" customWidth="1"/>
    <col min="100" max="100" width="29.85546875" style="1" bestFit="1" customWidth="1"/>
    <col min="101" max="101" width="25.5703125" style="1" bestFit="1" customWidth="1"/>
    <col min="102" max="102" width="32.5703125" style="1" bestFit="1" customWidth="1"/>
    <col min="103" max="103" width="30.28515625" style="1" bestFit="1" customWidth="1"/>
    <col min="104" max="104" width="31.140625" style="1" bestFit="1" customWidth="1"/>
    <col min="105" max="105" width="29.85546875" style="1" bestFit="1" customWidth="1"/>
    <col min="106" max="106" width="25.28515625" style="1" bestFit="1" customWidth="1"/>
    <col min="107" max="107" width="32.42578125" style="1" bestFit="1" customWidth="1"/>
    <col min="108" max="108" width="30.140625" style="1" bestFit="1" customWidth="1"/>
    <col min="109" max="109" width="31" style="1" bestFit="1" customWidth="1"/>
    <col min="110" max="110" width="29.7109375" style="1" bestFit="1" customWidth="1"/>
    <col min="111" max="111" width="23" style="1" bestFit="1" customWidth="1"/>
    <col min="112" max="112" width="27.7109375" style="1" bestFit="1" customWidth="1"/>
    <col min="113" max="113" width="13" style="1" bestFit="1" customWidth="1"/>
    <col min="114" max="114" width="19.140625" style="1" bestFit="1" customWidth="1"/>
    <col min="115" max="115" width="20.42578125" style="1" bestFit="1" customWidth="1"/>
    <col min="116" max="117" width="22.140625" style="1" bestFit="1" customWidth="1"/>
    <col min="118" max="118" width="22" style="1" bestFit="1" customWidth="1"/>
    <col min="119" max="119" width="17.85546875" style="1" bestFit="1" customWidth="1"/>
    <col min="120" max="120" width="14.42578125" style="1" bestFit="1" customWidth="1"/>
    <col min="121" max="121" width="25.7109375" style="1" bestFit="1" customWidth="1"/>
    <col min="122" max="122" width="19.140625" style="1" bestFit="1" customWidth="1"/>
    <col min="123" max="123" width="20.42578125" style="1" bestFit="1" customWidth="1"/>
    <col min="124" max="125" width="22.140625" style="1" bestFit="1" customWidth="1"/>
    <col min="126" max="126" width="22" style="1" bestFit="1" customWidth="1"/>
    <col min="127" max="127" width="17.85546875" style="1" bestFit="1" customWidth="1"/>
    <col min="128" max="128" width="16.42578125" style="1" bestFit="1" customWidth="1"/>
    <col min="129" max="129" width="31" style="1" bestFit="1" customWidth="1"/>
    <col min="130" max="130" width="28" style="1" bestFit="1" customWidth="1"/>
    <col min="131" max="131" width="22.5703125" style="1" bestFit="1" customWidth="1"/>
    <col min="132" max="132" width="29.85546875" style="1" bestFit="1" customWidth="1"/>
    <col min="133" max="133" width="27.28515625" style="1" bestFit="1" customWidth="1"/>
    <col min="134" max="134" width="20" style="1" bestFit="1" customWidth="1"/>
    <col min="135" max="135" width="23.85546875" style="1" bestFit="1" customWidth="1"/>
    <col min="136" max="136" width="31.140625" style="1" bestFit="1" customWidth="1"/>
    <col min="137" max="137" width="28.5703125" style="1" bestFit="1" customWidth="1"/>
    <col min="138" max="138" width="22.7109375" style="1" bestFit="1" customWidth="1"/>
    <col min="139" max="139" width="25.5703125" style="1" bestFit="1" customWidth="1"/>
    <col min="140" max="140" width="32.7109375" style="1" bestFit="1" customWidth="1"/>
    <col min="141" max="141" width="30.28515625" style="1" bestFit="1" customWidth="1"/>
    <col min="142" max="142" width="31.140625" style="1" bestFit="1" customWidth="1"/>
    <col min="143" max="143" width="29.85546875" style="1" bestFit="1" customWidth="1"/>
    <col min="144" max="144" width="25.5703125" style="1" bestFit="1" customWidth="1"/>
    <col min="145" max="145" width="32.5703125" style="1" bestFit="1" customWidth="1"/>
    <col min="146" max="146" width="30.28515625" style="1" bestFit="1" customWidth="1"/>
    <col min="147" max="147" width="31.140625" style="1" bestFit="1" customWidth="1"/>
    <col min="148" max="148" width="29.85546875" style="1" bestFit="1" customWidth="1"/>
    <col min="149" max="149" width="25.28515625" style="1" bestFit="1" customWidth="1"/>
    <col min="150" max="150" width="32.42578125" style="1" bestFit="1" customWidth="1"/>
    <col min="151" max="151" width="30.140625" style="1" bestFit="1" customWidth="1"/>
    <col min="152" max="152" width="31" style="1" bestFit="1" customWidth="1"/>
    <col min="153" max="153" width="29.7109375" style="1" bestFit="1" customWidth="1"/>
    <col min="154" max="154" width="23" style="1" bestFit="1" customWidth="1"/>
    <col min="155" max="155" width="27.7109375" style="1" bestFit="1" customWidth="1"/>
    <col min="156" max="156" width="9.140625" style="1"/>
    <col min="157" max="157" width="19.140625" style="1" bestFit="1" customWidth="1"/>
    <col min="158" max="158" width="20.42578125" style="1" bestFit="1" customWidth="1"/>
    <col min="159" max="160" width="22.140625" style="1" bestFit="1" customWidth="1"/>
    <col min="161" max="161" width="22" style="1" bestFit="1" customWidth="1"/>
    <col min="162" max="162" width="17.85546875" style="1" bestFit="1" customWidth="1"/>
    <col min="163" max="163" width="14.42578125" style="1" bestFit="1" customWidth="1"/>
    <col min="164" max="164" width="9.140625" style="1"/>
    <col min="165" max="165" width="19.140625" style="1" bestFit="1" customWidth="1"/>
    <col min="166" max="166" width="20.42578125" style="1" bestFit="1" customWidth="1"/>
    <col min="167" max="168" width="22.140625" style="1" bestFit="1" customWidth="1"/>
    <col min="169" max="169" width="22" style="1" bestFit="1" customWidth="1"/>
    <col min="170" max="170" width="17.85546875" style="1" bestFit="1" customWidth="1"/>
    <col min="171" max="171" width="14.42578125" style="1" bestFit="1" customWidth="1"/>
    <col min="172" max="172" width="9.140625" style="1"/>
    <col min="173" max="173" width="13.28515625" style="1" bestFit="1" customWidth="1"/>
    <col min="174" max="174" width="6" style="1" bestFit="1" customWidth="1"/>
    <col min="175" max="175" width="9.140625" style="1"/>
    <col min="176" max="176" width="13" style="1" bestFit="1" customWidth="1"/>
    <col min="177" max="177" width="14.42578125" style="1" bestFit="1" customWidth="1"/>
    <col min="178" max="179" width="11.7109375" style="1" bestFit="1" customWidth="1"/>
    <col min="180" max="180" width="9.140625" style="1"/>
    <col min="181" max="181" width="4.5703125" style="1" bestFit="1" customWidth="1"/>
    <col min="182" max="183" width="13" style="1" bestFit="1" customWidth="1"/>
    <col min="184" max="184" width="9.140625" style="1"/>
    <col min="185" max="185" width="4.5703125" style="1" bestFit="1" customWidth="1"/>
    <col min="186" max="187" width="13" style="1" bestFit="1" customWidth="1"/>
    <col min="188" max="188" width="9.140625" style="1"/>
    <col min="189" max="189" width="6.28515625" style="1" bestFit="1" customWidth="1"/>
    <col min="190" max="190" width="13.140625" style="1" bestFit="1" customWidth="1"/>
    <col min="191" max="191" width="14.85546875" style="1" bestFit="1" customWidth="1"/>
    <col min="192" max="192" width="9.140625" style="1"/>
    <col min="193" max="193" width="4.5703125" style="1" bestFit="1" customWidth="1"/>
    <col min="194" max="194" width="7.85546875" style="1" bestFit="1" customWidth="1"/>
    <col min="195" max="195" width="8" style="1" bestFit="1" customWidth="1"/>
    <col min="196" max="196" width="12" style="1" bestFit="1" customWidth="1"/>
    <col min="197" max="197" width="9.140625" style="1"/>
    <col min="198" max="198" width="6.28515625" style="1" bestFit="1" customWidth="1"/>
    <col min="199" max="199" width="13.140625" style="1" bestFit="1" customWidth="1"/>
    <col min="200" max="200" width="15.42578125" style="1" bestFit="1" customWidth="1"/>
    <col min="201" max="201" width="9.140625" style="1"/>
    <col min="202" max="202" width="22.42578125" style="1" customWidth="1"/>
    <col min="203" max="203" width="13.28515625" style="1" bestFit="1" customWidth="1"/>
    <col min="204" max="204" width="29.42578125" style="1" customWidth="1"/>
    <col min="205" max="205" width="9.140625" style="1"/>
    <col min="206" max="206" width="15.85546875" style="1" customWidth="1"/>
    <col min="207" max="207" width="22.28515625" style="1" customWidth="1"/>
    <col min="208" max="208" width="26.28515625" style="1" customWidth="1"/>
    <col min="209" max="16384" width="9.140625" style="1"/>
  </cols>
  <sheetData>
    <row r="1" spans="1:66" x14ac:dyDescent="0.25">
      <c r="A1" s="245" t="s">
        <v>727</v>
      </c>
      <c r="B1" s="248" t="s">
        <v>1085</v>
      </c>
      <c r="C1" s="249"/>
      <c r="BA1" s="587" t="s">
        <v>348</v>
      </c>
      <c r="BB1" s="587"/>
      <c r="BC1" s="587"/>
      <c r="BD1" s="587"/>
      <c r="BE1" s="587"/>
      <c r="BF1" s="587"/>
      <c r="BH1" s="374" t="s">
        <v>349</v>
      </c>
      <c r="BI1" s="374"/>
      <c r="BJ1" s="374"/>
      <c r="BK1" s="338"/>
      <c r="BL1" s="338" t="s">
        <v>1031</v>
      </c>
      <c r="BN1" s="1" t="s">
        <v>1083</v>
      </c>
    </row>
    <row r="2" spans="1:66" x14ac:dyDescent="0.25">
      <c r="A2" s="243" t="s">
        <v>44</v>
      </c>
      <c r="B2" s="250">
        <f>$L$77</f>
        <v>19.599999999999998</v>
      </c>
      <c r="C2" s="251"/>
      <c r="AX2" s="235"/>
      <c r="AY2" s="235" t="s">
        <v>347</v>
      </c>
      <c r="AZ2" s="235"/>
      <c r="BA2" s="235" t="s">
        <v>61</v>
      </c>
      <c r="BB2" s="235" t="s">
        <v>87</v>
      </c>
      <c r="BC2" s="235" t="s">
        <v>42</v>
      </c>
      <c r="BD2" s="235"/>
      <c r="BE2" s="235" t="s">
        <v>820</v>
      </c>
      <c r="BF2" s="235" t="s">
        <v>11</v>
      </c>
      <c r="BG2" s="235"/>
      <c r="BH2" s="235" t="s">
        <v>61</v>
      </c>
      <c r="BI2" s="235" t="s">
        <v>87</v>
      </c>
      <c r="BJ2" s="235" t="s">
        <v>42</v>
      </c>
      <c r="BK2" s="235"/>
      <c r="BL2" s="3" t="s">
        <v>42</v>
      </c>
    </row>
    <row r="3" spans="1:66" x14ac:dyDescent="0.25">
      <c r="A3" s="243" t="s">
        <v>85</v>
      </c>
      <c r="B3" s="250">
        <f>$B$2/Cohort</f>
        <v>1.9599999999999999E-2</v>
      </c>
      <c r="C3" s="251"/>
      <c r="AS3" s="236" t="s">
        <v>353</v>
      </c>
      <c r="AT3" s="237"/>
      <c r="AU3" s="237"/>
      <c r="AV3" s="237"/>
      <c r="AW3" s="237"/>
      <c r="AX3" s="3"/>
      <c r="BL3" s="237"/>
      <c r="BM3" s="237"/>
      <c r="BN3" s="237"/>
    </row>
    <row r="4" spans="1:66" x14ac:dyDescent="0.25">
      <c r="A4" s="243" t="s">
        <v>711</v>
      </c>
      <c r="B4" s="252">
        <f>$BC$547/Cohort</f>
        <v>3100.13193585609</v>
      </c>
      <c r="C4" s="253"/>
      <c r="D4" s="342"/>
      <c r="AS4" s="238" t="s">
        <v>344</v>
      </c>
      <c r="AT4" s="1">
        <f>DET_MORT_ectopic</f>
        <v>1.440317699999998E-4</v>
      </c>
      <c r="AU4" s="1" t="s">
        <v>345</v>
      </c>
      <c r="AV4" s="1">
        <f>AT4*R7</f>
        <v>3.9115041130249794E-5</v>
      </c>
      <c r="AW4" s="1" t="s">
        <v>346</v>
      </c>
      <c r="AX4" s="1">
        <f>AT4*T7</f>
        <v>3.9115041130249794E-5</v>
      </c>
      <c r="AY4" s="1">
        <v>1</v>
      </c>
      <c r="BA4" s="1">
        <f>det_cost_comparator*AV4</f>
        <v>0</v>
      </c>
      <c r="BB4" s="1">
        <f>$AV4*(VLOOKUP($AY4,'Pregnancy costs and utilities'!$A$23:$H$158,3))</f>
        <v>9.0740031125818688E-2</v>
      </c>
      <c r="BC4" s="1">
        <f>SUM(BA4:BB4)</f>
        <v>9.0740031125818688E-2</v>
      </c>
      <c r="BE4" s="1">
        <f>$AV4*(VLOOKUP($AY4,'Pregnancy costs and utilities'!$A$23:$I$158,9))</f>
        <v>0</v>
      </c>
      <c r="BF4" s="1">
        <f>$AV4*(VLOOKUP($AY4,'Pregnancy costs and utilities'!$A$23:$H$158,7))</f>
        <v>0</v>
      </c>
      <c r="BH4" s="1">
        <f>$BA4</f>
        <v>0</v>
      </c>
      <c r="BI4" s="1">
        <f>$AX4*(VLOOKUP($AY4,'Pregnancy costs and utilities'!$A$23:$H$158,5))</f>
        <v>0</v>
      </c>
      <c r="BJ4" s="1">
        <f>SUM(BH4:BI4)</f>
        <v>0</v>
      </c>
      <c r="BL4" s="1">
        <f>BC4+BI4</f>
        <v>9.0740031125818688E-2</v>
      </c>
      <c r="BN4" s="1" t="str">
        <f>IF(AV4=AX4,"Okay",IF(AV4&gt;AX4,"Lost infant","Gained infant"))</f>
        <v>Okay</v>
      </c>
    </row>
    <row r="5" spans="1:66" x14ac:dyDescent="0.25">
      <c r="A5" s="243" t="s">
        <v>834</v>
      </c>
      <c r="B5" s="250">
        <f>$BE$547/Cohort</f>
        <v>0.70802049829044333</v>
      </c>
      <c r="C5" s="336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8"/>
    </row>
    <row r="6" spans="1:66" x14ac:dyDescent="0.25">
      <c r="A6" s="243" t="s">
        <v>712</v>
      </c>
      <c r="B6" s="250">
        <f>$BF$547/Cohort</f>
        <v>0.68422261850605848</v>
      </c>
      <c r="C6" s="251"/>
      <c r="O6" s="236" t="s">
        <v>387</v>
      </c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238"/>
    </row>
    <row r="7" spans="1:66" x14ac:dyDescent="0.25">
      <c r="A7" s="243" t="s">
        <v>713</v>
      </c>
      <c r="B7" s="250">
        <f>R7+R279</f>
        <v>24.281996505817094</v>
      </c>
      <c r="C7" s="251"/>
      <c r="O7" s="238" t="s">
        <v>344</v>
      </c>
      <c r="P7" s="1">
        <f>DET_NS_ectopic</f>
        <v>1.3855730328025947E-2</v>
      </c>
      <c r="Q7" s="1" t="s">
        <v>345</v>
      </c>
      <c r="R7" s="1">
        <f>P7*L77</f>
        <v>0.27157231442930851</v>
      </c>
      <c r="S7" s="1" t="s">
        <v>346</v>
      </c>
      <c r="T7" s="1">
        <f>P7*N77</f>
        <v>0.27157231442930851</v>
      </c>
      <c r="AS7" s="238" t="s">
        <v>344</v>
      </c>
      <c r="AT7" s="1">
        <f>1-AT4</f>
        <v>0.99985596823</v>
      </c>
      <c r="AU7" s="1" t="s">
        <v>345</v>
      </c>
      <c r="AV7" s="1">
        <f>AT7*R7</f>
        <v>0.27153319938817827</v>
      </c>
      <c r="AW7" s="1" t="s">
        <v>346</v>
      </c>
      <c r="AX7" s="1">
        <f>AT7*T7</f>
        <v>0.27153319938817827</v>
      </c>
      <c r="AY7" s="1">
        <f>AY4+1</f>
        <v>2</v>
      </c>
      <c r="BA7" s="1">
        <f>det_cost_comparator*AV7</f>
        <v>0</v>
      </c>
      <c r="BB7" s="1">
        <f>$AV7*(VLOOKUP($AY7,'Pregnancy costs and utilities'!$A$23:$H$158,3))</f>
        <v>187.04418657455506</v>
      </c>
      <c r="BC7" s="1">
        <f>SUM(BA7:BB7)</f>
        <v>187.04418657455506</v>
      </c>
      <c r="BE7" s="1">
        <f>$AV7*(VLOOKUP($AY7,'Pregnancy costs and utilities'!$A$23:$I$158,9))</f>
        <v>5.2217922959265056E-2</v>
      </c>
      <c r="BF7" s="1">
        <f>$AV7*(VLOOKUP($AY7,'Pregnancy costs and utilities'!$A$23:$H$158,7))</f>
        <v>4.5795118435275457E-2</v>
      </c>
      <c r="BH7" s="1">
        <f>$BA7</f>
        <v>0</v>
      </c>
      <c r="BI7" s="1">
        <f>$AX7*(VLOOKUP($AY7,'Pregnancy costs and utilities'!$A$23:$H$158,5))</f>
        <v>0</v>
      </c>
      <c r="BJ7" s="1">
        <f>SUM(BH7:BI7)</f>
        <v>0</v>
      </c>
      <c r="BL7" s="1">
        <f>BC7+BI7</f>
        <v>187.04418657455506</v>
      </c>
      <c r="BN7" s="1" t="str">
        <f>IF(AV7=AX7,"Okay",IF(AV7&gt;AX7,"Lost infant","Gained infant"))</f>
        <v>Okay</v>
      </c>
    </row>
    <row r="8" spans="1:66" x14ac:dyDescent="0.25">
      <c r="A8" s="243" t="s">
        <v>714</v>
      </c>
      <c r="B8" s="250">
        <f>R15+R287</f>
        <v>73.846514973861645</v>
      </c>
      <c r="C8" s="251"/>
      <c r="O8" s="238"/>
      <c r="AS8" s="240" t="s">
        <v>354</v>
      </c>
      <c r="AT8" s="235"/>
      <c r="AU8" s="235"/>
      <c r="AV8" s="235"/>
      <c r="AW8" s="235"/>
      <c r="AX8" s="235"/>
      <c r="AY8" s="235"/>
      <c r="AZ8" s="235"/>
      <c r="BA8" s="235"/>
      <c r="BB8" s="235"/>
      <c r="BC8" s="235"/>
      <c r="BD8" s="235"/>
      <c r="BE8" s="235"/>
      <c r="BF8" s="235"/>
      <c r="BG8" s="235"/>
      <c r="BH8" s="235"/>
      <c r="BI8" s="235"/>
      <c r="BJ8" s="235"/>
      <c r="BK8" s="235"/>
      <c r="BL8" s="235"/>
      <c r="BM8" s="235"/>
      <c r="BN8" s="235"/>
    </row>
    <row r="9" spans="1:66" x14ac:dyDescent="0.25">
      <c r="A9" s="243" t="s">
        <v>715</v>
      </c>
      <c r="B9" s="250">
        <f>X50+X323</f>
        <v>5.2334773669555004</v>
      </c>
      <c r="C9" s="251"/>
      <c r="O9" s="238"/>
      <c r="AX9" s="237"/>
      <c r="AY9" s="237"/>
      <c r="AZ9" s="237"/>
      <c r="BA9" s="237"/>
      <c r="BB9" s="237"/>
      <c r="BC9" s="237"/>
      <c r="BD9" s="237"/>
      <c r="BE9" s="237"/>
      <c r="BF9" s="237"/>
      <c r="BG9" s="237"/>
      <c r="BH9" s="237"/>
      <c r="BI9" s="237"/>
    </row>
    <row r="10" spans="1:66" x14ac:dyDescent="0.25">
      <c r="A10" s="243" t="s">
        <v>716</v>
      </c>
      <c r="B10" s="250">
        <f>X114+X387</f>
        <v>8.6020215235976618</v>
      </c>
      <c r="C10" s="251"/>
      <c r="O10" s="238"/>
      <c r="AX10" s="235"/>
      <c r="AY10" s="235"/>
      <c r="AZ10" s="235"/>
      <c r="BA10" s="235"/>
      <c r="BB10" s="235"/>
      <c r="BC10" s="235"/>
      <c r="BD10" s="235"/>
      <c r="BE10" s="235"/>
      <c r="BF10" s="235"/>
      <c r="BG10" s="235"/>
      <c r="BH10" s="235"/>
      <c r="BI10" s="235"/>
      <c r="BJ10" s="3"/>
      <c r="BK10" s="3"/>
      <c r="BL10" s="3"/>
    </row>
    <row r="11" spans="1:66" x14ac:dyDescent="0.25">
      <c r="A11" s="243" t="s">
        <v>717</v>
      </c>
      <c r="B11" s="250">
        <f>X179+X451</f>
        <v>9.7111634104263711</v>
      </c>
      <c r="C11" s="251"/>
      <c r="O11" s="238"/>
      <c r="AS11" s="236" t="s">
        <v>355</v>
      </c>
      <c r="AT11" s="237"/>
      <c r="AU11" s="237"/>
      <c r="AV11" s="237"/>
      <c r="AW11" s="237"/>
      <c r="AX11" s="3"/>
      <c r="BJ11" s="237"/>
      <c r="BK11" s="237"/>
      <c r="BL11" s="237"/>
      <c r="BM11" s="237"/>
      <c r="BN11" s="237"/>
    </row>
    <row r="12" spans="1:66" x14ac:dyDescent="0.25">
      <c r="A12" s="243" t="s">
        <v>718</v>
      </c>
      <c r="B12" s="250">
        <f>B7+B8+B9+B10+B11</f>
        <v>121.67517378065826</v>
      </c>
      <c r="C12" s="251"/>
      <c r="O12" s="238"/>
      <c r="AS12" s="238" t="s">
        <v>344</v>
      </c>
      <c r="AT12" s="1">
        <f>DET_MORT_miscarriage</f>
        <v>9.4658919999998391E-6</v>
      </c>
      <c r="AU12" s="1" t="s">
        <v>345</v>
      </c>
      <c r="AV12" s="1">
        <f>AT12*R15</f>
        <v>1.0606124945230594E-5</v>
      </c>
      <c r="AW12" s="1" t="s">
        <v>346</v>
      </c>
      <c r="AX12" s="1">
        <f>AT12*T15</f>
        <v>1.0606124945230594E-5</v>
      </c>
      <c r="AY12" s="1">
        <f>AY7+1</f>
        <v>3</v>
      </c>
      <c r="BA12" s="1">
        <f>det_cost_comparator*AV12</f>
        <v>0</v>
      </c>
      <c r="BB12" s="1">
        <f>$AV12*(VLOOKUP($AY12,'Pregnancy costs and utilities'!$A$23:$H$158,3))</f>
        <v>2.4604348604666804E-2</v>
      </c>
      <c r="BC12" s="1">
        <f>SUM(BA12:BB12)</f>
        <v>2.4604348604666804E-2</v>
      </c>
      <c r="BE12" s="1">
        <f>$AV12*(VLOOKUP($AY12,'Pregnancy costs and utilities'!$A$23:$I$158,9))</f>
        <v>0</v>
      </c>
      <c r="BF12" s="1">
        <f>$AV12*(VLOOKUP($AY12,'Pregnancy costs and utilities'!$A$23:$H$158,7))</f>
        <v>0</v>
      </c>
      <c r="BH12" s="1">
        <f>$BA12</f>
        <v>0</v>
      </c>
      <c r="BI12" s="1">
        <f>$AX12*(VLOOKUP($AY12,'Pregnancy costs and utilities'!$A$23:$H$158,5))</f>
        <v>0</v>
      </c>
      <c r="BJ12" s="3">
        <f>SUM(BH12:BI12)</f>
        <v>0</v>
      </c>
      <c r="BK12" s="3"/>
      <c r="BL12" s="3">
        <f>BC12+BI12</f>
        <v>2.4604348604666804E-2</v>
      </c>
      <c r="BN12" s="1" t="str">
        <f>IF(AV12=AX12,"Okay",IF(AV12&gt;AX12,"Lost infant","Gained infant"))</f>
        <v>Okay</v>
      </c>
    </row>
    <row r="13" spans="1:66" ht="15.75" thickBot="1" x14ac:dyDescent="0.3">
      <c r="A13" s="244" t="s">
        <v>719</v>
      </c>
      <c r="B13" s="254">
        <f>AV4+AV12+AJ26+AJ59+AJ91+AJ123+AJ155+AJ187+AJ219+AJ251+AV276+AV284+AJ299+AJ331+AJ363+AJ395+AJ427+AJ459+AJ491+AJ523</f>
        <v>6.2000238720679279E-2</v>
      </c>
      <c r="C13" s="255"/>
      <c r="O13" s="240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Z13" s="235"/>
      <c r="AA13" s="235"/>
      <c r="AB13" s="235"/>
      <c r="AC13" s="235"/>
      <c r="AD13" s="235"/>
      <c r="AE13" s="235"/>
      <c r="AF13" s="235"/>
      <c r="AG13" s="235"/>
      <c r="AH13" s="235"/>
      <c r="AI13" s="235"/>
      <c r="AJ13" s="235"/>
      <c r="AK13" s="235"/>
      <c r="AL13" s="235"/>
      <c r="AM13" s="235"/>
      <c r="AN13" s="235"/>
      <c r="AO13" s="235"/>
      <c r="AP13" s="235"/>
      <c r="AQ13" s="235"/>
      <c r="AR13" s="239"/>
      <c r="AS13" s="238"/>
      <c r="BJ13" s="3"/>
      <c r="BK13" s="3"/>
      <c r="BL13" s="3"/>
    </row>
    <row r="14" spans="1:66" x14ac:dyDescent="0.25">
      <c r="A14" s="242"/>
      <c r="B14" s="256"/>
      <c r="C14" s="257"/>
      <c r="O14" s="238" t="s">
        <v>388</v>
      </c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70"/>
      <c r="AS14" s="238"/>
      <c r="BJ14" s="3"/>
      <c r="BK14" s="3"/>
      <c r="BL14" s="3"/>
    </row>
    <row r="15" spans="1:66" x14ac:dyDescent="0.25">
      <c r="A15" s="246" t="s">
        <v>728</v>
      </c>
      <c r="B15" s="258" t="s">
        <v>1085</v>
      </c>
      <c r="C15" s="259"/>
      <c r="O15" s="238" t="s">
        <v>344</v>
      </c>
      <c r="P15" s="1">
        <f>DET_NS_miscarriage</f>
        <v>5.7166173429431061E-2</v>
      </c>
      <c r="Q15" s="1" t="s">
        <v>345</v>
      </c>
      <c r="R15" s="1">
        <f>P15*L77</f>
        <v>1.1204569992168487</v>
      </c>
      <c r="S15" s="1" t="s">
        <v>346</v>
      </c>
      <c r="T15" s="1">
        <f>P15*N77</f>
        <v>1.1204569992168487</v>
      </c>
      <c r="AS15" s="238" t="s">
        <v>344</v>
      </c>
      <c r="AT15" s="1">
        <f>1-AT12</f>
        <v>0.99999053410799998</v>
      </c>
      <c r="AU15" s="1" t="s">
        <v>345</v>
      </c>
      <c r="AV15" s="1">
        <f>AT15*R15</f>
        <v>1.1204463930919035</v>
      </c>
      <c r="AW15" s="1" t="s">
        <v>346</v>
      </c>
      <c r="AX15" s="1">
        <f>AT15*T15</f>
        <v>1.1204463930919035</v>
      </c>
      <c r="AY15" s="1">
        <f>AY12+1</f>
        <v>4</v>
      </c>
      <c r="BA15" s="1">
        <f>det_cost_comparator*AV15</f>
        <v>0</v>
      </c>
      <c r="BB15" s="1">
        <f>$AV15*(VLOOKUP($AY15,'Pregnancy costs and utilities'!$A$23:$H$158,3))</f>
        <v>771.81348236046836</v>
      </c>
      <c r="BC15" s="1">
        <f>SUM(BA15:BB15)</f>
        <v>771.81348236046836</v>
      </c>
      <c r="BE15" s="1">
        <f>$AV15*(VLOOKUP($AY15,'Pregnancy costs and utilities'!$A$23:$I$158,9))</f>
        <v>0.30165864429397399</v>
      </c>
      <c r="BF15" s="1">
        <f>$AV15*(VLOOKUP($AY15,'Pregnancy costs and utilities'!$A$23:$H$158,7))</f>
        <v>0.26757121748875501</v>
      </c>
      <c r="BH15" s="1">
        <f>$BA15</f>
        <v>0</v>
      </c>
      <c r="BI15" s="1">
        <f>$AX15*(VLOOKUP($AY15,'Pregnancy costs and utilities'!$A$23:$H$158,5))</f>
        <v>0</v>
      </c>
      <c r="BJ15" s="3">
        <f>SUM(BH15:BI15)</f>
        <v>0</v>
      </c>
      <c r="BK15" s="3"/>
      <c r="BL15" s="3">
        <f>BC15+BI15</f>
        <v>771.81348236046836</v>
      </c>
      <c r="BN15" s="1" t="str">
        <f>IF(AV15=AX15,"Okay",IF(AV15&gt;AX15,"Lost infant","Gained infant"))</f>
        <v>Okay</v>
      </c>
    </row>
    <row r="16" spans="1:66" x14ac:dyDescent="0.25">
      <c r="A16" s="243" t="s">
        <v>720</v>
      </c>
      <c r="B16" s="250">
        <f>T7+T15+AX20+AX28+AX36+AX44+AX52+AX60+AX68+AX76+AX84+AX92+AX100+AX108+AX116+AX124+AX132+AX140+AX148+AX156+AX164+AX172+AX180+AX188+AX196+AX204+AX212+AX220+AX228+AX236+AX244+AX252+AX260+AX268+T279+T287+AX292+AX300+AX308+AX316+AX324+AX332+AX340+AX348+AX356+AX364+AX372+AX380+AX388+AX396+AX404+AX412+AX420+AX428+AX436+AX444+AX452+AX460+AX468+AX476+AX484+AX492+AX500+AX508+AX516+AX524+AX532+AX540</f>
        <v>106.04231570599379</v>
      </c>
      <c r="C16" s="251"/>
      <c r="O16" s="238"/>
      <c r="AS16" s="240" t="s">
        <v>356</v>
      </c>
      <c r="AT16" s="235"/>
      <c r="AU16" s="235"/>
      <c r="AV16" s="235"/>
      <c r="AW16" s="235"/>
      <c r="AX16" s="235"/>
      <c r="AY16" s="235"/>
      <c r="AZ16" s="235"/>
      <c r="BA16" s="235"/>
      <c r="BB16" s="235"/>
      <c r="BC16" s="235"/>
      <c r="BD16" s="235"/>
      <c r="BE16" s="235"/>
      <c r="BF16" s="235"/>
      <c r="BG16" s="235"/>
      <c r="BH16" s="235"/>
      <c r="BI16" s="235"/>
      <c r="BJ16" s="235"/>
      <c r="BK16" s="235"/>
      <c r="BL16" s="235"/>
      <c r="BM16" s="235"/>
      <c r="BN16" s="235"/>
    </row>
    <row r="17" spans="1:66" x14ac:dyDescent="0.25">
      <c r="A17" s="243" t="s">
        <v>90</v>
      </c>
      <c r="B17" s="250">
        <f>AX20+AX28+AX36+AX44+AX52+AX60+AX68+AX76+AX84+AX92+AX100+AX108+AX116+AX124+AX132+AX140+AX148+AX156+AX164+AX172+AX180+AX188+AX196+AX204+AX212+AX220+AX228+AX236+AX244+AX252+AX260+AX268+AX292+AX300+AX308+AX316+AX324+AX332+AX340+AX348+AX356+AX364+AX372+AX380+AX388+AX396+AX404+AX412+AX420+AX428+AX436+AX444+AX452+AX460+AX468+AX476+AX484+AX492+AX500+AX508+AX516+AX524+AX532+AX540</f>
        <v>7.9138042263150945</v>
      </c>
      <c r="C17" s="251"/>
      <c r="O17" s="238"/>
    </row>
    <row r="18" spans="1:66" x14ac:dyDescent="0.25">
      <c r="A18" s="243" t="s">
        <v>722</v>
      </c>
      <c r="B18" s="250">
        <f>AF33+AF99+AF163+AF227+AF307+AF371+AF435+AF499</f>
        <v>73.006974523353833</v>
      </c>
      <c r="C18" s="251"/>
      <c r="O18" s="238"/>
    </row>
    <row r="19" spans="1:66" x14ac:dyDescent="0.25">
      <c r="A19" s="243" t="s">
        <v>721</v>
      </c>
      <c r="B19" s="250">
        <f>AR23+AR39+AR55+AR71+AR87+AR103+AR119+AR135+AR151+AR167+AR183+AR199+AR215+AR231+AR247+AR263+AR295+AR311+AR327+AR343+AR359+AR375+AR391+AR407+AR423+AR439+AR455+AR471+AR487+AR503+AR519+AR535</f>
        <v>112.76104224666068</v>
      </c>
      <c r="C19" s="251"/>
      <c r="O19" s="238"/>
      <c r="AS19" s="236" t="s">
        <v>351</v>
      </c>
      <c r="AT19" s="237"/>
      <c r="AU19" s="237"/>
      <c r="AV19" s="237"/>
      <c r="AW19" s="237"/>
      <c r="AX19" s="237"/>
      <c r="AY19" s="237"/>
      <c r="AZ19" s="237"/>
      <c r="BA19" s="237"/>
      <c r="BB19" s="237"/>
      <c r="BC19" s="237"/>
      <c r="BD19" s="237"/>
      <c r="BE19" s="237"/>
      <c r="BF19" s="237"/>
      <c r="BG19" s="237"/>
      <c r="BH19" s="237"/>
      <c r="BI19" s="237"/>
      <c r="BJ19" s="237"/>
      <c r="BK19" s="237"/>
      <c r="BL19" s="237"/>
      <c r="BM19" s="237"/>
      <c r="BN19" s="237"/>
    </row>
    <row r="20" spans="1:66" x14ac:dyDescent="0.25">
      <c r="A20" s="243" t="s">
        <v>723</v>
      </c>
      <c r="B20" s="250">
        <f>AX23+AX31+AX39+AX47+AX55+AX71+AX87+AX95+AX103+AX111+AX119+AX135+AX151+AX159+AX167+AX175+AX183+AX199+AX215+AX223+AX231+AX239+AX247+AX263+AX295+AX303+AX311+AX319+AX327+AX343+AX359+AX367+AX375+AX383+AX391+AX407+AX423+AX431+AX439+AX447+AX455+AX471+AX487+AX495+AX503+AX511+AX519+AX535</f>
        <v>106.95392628363858</v>
      </c>
      <c r="C20" s="251"/>
      <c r="O20" s="238"/>
      <c r="AS20" s="238" t="s">
        <v>344</v>
      </c>
      <c r="AT20" s="1">
        <f>DET_NS_stillbirth_lbw_premature</f>
        <v>6.0752905295406189E-2</v>
      </c>
      <c r="AU20" s="1" t="s">
        <v>345</v>
      </c>
      <c r="AV20" s="1">
        <f>AT20*AP23</f>
        <v>2.396382768634425E-7</v>
      </c>
      <c r="AW20" s="1" t="s">
        <v>346</v>
      </c>
      <c r="AX20" s="1">
        <f>AT20*AR23</f>
        <v>2.396382768634425E-7</v>
      </c>
      <c r="AY20" s="1">
        <f>AY15+1</f>
        <v>5</v>
      </c>
      <c r="BA20" s="1">
        <f>det_cost_comparator*AV20</f>
        <v>0</v>
      </c>
      <c r="BB20" s="1">
        <f>$AV20*(VLOOKUP($AY20,'Pregnancy costs and utilities'!$A$23:$H$158,3))</f>
        <v>2.3953523325099279E-3</v>
      </c>
      <c r="BC20" s="1">
        <f>SUM(BA20:BB20)</f>
        <v>2.3953523325099279E-3</v>
      </c>
      <c r="BE20" s="1">
        <f>$AV20*(VLOOKUP($AY20,'Pregnancy costs and utilities'!$A$23:$I$158,9))</f>
        <v>0</v>
      </c>
      <c r="BF20" s="1">
        <f>$AV20*(VLOOKUP($AY20,'Pregnancy costs and utilities'!$A$23:$H$158,7))</f>
        <v>0</v>
      </c>
      <c r="BH20" s="1">
        <f>$BA20</f>
        <v>0</v>
      </c>
      <c r="BI20" s="1">
        <f>$AX20*(VLOOKUP($AY20,'Pregnancy costs and utilities'!$A$23:$H$158,5))</f>
        <v>2.5480179468284674E-4</v>
      </c>
      <c r="BJ20" s="3">
        <f>SUM(BH20:BI20)</f>
        <v>2.5480179468284674E-4</v>
      </c>
      <c r="BK20" s="3"/>
      <c r="BL20" s="3">
        <f>BC20+BI20</f>
        <v>2.6501541271927746E-3</v>
      </c>
      <c r="BN20" s="1" t="str">
        <f>IF(AV20=AX20,"Okay",IF(AV20&gt;AX20,"Lost infant","Gained infant"))</f>
        <v>Okay</v>
      </c>
    </row>
    <row r="21" spans="1:66" x14ac:dyDescent="0.25">
      <c r="A21" s="243" t="s">
        <v>724</v>
      </c>
      <c r="B21" s="250">
        <f>T7+T15+AF33+AR55+AR71+AX60+AX76+AF99+AR119+AR135+AX124+AX140+AF163+AR183+AR199+AX188+AX204+AF227+AR247+AR263+AX252+AX268+T279+T287+AF307+AR327+AR343+AX332+AX348+AF371+AR391+AR407+AX396+AX412+AF435+AR455+AR471+AX460+AX476+AF499+AR519+AR535+AX524+AX540</f>
        <v>212.99624198963241</v>
      </c>
      <c r="C21" s="251"/>
      <c r="O21" s="238"/>
      <c r="AS21" s="238"/>
      <c r="BJ21" s="3"/>
      <c r="BK21" s="3"/>
      <c r="BL21" s="3"/>
    </row>
    <row r="22" spans="1:66" x14ac:dyDescent="0.25">
      <c r="A22" s="243" t="s">
        <v>725</v>
      </c>
      <c r="B22" s="252">
        <f>$BJ$547/Cohort</f>
        <v>3270.2225864739148</v>
      </c>
      <c r="C22" s="253"/>
      <c r="O22" s="238"/>
      <c r="AM22" s="236" t="s">
        <v>350</v>
      </c>
      <c r="AN22" s="237"/>
      <c r="AO22" s="237"/>
      <c r="AP22" s="237"/>
      <c r="AQ22" s="237"/>
      <c r="AR22" s="371"/>
      <c r="AS22" s="238"/>
      <c r="BJ22" s="3"/>
      <c r="BK22" s="3"/>
      <c r="BL22" s="3"/>
    </row>
    <row r="23" spans="1:66" ht="15.75" thickBot="1" x14ac:dyDescent="0.3">
      <c r="A23" s="244"/>
      <c r="B23" s="254"/>
      <c r="C23" s="255"/>
      <c r="O23" s="238"/>
      <c r="AM23" s="238" t="s">
        <v>344</v>
      </c>
      <c r="AN23" s="3">
        <f>DET_NS_lbw_premature</f>
        <v>0.57035604742854706</v>
      </c>
      <c r="AO23" s="3" t="s">
        <v>345</v>
      </c>
      <c r="AP23" s="3">
        <f>AN23*AJ26</f>
        <v>3.9444743539131232E-6</v>
      </c>
      <c r="AQ23" s="3" t="s">
        <v>346</v>
      </c>
      <c r="AR23" s="370">
        <f>AN23*AL26</f>
        <v>3.9444743539131232E-6</v>
      </c>
      <c r="AS23" s="238" t="s">
        <v>344</v>
      </c>
      <c r="AT23" s="1">
        <f>1-AT20</f>
        <v>0.93924709470459378</v>
      </c>
      <c r="AU23" s="1" t="s">
        <v>345</v>
      </c>
      <c r="AV23" s="1">
        <f>AT23*AP23</f>
        <v>3.7048360770496806E-6</v>
      </c>
      <c r="AW23" s="1" t="s">
        <v>346</v>
      </c>
      <c r="AX23" s="1">
        <f>AT23*AR23</f>
        <v>3.7048360770496806E-6</v>
      </c>
      <c r="AY23" s="1">
        <f>AY20+1</f>
        <v>6</v>
      </c>
      <c r="BA23" s="1">
        <f>det_cost_comparator*AV23</f>
        <v>0</v>
      </c>
      <c r="BB23" s="1">
        <f>$AV23*(VLOOKUP($AY23,'Pregnancy costs and utilities'!$A$23:$H$158,3))</f>
        <v>3.7032430106251096E-2</v>
      </c>
      <c r="BC23" s="1">
        <f>SUM(BA23:BB23)</f>
        <v>3.7032430106251096E-2</v>
      </c>
      <c r="BE23" s="1">
        <f>$AV23*(VLOOKUP($AY23,'Pregnancy costs and utilities'!$A$23:$I$158,9))</f>
        <v>0</v>
      </c>
      <c r="BF23" s="1">
        <f>$AV23*(VLOOKUP($AY23,'Pregnancy costs and utilities'!$A$23:$H$158,7))</f>
        <v>0</v>
      </c>
      <c r="BH23" s="1">
        <f>$BA23</f>
        <v>0</v>
      </c>
      <c r="BI23" s="1">
        <f>$AX23*(VLOOKUP($AY23,'Pregnancy costs and utilities'!$A$23:$H$158,5))</f>
        <v>5.9034892592526769E-2</v>
      </c>
      <c r="BJ23" s="3">
        <f>SUM(BH23:BI23)</f>
        <v>5.9034892592526769E-2</v>
      </c>
      <c r="BK23" s="3"/>
      <c r="BL23" s="3">
        <f>BC23+BI23</f>
        <v>9.6067322698777866E-2</v>
      </c>
      <c r="BN23" s="1" t="str">
        <f>IF(AV23=AX23,"Okay",IF(AV23&gt;AX23,"Lost infant","Gained infant"))</f>
        <v>Okay</v>
      </c>
    </row>
    <row r="24" spans="1:66" x14ac:dyDescent="0.25">
      <c r="A24" s="376"/>
      <c r="B24" s="399"/>
      <c r="C24" s="2"/>
      <c r="E24" s="241"/>
      <c r="O24" s="238"/>
      <c r="AM24" s="238"/>
      <c r="AS24" s="240" t="s">
        <v>352</v>
      </c>
      <c r="AT24" s="235"/>
      <c r="AU24" s="235"/>
      <c r="AV24" s="235"/>
      <c r="AW24" s="235"/>
      <c r="AX24" s="235"/>
      <c r="AY24" s="235"/>
      <c r="AZ24" s="235"/>
      <c r="BA24" s="235"/>
      <c r="BB24" s="235"/>
      <c r="BC24" s="235"/>
      <c r="BD24" s="235"/>
      <c r="BE24" s="235"/>
      <c r="BF24" s="235"/>
      <c r="BG24" s="235"/>
      <c r="BH24" s="235"/>
      <c r="BI24" s="235"/>
      <c r="BJ24" s="235"/>
      <c r="BK24" s="235"/>
      <c r="BL24" s="235"/>
      <c r="BM24" s="235"/>
      <c r="BN24" s="235"/>
    </row>
    <row r="25" spans="1:66" x14ac:dyDescent="0.25">
      <c r="A25" s="246" t="s">
        <v>729</v>
      </c>
      <c r="B25" s="258" t="s">
        <v>1085</v>
      </c>
      <c r="C25" s="259"/>
      <c r="O25" s="238"/>
      <c r="AG25" s="236" t="s">
        <v>372</v>
      </c>
      <c r="AH25" s="237"/>
      <c r="AI25" s="237"/>
      <c r="AJ25" s="237"/>
      <c r="AK25" s="237"/>
      <c r="AL25" s="371"/>
      <c r="AM25" s="238"/>
    </row>
    <row r="26" spans="1:66" x14ac:dyDescent="0.25">
      <c r="A26" s="243" t="s">
        <v>726</v>
      </c>
      <c r="B26" s="252">
        <f>(BL4+BL7+BL12+BL15+BL20+BL23+BL28+BL31+BL36+BL39+BL44+BL47+BL52+BL55+BL60+BL63+BL68+BL71+BL76+BL79+BL84+BL87+BL92+BL95+BL100+BL103+BL108+BL111+BL116+BL119+BL124+BL127+BL132+BL135+BL140+BL143+BL148+BL151+BL156+BL159+BL164+BL167+BL172+BL175+BL180+BL183+BL188+BL191+BL196+BL199+BL204+BL207+BL212+BL215+BL220+BL223+BL228+BL231+BL236+BL239+BL244+BL247+BL252+BL255+BL260+BL263+BL268+BL271+BL276+BL279+BL284+BL287+BL292+BL295+BL300+BL303+BL308+BL311+BL316+BL319+BL324+BL327+BL332+BL335+BL340+BL343+BL348+BL351+BL356+BL359+BL364+BL367+BL372+BL375+BL380+BL383+BL388+BL391+BL396+BL399+BL404+BL407+BL412+BL415+BL420+BL423+BL428+BL431+BL436+BL439+BL444+BL447+BL452+BL455+BL460+BL463+BL468+BL471+BL476+BL479+BL484+BL487+BL492+BL495+BL500+BL503+BL508+BL511+BL516+BL519+BL524+BL527+BL532+BL535+BL540+BL543)/Cohort</f>
        <v>6370.3545223300052</v>
      </c>
      <c r="C26" s="253"/>
      <c r="O26" s="238"/>
      <c r="AG26" s="238" t="s">
        <v>344</v>
      </c>
      <c r="AH26" s="3">
        <f>DET_MORT_abruption</f>
        <v>2.7833911999999947E-4</v>
      </c>
      <c r="AI26" s="3" t="s">
        <v>345</v>
      </c>
      <c r="AJ26" s="3">
        <f>AH26*AD33</f>
        <v>6.9158105216851898E-6</v>
      </c>
      <c r="AK26" s="3" t="s">
        <v>346</v>
      </c>
      <c r="AL26" s="370">
        <f>AH26*AF33</f>
        <v>6.9158105216851898E-6</v>
      </c>
      <c r="AM26" s="238"/>
      <c r="AN26" s="3"/>
      <c r="AO26" s="3"/>
      <c r="AP26" s="3"/>
      <c r="AQ26" s="3"/>
      <c r="AR26" s="3"/>
    </row>
    <row r="27" spans="1:66" ht="15.75" thickBot="1" x14ac:dyDescent="0.3">
      <c r="A27" s="244"/>
      <c r="B27" s="254"/>
      <c r="C27" s="255"/>
      <c r="O27" s="238"/>
      <c r="AG27" s="238"/>
      <c r="AM27" s="238"/>
      <c r="AS27" s="236" t="s">
        <v>358</v>
      </c>
      <c r="AT27" s="237"/>
      <c r="AU27" s="237"/>
      <c r="AV27" s="237"/>
      <c r="AW27" s="237"/>
      <c r="AX27" s="237"/>
      <c r="AY27" s="237"/>
      <c r="AZ27" s="237"/>
      <c r="BA27" s="237"/>
      <c r="BB27" s="237"/>
      <c r="BC27" s="237"/>
      <c r="BD27" s="237"/>
      <c r="BE27" s="237"/>
      <c r="BF27" s="237"/>
      <c r="BG27" s="237"/>
      <c r="BH27" s="237"/>
      <c r="BI27" s="237"/>
      <c r="BJ27" s="237"/>
      <c r="BK27" s="237"/>
      <c r="BL27" s="237"/>
      <c r="BM27" s="237"/>
      <c r="BN27" s="237"/>
    </row>
    <row r="28" spans="1:66" x14ac:dyDescent="0.25">
      <c r="A28" s="242"/>
      <c r="B28" s="399"/>
      <c r="C28" s="2"/>
      <c r="O28" s="238"/>
      <c r="AG28" s="238"/>
      <c r="AM28" s="238" t="s">
        <v>344</v>
      </c>
      <c r="AN28" s="1">
        <f>1-AN23</f>
        <v>0.42964395257145294</v>
      </c>
      <c r="AO28" s="1" t="s">
        <v>345</v>
      </c>
      <c r="AP28" s="1">
        <f>AN28*AJ26</f>
        <v>2.971336167772067E-6</v>
      </c>
      <c r="AQ28" s="1" t="s">
        <v>346</v>
      </c>
      <c r="AR28" s="1">
        <f>AN28*AL26</f>
        <v>2.971336167772067E-6</v>
      </c>
      <c r="AS28" s="238" t="s">
        <v>344</v>
      </c>
      <c r="AT28" s="3">
        <f>DET_NS_stillbirth_nbw_premature</f>
        <v>7.6129469648265786E-3</v>
      </c>
      <c r="AU28" s="3" t="s">
        <v>345</v>
      </c>
      <c r="AV28" s="3">
        <f>AT28*AP28</f>
        <v>2.2620624659919796E-8</v>
      </c>
      <c r="AW28" s="3" t="s">
        <v>346</v>
      </c>
      <c r="AX28" s="3">
        <f>AT28*AR28</f>
        <v>2.2620624659919796E-8</v>
      </c>
      <c r="AY28" s="3">
        <f>AY23+1</f>
        <v>7</v>
      </c>
      <c r="AZ28" s="3"/>
      <c r="BA28" s="3">
        <f>det_cost_comparator*AV28</f>
        <v>0</v>
      </c>
      <c r="BB28" s="3">
        <f>$AV28*(VLOOKUP($AY28,'Pregnancy costs and utilities'!$A$23:$H$158,3))</f>
        <v>2.2610897871230877E-4</v>
      </c>
      <c r="BC28" s="3">
        <f>SUM(BA28:BB28)</f>
        <v>2.2610897871230877E-4</v>
      </c>
      <c r="BD28" s="3"/>
      <c r="BE28" s="3">
        <f>$AV28*(VLOOKUP($AY28,'Pregnancy costs and utilities'!$A$23:$I$158,9))</f>
        <v>0</v>
      </c>
      <c r="BF28" s="3">
        <f>$AV28*(VLOOKUP($AY28,'Pregnancy costs and utilities'!$A$23:$H$158,7))</f>
        <v>0</v>
      </c>
      <c r="BG28" s="3"/>
      <c r="BH28" s="3">
        <f>$BA28</f>
        <v>0</v>
      </c>
      <c r="BI28" s="3">
        <f>$AX28*(VLOOKUP($AY28,'Pregnancy costs and utilities'!$A$23:$H$158,5))</f>
        <v>2.4051982995517461E-5</v>
      </c>
      <c r="BJ28" s="3">
        <f>SUM(BH28:BI28)</f>
        <v>2.4051982995517461E-5</v>
      </c>
      <c r="BK28" s="3"/>
      <c r="BL28" s="3">
        <f>BC28+BI28</f>
        <v>2.5016096170782625E-4</v>
      </c>
      <c r="BN28" s="1" t="str">
        <f>IF(AV28=AX28,"Okay",IF(AV28&gt;AX28,"Lost infant","Gained infant"))</f>
        <v>Okay</v>
      </c>
    </row>
    <row r="29" spans="1:66" x14ac:dyDescent="0.25">
      <c r="A29" s="246" t="s">
        <v>1084</v>
      </c>
      <c r="B29" s="258" t="s">
        <v>1085</v>
      </c>
      <c r="C29" s="4"/>
      <c r="O29" s="238"/>
      <c r="AG29" s="238"/>
      <c r="AM29" s="240" t="s">
        <v>357</v>
      </c>
      <c r="AN29" s="235"/>
      <c r="AO29" s="235"/>
      <c r="AP29" s="235"/>
      <c r="AQ29" s="235"/>
      <c r="AR29" s="239"/>
      <c r="AS29" s="238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</row>
    <row r="30" spans="1:66" x14ac:dyDescent="0.25">
      <c r="A30" s="243" t="s">
        <v>61</v>
      </c>
      <c r="B30" s="400">
        <f>$BA$547/Cohort</f>
        <v>0</v>
      </c>
      <c r="C30" s="4"/>
      <c r="O30" s="238"/>
      <c r="AG30" s="238"/>
      <c r="AM30" s="237"/>
      <c r="AS30" s="238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</row>
    <row r="31" spans="1:66" x14ac:dyDescent="0.25">
      <c r="A31" s="243" t="s">
        <v>1076</v>
      </c>
      <c r="B31" s="400">
        <f>$BB$547/Cohort</f>
        <v>3100.13193585609</v>
      </c>
      <c r="C31" s="4"/>
      <c r="O31" s="238"/>
      <c r="AF31" s="3"/>
      <c r="AG31" s="238"/>
      <c r="AH31" s="3"/>
      <c r="AI31" s="3"/>
      <c r="AJ31" s="3"/>
      <c r="AK31" s="3"/>
      <c r="AL31" s="3"/>
      <c r="AM31" s="3"/>
      <c r="AS31" s="238" t="s">
        <v>344</v>
      </c>
      <c r="AT31" s="3">
        <f>1-AT28</f>
        <v>0.99238705303517338</v>
      </c>
      <c r="AU31" s="3" t="s">
        <v>345</v>
      </c>
      <c r="AV31" s="3">
        <f>AT31*AP28</f>
        <v>2.9487155431121471E-6</v>
      </c>
      <c r="AW31" s="3" t="s">
        <v>346</v>
      </c>
      <c r="AX31" s="3">
        <f>AT31*AR28</f>
        <v>2.9487155431121471E-6</v>
      </c>
      <c r="AY31" s="3">
        <f>AY28+1</f>
        <v>8</v>
      </c>
      <c r="AZ31" s="3"/>
      <c r="BA31" s="3">
        <f>det_cost_comparator*AV31</f>
        <v>0</v>
      </c>
      <c r="BB31" s="3">
        <f>$AV31*(VLOOKUP($AY31,'Pregnancy costs and utilities'!$A$23:$H$158,3))</f>
        <v>2.947447605845923E-2</v>
      </c>
      <c r="BC31" s="3">
        <f>SUM(BA31:BB31)</f>
        <v>2.947447605845923E-2</v>
      </c>
      <c r="BD31" s="3"/>
      <c r="BE31" s="3">
        <f>$AV31*(VLOOKUP($AY31,'Pregnancy costs and utilities'!$A$23:$I$158,9))</f>
        <v>0</v>
      </c>
      <c r="BF31" s="3">
        <f>$AV31*(VLOOKUP($AY31,'Pregnancy costs and utilities'!$A$23:$H$158,7))</f>
        <v>0</v>
      </c>
      <c r="BG31" s="3"/>
      <c r="BH31" s="3">
        <f>$BA31</f>
        <v>0</v>
      </c>
      <c r="BI31" s="3">
        <f>$AX31*(VLOOKUP($AY31,'Pregnancy costs and utilities'!$A$23:$H$158,5))</f>
        <v>4.6986452775034757E-2</v>
      </c>
      <c r="BJ31" s="3">
        <f>SUM(BH31:BI31)</f>
        <v>4.6986452775034757E-2</v>
      </c>
      <c r="BK31" s="3"/>
      <c r="BL31" s="3">
        <f>BC31+BI31</f>
        <v>7.646092883349398E-2</v>
      </c>
      <c r="BN31" s="1" t="str">
        <f>IF(AV31=AX31,"Okay",IF(AV31&gt;AX31,"Lost infant","Gained infant"))</f>
        <v>Okay</v>
      </c>
    </row>
    <row r="32" spans="1:66" x14ac:dyDescent="0.25">
      <c r="A32" s="243" t="s">
        <v>1080</v>
      </c>
      <c r="B32" s="400">
        <f>$BI$547/Cohort</f>
        <v>3270.2225864739148</v>
      </c>
      <c r="C32" s="4"/>
      <c r="O32" s="238"/>
      <c r="AA32" s="236" t="s">
        <v>374</v>
      </c>
      <c r="AB32" s="237"/>
      <c r="AC32" s="237"/>
      <c r="AD32" s="237"/>
      <c r="AE32" s="237"/>
      <c r="AF32" s="371"/>
      <c r="AG32" s="238"/>
      <c r="AH32" s="3"/>
      <c r="AI32" s="3"/>
      <c r="AJ32" s="3"/>
      <c r="AK32" s="3"/>
      <c r="AL32" s="3"/>
      <c r="AM32" s="3"/>
      <c r="AS32" s="240" t="s">
        <v>359</v>
      </c>
      <c r="AT32" s="235"/>
      <c r="AU32" s="235"/>
      <c r="AV32" s="235"/>
      <c r="AW32" s="235"/>
      <c r="AX32" s="235"/>
      <c r="AY32" s="235"/>
      <c r="AZ32" s="235"/>
      <c r="BA32" s="235"/>
      <c r="BB32" s="235"/>
      <c r="BC32" s="235"/>
      <c r="BD32" s="235"/>
      <c r="BE32" s="235"/>
      <c r="BF32" s="235"/>
      <c r="BG32" s="235"/>
      <c r="BH32" s="235"/>
      <c r="BI32" s="235"/>
      <c r="BJ32" s="235"/>
      <c r="BK32" s="235"/>
      <c r="BL32" s="235"/>
      <c r="BM32" s="235"/>
      <c r="BN32" s="235"/>
    </row>
    <row r="33" spans="1:66" x14ac:dyDescent="0.25">
      <c r="A33" s="243" t="s">
        <v>1086</v>
      </c>
      <c r="B33" s="400">
        <f>$BL$547/Cohort</f>
        <v>6370.3545223300052</v>
      </c>
      <c r="C33" s="4"/>
      <c r="O33" s="238"/>
      <c r="AA33" s="238" t="s">
        <v>344</v>
      </c>
      <c r="AB33" s="3">
        <f>DET_NS_premature_abruption</f>
        <v>0.37747233836702138</v>
      </c>
      <c r="AC33" s="3" t="s">
        <v>345</v>
      </c>
      <c r="AD33" s="3">
        <f>AB33*X50</f>
        <v>2.4846706857753961E-2</v>
      </c>
      <c r="AE33" s="3" t="s">
        <v>346</v>
      </c>
      <c r="AF33" s="370">
        <f>AB33*Z50</f>
        <v>2.4846706857753961E-2</v>
      </c>
      <c r="AG33" s="238"/>
      <c r="AH33" s="3"/>
      <c r="AI33" s="3"/>
      <c r="AJ33" s="3"/>
      <c r="AK33" s="3"/>
      <c r="AL33" s="3"/>
      <c r="AM33" s="3"/>
    </row>
    <row r="34" spans="1:66" ht="15.75" thickBot="1" x14ac:dyDescent="0.3">
      <c r="A34" s="244"/>
      <c r="B34" s="401"/>
      <c r="C34" s="6"/>
      <c r="O34" s="238"/>
      <c r="AA34" s="238"/>
      <c r="AF34" s="3"/>
      <c r="AG34" s="238"/>
      <c r="AH34" s="3"/>
      <c r="AI34" s="3"/>
      <c r="AJ34" s="3"/>
      <c r="AK34" s="3"/>
      <c r="AL34" s="3"/>
    </row>
    <row r="35" spans="1:66" x14ac:dyDescent="0.25">
      <c r="A35" s="242"/>
      <c r="B35" s="399"/>
      <c r="C35" s="2"/>
      <c r="O35" s="238"/>
      <c r="AA35" s="238"/>
      <c r="AF35" s="3"/>
      <c r="AG35" s="238"/>
      <c r="AH35" s="3"/>
      <c r="AI35" s="3"/>
      <c r="AJ35" s="3"/>
      <c r="AK35" s="3"/>
      <c r="AL35" s="3"/>
      <c r="AS35" s="236" t="s">
        <v>368</v>
      </c>
      <c r="AT35" s="237"/>
      <c r="AU35" s="237"/>
      <c r="AV35" s="237"/>
      <c r="AW35" s="237"/>
      <c r="AX35" s="237"/>
      <c r="AY35" s="237"/>
      <c r="AZ35" s="237"/>
      <c r="BA35" s="237"/>
      <c r="BB35" s="237"/>
      <c r="BC35" s="237"/>
      <c r="BD35" s="237"/>
      <c r="BE35" s="237"/>
      <c r="BF35" s="237"/>
      <c r="BG35" s="237"/>
      <c r="BH35" s="237"/>
      <c r="BI35" s="237"/>
      <c r="BJ35" s="237"/>
      <c r="BK35" s="237"/>
      <c r="BL35" s="237"/>
      <c r="BM35" s="237"/>
      <c r="BN35" s="237"/>
    </row>
    <row r="36" spans="1:66" x14ac:dyDescent="0.25">
      <c r="A36" s="246" t="s">
        <v>830</v>
      </c>
      <c r="B36" s="258" t="s">
        <v>1085</v>
      </c>
      <c r="C36" s="259"/>
      <c r="D36" s="342"/>
      <c r="O36" s="238"/>
      <c r="AA36" s="238"/>
      <c r="AF36" s="3"/>
      <c r="AG36" s="238"/>
      <c r="AH36" s="3"/>
      <c r="AI36" s="3"/>
      <c r="AJ36" s="3"/>
      <c r="AK36" s="3"/>
      <c r="AL36" s="3"/>
      <c r="AS36" s="238" t="s">
        <v>344</v>
      </c>
      <c r="AT36" s="1">
        <f>DET_NS_stillbirth_lbw_premature</f>
        <v>6.0752905295406189E-2</v>
      </c>
      <c r="AU36" s="1" t="s">
        <v>345</v>
      </c>
      <c r="AV36" s="1">
        <f>AT36*AP39</f>
        <v>8.6071830706493024E-4</v>
      </c>
      <c r="AW36" s="1" t="s">
        <v>346</v>
      </c>
      <c r="AX36" s="1">
        <f>AT36*AR39</f>
        <v>8.6071830706493024E-4</v>
      </c>
      <c r="AY36" s="1">
        <f>AY31+1</f>
        <v>9</v>
      </c>
      <c r="BA36" s="1">
        <f>det_cost_comparator*AV36</f>
        <v>0</v>
      </c>
      <c r="BB36" s="1">
        <f>$AV36*(VLOOKUP($AY36,'Pregnancy costs and utilities'!$A$23:$H$158,3))</f>
        <v>7.1996677720979179</v>
      </c>
      <c r="BC36" s="1">
        <f>SUM(BA36:BB36)</f>
        <v>7.1996677720979179</v>
      </c>
      <c r="BE36" s="1">
        <f>$AV36*(VLOOKUP($AY36,'Pregnancy costs and utilities'!$A$23:$I$158,9))</f>
        <v>5.4622507948351342E-4</v>
      </c>
      <c r="BF36" s="1">
        <f>$AV36*(VLOOKUP($AY36,'Pregnancy costs and utilities'!$A$23:$H$158,7))</f>
        <v>4.8450164550187648E-4</v>
      </c>
      <c r="BH36" s="1">
        <f>$BA36</f>
        <v>0</v>
      </c>
      <c r="BI36" s="1">
        <f>$AX36*(VLOOKUP($AY36,'Pregnancy costs and utilities'!$A$23:$H$158,5))</f>
        <v>0.91518171565513606</v>
      </c>
      <c r="BJ36" s="3">
        <f>SUM(BH36:BI36)</f>
        <v>0.91518171565513606</v>
      </c>
      <c r="BK36" s="3"/>
      <c r="BL36" s="3">
        <f>BC36+BI36</f>
        <v>8.1148494877530535</v>
      </c>
      <c r="BN36" s="1" t="str">
        <f>IF(AV36=AX36,"Okay",IF(AV36&gt;AX36,"Lost infant","Gained infant"))</f>
        <v>Okay</v>
      </c>
    </row>
    <row r="37" spans="1:66" x14ac:dyDescent="0.25">
      <c r="A37" s="243" t="s">
        <v>711</v>
      </c>
      <c r="B37" s="252">
        <f>VLOOKUP(reference_age,$AM$555:$AO$655,3)/Cohort</f>
        <v>21302.403453107061</v>
      </c>
      <c r="C37" s="253"/>
      <c r="O37" s="238"/>
      <c r="AA37" s="238"/>
      <c r="AG37" s="238"/>
      <c r="AS37" s="238"/>
      <c r="BJ37" s="3"/>
      <c r="BK37" s="3"/>
      <c r="BL37" s="3"/>
    </row>
    <row r="38" spans="1:66" x14ac:dyDescent="0.25">
      <c r="A38" s="243" t="s">
        <v>831</v>
      </c>
      <c r="B38" s="260">
        <f>VLOOKUP(reference_age,$AQ$555:$AT$655,2)</f>
        <v>0.22883579228730441</v>
      </c>
      <c r="C38" s="261"/>
      <c r="O38" s="238"/>
      <c r="AA38" s="238"/>
      <c r="AG38" s="238"/>
      <c r="AM38" s="236" t="s">
        <v>366</v>
      </c>
      <c r="AN38" s="237"/>
      <c r="AO38" s="237"/>
      <c r="AP38" s="237"/>
      <c r="AQ38" s="237"/>
      <c r="AR38" s="371"/>
      <c r="AS38" s="238"/>
      <c r="BJ38" s="3"/>
      <c r="BK38" s="3"/>
      <c r="BL38" s="3"/>
    </row>
    <row r="39" spans="1:66" x14ac:dyDescent="0.25">
      <c r="A39" s="243" t="s">
        <v>832</v>
      </c>
      <c r="B39" s="260">
        <f>VLOOKUP(reference_age,$AQ$555:$AT$655,3)</f>
        <v>0.77116420771269556</v>
      </c>
      <c r="C39" s="261"/>
      <c r="O39" s="238"/>
      <c r="AA39" s="238"/>
      <c r="AG39" s="238"/>
      <c r="AM39" s="238" t="s">
        <v>344</v>
      </c>
      <c r="AN39" s="1">
        <f>DET_NS_lbw_premature</f>
        <v>0.57035604742854706</v>
      </c>
      <c r="AO39" s="1" t="s">
        <v>345</v>
      </c>
      <c r="AP39" s="1">
        <f>AN39*AJ40</f>
        <v>1.4167525040650412E-2</v>
      </c>
      <c r="AQ39" s="1" t="s">
        <v>346</v>
      </c>
      <c r="AR39" s="1">
        <f>AN39*AL40</f>
        <v>1.4167525040650412E-2</v>
      </c>
      <c r="AS39" s="238" t="s">
        <v>344</v>
      </c>
      <c r="AT39" s="1">
        <f>1-AT36</f>
        <v>0.93924709470459378</v>
      </c>
      <c r="AU39" s="1" t="s">
        <v>345</v>
      </c>
      <c r="AV39" s="1">
        <f>AT39*AP39</f>
        <v>1.3306806733585481E-2</v>
      </c>
      <c r="AW39" s="1" t="s">
        <v>346</v>
      </c>
      <c r="AX39" s="1">
        <f>AT39*AR39</f>
        <v>1.3306806733585481E-2</v>
      </c>
      <c r="AY39" s="1">
        <f>AY36+1</f>
        <v>10</v>
      </c>
      <c r="BA39" s="1">
        <f>det_cost_comparator*AV39</f>
        <v>0</v>
      </c>
      <c r="BB39" s="1">
        <f>$AV39*(VLOOKUP($AY39,'Pregnancy costs and utilities'!$A$23:$H$158,3))</f>
        <v>111.30771450188722</v>
      </c>
      <c r="BC39" s="1">
        <f>SUM(BA39:BB39)</f>
        <v>111.30771450188722</v>
      </c>
      <c r="BE39" s="1">
        <f>$AV39*(VLOOKUP($AY39,'Pregnancy costs and utilities'!$A$23:$I$158,9))</f>
        <v>8.4447042732369391E-3</v>
      </c>
      <c r="BF39" s="1">
        <f>$AV39*(VLOOKUP($AY39,'Pregnancy costs and utilities'!$A$23:$H$158,7))</f>
        <v>8.3349231176848594E-3</v>
      </c>
      <c r="BH39" s="1">
        <f>$BA39</f>
        <v>0</v>
      </c>
      <c r="BI39" s="1">
        <f>$AX39*(VLOOKUP($AY39,'Pregnancy costs and utilities'!$A$23:$H$158,5))</f>
        <v>212.03796603392792</v>
      </c>
      <c r="BJ39" s="3">
        <f>SUM(BH39:BI39)</f>
        <v>212.03796603392792</v>
      </c>
      <c r="BK39" s="3"/>
      <c r="BL39" s="3">
        <f>BC39+BI39</f>
        <v>323.34568053581512</v>
      </c>
      <c r="BN39" s="1" t="str">
        <f>IF(AV39=AX39,"Okay",IF(AV39&gt;AX39,"Lost infant","Gained infant"))</f>
        <v>Okay</v>
      </c>
    </row>
    <row r="40" spans="1:66" x14ac:dyDescent="0.25">
      <c r="A40" s="243" t="s">
        <v>833</v>
      </c>
      <c r="B40" s="260">
        <f>VLOOKUP(reference_age,$AQ$555:$AT$655,4)</f>
        <v>0.12953410231703508</v>
      </c>
      <c r="C40" s="261"/>
      <c r="O40" s="238"/>
      <c r="AA40" s="238"/>
      <c r="AG40" s="238" t="s">
        <v>344</v>
      </c>
      <c r="AH40" s="1">
        <f>1-AH26</f>
        <v>0.99972166088000003</v>
      </c>
      <c r="AI40" s="1" t="s">
        <v>345</v>
      </c>
      <c r="AJ40" s="1">
        <f>AH40*AD33</f>
        <v>2.4839791047232277E-2</v>
      </c>
      <c r="AK40" s="1" t="s">
        <v>346</v>
      </c>
      <c r="AL40" s="1">
        <f>AH40*AF33</f>
        <v>2.4839791047232277E-2</v>
      </c>
      <c r="AM40" s="238"/>
      <c r="AS40" s="240" t="s">
        <v>369</v>
      </c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</row>
    <row r="41" spans="1:66" x14ac:dyDescent="0.25">
      <c r="A41" s="243" t="s">
        <v>834</v>
      </c>
      <c r="B41" s="250">
        <f>VLOOKUP(reference_age,$AE$555:$AG$655,3)/Cohort</f>
        <v>25.17973573418929</v>
      </c>
      <c r="C41" s="251"/>
      <c r="O41" s="238"/>
      <c r="AA41" s="238"/>
      <c r="AB41" s="3"/>
      <c r="AC41" s="3"/>
      <c r="AD41" s="3"/>
      <c r="AE41" s="3"/>
      <c r="AF41" s="370"/>
      <c r="AG41" s="240" t="s">
        <v>373</v>
      </c>
      <c r="AH41" s="235"/>
      <c r="AI41" s="235"/>
      <c r="AJ41" s="235"/>
      <c r="AK41" s="235"/>
      <c r="AL41" s="239"/>
      <c r="AM41" s="23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</row>
    <row r="42" spans="1:66" x14ac:dyDescent="0.25">
      <c r="A42" s="243" t="s">
        <v>712</v>
      </c>
      <c r="B42" s="250">
        <f>VLOOKUP(reference_age,$AI$555:$AK$655,3)/Cohort</f>
        <v>23.116474958521071</v>
      </c>
      <c r="C42" s="251"/>
      <c r="O42" s="238"/>
      <c r="AA42" s="238"/>
      <c r="AG42" s="237"/>
      <c r="AM42" s="238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</row>
    <row r="43" spans="1:66" ht="15.75" thickBot="1" x14ac:dyDescent="0.3">
      <c r="A43" s="244"/>
      <c r="B43" s="254"/>
      <c r="C43" s="255"/>
      <c r="D43" s="342"/>
      <c r="O43" s="238"/>
      <c r="AA43" s="238"/>
      <c r="AG43" s="3"/>
      <c r="AM43" s="238"/>
      <c r="AS43" s="236" t="s">
        <v>370</v>
      </c>
      <c r="AT43" s="237"/>
      <c r="AU43" s="237"/>
      <c r="AV43" s="237"/>
      <c r="AW43" s="237"/>
      <c r="AX43" s="237"/>
      <c r="AY43" s="237"/>
      <c r="AZ43" s="237"/>
      <c r="BA43" s="237"/>
      <c r="BB43" s="237"/>
      <c r="BC43" s="237"/>
      <c r="BD43" s="237"/>
      <c r="BE43" s="237"/>
      <c r="BF43" s="237"/>
      <c r="BG43" s="237"/>
      <c r="BH43" s="237"/>
      <c r="BI43" s="237"/>
      <c r="BJ43" s="237"/>
      <c r="BK43" s="237"/>
      <c r="BL43" s="237"/>
      <c r="BM43" s="237"/>
      <c r="BN43" s="237"/>
    </row>
    <row r="44" spans="1:66" x14ac:dyDescent="0.25">
      <c r="A44" s="242"/>
      <c r="B44" s="399"/>
      <c r="C44" s="2"/>
      <c r="O44" s="238"/>
      <c r="AA44" s="238"/>
      <c r="AG44" s="3"/>
      <c r="AM44" s="238" t="s">
        <v>344</v>
      </c>
      <c r="AN44" s="1">
        <f>1-AN39</f>
        <v>0.42964395257145294</v>
      </c>
      <c r="AO44" s="1" t="s">
        <v>345</v>
      </c>
      <c r="AP44" s="1">
        <f>AN44*AJ40</f>
        <v>1.0672266006581865E-2</v>
      </c>
      <c r="AQ44" s="1" t="s">
        <v>346</v>
      </c>
      <c r="AR44" s="1">
        <f>AN44*AL40</f>
        <v>1.0672266006581865E-2</v>
      </c>
      <c r="AS44" s="238" t="s">
        <v>344</v>
      </c>
      <c r="AT44" s="1">
        <f>DET_NS_stillbirth_nbw_premature</f>
        <v>7.6129469648265786E-3</v>
      </c>
      <c r="AU44" s="1" t="s">
        <v>345</v>
      </c>
      <c r="AV44" s="1">
        <f>AT44*AP44</f>
        <v>8.1247395102629274E-5</v>
      </c>
      <c r="AW44" s="1" t="s">
        <v>346</v>
      </c>
      <c r="AX44" s="1">
        <f>AT44*AR44</f>
        <v>8.1247395102629274E-5</v>
      </c>
      <c r="AY44" s="1">
        <f>AY39+1</f>
        <v>11</v>
      </c>
      <c r="BA44" s="1">
        <f>det_cost_comparator*AV44</f>
        <v>0</v>
      </c>
      <c r="BB44" s="1">
        <f>$AV44*(VLOOKUP($AY44,'Pregnancy costs and utilities'!$A$23:$H$158,3))</f>
        <v>0.67961172347084609</v>
      </c>
      <c r="BC44" s="1">
        <f>SUM(BA44:BB44)</f>
        <v>0.67961172347084609</v>
      </c>
      <c r="BE44" s="1">
        <f>$AV44*(VLOOKUP($AY44,'Pregnancy costs and utilities'!$A$23:$I$158,9))</f>
        <v>5.1560846892053191E-5</v>
      </c>
      <c r="BF44" s="1">
        <f>$AV44*(VLOOKUP($AY44,'Pregnancy costs and utilities'!$A$23:$H$158,7))</f>
        <v>4.5734471193251192E-5</v>
      </c>
      <c r="BH44" s="1">
        <f>$BA44</f>
        <v>0</v>
      </c>
      <c r="BI44" s="1">
        <f>$AX44*(VLOOKUP($AY44,'Pregnancy costs and utilities'!$A$23:$H$158,5))</f>
        <v>8.638846162816162E-2</v>
      </c>
      <c r="BJ44" s="3">
        <f>SUM(BH44:BI44)</f>
        <v>8.638846162816162E-2</v>
      </c>
      <c r="BK44" s="3"/>
      <c r="BL44" s="3">
        <f>BC44+BI44</f>
        <v>0.76600018509900769</v>
      </c>
      <c r="BN44" s="1" t="str">
        <f>IF(AV44=AX44,"Okay",IF(AV44&gt;AX44,"Lost infant","Gained infant"))</f>
        <v>Okay</v>
      </c>
    </row>
    <row r="45" spans="1:66" x14ac:dyDescent="0.25">
      <c r="A45" s="246" t="s">
        <v>911</v>
      </c>
      <c r="B45" s="258" t="s">
        <v>1085</v>
      </c>
      <c r="C45" s="259"/>
      <c r="O45" s="238"/>
      <c r="AA45" s="238"/>
      <c r="AG45" s="3"/>
      <c r="AM45" s="240" t="s">
        <v>367</v>
      </c>
      <c r="AN45" s="235"/>
      <c r="AO45" s="235"/>
      <c r="AP45" s="235"/>
      <c r="AQ45" s="235"/>
      <c r="AR45" s="239"/>
      <c r="AS45" s="238"/>
      <c r="BJ45" s="3"/>
      <c r="BK45" s="3"/>
      <c r="BL45" s="3"/>
    </row>
    <row r="46" spans="1:66" x14ac:dyDescent="0.25">
      <c r="A46" s="243" t="s">
        <v>725</v>
      </c>
      <c r="B46" s="252">
        <f>GI676/Cohort</f>
        <v>5462.927580867582</v>
      </c>
      <c r="C46" s="253"/>
      <c r="O46" s="238"/>
      <c r="AA46" s="238"/>
      <c r="AG46" s="3"/>
      <c r="AM46" s="3"/>
      <c r="AN46" s="3"/>
      <c r="AO46" s="3"/>
      <c r="AP46" s="3"/>
      <c r="AQ46" s="3"/>
      <c r="AR46" s="370"/>
      <c r="AS46" s="238"/>
      <c r="BJ46" s="3"/>
      <c r="BK46" s="3"/>
      <c r="BL46" s="3"/>
    </row>
    <row r="47" spans="1:66" x14ac:dyDescent="0.25">
      <c r="A47" s="243" t="s">
        <v>831</v>
      </c>
      <c r="B47" s="260">
        <f>GL676</f>
        <v>0.88895346623610971</v>
      </c>
      <c r="C47" s="261"/>
      <c r="O47" s="238"/>
      <c r="AA47" s="238"/>
      <c r="AG47" s="3"/>
      <c r="AS47" s="238" t="s">
        <v>344</v>
      </c>
      <c r="AT47" s="1">
        <f>1-AT44</f>
        <v>0.99238705303517338</v>
      </c>
      <c r="AU47" s="1" t="s">
        <v>345</v>
      </c>
      <c r="AV47" s="1">
        <f>AT47*AP44</f>
        <v>1.0591018611479236E-2</v>
      </c>
      <c r="AW47" s="1" t="s">
        <v>346</v>
      </c>
      <c r="AX47" s="1">
        <f>AT47*AR44</f>
        <v>1.0591018611479236E-2</v>
      </c>
      <c r="AY47" s="1">
        <f>AY44+1</f>
        <v>12</v>
      </c>
      <c r="BA47" s="1">
        <f>det_cost_comparator*AV47</f>
        <v>0</v>
      </c>
      <c r="BB47" s="1">
        <f>$AV47*(VLOOKUP($AY47,'Pregnancy costs and utilities'!$A$23:$H$158,3))</f>
        <v>88.590906856363716</v>
      </c>
      <c r="BC47" s="1">
        <f>SUM(BA47:BB47)</f>
        <v>88.590906856363716</v>
      </c>
      <c r="BE47" s="1">
        <f>$AV47*(VLOOKUP($AY47,'Pregnancy costs and utilities'!$A$23:$I$158,9))</f>
        <v>6.721223349592592E-3</v>
      </c>
      <c r="BF47" s="1">
        <f>$AV47*(VLOOKUP($AY47,'Pregnancy costs and utilities'!$A$23:$H$158,7))</f>
        <v>6.6338474460478879E-3</v>
      </c>
      <c r="BH47" s="1">
        <f>$BA47</f>
        <v>0</v>
      </c>
      <c r="BI47" s="1">
        <f>$AX47*(VLOOKUP($AY47,'Pregnancy costs and utilities'!$A$23:$H$158,5))</f>
        <v>168.76310669918593</v>
      </c>
      <c r="BJ47" s="3">
        <f>SUM(BH47:BI47)</f>
        <v>168.76310669918593</v>
      </c>
      <c r="BK47" s="3"/>
      <c r="BL47" s="3">
        <f>BC47+BI47</f>
        <v>257.35401355554961</v>
      </c>
      <c r="BN47" s="1" t="str">
        <f>IF(AV47=AX47,"Okay",IF(AV47&gt;AX47,"Lost infant","Gained infant"))</f>
        <v>Okay</v>
      </c>
    </row>
    <row r="48" spans="1:66" x14ac:dyDescent="0.25">
      <c r="A48" s="243" t="s">
        <v>832</v>
      </c>
      <c r="B48" s="260">
        <f>GM676</f>
        <v>0.11104653376389041</v>
      </c>
      <c r="C48" s="261"/>
      <c r="O48" s="238"/>
      <c r="AA48" s="238"/>
      <c r="AG48" s="3"/>
      <c r="AS48" s="240" t="s">
        <v>371</v>
      </c>
      <c r="AT48" s="235"/>
      <c r="AU48" s="235"/>
      <c r="AV48" s="235"/>
      <c r="AW48" s="235"/>
      <c r="AX48" s="235"/>
      <c r="AY48" s="235"/>
      <c r="AZ48" s="235"/>
      <c r="BA48" s="235"/>
      <c r="BB48" s="235"/>
      <c r="BC48" s="235"/>
      <c r="BD48" s="235"/>
      <c r="BE48" s="235"/>
      <c r="BF48" s="235"/>
      <c r="BG48" s="235"/>
      <c r="BH48" s="235"/>
      <c r="BI48" s="235"/>
      <c r="BJ48" s="235"/>
      <c r="BK48" s="235"/>
      <c r="BL48" s="235"/>
      <c r="BM48" s="235"/>
      <c r="BN48" s="235"/>
    </row>
    <row r="49" spans="1:66" x14ac:dyDescent="0.25">
      <c r="A49" s="243" t="s">
        <v>833</v>
      </c>
      <c r="B49" s="260">
        <f>GN676</f>
        <v>0.24622529358385259</v>
      </c>
      <c r="C49" s="261"/>
      <c r="O49" s="238"/>
      <c r="U49" s="236" t="s">
        <v>384</v>
      </c>
      <c r="V49" s="237"/>
      <c r="W49" s="237"/>
      <c r="X49" s="237"/>
      <c r="Y49" s="237"/>
      <c r="Z49" s="371"/>
      <c r="AA49" s="238"/>
      <c r="AM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</row>
    <row r="50" spans="1:66" x14ac:dyDescent="0.25">
      <c r="A50" s="243" t="s">
        <v>912</v>
      </c>
      <c r="B50" s="250">
        <f>GA676/Cohort</f>
        <v>10.244293612711276</v>
      </c>
      <c r="C50" s="251"/>
      <c r="O50" s="238"/>
      <c r="U50" s="238" t="s">
        <v>344</v>
      </c>
      <c r="V50" s="3">
        <f>DET_NS_abruption</f>
        <v>3.6151153498095757E-3</v>
      </c>
      <c r="W50" s="3" t="s">
        <v>345</v>
      </c>
      <c r="X50" s="3">
        <f>V50*R144</f>
        <v>6.5823914317120577E-2</v>
      </c>
      <c r="Y50" s="3" t="s">
        <v>346</v>
      </c>
      <c r="Z50" s="370">
        <f>V50*T144</f>
        <v>6.5823914317120577E-2</v>
      </c>
      <c r="AA50" s="238"/>
      <c r="AM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</row>
    <row r="51" spans="1:66" x14ac:dyDescent="0.25">
      <c r="A51" s="243" t="s">
        <v>913</v>
      </c>
      <c r="B51" s="250">
        <f>GE676/Cohort</f>
        <v>10.109740724516852</v>
      </c>
      <c r="C51" s="251"/>
      <c r="O51" s="238"/>
      <c r="U51" s="238"/>
      <c r="AA51" s="238"/>
      <c r="AM51" s="3"/>
      <c r="AS51" s="236" t="s">
        <v>362</v>
      </c>
      <c r="AT51" s="237"/>
      <c r="AU51" s="237"/>
      <c r="AV51" s="237"/>
      <c r="AW51" s="237"/>
      <c r="AX51" s="237"/>
      <c r="AY51" s="237"/>
      <c r="AZ51" s="237"/>
      <c r="BA51" s="237"/>
      <c r="BB51" s="237"/>
      <c r="BC51" s="237"/>
      <c r="BD51" s="237"/>
      <c r="BE51" s="237"/>
      <c r="BF51" s="237"/>
      <c r="BG51" s="237"/>
      <c r="BH51" s="237"/>
      <c r="BI51" s="237"/>
      <c r="BJ51" s="237"/>
      <c r="BK51" s="237"/>
      <c r="BL51" s="237"/>
      <c r="BM51" s="237"/>
      <c r="BN51" s="237"/>
    </row>
    <row r="52" spans="1:66" ht="15.75" thickBot="1" x14ac:dyDescent="0.3">
      <c r="A52" s="244"/>
      <c r="B52" s="254"/>
      <c r="C52" s="255"/>
      <c r="O52" s="238"/>
      <c r="U52" s="238"/>
      <c r="AA52" s="238"/>
      <c r="AM52" s="3"/>
      <c r="AS52" s="238" t="s">
        <v>344</v>
      </c>
      <c r="AT52" s="3">
        <f>DET_NS_stillbirth_lbw_fullgest</f>
        <v>1.5360924440585004E-2</v>
      </c>
      <c r="AU52" s="3" t="s">
        <v>345</v>
      </c>
      <c r="AV52" s="3">
        <f>AT52*AP55</f>
        <v>4.7202289144549419E-9</v>
      </c>
      <c r="AW52" s="3" t="s">
        <v>346</v>
      </c>
      <c r="AX52" s="3">
        <f>AT52*AR55</f>
        <v>4.7202289144549419E-9</v>
      </c>
      <c r="AY52" s="3">
        <f>AY47+1</f>
        <v>13</v>
      </c>
      <c r="AZ52" s="3"/>
      <c r="BA52" s="3">
        <f>det_cost_comparator*AV52</f>
        <v>0</v>
      </c>
      <c r="BB52" s="3">
        <f>$AV52*(VLOOKUP($AY52,'Pregnancy costs and utilities'!$A$23:$H$158,3))</f>
        <v>4.1928319009963386E-5</v>
      </c>
      <c r="BC52" s="3">
        <f>SUM(BA52:BB52)</f>
        <v>4.1928319009963386E-5</v>
      </c>
      <c r="BD52" s="3"/>
      <c r="BE52" s="3">
        <f>$AV52*(VLOOKUP($AY52,'Pregnancy costs and utilities'!$A$23:$I$158,9))</f>
        <v>0</v>
      </c>
      <c r="BF52" s="3">
        <f>$AV52*(VLOOKUP($AY52,'Pregnancy costs and utilities'!$A$23:$H$158,7))</f>
        <v>0</v>
      </c>
      <c r="BG52" s="3"/>
      <c r="BH52" s="3">
        <f>$BA52</f>
        <v>0</v>
      </c>
      <c r="BI52" s="3">
        <f>$AX52*(VLOOKUP($AY52,'Pregnancy costs and utilities'!$A$23:$H$158,5))</f>
        <v>5.018909393186609E-6</v>
      </c>
      <c r="BJ52" s="3">
        <f>SUM(BH52:BI52)</f>
        <v>5.018909393186609E-6</v>
      </c>
      <c r="BK52" s="3"/>
      <c r="BL52" s="3">
        <f>BC52+BI52</f>
        <v>4.6947228403149993E-5</v>
      </c>
      <c r="BN52" s="1" t="str">
        <f>IF(AV52=AX52,"Okay",IF(AV52&gt;AX52,"Lost infant","Gained infant"))</f>
        <v>Okay</v>
      </c>
    </row>
    <row r="53" spans="1:66" x14ac:dyDescent="0.25">
      <c r="A53" s="242"/>
      <c r="B53" s="399"/>
      <c r="C53" s="2"/>
      <c r="O53" s="238"/>
      <c r="U53" s="238"/>
      <c r="AA53" s="238"/>
      <c r="AM53" s="3"/>
      <c r="AS53" s="238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</row>
    <row r="54" spans="1:66" x14ac:dyDescent="0.25">
      <c r="A54" s="246" t="s">
        <v>914</v>
      </c>
      <c r="B54" s="258" t="s">
        <v>1085</v>
      </c>
      <c r="C54" s="259"/>
      <c r="O54" s="238"/>
      <c r="U54" s="238"/>
      <c r="AA54" s="238"/>
      <c r="AM54" s="236" t="s">
        <v>360</v>
      </c>
      <c r="AN54" s="237"/>
      <c r="AO54" s="237"/>
      <c r="AP54" s="237"/>
      <c r="AQ54" s="237"/>
      <c r="AR54" s="371"/>
      <c r="AS54" s="238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</row>
    <row r="55" spans="1:66" x14ac:dyDescent="0.25">
      <c r="A55" s="243" t="s">
        <v>726</v>
      </c>
      <c r="B55" s="252">
        <f>(VLOOKUP(reference_age,$AM$555:$AO$655,3)+GR676)/Cohort</f>
        <v>29865.462969830736</v>
      </c>
      <c r="C55" s="251"/>
      <c r="O55" s="238"/>
      <c r="U55" s="238"/>
      <c r="AA55" s="238"/>
      <c r="AM55" s="238" t="s">
        <v>344</v>
      </c>
      <c r="AN55" s="3">
        <f>DET_NS_lbw_fullgest</f>
        <v>2.6941954581366025E-2</v>
      </c>
      <c r="AO55" s="3" t="s">
        <v>345</v>
      </c>
      <c r="AP55" s="3">
        <f>AN55*AJ59</f>
        <v>3.0728807583895501E-7</v>
      </c>
      <c r="AQ55" s="3" t="s">
        <v>346</v>
      </c>
      <c r="AR55" s="370">
        <f>AN55*AL59</f>
        <v>3.0728807583895501E-7</v>
      </c>
      <c r="AS55" s="238" t="s">
        <v>344</v>
      </c>
      <c r="AT55" s="3">
        <f>1-AT52</f>
        <v>0.98463907555941499</v>
      </c>
      <c r="AU55" s="3" t="s">
        <v>345</v>
      </c>
      <c r="AV55" s="3">
        <f>AT55*AP55</f>
        <v>3.0256784692450005E-7</v>
      </c>
      <c r="AW55" s="3" t="s">
        <v>346</v>
      </c>
      <c r="AX55" s="3">
        <f>AT55*AR55</f>
        <v>3.0256784692450005E-7</v>
      </c>
      <c r="AY55" s="3">
        <f>AY52+1</f>
        <v>14</v>
      </c>
      <c r="AZ55" s="3"/>
      <c r="BA55" s="3">
        <f>det_cost_comparator*AV55</f>
        <v>0</v>
      </c>
      <c r="BB55" s="3">
        <f>$AV55*(VLOOKUP($AY55,'Pregnancy costs and utilities'!$A$23:$H$158,3))</f>
        <v>2.6876156724431051E-3</v>
      </c>
      <c r="BC55" s="3">
        <f>SUM(BA55:BB55)</f>
        <v>2.6876156724431051E-3</v>
      </c>
      <c r="BD55" s="3"/>
      <c r="BE55" s="3">
        <f>$AV55*(VLOOKUP($AY55,'Pregnancy costs and utilities'!$A$23:$I$158,9))</f>
        <v>0</v>
      </c>
      <c r="BF55" s="3">
        <f>$AV55*(VLOOKUP($AY55,'Pregnancy costs and utilities'!$A$23:$H$158,7))</f>
        <v>0</v>
      </c>
      <c r="BG55" s="3"/>
      <c r="BH55" s="3">
        <f>$BA55</f>
        <v>0</v>
      </c>
      <c r="BI55" s="3">
        <f>$AX55*(VLOOKUP($AY55,'Pregnancy costs and utilities'!$A$23:$H$158,5))</f>
        <v>8.0055450067800424E-4</v>
      </c>
      <c r="BJ55" s="3">
        <f>SUM(BH55:BI55)</f>
        <v>8.0055450067800424E-4</v>
      </c>
      <c r="BK55" s="3"/>
      <c r="BL55" s="3">
        <f>BC55+BI55</f>
        <v>3.4881701731211091E-3</v>
      </c>
      <c r="BN55" s="1" t="str">
        <f>IF(AV55=AX55,"Okay",IF(AV55&gt;AX55,"Lost infant","Gained infant"))</f>
        <v>Okay</v>
      </c>
    </row>
    <row r="56" spans="1:66" x14ac:dyDescent="0.25">
      <c r="A56" s="243" t="s">
        <v>915</v>
      </c>
      <c r="B56" s="397">
        <f>B41+B50</f>
        <v>35.424029346900568</v>
      </c>
      <c r="C56" s="251"/>
      <c r="D56" s="342"/>
      <c r="E56" s="342"/>
      <c r="O56" s="238"/>
      <c r="U56" s="238"/>
      <c r="AA56" s="238"/>
      <c r="AM56" s="238"/>
      <c r="AS56" s="240" t="s">
        <v>363</v>
      </c>
      <c r="AT56" s="235"/>
      <c r="AU56" s="235"/>
      <c r="AV56" s="235"/>
      <c r="AW56" s="235"/>
      <c r="AX56" s="235"/>
      <c r="AY56" s="235"/>
      <c r="AZ56" s="235"/>
      <c r="BA56" s="235"/>
      <c r="BB56" s="235"/>
      <c r="BC56" s="235"/>
      <c r="BD56" s="235"/>
      <c r="BE56" s="235"/>
      <c r="BF56" s="235"/>
      <c r="BG56" s="235"/>
      <c r="BH56" s="235"/>
      <c r="BI56" s="235"/>
      <c r="BJ56" s="235"/>
      <c r="BK56" s="235"/>
      <c r="BL56" s="235"/>
      <c r="BM56" s="235"/>
      <c r="BN56" s="235"/>
    </row>
    <row r="57" spans="1:66" x14ac:dyDescent="0.25">
      <c r="A57" s="243" t="s">
        <v>916</v>
      </c>
      <c r="B57" s="397">
        <f>B42+B51</f>
        <v>33.226215683037921</v>
      </c>
      <c r="C57" s="251"/>
      <c r="O57" s="238"/>
      <c r="U57" s="238"/>
      <c r="AA57" s="238"/>
      <c r="AM57" s="238"/>
    </row>
    <row r="58" spans="1:66" ht="15.75" thickBot="1" x14ac:dyDescent="0.3">
      <c r="A58" s="244"/>
      <c r="B58" s="254"/>
      <c r="C58" s="255"/>
      <c r="O58" s="238"/>
      <c r="U58" s="238"/>
      <c r="AA58" s="238"/>
      <c r="AG58" s="236" t="s">
        <v>376</v>
      </c>
      <c r="AH58" s="237"/>
      <c r="AI58" s="237"/>
      <c r="AJ58" s="237"/>
      <c r="AK58" s="237"/>
      <c r="AL58" s="371"/>
      <c r="AM58" s="238"/>
    </row>
    <row r="59" spans="1:66" x14ac:dyDescent="0.25">
      <c r="A59" s="242"/>
      <c r="B59" s="399"/>
      <c r="C59" s="2"/>
      <c r="O59" s="238"/>
      <c r="U59" s="238"/>
      <c r="AA59" s="238"/>
      <c r="AG59" s="238" t="s">
        <v>344</v>
      </c>
      <c r="AH59" s="3">
        <f>DET_MORT_abruption</f>
        <v>2.7833911999999947E-4</v>
      </c>
      <c r="AI59" s="3" t="s">
        <v>345</v>
      </c>
      <c r="AJ59" s="3">
        <f>AH59*AD64</f>
        <v>1.1405559864297519E-5</v>
      </c>
      <c r="AK59" s="3" t="s">
        <v>346</v>
      </c>
      <c r="AL59" s="370">
        <f>AH59*AF64</f>
        <v>1.1405559864297519E-5</v>
      </c>
      <c r="AM59" s="238"/>
      <c r="AS59" s="236" t="s">
        <v>364</v>
      </c>
      <c r="AT59" s="237"/>
      <c r="AU59" s="237"/>
      <c r="AV59" s="237"/>
      <c r="AW59" s="237"/>
      <c r="AX59" s="237"/>
      <c r="AY59" s="237"/>
      <c r="AZ59" s="237"/>
      <c r="BA59" s="237"/>
      <c r="BB59" s="237"/>
      <c r="BC59" s="237"/>
      <c r="BD59" s="237"/>
      <c r="BE59" s="237"/>
      <c r="BF59" s="237"/>
      <c r="BG59" s="237"/>
      <c r="BH59" s="237"/>
      <c r="BI59" s="237"/>
      <c r="BJ59" s="237"/>
      <c r="BK59" s="237"/>
      <c r="BL59" s="237"/>
      <c r="BM59" s="237"/>
      <c r="BN59" s="237"/>
    </row>
    <row r="60" spans="1:66" x14ac:dyDescent="0.25">
      <c r="A60" s="246" t="s">
        <v>949</v>
      </c>
      <c r="B60" s="258" t="s">
        <v>1085</v>
      </c>
      <c r="C60" s="259"/>
      <c r="O60" s="238"/>
      <c r="U60" s="238"/>
      <c r="AA60" s="238"/>
      <c r="AG60" s="238"/>
      <c r="AM60" s="238" t="s">
        <v>344</v>
      </c>
      <c r="AN60" s="1">
        <f>1-AN55</f>
        <v>0.97305804541863394</v>
      </c>
      <c r="AO60" s="1" t="s">
        <v>345</v>
      </c>
      <c r="AP60" s="1">
        <f>AN60*AJ59</f>
        <v>1.1098271788458563E-5</v>
      </c>
      <c r="AQ60" s="1" t="s">
        <v>346</v>
      </c>
      <c r="AR60" s="1">
        <f>AN60*AL59</f>
        <v>1.1098271788458563E-5</v>
      </c>
      <c r="AS60" s="238" t="s">
        <v>344</v>
      </c>
      <c r="AT60" s="3">
        <f>DET_NS_stillbirth_nbw_fullgest</f>
        <v>1.6109941848144384E-3</v>
      </c>
      <c r="AU60" s="3" t="s">
        <v>345</v>
      </c>
      <c r="AV60" s="3">
        <f>AT60*AP60</f>
        <v>1.7879251312696881E-8</v>
      </c>
      <c r="AW60" s="3" t="s">
        <v>346</v>
      </c>
      <c r="AX60" s="3">
        <f>AT60*AR60</f>
        <v>1.7879251312696881E-8</v>
      </c>
      <c r="AY60" s="3">
        <f>AY55+1</f>
        <v>15</v>
      </c>
      <c r="AZ60" s="3"/>
      <c r="BA60" s="3">
        <f>det_cost_comparator*AV60</f>
        <v>0</v>
      </c>
      <c r="BB60" s="3">
        <f>$AV60*(VLOOKUP($AY60,'Pregnancy costs and utilities'!$A$23:$H$158,3))</f>
        <v>1.5881580454761172E-4</v>
      </c>
      <c r="BC60" s="3">
        <f>SUM(BA60:BB60)</f>
        <v>1.5881580454761172E-4</v>
      </c>
      <c r="BD60" s="3"/>
      <c r="BE60" s="3">
        <f>$AV60*(VLOOKUP($AY60,'Pregnancy costs and utilities'!$A$23:$I$158,9))</f>
        <v>0</v>
      </c>
      <c r="BF60" s="3">
        <f>$AV60*(VLOOKUP($AY60,'Pregnancy costs and utilities'!$A$23:$H$158,7))</f>
        <v>0</v>
      </c>
      <c r="BG60" s="3"/>
      <c r="BH60" s="3">
        <f>$BA60</f>
        <v>0</v>
      </c>
      <c r="BI60" s="3">
        <f>$AX60*(VLOOKUP($AY60,'Pregnancy costs and utilities'!$A$23:$H$158,5))</f>
        <v>1.9010591219769318E-5</v>
      </c>
      <c r="BJ60" s="3">
        <f>SUM(BH60:BI60)</f>
        <v>1.9010591219769318E-5</v>
      </c>
      <c r="BK60" s="3"/>
      <c r="BL60" s="3">
        <f>BC60+BI60</f>
        <v>1.7782639576738104E-4</v>
      </c>
      <c r="BN60" s="1" t="str">
        <f>IF(AV60=AX60,"Okay",IF(AV60&gt;AX60,"Lost infant","Gained infant"))</f>
        <v>Okay</v>
      </c>
    </row>
    <row r="61" spans="1:66" ht="18.75" x14ac:dyDescent="0.25">
      <c r="A61" s="243" t="s">
        <v>725</v>
      </c>
      <c r="B61" s="252">
        <f ca="1">VLOOKUP(reference_age,$DV$681:$DX$766,3)/Cohort</f>
        <v>11773.864195158543</v>
      </c>
      <c r="C61" s="253"/>
      <c r="D61" s="375"/>
      <c r="E61" s="375"/>
      <c r="F61" s="375"/>
      <c r="H61" s="375"/>
      <c r="O61" s="238"/>
      <c r="U61" s="238"/>
      <c r="V61" s="3"/>
      <c r="W61" s="3"/>
      <c r="X61" s="3"/>
      <c r="Y61" s="3"/>
      <c r="Z61" s="370"/>
      <c r="AA61" s="238"/>
      <c r="AG61" s="238"/>
      <c r="AM61" s="240" t="s">
        <v>361</v>
      </c>
      <c r="AN61" s="235"/>
      <c r="AO61" s="235"/>
      <c r="AP61" s="235"/>
      <c r="AQ61" s="235"/>
      <c r="AR61" s="239"/>
      <c r="AS61" s="238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</row>
    <row r="62" spans="1:66" ht="18.75" x14ac:dyDescent="0.25">
      <c r="A62" s="243" t="s">
        <v>950</v>
      </c>
      <c r="B62" s="260">
        <f ca="1">VLOOKUP(reference_age,$DZ$681:$ED$766,2)</f>
        <v>0.2974375532749769</v>
      </c>
      <c r="C62" s="261"/>
      <c r="D62" s="375"/>
      <c r="E62" s="375"/>
      <c r="F62" s="375"/>
      <c r="H62" s="375"/>
      <c r="O62" s="238"/>
      <c r="U62" s="238"/>
      <c r="AA62" s="238"/>
      <c r="AG62" s="238"/>
      <c r="AS62" s="238"/>
    </row>
    <row r="63" spans="1:66" x14ac:dyDescent="0.25">
      <c r="A63" s="243" t="s">
        <v>951</v>
      </c>
      <c r="B63" s="260">
        <f ca="1">VLOOKUP(reference_age,$DZ$681:$ED$766,3)</f>
        <v>0.70256244672502344</v>
      </c>
      <c r="C63" s="261"/>
      <c r="O63" s="238"/>
      <c r="U63" s="238"/>
      <c r="AA63" s="238"/>
      <c r="AG63" s="238"/>
      <c r="AS63" s="238" t="s">
        <v>344</v>
      </c>
      <c r="AT63" s="3">
        <f>1-AT60</f>
        <v>0.99838900581518553</v>
      </c>
      <c r="AU63" s="3" t="s">
        <v>345</v>
      </c>
      <c r="AV63" s="3">
        <f>AT63*AP60</f>
        <v>1.1080392537145865E-5</v>
      </c>
      <c r="AW63" s="3" t="s">
        <v>346</v>
      </c>
      <c r="AX63" s="3">
        <f>AT63*AR60</f>
        <v>1.1080392537145865E-5</v>
      </c>
      <c r="AY63" s="3">
        <f>AY60+1</f>
        <v>16</v>
      </c>
      <c r="AZ63" s="3"/>
      <c r="BA63" s="3">
        <f>det_cost_comparator*AV63</f>
        <v>0</v>
      </c>
      <c r="BB63" s="3">
        <f>$AV63*(VLOOKUP($AY63,'Pregnancy costs and utilities'!$A$23:$H$158,3))</f>
        <v>9.8423665773996902E-2</v>
      </c>
      <c r="BC63" s="3">
        <f>SUM(BA63:BB63)</f>
        <v>9.8423665773996902E-2</v>
      </c>
      <c r="BD63" s="3"/>
      <c r="BE63" s="3">
        <f>$AV63*(VLOOKUP($AY63,'Pregnancy costs and utilities'!$A$23:$I$158,9))</f>
        <v>0</v>
      </c>
      <c r="BF63" s="3">
        <f>$AV63*(VLOOKUP($AY63,'Pregnancy costs and utilities'!$A$23:$H$158,7))</f>
        <v>0</v>
      </c>
      <c r="BG63" s="3"/>
      <c r="BH63" s="3">
        <f>$BA63</f>
        <v>0</v>
      </c>
      <c r="BI63" s="3">
        <f>$AX63*(VLOOKUP($AY63,'Pregnancy costs and utilities'!$A$23:$H$158,5))</f>
        <v>2.9317252989887403E-2</v>
      </c>
      <c r="BJ63" s="3">
        <f>SUM(BH63:BI63)</f>
        <v>2.9317252989887403E-2</v>
      </c>
      <c r="BK63" s="3"/>
      <c r="BL63" s="3">
        <f>BC63+BI63</f>
        <v>0.1277409187638843</v>
      </c>
      <c r="BN63" s="1" t="str">
        <f>IF(AV63=AX63,"Okay",IF(AV63&gt;AX63,"Lost infant","Gained infant"))</f>
        <v>Okay</v>
      </c>
    </row>
    <row r="64" spans="1:66" x14ac:dyDescent="0.25">
      <c r="A64" s="243" t="s">
        <v>833</v>
      </c>
      <c r="B64" s="260">
        <f ca="1">VLOOKUP(reference_age,$DZ$681:$ED$766,4)</f>
        <v>0.14186613035250065</v>
      </c>
      <c r="C64" s="261"/>
      <c r="O64" s="238"/>
      <c r="U64" s="238"/>
      <c r="AA64" s="238" t="s">
        <v>344</v>
      </c>
      <c r="AB64" s="1">
        <f>1-AB33</f>
        <v>0.62252766163297868</v>
      </c>
      <c r="AC64" s="1" t="s">
        <v>345</v>
      </c>
      <c r="AD64" s="1">
        <f>AB64*X50</f>
        <v>4.0977207459366623E-2</v>
      </c>
      <c r="AE64" s="1" t="s">
        <v>346</v>
      </c>
      <c r="AF64" s="1">
        <f>AB64*Z50</f>
        <v>4.0977207459366623E-2</v>
      </c>
      <c r="AG64" s="238"/>
      <c r="AS64" s="240" t="s">
        <v>365</v>
      </c>
      <c r="AT64" s="235"/>
      <c r="AU64" s="235"/>
      <c r="AV64" s="235"/>
      <c r="AW64" s="235"/>
      <c r="AX64" s="235"/>
      <c r="AY64" s="235"/>
      <c r="AZ64" s="235"/>
      <c r="BA64" s="235"/>
      <c r="BB64" s="235"/>
      <c r="BC64" s="235"/>
      <c r="BD64" s="235"/>
      <c r="BE64" s="235"/>
      <c r="BF64" s="235"/>
      <c r="BG64" s="235"/>
      <c r="BH64" s="235"/>
      <c r="BI64" s="235"/>
      <c r="BJ64" s="235"/>
      <c r="BK64" s="235"/>
      <c r="BL64" s="235"/>
      <c r="BM64" s="235"/>
      <c r="BN64" s="235"/>
    </row>
    <row r="65" spans="1:66" x14ac:dyDescent="0.25">
      <c r="A65" s="243" t="s">
        <v>952</v>
      </c>
      <c r="B65" s="260">
        <f ca="1">VLOOKUP(reference_age,$DZ$681:$ED$766,5)</f>
        <v>0.14989253738125774</v>
      </c>
      <c r="C65" s="261"/>
      <c r="O65" s="238"/>
      <c r="U65" s="238"/>
      <c r="AA65" s="240" t="s">
        <v>375</v>
      </c>
      <c r="AB65" s="235"/>
      <c r="AC65" s="235"/>
      <c r="AD65" s="235"/>
      <c r="AE65" s="235"/>
      <c r="AF65" s="235"/>
      <c r="AG65" s="238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</row>
    <row r="66" spans="1:66" x14ac:dyDescent="0.25">
      <c r="A66" s="243" t="s">
        <v>912</v>
      </c>
      <c r="B66" s="250">
        <f ca="1">VLOOKUP(reference_age,$DN$681:$DP$766,3)/Cohort</f>
        <v>24.072134330801699</v>
      </c>
      <c r="C66" s="262"/>
      <c r="O66" s="238"/>
      <c r="U66" s="238"/>
      <c r="AA66" s="237"/>
      <c r="AG66" s="238"/>
      <c r="AM66" s="3"/>
      <c r="AN66" s="3"/>
      <c r="AO66" s="3"/>
      <c r="AP66" s="3"/>
      <c r="AQ66" s="3"/>
      <c r="AR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</row>
    <row r="67" spans="1:66" x14ac:dyDescent="0.25">
      <c r="A67" s="243" t="s">
        <v>913</v>
      </c>
      <c r="B67" s="250">
        <f ca="1">VLOOKUP(reference_age,$DR$681:$DT$766,3)/Cohort</f>
        <v>23.544884983817489</v>
      </c>
      <c r="C67" s="251"/>
      <c r="O67" s="238"/>
      <c r="U67" s="238"/>
      <c r="AA67" s="3"/>
      <c r="AG67" s="238"/>
      <c r="AS67" s="236" t="s">
        <v>380</v>
      </c>
      <c r="AT67" s="237"/>
      <c r="AU67" s="237"/>
      <c r="AV67" s="237"/>
      <c r="AW67" s="237"/>
      <c r="AX67" s="237"/>
      <c r="AY67" s="237"/>
      <c r="AZ67" s="237"/>
      <c r="BA67" s="237"/>
      <c r="BB67" s="237"/>
      <c r="BC67" s="237"/>
      <c r="BD67" s="237"/>
      <c r="BE67" s="237"/>
      <c r="BF67" s="237"/>
      <c r="BG67" s="237"/>
      <c r="BH67" s="237"/>
      <c r="BI67" s="237"/>
      <c r="BJ67" s="237"/>
      <c r="BK67" s="237"/>
      <c r="BL67" s="237"/>
      <c r="BM67" s="237"/>
      <c r="BN67" s="237"/>
    </row>
    <row r="68" spans="1:66" ht="15.75" thickBot="1" x14ac:dyDescent="0.3">
      <c r="A68" s="244"/>
      <c r="B68" s="254"/>
      <c r="C68" s="255"/>
      <c r="O68" s="238"/>
      <c r="U68" s="238"/>
      <c r="AA68" s="3"/>
      <c r="AG68" s="238"/>
      <c r="AS68" s="238" t="s">
        <v>344</v>
      </c>
      <c r="AT68" s="3">
        <f>DET_NS_stillbirth_lbw_fullgest</f>
        <v>1.5360924440585004E-2</v>
      </c>
      <c r="AU68" s="3" t="s">
        <v>345</v>
      </c>
      <c r="AV68" s="3">
        <f>AT68*AP71</f>
        <v>1.6953833475124528E-5</v>
      </c>
      <c r="AW68" s="3" t="s">
        <v>346</v>
      </c>
      <c r="AX68" s="3">
        <f>AT68*AR71</f>
        <v>1.6953833475124528E-5</v>
      </c>
      <c r="AY68" s="3">
        <f>AY63+1</f>
        <v>17</v>
      </c>
      <c r="AZ68" s="3"/>
      <c r="BA68" s="3">
        <f>det_cost_comparator*AV68</f>
        <v>0</v>
      </c>
      <c r="BB68" s="3">
        <f>$AV68*(VLOOKUP($AY68,'Pregnancy costs and utilities'!$A$23:$H$158,3))</f>
        <v>0.12294424569671114</v>
      </c>
      <c r="BC68" s="3">
        <f>SUM(BA68:BB68)</f>
        <v>0.12294424569671114</v>
      </c>
      <c r="BD68" s="3"/>
      <c r="BE68" s="3">
        <f>$AV68*(VLOOKUP($AY68,'Pregnancy costs and utilities'!$A$23:$I$158,9))</f>
        <v>1.2715375106343396E-5</v>
      </c>
      <c r="BF68" s="3">
        <f>$AV68*(VLOOKUP($AY68,'Pregnancy costs and utilities'!$A$23:$H$158,7))</f>
        <v>1.1278537719326595E-5</v>
      </c>
      <c r="BG68" s="3"/>
      <c r="BH68" s="3">
        <f>$BA68</f>
        <v>0</v>
      </c>
      <c r="BI68" s="3">
        <f>$AX68*(VLOOKUP($AY68,'Pregnancy costs and utilities'!$A$23:$H$158,5))</f>
        <v>1.8026616001238917E-2</v>
      </c>
      <c r="BJ68" s="3">
        <f>SUM(BH68:BI68)</f>
        <v>1.8026616001238917E-2</v>
      </c>
      <c r="BK68" s="3"/>
      <c r="BL68" s="3">
        <f>BC68+BI68</f>
        <v>0.14097086169795006</v>
      </c>
      <c r="BN68" s="1" t="str">
        <f>IF(AV68=AX68,"Okay",IF(AV68&gt;AX68,"Lost infant","Gained infant"))</f>
        <v>Okay</v>
      </c>
    </row>
    <row r="69" spans="1:66" x14ac:dyDescent="0.25">
      <c r="A69" s="242"/>
      <c r="B69" s="399"/>
      <c r="C69" s="2"/>
      <c r="O69" s="238"/>
      <c r="U69" s="238"/>
      <c r="AA69" s="3"/>
      <c r="AF69" s="3"/>
      <c r="AG69" s="238"/>
      <c r="AH69" s="3"/>
      <c r="AI69" s="3"/>
      <c r="AJ69" s="3"/>
      <c r="AK69" s="3"/>
      <c r="AL69" s="3"/>
      <c r="AM69" s="3"/>
      <c r="AS69" s="238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</row>
    <row r="70" spans="1:66" x14ac:dyDescent="0.25">
      <c r="A70" s="246" t="s">
        <v>914</v>
      </c>
      <c r="B70" s="258" t="s">
        <v>1085</v>
      </c>
      <c r="C70" s="259"/>
      <c r="O70" s="238"/>
      <c r="U70" s="238"/>
      <c r="AA70" s="3"/>
      <c r="AF70" s="3"/>
      <c r="AG70" s="238"/>
      <c r="AH70" s="3"/>
      <c r="AI70" s="3"/>
      <c r="AJ70" s="3"/>
      <c r="AK70" s="3"/>
      <c r="AL70" s="3"/>
      <c r="AM70" s="236" t="s">
        <v>378</v>
      </c>
      <c r="AN70" s="237"/>
      <c r="AO70" s="237"/>
      <c r="AP70" s="237"/>
      <c r="AQ70" s="237"/>
      <c r="AR70" s="371"/>
      <c r="AS70" s="238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</row>
    <row r="71" spans="1:66" x14ac:dyDescent="0.25">
      <c r="A71" s="243" t="s">
        <v>726</v>
      </c>
      <c r="B71" s="252">
        <f ca="1">(VLOOKUP(reference_age,$AM$555:$AO$655,3)+VLOOKUP(reference_age,$EF$681:$EH$766,3))/Cohort</f>
        <v>36176.399584121689</v>
      </c>
      <c r="C71" s="253"/>
      <c r="O71" s="238"/>
      <c r="U71" s="238"/>
      <c r="AA71" s="3"/>
      <c r="AF71" s="3"/>
      <c r="AG71" s="238"/>
      <c r="AH71" s="3"/>
      <c r="AI71" s="3"/>
      <c r="AJ71" s="3"/>
      <c r="AK71" s="3"/>
      <c r="AL71" s="3"/>
      <c r="AM71" s="238" t="s">
        <v>344</v>
      </c>
      <c r="AN71" s="3">
        <f>DET_NS_lbw_fullgest</f>
        <v>2.6941954581366025E-2</v>
      </c>
      <c r="AO71" s="3" t="s">
        <v>345</v>
      </c>
      <c r="AP71" s="3">
        <f>AN71*AJ72</f>
        <v>1.1036987741656296E-3</v>
      </c>
      <c r="AQ71" s="3" t="s">
        <v>346</v>
      </c>
      <c r="AR71" s="370">
        <f>AN71*AL72</f>
        <v>1.1036987741656296E-3</v>
      </c>
      <c r="AS71" s="238" t="s">
        <v>344</v>
      </c>
      <c r="AT71" s="3">
        <f>1-AT68</f>
        <v>0.98463907555941499</v>
      </c>
      <c r="AU71" s="3" t="s">
        <v>345</v>
      </c>
      <c r="AV71" s="3">
        <f>AT71*AP71</f>
        <v>1.086744940690505E-3</v>
      </c>
      <c r="AW71" s="3" t="s">
        <v>346</v>
      </c>
      <c r="AX71" s="3">
        <f>AT71*AR71</f>
        <v>1.086744940690505E-3</v>
      </c>
      <c r="AY71" s="3">
        <f>AY68+1</f>
        <v>18</v>
      </c>
      <c r="AZ71" s="3"/>
      <c r="BA71" s="3">
        <f>det_cost_comparator*AV71</f>
        <v>0</v>
      </c>
      <c r="BB71" s="3">
        <f>$AV71*(VLOOKUP($AY71,'Pregnancy costs and utilities'!$A$23:$H$158,3))</f>
        <v>7.8807567146361786</v>
      </c>
      <c r="BC71" s="3">
        <f>SUM(BA71:BB71)</f>
        <v>7.8807567146361786</v>
      </c>
      <c r="BD71" s="3"/>
      <c r="BE71" s="3">
        <f>$AV71*(VLOOKUP($AY71,'Pregnancy costs and utilities'!$A$23:$I$158,9))</f>
        <v>8.1505870551787873E-4</v>
      </c>
      <c r="BF71" s="3">
        <f>$AV71*(VLOOKUP($AY71,'Pregnancy costs and utilities'!$A$23:$H$158,7))</f>
        <v>8.0446294234614647E-4</v>
      </c>
      <c r="BG71" s="3"/>
      <c r="BH71" s="3">
        <f>$BA71</f>
        <v>0</v>
      </c>
      <c r="BI71" s="3">
        <f>$AX71*(VLOOKUP($AY71,'Pregnancy costs and utilities'!$A$23:$H$158,5))</f>
        <v>2.8753833634408812</v>
      </c>
      <c r="BJ71" s="3">
        <f>SUM(BH71:BI71)</f>
        <v>2.8753833634408812</v>
      </c>
      <c r="BK71" s="3"/>
      <c r="BL71" s="3">
        <f>BC71+BI71</f>
        <v>10.75614007807706</v>
      </c>
      <c r="BN71" s="1" t="str">
        <f>IF(AV71=AX71,"Okay",IF(AV71&gt;AX71,"Lost infant","Gained infant"))</f>
        <v>Okay</v>
      </c>
    </row>
    <row r="72" spans="1:66" x14ac:dyDescent="0.25">
      <c r="A72" s="243" t="s">
        <v>915</v>
      </c>
      <c r="B72" s="250">
        <f ca="1">B66+B41</f>
        <v>49.251870064990989</v>
      </c>
      <c r="C72" s="251"/>
      <c r="O72" s="238"/>
      <c r="U72" s="238"/>
      <c r="AA72" s="3"/>
      <c r="AF72" s="3"/>
      <c r="AG72" s="238" t="s">
        <v>344</v>
      </c>
      <c r="AH72" s="1">
        <f>1-AH59</f>
        <v>0.99972166088000003</v>
      </c>
      <c r="AI72" s="1" t="s">
        <v>345</v>
      </c>
      <c r="AJ72" s="1">
        <f>AH72*AD64</f>
        <v>4.0965801899502323E-2</v>
      </c>
      <c r="AK72" s="1" t="s">
        <v>346</v>
      </c>
      <c r="AL72" s="1">
        <f>AH72*AF64</f>
        <v>4.0965801899502323E-2</v>
      </c>
      <c r="AM72" s="238"/>
      <c r="AS72" s="240" t="s">
        <v>381</v>
      </c>
      <c r="AT72" s="235"/>
      <c r="AU72" s="235"/>
      <c r="AV72" s="235"/>
      <c r="AW72" s="235"/>
      <c r="AX72" s="235"/>
      <c r="AY72" s="235"/>
      <c r="AZ72" s="235"/>
      <c r="BA72" s="235"/>
      <c r="BB72" s="235"/>
      <c r="BC72" s="235"/>
      <c r="BD72" s="235"/>
      <c r="BE72" s="235"/>
      <c r="BF72" s="235"/>
      <c r="BG72" s="235"/>
      <c r="BH72" s="235"/>
      <c r="BI72" s="235"/>
      <c r="BJ72" s="235"/>
      <c r="BK72" s="235"/>
      <c r="BL72" s="235"/>
      <c r="BM72" s="235"/>
      <c r="BN72" s="235"/>
    </row>
    <row r="73" spans="1:66" x14ac:dyDescent="0.25">
      <c r="A73" s="243" t="s">
        <v>916</v>
      </c>
      <c r="B73" s="250">
        <f ca="1">B67+B42</f>
        <v>46.661359942338564</v>
      </c>
      <c r="C73" s="251"/>
      <c r="O73" s="238"/>
      <c r="U73" s="238"/>
      <c r="AA73" s="3"/>
      <c r="AF73" s="3"/>
      <c r="AG73" s="240" t="s">
        <v>377</v>
      </c>
      <c r="AH73" s="235"/>
      <c r="AI73" s="235"/>
      <c r="AJ73" s="235"/>
      <c r="AK73" s="235"/>
      <c r="AL73" s="239"/>
      <c r="AM73" s="238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</row>
    <row r="74" spans="1:66" ht="15.75" thickBot="1" x14ac:dyDescent="0.3">
      <c r="A74" s="244"/>
      <c r="B74" s="401"/>
      <c r="C74" s="6"/>
      <c r="O74" s="238"/>
      <c r="U74" s="238"/>
      <c r="AA74" s="3"/>
      <c r="AG74" s="237"/>
      <c r="AM74" s="238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</row>
    <row r="75" spans="1:66" x14ac:dyDescent="0.25">
      <c r="A75" s="242"/>
      <c r="B75" s="399"/>
      <c r="C75" s="2"/>
      <c r="O75" s="238"/>
      <c r="U75" s="238"/>
      <c r="AA75" s="3"/>
      <c r="AG75" s="3"/>
      <c r="AM75" s="238"/>
      <c r="AS75" s="236" t="s">
        <v>382</v>
      </c>
      <c r="AT75" s="237"/>
      <c r="AU75" s="237"/>
      <c r="AV75" s="237"/>
      <c r="AW75" s="237"/>
      <c r="AX75" s="237"/>
      <c r="AY75" s="237"/>
      <c r="AZ75" s="237"/>
      <c r="BA75" s="237"/>
      <c r="BB75" s="237"/>
      <c r="BC75" s="237"/>
      <c r="BD75" s="237"/>
      <c r="BE75" s="237"/>
      <c r="BF75" s="237"/>
      <c r="BG75" s="237"/>
      <c r="BH75" s="237"/>
      <c r="BI75" s="237"/>
      <c r="BJ75" s="237"/>
      <c r="BK75" s="237"/>
      <c r="BL75" s="237"/>
      <c r="BM75" s="237"/>
      <c r="BN75" s="237"/>
    </row>
    <row r="76" spans="1:66" x14ac:dyDescent="0.25">
      <c r="A76" s="246" t="s">
        <v>1089</v>
      </c>
      <c r="B76" s="258" t="s">
        <v>1085</v>
      </c>
      <c r="C76" s="4"/>
      <c r="I76" s="236" t="s">
        <v>391</v>
      </c>
      <c r="J76" s="237"/>
      <c r="K76" s="237"/>
      <c r="L76" s="237"/>
      <c r="M76" s="237"/>
      <c r="N76" s="371"/>
      <c r="O76" s="238"/>
      <c r="U76" s="238"/>
      <c r="AA76" s="3"/>
      <c r="AG76" s="3"/>
      <c r="AM76" s="238" t="s">
        <v>344</v>
      </c>
      <c r="AN76" s="1">
        <f>1-AN71</f>
        <v>0.97305804541863394</v>
      </c>
      <c r="AO76" s="1" t="s">
        <v>345</v>
      </c>
      <c r="AP76" s="1">
        <f>AN76*AJ72</f>
        <v>3.9862103125336695E-2</v>
      </c>
      <c r="AQ76" s="1" t="s">
        <v>346</v>
      </c>
      <c r="AR76" s="1">
        <f>AN76*AL72</f>
        <v>3.9862103125336695E-2</v>
      </c>
      <c r="AS76" s="238" t="s">
        <v>344</v>
      </c>
      <c r="AT76" s="3">
        <f>DET_NS_stillbirth_nbw_fullgest</f>
        <v>1.6109941848144384E-3</v>
      </c>
      <c r="AU76" s="3" t="s">
        <v>345</v>
      </c>
      <c r="AV76" s="3">
        <f>AT76*AP76</f>
        <v>6.4217616329390869E-5</v>
      </c>
      <c r="AW76" s="3" t="s">
        <v>346</v>
      </c>
      <c r="AX76" s="3">
        <f>AT76*AR76</f>
        <v>6.4217616329390869E-5</v>
      </c>
      <c r="AY76" s="3">
        <f>AY71+1</f>
        <v>19</v>
      </c>
      <c r="AZ76" s="3"/>
      <c r="BA76" s="3">
        <f>det_cost_comparator*AV76</f>
        <v>0</v>
      </c>
      <c r="BB76" s="3">
        <f>$AV76*(VLOOKUP($AY76,'Pregnancy costs and utilities'!$A$23:$H$158,3))</f>
        <v>0.46568738637441226</v>
      </c>
      <c r="BC76" s="3">
        <f>SUM(BA76:BB76)</f>
        <v>0.46568738637441226</v>
      </c>
      <c r="BD76" s="3"/>
      <c r="BE76" s="3">
        <f>$AV76*(VLOOKUP($AY76,'Pregnancy costs and utilities'!$A$23:$I$158,9))</f>
        <v>4.8163212247043149E-5</v>
      </c>
      <c r="BF76" s="3">
        <f>$AV76*(VLOOKUP($AY76,'Pregnancy costs and utilities'!$A$23:$H$158,7))</f>
        <v>4.2720769263127283E-5</v>
      </c>
      <c r="BG76" s="3"/>
      <c r="BH76" s="3">
        <f>$BA76</f>
        <v>0</v>
      </c>
      <c r="BI76" s="3">
        <f>$AX76*(VLOOKUP($AY76,'Pregnancy costs and utilities'!$A$23:$H$158,5))</f>
        <v>6.8281094761449876E-2</v>
      </c>
      <c r="BJ76" s="3">
        <f>SUM(BH76:BI76)</f>
        <v>6.8281094761449876E-2</v>
      </c>
      <c r="BK76" s="3"/>
      <c r="BL76" s="3">
        <f>BC76+BI76</f>
        <v>0.53396848113586215</v>
      </c>
      <c r="BN76" s="1" t="str">
        <f>IF(AV76=AX76,"Okay",IF(AV76&gt;AX76,"Lost infant","Gained infant"))</f>
        <v>Okay</v>
      </c>
    </row>
    <row r="77" spans="1:66" x14ac:dyDescent="0.25">
      <c r="A77" s="243" t="s">
        <v>1090</v>
      </c>
      <c r="B77" s="398">
        <f>VLOOKUP(reference_age,$AV$555:$AX$655,3)/Cohort</f>
        <v>21302.403453107061</v>
      </c>
      <c r="C77" s="4"/>
      <c r="I77" s="238" t="s">
        <v>344</v>
      </c>
      <c r="J77" s="3">
        <f>DET_QR_comparator</f>
        <v>1.9599999999999999E-2</v>
      </c>
      <c r="K77" s="3" t="s">
        <v>345</v>
      </c>
      <c r="L77" s="3">
        <f>$J77*$C$263</f>
        <v>19.599999999999998</v>
      </c>
      <c r="M77" s="3" t="s">
        <v>346</v>
      </c>
      <c r="N77" s="370">
        <f>$J77*$C$264</f>
        <v>19.599999999999998</v>
      </c>
      <c r="O77" s="238"/>
      <c r="U77" s="238"/>
      <c r="AA77" s="3"/>
      <c r="AG77" s="3"/>
      <c r="AM77" s="240" t="s">
        <v>379</v>
      </c>
      <c r="AN77" s="235"/>
      <c r="AO77" s="235"/>
      <c r="AP77" s="235"/>
      <c r="AQ77" s="235"/>
      <c r="AR77" s="239"/>
      <c r="AS77" s="238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</row>
    <row r="78" spans="1:66" x14ac:dyDescent="0.25">
      <c r="A78" s="243" t="s">
        <v>1091</v>
      </c>
      <c r="B78" s="398">
        <f>$GV$676/Cohort</f>
        <v>5462.927580867582</v>
      </c>
      <c r="C78" s="4"/>
      <c r="I78" s="238"/>
      <c r="O78" s="238"/>
      <c r="U78" s="238"/>
      <c r="AA78" s="3"/>
      <c r="AG78" s="3"/>
      <c r="AS78" s="238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</row>
    <row r="79" spans="1:66" x14ac:dyDescent="0.25">
      <c r="A79" s="243" t="s">
        <v>1092</v>
      </c>
      <c r="B79" s="398">
        <f ca="1">VLOOKUP(reference_age,$EJ$681:$EL$766,3)/Cohort</f>
        <v>11773.864195158543</v>
      </c>
      <c r="C79" s="4"/>
      <c r="I79" s="238"/>
      <c r="O79" s="238"/>
      <c r="U79" s="238"/>
      <c r="AG79" s="3"/>
      <c r="AS79" s="238" t="s">
        <v>344</v>
      </c>
      <c r="AT79" s="3">
        <f>1-AT76</f>
        <v>0.99838900581518553</v>
      </c>
      <c r="AU79" s="3" t="s">
        <v>345</v>
      </c>
      <c r="AV79" s="3">
        <f>AT79*AP76</f>
        <v>3.97978855090073E-2</v>
      </c>
      <c r="AW79" s="3" t="s">
        <v>346</v>
      </c>
      <c r="AX79" s="3">
        <f>AT79*AR76</f>
        <v>3.97978855090073E-2</v>
      </c>
      <c r="AY79" s="3">
        <f>AY76+1</f>
        <v>20</v>
      </c>
      <c r="AZ79" s="3"/>
      <c r="BA79" s="3">
        <f>det_cost_comparator*AV79</f>
        <v>0</v>
      </c>
      <c r="BB79" s="3">
        <f>$AV79*(VLOOKUP($AY79,'Pregnancy costs and utilities'!$A$23:$H$158,3))</f>
        <v>288.60263499745355</v>
      </c>
      <c r="BC79" s="3">
        <f>SUM(BA79:BB79)</f>
        <v>288.60263499745355</v>
      </c>
      <c r="BD79" s="3"/>
      <c r="BE79" s="3">
        <f>$AV79*(VLOOKUP($AY79,'Pregnancy costs and utilities'!$A$23:$I$158,9))</f>
        <v>2.9848414131755475E-2</v>
      </c>
      <c r="BF79" s="3">
        <f>$AV79*(VLOOKUP($AY79,'Pregnancy costs and utilities'!$A$23:$H$158,7))</f>
        <v>2.9460384748042658E-2</v>
      </c>
      <c r="BG79" s="3"/>
      <c r="BH79" s="3">
        <f>$BA79</f>
        <v>0</v>
      </c>
      <c r="BI79" s="3">
        <f>$AX79*(VLOOKUP($AY79,'Pregnancy costs and utilities'!$A$23:$H$158,5))</f>
        <v>105.29994077544485</v>
      </c>
      <c r="BJ79" s="3">
        <f>SUM(BH79:BI79)</f>
        <v>105.29994077544485</v>
      </c>
      <c r="BK79" s="3"/>
      <c r="BL79" s="3">
        <f>BC79+BI79</f>
        <v>393.90257577289839</v>
      </c>
      <c r="BN79" s="1" t="str">
        <f>IF(AV79=AX79,"Okay",IF(AV79&gt;AX79,"Lost infant","Gained infant"))</f>
        <v>Okay</v>
      </c>
    </row>
    <row r="80" spans="1:66" x14ac:dyDescent="0.25">
      <c r="A80" s="243" t="s">
        <v>1093</v>
      </c>
      <c r="B80" s="398">
        <f>(VLOOKUP(reference_age,AV555:AX655,3)+($GZ$676))/Cohort</f>
        <v>29865.462969830736</v>
      </c>
      <c r="C80" s="4"/>
      <c r="I80" s="238"/>
      <c r="O80" s="238"/>
      <c r="U80" s="238"/>
      <c r="AG80" s="3"/>
      <c r="AS80" s="240" t="s">
        <v>383</v>
      </c>
      <c r="AT80" s="235"/>
      <c r="AU80" s="235"/>
      <c r="AV80" s="235"/>
      <c r="AW80" s="235"/>
      <c r="AX80" s="235"/>
      <c r="AY80" s="235"/>
      <c r="AZ80" s="235"/>
      <c r="BA80" s="235"/>
      <c r="BB80" s="235"/>
      <c r="BC80" s="235"/>
      <c r="BD80" s="235"/>
      <c r="BE80" s="235"/>
      <c r="BF80" s="235"/>
      <c r="BG80" s="235"/>
      <c r="BH80" s="235"/>
      <c r="BI80" s="235"/>
      <c r="BJ80" s="235"/>
      <c r="BK80" s="235"/>
      <c r="BL80" s="235"/>
      <c r="BM80" s="235"/>
      <c r="BN80" s="235"/>
    </row>
    <row r="81" spans="1:66" x14ac:dyDescent="0.25">
      <c r="A81" s="243" t="s">
        <v>1094</v>
      </c>
      <c r="B81" s="398">
        <f ca="1">(VLOOKUP(reference_age,AV555:AX655,3)+VLOOKUP(reference_age,$EN$681:$EP$766,3))/Cohort</f>
        <v>36176.399584121689</v>
      </c>
      <c r="C81" s="4"/>
      <c r="I81" s="238"/>
      <c r="O81" s="238"/>
      <c r="U81" s="238"/>
      <c r="AG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</row>
    <row r="82" spans="1:66" ht="15.75" thickBot="1" x14ac:dyDescent="0.3">
      <c r="A82" s="244"/>
      <c r="B82" s="401"/>
      <c r="C82" s="6"/>
      <c r="I82" s="238"/>
      <c r="O82" s="238"/>
      <c r="U82" s="238"/>
      <c r="AG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</row>
    <row r="83" spans="1:66" x14ac:dyDescent="0.25">
      <c r="I83" s="238"/>
      <c r="O83" s="238"/>
      <c r="U83" s="238"/>
      <c r="AG83" s="3"/>
      <c r="AS83" s="236" t="s">
        <v>461</v>
      </c>
      <c r="AT83" s="237"/>
      <c r="AU83" s="237"/>
      <c r="AV83" s="237"/>
      <c r="AW83" s="237"/>
      <c r="AX83" s="237"/>
      <c r="AY83" s="237"/>
      <c r="AZ83" s="237"/>
      <c r="BA83" s="237"/>
      <c r="BB83" s="237"/>
      <c r="BC83" s="237"/>
      <c r="BD83" s="237"/>
      <c r="BE83" s="237"/>
      <c r="BF83" s="237"/>
      <c r="BG83" s="237"/>
      <c r="BH83" s="237"/>
      <c r="BI83" s="237"/>
      <c r="BJ83" s="237"/>
      <c r="BK83" s="237"/>
      <c r="BL83" s="237"/>
      <c r="BM83" s="237"/>
      <c r="BN83" s="237"/>
    </row>
    <row r="84" spans="1:66" ht="18.75" x14ac:dyDescent="0.25">
      <c r="A84" s="375" t="s">
        <v>955</v>
      </c>
      <c r="I84" s="238"/>
      <c r="O84" s="238"/>
      <c r="U84" s="238"/>
      <c r="AG84" s="3"/>
      <c r="AS84" s="238" t="s">
        <v>344</v>
      </c>
      <c r="AT84" s="3">
        <f>DET_NS_stillbirth_lbw_premature</f>
        <v>6.0752905295406189E-2</v>
      </c>
      <c r="AU84" s="3" t="s">
        <v>345</v>
      </c>
      <c r="AV84" s="3">
        <f>AT84*AP87</f>
        <v>4.8633893714563777E-8</v>
      </c>
      <c r="AW84" s="3" t="s">
        <v>346</v>
      </c>
      <c r="AX84" s="3">
        <f>AT84*AR87</f>
        <v>4.8633893714563777E-8</v>
      </c>
      <c r="AY84" s="3">
        <f>AY79+1</f>
        <v>21</v>
      </c>
      <c r="AZ84" s="3"/>
      <c r="BA84" s="3">
        <f>det_cost_comparator*AV84</f>
        <v>0</v>
      </c>
      <c r="BB84" s="3">
        <f>$AV84*(VLOOKUP($AY84,'Pregnancy costs and utilities'!$A$23:$H$158,3))</f>
        <v>4.8420162231203791E-4</v>
      </c>
      <c r="BC84" s="3">
        <f>SUM(BA84:BB84)</f>
        <v>4.8420162231203791E-4</v>
      </c>
      <c r="BD84" s="3"/>
      <c r="BE84" s="3">
        <f>$AV84*(VLOOKUP($AY84,'Pregnancy costs and utilities'!$A$23:$I$158,9))</f>
        <v>0</v>
      </c>
      <c r="BF84" s="3">
        <f>$AV84*(VLOOKUP($AY84,'Pregnancy costs and utilities'!$A$23:$H$158,7))</f>
        <v>0</v>
      </c>
      <c r="BG84" s="3"/>
      <c r="BH84" s="3">
        <f>$BA84</f>
        <v>0</v>
      </c>
      <c r="BI84" s="3">
        <f>$AX84*(VLOOKUP($AY84,'Pregnancy costs and utilities'!$A$23:$H$158,5))</f>
        <v>5.1711285705610524E-5</v>
      </c>
      <c r="BJ84" s="3">
        <f>SUM(BH84:BI84)</f>
        <v>5.1711285705610524E-5</v>
      </c>
      <c r="BK84" s="3"/>
      <c r="BL84" s="3">
        <f>BC84+BI84</f>
        <v>5.3591290801764842E-4</v>
      </c>
      <c r="BN84" s="1" t="str">
        <f>IF(AV84=AX84,"Okay",IF(AV84&gt;AX84,"Lost infant","Gained infant"))</f>
        <v>Okay</v>
      </c>
    </row>
    <row r="85" spans="1:66" ht="18.75" x14ac:dyDescent="0.25">
      <c r="A85" s="375" t="s">
        <v>956</v>
      </c>
      <c r="I85" s="238"/>
      <c r="O85" s="238"/>
      <c r="U85" s="238"/>
      <c r="AG85" s="3"/>
      <c r="AS85" s="238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</row>
    <row r="86" spans="1:66" x14ac:dyDescent="0.25">
      <c r="I86" s="238"/>
      <c r="O86" s="238"/>
      <c r="U86" s="238"/>
      <c r="AG86" s="3"/>
      <c r="AM86" s="236" t="s">
        <v>457</v>
      </c>
      <c r="AN86" s="237"/>
      <c r="AO86" s="237"/>
      <c r="AP86" s="237"/>
      <c r="AQ86" s="237"/>
      <c r="AR86" s="371"/>
      <c r="AS86" s="238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</row>
    <row r="87" spans="1:66" x14ac:dyDescent="0.25">
      <c r="I87" s="238"/>
      <c r="O87" s="238"/>
      <c r="U87" s="238"/>
      <c r="AG87" s="3"/>
      <c r="AM87" s="238" t="s">
        <v>344</v>
      </c>
      <c r="AN87" s="3">
        <f>DET_NS_lbw_premature</f>
        <v>0.57035604742854706</v>
      </c>
      <c r="AO87" s="3" t="s">
        <v>345</v>
      </c>
      <c r="AP87" s="3">
        <f>AN87*AJ91</f>
        <v>8.0051963734220319E-7</v>
      </c>
      <c r="AQ87" s="3" t="s">
        <v>346</v>
      </c>
      <c r="AR87" s="370">
        <f>AN87*AL91</f>
        <v>8.0051963734220319E-7</v>
      </c>
      <c r="AS87" s="238" t="s">
        <v>344</v>
      </c>
      <c r="AT87" s="3">
        <f>1-AT84</f>
        <v>0.93924709470459378</v>
      </c>
      <c r="AU87" s="3" t="s">
        <v>345</v>
      </c>
      <c r="AV87" s="3">
        <f>AT87*AP87</f>
        <v>7.5188574362763935E-7</v>
      </c>
      <c r="AW87" s="3" t="s">
        <v>346</v>
      </c>
      <c r="AX87" s="3">
        <f>AT87*AR87</f>
        <v>7.5188574362763935E-7</v>
      </c>
      <c r="AY87" s="3">
        <f>AY84+1</f>
        <v>22</v>
      </c>
      <c r="AZ87" s="3"/>
      <c r="BA87" s="3">
        <f>det_cost_comparator*AV87</f>
        <v>0</v>
      </c>
      <c r="BB87" s="3">
        <f>$AV87*(VLOOKUP($AY87,'Pregnancy costs and utilities'!$A$23:$H$158,3))</f>
        <v>7.4858142963941682E-3</v>
      </c>
      <c r="BC87" s="3">
        <f>SUM(BA87:BB87)</f>
        <v>7.4858142963941682E-3</v>
      </c>
      <c r="BD87" s="3"/>
      <c r="BE87" s="3">
        <f>$AV87*(VLOOKUP($AY87,'Pregnancy costs and utilities'!$A$23:$I$158,9))</f>
        <v>0</v>
      </c>
      <c r="BF87" s="3">
        <f>$AV87*(VLOOKUP($AY87,'Pregnancy costs and utilities'!$A$23:$H$158,7))</f>
        <v>0</v>
      </c>
      <c r="BG87" s="3"/>
      <c r="BH87" s="3">
        <f>$BA87</f>
        <v>0</v>
      </c>
      <c r="BI87" s="3">
        <f>$AX87*(VLOOKUP($AY87,'Pregnancy costs and utilities'!$A$23:$H$158,5))</f>
        <v>1.1980960343124673E-2</v>
      </c>
      <c r="BJ87" s="3">
        <f>SUM(BH87:BI87)</f>
        <v>1.1980960343124673E-2</v>
      </c>
      <c r="BK87" s="3"/>
      <c r="BL87" s="3">
        <f>BC87+BI87</f>
        <v>1.946677463951884E-2</v>
      </c>
      <c r="BN87" s="1" t="str">
        <f>IF(AV87=AX87,"Okay",IF(AV87&gt;AX87,"Lost infant","Gained infant"))</f>
        <v>Okay</v>
      </c>
    </row>
    <row r="88" spans="1:66" x14ac:dyDescent="0.25">
      <c r="I88" s="238"/>
      <c r="O88" s="238"/>
      <c r="U88" s="238"/>
      <c r="AG88" s="3"/>
      <c r="AM88" s="238"/>
      <c r="AS88" s="240" t="s">
        <v>462</v>
      </c>
      <c r="AT88" s="235"/>
      <c r="AU88" s="235"/>
      <c r="AV88" s="235"/>
      <c r="AW88" s="235"/>
      <c r="AX88" s="235"/>
      <c r="AY88" s="235"/>
      <c r="AZ88" s="235"/>
      <c r="BA88" s="235"/>
      <c r="BB88" s="235"/>
      <c r="BC88" s="235"/>
      <c r="BD88" s="235"/>
      <c r="BE88" s="235"/>
      <c r="BF88" s="235"/>
      <c r="BG88" s="235"/>
      <c r="BH88" s="235"/>
      <c r="BI88" s="235"/>
      <c r="BJ88" s="235"/>
      <c r="BK88" s="235"/>
      <c r="BL88" s="235"/>
      <c r="BM88" s="235"/>
      <c r="BN88" s="235"/>
    </row>
    <row r="89" spans="1:66" x14ac:dyDescent="0.25">
      <c r="I89" s="238"/>
      <c r="O89" s="238"/>
      <c r="U89" s="238"/>
      <c r="AM89" s="238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</row>
    <row r="90" spans="1:66" x14ac:dyDescent="0.25">
      <c r="I90" s="238"/>
      <c r="O90" s="238"/>
      <c r="U90" s="238"/>
      <c r="AG90" s="236" t="s">
        <v>455</v>
      </c>
      <c r="AH90" s="237"/>
      <c r="AI90" s="237"/>
      <c r="AJ90" s="237"/>
      <c r="AK90" s="237"/>
      <c r="AL90" s="371"/>
      <c r="AM90" s="238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</row>
    <row r="91" spans="1:66" x14ac:dyDescent="0.25">
      <c r="I91" s="238"/>
      <c r="O91" s="238"/>
      <c r="U91" s="238"/>
      <c r="AG91" s="238" t="s">
        <v>344</v>
      </c>
      <c r="AH91" s="3">
        <f>DET_MORT_previa</f>
        <v>5.0731599999999045E-5</v>
      </c>
      <c r="AI91" s="3" t="s">
        <v>345</v>
      </c>
      <c r="AJ91" s="3">
        <f>AH91*AD99</f>
        <v>1.4035437003804024E-6</v>
      </c>
      <c r="AK91" s="3" t="s">
        <v>346</v>
      </c>
      <c r="AL91" s="370">
        <f>AH91*AF99</f>
        <v>1.4035437003804024E-6</v>
      </c>
      <c r="AM91" s="238"/>
      <c r="AS91" s="236" t="s">
        <v>463</v>
      </c>
      <c r="AT91" s="237"/>
      <c r="AU91" s="237"/>
      <c r="AV91" s="237"/>
      <c r="AW91" s="237"/>
      <c r="AX91" s="237"/>
      <c r="AY91" s="237"/>
      <c r="AZ91" s="237"/>
      <c r="BA91" s="237"/>
      <c r="BB91" s="237"/>
      <c r="BC91" s="237"/>
      <c r="BD91" s="237"/>
      <c r="BE91" s="237"/>
      <c r="BF91" s="237"/>
      <c r="BG91" s="237"/>
      <c r="BH91" s="237"/>
      <c r="BI91" s="237"/>
      <c r="BJ91" s="237"/>
      <c r="BK91" s="237"/>
      <c r="BL91" s="237"/>
      <c r="BM91" s="237"/>
      <c r="BN91" s="237"/>
    </row>
    <row r="92" spans="1:66" x14ac:dyDescent="0.25">
      <c r="I92" s="238"/>
      <c r="J92" s="3"/>
      <c r="K92" s="3"/>
      <c r="L92" s="3"/>
      <c r="M92" s="3"/>
      <c r="N92" s="370"/>
      <c r="O92" s="238"/>
      <c r="U92" s="238"/>
      <c r="AG92" s="238"/>
      <c r="AM92" s="238" t="s">
        <v>344</v>
      </c>
      <c r="AN92" s="1">
        <f>1-AN87</f>
        <v>0.42964395257145294</v>
      </c>
      <c r="AO92" s="1" t="s">
        <v>345</v>
      </c>
      <c r="AP92" s="1">
        <f>AN92*AJ91</f>
        <v>6.030240630381992E-7</v>
      </c>
      <c r="AQ92" s="1" t="s">
        <v>346</v>
      </c>
      <c r="AR92" s="1">
        <f>AN92*AL91</f>
        <v>6.030240630381992E-7</v>
      </c>
      <c r="AS92" s="238" t="s">
        <v>344</v>
      </c>
      <c r="AT92" s="3">
        <f>DET_NS_stillbirth_nbw_premature</f>
        <v>7.6129469648265786E-3</v>
      </c>
      <c r="AU92" s="3" t="s">
        <v>345</v>
      </c>
      <c r="AV92" s="3">
        <f>AT92*AP92</f>
        <v>4.5907902104240503E-9</v>
      </c>
      <c r="AW92" s="3" t="s">
        <v>346</v>
      </c>
      <c r="AX92" s="3">
        <f>AT92*AR92</f>
        <v>4.5907902104240503E-9</v>
      </c>
      <c r="AY92" s="3">
        <f>AY87+1</f>
        <v>23</v>
      </c>
      <c r="AZ92" s="3"/>
      <c r="BA92" s="3">
        <f>det_cost_comparator*AV92</f>
        <v>0</v>
      </c>
      <c r="BB92" s="3">
        <f>$AV92*(VLOOKUP($AY92,'Pregnancy costs and utilities'!$A$23:$H$158,3))</f>
        <v>4.5706150542412621E-5</v>
      </c>
      <c r="BC92" s="3">
        <f>SUM(BA92:BB92)</f>
        <v>4.5706150542412621E-5</v>
      </c>
      <c r="BD92" s="3"/>
      <c r="BE92" s="3">
        <f>$AV92*(VLOOKUP($AY92,'Pregnancy costs and utilities'!$A$23:$I$158,9))</f>
        <v>0</v>
      </c>
      <c r="BF92" s="3">
        <f>$AV92*(VLOOKUP($AY92,'Pregnancy costs and utilities'!$A$23:$H$158,7))</f>
        <v>0</v>
      </c>
      <c r="BG92" s="3"/>
      <c r="BH92" s="3">
        <f>$BA92</f>
        <v>0</v>
      </c>
      <c r="BI92" s="3">
        <f>$AX92*(VLOOKUP($AY92,'Pregnancy costs and utilities'!$A$23:$H$158,5))</f>
        <v>4.8812802359410516E-6</v>
      </c>
      <c r="BJ92" s="3">
        <f>SUM(BH92:BI92)</f>
        <v>4.8812802359410516E-6</v>
      </c>
      <c r="BK92" s="3"/>
      <c r="BL92" s="3">
        <f>BC92+BI92</f>
        <v>5.0587430778353671E-5</v>
      </c>
      <c r="BN92" s="1" t="str">
        <f>IF(AV92=AX92,"Okay",IF(AV92&gt;AX92,"Lost infant","Gained infant"))</f>
        <v>Okay</v>
      </c>
    </row>
    <row r="93" spans="1:66" x14ac:dyDescent="0.25">
      <c r="I93" s="238"/>
      <c r="J93" s="3"/>
      <c r="K93" s="3"/>
      <c r="L93" s="3"/>
      <c r="M93" s="3"/>
      <c r="N93" s="370"/>
      <c r="O93" s="238"/>
      <c r="U93" s="238"/>
      <c r="AG93" s="238"/>
      <c r="AM93" s="240" t="s">
        <v>458</v>
      </c>
      <c r="AN93" s="235"/>
      <c r="AO93" s="235"/>
      <c r="AP93" s="235"/>
      <c r="AQ93" s="235"/>
      <c r="AR93" s="239"/>
      <c r="AS93" s="238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</row>
    <row r="94" spans="1:66" x14ac:dyDescent="0.25">
      <c r="I94" s="238"/>
      <c r="O94" s="238"/>
      <c r="U94" s="238"/>
      <c r="AG94" s="238"/>
      <c r="AS94" s="238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</row>
    <row r="95" spans="1:66" x14ac:dyDescent="0.25">
      <c r="I95" s="238"/>
      <c r="O95" s="238"/>
      <c r="U95" s="238"/>
      <c r="AG95" s="238"/>
      <c r="AS95" s="238" t="s">
        <v>344</v>
      </c>
      <c r="AT95" s="3">
        <f>1-AT92</f>
        <v>0.99238705303517338</v>
      </c>
      <c r="AU95" s="3" t="s">
        <v>345</v>
      </c>
      <c r="AV95" s="3">
        <f>AT95*AP92</f>
        <v>5.9843327282777518E-7</v>
      </c>
      <c r="AW95" s="3" t="s">
        <v>346</v>
      </c>
      <c r="AX95" s="3">
        <f>AT95*AR92</f>
        <v>5.9843327282777518E-7</v>
      </c>
      <c r="AY95" s="3">
        <f>AY92+1</f>
        <v>24</v>
      </c>
      <c r="AZ95" s="3"/>
      <c r="BA95" s="3">
        <f>det_cost_comparator*AV95</f>
        <v>0</v>
      </c>
      <c r="BB95" s="3">
        <f>$AV95*(VLOOKUP($AY95,'Pregnancy costs and utilities'!$A$23:$H$158,3))</f>
        <v>5.9580333676211425E-3</v>
      </c>
      <c r="BC95" s="3">
        <f>SUM(BA95:BB95)</f>
        <v>5.9580333676211425E-3</v>
      </c>
      <c r="BD95" s="3"/>
      <c r="BE95" s="3">
        <f>$AV95*(VLOOKUP($AY95,'Pregnancy costs and utilities'!$A$23:$I$158,9))</f>
        <v>0</v>
      </c>
      <c r="BF95" s="3">
        <f>$AV95*(VLOOKUP($AY95,'Pregnancy costs and utilities'!$A$23:$H$158,7))</f>
        <v>0</v>
      </c>
      <c r="BG95" s="3"/>
      <c r="BH95" s="3">
        <f>$BA95</f>
        <v>0</v>
      </c>
      <c r="BI95" s="3">
        <f>$AX95*(VLOOKUP($AY95,'Pregnancy costs and utilities'!$A$23:$H$158,5))</f>
        <v>9.5357644037291737E-3</v>
      </c>
      <c r="BJ95" s="3">
        <f>SUM(BH95:BI95)</f>
        <v>9.5357644037291737E-3</v>
      </c>
      <c r="BK95" s="3"/>
      <c r="BL95" s="3">
        <f>BC95+BI95</f>
        <v>1.5493797771350317E-2</v>
      </c>
      <c r="BN95" s="1" t="str">
        <f>IF(AV95=AX95,"Okay",IF(AV95&gt;AX95,"Lost infant","Gained infant"))</f>
        <v>Okay</v>
      </c>
    </row>
    <row r="96" spans="1:66" x14ac:dyDescent="0.25">
      <c r="I96" s="238"/>
      <c r="O96" s="238"/>
      <c r="U96" s="238"/>
      <c r="AG96" s="238"/>
      <c r="AS96" s="240" t="s">
        <v>464</v>
      </c>
      <c r="AT96" s="235"/>
      <c r="AU96" s="235"/>
      <c r="AV96" s="235"/>
      <c r="AW96" s="235"/>
      <c r="AX96" s="235"/>
      <c r="AY96" s="235"/>
      <c r="AZ96" s="235"/>
      <c r="BA96" s="235"/>
      <c r="BB96" s="235"/>
      <c r="BC96" s="235"/>
      <c r="BD96" s="235"/>
      <c r="BE96" s="235"/>
      <c r="BF96" s="235"/>
      <c r="BG96" s="235"/>
      <c r="BH96" s="235"/>
      <c r="BI96" s="235"/>
      <c r="BJ96" s="235"/>
      <c r="BK96" s="235"/>
      <c r="BL96" s="235"/>
      <c r="BM96" s="235"/>
      <c r="BN96" s="235"/>
    </row>
    <row r="97" spans="9:66" x14ac:dyDescent="0.25">
      <c r="I97" s="238"/>
      <c r="O97" s="238"/>
      <c r="U97" s="238"/>
      <c r="AG97" s="238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</row>
    <row r="98" spans="9:66" x14ac:dyDescent="0.25">
      <c r="I98" s="238"/>
      <c r="O98" s="238"/>
      <c r="U98" s="238"/>
      <c r="AA98" s="236" t="s">
        <v>453</v>
      </c>
      <c r="AB98" s="237"/>
      <c r="AC98" s="237"/>
      <c r="AD98" s="237"/>
      <c r="AE98" s="237"/>
      <c r="AF98" s="371"/>
      <c r="AG98" s="238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</row>
    <row r="99" spans="9:66" x14ac:dyDescent="0.25">
      <c r="I99" s="238"/>
      <c r="O99" s="238"/>
      <c r="U99" s="238"/>
      <c r="AA99" s="238" t="s">
        <v>344</v>
      </c>
      <c r="AB99" s="3">
        <f>DET_NS_premature_previa</f>
        <v>0.25293178972979463</v>
      </c>
      <c r="AC99" s="3" t="s">
        <v>345</v>
      </c>
      <c r="AD99" s="3">
        <f>AB99*X114</f>
        <v>2.7666064156865323E-2</v>
      </c>
      <c r="AE99" s="3" t="s">
        <v>346</v>
      </c>
      <c r="AF99" s="370">
        <f>AB99*Z114</f>
        <v>2.7666064156865323E-2</v>
      </c>
      <c r="AG99" s="238"/>
      <c r="AS99" s="236" t="s">
        <v>465</v>
      </c>
      <c r="AT99" s="237"/>
      <c r="AU99" s="237"/>
      <c r="AV99" s="237"/>
      <c r="AW99" s="237"/>
      <c r="AX99" s="237"/>
      <c r="AY99" s="237"/>
      <c r="AZ99" s="237"/>
      <c r="BA99" s="237"/>
      <c r="BB99" s="237"/>
      <c r="BC99" s="237"/>
      <c r="BD99" s="237"/>
      <c r="BE99" s="237"/>
      <c r="BF99" s="237"/>
      <c r="BG99" s="237"/>
      <c r="BH99" s="237"/>
      <c r="BI99" s="237"/>
      <c r="BJ99" s="237"/>
      <c r="BK99" s="237"/>
      <c r="BL99" s="237"/>
      <c r="BM99" s="237"/>
      <c r="BN99" s="237"/>
    </row>
    <row r="100" spans="9:66" x14ac:dyDescent="0.25">
      <c r="I100" s="238"/>
      <c r="O100" s="238"/>
      <c r="U100" s="238"/>
      <c r="AA100" s="238"/>
      <c r="AG100" s="238"/>
      <c r="AS100" s="238" t="s">
        <v>344</v>
      </c>
      <c r="AT100" s="3">
        <f>DET_NS_stillbirth_lbw_premature</f>
        <v>6.0752905295406189E-2</v>
      </c>
      <c r="AU100" s="3" t="s">
        <v>345</v>
      </c>
      <c r="AV100" s="3">
        <f>AT100*AP103</f>
        <v>9.5860226051065474E-4</v>
      </c>
      <c r="AW100" s="3" t="s">
        <v>346</v>
      </c>
      <c r="AX100" s="3">
        <f>AT100*AR103</f>
        <v>9.5860226051065474E-4</v>
      </c>
      <c r="AY100" s="3">
        <f>AY95+1</f>
        <v>25</v>
      </c>
      <c r="AZ100" s="3"/>
      <c r="BA100" s="3">
        <f>det_cost_comparator*AV100</f>
        <v>0</v>
      </c>
      <c r="BB100" s="3">
        <f>$AV100*(VLOOKUP($AY100,'Pregnancy costs and utilities'!$A$23:$H$158,3))</f>
        <v>7.9804338909760233</v>
      </c>
      <c r="BC100" s="3">
        <f>SUM(BA100:BB100)</f>
        <v>7.9804338909760233</v>
      </c>
      <c r="BD100" s="3"/>
      <c r="BE100" s="3">
        <f>$AV100*(VLOOKUP($AY100,'Pregnancy costs and utilities'!$A$23:$I$158,9))</f>
        <v>6.0834374224714625E-4</v>
      </c>
      <c r="BF100" s="3">
        <f>$AV100*(VLOOKUP($AY100,'Pregnancy costs and utilities'!$A$23:$H$158,7))</f>
        <v>5.396008993732188E-4</v>
      </c>
      <c r="BG100" s="3"/>
      <c r="BH100" s="3">
        <f>$BA100</f>
        <v>0</v>
      </c>
      <c r="BI100" s="3">
        <f>$AX100*(VLOOKUP($AY100,'Pregnancy costs and utilities'!$A$23:$H$158,5))</f>
        <v>1.0192594420311916</v>
      </c>
      <c r="BJ100" s="3">
        <f>SUM(BH100:BI100)</f>
        <v>1.0192594420311916</v>
      </c>
      <c r="BK100" s="3"/>
      <c r="BL100" s="3">
        <f>BC100+BI100</f>
        <v>8.9996933330072153</v>
      </c>
      <c r="BN100" s="1" t="str">
        <f>IF(AV100=AX100,"Okay",IF(AV100&gt;AX100,"Lost infant","Gained infant"))</f>
        <v>Okay</v>
      </c>
    </row>
    <row r="101" spans="9:66" x14ac:dyDescent="0.25">
      <c r="I101" s="238"/>
      <c r="O101" s="238"/>
      <c r="U101" s="238"/>
      <c r="AA101" s="238"/>
      <c r="AG101" s="238"/>
      <c r="AS101" s="238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</row>
    <row r="102" spans="9:66" x14ac:dyDescent="0.25">
      <c r="I102" s="238"/>
      <c r="O102" s="238"/>
      <c r="U102" s="238"/>
      <c r="AA102" s="238"/>
      <c r="AG102" s="238"/>
      <c r="AM102" s="236" t="s">
        <v>459</v>
      </c>
      <c r="AN102" s="237"/>
      <c r="AO102" s="237"/>
      <c r="AP102" s="237"/>
      <c r="AQ102" s="237"/>
      <c r="AR102" s="371"/>
      <c r="AS102" s="238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</row>
    <row r="103" spans="9:66" x14ac:dyDescent="0.25">
      <c r="I103" s="238"/>
      <c r="O103" s="238"/>
      <c r="U103" s="238"/>
      <c r="AA103" s="238"/>
      <c r="AG103" s="238"/>
      <c r="AM103" s="238" t="s">
        <v>344</v>
      </c>
      <c r="AN103" s="3">
        <f>DET_NS_lbw_premature</f>
        <v>0.57035604742854706</v>
      </c>
      <c r="AO103" s="3" t="s">
        <v>345</v>
      </c>
      <c r="AP103" s="3">
        <f>AN103*AJ104</f>
        <v>1.5778706480776963E-2</v>
      </c>
      <c r="AQ103" s="3" t="s">
        <v>346</v>
      </c>
      <c r="AR103" s="370">
        <f>AN103*AL104</f>
        <v>1.5778706480776963E-2</v>
      </c>
      <c r="AS103" s="238" t="s">
        <v>344</v>
      </c>
      <c r="AT103" s="3">
        <f>1-AT100</f>
        <v>0.93924709470459378</v>
      </c>
      <c r="AU103" s="3" t="s">
        <v>345</v>
      </c>
      <c r="AV103" s="3">
        <f>AT103*AP103</f>
        <v>1.4820104220266308E-2</v>
      </c>
      <c r="AW103" s="3" t="s">
        <v>346</v>
      </c>
      <c r="AX103" s="3">
        <f>AT103*AR103</f>
        <v>1.4820104220266308E-2</v>
      </c>
      <c r="AY103" s="3">
        <f>AY100+1</f>
        <v>26</v>
      </c>
      <c r="AZ103" s="3"/>
      <c r="BA103" s="3">
        <f>det_cost_comparator*AV103</f>
        <v>0</v>
      </c>
      <c r="BB103" s="3">
        <f>$AV103*(VLOOKUP($AY103,'Pregnancy costs and utilities'!$A$23:$H$158,3))</f>
        <v>123.37845095859281</v>
      </c>
      <c r="BC103" s="3">
        <f>SUM(BA103:BB103)</f>
        <v>123.37845095859281</v>
      </c>
      <c r="BD103" s="3"/>
      <c r="BE103" s="3">
        <f>$AV103*(VLOOKUP($AY103,'Pregnancy costs and utilities'!$A$23:$I$158,9))</f>
        <v>9.4050661397843873E-3</v>
      </c>
      <c r="BF103" s="3">
        <f>$AV103*(VLOOKUP($AY103,'Pregnancy costs and utilities'!$A$23:$H$158,7))</f>
        <v>9.2828002799671908E-3</v>
      </c>
      <c r="BG103" s="3"/>
      <c r="BH103" s="3">
        <f>$BA103</f>
        <v>0</v>
      </c>
      <c r="BI103" s="3">
        <f>$AX103*(VLOOKUP($AY103,'Pregnancy costs and utilities'!$A$23:$H$158,5))</f>
        <v>236.15167922630386</v>
      </c>
      <c r="BJ103" s="3">
        <f>SUM(BH103:BI103)</f>
        <v>236.15167922630386</v>
      </c>
      <c r="BK103" s="3"/>
      <c r="BL103" s="3">
        <f>BC103+BI103</f>
        <v>359.53013018489668</v>
      </c>
      <c r="BN103" s="1" t="str">
        <f>IF(AV103=AX103,"Okay",IF(AV103&gt;AX103,"Lost infant","Gained infant"))</f>
        <v>Okay</v>
      </c>
    </row>
    <row r="104" spans="9:66" x14ac:dyDescent="0.25">
      <c r="I104" s="238"/>
      <c r="O104" s="238"/>
      <c r="U104" s="238"/>
      <c r="AA104" s="238"/>
      <c r="AG104" s="238" t="s">
        <v>344</v>
      </c>
      <c r="AH104" s="1">
        <f>1-AH91</f>
        <v>0.99994926839999998</v>
      </c>
      <c r="AI104" s="1" t="s">
        <v>345</v>
      </c>
      <c r="AJ104" s="1">
        <f>AH104*AD99</f>
        <v>2.7664660613164943E-2</v>
      </c>
      <c r="AK104" s="1" t="s">
        <v>346</v>
      </c>
      <c r="AL104" s="1">
        <f>AH104*AF99</f>
        <v>2.7664660613164943E-2</v>
      </c>
      <c r="AM104" s="238"/>
      <c r="AS104" s="240" t="s">
        <v>466</v>
      </c>
      <c r="AT104" s="235"/>
      <c r="AU104" s="235"/>
      <c r="AV104" s="235"/>
      <c r="AW104" s="235"/>
      <c r="AX104" s="235"/>
      <c r="AY104" s="235"/>
      <c r="AZ104" s="235"/>
      <c r="BA104" s="235"/>
      <c r="BB104" s="235"/>
      <c r="BC104" s="235"/>
      <c r="BD104" s="235"/>
      <c r="BE104" s="235"/>
      <c r="BF104" s="235"/>
      <c r="BG104" s="235"/>
      <c r="BH104" s="235"/>
      <c r="BI104" s="235"/>
      <c r="BJ104" s="235"/>
      <c r="BK104" s="235"/>
      <c r="BL104" s="235"/>
      <c r="BM104" s="235"/>
      <c r="BN104" s="235"/>
    </row>
    <row r="105" spans="9:66" x14ac:dyDescent="0.25">
      <c r="I105" s="238"/>
      <c r="O105" s="238"/>
      <c r="U105" s="238"/>
      <c r="AA105" s="238"/>
      <c r="AG105" s="240" t="s">
        <v>456</v>
      </c>
      <c r="AH105" s="235"/>
      <c r="AI105" s="235"/>
      <c r="AJ105" s="235"/>
      <c r="AK105" s="235"/>
      <c r="AL105" s="239"/>
      <c r="AM105" s="238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</row>
    <row r="106" spans="9:66" x14ac:dyDescent="0.25">
      <c r="I106" s="238"/>
      <c r="O106" s="238"/>
      <c r="U106" s="238"/>
      <c r="AA106" s="238"/>
      <c r="AM106" s="238"/>
      <c r="AN106" s="3"/>
      <c r="AO106" s="3"/>
      <c r="AP106" s="3"/>
      <c r="AQ106" s="3"/>
      <c r="AR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</row>
    <row r="107" spans="9:66" x14ac:dyDescent="0.25">
      <c r="I107" s="238"/>
      <c r="O107" s="238"/>
      <c r="U107" s="238"/>
      <c r="AA107" s="238"/>
      <c r="AM107" s="238"/>
      <c r="AS107" s="236" t="s">
        <v>467</v>
      </c>
      <c r="AT107" s="237"/>
      <c r="AU107" s="237"/>
      <c r="AV107" s="237"/>
      <c r="AW107" s="237"/>
      <c r="AX107" s="237"/>
      <c r="AY107" s="237"/>
      <c r="AZ107" s="237"/>
      <c r="BA107" s="237"/>
      <c r="BB107" s="237"/>
      <c r="BC107" s="237"/>
      <c r="BD107" s="237"/>
      <c r="BE107" s="237"/>
      <c r="BF107" s="237"/>
      <c r="BG107" s="237"/>
      <c r="BH107" s="237"/>
      <c r="BI107" s="237"/>
      <c r="BJ107" s="237"/>
      <c r="BK107" s="237"/>
      <c r="BL107" s="237"/>
      <c r="BM107" s="237"/>
      <c r="BN107" s="237"/>
    </row>
    <row r="108" spans="9:66" x14ac:dyDescent="0.25">
      <c r="I108" s="238"/>
      <c r="O108" s="238"/>
      <c r="U108" s="238"/>
      <c r="AA108" s="238"/>
      <c r="AM108" s="238" t="s">
        <v>344</v>
      </c>
      <c r="AN108" s="1">
        <f>1-AN103</f>
        <v>0.42964395257145294</v>
      </c>
      <c r="AO108" s="1" t="s">
        <v>345</v>
      </c>
      <c r="AP108" s="1">
        <f>AN108*AJ104</f>
        <v>1.1885954132387981E-2</v>
      </c>
      <c r="AQ108" s="1" t="s">
        <v>346</v>
      </c>
      <c r="AR108" s="1">
        <f>AN108*AL104</f>
        <v>1.1885954132387981E-2</v>
      </c>
      <c r="AS108" s="238" t="s">
        <v>344</v>
      </c>
      <c r="AT108" s="3">
        <f>DET_NS_stillbirth_nbw_premature</f>
        <v>7.6129469648265786E-3</v>
      </c>
      <c r="AU108" s="3" t="s">
        <v>345</v>
      </c>
      <c r="AV108" s="3">
        <f>AT108*AP108</f>
        <v>9.0487138436231014E-5</v>
      </c>
      <c r="AW108" s="3" t="s">
        <v>346</v>
      </c>
      <c r="AX108" s="3">
        <f>AT108*AR108</f>
        <v>9.0487138436231014E-5</v>
      </c>
      <c r="AY108" s="3">
        <f>AY103+1</f>
        <v>27</v>
      </c>
      <c r="AZ108" s="3"/>
      <c r="BA108" s="3">
        <f>det_cost_comparator*AV108</f>
        <v>0</v>
      </c>
      <c r="BB108" s="3">
        <f>$AV108*(VLOOKUP($AY108,'Pregnancy costs and utilities'!$A$23:$H$158,3))</f>
        <v>0.75331204194037138</v>
      </c>
      <c r="BC108" s="3">
        <f>SUM(BA108:BB108)</f>
        <v>0.75331204194037138</v>
      </c>
      <c r="BD108" s="3"/>
      <c r="BE108" s="3">
        <f>$AV108*(VLOOKUP($AY108,'Pregnancy costs and utilities'!$A$23:$I$158,9))</f>
        <v>5.7424530161454293E-5</v>
      </c>
      <c r="BF108" s="3">
        <f>$AV108*(VLOOKUP($AY108,'Pregnancy costs and utilities'!$A$23:$H$158,7))</f>
        <v>5.0935558253209968E-5</v>
      </c>
      <c r="BG108" s="3"/>
      <c r="BH108" s="3">
        <f>$BA108</f>
        <v>0</v>
      </c>
      <c r="BI108" s="3">
        <f>$AX108*(VLOOKUP($AY108,'Pregnancy costs and utilities'!$A$23:$H$158,5))</f>
        <v>9.6212865369606437E-2</v>
      </c>
      <c r="BJ108" s="3">
        <f>SUM(BH108:BI108)</f>
        <v>9.6212865369606437E-2</v>
      </c>
      <c r="BK108" s="3"/>
      <c r="BL108" s="3">
        <f>BC108+BI108</f>
        <v>0.84952490730997776</v>
      </c>
      <c r="BN108" s="1" t="str">
        <f>IF(AV108=AX108,"Okay",IF(AV108&gt;AX108,"Lost infant","Gained infant"))</f>
        <v>Okay</v>
      </c>
    </row>
    <row r="109" spans="9:66" x14ac:dyDescent="0.25">
      <c r="I109" s="238"/>
      <c r="O109" s="238"/>
      <c r="U109" s="238"/>
      <c r="AA109" s="238"/>
      <c r="AM109" s="240" t="s">
        <v>460</v>
      </c>
      <c r="AN109" s="235"/>
      <c r="AO109" s="235"/>
      <c r="AP109" s="235"/>
      <c r="AQ109" s="235"/>
      <c r="AR109" s="239"/>
      <c r="AS109" s="238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</row>
    <row r="110" spans="9:66" x14ac:dyDescent="0.25">
      <c r="I110" s="238"/>
      <c r="O110" s="238"/>
      <c r="U110" s="238"/>
      <c r="AA110" s="238"/>
      <c r="AM110" s="237"/>
      <c r="AS110" s="238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</row>
    <row r="111" spans="9:66" x14ac:dyDescent="0.25">
      <c r="I111" s="238"/>
      <c r="O111" s="238"/>
      <c r="U111" s="238"/>
      <c r="AA111" s="238"/>
      <c r="AG111" s="3"/>
      <c r="AH111" s="3"/>
      <c r="AI111" s="3"/>
      <c r="AJ111" s="3"/>
      <c r="AK111" s="3"/>
      <c r="AL111" s="3"/>
      <c r="AM111" s="3"/>
      <c r="AS111" s="238" t="s">
        <v>344</v>
      </c>
      <c r="AT111" s="3">
        <f>1-AT108</f>
        <v>0.99238705303517338</v>
      </c>
      <c r="AU111" s="3" t="s">
        <v>345</v>
      </c>
      <c r="AV111" s="3">
        <f>AT111*AP108</f>
        <v>1.179546699395175E-2</v>
      </c>
      <c r="AW111" s="3" t="s">
        <v>346</v>
      </c>
      <c r="AX111" s="3">
        <f>AT111*AR108</f>
        <v>1.179546699395175E-2</v>
      </c>
      <c r="AY111" s="3">
        <f>AY108+1</f>
        <v>28</v>
      </c>
      <c r="AZ111" s="3"/>
      <c r="BA111" s="3">
        <f>det_cost_comparator*AV111</f>
        <v>0</v>
      </c>
      <c r="BB111" s="3">
        <f>$AV111*(VLOOKUP($AY111,'Pregnancy costs and utilities'!$A$23:$H$158,3))</f>
        <v>98.198124953592611</v>
      </c>
      <c r="BC111" s="3">
        <f>SUM(BA111:BB111)</f>
        <v>98.198124953592611</v>
      </c>
      <c r="BD111" s="3"/>
      <c r="BE111" s="3">
        <f>$AV111*(VLOOKUP($AY111,'Pregnancy costs and utilities'!$A$23:$I$158,9))</f>
        <v>7.4855848230847644E-3</v>
      </c>
      <c r="BF111" s="3">
        <f>$AV111*(VLOOKUP($AY111,'Pregnancy costs and utilities'!$A$23:$H$158,7))</f>
        <v>7.3882722203846623E-3</v>
      </c>
      <c r="BG111" s="3"/>
      <c r="BH111" s="3">
        <f>$BA111</f>
        <v>0</v>
      </c>
      <c r="BI111" s="3">
        <f>$AX111*(VLOOKUP($AY111,'Pregnancy costs and utilities'!$A$23:$H$158,5))</f>
        <v>187.95544865811303</v>
      </c>
      <c r="BJ111" s="3">
        <f>SUM(BH111:BI111)</f>
        <v>187.95544865811303</v>
      </c>
      <c r="BK111" s="3"/>
      <c r="BL111" s="3">
        <f>BC111+BI111</f>
        <v>286.15357361170561</v>
      </c>
      <c r="BN111" s="1" t="str">
        <f>IF(AV111=AX111,"Okay",IF(AV111&gt;AX111,"Lost infant","Gained infant"))</f>
        <v>Okay</v>
      </c>
    </row>
    <row r="112" spans="9:66" x14ac:dyDescent="0.25">
      <c r="I112" s="238"/>
      <c r="O112" s="238"/>
      <c r="U112" s="238"/>
      <c r="AA112" s="238"/>
      <c r="AG112" s="3"/>
      <c r="AH112" s="3"/>
      <c r="AI112" s="3"/>
      <c r="AJ112" s="3"/>
      <c r="AK112" s="3"/>
      <c r="AL112" s="3"/>
      <c r="AM112" s="3"/>
      <c r="AS112" s="240" t="s">
        <v>468</v>
      </c>
      <c r="AT112" s="235"/>
      <c r="AU112" s="235"/>
      <c r="AV112" s="235"/>
      <c r="AW112" s="235"/>
      <c r="AX112" s="235"/>
      <c r="AY112" s="235"/>
      <c r="AZ112" s="235"/>
      <c r="BA112" s="235"/>
      <c r="BB112" s="235"/>
      <c r="BC112" s="235"/>
      <c r="BD112" s="235"/>
      <c r="BE112" s="235"/>
      <c r="BF112" s="235"/>
      <c r="BG112" s="235"/>
      <c r="BH112" s="235"/>
      <c r="BI112" s="235"/>
      <c r="BJ112" s="235"/>
      <c r="BK112" s="235"/>
      <c r="BL112" s="235"/>
      <c r="BM112" s="235"/>
      <c r="BN112" s="235"/>
    </row>
    <row r="113" spans="9:66" x14ac:dyDescent="0.25">
      <c r="I113" s="238"/>
      <c r="O113" s="238"/>
      <c r="U113" s="236" t="s">
        <v>385</v>
      </c>
      <c r="V113" s="237"/>
      <c r="W113" s="237"/>
      <c r="X113" s="237"/>
      <c r="Y113" s="237"/>
      <c r="Z113" s="371"/>
      <c r="AA113" s="238"/>
      <c r="AG113" s="3"/>
      <c r="AH113" s="3"/>
      <c r="AI113" s="3"/>
      <c r="AJ113" s="3"/>
      <c r="AK113" s="3"/>
      <c r="AL113" s="3"/>
      <c r="AM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</row>
    <row r="114" spans="9:66" x14ac:dyDescent="0.25">
      <c r="I114" s="238"/>
      <c r="O114" s="238"/>
      <c r="U114" s="238" t="s">
        <v>344</v>
      </c>
      <c r="V114" s="3">
        <f>DET_NS_previa</f>
        <v>6.0073428290690692E-3</v>
      </c>
      <c r="W114" s="3" t="s">
        <v>345</v>
      </c>
      <c r="X114" s="3">
        <f>V114*R144</f>
        <v>0.10938152213456757</v>
      </c>
      <c r="Y114" s="3" t="s">
        <v>346</v>
      </c>
      <c r="Z114" s="370">
        <f>V114*T144</f>
        <v>0.10938152213456757</v>
      </c>
      <c r="AA114" s="238"/>
      <c r="AG114" s="3"/>
      <c r="AH114" s="3"/>
      <c r="AI114" s="3"/>
      <c r="AJ114" s="3"/>
      <c r="AK114" s="3"/>
      <c r="AL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</row>
    <row r="115" spans="9:66" x14ac:dyDescent="0.25">
      <c r="I115" s="238"/>
      <c r="O115" s="238"/>
      <c r="U115" s="238"/>
      <c r="AA115" s="238"/>
      <c r="AG115" s="3"/>
      <c r="AH115" s="3"/>
      <c r="AI115" s="3"/>
      <c r="AJ115" s="3"/>
      <c r="AK115" s="3"/>
      <c r="AL115" s="3"/>
      <c r="AS115" s="236" t="s">
        <v>469</v>
      </c>
      <c r="AT115" s="237"/>
      <c r="AU115" s="237"/>
      <c r="AV115" s="237"/>
      <c r="AW115" s="237"/>
      <c r="AX115" s="237"/>
      <c r="AY115" s="237"/>
      <c r="AZ115" s="237"/>
      <c r="BA115" s="237"/>
      <c r="BB115" s="237"/>
      <c r="BC115" s="237"/>
      <c r="BD115" s="237"/>
      <c r="BE115" s="237"/>
      <c r="BF115" s="237"/>
      <c r="BG115" s="237"/>
      <c r="BH115" s="237"/>
      <c r="BI115" s="237"/>
      <c r="BJ115" s="237"/>
      <c r="BK115" s="237"/>
      <c r="BL115" s="237"/>
      <c r="BM115" s="237"/>
      <c r="BN115" s="237"/>
    </row>
    <row r="116" spans="9:66" x14ac:dyDescent="0.25">
      <c r="I116" s="238"/>
      <c r="O116" s="238"/>
      <c r="U116" s="238"/>
      <c r="AA116" s="238"/>
      <c r="AG116" s="3"/>
      <c r="AH116" s="3"/>
      <c r="AI116" s="3"/>
      <c r="AJ116" s="3"/>
      <c r="AK116" s="3"/>
      <c r="AL116" s="3"/>
      <c r="AS116" s="238" t="s">
        <v>344</v>
      </c>
      <c r="AT116" s="3">
        <f>DET_NS_stillbirth_lbw_fullgest</f>
        <v>1.5360924440585004E-2</v>
      </c>
      <c r="AU116" s="3" t="s">
        <v>345</v>
      </c>
      <c r="AV116" s="3">
        <f>AT116*AP119</f>
        <v>1.7156521197010847E-9</v>
      </c>
      <c r="AW116" s="3" t="s">
        <v>346</v>
      </c>
      <c r="AX116" s="3">
        <f>AT116*AR119</f>
        <v>1.7156521197010847E-9</v>
      </c>
      <c r="AY116" s="3">
        <f>AY111+1</f>
        <v>29</v>
      </c>
      <c r="AZ116" s="3"/>
      <c r="BA116" s="3">
        <f>det_cost_comparator*AV116</f>
        <v>0</v>
      </c>
      <c r="BB116" s="3">
        <f>$AV116*(VLOOKUP($AY116,'Pregnancy costs and utilities'!$A$23:$H$158,3))</f>
        <v>1.5171581309364264E-5</v>
      </c>
      <c r="BC116" s="3">
        <f>SUM(BA116:BB116)</f>
        <v>1.5171581309364264E-5</v>
      </c>
      <c r="BD116" s="3"/>
      <c r="BE116" s="3">
        <f>$AV116*(VLOOKUP($AY116,'Pregnancy costs and utilities'!$A$23:$I$158,9))</f>
        <v>0</v>
      </c>
      <c r="BF116" s="3">
        <f>$AV116*(VLOOKUP($AY116,'Pregnancy costs and utilities'!$A$23:$H$158,7))</f>
        <v>0</v>
      </c>
      <c r="BG116" s="3"/>
      <c r="BH116" s="3">
        <f>$BA116</f>
        <v>0</v>
      </c>
      <c r="BI116" s="3">
        <f>$AX116*(VLOOKUP($AY116,'Pregnancy costs and utilities'!$A$23:$H$158,5))</f>
        <v>1.8242129131999082E-6</v>
      </c>
      <c r="BJ116" s="3">
        <f>SUM(BH116:BI116)</f>
        <v>1.8242129131999082E-6</v>
      </c>
      <c r="BK116" s="3"/>
      <c r="BL116" s="3">
        <f>BC116+BI116</f>
        <v>1.6995794222564173E-5</v>
      </c>
      <c r="BN116" s="1" t="str">
        <f>IF(AV116=AX116,"Okay",IF(AV116&gt;AX116,"Lost infant","Gained infant"))</f>
        <v>Okay</v>
      </c>
    </row>
    <row r="117" spans="9:66" x14ac:dyDescent="0.25">
      <c r="I117" s="238"/>
      <c r="O117" s="238"/>
      <c r="U117" s="238"/>
      <c r="AA117" s="238"/>
      <c r="AG117" s="3"/>
      <c r="AH117" s="3"/>
      <c r="AI117" s="3"/>
      <c r="AJ117" s="3"/>
      <c r="AK117" s="3"/>
      <c r="AL117" s="3"/>
      <c r="AS117" s="238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</row>
    <row r="118" spans="9:66" x14ac:dyDescent="0.25">
      <c r="I118" s="238"/>
      <c r="O118" s="238"/>
      <c r="U118" s="238"/>
      <c r="AA118" s="238"/>
      <c r="AG118" s="3"/>
      <c r="AH118" s="3"/>
      <c r="AI118" s="3"/>
      <c r="AJ118" s="3"/>
      <c r="AK118" s="3"/>
      <c r="AL118" s="3"/>
      <c r="AM118" s="236" t="s">
        <v>477</v>
      </c>
      <c r="AN118" s="237"/>
      <c r="AO118" s="237"/>
      <c r="AP118" s="237"/>
      <c r="AQ118" s="237"/>
      <c r="AR118" s="371"/>
      <c r="AS118" s="238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</row>
    <row r="119" spans="9:66" x14ac:dyDescent="0.25">
      <c r="I119" s="238"/>
      <c r="O119" s="238"/>
      <c r="U119" s="238"/>
      <c r="AA119" s="238"/>
      <c r="AG119" s="3"/>
      <c r="AH119" s="3"/>
      <c r="AI119" s="3"/>
      <c r="AJ119" s="3"/>
      <c r="AK119" s="3"/>
      <c r="AL119" s="3"/>
      <c r="AM119" s="238" t="s">
        <v>344</v>
      </c>
      <c r="AN119" s="3">
        <f>DET_NS_lbw_fullgest</f>
        <v>2.6941954581366025E-2</v>
      </c>
      <c r="AO119" s="3" t="s">
        <v>345</v>
      </c>
      <c r="AP119" s="3">
        <f>AN119*AJ123</f>
        <v>1.1168937952511314E-7</v>
      </c>
      <c r="AQ119" s="3" t="s">
        <v>346</v>
      </c>
      <c r="AR119" s="370">
        <f>AN119*AL123</f>
        <v>1.1168937952511314E-7</v>
      </c>
      <c r="AS119" s="238" t="s">
        <v>344</v>
      </c>
      <c r="AT119" s="3">
        <f>1-AT116</f>
        <v>0.98463907555941499</v>
      </c>
      <c r="AU119" s="3" t="s">
        <v>345</v>
      </c>
      <c r="AV119" s="3">
        <f>AT119*AP119</f>
        <v>1.0997372740541205E-7</v>
      </c>
      <c r="AW119" s="3" t="s">
        <v>346</v>
      </c>
      <c r="AX119" s="3">
        <f>AT119*AR119</f>
        <v>1.0997372740541205E-7</v>
      </c>
      <c r="AY119" s="3">
        <f>AY116+1</f>
        <v>30</v>
      </c>
      <c r="AZ119" s="3"/>
      <c r="BA119" s="3">
        <f>det_cost_comparator*AV119</f>
        <v>0</v>
      </c>
      <c r="BB119" s="3">
        <f>$AV119*(VLOOKUP($AY119,'Pregnancy costs and utilities'!$A$23:$H$158,3))</f>
        <v>9.7250213377509526E-4</v>
      </c>
      <c r="BC119" s="3">
        <f>SUM(BA119:BB119)</f>
        <v>9.7250213377509526E-4</v>
      </c>
      <c r="BD119" s="3"/>
      <c r="BE119" s="3">
        <f>$AV119*(VLOOKUP($AY119,'Pregnancy costs and utilities'!$A$23:$I$158,9))</f>
        <v>0</v>
      </c>
      <c r="BF119" s="3">
        <f>$AV119*(VLOOKUP($AY119,'Pregnancy costs and utilities'!$A$23:$H$158,7))</f>
        <v>0</v>
      </c>
      <c r="BG119" s="3"/>
      <c r="BH119" s="3">
        <f>$BA119</f>
        <v>0</v>
      </c>
      <c r="BI119" s="3">
        <f>$AX119*(VLOOKUP($AY119,'Pregnancy costs and utilities'!$A$23:$H$158,5))</f>
        <v>2.9097593589548618E-4</v>
      </c>
      <c r="BJ119" s="3">
        <f>SUM(BH119:BI119)</f>
        <v>2.9097593589548618E-4</v>
      </c>
      <c r="BK119" s="3"/>
      <c r="BL119" s="3">
        <f>BC119+BI119</f>
        <v>1.2634780696705815E-3</v>
      </c>
      <c r="BN119" s="1" t="str">
        <f>IF(AV119=AX119,"Okay",IF(AV119&gt;AX119,"Lost infant","Gained infant"))</f>
        <v>Okay</v>
      </c>
    </row>
    <row r="120" spans="9:66" x14ac:dyDescent="0.25">
      <c r="I120" s="238"/>
      <c r="O120" s="238"/>
      <c r="U120" s="238"/>
      <c r="AA120" s="238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238"/>
      <c r="AN120" s="3"/>
      <c r="AO120" s="3"/>
      <c r="AP120" s="3"/>
      <c r="AQ120" s="3"/>
      <c r="AR120" s="3"/>
      <c r="AS120" s="240" t="s">
        <v>470</v>
      </c>
      <c r="AT120" s="235"/>
      <c r="AU120" s="235"/>
      <c r="AV120" s="235"/>
      <c r="AW120" s="235"/>
      <c r="AX120" s="235"/>
      <c r="AY120" s="235"/>
      <c r="AZ120" s="235"/>
      <c r="BA120" s="235"/>
      <c r="BB120" s="235"/>
      <c r="BC120" s="235"/>
      <c r="BD120" s="235"/>
      <c r="BE120" s="235"/>
      <c r="BF120" s="235"/>
      <c r="BG120" s="235"/>
      <c r="BH120" s="235"/>
      <c r="BI120" s="235"/>
      <c r="BJ120" s="235"/>
      <c r="BK120" s="235"/>
      <c r="BL120" s="235"/>
      <c r="BM120" s="235"/>
      <c r="BN120" s="235"/>
    </row>
    <row r="121" spans="9:66" x14ac:dyDescent="0.25">
      <c r="I121" s="238"/>
      <c r="O121" s="238"/>
      <c r="U121" s="238"/>
      <c r="AA121" s="238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238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</row>
    <row r="122" spans="9:66" x14ac:dyDescent="0.25">
      <c r="I122" s="238"/>
      <c r="O122" s="238"/>
      <c r="U122" s="238"/>
      <c r="AA122" s="238"/>
      <c r="AG122" s="236" t="s">
        <v>481</v>
      </c>
      <c r="AH122" s="237"/>
      <c r="AI122" s="237"/>
      <c r="AJ122" s="237"/>
      <c r="AK122" s="237"/>
      <c r="AL122" s="371"/>
      <c r="AM122" s="238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</row>
    <row r="123" spans="9:66" x14ac:dyDescent="0.25">
      <c r="I123" s="238"/>
      <c r="O123" s="238"/>
      <c r="U123" s="238"/>
      <c r="AA123" s="238"/>
      <c r="AG123" s="238" t="s">
        <v>344</v>
      </c>
      <c r="AH123" s="3">
        <f>DET_MORT_previa</f>
        <v>5.0731599999999045E-5</v>
      </c>
      <c r="AI123" s="3" t="s">
        <v>345</v>
      </c>
      <c r="AJ123" s="3">
        <f>AH123*AD128</f>
        <v>4.1455559279415208E-6</v>
      </c>
      <c r="AK123" s="3" t="s">
        <v>346</v>
      </c>
      <c r="AL123" s="370">
        <f>AH123*AF128</f>
        <v>4.1455559279415208E-6</v>
      </c>
      <c r="AM123" s="238"/>
      <c r="AN123" s="3"/>
      <c r="AO123" s="3"/>
      <c r="AP123" s="3"/>
      <c r="AQ123" s="3"/>
      <c r="AR123" s="3"/>
      <c r="AS123" s="236" t="s">
        <v>471</v>
      </c>
      <c r="AT123" s="237"/>
      <c r="AU123" s="237"/>
      <c r="AV123" s="237"/>
      <c r="AW123" s="237"/>
      <c r="AX123" s="3"/>
      <c r="BJ123" s="237"/>
      <c r="BK123" s="237"/>
      <c r="BL123" s="237"/>
      <c r="BM123" s="237"/>
      <c r="BN123" s="237"/>
    </row>
    <row r="124" spans="9:66" x14ac:dyDescent="0.25">
      <c r="I124" s="238"/>
      <c r="O124" s="238"/>
      <c r="U124" s="238"/>
      <c r="AA124" s="238"/>
      <c r="AG124" s="238"/>
      <c r="AH124" s="3"/>
      <c r="AI124" s="3"/>
      <c r="AJ124" s="3"/>
      <c r="AK124" s="3"/>
      <c r="AL124" s="3"/>
      <c r="AM124" s="238" t="s">
        <v>344</v>
      </c>
      <c r="AN124" s="1">
        <f>1-AN119</f>
        <v>0.97305804541863394</v>
      </c>
      <c r="AO124" s="1" t="s">
        <v>345</v>
      </c>
      <c r="AP124" s="1">
        <f>AN124*AJ123</f>
        <v>4.0338665484164071E-6</v>
      </c>
      <c r="AQ124" s="1" t="s">
        <v>346</v>
      </c>
      <c r="AR124" s="1">
        <f>AN124*AL123</f>
        <v>4.0338665484164071E-6</v>
      </c>
      <c r="AS124" s="238" t="s">
        <v>344</v>
      </c>
      <c r="AT124" s="1">
        <f>DET_NS_stillbirth_nbw_fullgest</f>
        <v>1.6109941848144384E-3</v>
      </c>
      <c r="AU124" s="1" t="s">
        <v>345</v>
      </c>
      <c r="AV124" s="1">
        <f>AT124*AP124</f>
        <v>6.4985355518163224E-9</v>
      </c>
      <c r="AW124" s="1" t="s">
        <v>346</v>
      </c>
      <c r="AX124" s="1">
        <f>AT124*AR124</f>
        <v>6.4985355518163224E-9</v>
      </c>
      <c r="AY124" s="1">
        <f>AY119+1</f>
        <v>31</v>
      </c>
      <c r="BA124" s="1">
        <f>det_cost_comparator*AV124</f>
        <v>0</v>
      </c>
      <c r="BB124" s="1">
        <f>$AV124*(VLOOKUP($AY124,'Pregnancy costs and utilities'!$A$23:$H$158,3))</f>
        <v>5.7466813571362834E-5</v>
      </c>
      <c r="BC124" s="1">
        <f>SUM(BA124:BB124)</f>
        <v>5.7466813571362834E-5</v>
      </c>
      <c r="BE124" s="1">
        <f>$AV124*(VLOOKUP($AY124,'Pregnancy costs and utilities'!$A$23:$I$158,9))</f>
        <v>0</v>
      </c>
      <c r="BF124" s="1">
        <f>$AV124*(VLOOKUP($AY124,'Pregnancy costs and utilities'!$A$23:$H$158,7))</f>
        <v>0</v>
      </c>
      <c r="BH124" s="1">
        <f>$BA124</f>
        <v>0</v>
      </c>
      <c r="BI124" s="1">
        <f>$AX124*(VLOOKUP($AY124,'Pregnancy costs and utilities'!$A$23:$H$158,5))</f>
        <v>6.9097413947633242E-6</v>
      </c>
      <c r="BJ124" s="3">
        <f>SUM(BH124:BI124)</f>
        <v>6.9097413947633242E-6</v>
      </c>
      <c r="BK124" s="3"/>
      <c r="BL124" s="3">
        <f>BC124+BI124</f>
        <v>6.4376554966126163E-5</v>
      </c>
      <c r="BN124" s="1" t="str">
        <f>IF(AV124=AX124,"Okay",IF(AV124&gt;AX124,"Lost infant","Gained infant"))</f>
        <v>Okay</v>
      </c>
    </row>
    <row r="125" spans="9:66" x14ac:dyDescent="0.25">
      <c r="I125" s="238"/>
      <c r="O125" s="238"/>
      <c r="U125" s="238"/>
      <c r="AA125" s="238"/>
      <c r="AG125" s="238"/>
      <c r="AH125" s="3"/>
      <c r="AI125" s="3"/>
      <c r="AJ125" s="3"/>
      <c r="AK125" s="3"/>
      <c r="AL125" s="3"/>
      <c r="AM125" s="240" t="s">
        <v>478</v>
      </c>
      <c r="AN125" s="235"/>
      <c r="AO125" s="235"/>
      <c r="AP125" s="235"/>
      <c r="AQ125" s="235"/>
      <c r="AR125" s="239"/>
      <c r="AS125" s="238"/>
      <c r="BJ125" s="3"/>
      <c r="BK125" s="3"/>
      <c r="BL125" s="3"/>
    </row>
    <row r="126" spans="9:66" x14ac:dyDescent="0.25">
      <c r="I126" s="238"/>
      <c r="O126" s="238"/>
      <c r="U126" s="238"/>
      <c r="AA126" s="238"/>
      <c r="AG126" s="238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238"/>
      <c r="BJ126" s="3"/>
      <c r="BK126" s="3"/>
      <c r="BL126" s="3"/>
    </row>
    <row r="127" spans="9:66" x14ac:dyDescent="0.25">
      <c r="I127" s="238"/>
      <c r="O127" s="238"/>
      <c r="U127" s="238"/>
      <c r="AA127" s="238"/>
      <c r="AG127" s="238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238" t="s">
        <v>344</v>
      </c>
      <c r="AT127" s="1">
        <f>1-AT124</f>
        <v>0.99838900581518553</v>
      </c>
      <c r="AU127" s="1" t="s">
        <v>345</v>
      </c>
      <c r="AV127" s="1">
        <f>AT127*AP124</f>
        <v>4.0273680128645904E-6</v>
      </c>
      <c r="AW127" s="1" t="s">
        <v>346</v>
      </c>
      <c r="AX127" s="1">
        <f>AT127*AR124</f>
        <v>4.0273680128645904E-6</v>
      </c>
      <c r="AY127" s="1">
        <f>AY124+1</f>
        <v>32</v>
      </c>
      <c r="BA127" s="1">
        <f>det_cost_comparator*AV127</f>
        <v>0</v>
      </c>
      <c r="BB127" s="1">
        <f>$AV127*(VLOOKUP($AY127,'Pregnancy costs and utilities'!$A$23:$H$158,3))</f>
        <v>3.5614178753530491E-2</v>
      </c>
      <c r="BC127" s="1">
        <f>SUM(BA127:BB127)</f>
        <v>3.5614178753530491E-2</v>
      </c>
      <c r="BE127" s="1">
        <f>$AV127*(VLOOKUP($AY127,'Pregnancy costs and utilities'!$A$23:$I$158,9))</f>
        <v>0</v>
      </c>
      <c r="BF127" s="1">
        <f>$AV127*(VLOOKUP($AY127,'Pregnancy costs and utilities'!$A$23:$H$158,7))</f>
        <v>0</v>
      </c>
      <c r="BH127" s="1">
        <f>$BA127</f>
        <v>0</v>
      </c>
      <c r="BI127" s="1">
        <f>$AX127*(VLOOKUP($AY127,'Pregnancy costs and utilities'!$A$23:$H$158,5))</f>
        <v>1.0655883040308302E-2</v>
      </c>
      <c r="BJ127" s="3">
        <f>SUM(BH127:BI127)</f>
        <v>1.0655883040308302E-2</v>
      </c>
      <c r="BK127" s="3"/>
      <c r="BL127" s="3">
        <f>BC127+BI127</f>
        <v>4.6270061793838795E-2</v>
      </c>
      <c r="BN127" s="1" t="str">
        <f>IF(AV127=AX127,"Okay",IF(AV127&gt;AX127,"Lost infant","Gained infant"))</f>
        <v>Okay</v>
      </c>
    </row>
    <row r="128" spans="9:66" x14ac:dyDescent="0.25">
      <c r="I128" s="238"/>
      <c r="O128" s="238"/>
      <c r="U128" s="238"/>
      <c r="AA128" s="238" t="s">
        <v>344</v>
      </c>
      <c r="AB128" s="1">
        <f>1-AB99</f>
        <v>0.74706821027020531</v>
      </c>
      <c r="AC128" s="1" t="s">
        <v>345</v>
      </c>
      <c r="AD128" s="1">
        <f>AB128*X114</f>
        <v>8.1715457977702244E-2</v>
      </c>
      <c r="AE128" s="1" t="s">
        <v>346</v>
      </c>
      <c r="AF128" s="1">
        <f>AB128*Z114</f>
        <v>8.1715457977702244E-2</v>
      </c>
      <c r="AG128" s="238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240" t="s">
        <v>472</v>
      </c>
      <c r="AT128" s="235"/>
      <c r="AU128" s="235"/>
      <c r="AV128" s="235"/>
      <c r="AW128" s="235"/>
      <c r="AX128" s="235"/>
      <c r="AY128" s="235"/>
      <c r="AZ128" s="235"/>
      <c r="BA128" s="235"/>
      <c r="BB128" s="235"/>
      <c r="BC128" s="235"/>
      <c r="BD128" s="235"/>
      <c r="BE128" s="235"/>
      <c r="BF128" s="235"/>
      <c r="BG128" s="235"/>
      <c r="BH128" s="235"/>
      <c r="BI128" s="235"/>
      <c r="BJ128" s="235"/>
      <c r="BK128" s="235"/>
      <c r="BL128" s="235"/>
      <c r="BM128" s="235"/>
      <c r="BN128" s="235"/>
    </row>
    <row r="129" spans="9:66" x14ac:dyDescent="0.25">
      <c r="I129" s="238"/>
      <c r="O129" s="238"/>
      <c r="U129" s="238"/>
      <c r="AA129" s="240" t="s">
        <v>454</v>
      </c>
      <c r="AB129" s="235"/>
      <c r="AC129" s="235"/>
      <c r="AD129" s="235"/>
      <c r="AE129" s="235"/>
      <c r="AF129" s="235"/>
      <c r="AG129" s="238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</row>
    <row r="130" spans="9:66" x14ac:dyDescent="0.25">
      <c r="I130" s="238"/>
      <c r="O130" s="238"/>
      <c r="U130" s="238"/>
      <c r="AA130" s="237"/>
      <c r="AG130" s="238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</row>
    <row r="131" spans="9:66" x14ac:dyDescent="0.25">
      <c r="I131" s="238"/>
      <c r="O131" s="238"/>
      <c r="U131" s="238"/>
      <c r="AA131" s="3"/>
      <c r="AG131" s="238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236" t="s">
        <v>473</v>
      </c>
      <c r="AT131" s="237"/>
      <c r="AU131" s="237"/>
      <c r="AV131" s="237"/>
      <c r="AW131" s="237"/>
      <c r="AX131" s="237"/>
      <c r="AY131" s="237"/>
      <c r="AZ131" s="237"/>
      <c r="BA131" s="237"/>
      <c r="BB131" s="237"/>
      <c r="BC131" s="237"/>
      <c r="BD131" s="237"/>
      <c r="BE131" s="237"/>
      <c r="BF131" s="237"/>
      <c r="BG131" s="237"/>
      <c r="BH131" s="237"/>
      <c r="BI131" s="237"/>
      <c r="BJ131" s="237"/>
      <c r="BK131" s="237"/>
      <c r="BL131" s="237"/>
      <c r="BM131" s="237"/>
      <c r="BN131" s="237"/>
    </row>
    <row r="132" spans="9:66" x14ac:dyDescent="0.25">
      <c r="I132" s="238"/>
      <c r="O132" s="238"/>
      <c r="U132" s="238"/>
      <c r="AA132" s="3"/>
      <c r="AG132" s="238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238" t="s">
        <v>344</v>
      </c>
      <c r="AT132" s="3">
        <f>DET_NS_stillbirth_lbw_fullgest</f>
        <v>1.5360924440585004E-2</v>
      </c>
      <c r="AU132" s="3" t="s">
        <v>345</v>
      </c>
      <c r="AV132" s="3">
        <f>AT132*AP135</f>
        <v>3.3816498630519073E-5</v>
      </c>
      <c r="AW132" s="3" t="s">
        <v>346</v>
      </c>
      <c r="AX132" s="3">
        <f>AT132*AR135</f>
        <v>3.3816498630519073E-5</v>
      </c>
      <c r="AY132" s="3">
        <f>AY127+1</f>
        <v>33</v>
      </c>
      <c r="AZ132" s="3"/>
      <c r="BA132" s="3">
        <f>det_cost_comparator*AV132</f>
        <v>0</v>
      </c>
      <c r="BB132" s="3">
        <f>$AV132*(VLOOKUP($AY132,'Pregnancy costs and utilities'!$A$23:$H$158,3))</f>
        <v>0.24388664069689983</v>
      </c>
      <c r="BC132" s="3">
        <f>SUM(BA132:BB132)</f>
        <v>0.24388664069689983</v>
      </c>
      <c r="BD132" s="3"/>
      <c r="BE132" s="3">
        <f>$AV132*(VLOOKUP($AY132,'Pregnancy costs and utilities'!$A$23:$I$158,9))</f>
        <v>2.4712056691533168E-5</v>
      </c>
      <c r="BF132" s="3">
        <f>$AV132*(VLOOKUP($AY132,'Pregnancy costs and utilities'!$A$23:$H$158,7))</f>
        <v>2.1919594285389923E-5</v>
      </c>
      <c r="BG132" s="3"/>
      <c r="BH132" s="3">
        <f>$BA132</f>
        <v>0</v>
      </c>
      <c r="BI132" s="3">
        <f>$AX132*(VLOOKUP($AY132,'Pregnancy costs and utilities'!$A$23:$H$158,5))</f>
        <v>3.5956294852914468E-2</v>
      </c>
      <c r="BJ132" s="3">
        <f>SUM(BH132:BI132)</f>
        <v>3.5956294852914468E-2</v>
      </c>
      <c r="BK132" s="3"/>
      <c r="BL132" s="3">
        <f>BC132+BI132</f>
        <v>0.27984293554981432</v>
      </c>
      <c r="BN132" s="1" t="str">
        <f>IF(AV132=AX132,"Okay",IF(AV132&gt;AX132,"Lost infant","Gained infant"))</f>
        <v>Okay</v>
      </c>
    </row>
    <row r="133" spans="9:66" x14ac:dyDescent="0.25">
      <c r="I133" s="238"/>
      <c r="O133" s="238"/>
      <c r="U133" s="238"/>
      <c r="AA133" s="3"/>
      <c r="AG133" s="238"/>
      <c r="AH133" s="3"/>
      <c r="AI133" s="3"/>
      <c r="AJ133" s="3"/>
      <c r="AK133" s="3"/>
      <c r="AL133" s="3"/>
      <c r="AM133" s="3"/>
      <c r="AS133" s="238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</row>
    <row r="134" spans="9:66" x14ac:dyDescent="0.25">
      <c r="I134" s="238"/>
      <c r="O134" s="238"/>
      <c r="U134" s="238"/>
      <c r="AA134" s="3"/>
      <c r="AG134" s="238"/>
      <c r="AM134" s="236" t="s">
        <v>479</v>
      </c>
      <c r="AN134" s="237"/>
      <c r="AO134" s="237"/>
      <c r="AP134" s="237"/>
      <c r="AQ134" s="237"/>
      <c r="AR134" s="371"/>
      <c r="AS134" s="238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</row>
    <row r="135" spans="9:66" x14ac:dyDescent="0.25">
      <c r="I135" s="238"/>
      <c r="O135" s="238"/>
      <c r="U135" s="238"/>
      <c r="AA135" s="3"/>
      <c r="AG135" s="238"/>
      <c r="AM135" s="238" t="s">
        <v>344</v>
      </c>
      <c r="AN135" s="3">
        <f>DET_NS_lbw_fullgest</f>
        <v>2.6941954581366025E-2</v>
      </c>
      <c r="AO135" s="3" t="s">
        <v>345</v>
      </c>
      <c r="AP135" s="3">
        <f>AN135*AJ136</f>
        <v>2.2014624680512527E-3</v>
      </c>
      <c r="AQ135" s="3" t="s">
        <v>346</v>
      </c>
      <c r="AR135" s="370">
        <f>AN135*AL136</f>
        <v>2.2014624680512527E-3</v>
      </c>
      <c r="AS135" s="238" t="s">
        <v>344</v>
      </c>
      <c r="AT135" s="3">
        <f>1-AT132</f>
        <v>0.98463907555941499</v>
      </c>
      <c r="AU135" s="3" t="s">
        <v>345</v>
      </c>
      <c r="AV135" s="3">
        <f>AT135*AP135</f>
        <v>2.1676459694207335E-3</v>
      </c>
      <c r="AW135" s="3" t="s">
        <v>346</v>
      </c>
      <c r="AX135" s="3">
        <f>AT135*AR135</f>
        <v>2.1676459694207335E-3</v>
      </c>
      <c r="AY135" s="3">
        <f>AY132+1</f>
        <v>34</v>
      </c>
      <c r="AZ135" s="3"/>
      <c r="BA135" s="3">
        <f>det_cost_comparator*AV135</f>
        <v>0</v>
      </c>
      <c r="BB135" s="3">
        <f>$AV135*(VLOOKUP($AY135,'Pregnancy costs and utilities'!$A$23:$H$158,3))</f>
        <v>15.633194301940147</v>
      </c>
      <c r="BC135" s="3">
        <f>SUM(BA135:BB135)</f>
        <v>15.633194301940147</v>
      </c>
      <c r="BD135" s="3"/>
      <c r="BE135" s="3">
        <f>$AV135*(VLOOKUP($AY135,'Pregnancy costs and utilities'!$A$23:$I$158,9))</f>
        <v>1.5840489776536128E-3</v>
      </c>
      <c r="BF135" s="3">
        <f>$AV135*(VLOOKUP($AY135,'Pregnancy costs and utilities'!$A$23:$H$158,7))</f>
        <v>1.563456340944116E-3</v>
      </c>
      <c r="BG135" s="3"/>
      <c r="BH135" s="3">
        <f>$BA135</f>
        <v>0</v>
      </c>
      <c r="BI135" s="3">
        <f>$AX135*(VLOOKUP($AY135,'Pregnancy costs and utilities'!$A$23:$H$158,5))</f>
        <v>5.7353045088406871</v>
      </c>
      <c r="BJ135" s="3">
        <f>SUM(BH135:BI135)</f>
        <v>5.7353045088406871</v>
      </c>
      <c r="BK135" s="3"/>
      <c r="BL135" s="3">
        <f>BC135+BI135</f>
        <v>21.368498810780835</v>
      </c>
      <c r="BN135" s="1" t="str">
        <f>IF(AV135=AX135,"Okay",IF(AV135&gt;AX135,"Lost infant","Gained infant"))</f>
        <v>Okay</v>
      </c>
    </row>
    <row r="136" spans="9:66" x14ac:dyDescent="0.25">
      <c r="I136" s="238"/>
      <c r="O136" s="238"/>
      <c r="U136" s="238"/>
      <c r="AA136" s="3"/>
      <c r="AG136" s="238" t="s">
        <v>344</v>
      </c>
      <c r="AH136" s="1">
        <f>1-AH123</f>
        <v>0.99994926839999998</v>
      </c>
      <c r="AI136" s="1" t="s">
        <v>345</v>
      </c>
      <c r="AJ136" s="1">
        <f>AH136*AD128</f>
        <v>8.1711312421774304E-2</v>
      </c>
      <c r="AK136" s="1" t="s">
        <v>346</v>
      </c>
      <c r="AL136" s="1">
        <f>AH136*AF128</f>
        <v>8.1711312421774304E-2</v>
      </c>
      <c r="AM136" s="238"/>
      <c r="AS136" s="240" t="s">
        <v>474</v>
      </c>
      <c r="AT136" s="235"/>
      <c r="AU136" s="235"/>
      <c r="AV136" s="235"/>
      <c r="AW136" s="235"/>
      <c r="AX136" s="235"/>
      <c r="AY136" s="235"/>
      <c r="AZ136" s="235"/>
      <c r="BA136" s="235"/>
      <c r="BB136" s="235"/>
      <c r="BC136" s="235"/>
      <c r="BD136" s="235"/>
      <c r="BE136" s="235"/>
      <c r="BF136" s="235"/>
      <c r="BG136" s="235"/>
      <c r="BH136" s="235"/>
      <c r="BI136" s="235"/>
      <c r="BJ136" s="235"/>
      <c r="BK136" s="235"/>
      <c r="BL136" s="235"/>
      <c r="BM136" s="235"/>
      <c r="BN136" s="235"/>
    </row>
    <row r="137" spans="9:66" x14ac:dyDescent="0.25">
      <c r="I137" s="238"/>
      <c r="O137" s="238"/>
      <c r="U137" s="238"/>
      <c r="AA137" s="3"/>
      <c r="AG137" s="240" t="s">
        <v>482</v>
      </c>
      <c r="AH137" s="235"/>
      <c r="AI137" s="235"/>
      <c r="AJ137" s="235"/>
      <c r="AK137" s="235"/>
      <c r="AL137" s="239"/>
      <c r="AM137" s="238"/>
    </row>
    <row r="138" spans="9:66" x14ac:dyDescent="0.25">
      <c r="I138" s="238"/>
      <c r="O138" s="238"/>
      <c r="U138" s="238"/>
      <c r="AA138" s="3"/>
      <c r="AM138" s="238"/>
    </row>
    <row r="139" spans="9:66" x14ac:dyDescent="0.25">
      <c r="I139" s="238"/>
      <c r="O139" s="238"/>
      <c r="U139" s="238"/>
      <c r="AA139" s="3"/>
      <c r="AM139" s="238"/>
      <c r="AS139" s="236" t="s">
        <v>475</v>
      </c>
      <c r="AT139" s="237"/>
      <c r="AU139" s="237"/>
      <c r="AV139" s="237"/>
      <c r="AW139" s="237"/>
      <c r="AX139" s="237"/>
      <c r="AY139" s="237"/>
      <c r="AZ139" s="237"/>
      <c r="BA139" s="237"/>
      <c r="BB139" s="237"/>
      <c r="BC139" s="237"/>
      <c r="BD139" s="237"/>
      <c r="BE139" s="237"/>
      <c r="BF139" s="237"/>
      <c r="BG139" s="237"/>
      <c r="BH139" s="237"/>
      <c r="BI139" s="237"/>
      <c r="BJ139" s="237"/>
      <c r="BK139" s="237"/>
      <c r="BL139" s="237"/>
      <c r="BM139" s="237"/>
      <c r="BN139" s="237"/>
    </row>
    <row r="140" spans="9:66" x14ac:dyDescent="0.25">
      <c r="I140" s="238"/>
      <c r="O140" s="238"/>
      <c r="U140" s="238"/>
      <c r="AA140" s="3"/>
      <c r="AM140" s="238" t="s">
        <v>344</v>
      </c>
      <c r="AN140" s="1">
        <f>1-AN135</f>
        <v>0.97305804541863394</v>
      </c>
      <c r="AO140" s="1" t="s">
        <v>345</v>
      </c>
      <c r="AP140" s="1">
        <f>AN140*AJ136</f>
        <v>7.9509849953723052E-2</v>
      </c>
      <c r="AQ140" s="1" t="s">
        <v>346</v>
      </c>
      <c r="AR140" s="1">
        <f>AN140*AL136</f>
        <v>7.9509849953723052E-2</v>
      </c>
      <c r="AS140" s="238" t="s">
        <v>344</v>
      </c>
      <c r="AT140" s="3">
        <f>DET_NS_stillbirth_nbw_fullgest</f>
        <v>1.6109941848144384E-3</v>
      </c>
      <c r="AU140" s="3" t="s">
        <v>345</v>
      </c>
      <c r="AV140" s="3">
        <f>AT140*AP140</f>
        <v>1.2808990591091639E-4</v>
      </c>
      <c r="AW140" s="3" t="s">
        <v>346</v>
      </c>
      <c r="AX140" s="3">
        <f>AT140*AR140</f>
        <v>1.2808990591091639E-4</v>
      </c>
      <c r="AY140" s="3">
        <f>AY135+1</f>
        <v>35</v>
      </c>
      <c r="AZ140" s="3"/>
      <c r="BA140" s="3">
        <f>det_cost_comparator*AV140</f>
        <v>0</v>
      </c>
      <c r="BB140" s="3">
        <f>$AV140*(VLOOKUP($AY140,'Pregnancy costs and utilities'!$A$23:$H$158,3))</f>
        <v>0.92379217615398213</v>
      </c>
      <c r="BC140" s="3">
        <f>SUM(BA140:BB140)</f>
        <v>0.92379217615398213</v>
      </c>
      <c r="BD140" s="3"/>
      <c r="BE140" s="3">
        <f>$AV140*(VLOOKUP($AY140,'Pregnancy costs and utilities'!$A$23:$I$158,9))</f>
        <v>9.3604162011823506E-5</v>
      </c>
      <c r="BF140" s="3">
        <f>$AV140*(VLOOKUP($AY140,'Pregnancy costs and utilities'!$A$23:$H$158,7))</f>
        <v>8.3026891704487458E-5</v>
      </c>
      <c r="BG140" s="3"/>
      <c r="BH140" s="3">
        <f>$BA140</f>
        <v>0</v>
      </c>
      <c r="BI140" s="3">
        <f>$AX140*(VLOOKUP($AY140,'Pregnancy costs and utilities'!$A$23:$H$158,5))</f>
        <v>0.13619501164021861</v>
      </c>
      <c r="BJ140" s="3">
        <f>SUM(BH140:BI140)</f>
        <v>0.13619501164021861</v>
      </c>
      <c r="BK140" s="3"/>
      <c r="BL140" s="3">
        <f>BC140+BI140</f>
        <v>1.0599871877942006</v>
      </c>
      <c r="BN140" s="1" t="str">
        <f>IF(AV140=AX140,"Okay",IF(AV140&gt;AX140,"Lost infant","Gained infant"))</f>
        <v>Okay</v>
      </c>
    </row>
    <row r="141" spans="9:66" x14ac:dyDescent="0.25">
      <c r="I141" s="238"/>
      <c r="O141" s="238"/>
      <c r="U141" s="238"/>
      <c r="V141" s="3"/>
      <c r="W141" s="3"/>
      <c r="X141" s="3"/>
      <c r="Y141" s="3"/>
      <c r="Z141" s="3"/>
      <c r="AA141" s="3"/>
      <c r="AM141" s="240" t="s">
        <v>480</v>
      </c>
      <c r="AN141" s="235"/>
      <c r="AO141" s="235"/>
      <c r="AP141" s="235"/>
      <c r="AQ141" s="235"/>
      <c r="AR141" s="239"/>
      <c r="AS141" s="238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</row>
    <row r="142" spans="9:66" x14ac:dyDescent="0.25">
      <c r="I142" s="238"/>
      <c r="O142" s="238"/>
      <c r="U142" s="238"/>
      <c r="AA142" s="3"/>
      <c r="AS142" s="238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</row>
    <row r="143" spans="9:66" x14ac:dyDescent="0.25">
      <c r="I143" s="238"/>
      <c r="O143" s="238"/>
      <c r="U143" s="238"/>
      <c r="AA143" s="3"/>
      <c r="AS143" s="238" t="s">
        <v>344</v>
      </c>
      <c r="AT143" s="3">
        <f>1-AT140</f>
        <v>0.99838900581518553</v>
      </c>
      <c r="AU143" s="3" t="s">
        <v>345</v>
      </c>
      <c r="AV143" s="3">
        <f>AT143*AP140</f>
        <v>7.9381760047812139E-2</v>
      </c>
      <c r="AW143" s="3" t="s">
        <v>346</v>
      </c>
      <c r="AX143" s="3">
        <f>AT143*AR140</f>
        <v>7.9381760047812139E-2</v>
      </c>
      <c r="AY143" s="3">
        <f>AY140+1</f>
        <v>36</v>
      </c>
      <c r="AZ143" s="3"/>
      <c r="BA143" s="3">
        <f>det_cost_comparator*AV143</f>
        <v>0</v>
      </c>
      <c r="BB143" s="3">
        <f>$AV143*(VLOOKUP($AY143,'Pregnancy costs and utilities'!$A$23:$H$158,3))</f>
        <v>572.50607173138621</v>
      </c>
      <c r="BC143" s="3">
        <f>SUM(BA143:BB143)</f>
        <v>572.50607173138621</v>
      </c>
      <c r="BD143" s="3"/>
      <c r="BE143" s="3">
        <f>$AV143*(VLOOKUP($AY143,'Pregnancy costs and utilities'!$A$23:$I$158,9))</f>
        <v>5.8009747727247332E-2</v>
      </c>
      <c r="BF143" s="3">
        <f>$AV143*(VLOOKUP($AY143,'Pregnancy costs and utilities'!$A$23:$H$158,7))</f>
        <v>5.7255621006793114E-2</v>
      </c>
      <c r="BG143" s="3"/>
      <c r="BH143" s="3">
        <f>$BA143</f>
        <v>0</v>
      </c>
      <c r="BI143" s="3">
        <f>$AX143*(VLOOKUP($AY143,'Pregnancy costs and utilities'!$A$23:$H$158,5))</f>
        <v>210.03363683212157</v>
      </c>
      <c r="BJ143" s="3">
        <f>SUM(BH143:BI143)</f>
        <v>210.03363683212157</v>
      </c>
      <c r="BK143" s="3"/>
      <c r="BL143" s="3">
        <f>BC143+BI143</f>
        <v>782.53970856350782</v>
      </c>
      <c r="BN143" s="1" t="str">
        <f>IF(AV143=AX143,"Okay",IF(AV143&gt;AX143,"Lost infant","Gained infant"))</f>
        <v>Okay</v>
      </c>
    </row>
    <row r="144" spans="9:66" x14ac:dyDescent="0.25">
      <c r="I144" s="238"/>
      <c r="O144" s="238" t="s">
        <v>344</v>
      </c>
      <c r="P144" s="1">
        <f>1-P7-P15</f>
        <v>0.92897809624254302</v>
      </c>
      <c r="Q144" s="1" t="s">
        <v>345</v>
      </c>
      <c r="R144" s="1">
        <f>P144*L77</f>
        <v>18.207970686353843</v>
      </c>
      <c r="S144" s="1" t="s">
        <v>346</v>
      </c>
      <c r="T144" s="1">
        <f>P144*N77</f>
        <v>18.207970686353843</v>
      </c>
      <c r="U144" s="238"/>
      <c r="AA144" s="3"/>
      <c r="AS144" s="240" t="s">
        <v>476</v>
      </c>
      <c r="AT144" s="235"/>
      <c r="AU144" s="235"/>
      <c r="AV144" s="235"/>
      <c r="AW144" s="235"/>
      <c r="AX144" s="235"/>
      <c r="AY144" s="235"/>
      <c r="AZ144" s="235"/>
      <c r="BA144" s="235"/>
      <c r="BB144" s="235"/>
      <c r="BC144" s="235"/>
      <c r="BD144" s="235"/>
      <c r="BE144" s="235"/>
      <c r="BF144" s="235"/>
      <c r="BG144" s="235"/>
      <c r="BH144" s="235"/>
      <c r="BI144" s="235"/>
      <c r="BJ144" s="235"/>
      <c r="BK144" s="235"/>
      <c r="BL144" s="235"/>
      <c r="BM144" s="235"/>
      <c r="BN144" s="235"/>
    </row>
    <row r="145" spans="9:66" x14ac:dyDescent="0.25">
      <c r="I145" s="238"/>
      <c r="O145" s="240" t="s">
        <v>390</v>
      </c>
      <c r="P145" s="235"/>
      <c r="Q145" s="235"/>
      <c r="R145" s="235"/>
      <c r="S145" s="235"/>
      <c r="T145" s="235"/>
      <c r="U145" s="238"/>
      <c r="AA145" s="3"/>
    </row>
    <row r="146" spans="9:66" x14ac:dyDescent="0.25">
      <c r="I146" s="238"/>
      <c r="O146" s="237"/>
      <c r="U146" s="238"/>
      <c r="AA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</row>
    <row r="147" spans="9:66" x14ac:dyDescent="0.25">
      <c r="I147" s="238"/>
      <c r="O147" s="3"/>
      <c r="U147" s="238"/>
      <c r="AA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236" t="s">
        <v>497</v>
      </c>
      <c r="AT147" s="237"/>
      <c r="AU147" s="237"/>
      <c r="AV147" s="237"/>
      <c r="AW147" s="237"/>
      <c r="AX147" s="237"/>
      <c r="AY147" s="237"/>
      <c r="AZ147" s="237"/>
      <c r="BA147" s="237"/>
      <c r="BB147" s="237"/>
      <c r="BC147" s="237"/>
      <c r="BD147" s="237"/>
      <c r="BE147" s="237"/>
      <c r="BF147" s="237"/>
      <c r="BG147" s="237"/>
      <c r="BH147" s="237"/>
      <c r="BI147" s="237"/>
      <c r="BJ147" s="237"/>
      <c r="BK147" s="237"/>
      <c r="BL147" s="237"/>
      <c r="BM147" s="237"/>
      <c r="BN147" s="237"/>
    </row>
    <row r="148" spans="9:66" x14ac:dyDescent="0.25">
      <c r="I148" s="238"/>
      <c r="O148" s="3"/>
      <c r="U148" s="238"/>
      <c r="AA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238" t="s">
        <v>344</v>
      </c>
      <c r="AT148" s="3">
        <f>DET_NS_stillbirth_lbw_premature</f>
        <v>6.0752905295406189E-2</v>
      </c>
      <c r="AU148" s="3" t="s">
        <v>345</v>
      </c>
      <c r="AV148" s="3">
        <f>AT148*AP151</f>
        <v>6.2723918554066955E-7</v>
      </c>
      <c r="AW148" s="3" t="s">
        <v>346</v>
      </c>
      <c r="AX148" s="3">
        <f>AT148*AR151</f>
        <v>6.2723918554066955E-7</v>
      </c>
      <c r="AY148" s="3">
        <f>AY143+1</f>
        <v>37</v>
      </c>
      <c r="AZ148" s="3"/>
      <c r="BA148" s="3">
        <f>det_cost_comparator*AV148</f>
        <v>0</v>
      </c>
      <c r="BB148" s="3">
        <f>$AV148*(VLOOKUP($AY148,'Pregnancy costs and utilities'!$A$23:$H$158,3))</f>
        <v>5.2631424207081829E-3</v>
      </c>
      <c r="BC148" s="3">
        <f>SUM(BA148:BB148)</f>
        <v>5.2631424207081829E-3</v>
      </c>
      <c r="BD148" s="3"/>
      <c r="BE148" s="3">
        <f>$AV148*(VLOOKUP($AY148,'Pregnancy costs and utilities'!$A$23:$I$158,9))</f>
        <v>0</v>
      </c>
      <c r="BF148" s="3">
        <f>$AV148*(VLOOKUP($AY148,'Pregnancy costs and utilities'!$A$23:$H$158,7))</f>
        <v>0</v>
      </c>
      <c r="BG148" s="3"/>
      <c r="BH148" s="3">
        <f>$BA148</f>
        <v>0</v>
      </c>
      <c r="BI148" s="3">
        <f>$AX148*(VLOOKUP($AY148,'Pregnancy costs and utilities'!$A$23:$H$158,5))</f>
        <v>6.6692880729669001E-4</v>
      </c>
      <c r="BJ148" s="3">
        <f>SUM(BH148:BI148)</f>
        <v>6.6692880729669001E-4</v>
      </c>
      <c r="BK148" s="3"/>
      <c r="BL148" s="3">
        <f>BC148+BI148</f>
        <v>5.9300712280048731E-3</v>
      </c>
      <c r="BN148" s="1" t="str">
        <f>IF(AV148=AX148,"Okay",IF(AV148&gt;AX148,"Lost infant","Gained infant"))</f>
        <v>Okay</v>
      </c>
    </row>
    <row r="149" spans="9:66" x14ac:dyDescent="0.25">
      <c r="I149" s="238"/>
      <c r="O149" s="3"/>
      <c r="U149" s="238"/>
      <c r="AA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238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</row>
    <row r="150" spans="9:66" x14ac:dyDescent="0.25">
      <c r="I150" s="238"/>
      <c r="O150" s="3"/>
      <c r="U150" s="238"/>
      <c r="AA150" s="3"/>
      <c r="AG150" s="3"/>
      <c r="AH150" s="3"/>
      <c r="AI150" s="3"/>
      <c r="AJ150" s="3"/>
      <c r="AK150" s="3"/>
      <c r="AL150" s="3"/>
      <c r="AM150" s="236" t="s">
        <v>489</v>
      </c>
      <c r="AN150" s="237"/>
      <c r="AO150" s="237"/>
      <c r="AP150" s="237"/>
      <c r="AQ150" s="237"/>
      <c r="AR150" s="371"/>
      <c r="AS150" s="238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</row>
    <row r="151" spans="9:66" x14ac:dyDescent="0.25">
      <c r="I151" s="238"/>
      <c r="O151" s="3"/>
      <c r="U151" s="238"/>
      <c r="AA151" s="3"/>
      <c r="AG151" s="3"/>
      <c r="AH151" s="3"/>
      <c r="AI151" s="3"/>
      <c r="AJ151" s="3"/>
      <c r="AK151" s="3"/>
      <c r="AL151" s="3"/>
      <c r="AM151" s="238" t="s">
        <v>344</v>
      </c>
      <c r="AN151" s="3">
        <f>DET_NS_lbw_premature</f>
        <v>0.57035604742854706</v>
      </c>
      <c r="AO151" s="3" t="s">
        <v>345</v>
      </c>
      <c r="AP151" s="3">
        <f>AN151*AJ155</f>
        <v>1.0324431111413829E-5</v>
      </c>
      <c r="AQ151" s="3" t="s">
        <v>346</v>
      </c>
      <c r="AR151" s="370">
        <f>AN151*AL155</f>
        <v>1.0324431111413829E-5</v>
      </c>
      <c r="AS151" s="238" t="s">
        <v>344</v>
      </c>
      <c r="AT151" s="3">
        <f>1-AT148</f>
        <v>0.93924709470459378</v>
      </c>
      <c r="AU151" s="3" t="s">
        <v>345</v>
      </c>
      <c r="AV151" s="3">
        <f>AT151*AP151</f>
        <v>9.6971919258731592E-6</v>
      </c>
      <c r="AW151" s="3" t="s">
        <v>346</v>
      </c>
      <c r="AX151" s="3">
        <f>AT151*AR151</f>
        <v>9.6971919258731592E-6</v>
      </c>
      <c r="AY151" s="3">
        <f>AY148+1</f>
        <v>38</v>
      </c>
      <c r="AZ151" s="3"/>
      <c r="BA151" s="3">
        <f>det_cost_comparator*AV151</f>
        <v>0</v>
      </c>
      <c r="BB151" s="3">
        <f>$AV151*(VLOOKUP($AY151,'Pregnancy costs and utilities'!$A$23:$H$158,3))</f>
        <v>8.1368803740822199E-2</v>
      </c>
      <c r="BC151" s="3">
        <f>SUM(BA151:BB151)</f>
        <v>8.1368803740822199E-2</v>
      </c>
      <c r="BD151" s="3"/>
      <c r="BE151" s="3">
        <f>$AV151*(VLOOKUP($AY151,'Pregnancy costs and utilities'!$A$23:$I$158,9))</f>
        <v>0</v>
      </c>
      <c r="BF151" s="3">
        <f>$AV151*(VLOOKUP($AY151,'Pregnancy costs and utilities'!$A$23:$H$158,7))</f>
        <v>0</v>
      </c>
      <c r="BG151" s="3"/>
      <c r="BH151" s="3">
        <f>$BA151</f>
        <v>0</v>
      </c>
      <c r="BI151" s="3">
        <f>$AX151*(VLOOKUP($AY151,'Pregnancy costs and utilities'!$A$23:$H$158,5))</f>
        <v>0.1545203814385559</v>
      </c>
      <c r="BJ151" s="3">
        <f>SUM(BH151:BI151)</f>
        <v>0.1545203814385559</v>
      </c>
      <c r="BK151" s="3"/>
      <c r="BL151" s="3">
        <f>BC151+BI151</f>
        <v>0.2358891851793781</v>
      </c>
      <c r="BN151" s="1" t="str">
        <f>IF(AV151=AX151,"Okay",IF(AV151&gt;AX151,"Lost infant","Gained infant"))</f>
        <v>Okay</v>
      </c>
    </row>
    <row r="152" spans="9:66" x14ac:dyDescent="0.25">
      <c r="I152" s="238"/>
      <c r="O152" s="3"/>
      <c r="U152" s="238"/>
      <c r="AA152" s="3"/>
      <c r="AG152" s="3"/>
      <c r="AH152" s="3"/>
      <c r="AI152" s="3"/>
      <c r="AJ152" s="3"/>
      <c r="AK152" s="3"/>
      <c r="AL152" s="3"/>
      <c r="AM152" s="238"/>
      <c r="AN152" s="3"/>
      <c r="AO152" s="3"/>
      <c r="AP152" s="3"/>
      <c r="AQ152" s="3"/>
      <c r="AR152" s="3"/>
      <c r="AS152" s="240" t="s">
        <v>498</v>
      </c>
      <c r="AT152" s="235"/>
      <c r="AU152" s="235"/>
      <c r="AV152" s="235"/>
      <c r="AW152" s="235"/>
      <c r="AX152" s="235"/>
      <c r="AY152" s="235"/>
      <c r="AZ152" s="235"/>
      <c r="BA152" s="235"/>
      <c r="BB152" s="235"/>
      <c r="BC152" s="235"/>
      <c r="BD152" s="235"/>
      <c r="BE152" s="235"/>
      <c r="BF152" s="235"/>
      <c r="BG152" s="235"/>
      <c r="BH152" s="235"/>
      <c r="BI152" s="235"/>
      <c r="BJ152" s="235"/>
      <c r="BK152" s="235"/>
      <c r="BL152" s="235"/>
      <c r="BM152" s="235"/>
      <c r="BN152" s="235"/>
    </row>
    <row r="153" spans="9:66" x14ac:dyDescent="0.25">
      <c r="I153" s="238"/>
      <c r="O153" s="3"/>
      <c r="U153" s="238"/>
      <c r="AA153" s="3"/>
      <c r="AG153" s="3"/>
      <c r="AH153" s="3"/>
      <c r="AI153" s="3"/>
      <c r="AJ153" s="3"/>
      <c r="AK153" s="3"/>
      <c r="AL153" s="3"/>
      <c r="AM153" s="238"/>
      <c r="AN153" s="3"/>
      <c r="AO153" s="3"/>
      <c r="AP153" s="3"/>
      <c r="AQ153" s="3"/>
      <c r="AR153" s="3"/>
    </row>
    <row r="154" spans="9:66" x14ac:dyDescent="0.25">
      <c r="I154" s="238"/>
      <c r="O154" s="3"/>
      <c r="U154" s="238"/>
      <c r="AA154" s="3"/>
      <c r="AG154" s="236" t="s">
        <v>485</v>
      </c>
      <c r="AH154" s="237"/>
      <c r="AI154" s="237"/>
      <c r="AJ154" s="237"/>
      <c r="AK154" s="237"/>
      <c r="AL154" s="371"/>
      <c r="AM154" s="238"/>
    </row>
    <row r="155" spans="9:66" x14ac:dyDescent="0.25">
      <c r="I155" s="238"/>
      <c r="O155" s="3"/>
      <c r="U155" s="238"/>
      <c r="AA155" s="3"/>
      <c r="AG155" s="238" t="s">
        <v>344</v>
      </c>
      <c r="AH155" s="3">
        <f>DET_MORT_pre_eclampsia</f>
        <v>1.8648298999999959E-4</v>
      </c>
      <c r="AI155" s="3" t="s">
        <v>345</v>
      </c>
      <c r="AJ155" s="3">
        <f>AH155*AD163</f>
        <v>1.8101729889534048E-5</v>
      </c>
      <c r="AK155" s="3" t="s">
        <v>346</v>
      </c>
      <c r="AL155" s="370">
        <f>AH155*AF163</f>
        <v>1.8101729889534048E-5</v>
      </c>
      <c r="AM155" s="238"/>
      <c r="AS155" s="236" t="s">
        <v>499</v>
      </c>
      <c r="AT155" s="237"/>
      <c r="AU155" s="237"/>
      <c r="AV155" s="237"/>
      <c r="AW155" s="237"/>
      <c r="AX155" s="237"/>
      <c r="AY155" s="237"/>
      <c r="AZ155" s="237"/>
      <c r="BA155" s="237"/>
      <c r="BB155" s="237"/>
      <c r="BC155" s="237"/>
      <c r="BD155" s="237"/>
      <c r="BE155" s="237"/>
      <c r="BF155" s="237"/>
      <c r="BG155" s="237"/>
      <c r="BH155" s="237"/>
      <c r="BI155" s="237"/>
      <c r="BJ155" s="237"/>
      <c r="BK155" s="237"/>
      <c r="BL155" s="237"/>
      <c r="BM155" s="237"/>
      <c r="BN155" s="237"/>
    </row>
    <row r="156" spans="9:66" x14ac:dyDescent="0.25">
      <c r="I156" s="238"/>
      <c r="O156" s="3"/>
      <c r="U156" s="238"/>
      <c r="AA156" s="3"/>
      <c r="AG156" s="238"/>
      <c r="AM156" s="238" t="s">
        <v>344</v>
      </c>
      <c r="AN156" s="1">
        <f>1-AN151</f>
        <v>0.42964395257145294</v>
      </c>
      <c r="AO156" s="1" t="s">
        <v>345</v>
      </c>
      <c r="AP156" s="1">
        <f>AN156*AJ155</f>
        <v>7.777298778120219E-6</v>
      </c>
      <c r="AQ156" s="1" t="s">
        <v>346</v>
      </c>
      <c r="AR156" s="1">
        <f>AN156*AL155</f>
        <v>7.777298778120219E-6</v>
      </c>
      <c r="AS156" s="238" t="s">
        <v>344</v>
      </c>
      <c r="AT156" s="1">
        <f>DET_NS_stillbirth_nbw_premature</f>
        <v>7.6129469648265786E-3</v>
      </c>
      <c r="AU156" s="1" t="s">
        <v>345</v>
      </c>
      <c r="AV156" s="1">
        <f>AT156*AP156</f>
        <v>5.9208163127439778E-8</v>
      </c>
      <c r="AW156" s="1" t="s">
        <v>346</v>
      </c>
      <c r="AX156" s="3">
        <f>AT156*AR156</f>
        <v>5.9208163127439778E-8</v>
      </c>
      <c r="AY156" s="3">
        <f>AY151+1</f>
        <v>39</v>
      </c>
      <c r="AZ156" s="3"/>
      <c r="BA156" s="3">
        <f>det_cost_comparator*AV156</f>
        <v>0</v>
      </c>
      <c r="BB156" s="3">
        <f>$AV156*(VLOOKUP($AY156,'Pregnancy costs and utilities'!$A$23:$H$158,3))</f>
        <v>4.9681365927357738E-4</v>
      </c>
      <c r="BC156" s="3">
        <f>SUM(BA156:BB156)</f>
        <v>4.9681365927357738E-4</v>
      </c>
      <c r="BD156" s="3"/>
      <c r="BE156" s="3">
        <f>$AV156*(VLOOKUP($AY156,'Pregnancy costs and utilities'!$A$23:$I$158,9))</f>
        <v>0</v>
      </c>
      <c r="BF156" s="3">
        <f>$AV156*(VLOOKUP($AY156,'Pregnancy costs and utilities'!$A$23:$H$158,7))</f>
        <v>0</v>
      </c>
      <c r="BG156" s="3"/>
      <c r="BH156" s="3">
        <f>$BA156</f>
        <v>0</v>
      </c>
      <c r="BI156" s="3">
        <f>$AX156*(VLOOKUP($AY156,'Pregnancy costs and utilities'!$A$23:$H$158,5))</f>
        <v>6.2954659924146166E-5</v>
      </c>
      <c r="BJ156" s="3">
        <f>SUM(BH156:BI156)</f>
        <v>6.2954659924146166E-5</v>
      </c>
      <c r="BK156" s="3"/>
      <c r="BL156" s="3">
        <f>BC156+BI156</f>
        <v>5.5976831919772358E-4</v>
      </c>
      <c r="BN156" s="1" t="str">
        <f>IF(AV156=AX156,"Okay",IF(AV156&gt;AX156,"Lost infant","Gained infant"))</f>
        <v>Okay</v>
      </c>
    </row>
    <row r="157" spans="9:66" x14ac:dyDescent="0.25">
      <c r="I157" s="238"/>
      <c r="O157" s="3"/>
      <c r="U157" s="238"/>
      <c r="AA157" s="3"/>
      <c r="AG157" s="238"/>
      <c r="AM157" s="240" t="s">
        <v>490</v>
      </c>
      <c r="AN157" s="235"/>
      <c r="AO157" s="235"/>
      <c r="AP157" s="235"/>
      <c r="AQ157" s="235"/>
      <c r="AR157" s="239"/>
      <c r="AS157" s="238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</row>
    <row r="158" spans="9:66" x14ac:dyDescent="0.25">
      <c r="I158" s="238"/>
      <c r="O158" s="3"/>
      <c r="U158" s="238"/>
      <c r="AA158" s="3"/>
      <c r="AG158" s="238"/>
      <c r="AS158" s="238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</row>
    <row r="159" spans="9:66" x14ac:dyDescent="0.25">
      <c r="I159" s="238"/>
      <c r="O159" s="3"/>
      <c r="U159" s="238"/>
      <c r="AG159" s="238"/>
      <c r="AS159" s="238" t="s">
        <v>344</v>
      </c>
      <c r="AT159" s="1">
        <f>1-AT156</f>
        <v>0.99238705303517338</v>
      </c>
      <c r="AU159" s="1" t="s">
        <v>345</v>
      </c>
      <c r="AV159" s="1">
        <f>AT159*AP156</f>
        <v>7.7180906149927784E-6</v>
      </c>
      <c r="AW159" s="1" t="s">
        <v>346</v>
      </c>
      <c r="AX159" s="3">
        <f>AT159*AR156</f>
        <v>7.7180906149927784E-6</v>
      </c>
      <c r="AY159" s="3">
        <f>AY156+1</f>
        <v>40</v>
      </c>
      <c r="AZ159" s="3"/>
      <c r="BA159" s="3">
        <f>det_cost_comparator*AV159</f>
        <v>0</v>
      </c>
      <c r="BB159" s="3">
        <f>$AV159*(VLOOKUP($AY159,'Pregnancy costs and utilities'!$A$23:$H$158,3))</f>
        <v>6.4762232747979917E-2</v>
      </c>
      <c r="BC159" s="3">
        <f>SUM(BA159:BB159)</f>
        <v>6.4762232747979917E-2</v>
      </c>
      <c r="BD159" s="3"/>
      <c r="BE159" s="3">
        <f>$AV159*(VLOOKUP($AY159,'Pregnancy costs and utilities'!$A$23:$I$158,9))</f>
        <v>0</v>
      </c>
      <c r="BF159" s="3">
        <f>$AV159*(VLOOKUP($AY159,'Pregnancy costs and utilities'!$A$23:$H$158,7))</f>
        <v>0</v>
      </c>
      <c r="BG159" s="3"/>
      <c r="BH159" s="3">
        <f>$BA159</f>
        <v>0</v>
      </c>
      <c r="BI159" s="3">
        <f>$AX159*(VLOOKUP($AY159,'Pregnancy costs and utilities'!$A$23:$H$158,5))</f>
        <v>0.12298429431143158</v>
      </c>
      <c r="BJ159" s="3">
        <f>SUM(BH159:BI159)</f>
        <v>0.12298429431143158</v>
      </c>
      <c r="BK159" s="3"/>
      <c r="BL159" s="3">
        <f>BC159+BI159</f>
        <v>0.1877465270594115</v>
      </c>
      <c r="BN159" s="1" t="str">
        <f>IF(AV159=AX159,"Okay",IF(AV159&gt;AX159,"Lost infant","Gained infant"))</f>
        <v>Okay</v>
      </c>
    </row>
    <row r="160" spans="9:66" x14ac:dyDescent="0.25">
      <c r="I160" s="238"/>
      <c r="O160" s="3"/>
      <c r="U160" s="238"/>
      <c r="AG160" s="238"/>
      <c r="AS160" s="240" t="s">
        <v>500</v>
      </c>
      <c r="AT160" s="235"/>
      <c r="AU160" s="235"/>
      <c r="AV160" s="235"/>
      <c r="AW160" s="235"/>
      <c r="AX160" s="235"/>
      <c r="AY160" s="235"/>
      <c r="AZ160" s="235"/>
      <c r="BA160" s="235"/>
      <c r="BB160" s="235"/>
      <c r="BC160" s="235"/>
      <c r="BD160" s="235"/>
      <c r="BE160" s="235"/>
      <c r="BF160" s="235"/>
      <c r="BG160" s="235"/>
      <c r="BH160" s="235"/>
      <c r="BI160" s="235"/>
      <c r="BJ160" s="235"/>
      <c r="BK160" s="235"/>
      <c r="BL160" s="235"/>
      <c r="BM160" s="235"/>
      <c r="BN160" s="235"/>
    </row>
    <row r="161" spans="9:66" x14ac:dyDescent="0.25">
      <c r="I161" s="238"/>
      <c r="O161" s="3"/>
      <c r="U161" s="238"/>
      <c r="AG161" s="238"/>
      <c r="AS161" s="3"/>
      <c r="AT161" s="3"/>
      <c r="AU161" s="3"/>
      <c r="AV161" s="3"/>
      <c r="AW161" s="3"/>
      <c r="AX161" s="237"/>
      <c r="AY161" s="237"/>
      <c r="AZ161" s="237"/>
      <c r="BA161" s="237"/>
      <c r="BB161" s="237"/>
      <c r="BC161" s="237"/>
      <c r="BD161" s="237"/>
      <c r="BE161" s="237"/>
      <c r="BF161" s="237"/>
      <c r="BG161" s="237"/>
      <c r="BH161" s="237"/>
      <c r="BI161" s="237"/>
      <c r="BJ161" s="3"/>
      <c r="BK161" s="3"/>
      <c r="BL161" s="3"/>
    </row>
    <row r="162" spans="9:66" x14ac:dyDescent="0.25">
      <c r="I162" s="238"/>
      <c r="O162" s="3"/>
      <c r="U162" s="238"/>
      <c r="AA162" s="236" t="s">
        <v>483</v>
      </c>
      <c r="AB162" s="237"/>
      <c r="AC162" s="237"/>
      <c r="AD162" s="237"/>
      <c r="AE162" s="237"/>
      <c r="AF162" s="371"/>
      <c r="AG162" s="238"/>
      <c r="AX162" s="235"/>
      <c r="AY162" s="235"/>
      <c r="AZ162" s="235"/>
      <c r="BA162" s="235"/>
      <c r="BB162" s="235"/>
      <c r="BC162" s="235"/>
      <c r="BD162" s="235"/>
      <c r="BE162" s="235"/>
      <c r="BF162" s="235"/>
      <c r="BG162" s="235"/>
      <c r="BH162" s="235"/>
      <c r="BI162" s="235"/>
      <c r="BJ162" s="3"/>
      <c r="BK162" s="3"/>
      <c r="BL162" s="3"/>
    </row>
    <row r="163" spans="9:66" x14ac:dyDescent="0.25">
      <c r="I163" s="238"/>
      <c r="O163" s="3"/>
      <c r="U163" s="238"/>
      <c r="AA163" s="238" t="s">
        <v>344</v>
      </c>
      <c r="AB163" s="3">
        <f>DET_NS_premature_pre_eclampsia</f>
        <v>0.26200038414313942</v>
      </c>
      <c r="AC163" s="3" t="s">
        <v>345</v>
      </c>
      <c r="AD163" s="3">
        <f>AB163*X179</f>
        <v>9.7069067208403775E-2</v>
      </c>
      <c r="AE163" s="3" t="s">
        <v>346</v>
      </c>
      <c r="AF163" s="370">
        <f>AB163*Z179</f>
        <v>9.7069067208403775E-2</v>
      </c>
      <c r="AG163" s="238"/>
      <c r="AS163" s="236" t="s">
        <v>501</v>
      </c>
      <c r="AT163" s="237"/>
      <c r="AU163" s="237"/>
      <c r="AV163" s="237"/>
      <c r="AW163" s="237"/>
      <c r="AX163" s="3"/>
      <c r="BJ163" s="237"/>
      <c r="BK163" s="237"/>
      <c r="BL163" s="237"/>
      <c r="BM163" s="237"/>
      <c r="BN163" s="237"/>
    </row>
    <row r="164" spans="9:66" x14ac:dyDescent="0.25">
      <c r="I164" s="238"/>
      <c r="O164" s="3"/>
      <c r="U164" s="238"/>
      <c r="AA164" s="238"/>
      <c r="AG164" s="238"/>
      <c r="AS164" s="238" t="s">
        <v>344</v>
      </c>
      <c r="AT164" s="1">
        <f>DET_NS_stillbirth_lbw_premature</f>
        <v>6.0752905295406189E-2</v>
      </c>
      <c r="AU164" s="1" t="s">
        <v>345</v>
      </c>
      <c r="AV164" s="1">
        <f>AT164*AP167</f>
        <v>3.3628923265435966E-3</v>
      </c>
      <c r="AW164" s="1" t="s">
        <v>346</v>
      </c>
      <c r="AX164" s="1">
        <f>AT164*AR167</f>
        <v>3.3628923265435966E-3</v>
      </c>
      <c r="AY164" s="1">
        <f>AY159+1</f>
        <v>41</v>
      </c>
      <c r="BA164" s="1">
        <f>det_cost_comparator*AV164</f>
        <v>0</v>
      </c>
      <c r="BB164" s="1">
        <f>$AV164*(VLOOKUP($AY164,'Pregnancy costs and utilities'!$A$23:$H$158,3))</f>
        <v>22.733104065354702</v>
      </c>
      <c r="BC164" s="1">
        <f>SUM(BA164:BB164)</f>
        <v>22.733104065354702</v>
      </c>
      <c r="BE164" s="1">
        <f>$AV164*(VLOOKUP($AY164,'Pregnancy costs and utilities'!$A$23:$I$158,9))</f>
        <v>2.1341432072295901E-3</v>
      </c>
      <c r="BF164" s="1">
        <f>$AV164*(VLOOKUP($AY164,'Pregnancy costs and utilities'!$A$23:$H$158,7))</f>
        <v>1.8929850248126468E-3</v>
      </c>
      <c r="BH164" s="1">
        <f>$BA164</f>
        <v>0</v>
      </c>
      <c r="BI164" s="1">
        <f>$AX164*(VLOOKUP($AY164,'Pregnancy costs and utilities'!$A$23:$H$158,5))</f>
        <v>3.575685033892849</v>
      </c>
      <c r="BJ164" s="3">
        <f>SUM(BH164:BI164)</f>
        <v>3.575685033892849</v>
      </c>
      <c r="BK164" s="3"/>
      <c r="BL164" s="3">
        <f>BC164+BI164</f>
        <v>26.308789099247551</v>
      </c>
      <c r="BN164" s="1" t="str">
        <f>IF(AV164=AX164,"Okay",IF(AV164&gt;AX164,"Lost infant","Gained infant"))</f>
        <v>Okay</v>
      </c>
    </row>
    <row r="165" spans="9:66" x14ac:dyDescent="0.25">
      <c r="I165" s="238"/>
      <c r="O165" s="3"/>
      <c r="U165" s="238"/>
      <c r="AA165" s="238"/>
      <c r="AG165" s="238"/>
      <c r="AM165" s="3"/>
      <c r="AN165" s="3"/>
      <c r="AO165" s="3"/>
      <c r="AP165" s="3"/>
      <c r="AQ165" s="3"/>
      <c r="AR165" s="3"/>
      <c r="AS165" s="238"/>
      <c r="BJ165" s="3"/>
      <c r="BK165" s="3"/>
      <c r="BL165" s="3"/>
    </row>
    <row r="166" spans="9:66" x14ac:dyDescent="0.25">
      <c r="I166" s="238"/>
      <c r="O166" s="3"/>
      <c r="U166" s="238"/>
      <c r="AA166" s="238"/>
      <c r="AG166" s="238"/>
      <c r="AM166" s="236" t="s">
        <v>491</v>
      </c>
      <c r="AN166" s="237"/>
      <c r="AO166" s="237"/>
      <c r="AP166" s="237"/>
      <c r="AQ166" s="237"/>
      <c r="AR166" s="371"/>
      <c r="AS166" s="238"/>
      <c r="BJ166" s="3"/>
      <c r="BK166" s="3"/>
      <c r="BL166" s="3"/>
    </row>
    <row r="167" spans="9:66" x14ac:dyDescent="0.25">
      <c r="I167" s="238"/>
      <c r="O167" s="3"/>
      <c r="U167" s="238"/>
      <c r="AA167" s="238"/>
      <c r="AG167" s="238"/>
      <c r="AM167" s="238" t="s">
        <v>344</v>
      </c>
      <c r="AN167" s="3">
        <f>DET_NS_lbw_premature</f>
        <v>0.57035604742854706</v>
      </c>
      <c r="AO167" s="3" t="s">
        <v>345</v>
      </c>
      <c r="AP167" s="3">
        <f>AN167*AJ168</f>
        <v>5.5353605069449752E-2</v>
      </c>
      <c r="AQ167" s="3" t="s">
        <v>346</v>
      </c>
      <c r="AR167" s="370">
        <f>AN167*AL168</f>
        <v>5.5353605069449752E-2</v>
      </c>
      <c r="AS167" s="238" t="s">
        <v>344</v>
      </c>
      <c r="AT167" s="1">
        <f>1-AT164</f>
        <v>0.93924709470459378</v>
      </c>
      <c r="AU167" s="1" t="s">
        <v>345</v>
      </c>
      <c r="AV167" s="1">
        <f>AT167*AP167</f>
        <v>5.1990712742906155E-2</v>
      </c>
      <c r="AW167" s="1" t="s">
        <v>346</v>
      </c>
      <c r="AX167" s="1">
        <f>AT167*AR167</f>
        <v>5.1990712742906155E-2</v>
      </c>
      <c r="AY167" s="1">
        <f>AY164+1</f>
        <v>42</v>
      </c>
      <c r="BA167" s="1">
        <f>det_cost_comparator*AV167</f>
        <v>0</v>
      </c>
      <c r="BB167" s="1">
        <f>$AV167*(VLOOKUP($AY167,'Pregnancy costs and utilities'!$A$23:$H$158,3))</f>
        <v>351.45647509660944</v>
      </c>
      <c r="BC167" s="1">
        <f>SUM(BA167:BB167)</f>
        <v>351.45647509660944</v>
      </c>
      <c r="BE167" s="1">
        <f>$AV167*(VLOOKUP($AY167,'Pregnancy costs and utilities'!$A$23:$I$158,9))</f>
        <v>3.2994106163767363E-2</v>
      </c>
      <c r="BF167" s="1">
        <f>$AV167*(VLOOKUP($AY167,'Pregnancy costs and utilities'!$A$23:$H$158,7))</f>
        <v>3.2565182783638388E-2</v>
      </c>
      <c r="BH167" s="1">
        <f>$BA167</f>
        <v>0</v>
      </c>
      <c r="BI167" s="1">
        <f>$AX167*(VLOOKUP($AY167,'Pregnancy costs and utilities'!$A$23:$H$158,5))</f>
        <v>828.4485679675646</v>
      </c>
      <c r="BJ167" s="3">
        <f>SUM(BH167:BI167)</f>
        <v>828.4485679675646</v>
      </c>
      <c r="BK167" s="3"/>
      <c r="BL167" s="3">
        <f>BC167+BI167</f>
        <v>1179.9050430641742</v>
      </c>
      <c r="BN167" s="1" t="str">
        <f>IF(AV167=AX167,"Okay",IF(AV167&gt;AX167,"Lost infant","Gained infant"))</f>
        <v>Okay</v>
      </c>
    </row>
    <row r="168" spans="9:66" x14ac:dyDescent="0.25">
      <c r="I168" s="238"/>
      <c r="O168" s="3"/>
      <c r="U168" s="238"/>
      <c r="AA168" s="238"/>
      <c r="AG168" s="238" t="s">
        <v>344</v>
      </c>
      <c r="AH168" s="1">
        <f>1-AH155</f>
        <v>0.99981351700999999</v>
      </c>
      <c r="AI168" s="1" t="s">
        <v>345</v>
      </c>
      <c r="AJ168" s="1">
        <f>AH168*AD163</f>
        <v>9.7050965478514245E-2</v>
      </c>
      <c r="AK168" s="1" t="s">
        <v>346</v>
      </c>
      <c r="AL168" s="1">
        <f>AH168*AF163</f>
        <v>9.7050965478514245E-2</v>
      </c>
      <c r="AM168" s="238"/>
      <c r="AS168" s="240" t="s">
        <v>502</v>
      </c>
      <c r="AT168" s="235"/>
      <c r="AU168" s="235"/>
      <c r="AV168" s="235"/>
      <c r="AW168" s="235"/>
      <c r="AX168" s="235"/>
      <c r="AY168" s="235"/>
      <c r="AZ168" s="235"/>
      <c r="BA168" s="235"/>
      <c r="BB168" s="235"/>
      <c r="BC168" s="235"/>
      <c r="BD168" s="235"/>
      <c r="BE168" s="235"/>
      <c r="BF168" s="235"/>
      <c r="BG168" s="235"/>
      <c r="BH168" s="235"/>
      <c r="BI168" s="235"/>
      <c r="BJ168" s="235"/>
      <c r="BK168" s="235"/>
      <c r="BL168" s="235"/>
      <c r="BM168" s="235"/>
      <c r="BN168" s="235"/>
    </row>
    <row r="169" spans="9:66" x14ac:dyDescent="0.25">
      <c r="I169" s="238"/>
      <c r="O169" s="3"/>
      <c r="U169" s="238"/>
      <c r="AA169" s="238"/>
      <c r="AG169" s="240" t="s">
        <v>486</v>
      </c>
      <c r="AH169" s="235"/>
      <c r="AI169" s="235"/>
      <c r="AJ169" s="235"/>
      <c r="AK169" s="235"/>
      <c r="AL169" s="235"/>
      <c r="AM169" s="238"/>
    </row>
    <row r="170" spans="9:66" x14ac:dyDescent="0.25">
      <c r="I170" s="238"/>
      <c r="O170" s="3"/>
      <c r="U170" s="238"/>
      <c r="AA170" s="238"/>
      <c r="AM170" s="238"/>
    </row>
    <row r="171" spans="9:66" x14ac:dyDescent="0.25">
      <c r="I171" s="238"/>
      <c r="O171" s="3"/>
      <c r="U171" s="238"/>
      <c r="AA171" s="238"/>
      <c r="AM171" s="238"/>
      <c r="AS171" s="236" t="s">
        <v>503</v>
      </c>
      <c r="AT171" s="237"/>
      <c r="AU171" s="237"/>
      <c r="AV171" s="237"/>
      <c r="AW171" s="237"/>
      <c r="AX171" s="237"/>
      <c r="AY171" s="237"/>
      <c r="AZ171" s="237"/>
      <c r="BA171" s="237"/>
      <c r="BB171" s="237"/>
      <c r="BC171" s="237"/>
      <c r="BD171" s="237"/>
      <c r="BE171" s="237"/>
      <c r="BF171" s="237"/>
      <c r="BG171" s="237"/>
      <c r="BH171" s="237"/>
      <c r="BI171" s="237"/>
      <c r="BJ171" s="237"/>
      <c r="BK171" s="237"/>
      <c r="BL171" s="237"/>
      <c r="BM171" s="237"/>
      <c r="BN171" s="237"/>
    </row>
    <row r="172" spans="9:66" x14ac:dyDescent="0.25">
      <c r="I172" s="238"/>
      <c r="O172" s="3"/>
      <c r="U172" s="238"/>
      <c r="AA172" s="238"/>
      <c r="AM172" s="238" t="s">
        <v>344</v>
      </c>
      <c r="AN172" s="1">
        <f>1-AN167</f>
        <v>0.42964395257145294</v>
      </c>
      <c r="AO172" s="1" t="s">
        <v>345</v>
      </c>
      <c r="AP172" s="1">
        <f>AN172*AJ168</f>
        <v>4.1697360409064493E-2</v>
      </c>
      <c r="AQ172" s="1" t="s">
        <v>346</v>
      </c>
      <c r="AR172" s="1">
        <f>AN172*AL168</f>
        <v>4.1697360409064493E-2</v>
      </c>
      <c r="AS172" s="238" t="s">
        <v>344</v>
      </c>
      <c r="AT172" s="3">
        <f>DET_NS_stillbirth_nbw_premature</f>
        <v>7.6129469648265786E-3</v>
      </c>
      <c r="AU172" s="3" t="s">
        <v>345</v>
      </c>
      <c r="AV172" s="3">
        <f>AT172*AP172</f>
        <v>3.1743979336746746E-4</v>
      </c>
      <c r="AW172" s="3" t="s">
        <v>346</v>
      </c>
      <c r="AX172" s="3">
        <f>AT172*AR172</f>
        <v>3.1743979336746746E-4</v>
      </c>
      <c r="AY172" s="3">
        <f>AY167+1</f>
        <v>43</v>
      </c>
      <c r="AZ172" s="3"/>
      <c r="BA172" s="3">
        <f>det_cost_comparator*AV172</f>
        <v>0</v>
      </c>
      <c r="BB172" s="3">
        <f>$AV172*(VLOOKUP($AY172,'Pregnancy costs and utilities'!$A$23:$H$158,3))</f>
        <v>2.1458884663501516</v>
      </c>
      <c r="BC172" s="3">
        <f>SUM(BA172:BB172)</f>
        <v>2.1458884663501516</v>
      </c>
      <c r="BD172" s="3"/>
      <c r="BE172" s="3">
        <f>$AV172*(VLOOKUP($AY172,'Pregnancy costs and utilities'!$A$23:$I$158,9))</f>
        <v>2.0145217656012356E-4</v>
      </c>
      <c r="BF172" s="3">
        <f>$AV172*(VLOOKUP($AY172,'Pregnancy costs and utilities'!$A$23:$H$158,7))</f>
        <v>1.7868808060882965E-4</v>
      </c>
      <c r="BG172" s="3"/>
      <c r="BH172" s="3">
        <f>$BA172</f>
        <v>0</v>
      </c>
      <c r="BI172" s="3">
        <f>$AX172*(VLOOKUP($AY172,'Pregnancy costs and utilities'!$A$23:$H$158,5))</f>
        <v>0.33752633390814479</v>
      </c>
      <c r="BJ172" s="3">
        <f>SUM(BH172:BI172)</f>
        <v>0.33752633390814479</v>
      </c>
      <c r="BK172" s="3"/>
      <c r="BL172" s="3">
        <f>BC172+BI172</f>
        <v>2.4834148002582963</v>
      </c>
      <c r="BN172" s="1" t="str">
        <f>IF(AV172=AX172,"Okay",IF(AV172&gt;AX172,"Lost infant","Gained infant"))</f>
        <v>Okay</v>
      </c>
    </row>
    <row r="173" spans="9:66" x14ac:dyDescent="0.25">
      <c r="I173" s="238"/>
      <c r="O173" s="3"/>
      <c r="U173" s="238"/>
      <c r="AA173" s="238"/>
      <c r="AM173" s="240" t="s">
        <v>492</v>
      </c>
      <c r="AN173" s="235"/>
      <c r="AO173" s="235"/>
      <c r="AP173" s="235"/>
      <c r="AQ173" s="235"/>
      <c r="AR173" s="239"/>
      <c r="AS173" s="238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</row>
    <row r="174" spans="9:66" x14ac:dyDescent="0.25">
      <c r="I174" s="238"/>
      <c r="O174" s="3"/>
      <c r="U174" s="238"/>
      <c r="AA174" s="238"/>
      <c r="AS174" s="238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</row>
    <row r="175" spans="9:66" x14ac:dyDescent="0.25">
      <c r="I175" s="238"/>
      <c r="O175" s="3"/>
      <c r="U175" s="238"/>
      <c r="AA175" s="238"/>
      <c r="AS175" s="238" t="s">
        <v>344</v>
      </c>
      <c r="AT175" s="3">
        <f>1-AT172</f>
        <v>0.99238705303517338</v>
      </c>
      <c r="AU175" s="3" t="s">
        <v>345</v>
      </c>
      <c r="AV175" s="3">
        <f>AT175*AP172</f>
        <v>4.1379920615697022E-2</v>
      </c>
      <c r="AW175" s="3" t="s">
        <v>346</v>
      </c>
      <c r="AX175" s="3">
        <f>AT175*AR172</f>
        <v>4.1379920615697022E-2</v>
      </c>
      <c r="AY175" s="3">
        <f>AY172+1</f>
        <v>44</v>
      </c>
      <c r="AZ175" s="3"/>
      <c r="BA175" s="3">
        <f>det_cost_comparator*AV175</f>
        <v>0</v>
      </c>
      <c r="BB175" s="3">
        <f>$AV175*(VLOOKUP($AY175,'Pregnancy costs and utilities'!$A$23:$H$158,3))</f>
        <v>279.72767196492686</v>
      </c>
      <c r="BC175" s="3">
        <f>SUM(BA175:BB175)</f>
        <v>279.72767196492686</v>
      </c>
      <c r="BD175" s="3"/>
      <c r="BE175" s="3">
        <f>$AV175*(VLOOKUP($AY175,'Pregnancy costs and utilities'!$A$23:$I$158,9))</f>
        <v>2.6260334236884647E-2</v>
      </c>
      <c r="BF175" s="3">
        <f>$AV175*(VLOOKUP($AY175,'Pregnancy costs and utilities'!$A$23:$H$158,7))</f>
        <v>2.5918949891805147E-2</v>
      </c>
      <c r="BG175" s="3"/>
      <c r="BH175" s="3">
        <f>$BA175</f>
        <v>0</v>
      </c>
      <c r="BI175" s="3">
        <f>$AX175*(VLOOKUP($AY175,'Pregnancy costs and utilities'!$A$23:$H$158,5))</f>
        <v>659.37037920995169</v>
      </c>
      <c r="BJ175" s="3">
        <f>SUM(BH175:BI175)</f>
        <v>659.37037920995169</v>
      </c>
      <c r="BK175" s="3"/>
      <c r="BL175" s="3">
        <f>BC175+BI175</f>
        <v>939.09805117487849</v>
      </c>
      <c r="BN175" s="1" t="str">
        <f>IF(AV175=AX175,"Okay",IF(AV175&gt;AX175,"Lost infant","Gained infant"))</f>
        <v>Okay</v>
      </c>
    </row>
    <row r="176" spans="9:66" x14ac:dyDescent="0.25">
      <c r="I176" s="238"/>
      <c r="O176" s="3"/>
      <c r="U176" s="238"/>
      <c r="AA176" s="238"/>
      <c r="AS176" s="240" t="s">
        <v>504</v>
      </c>
      <c r="AT176" s="235"/>
      <c r="AU176" s="235"/>
      <c r="AV176" s="235"/>
      <c r="AW176" s="235"/>
      <c r="AX176" s="235"/>
      <c r="AY176" s="235"/>
      <c r="AZ176" s="235"/>
      <c r="BA176" s="235"/>
      <c r="BB176" s="235"/>
      <c r="BC176" s="235"/>
      <c r="BD176" s="235"/>
      <c r="BE176" s="235"/>
      <c r="BF176" s="235"/>
      <c r="BG176" s="235"/>
      <c r="BH176" s="235"/>
      <c r="BI176" s="235"/>
      <c r="BJ176" s="235"/>
      <c r="BK176" s="235"/>
      <c r="BL176" s="235"/>
      <c r="BM176" s="235"/>
      <c r="BN176" s="235"/>
    </row>
    <row r="177" spans="9:66" x14ac:dyDescent="0.25">
      <c r="I177" s="238"/>
      <c r="O177" s="3"/>
      <c r="U177" s="238"/>
      <c r="AA177" s="238"/>
    </row>
    <row r="178" spans="9:66" x14ac:dyDescent="0.25">
      <c r="I178" s="238"/>
      <c r="O178" s="3"/>
      <c r="U178" s="236" t="s">
        <v>386</v>
      </c>
      <c r="V178" s="237"/>
      <c r="W178" s="237"/>
      <c r="X178" s="237"/>
      <c r="Y178" s="237"/>
      <c r="Z178" s="371"/>
      <c r="AA178" s="238"/>
    </row>
    <row r="179" spans="9:66" x14ac:dyDescent="0.25">
      <c r="I179" s="238"/>
      <c r="U179" s="238" t="s">
        <v>344</v>
      </c>
      <c r="V179" s="1">
        <f>DET_NS_pre_eclampsia</f>
        <v>2.0347796363534534E-2</v>
      </c>
      <c r="W179" s="1" t="s">
        <v>345</v>
      </c>
      <c r="X179" s="1">
        <f>V179*R144</f>
        <v>0.37049207971913412</v>
      </c>
      <c r="Y179" s="1" t="s">
        <v>346</v>
      </c>
      <c r="Z179" s="1">
        <f>V179*T144</f>
        <v>0.37049207971913412</v>
      </c>
      <c r="AA179" s="238"/>
      <c r="AS179" s="236" t="s">
        <v>505</v>
      </c>
      <c r="AT179" s="237"/>
      <c r="AU179" s="237"/>
      <c r="AV179" s="237"/>
      <c r="AW179" s="237"/>
      <c r="AX179" s="237"/>
      <c r="AY179" s="237"/>
      <c r="AZ179" s="237"/>
      <c r="BA179" s="237"/>
      <c r="BB179" s="237"/>
      <c r="BC179" s="237"/>
      <c r="BD179" s="237"/>
      <c r="BE179" s="237"/>
      <c r="BF179" s="237"/>
      <c r="BG179" s="237"/>
      <c r="BH179" s="237"/>
      <c r="BI179" s="237"/>
      <c r="BJ179" s="237"/>
      <c r="BK179" s="237"/>
      <c r="BL179" s="237"/>
      <c r="BM179" s="237"/>
      <c r="BN179" s="237"/>
    </row>
    <row r="180" spans="9:66" x14ac:dyDescent="0.25">
      <c r="I180" s="238"/>
      <c r="U180" s="238"/>
      <c r="AA180" s="238"/>
      <c r="AS180" s="238" t="s">
        <v>344</v>
      </c>
      <c r="AT180" s="1">
        <f>DET_NS_stillbirth_lbw_fullgest</f>
        <v>1.5360924440585004E-2</v>
      </c>
      <c r="AU180" s="1" t="s">
        <v>345</v>
      </c>
      <c r="AV180" s="1">
        <f>AT180*AP183</f>
        <v>2.1101860146127243E-8</v>
      </c>
      <c r="AW180" s="1" t="s">
        <v>346</v>
      </c>
      <c r="AX180" s="1">
        <f>AT180*AR183</f>
        <v>2.1101860146127243E-8</v>
      </c>
      <c r="AY180" s="1">
        <f>AY175+1</f>
        <v>45</v>
      </c>
      <c r="BA180" s="1">
        <f>det_cost_comparator*AV180</f>
        <v>0</v>
      </c>
      <c r="BB180" s="1">
        <f>$AV180*(VLOOKUP($AY180,'Pregnancy costs and utilities'!$A$23:$H$158,3))</f>
        <v>1.535783502831561E-4</v>
      </c>
      <c r="BC180" s="1">
        <f>SUM(BA180:BB180)</f>
        <v>1.535783502831561E-4</v>
      </c>
      <c r="BE180" s="1">
        <f>$AV180*(VLOOKUP($AY180,'Pregnancy costs and utilities'!$A$23:$I$158,9))</f>
        <v>0</v>
      </c>
      <c r="BF180" s="1">
        <f>$AV180*(VLOOKUP($AY180,'Pregnancy costs and utilities'!$A$23:$H$158,7))</f>
        <v>0</v>
      </c>
      <c r="BH180" s="1">
        <f>$BA180</f>
        <v>0</v>
      </c>
      <c r="BI180" s="1">
        <f>$AX180*(VLOOKUP($AY180,'Pregnancy costs and utilities'!$A$23:$H$158,5))</f>
        <v>2.243711608493837E-5</v>
      </c>
      <c r="BJ180" s="3">
        <f>SUM(BH180:BI180)</f>
        <v>2.243711608493837E-5</v>
      </c>
      <c r="BK180" s="3"/>
      <c r="BL180" s="3">
        <f>BC180+BI180</f>
        <v>1.7601546636809447E-4</v>
      </c>
      <c r="BN180" s="1" t="str">
        <f>IF(AV180=AX180,"Okay",IF(AV180&gt;AX180,"Lost infant","Gained infant"))</f>
        <v>Okay</v>
      </c>
    </row>
    <row r="181" spans="9:66" x14ac:dyDescent="0.25">
      <c r="I181" s="238"/>
      <c r="U181" s="238"/>
      <c r="AA181" s="238"/>
      <c r="AS181" s="238"/>
      <c r="BJ181" s="3"/>
      <c r="BK181" s="3"/>
      <c r="BL181" s="3"/>
    </row>
    <row r="182" spans="9:66" x14ac:dyDescent="0.25">
      <c r="I182" s="238"/>
      <c r="U182" s="238"/>
      <c r="AA182" s="238"/>
      <c r="AM182" s="236" t="s">
        <v>493</v>
      </c>
      <c r="AN182" s="237"/>
      <c r="AO182" s="237"/>
      <c r="AP182" s="237"/>
      <c r="AQ182" s="237"/>
      <c r="AR182" s="371"/>
      <c r="AS182" s="238"/>
      <c r="BJ182" s="3"/>
      <c r="BK182" s="3"/>
      <c r="BL182" s="3"/>
    </row>
    <row r="183" spans="9:66" x14ac:dyDescent="0.25">
      <c r="I183" s="238"/>
      <c r="U183" s="238"/>
      <c r="AA183" s="238"/>
      <c r="AM183" s="238" t="s">
        <v>344</v>
      </c>
      <c r="AN183" s="1">
        <f>DET_NS_lbw_fullgest</f>
        <v>2.6941954581366025E-2</v>
      </c>
      <c r="AO183" s="1" t="s">
        <v>345</v>
      </c>
      <c r="AP183" s="1">
        <f>AN183*AJ187</f>
        <v>1.373736341699211E-6</v>
      </c>
      <c r="AQ183" s="1" t="s">
        <v>346</v>
      </c>
      <c r="AR183" s="1">
        <f>AN183*AL187</f>
        <v>1.373736341699211E-6</v>
      </c>
      <c r="AS183" s="238" t="s">
        <v>344</v>
      </c>
      <c r="AT183" s="1">
        <f>1-AT180</f>
        <v>0.98463907555941499</v>
      </c>
      <c r="AU183" s="1" t="s">
        <v>345</v>
      </c>
      <c r="AV183" s="1">
        <f>AT183*AP183</f>
        <v>1.3526344815530837E-6</v>
      </c>
      <c r="AW183" s="1" t="s">
        <v>346</v>
      </c>
      <c r="AX183" s="1">
        <f>AT183*AR183</f>
        <v>1.3526344815530837E-6</v>
      </c>
      <c r="AY183" s="1">
        <f>AY180+1</f>
        <v>46</v>
      </c>
      <c r="BA183" s="1">
        <f>det_cost_comparator*AV183</f>
        <v>0</v>
      </c>
      <c r="BB183" s="1">
        <f>$AV183*(VLOOKUP($AY183,'Pregnancy costs and utilities'!$A$23:$H$158,3))</f>
        <v>9.8444104346488027E-3</v>
      </c>
      <c r="BC183" s="1">
        <f>SUM(BA183:BB183)</f>
        <v>9.8444104346488027E-3</v>
      </c>
      <c r="BE183" s="1">
        <f>$AV183*(VLOOKUP($AY183,'Pregnancy costs and utilities'!$A$23:$I$158,9))</f>
        <v>0</v>
      </c>
      <c r="BF183" s="1">
        <f>$AV183*(VLOOKUP($AY183,'Pregnancy costs and utilities'!$A$23:$H$158,7))</f>
        <v>0</v>
      </c>
      <c r="BH183" s="1">
        <f>$BA183</f>
        <v>0</v>
      </c>
      <c r="BI183" s="1">
        <f>$AX183*(VLOOKUP($AY183,'Pregnancy costs and utilities'!$A$23:$H$158,5))</f>
        <v>3.578891917916798E-3</v>
      </c>
      <c r="BJ183" s="3">
        <f>SUM(BH183:BI183)</f>
        <v>3.578891917916798E-3</v>
      </c>
      <c r="BK183" s="3"/>
      <c r="BL183" s="3">
        <f>BC183+BI183</f>
        <v>1.34233023525656E-2</v>
      </c>
      <c r="BN183" s="1" t="str">
        <f>IF(AV183=AX183,"Okay",IF(AV183&gt;AX183,"Lost infant","Gained infant"))</f>
        <v>Okay</v>
      </c>
    </row>
    <row r="184" spans="9:66" x14ac:dyDescent="0.25">
      <c r="I184" s="238"/>
      <c r="U184" s="238"/>
      <c r="AA184" s="238"/>
      <c r="AM184" s="238"/>
      <c r="AS184" s="240" t="s">
        <v>506</v>
      </c>
      <c r="AT184" s="235"/>
      <c r="AU184" s="235"/>
      <c r="AV184" s="235"/>
      <c r="AW184" s="235"/>
      <c r="AX184" s="235"/>
      <c r="AY184" s="235"/>
      <c r="AZ184" s="235"/>
      <c r="BA184" s="235"/>
      <c r="BB184" s="235"/>
      <c r="BC184" s="235"/>
      <c r="BD184" s="235"/>
      <c r="BE184" s="235"/>
      <c r="BF184" s="235"/>
      <c r="BG184" s="235"/>
      <c r="BH184" s="235"/>
      <c r="BI184" s="235"/>
      <c r="BJ184" s="235"/>
      <c r="BK184" s="235"/>
      <c r="BL184" s="235"/>
      <c r="BM184" s="235"/>
      <c r="BN184" s="235"/>
    </row>
    <row r="185" spans="9:66" x14ac:dyDescent="0.25">
      <c r="I185" s="238"/>
      <c r="U185" s="238"/>
      <c r="AA185" s="238"/>
      <c r="AM185" s="238"/>
    </row>
    <row r="186" spans="9:66" x14ac:dyDescent="0.25">
      <c r="I186" s="238"/>
      <c r="U186" s="238"/>
      <c r="AA186" s="238"/>
      <c r="AG186" s="236" t="s">
        <v>487</v>
      </c>
      <c r="AH186" s="237"/>
      <c r="AI186" s="237"/>
      <c r="AJ186" s="237"/>
      <c r="AK186" s="237"/>
      <c r="AL186" s="371"/>
      <c r="AM186" s="238"/>
      <c r="AN186" s="3"/>
      <c r="AO186" s="3"/>
      <c r="AP186" s="3"/>
      <c r="AQ186" s="3"/>
      <c r="AR186" s="3"/>
      <c r="AS186" s="3"/>
    </row>
    <row r="187" spans="9:66" x14ac:dyDescent="0.25">
      <c r="I187" s="238"/>
      <c r="U187" s="238"/>
      <c r="AA187" s="238"/>
      <c r="AG187" s="238" t="s">
        <v>344</v>
      </c>
      <c r="AH187" s="3">
        <f>DET_MORT_pre_eclampsia</f>
        <v>1.8648298999999959E-4</v>
      </c>
      <c r="AI187" s="3" t="s">
        <v>345</v>
      </c>
      <c r="AJ187" s="3">
        <f>AH187*AD192</f>
        <v>5.0988740907808291E-5</v>
      </c>
      <c r="AK187" s="3" t="s">
        <v>346</v>
      </c>
      <c r="AL187" s="370">
        <f>AH187*AF192</f>
        <v>5.0988740907808291E-5</v>
      </c>
      <c r="AM187" s="238"/>
      <c r="AN187" s="3"/>
      <c r="AO187" s="3"/>
      <c r="AP187" s="3"/>
      <c r="AQ187" s="3"/>
      <c r="AR187" s="370"/>
      <c r="AS187" s="236" t="s">
        <v>507</v>
      </c>
      <c r="AT187" s="237"/>
      <c r="AU187" s="237"/>
      <c r="AV187" s="237"/>
      <c r="AW187" s="237"/>
      <c r="AX187" s="237"/>
      <c r="AY187" s="237"/>
      <c r="AZ187" s="237"/>
      <c r="BA187" s="237"/>
      <c r="BB187" s="237"/>
      <c r="BC187" s="237"/>
      <c r="BD187" s="237"/>
      <c r="BE187" s="237"/>
      <c r="BF187" s="237"/>
      <c r="BG187" s="237"/>
      <c r="BH187" s="237"/>
      <c r="BI187" s="237"/>
      <c r="BJ187" s="237"/>
      <c r="BK187" s="237"/>
      <c r="BL187" s="237"/>
      <c r="BM187" s="237"/>
      <c r="BN187" s="237"/>
    </row>
    <row r="188" spans="9:66" x14ac:dyDescent="0.25">
      <c r="I188" s="238"/>
      <c r="U188" s="238"/>
      <c r="AA188" s="238"/>
      <c r="AG188" s="238"/>
      <c r="AM188" s="238" t="s">
        <v>344</v>
      </c>
      <c r="AN188" s="1">
        <f>1-AN183</f>
        <v>0.97305804541863394</v>
      </c>
      <c r="AO188" s="1" t="s">
        <v>345</v>
      </c>
      <c r="AP188" s="1">
        <f>AN188*AJ187</f>
        <v>4.9615004566109079E-5</v>
      </c>
      <c r="AQ188" s="1" t="s">
        <v>346</v>
      </c>
      <c r="AR188" s="1">
        <f>AN188*AL187</f>
        <v>4.9615004566109079E-5</v>
      </c>
      <c r="AS188" s="238" t="s">
        <v>344</v>
      </c>
      <c r="AT188" s="1">
        <f>DET_NS_stillbirth_nbw_fullgest</f>
        <v>1.6109941848144384E-3</v>
      </c>
      <c r="AU188" s="1" t="s">
        <v>345</v>
      </c>
      <c r="AV188" s="1">
        <f>AT188*AP188</f>
        <v>7.9929483835543533E-8</v>
      </c>
      <c r="AW188" s="1" t="s">
        <v>346</v>
      </c>
      <c r="AX188" s="1">
        <f>AT188*AR188</f>
        <v>7.9929483835543533E-8</v>
      </c>
      <c r="AY188" s="1">
        <f>AY183+1</f>
        <v>47</v>
      </c>
      <c r="BA188" s="1">
        <f>det_cost_comparator*AV188</f>
        <v>0</v>
      </c>
      <c r="BB188" s="1">
        <f>$AV188*(VLOOKUP($AY188,'Pregnancy costs and utilities'!$A$23:$H$158,3))</f>
        <v>5.8172304154427066E-4</v>
      </c>
      <c r="BC188" s="1">
        <f>SUM(BA188:BB188)</f>
        <v>5.8172304154427066E-4</v>
      </c>
      <c r="BE188" s="1">
        <f>$AV188*(VLOOKUP($AY188,'Pregnancy costs and utilities'!$A$23:$I$158,9))</f>
        <v>0</v>
      </c>
      <c r="BF188" s="1">
        <f>$AV188*(VLOOKUP($AY188,'Pregnancy costs and utilities'!$A$23:$H$158,7))</f>
        <v>0</v>
      </c>
      <c r="BH188" s="1">
        <f>$BA188</f>
        <v>0</v>
      </c>
      <c r="BI188" s="1">
        <f>$AX188*(VLOOKUP($AY188,'Pregnancy costs and utilities'!$A$23:$H$158,5))</f>
        <v>8.4987157293639341E-5</v>
      </c>
      <c r="BJ188" s="3">
        <f>SUM(BH188:BI188)</f>
        <v>8.4987157293639341E-5</v>
      </c>
      <c r="BK188" s="3"/>
      <c r="BL188" s="3">
        <f>BC188+BI188</f>
        <v>6.6671019883790994E-4</v>
      </c>
      <c r="BN188" s="1" t="str">
        <f>IF(AV188=AX188,"Okay",IF(AV188&gt;AX188,"Lost infant","Gained infant"))</f>
        <v>Okay</v>
      </c>
    </row>
    <row r="189" spans="9:66" x14ac:dyDescent="0.25">
      <c r="I189" s="238"/>
      <c r="U189" s="238"/>
      <c r="AA189" s="238"/>
      <c r="AG189" s="238"/>
      <c r="AM189" s="240" t="s">
        <v>494</v>
      </c>
      <c r="AN189" s="235"/>
      <c r="AO189" s="235"/>
      <c r="AP189" s="235"/>
      <c r="AQ189" s="235"/>
      <c r="AR189" s="239"/>
      <c r="AS189" s="238"/>
      <c r="BJ189" s="3"/>
      <c r="BK189" s="3"/>
      <c r="BL189" s="3"/>
    </row>
    <row r="190" spans="9:66" x14ac:dyDescent="0.25">
      <c r="I190" s="238"/>
      <c r="U190" s="238"/>
      <c r="AA190" s="238"/>
      <c r="AG190" s="238"/>
      <c r="AM190" s="237"/>
      <c r="AS190" s="238"/>
      <c r="BJ190" s="3"/>
      <c r="BK190" s="3"/>
      <c r="BL190" s="3"/>
    </row>
    <row r="191" spans="9:66" x14ac:dyDescent="0.25">
      <c r="I191" s="238"/>
      <c r="U191" s="238"/>
      <c r="AA191" s="238"/>
      <c r="AG191" s="238"/>
      <c r="AH191" s="3"/>
      <c r="AI191" s="3"/>
      <c r="AJ191" s="3"/>
      <c r="AK191" s="3"/>
      <c r="AL191" s="3"/>
      <c r="AM191" s="3"/>
      <c r="AS191" s="238" t="s">
        <v>344</v>
      </c>
      <c r="AT191" s="1">
        <f>1-AT188</f>
        <v>0.99838900581518553</v>
      </c>
      <c r="AU191" s="1" t="s">
        <v>345</v>
      </c>
      <c r="AV191" s="1">
        <f>AT191*AP188</f>
        <v>4.9535075082273534E-5</v>
      </c>
      <c r="AW191" s="1" t="s">
        <v>346</v>
      </c>
      <c r="AX191" s="1">
        <f>AT191*AR188</f>
        <v>4.9535075082273534E-5</v>
      </c>
      <c r="AY191" s="1">
        <f>AY188+1</f>
        <v>48</v>
      </c>
      <c r="BA191" s="1">
        <f>det_cost_comparator*AV191</f>
        <v>0</v>
      </c>
      <c r="BB191" s="1">
        <f>$AV191*(VLOOKUP($AY191,'Pregnancy costs and utilities'!$A$23:$H$158,3))</f>
        <v>0.36051395751876525</v>
      </c>
      <c r="BC191" s="1">
        <f>SUM(BA191:BB191)</f>
        <v>0.36051395751876525</v>
      </c>
      <c r="BE191" s="1">
        <f>$AV191*(VLOOKUP($AY191,'Pregnancy costs and utilities'!$A$23:$I$158,9))</f>
        <v>0</v>
      </c>
      <c r="BF191" s="1">
        <f>$AV191*(VLOOKUP($AY191,'Pregnancy costs and utilities'!$A$23:$H$158,7))</f>
        <v>0</v>
      </c>
      <c r="BH191" s="1">
        <f>$BA191</f>
        <v>0</v>
      </c>
      <c r="BI191" s="1">
        <f>$AX191*(VLOOKUP($AY191,'Pregnancy costs and utilities'!$A$23:$H$158,5))</f>
        <v>0.13106325639562161</v>
      </c>
      <c r="BJ191" s="3">
        <f>SUM(BH191:BI191)</f>
        <v>0.13106325639562161</v>
      </c>
      <c r="BK191" s="3"/>
      <c r="BL191" s="3">
        <f>BC191+BI191</f>
        <v>0.49157721391438686</v>
      </c>
      <c r="BN191" s="1" t="str">
        <f>IF(AV191=AX191,"Okay",IF(AV191&gt;AX191,"Lost infant","Gained infant"))</f>
        <v>Okay</v>
      </c>
    </row>
    <row r="192" spans="9:66" x14ac:dyDescent="0.25">
      <c r="I192" s="238"/>
      <c r="U192" s="238"/>
      <c r="AA192" s="238" t="s">
        <v>344</v>
      </c>
      <c r="AB192" s="1">
        <f>1-AB163</f>
        <v>0.73799961585686058</v>
      </c>
      <c r="AC192" s="1" t="s">
        <v>345</v>
      </c>
      <c r="AD192" s="1">
        <f>AB192*X179</f>
        <v>0.27342301251073037</v>
      </c>
      <c r="AE192" s="1" t="s">
        <v>346</v>
      </c>
      <c r="AF192" s="1">
        <f>AB192*Z179</f>
        <v>0.27342301251073037</v>
      </c>
      <c r="AG192" s="238"/>
      <c r="AM192" s="3"/>
      <c r="AS192" s="240" t="s">
        <v>508</v>
      </c>
      <c r="AT192" s="235"/>
      <c r="AU192" s="235"/>
      <c r="AV192" s="235"/>
      <c r="AW192" s="235"/>
      <c r="AX192" s="235"/>
      <c r="AY192" s="235"/>
      <c r="AZ192" s="235"/>
      <c r="BA192" s="235"/>
      <c r="BB192" s="235"/>
      <c r="BC192" s="235"/>
      <c r="BD192" s="235"/>
      <c r="BE192" s="235"/>
      <c r="BF192" s="235"/>
      <c r="BG192" s="235"/>
      <c r="BH192" s="235"/>
      <c r="BI192" s="235"/>
      <c r="BJ192" s="235"/>
      <c r="BK192" s="235"/>
      <c r="BL192" s="235"/>
      <c r="BM192" s="235"/>
      <c r="BN192" s="235"/>
    </row>
    <row r="193" spans="9:66" x14ac:dyDescent="0.25">
      <c r="I193" s="238"/>
      <c r="U193" s="238"/>
      <c r="AA193" s="240" t="s">
        <v>484</v>
      </c>
      <c r="AB193" s="235"/>
      <c r="AC193" s="235"/>
      <c r="AD193" s="235"/>
      <c r="AE193" s="235"/>
      <c r="AF193" s="239"/>
      <c r="AG193" s="238"/>
      <c r="AM193" s="3"/>
    </row>
    <row r="194" spans="9:66" x14ac:dyDescent="0.25">
      <c r="I194" s="238"/>
      <c r="U194" s="238"/>
      <c r="AA194" s="237"/>
      <c r="AG194" s="238"/>
    </row>
    <row r="195" spans="9:66" x14ac:dyDescent="0.25">
      <c r="I195" s="238"/>
      <c r="U195" s="238"/>
      <c r="AA195" s="3"/>
      <c r="AG195" s="238"/>
      <c r="AS195" s="236" t="s">
        <v>509</v>
      </c>
      <c r="AT195" s="237"/>
      <c r="AU195" s="237"/>
      <c r="AV195" s="237"/>
      <c r="AW195" s="237"/>
      <c r="AX195" s="237"/>
      <c r="AY195" s="237"/>
      <c r="AZ195" s="237"/>
      <c r="BA195" s="237"/>
      <c r="BB195" s="237"/>
      <c r="BC195" s="237"/>
      <c r="BD195" s="237"/>
      <c r="BE195" s="237"/>
      <c r="BF195" s="237"/>
      <c r="BG195" s="237"/>
      <c r="BH195" s="237"/>
      <c r="BI195" s="237"/>
      <c r="BJ195" s="237"/>
      <c r="BK195" s="237"/>
      <c r="BL195" s="237"/>
      <c r="BM195" s="237"/>
      <c r="BN195" s="237"/>
    </row>
    <row r="196" spans="9:66" x14ac:dyDescent="0.25">
      <c r="I196" s="238"/>
      <c r="U196" s="238"/>
      <c r="AA196" s="3"/>
      <c r="AG196" s="238"/>
      <c r="AS196" s="238" t="s">
        <v>344</v>
      </c>
      <c r="AT196" s="3">
        <f>DET_NS_stillbirth_lbw_fullgest</f>
        <v>1.5360924440585004E-2</v>
      </c>
      <c r="AU196" s="3" t="s">
        <v>345</v>
      </c>
      <c r="AV196" s="3">
        <f>AT196*AP199</f>
        <v>1.131359219849096E-4</v>
      </c>
      <c r="AW196" s="3" t="s">
        <v>346</v>
      </c>
      <c r="AX196" s="3">
        <f>AT196*AR199</f>
        <v>1.131359219849096E-4</v>
      </c>
      <c r="AY196" s="3">
        <f>AY191+1</f>
        <v>49</v>
      </c>
      <c r="AZ196" s="3"/>
      <c r="BA196" s="3">
        <f>det_cost_comparator*AV196</f>
        <v>0</v>
      </c>
      <c r="BB196" s="3">
        <f>$AV196*(VLOOKUP($AY196,'Pregnancy costs and utilities'!$A$23:$H$158,3))</f>
        <v>0.63887553153234811</v>
      </c>
      <c r="BC196" s="3">
        <f>SUM(BA196:BB196)</f>
        <v>0.63887553153234811</v>
      </c>
      <c r="BD196" s="3"/>
      <c r="BE196" s="3">
        <f>$AV196*(VLOOKUP($AY196,'Pregnancy costs and utilities'!$A$23:$I$158,9))</f>
        <v>8.48519414886822E-5</v>
      </c>
      <c r="BF196" s="3">
        <f>$AV196*(VLOOKUP($AY196,'Pregnancy costs and utilities'!$A$23:$H$158,7))</f>
        <v>7.5263672100461115E-5</v>
      </c>
      <c r="BG196" s="3"/>
      <c r="BH196" s="3">
        <f>$BA196</f>
        <v>0</v>
      </c>
      <c r="BI196" s="3">
        <f>$AX196*(VLOOKUP($AY196,'Pregnancy costs and utilities'!$A$23:$H$158,5))</f>
        <v>0.12029478905525873</v>
      </c>
      <c r="BJ196" s="3">
        <f>SUM(BH196:BI196)</f>
        <v>0.12029478905525873</v>
      </c>
      <c r="BK196" s="3"/>
      <c r="BL196" s="3">
        <f>BC196+BI196</f>
        <v>0.75917032058760681</v>
      </c>
      <c r="BN196" s="1" t="str">
        <f>IF(AV196=AX196,"Okay",IF(AV196&gt;AX196,"Lost infant","Gained infant"))</f>
        <v>Okay</v>
      </c>
    </row>
    <row r="197" spans="9:66" x14ac:dyDescent="0.25">
      <c r="I197" s="238"/>
      <c r="U197" s="238"/>
      <c r="AA197" s="3"/>
      <c r="AG197" s="238"/>
      <c r="AS197" s="238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</row>
    <row r="198" spans="9:66" x14ac:dyDescent="0.25">
      <c r="I198" s="238"/>
      <c r="U198" s="238"/>
      <c r="AA198" s="3"/>
      <c r="AG198" s="238"/>
      <c r="AM198" s="236" t="s">
        <v>495</v>
      </c>
      <c r="AN198" s="237"/>
      <c r="AO198" s="237"/>
      <c r="AP198" s="237"/>
      <c r="AQ198" s="237"/>
      <c r="AR198" s="371"/>
      <c r="AS198" s="238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</row>
    <row r="199" spans="9:66" x14ac:dyDescent="0.25">
      <c r="I199" s="238"/>
      <c r="U199" s="238"/>
      <c r="AA199" s="3"/>
      <c r="AG199" s="238"/>
      <c r="AH199" s="3"/>
      <c r="AI199" s="3"/>
      <c r="AJ199" s="3"/>
      <c r="AK199" s="3"/>
      <c r="AL199" s="3"/>
      <c r="AM199" s="238" t="s">
        <v>344</v>
      </c>
      <c r="AN199" s="3">
        <f>DET_NS_lbw_fullgest</f>
        <v>2.6941954581366025E-2</v>
      </c>
      <c r="AO199" s="3" t="s">
        <v>345</v>
      </c>
      <c r="AP199" s="3">
        <f>AN199*AJ200</f>
        <v>7.3651766482226728E-3</v>
      </c>
      <c r="AQ199" s="3" t="s">
        <v>346</v>
      </c>
      <c r="AR199" s="370">
        <f>AN199*AL200</f>
        <v>7.3651766482226728E-3</v>
      </c>
      <c r="AS199" s="238" t="s">
        <v>344</v>
      </c>
      <c r="AT199" s="3">
        <f>1-AT196</f>
        <v>0.98463907555941499</v>
      </c>
      <c r="AU199" s="3" t="s">
        <v>345</v>
      </c>
      <c r="AV199" s="3">
        <f>AT199*AP199</f>
        <v>7.252040726237763E-3</v>
      </c>
      <c r="AW199" s="3" t="s">
        <v>346</v>
      </c>
      <c r="AX199" s="3">
        <f>AT199*AR199</f>
        <v>7.252040726237763E-3</v>
      </c>
      <c r="AY199" s="3">
        <f>AY196+1</f>
        <v>50</v>
      </c>
      <c r="AZ199" s="3"/>
      <c r="BA199" s="3">
        <f>det_cost_comparator*AV199</f>
        <v>0</v>
      </c>
      <c r="BB199" s="3">
        <f>$AV199*(VLOOKUP($AY199,'Pregnancy costs and utilities'!$A$23:$H$158,3))</f>
        <v>40.952080403670287</v>
      </c>
      <c r="BC199" s="3">
        <f>SUM(BA199:BB199)</f>
        <v>40.952080403670287</v>
      </c>
      <c r="BD199" s="3"/>
      <c r="BE199" s="3">
        <f>$AV199*(VLOOKUP($AY199,'Pregnancy costs and utilities'!$A$23:$I$158,9))</f>
        <v>5.4390305446783225E-3</v>
      </c>
      <c r="BF199" s="3">
        <f>$AV199*(VLOOKUP($AY199,'Pregnancy costs and utilities'!$A$23:$H$158,7))</f>
        <v>5.3683231475975049E-3</v>
      </c>
      <c r="BG199" s="3"/>
      <c r="BH199" s="3">
        <f>$BA199</f>
        <v>0</v>
      </c>
      <c r="BI199" s="3">
        <f>$AX199*(VLOOKUP($AY199,'Pregnancy costs and utilities'!$A$23:$H$158,5))</f>
        <v>19.187940495007432</v>
      </c>
      <c r="BJ199" s="3">
        <f>SUM(BH199:BI199)</f>
        <v>19.187940495007432</v>
      </c>
      <c r="BK199" s="3"/>
      <c r="BL199" s="3">
        <f>BC199+BI199</f>
        <v>60.140020898677719</v>
      </c>
      <c r="BN199" s="1" t="str">
        <f>IF(AV199=AX199,"Okay",IF(AV199&gt;AX199,"Lost infant","Gained infant"))</f>
        <v>Okay</v>
      </c>
    </row>
    <row r="200" spans="9:66" x14ac:dyDescent="0.25">
      <c r="I200" s="238"/>
      <c r="U200" s="238"/>
      <c r="AA200" s="3"/>
      <c r="AB200" s="3"/>
      <c r="AC200" s="3"/>
      <c r="AD200" s="3"/>
      <c r="AE200" s="3"/>
      <c r="AF200" s="370"/>
      <c r="AG200" s="238" t="s">
        <v>344</v>
      </c>
      <c r="AH200" s="1">
        <f>1-AH187</f>
        <v>0.99981351700999999</v>
      </c>
      <c r="AI200" s="1" t="s">
        <v>345</v>
      </c>
      <c r="AJ200" s="1">
        <f>AH200*AD192</f>
        <v>0.27337202376982256</v>
      </c>
      <c r="AK200" s="1" t="s">
        <v>346</v>
      </c>
      <c r="AL200" s="1">
        <f>AH200*AF192</f>
        <v>0.27337202376982256</v>
      </c>
      <c r="AM200" s="238"/>
      <c r="AN200" s="3"/>
      <c r="AO200" s="3"/>
      <c r="AP200" s="3"/>
      <c r="AQ200" s="3"/>
      <c r="AR200" s="3"/>
      <c r="AS200" s="240" t="s">
        <v>510</v>
      </c>
      <c r="AT200" s="235"/>
      <c r="AU200" s="235"/>
      <c r="AV200" s="235"/>
      <c r="AW200" s="235"/>
      <c r="AX200" s="235"/>
      <c r="AY200" s="235"/>
      <c r="AZ200" s="235"/>
      <c r="BA200" s="235"/>
      <c r="BB200" s="235"/>
      <c r="BC200" s="235"/>
      <c r="BD200" s="235"/>
      <c r="BE200" s="235"/>
      <c r="BF200" s="235"/>
      <c r="BG200" s="235"/>
      <c r="BH200" s="235"/>
      <c r="BI200" s="235"/>
      <c r="BJ200" s="235"/>
      <c r="BK200" s="235"/>
      <c r="BL200" s="235"/>
      <c r="BM200" s="235"/>
      <c r="BN200" s="235"/>
    </row>
    <row r="201" spans="9:66" x14ac:dyDescent="0.25">
      <c r="I201" s="238"/>
      <c r="U201" s="238"/>
      <c r="AA201" s="3"/>
      <c r="AB201" s="3"/>
      <c r="AC201" s="3"/>
      <c r="AD201" s="3"/>
      <c r="AE201" s="3"/>
      <c r="AF201" s="370"/>
      <c r="AG201" s="240" t="s">
        <v>488</v>
      </c>
      <c r="AH201" s="235"/>
      <c r="AI201" s="235"/>
      <c r="AJ201" s="235"/>
      <c r="AK201" s="235"/>
      <c r="AL201" s="239"/>
      <c r="AM201" s="238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</row>
    <row r="202" spans="9:66" x14ac:dyDescent="0.25">
      <c r="I202" s="238"/>
      <c r="U202" s="238"/>
      <c r="AA202" s="3"/>
      <c r="AG202" s="3"/>
      <c r="AH202" s="3"/>
      <c r="AI202" s="3"/>
      <c r="AJ202" s="3"/>
      <c r="AK202" s="3"/>
      <c r="AL202" s="3"/>
      <c r="AM202" s="238"/>
      <c r="AN202" s="3"/>
      <c r="AO202" s="3"/>
      <c r="AP202" s="3"/>
      <c r="AQ202" s="3"/>
      <c r="AR202" s="3"/>
      <c r="AS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</row>
    <row r="203" spans="9:66" x14ac:dyDescent="0.25">
      <c r="I203" s="238"/>
      <c r="U203" s="238"/>
      <c r="AA203" s="3"/>
      <c r="AG203" s="3"/>
      <c r="AH203" s="3"/>
      <c r="AI203" s="3"/>
      <c r="AJ203" s="3"/>
      <c r="AK203" s="3"/>
      <c r="AL203" s="3"/>
      <c r="AM203" s="238"/>
      <c r="AN203" s="3"/>
      <c r="AO203" s="3"/>
      <c r="AP203" s="3"/>
      <c r="AQ203" s="3"/>
      <c r="AR203" s="3"/>
      <c r="AS203" s="236" t="s">
        <v>511</v>
      </c>
      <c r="AT203" s="237"/>
      <c r="AU203" s="237"/>
      <c r="AV203" s="237"/>
      <c r="AW203" s="237"/>
      <c r="AX203" s="237"/>
      <c r="AY203" s="237"/>
      <c r="AZ203" s="237"/>
      <c r="BA203" s="237"/>
      <c r="BB203" s="237"/>
      <c r="BC203" s="237"/>
      <c r="BD203" s="237"/>
      <c r="BE203" s="237"/>
      <c r="BF203" s="237"/>
      <c r="BG203" s="237"/>
      <c r="BH203" s="237"/>
      <c r="BI203" s="237"/>
      <c r="BJ203" s="237"/>
      <c r="BK203" s="237"/>
      <c r="BL203" s="237"/>
      <c r="BM203" s="237"/>
      <c r="BN203" s="237"/>
    </row>
    <row r="204" spans="9:66" x14ac:dyDescent="0.25">
      <c r="I204" s="238"/>
      <c r="U204" s="238"/>
      <c r="V204" s="3"/>
      <c r="W204" s="3"/>
      <c r="X204" s="3"/>
      <c r="Y204" s="3"/>
      <c r="Z204" s="3"/>
      <c r="AA204" s="3"/>
      <c r="AG204" s="3"/>
      <c r="AH204" s="3"/>
      <c r="AI204" s="3"/>
      <c r="AJ204" s="3"/>
      <c r="AK204" s="3"/>
      <c r="AL204" s="3"/>
      <c r="AM204" s="238" t="s">
        <v>344</v>
      </c>
      <c r="AN204" s="1">
        <f>1-AN199</f>
        <v>0.97305804541863394</v>
      </c>
      <c r="AO204" s="1" t="s">
        <v>345</v>
      </c>
      <c r="AP204" s="1">
        <f>AN204*AJ200</f>
        <v>0.26600684712159989</v>
      </c>
      <c r="AQ204" s="1" t="s">
        <v>346</v>
      </c>
      <c r="AR204" s="1">
        <f>AN204*AL200</f>
        <v>0.26600684712159989</v>
      </c>
      <c r="AS204" s="238" t="s">
        <v>344</v>
      </c>
      <c r="AT204" s="3">
        <f>DET_NS_stillbirth_nbw_fullgest</f>
        <v>1.6109941848144384E-3</v>
      </c>
      <c r="AU204" s="3" t="s">
        <v>345</v>
      </c>
      <c r="AV204" s="3">
        <f>AT204*AP204</f>
        <v>4.2853548383372077E-4</v>
      </c>
      <c r="AW204" s="3" t="s">
        <v>346</v>
      </c>
      <c r="AX204" s="3">
        <f>AT204*AR204</f>
        <v>4.2853548383372077E-4</v>
      </c>
      <c r="AY204" s="3">
        <f>AY199+1</f>
        <v>51</v>
      </c>
      <c r="AZ204" s="3"/>
      <c r="BA204" s="3">
        <f>det_cost_comparator*AV204</f>
        <v>0</v>
      </c>
      <c r="BB204" s="3">
        <f>$AV204*(VLOOKUP($AY204,'Pregnancy costs and utilities'!$A$23:$H$158,3))</f>
        <v>2.4199284383898689</v>
      </c>
      <c r="BC204" s="3">
        <f>SUM(BA204:BB204)</f>
        <v>2.4199284383898689</v>
      </c>
      <c r="BD204" s="3"/>
      <c r="BE204" s="3">
        <f>$AV204*(VLOOKUP($AY204,'Pregnancy costs and utilities'!$A$23:$I$158,9))</f>
        <v>3.2140161287529058E-4</v>
      </c>
      <c r="BF204" s="3">
        <f>$AV204*(VLOOKUP($AY204,'Pregnancy costs and utilities'!$A$23:$H$158,7))</f>
        <v>2.8508323062038281E-4</v>
      </c>
      <c r="BG204" s="3"/>
      <c r="BH204" s="3">
        <f>$BA204</f>
        <v>0</v>
      </c>
      <c r="BI204" s="3">
        <f>$AX204*(VLOOKUP($AY204,'Pregnancy costs and utilities'!$A$23:$H$158,5))</f>
        <v>0.45565179234007253</v>
      </c>
      <c r="BJ204" s="3">
        <f>SUM(BH204:BI204)</f>
        <v>0.45565179234007253</v>
      </c>
      <c r="BK204" s="3"/>
      <c r="BL204" s="3">
        <f>BC204+BI204</f>
        <v>2.8755802307299416</v>
      </c>
      <c r="BN204" s="1" t="str">
        <f>IF(AV204=AX204,"Okay",IF(AV204&gt;AX204,"Lost infant","Gained infant"))</f>
        <v>Okay</v>
      </c>
    </row>
    <row r="205" spans="9:66" x14ac:dyDescent="0.25">
      <c r="I205" s="238"/>
      <c r="U205" s="238"/>
      <c r="V205" s="3"/>
      <c r="W205" s="3"/>
      <c r="X205" s="3"/>
      <c r="Y205" s="3"/>
      <c r="Z205" s="3"/>
      <c r="AA205" s="3"/>
      <c r="AG205" s="3"/>
      <c r="AH205" s="3"/>
      <c r="AI205" s="3"/>
      <c r="AJ205" s="3"/>
      <c r="AK205" s="3"/>
      <c r="AL205" s="3"/>
      <c r="AM205" s="240" t="s">
        <v>496</v>
      </c>
      <c r="AN205" s="235"/>
      <c r="AO205" s="235"/>
      <c r="AP205" s="235"/>
      <c r="AQ205" s="235"/>
      <c r="AR205" s="239"/>
      <c r="AS205" s="238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</row>
    <row r="206" spans="9:66" x14ac:dyDescent="0.25">
      <c r="I206" s="238"/>
      <c r="U206" s="238"/>
      <c r="V206" s="3"/>
      <c r="W206" s="3"/>
      <c r="X206" s="3"/>
      <c r="Y206" s="3"/>
      <c r="Z206" s="3"/>
      <c r="AA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238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</row>
    <row r="207" spans="9:66" x14ac:dyDescent="0.25">
      <c r="I207" s="238"/>
      <c r="U207" s="238"/>
      <c r="V207" s="3"/>
      <c r="W207" s="3"/>
      <c r="X207" s="3"/>
      <c r="Y207" s="3"/>
      <c r="Z207" s="3"/>
      <c r="AA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238" t="s">
        <v>344</v>
      </c>
      <c r="AT207" s="3">
        <f>1-AT204</f>
        <v>0.99838900581518553</v>
      </c>
      <c r="AU207" s="3" t="s">
        <v>345</v>
      </c>
      <c r="AV207" s="3">
        <f>AT207*AP204</f>
        <v>0.26557831163776618</v>
      </c>
      <c r="AW207" s="3" t="s">
        <v>346</v>
      </c>
      <c r="AX207" s="3">
        <f>AT207*AR204</f>
        <v>0.26557831163776618</v>
      </c>
      <c r="AY207" s="3">
        <f>AY204+1</f>
        <v>52</v>
      </c>
      <c r="AZ207" s="3"/>
      <c r="BA207" s="3">
        <f>det_cost_comparator*AV207</f>
        <v>0</v>
      </c>
      <c r="BB207" s="3">
        <f>$AV207*(VLOOKUP($AY207,'Pregnancy costs and utilities'!$A$23:$H$158,3))</f>
        <v>1499.7136367852534</v>
      </c>
      <c r="BC207" s="3">
        <f>SUM(BA207:BB207)</f>
        <v>1499.7136367852534</v>
      </c>
      <c r="BD207" s="3"/>
      <c r="BE207" s="3">
        <f>$AV207*(VLOOKUP($AY207,'Pregnancy costs and utilities'!$A$23:$I$158,9))</f>
        <v>0.19918373372832465</v>
      </c>
      <c r="BF207" s="3">
        <f>$AV207*(VLOOKUP($AY207,'Pregnancy costs and utilities'!$A$23:$H$158,7))</f>
        <v>0.19659434518985644</v>
      </c>
      <c r="BG207" s="3"/>
      <c r="BH207" s="3">
        <f>$BA207</f>
        <v>0</v>
      </c>
      <c r="BI207" s="3">
        <f>$AX207*(VLOOKUP($AY207,'Pregnancy costs and utilities'!$A$23:$H$158,5))</f>
        <v>702.68508311503444</v>
      </c>
      <c r="BJ207" s="3">
        <f>SUM(BH207:BI207)</f>
        <v>702.68508311503444</v>
      </c>
      <c r="BK207" s="3"/>
      <c r="BL207" s="3">
        <f>BC207+BI207</f>
        <v>2202.3987199002877</v>
      </c>
      <c r="BN207" s="1" t="str">
        <f>IF(AV207=AX207,"Okay",IF(AV207&gt;AX207,"Lost infant","Gained infant"))</f>
        <v>Okay</v>
      </c>
    </row>
    <row r="208" spans="9:66" x14ac:dyDescent="0.25">
      <c r="I208" s="238"/>
      <c r="U208" s="238"/>
      <c r="V208" s="3"/>
      <c r="W208" s="3"/>
      <c r="X208" s="3"/>
      <c r="Y208" s="3"/>
      <c r="Z208" s="3"/>
      <c r="AA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240" t="s">
        <v>512</v>
      </c>
      <c r="AT208" s="235"/>
      <c r="AU208" s="235"/>
      <c r="AV208" s="235"/>
      <c r="AW208" s="235"/>
      <c r="AX208" s="235"/>
      <c r="AY208" s="235"/>
      <c r="AZ208" s="235"/>
      <c r="BA208" s="235"/>
      <c r="BB208" s="235"/>
      <c r="BC208" s="235"/>
      <c r="BD208" s="235"/>
      <c r="BE208" s="235"/>
      <c r="BF208" s="235"/>
      <c r="BG208" s="235"/>
      <c r="BH208" s="235"/>
      <c r="BI208" s="235"/>
      <c r="BJ208" s="235"/>
      <c r="BK208" s="235"/>
      <c r="BL208" s="235"/>
      <c r="BM208" s="235"/>
      <c r="BN208" s="235"/>
    </row>
    <row r="209" spans="9:66" x14ac:dyDescent="0.25">
      <c r="I209" s="238"/>
      <c r="U209" s="238"/>
      <c r="V209" s="3"/>
      <c r="W209" s="3"/>
      <c r="X209" s="3"/>
      <c r="Y209" s="3"/>
      <c r="Z209" s="3"/>
      <c r="AA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</row>
    <row r="210" spans="9:66" x14ac:dyDescent="0.25">
      <c r="I210" s="238"/>
      <c r="U210" s="238"/>
      <c r="V210" s="3"/>
      <c r="W210" s="3"/>
      <c r="X210" s="3"/>
      <c r="Y210" s="3"/>
      <c r="Z210" s="3"/>
      <c r="AA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</row>
    <row r="211" spans="9:66" x14ac:dyDescent="0.25">
      <c r="I211" s="238"/>
      <c r="U211" s="238"/>
      <c r="V211" s="3"/>
      <c r="W211" s="3"/>
      <c r="X211" s="3"/>
      <c r="Y211" s="3"/>
      <c r="Z211" s="3"/>
      <c r="AA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236" t="s">
        <v>542</v>
      </c>
      <c r="AT211" s="237"/>
      <c r="AU211" s="237"/>
      <c r="AV211" s="237"/>
      <c r="AW211" s="237"/>
      <c r="AX211" s="237"/>
      <c r="AY211" s="237"/>
      <c r="AZ211" s="237"/>
      <c r="BA211" s="237"/>
      <c r="BB211" s="237"/>
      <c r="BC211" s="237"/>
      <c r="BD211" s="237"/>
      <c r="BE211" s="237"/>
      <c r="BF211" s="237"/>
      <c r="BG211" s="237"/>
      <c r="BH211" s="237"/>
      <c r="BI211" s="237"/>
      <c r="BJ211" s="237"/>
      <c r="BK211" s="237"/>
      <c r="BL211" s="237"/>
      <c r="BM211" s="237"/>
      <c r="BN211" s="237"/>
    </row>
    <row r="212" spans="9:66" x14ac:dyDescent="0.25">
      <c r="I212" s="238"/>
      <c r="U212" s="238"/>
      <c r="V212" s="3"/>
      <c r="W212" s="3"/>
      <c r="X212" s="3"/>
      <c r="Y212" s="3"/>
      <c r="Z212" s="3"/>
      <c r="AA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238" t="s">
        <v>344</v>
      </c>
      <c r="AT212" s="1">
        <f>DET_NS_stillbirth_lbw_premature</f>
        <v>6.0752905295406189E-2</v>
      </c>
      <c r="AU212" s="1" t="s">
        <v>345</v>
      </c>
      <c r="AV212" s="1">
        <f>AT212*AP215</f>
        <v>2.2285507530984376E-6</v>
      </c>
      <c r="AW212" s="1" t="s">
        <v>346</v>
      </c>
      <c r="AX212" s="1">
        <f>AT212*AR215</f>
        <v>2.2285507530984376E-6</v>
      </c>
      <c r="AY212" s="1">
        <f>AY207+1</f>
        <v>53</v>
      </c>
      <c r="BA212" s="1">
        <f>det_cost_comparator*AV212</f>
        <v>0</v>
      </c>
      <c r="BB212" s="1">
        <f>$AV212*(VLOOKUP($AY212,'Pregnancy costs and utilities'!$A$23:$H$158,3))</f>
        <v>1.3210230253156789E-2</v>
      </c>
      <c r="BC212" s="1">
        <f>SUM(BA212:BB212)</f>
        <v>1.3210230253156789E-2</v>
      </c>
      <c r="BE212" s="1">
        <f>$AV212*(VLOOKUP($AY212,'Pregnancy costs and utilities'!$A$23:$I$158,9))</f>
        <v>0</v>
      </c>
      <c r="BF212" s="1">
        <f>$AV212*(VLOOKUP($AY212,'Pregnancy costs and utilities'!$A$23:$H$158,7))</f>
        <v>0</v>
      </c>
      <c r="BH212" s="1">
        <f>$BA212</f>
        <v>0</v>
      </c>
      <c r="BI212" s="1">
        <f>$AX212*(VLOOKUP($AY212,'Pregnancy costs and utilities'!$A$23:$H$158,5))</f>
        <v>2.3695660762695003E-3</v>
      </c>
      <c r="BJ212" s="3">
        <f>SUM(BH212:BI212)</f>
        <v>2.3695660762695003E-3</v>
      </c>
      <c r="BK212" s="3"/>
      <c r="BL212" s="3">
        <f>BC212+BI212</f>
        <v>1.5579796329426288E-2</v>
      </c>
      <c r="BN212" s="1" t="str">
        <f>IF(AV212=AX212,"Okay",IF(AV212&gt;AX212,"Lost infant","Gained infant"))</f>
        <v>Okay</v>
      </c>
    </row>
    <row r="213" spans="9:66" x14ac:dyDescent="0.25">
      <c r="I213" s="238"/>
      <c r="U213" s="238"/>
      <c r="V213" s="3"/>
      <c r="W213" s="3"/>
      <c r="X213" s="3"/>
      <c r="Y213" s="3"/>
      <c r="Z213" s="3"/>
      <c r="AA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238"/>
      <c r="BJ213" s="3"/>
      <c r="BK213" s="3"/>
      <c r="BL213" s="3"/>
    </row>
    <row r="214" spans="9:66" x14ac:dyDescent="0.25">
      <c r="I214" s="238"/>
      <c r="U214" s="238"/>
      <c r="V214" s="3"/>
      <c r="W214" s="3"/>
      <c r="X214" s="3"/>
      <c r="Y214" s="3"/>
      <c r="Z214" s="3"/>
      <c r="AA214" s="3"/>
      <c r="AG214" s="3"/>
      <c r="AH214" s="3"/>
      <c r="AI214" s="3"/>
      <c r="AJ214" s="3"/>
      <c r="AK214" s="3"/>
      <c r="AL214" s="3"/>
      <c r="AM214" s="236" t="s">
        <v>519</v>
      </c>
      <c r="AN214" s="237"/>
      <c r="AO214" s="237"/>
      <c r="AP214" s="237"/>
      <c r="AQ214" s="237"/>
      <c r="AR214" s="371"/>
      <c r="AS214" s="238"/>
      <c r="BJ214" s="3"/>
      <c r="BK214" s="3"/>
      <c r="BL214" s="3"/>
    </row>
    <row r="215" spans="9:66" x14ac:dyDescent="0.25">
      <c r="I215" s="238"/>
      <c r="U215" s="238"/>
      <c r="V215" s="3"/>
      <c r="W215" s="3"/>
      <c r="X215" s="3"/>
      <c r="Y215" s="3"/>
      <c r="Z215" s="3"/>
      <c r="AA215" s="3"/>
      <c r="AG215" s="3"/>
      <c r="AH215" s="3"/>
      <c r="AI215" s="3"/>
      <c r="AJ215" s="3"/>
      <c r="AK215" s="3"/>
      <c r="AL215" s="3"/>
      <c r="AM215" s="238" t="s">
        <v>344</v>
      </c>
      <c r="AN215" s="1">
        <f>DET_NS_lbw_premature</f>
        <v>0.57035604742854706</v>
      </c>
      <c r="AO215" s="1" t="s">
        <v>345</v>
      </c>
      <c r="AP215" s="1">
        <f>AN215*AJ219</f>
        <v>3.6682208731620095E-5</v>
      </c>
      <c r="AQ215" s="1" t="s">
        <v>346</v>
      </c>
      <c r="AR215" s="1">
        <f>AN215*AL219</f>
        <v>3.6682208731620095E-5</v>
      </c>
      <c r="AS215" s="238" t="s">
        <v>344</v>
      </c>
      <c r="AT215" s="1">
        <f>1-AT212</f>
        <v>0.93924709470459378</v>
      </c>
      <c r="AU215" s="1" t="s">
        <v>345</v>
      </c>
      <c r="AV215" s="1">
        <f>AT215*AP215</f>
        <v>3.4453657978521654E-5</v>
      </c>
      <c r="AW215" s="1" t="s">
        <v>346</v>
      </c>
      <c r="AX215" s="1">
        <f>AT215*AR215</f>
        <v>3.4453657978521654E-5</v>
      </c>
      <c r="AY215" s="1">
        <f>AY212+1</f>
        <v>54</v>
      </c>
      <c r="BA215" s="1">
        <f>det_cost_comparator*AV215</f>
        <v>0</v>
      </c>
      <c r="BB215" s="1">
        <f>$AV215*(VLOOKUP($AY215,'Pregnancy costs and utilities'!$A$23:$H$158,3))</f>
        <v>0.20423172069426027</v>
      </c>
      <c r="BC215" s="1">
        <f>SUM(BA215:BB215)</f>
        <v>0.20423172069426027</v>
      </c>
      <c r="BE215" s="1">
        <f>$AV215*(VLOOKUP($AY215,'Pregnancy costs and utilities'!$A$23:$I$158,9))</f>
        <v>0</v>
      </c>
      <c r="BF215" s="1">
        <f>$AV215*(VLOOKUP($AY215,'Pregnancy costs and utilities'!$A$23:$H$158,7))</f>
        <v>0</v>
      </c>
      <c r="BH215" s="1">
        <f>$BA215</f>
        <v>0</v>
      </c>
      <c r="BI215" s="1">
        <f>$AX215*(VLOOKUP($AY215,'Pregnancy costs and utilities'!$A$23:$H$158,5))</f>
        <v>0.54900350673582687</v>
      </c>
      <c r="BJ215" s="3">
        <f>SUM(BH215:BI215)</f>
        <v>0.54900350673582687</v>
      </c>
      <c r="BK215" s="3"/>
      <c r="BL215" s="3">
        <f>BC215+BI215</f>
        <v>0.75323522743008708</v>
      </c>
      <c r="BN215" s="1" t="str">
        <f>IF(AV215=AX215,"Okay",IF(AV215&gt;AX215,"Lost infant","Gained infant"))</f>
        <v>Okay</v>
      </c>
    </row>
    <row r="216" spans="9:66" x14ac:dyDescent="0.25">
      <c r="I216" s="238"/>
      <c r="U216" s="238"/>
      <c r="V216" s="3"/>
      <c r="W216" s="3"/>
      <c r="X216" s="3"/>
      <c r="Y216" s="3"/>
      <c r="Z216" s="3"/>
      <c r="AA216" s="3"/>
      <c r="AG216" s="3"/>
      <c r="AH216" s="3"/>
      <c r="AI216" s="3"/>
      <c r="AJ216" s="3"/>
      <c r="AK216" s="3"/>
      <c r="AL216" s="3"/>
      <c r="AM216" s="238"/>
      <c r="AN216" s="3"/>
      <c r="AO216" s="3"/>
      <c r="AP216" s="3"/>
      <c r="AQ216" s="3"/>
      <c r="AR216" s="3"/>
      <c r="AS216" s="240" t="s">
        <v>541</v>
      </c>
      <c r="AT216" s="235"/>
      <c r="AU216" s="235"/>
      <c r="AV216" s="235"/>
      <c r="AW216" s="235"/>
      <c r="AX216" s="235"/>
      <c r="AY216" s="235"/>
      <c r="AZ216" s="235"/>
      <c r="BA216" s="235"/>
      <c r="BB216" s="235"/>
      <c r="BC216" s="235"/>
      <c r="BD216" s="235"/>
      <c r="BE216" s="235"/>
      <c r="BF216" s="235"/>
      <c r="BG216" s="235"/>
      <c r="BH216" s="235"/>
      <c r="BI216" s="235"/>
      <c r="BJ216" s="235"/>
      <c r="BK216" s="235"/>
      <c r="BL216" s="235"/>
      <c r="BM216" s="235"/>
      <c r="BN216" s="235"/>
    </row>
    <row r="217" spans="9:66" x14ac:dyDescent="0.25">
      <c r="I217" s="238"/>
      <c r="U217" s="238"/>
      <c r="V217" s="3"/>
      <c r="W217" s="3"/>
      <c r="X217" s="3"/>
      <c r="Y217" s="3"/>
      <c r="Z217" s="3"/>
      <c r="AA217" s="3"/>
      <c r="AG217" s="3"/>
      <c r="AH217" s="3"/>
      <c r="AI217" s="3"/>
      <c r="AJ217" s="3"/>
      <c r="AK217" s="3"/>
      <c r="AL217" s="3"/>
      <c r="AM217" s="238"/>
      <c r="AN217" s="3"/>
      <c r="AO217" s="3"/>
      <c r="AP217" s="3"/>
      <c r="AQ217" s="3"/>
      <c r="AR217" s="3"/>
      <c r="AS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</row>
    <row r="218" spans="9:66" x14ac:dyDescent="0.25">
      <c r="I218" s="238"/>
      <c r="U218" s="238"/>
      <c r="V218" s="3"/>
      <c r="W218" s="3"/>
      <c r="X218" s="3"/>
      <c r="Y218" s="3"/>
      <c r="Z218" s="3"/>
      <c r="AA218" s="3"/>
      <c r="AG218" s="236" t="s">
        <v>515</v>
      </c>
      <c r="AH218" s="237"/>
      <c r="AI218" s="237"/>
      <c r="AJ218" s="237"/>
      <c r="AK218" s="237"/>
      <c r="AL218" s="237"/>
      <c r="AM218" s="238"/>
      <c r="AN218" s="3"/>
      <c r="AO218" s="3"/>
      <c r="AP218" s="3"/>
      <c r="AQ218" s="3"/>
      <c r="AR218" s="3"/>
      <c r="AS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</row>
    <row r="219" spans="9:66" x14ac:dyDescent="0.25">
      <c r="I219" s="238"/>
      <c r="U219" s="238"/>
      <c r="V219" s="3"/>
      <c r="W219" s="3"/>
      <c r="X219" s="3"/>
      <c r="Y219" s="3"/>
      <c r="Z219" s="3"/>
      <c r="AA219" s="3"/>
      <c r="AG219" s="238" t="s">
        <v>344</v>
      </c>
      <c r="AH219" s="1">
        <f>DET_MORT_no_complication</f>
        <v>6.1594290000000217E-5</v>
      </c>
      <c r="AI219" s="1" t="s">
        <v>345</v>
      </c>
      <c r="AJ219" s="1">
        <f>AH219*AD227</f>
        <v>6.4314578405895765E-5</v>
      </c>
      <c r="AK219" s="1" t="s">
        <v>346</v>
      </c>
      <c r="AL219" s="1">
        <f>AH219*AF227</f>
        <v>6.4314578405895765E-5</v>
      </c>
      <c r="AM219" s="238"/>
      <c r="AN219" s="3"/>
      <c r="AO219" s="3"/>
      <c r="AP219" s="3"/>
      <c r="AQ219" s="3"/>
      <c r="AR219" s="3"/>
      <c r="AS219" s="236" t="s">
        <v>540</v>
      </c>
      <c r="AT219" s="237"/>
      <c r="AU219" s="237"/>
      <c r="AV219" s="237"/>
      <c r="AW219" s="237"/>
      <c r="AX219" s="237"/>
      <c r="AY219" s="237"/>
      <c r="AZ219" s="237"/>
      <c r="BA219" s="237"/>
      <c r="BB219" s="237"/>
      <c r="BC219" s="237"/>
      <c r="BD219" s="237"/>
      <c r="BE219" s="237"/>
      <c r="BF219" s="237"/>
      <c r="BG219" s="237"/>
      <c r="BH219" s="237"/>
      <c r="BI219" s="237"/>
      <c r="BJ219" s="237"/>
      <c r="BK219" s="237"/>
      <c r="BL219" s="237"/>
      <c r="BM219" s="237"/>
      <c r="BN219" s="237"/>
    </row>
    <row r="220" spans="9:66" x14ac:dyDescent="0.25">
      <c r="I220" s="238"/>
      <c r="U220" s="238"/>
      <c r="V220" s="3"/>
      <c r="W220" s="3"/>
      <c r="X220" s="3"/>
      <c r="Y220" s="3"/>
      <c r="Z220" s="3"/>
      <c r="AA220" s="3"/>
      <c r="AG220" s="238"/>
      <c r="AH220" s="3"/>
      <c r="AI220" s="3"/>
      <c r="AJ220" s="3"/>
      <c r="AK220" s="3"/>
      <c r="AL220" s="3"/>
      <c r="AM220" s="238" t="s">
        <v>344</v>
      </c>
      <c r="AN220" s="1">
        <f>1-AN215</f>
        <v>0.42964395257145294</v>
      </c>
      <c r="AO220" s="1" t="s">
        <v>345</v>
      </c>
      <c r="AP220" s="1">
        <f>AN220*AJ219</f>
        <v>2.763236967427567E-5</v>
      </c>
      <c r="AQ220" s="1" t="s">
        <v>346</v>
      </c>
      <c r="AR220" s="1">
        <f>AN220*AL219</f>
        <v>2.763236967427567E-5</v>
      </c>
      <c r="AS220" s="238" t="s">
        <v>344</v>
      </c>
      <c r="AT220" s="3">
        <f>DET_NS_stillbirth_nbw_premature</f>
        <v>7.6129469648265786E-3</v>
      </c>
      <c r="AU220" s="3" t="s">
        <v>345</v>
      </c>
      <c r="AV220" s="3">
        <f>AT220*AP220</f>
        <v>2.1036376484274297E-7</v>
      </c>
      <c r="AW220" s="3" t="s">
        <v>346</v>
      </c>
      <c r="AX220" s="3">
        <f>AT220*AR220</f>
        <v>2.1036376484274297E-7</v>
      </c>
      <c r="AY220" s="3">
        <f>AY215+1</f>
        <v>55</v>
      </c>
      <c r="AZ220" s="3"/>
      <c r="BA220" s="3">
        <f>det_cost_comparator*AV220</f>
        <v>0</v>
      </c>
      <c r="BB220" s="3">
        <f>$AV220*(VLOOKUP($AY220,'Pregnancy costs and utilities'!$A$23:$H$158,3))</f>
        <v>1.2469780042612358E-3</v>
      </c>
      <c r="BC220" s="3">
        <f>SUM(BA220:BB220)</f>
        <v>1.2469780042612358E-3</v>
      </c>
      <c r="BD220" s="3"/>
      <c r="BE220" s="3">
        <f>$AV220*(VLOOKUP($AY220,'Pregnancy costs and utilities'!$A$23:$I$158,9))</f>
        <v>0</v>
      </c>
      <c r="BF220" s="3">
        <f>$AV220*(VLOOKUP($AY220,'Pregnancy costs and utilities'!$A$23:$H$158,7))</f>
        <v>0</v>
      </c>
      <c r="BG220" s="3"/>
      <c r="BH220" s="3">
        <f>$BA220</f>
        <v>0</v>
      </c>
      <c r="BI220" s="3">
        <f>$AX220*(VLOOKUP($AY220,'Pregnancy costs and utilities'!$A$23:$H$158,5))</f>
        <v>2.236748883347869E-4</v>
      </c>
      <c r="BJ220" s="3">
        <f>SUM(BH220:BI220)</f>
        <v>2.236748883347869E-4</v>
      </c>
      <c r="BK220" s="3"/>
      <c r="BL220" s="3">
        <f>BC220+BI220</f>
        <v>1.4706528925960227E-3</v>
      </c>
      <c r="BN220" s="1" t="str">
        <f>IF(AV220=AX220,"Okay",IF(AV220&gt;AX220,"Lost infant","Gained infant"))</f>
        <v>Okay</v>
      </c>
    </row>
    <row r="221" spans="9:66" x14ac:dyDescent="0.25">
      <c r="I221" s="238"/>
      <c r="U221" s="238"/>
      <c r="V221" s="3"/>
      <c r="W221" s="3"/>
      <c r="X221" s="3"/>
      <c r="Y221" s="3"/>
      <c r="Z221" s="3"/>
      <c r="AA221" s="3"/>
      <c r="AG221" s="238"/>
      <c r="AH221" s="3"/>
      <c r="AI221" s="3"/>
      <c r="AJ221" s="3"/>
      <c r="AK221" s="3"/>
      <c r="AL221" s="3"/>
      <c r="AM221" s="240" t="s">
        <v>520</v>
      </c>
      <c r="AN221" s="235"/>
      <c r="AO221" s="235"/>
      <c r="AP221" s="235"/>
      <c r="AQ221" s="235"/>
      <c r="AR221" s="239"/>
      <c r="AS221" s="238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</row>
    <row r="222" spans="9:66" x14ac:dyDescent="0.25">
      <c r="I222" s="238"/>
      <c r="U222" s="238"/>
      <c r="V222" s="3"/>
      <c r="W222" s="3"/>
      <c r="X222" s="3"/>
      <c r="Y222" s="3"/>
      <c r="Z222" s="3"/>
      <c r="AA222" s="3"/>
      <c r="AG222" s="238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238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</row>
    <row r="223" spans="9:66" x14ac:dyDescent="0.25">
      <c r="I223" s="238"/>
      <c r="U223" s="238"/>
      <c r="V223" s="3"/>
      <c r="W223" s="3"/>
      <c r="X223" s="3"/>
      <c r="Y223" s="3"/>
      <c r="Z223" s="3"/>
      <c r="AA223" s="3"/>
      <c r="AG223" s="238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238" t="s">
        <v>344</v>
      </c>
      <c r="AT223" s="3">
        <f>1-AT220</f>
        <v>0.99238705303517338</v>
      </c>
      <c r="AU223" s="3" t="s">
        <v>345</v>
      </c>
      <c r="AV223" s="3">
        <f>AT223*AP220</f>
        <v>2.7422005909432926E-5</v>
      </c>
      <c r="AW223" s="3" t="s">
        <v>346</v>
      </c>
      <c r="AX223" s="3">
        <f>AT223*AR220</f>
        <v>2.7422005909432926E-5</v>
      </c>
      <c r="AY223" s="3">
        <f>AY220+1</f>
        <v>56</v>
      </c>
      <c r="AZ223" s="3"/>
      <c r="BA223" s="3">
        <f>det_cost_comparator*AV223</f>
        <v>0</v>
      </c>
      <c r="BB223" s="3">
        <f>$AV223*(VLOOKUP($AY223,'Pregnancy costs and utilities'!$A$23:$H$158,3))</f>
        <v>0.16255003910652871</v>
      </c>
      <c r="BC223" s="3">
        <f>SUM(BA223:BB223)</f>
        <v>0.16255003910652871</v>
      </c>
      <c r="BD223" s="3"/>
      <c r="BE223" s="3">
        <f>$AV223*(VLOOKUP($AY223,'Pregnancy costs and utilities'!$A$23:$I$158,9))</f>
        <v>0</v>
      </c>
      <c r="BF223" s="3">
        <f>$AV223*(VLOOKUP($AY223,'Pregnancy costs and utilities'!$A$23:$H$158,7))</f>
        <v>0</v>
      </c>
      <c r="BG223" s="3"/>
      <c r="BH223" s="3">
        <f>$BA223</f>
        <v>0</v>
      </c>
      <c r="BI223" s="3">
        <f>$AX223*(VLOOKUP($AY223,'Pregnancy costs and utilities'!$A$23:$H$158,5))</f>
        <v>0.4369573011781322</v>
      </c>
      <c r="BJ223" s="3">
        <f>SUM(BH223:BI223)</f>
        <v>0.4369573011781322</v>
      </c>
      <c r="BK223" s="3"/>
      <c r="BL223" s="3">
        <f>BC223+BI223</f>
        <v>0.59950734028466091</v>
      </c>
      <c r="BN223" s="1" t="str">
        <f>IF(AV223=AX223,"Okay",IF(AV223&gt;AX223,"Lost infant","Gained infant"))</f>
        <v>Okay</v>
      </c>
    </row>
    <row r="224" spans="9:66" x14ac:dyDescent="0.25">
      <c r="I224" s="238"/>
      <c r="U224" s="238"/>
      <c r="V224" s="3"/>
      <c r="W224" s="3"/>
      <c r="X224" s="3"/>
      <c r="Y224" s="3"/>
      <c r="Z224" s="3"/>
      <c r="AA224" s="3"/>
      <c r="AG224" s="238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240" t="s">
        <v>539</v>
      </c>
      <c r="AT224" s="235"/>
      <c r="AU224" s="235"/>
      <c r="AV224" s="235"/>
      <c r="AW224" s="235"/>
      <c r="AX224" s="235"/>
      <c r="AY224" s="235"/>
      <c r="AZ224" s="235"/>
      <c r="BA224" s="235"/>
      <c r="BB224" s="235"/>
      <c r="BC224" s="235"/>
      <c r="BD224" s="235"/>
      <c r="BE224" s="235"/>
      <c r="BF224" s="235"/>
      <c r="BG224" s="235"/>
      <c r="BH224" s="235"/>
      <c r="BI224" s="235"/>
      <c r="BJ224" s="235"/>
      <c r="BK224" s="235"/>
      <c r="BL224" s="235"/>
      <c r="BM224" s="235"/>
      <c r="BN224" s="235"/>
    </row>
    <row r="225" spans="9:66" x14ac:dyDescent="0.25">
      <c r="I225" s="238"/>
      <c r="U225" s="238"/>
      <c r="V225" s="3"/>
      <c r="W225" s="3"/>
      <c r="X225" s="3"/>
      <c r="Y225" s="3"/>
      <c r="Z225" s="3"/>
      <c r="AA225" s="235"/>
      <c r="AG225" s="238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</row>
    <row r="226" spans="9:66" x14ac:dyDescent="0.25">
      <c r="I226" s="238"/>
      <c r="U226" s="238"/>
      <c r="V226" s="3"/>
      <c r="W226" s="3"/>
      <c r="X226" s="3"/>
      <c r="Y226" s="3"/>
      <c r="Z226" s="3"/>
      <c r="AA226" s="236" t="s">
        <v>513</v>
      </c>
      <c r="AB226" s="237"/>
      <c r="AC226" s="237"/>
      <c r="AD226" s="237"/>
      <c r="AE226" s="237"/>
      <c r="AF226" s="371"/>
      <c r="AG226" s="238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</row>
    <row r="227" spans="9:66" x14ac:dyDescent="0.25">
      <c r="I227" s="238"/>
      <c r="U227" s="238"/>
      <c r="V227" s="3"/>
      <c r="W227" s="3"/>
      <c r="X227" s="3"/>
      <c r="Y227" s="3"/>
      <c r="Z227" s="3"/>
      <c r="AA227" s="238" t="s">
        <v>344</v>
      </c>
      <c r="AB227" s="3">
        <f>DET_NS_premature_no_complication</f>
        <v>5.9118359785268297E-2</v>
      </c>
      <c r="AC227" s="3" t="s">
        <v>345</v>
      </c>
      <c r="AD227" s="3">
        <f>AB227*X240</f>
        <v>1.044164619900571</v>
      </c>
      <c r="AE227" s="3" t="s">
        <v>346</v>
      </c>
      <c r="AF227" s="370">
        <f>AB227*Z240</f>
        <v>1.044164619900571</v>
      </c>
      <c r="AG227" s="238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236" t="s">
        <v>538</v>
      </c>
      <c r="AT227" s="237"/>
      <c r="AU227" s="237"/>
      <c r="AV227" s="237"/>
      <c r="AW227" s="237"/>
      <c r="AX227" s="237"/>
      <c r="AY227" s="237"/>
      <c r="AZ227" s="237"/>
      <c r="BA227" s="237"/>
      <c r="BB227" s="237"/>
      <c r="BC227" s="237"/>
      <c r="BD227" s="237"/>
      <c r="BE227" s="237"/>
      <c r="BF227" s="237"/>
      <c r="BG227" s="237"/>
      <c r="BH227" s="237"/>
      <c r="BI227" s="237"/>
      <c r="BJ227" s="237"/>
      <c r="BK227" s="237"/>
      <c r="BL227" s="237"/>
      <c r="BM227" s="237"/>
      <c r="BN227" s="237"/>
    </row>
    <row r="228" spans="9:66" x14ac:dyDescent="0.25">
      <c r="I228" s="238"/>
      <c r="U228" s="238"/>
      <c r="V228" s="3"/>
      <c r="W228" s="3"/>
      <c r="X228" s="3"/>
      <c r="Y228" s="3"/>
      <c r="Z228" s="3"/>
      <c r="AA228" s="238"/>
      <c r="AG228" s="238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238" t="s">
        <v>344</v>
      </c>
      <c r="AT228" s="1">
        <f>DET_NS_stillbirth_lbw_premature</f>
        <v>6.0752905295406189E-2</v>
      </c>
      <c r="AU228" s="1" t="s">
        <v>345</v>
      </c>
      <c r="AV228" s="1">
        <f>AT228*AP231</f>
        <v>3.6178897217535325E-2</v>
      </c>
      <c r="AW228" s="1" t="s">
        <v>346</v>
      </c>
      <c r="AX228" s="1">
        <f>AT228*AR231</f>
        <v>3.6178897217535325E-2</v>
      </c>
      <c r="AY228" s="1">
        <f>AY223+1</f>
        <v>57</v>
      </c>
      <c r="BA228" s="1">
        <f>det_cost_comparator*AV228</f>
        <v>0</v>
      </c>
      <c r="BB228" s="1">
        <f>$AV228*(VLOOKUP($AY228,'Pregnancy costs and utilities'!$A$23:$H$158,3))</f>
        <v>155.45140660019197</v>
      </c>
      <c r="BC228" s="1">
        <f>SUM(BA228:BB228)</f>
        <v>155.45140660019197</v>
      </c>
      <c r="BE228" s="1">
        <f>$AV228*(VLOOKUP($AY228,'Pregnancy costs and utilities'!$A$23:$I$158,9))</f>
        <v>2.2959684772666647E-2</v>
      </c>
      <c r="BF228" s="1">
        <f>$AV228*(VLOOKUP($AY228,'Pregnancy costs and utilities'!$A$23:$H$158,7))</f>
        <v>2.036524039335532E-2</v>
      </c>
      <c r="BH228" s="1">
        <f>$BA228</f>
        <v>0</v>
      </c>
      <c r="BI228" s="1">
        <f>$AX228*(VLOOKUP($AY228,'Pregnancy costs and utilities'!$A$23:$H$158,5))</f>
        <v>38.46817821147733</v>
      </c>
      <c r="BJ228" s="3">
        <f>SUM(BH228:BI228)</f>
        <v>38.46817821147733</v>
      </c>
      <c r="BK228" s="3"/>
      <c r="BL228" s="3">
        <f>BC228+BI228</f>
        <v>193.9195848116693</v>
      </c>
      <c r="BN228" s="1" t="str">
        <f>IF(AV228=AX228,"Okay",IF(AV228&gt;AX228,"Lost infant","Gained infant"))</f>
        <v>Okay</v>
      </c>
    </row>
    <row r="229" spans="9:66" x14ac:dyDescent="0.25">
      <c r="I229" s="238"/>
      <c r="U229" s="238"/>
      <c r="V229" s="3"/>
      <c r="W229" s="3"/>
      <c r="X229" s="3"/>
      <c r="Y229" s="3"/>
      <c r="Z229" s="3"/>
      <c r="AA229" s="238"/>
      <c r="AG229" s="238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238"/>
      <c r="BJ229" s="3"/>
      <c r="BK229" s="3"/>
      <c r="BL229" s="3"/>
    </row>
    <row r="230" spans="9:66" x14ac:dyDescent="0.25">
      <c r="I230" s="238"/>
      <c r="U230" s="238"/>
      <c r="V230" s="3"/>
      <c r="W230" s="3"/>
      <c r="X230" s="3"/>
      <c r="Y230" s="3"/>
      <c r="Z230" s="3"/>
      <c r="AA230" s="238"/>
      <c r="AG230" s="238"/>
      <c r="AH230" s="3"/>
      <c r="AI230" s="3"/>
      <c r="AJ230" s="3"/>
      <c r="AK230" s="3"/>
      <c r="AL230" s="3"/>
      <c r="AM230" s="236" t="s">
        <v>521</v>
      </c>
      <c r="AN230" s="237"/>
      <c r="AO230" s="237"/>
      <c r="AP230" s="237"/>
      <c r="AQ230" s="237"/>
      <c r="AR230" s="371"/>
      <c r="AS230" s="238"/>
      <c r="BJ230" s="3"/>
      <c r="BK230" s="3"/>
      <c r="BL230" s="3"/>
    </row>
    <row r="231" spans="9:66" x14ac:dyDescent="0.25">
      <c r="I231" s="238"/>
      <c r="U231" s="238"/>
      <c r="V231" s="3"/>
      <c r="W231" s="3"/>
      <c r="X231" s="3"/>
      <c r="Y231" s="3"/>
      <c r="Z231" s="3"/>
      <c r="AA231" s="238"/>
      <c r="AG231" s="238"/>
      <c r="AH231" s="3"/>
      <c r="AI231" s="3"/>
      <c r="AJ231" s="3"/>
      <c r="AK231" s="3"/>
      <c r="AL231" s="3"/>
      <c r="AM231" s="238" t="s">
        <v>344</v>
      </c>
      <c r="AN231" s="1">
        <f>DET_NS_lbw_premature</f>
        <v>0.57035604742854706</v>
      </c>
      <c r="AO231" s="1" t="s">
        <v>345</v>
      </c>
      <c r="AP231" s="1">
        <f>AN231*AJ232</f>
        <v>0.59550892326248928</v>
      </c>
      <c r="AQ231" s="1" t="s">
        <v>346</v>
      </c>
      <c r="AR231" s="1">
        <f>AN231*AL232</f>
        <v>0.59550892326248928</v>
      </c>
      <c r="AS231" s="238" t="s">
        <v>344</v>
      </c>
      <c r="AT231" s="1">
        <f>1-AT228</f>
        <v>0.93924709470459378</v>
      </c>
      <c r="AU231" s="1" t="s">
        <v>345</v>
      </c>
      <c r="AV231" s="1">
        <f>AT231*AP231</f>
        <v>0.55933002604495397</v>
      </c>
      <c r="AW231" s="1" t="s">
        <v>346</v>
      </c>
      <c r="AX231" s="1">
        <f>AT231*AR231</f>
        <v>0.55933002604495397</v>
      </c>
      <c r="AY231" s="1">
        <f>AY228+1</f>
        <v>58</v>
      </c>
      <c r="BA231" s="1">
        <f>det_cost_comparator*AV231</f>
        <v>0</v>
      </c>
      <c r="BB231" s="1">
        <f>$AV231*(VLOOKUP($AY231,'Pregnancy costs and utilities'!$A$23:$H$158,3))</f>
        <v>2403.2971148790989</v>
      </c>
      <c r="BC231" s="1">
        <f>SUM(BA231:BB231)</f>
        <v>2403.2971148790989</v>
      </c>
      <c r="BE231" s="1">
        <f>$AV231*(VLOOKUP($AY231,'Pregnancy costs and utilities'!$A$23:$I$158,9))</f>
        <v>0.35495943960545151</v>
      </c>
      <c r="BF231" s="1">
        <f>$AV231*(VLOOKUP($AY231,'Pregnancy costs and utilities'!$A$23:$H$158,7))</f>
        <v>0.3503449668905807</v>
      </c>
      <c r="BH231" s="1">
        <f>$BA231</f>
        <v>0</v>
      </c>
      <c r="BI231" s="1">
        <f>$AX231*(VLOOKUP($AY231,'Pregnancy costs and utilities'!$A$23:$H$158,5))</f>
        <v>8912.6717956261873</v>
      </c>
      <c r="BJ231" s="3">
        <f>SUM(BH231:BI231)</f>
        <v>8912.6717956261873</v>
      </c>
      <c r="BK231" s="3"/>
      <c r="BL231" s="3">
        <f>BC231+BI231</f>
        <v>11315.968910505286</v>
      </c>
      <c r="BN231" s="1" t="str">
        <f>IF(AV231=AX231,"Okay",IF(AV231&gt;AX231,"Lost infant","Gained infant"))</f>
        <v>Okay</v>
      </c>
    </row>
    <row r="232" spans="9:66" x14ac:dyDescent="0.25">
      <c r="I232" s="238"/>
      <c r="U232" s="238"/>
      <c r="V232" s="3"/>
      <c r="W232" s="3"/>
      <c r="X232" s="3"/>
      <c r="Y232" s="3"/>
      <c r="Z232" s="3"/>
      <c r="AA232" s="238"/>
      <c r="AG232" s="238" t="s">
        <v>344</v>
      </c>
      <c r="AH232" s="1">
        <f>1-AH219</f>
        <v>0.99993840571000003</v>
      </c>
      <c r="AI232" s="1" t="s">
        <v>345</v>
      </c>
      <c r="AJ232" s="1">
        <f>AH232*AD227</f>
        <v>1.0441003053221651</v>
      </c>
      <c r="AK232" s="1" t="s">
        <v>346</v>
      </c>
      <c r="AL232" s="1">
        <f>AH232*AF227</f>
        <v>1.0441003053221651</v>
      </c>
      <c r="AM232" s="238"/>
      <c r="AN232" s="3"/>
      <c r="AO232" s="3"/>
      <c r="AP232" s="3"/>
      <c r="AQ232" s="3"/>
      <c r="AR232" s="3"/>
      <c r="AS232" s="240" t="s">
        <v>537</v>
      </c>
      <c r="AT232" s="235"/>
      <c r="AU232" s="235"/>
      <c r="AV232" s="235"/>
      <c r="AW232" s="235"/>
      <c r="AX232" s="235"/>
      <c r="AY232" s="235"/>
      <c r="AZ232" s="235"/>
      <c r="BA232" s="235"/>
      <c r="BB232" s="235"/>
      <c r="BC232" s="235"/>
      <c r="BD232" s="235"/>
      <c r="BE232" s="235"/>
      <c r="BF232" s="235"/>
      <c r="BG232" s="235"/>
      <c r="BH232" s="235"/>
      <c r="BI232" s="235"/>
      <c r="BJ232" s="235"/>
      <c r="BK232" s="235"/>
      <c r="BL232" s="235"/>
      <c r="BM232" s="235"/>
      <c r="BN232" s="235"/>
    </row>
    <row r="233" spans="9:66" x14ac:dyDescent="0.25">
      <c r="I233" s="238"/>
      <c r="U233" s="238"/>
      <c r="V233" s="3"/>
      <c r="W233" s="3"/>
      <c r="X233" s="3"/>
      <c r="Y233" s="3"/>
      <c r="Z233" s="3"/>
      <c r="AA233" s="238"/>
      <c r="AG233" s="240" t="s">
        <v>516</v>
      </c>
      <c r="AH233" s="235"/>
      <c r="AI233" s="235"/>
      <c r="AJ233" s="235"/>
      <c r="AK233" s="235"/>
      <c r="AL233" s="235"/>
      <c r="AM233" s="238"/>
      <c r="AN233" s="3"/>
      <c r="AO233" s="3"/>
      <c r="AP233" s="3"/>
      <c r="AQ233" s="3"/>
      <c r="AR233" s="3"/>
      <c r="AS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</row>
    <row r="234" spans="9:66" x14ac:dyDescent="0.25">
      <c r="I234" s="238"/>
      <c r="U234" s="238"/>
      <c r="V234" s="3"/>
      <c r="W234" s="3"/>
      <c r="X234" s="3"/>
      <c r="Y234" s="3"/>
      <c r="Z234" s="3"/>
      <c r="AA234" s="238"/>
      <c r="AG234" s="3"/>
      <c r="AH234" s="3"/>
      <c r="AI234" s="3"/>
      <c r="AJ234" s="3"/>
      <c r="AK234" s="3"/>
      <c r="AL234" s="3"/>
      <c r="AM234" s="238"/>
      <c r="AN234" s="3"/>
      <c r="AO234" s="3"/>
      <c r="AP234" s="3"/>
      <c r="AQ234" s="3"/>
      <c r="AR234" s="3"/>
      <c r="AS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</row>
    <row r="235" spans="9:66" x14ac:dyDescent="0.25">
      <c r="I235" s="238"/>
      <c r="U235" s="238"/>
      <c r="V235" s="3"/>
      <c r="W235" s="3"/>
      <c r="X235" s="3"/>
      <c r="Y235" s="3"/>
      <c r="Z235" s="3"/>
      <c r="AA235" s="238"/>
      <c r="AG235" s="3"/>
      <c r="AH235" s="3"/>
      <c r="AI235" s="3"/>
      <c r="AJ235" s="3"/>
      <c r="AK235" s="3"/>
      <c r="AL235" s="3"/>
      <c r="AM235" s="238"/>
      <c r="AN235" s="3"/>
      <c r="AO235" s="3"/>
      <c r="AP235" s="3"/>
      <c r="AQ235" s="3"/>
      <c r="AR235" s="3"/>
      <c r="AS235" s="236" t="s">
        <v>536</v>
      </c>
      <c r="AT235" s="237"/>
      <c r="AU235" s="237"/>
      <c r="AV235" s="237"/>
      <c r="AW235" s="237"/>
      <c r="AX235" s="3"/>
      <c r="BJ235" s="237"/>
      <c r="BK235" s="237"/>
      <c r="BL235" s="237"/>
      <c r="BM235" s="237"/>
      <c r="BN235" s="237"/>
    </row>
    <row r="236" spans="9:66" x14ac:dyDescent="0.25">
      <c r="I236" s="238"/>
      <c r="U236" s="238"/>
      <c r="V236" s="3"/>
      <c r="W236" s="3"/>
      <c r="X236" s="3"/>
      <c r="Y236" s="3"/>
      <c r="Z236" s="3"/>
      <c r="AA236" s="238"/>
      <c r="AG236" s="3"/>
      <c r="AH236" s="3"/>
      <c r="AI236" s="3"/>
      <c r="AJ236" s="3"/>
      <c r="AK236" s="3"/>
      <c r="AL236" s="3"/>
      <c r="AM236" s="238" t="s">
        <v>344</v>
      </c>
      <c r="AN236" s="1">
        <f>1-AN231</f>
        <v>0.42964395257145294</v>
      </c>
      <c r="AO236" s="1" t="s">
        <v>345</v>
      </c>
      <c r="AP236" s="1">
        <f>AN236*AJ232</f>
        <v>0.44859138205967586</v>
      </c>
      <c r="AQ236" s="1" t="s">
        <v>346</v>
      </c>
      <c r="AR236" s="1">
        <f>AN236*AL232</f>
        <v>0.44859138205967586</v>
      </c>
      <c r="AS236" s="238" t="s">
        <v>344</v>
      </c>
      <c r="AT236" s="1">
        <f>DET_NS_stillbirth_nbw_premature</f>
        <v>7.6129469648265786E-3</v>
      </c>
      <c r="AU236" s="1" t="s">
        <v>345</v>
      </c>
      <c r="AV236" s="1">
        <f>AT236*AP236</f>
        <v>3.4151024004985694E-3</v>
      </c>
      <c r="AW236" s="1" t="s">
        <v>346</v>
      </c>
      <c r="AX236" s="1">
        <f>AT236*AR236</f>
        <v>3.4151024004985694E-3</v>
      </c>
      <c r="AY236" s="1">
        <f>AY231+1</f>
        <v>59</v>
      </c>
      <c r="BA236" s="1">
        <f>det_cost_comparator*AV236</f>
        <v>0</v>
      </c>
      <c r="BB236" s="1">
        <f>$AV236*(VLOOKUP($AY236,'Pregnancy costs and utilities'!$A$23:$H$158,3))</f>
        <v>14.673815750909197</v>
      </c>
      <c r="BC236" s="1">
        <f>SUM(BA236:BB236)</f>
        <v>14.673815750909197</v>
      </c>
      <c r="BE236" s="1">
        <f>$AV236*(VLOOKUP($AY236,'Pregnancy costs and utilities'!$A$23:$I$158,9))</f>
        <v>2.1672765233933227E-3</v>
      </c>
      <c r="BF236" s="1">
        <f>$AV236*(VLOOKUP($AY236,'Pregnancy costs and utilities'!$A$23:$H$158,7))</f>
        <v>1.9223742762498777E-3</v>
      </c>
      <c r="BH236" s="1">
        <f>$BA236</f>
        <v>0</v>
      </c>
      <c r="BI236" s="1">
        <f>$AX236*(VLOOKUP($AY236,'Pregnancy costs and utilities'!$A$23:$H$158,5))</f>
        <v>3.6311987887001917</v>
      </c>
      <c r="BJ236" s="3">
        <f>SUM(BH236:BI236)</f>
        <v>3.6311987887001917</v>
      </c>
      <c r="BK236" s="3"/>
      <c r="BL236" s="3">
        <f>BC236+BI236</f>
        <v>18.305014539609388</v>
      </c>
      <c r="BN236" s="1" t="str">
        <f>IF(AV236=AX236,"Okay",IF(AV236&gt;AX236,"Lost infant","Gained infant"))</f>
        <v>Okay</v>
      </c>
    </row>
    <row r="237" spans="9:66" x14ac:dyDescent="0.25">
      <c r="I237" s="238"/>
      <c r="U237" s="238"/>
      <c r="V237" s="3"/>
      <c r="W237" s="3"/>
      <c r="X237" s="3"/>
      <c r="Y237" s="3"/>
      <c r="Z237" s="3"/>
      <c r="AA237" s="238"/>
      <c r="AG237" s="3"/>
      <c r="AH237" s="3"/>
      <c r="AI237" s="3"/>
      <c r="AJ237" s="3"/>
      <c r="AK237" s="3"/>
      <c r="AL237" s="3"/>
      <c r="AM237" s="240" t="s">
        <v>522</v>
      </c>
      <c r="AN237" s="235"/>
      <c r="AO237" s="235"/>
      <c r="AP237" s="235"/>
      <c r="AQ237" s="235"/>
      <c r="AR237" s="239"/>
      <c r="AS237" s="238"/>
      <c r="BJ237" s="3"/>
      <c r="BK237" s="3"/>
      <c r="BL237" s="3"/>
    </row>
    <row r="238" spans="9:66" x14ac:dyDescent="0.25">
      <c r="I238" s="238"/>
      <c r="U238" s="238"/>
      <c r="V238" s="3"/>
      <c r="W238" s="3"/>
      <c r="X238" s="3"/>
      <c r="Y238" s="3"/>
      <c r="Z238" s="3"/>
      <c r="AA238" s="238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238"/>
      <c r="BJ238" s="3"/>
      <c r="BK238" s="3"/>
      <c r="BL238" s="3"/>
    </row>
    <row r="239" spans="9:66" x14ac:dyDescent="0.25">
      <c r="I239" s="238"/>
      <c r="U239" s="238"/>
      <c r="AA239" s="238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238" t="s">
        <v>344</v>
      </c>
      <c r="AT239" s="1">
        <f>1-AT236</f>
        <v>0.99238705303517338</v>
      </c>
      <c r="AU239" s="1" t="s">
        <v>345</v>
      </c>
      <c r="AV239" s="1">
        <f>AT239*AP236</f>
        <v>0.44517627965917728</v>
      </c>
      <c r="AW239" s="1" t="s">
        <v>346</v>
      </c>
      <c r="AX239" s="1">
        <f>AT239*AR236</f>
        <v>0.44517627965917728</v>
      </c>
      <c r="AY239" s="1">
        <f>AY236+1</f>
        <v>60</v>
      </c>
      <c r="BA239" s="1">
        <f>det_cost_comparator*AV239</f>
        <v>0</v>
      </c>
      <c r="BB239" s="1">
        <f>$AV239*(VLOOKUP($AY239,'Pregnancy costs and utilities'!$A$23:$H$158,3))</f>
        <v>1912.8078570763578</v>
      </c>
      <c r="BC239" s="1">
        <f>SUM(BA239:BB239)</f>
        <v>1912.8078570763578</v>
      </c>
      <c r="BE239" s="1">
        <f>$AV239*(VLOOKUP($AY239,'Pregnancy costs and utilities'!$A$23:$I$158,9))</f>
        <v>0.28251571593755481</v>
      </c>
      <c r="BF239" s="1">
        <f>$AV239*(VLOOKUP($AY239,'Pregnancy costs and utilities'!$A$23:$H$158,7))</f>
        <v>0.27884301163036657</v>
      </c>
      <c r="BH239" s="1">
        <f>$BA239</f>
        <v>0</v>
      </c>
      <c r="BI239" s="1">
        <f>$AX239*(VLOOKUP($AY239,'Pregnancy costs and utilities'!$A$23:$H$158,5))</f>
        <v>7093.6833122583985</v>
      </c>
      <c r="BJ239" s="3">
        <f>SUM(BH239:BI239)</f>
        <v>7093.6833122583985</v>
      </c>
      <c r="BK239" s="3"/>
      <c r="BL239" s="3">
        <f>BC239+BI239</f>
        <v>9006.4911693347567</v>
      </c>
      <c r="BN239" s="1" t="str">
        <f>IF(AV239=AX239,"Okay",IF(AV239&gt;AX239,"Lost infant","Gained infant"))</f>
        <v>Okay</v>
      </c>
    </row>
    <row r="240" spans="9:66" x14ac:dyDescent="0.25">
      <c r="I240" s="238"/>
      <c r="U240" s="238" t="s">
        <v>344</v>
      </c>
      <c r="V240" s="1">
        <f>1-V50-V114-V179</f>
        <v>0.97002974545758669</v>
      </c>
      <c r="W240" s="1" t="s">
        <v>345</v>
      </c>
      <c r="X240" s="1">
        <f>V240*R144</f>
        <v>17.662273170183017</v>
      </c>
      <c r="Y240" s="1" t="s">
        <v>346</v>
      </c>
      <c r="Z240" s="1">
        <f>V240*T144</f>
        <v>17.662273170183017</v>
      </c>
      <c r="AA240" s="238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240" t="s">
        <v>535</v>
      </c>
      <c r="AT240" s="235"/>
      <c r="AU240" s="235"/>
      <c r="AV240" s="235"/>
      <c r="AW240" s="235"/>
      <c r="AX240" s="235"/>
      <c r="AY240" s="235"/>
      <c r="AZ240" s="235"/>
      <c r="BA240" s="235"/>
      <c r="BB240" s="235"/>
      <c r="BC240" s="235"/>
      <c r="BD240" s="235"/>
      <c r="BE240" s="235"/>
      <c r="BF240" s="235"/>
      <c r="BG240" s="235"/>
      <c r="BH240" s="235"/>
      <c r="BI240" s="235"/>
      <c r="BJ240" s="235"/>
      <c r="BK240" s="235"/>
      <c r="BL240" s="235"/>
      <c r="BM240" s="235"/>
      <c r="BN240" s="235"/>
    </row>
    <row r="241" spans="9:66" x14ac:dyDescent="0.25">
      <c r="I241" s="238"/>
      <c r="U241" s="240" t="s">
        <v>389</v>
      </c>
      <c r="V241" s="235"/>
      <c r="W241" s="235"/>
      <c r="X241" s="235"/>
      <c r="Y241" s="235"/>
      <c r="Z241" s="235"/>
      <c r="AA241" s="238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</row>
    <row r="242" spans="9:66" x14ac:dyDescent="0.25">
      <c r="I242" s="238"/>
      <c r="U242" s="237"/>
      <c r="AA242" s="238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</row>
    <row r="243" spans="9:66" x14ac:dyDescent="0.25">
      <c r="I243" s="238"/>
      <c r="U243" s="3"/>
      <c r="AA243" s="238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236" t="s">
        <v>534</v>
      </c>
      <c r="AT243" s="237"/>
      <c r="AU243" s="237"/>
      <c r="AV243" s="237"/>
      <c r="AW243" s="237"/>
      <c r="AX243" s="237"/>
      <c r="AY243" s="237"/>
      <c r="AZ243" s="237"/>
      <c r="BA243" s="237"/>
      <c r="BB243" s="237"/>
      <c r="BC243" s="237"/>
      <c r="BD243" s="237"/>
      <c r="BE243" s="237"/>
      <c r="BF243" s="237"/>
      <c r="BG243" s="237"/>
      <c r="BH243" s="237"/>
      <c r="BI243" s="237"/>
      <c r="BJ243" s="237"/>
      <c r="BK243" s="237"/>
      <c r="BL243" s="237"/>
      <c r="BM243" s="237"/>
      <c r="BN243" s="237"/>
    </row>
    <row r="244" spans="9:66" x14ac:dyDescent="0.25">
      <c r="I244" s="238"/>
      <c r="U244" s="3"/>
      <c r="AA244" s="238"/>
      <c r="AG244" s="3"/>
      <c r="AH244" s="3"/>
      <c r="AI244" s="3"/>
      <c r="AJ244" s="3"/>
      <c r="AK244" s="3"/>
      <c r="AL244" s="3"/>
      <c r="AS244" s="238" t="s">
        <v>344</v>
      </c>
      <c r="AT244" s="3">
        <f>DET_NS_stillbirth_lbw_fullgest</f>
        <v>1.5360924440585004E-2</v>
      </c>
      <c r="AU244" s="3" t="s">
        <v>345</v>
      </c>
      <c r="AV244" s="3">
        <f>AT244*AP247</f>
        <v>4.2361223728815858E-7</v>
      </c>
      <c r="AW244" s="3" t="s">
        <v>346</v>
      </c>
      <c r="AX244" s="3">
        <f>AT244*AR247</f>
        <v>4.2361223728815858E-7</v>
      </c>
      <c r="AY244" s="3">
        <f>AY239+1</f>
        <v>61</v>
      </c>
      <c r="AZ244" s="3"/>
      <c r="BA244" s="3">
        <f>det_cost_comparator*AV244</f>
        <v>0</v>
      </c>
      <c r="BB244" s="3">
        <f>$AV244*(VLOOKUP($AY244,'Pregnancy costs and utilities'!$A$23:$H$158,3))</f>
        <v>2.03957008115395E-3</v>
      </c>
      <c r="BC244" s="3">
        <f>SUM(BA244:BB244)</f>
        <v>2.03957008115395E-3</v>
      </c>
      <c r="BD244" s="3"/>
      <c r="BE244" s="3">
        <f>$AV244*(VLOOKUP($AY244,'Pregnancy costs and utilities'!$A$23:$I$158,9))</f>
        <v>0</v>
      </c>
      <c r="BF244" s="3">
        <f>$AV244*(VLOOKUP($AY244,'Pregnancy costs and utilities'!$A$23:$H$158,7))</f>
        <v>0</v>
      </c>
      <c r="BG244" s="3"/>
      <c r="BH244" s="3">
        <f>$BA244</f>
        <v>0</v>
      </c>
      <c r="BI244" s="3">
        <f>$AX244*(VLOOKUP($AY244,'Pregnancy costs and utilities'!$A$23:$H$158,5))</f>
        <v>4.5041701903134014E-4</v>
      </c>
      <c r="BJ244" s="3">
        <f>SUM(BH244:BI244)</f>
        <v>4.5041701903134014E-4</v>
      </c>
      <c r="BK244" s="3"/>
      <c r="BL244" s="3">
        <f>BC244+BI244</f>
        <v>2.4899871001852901E-3</v>
      </c>
      <c r="BN244" s="1" t="str">
        <f>IF(AV244=AX244,"Okay",IF(AV244&gt;AX244,"Lost infant","Gained infant"))</f>
        <v>Okay</v>
      </c>
    </row>
    <row r="245" spans="9:66" x14ac:dyDescent="0.25">
      <c r="I245" s="238"/>
      <c r="U245" s="3"/>
      <c r="AA245" s="238"/>
      <c r="AG245" s="3"/>
      <c r="AH245" s="3"/>
      <c r="AI245" s="3"/>
      <c r="AJ245" s="3"/>
      <c r="AK245" s="3"/>
      <c r="AL245" s="3"/>
      <c r="AS245" s="238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</row>
    <row r="246" spans="9:66" x14ac:dyDescent="0.25">
      <c r="I246" s="238"/>
      <c r="U246" s="3"/>
      <c r="AA246" s="238"/>
      <c r="AG246" s="3"/>
      <c r="AH246" s="3"/>
      <c r="AI246" s="3"/>
      <c r="AJ246" s="3"/>
      <c r="AK246" s="3"/>
      <c r="AL246" s="3"/>
      <c r="AM246" s="236" t="s">
        <v>523</v>
      </c>
      <c r="AN246" s="237"/>
      <c r="AO246" s="237"/>
      <c r="AP246" s="237"/>
      <c r="AQ246" s="237"/>
      <c r="AR246" s="371"/>
      <c r="AS246" s="238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</row>
    <row r="247" spans="9:66" x14ac:dyDescent="0.25">
      <c r="I247" s="238"/>
      <c r="U247" s="3"/>
      <c r="AA247" s="238"/>
      <c r="AG247" s="3"/>
      <c r="AH247" s="3"/>
      <c r="AI247" s="3"/>
      <c r="AJ247" s="3"/>
      <c r="AK247" s="3"/>
      <c r="AL247" s="3"/>
      <c r="AM247" s="238" t="s">
        <v>344</v>
      </c>
      <c r="AN247" s="3">
        <f>DET_NS_lbw_fullgest</f>
        <v>2.6941954581366025E-2</v>
      </c>
      <c r="AO247" s="3" t="s">
        <v>345</v>
      </c>
      <c r="AP247" s="3">
        <f>AN247*AJ251</f>
        <v>2.7577261962758913E-5</v>
      </c>
      <c r="AQ247" s="3" t="s">
        <v>346</v>
      </c>
      <c r="AR247" s="370">
        <f>AN247*AL251</f>
        <v>2.7577261962758913E-5</v>
      </c>
      <c r="AS247" s="238" t="s">
        <v>344</v>
      </c>
      <c r="AT247" s="3">
        <f>1-AT244</f>
        <v>0.98463907555941499</v>
      </c>
      <c r="AU247" s="3" t="s">
        <v>345</v>
      </c>
      <c r="AV247" s="3">
        <f>AT247*AP247</f>
        <v>2.7153649725470754E-5</v>
      </c>
      <c r="AW247" s="3" t="s">
        <v>346</v>
      </c>
      <c r="AX247" s="3">
        <f>AT247*AR247</f>
        <v>2.7153649725470754E-5</v>
      </c>
      <c r="AY247" s="3">
        <f>AY244+1</f>
        <v>62</v>
      </c>
      <c r="AZ247" s="3"/>
      <c r="BA247" s="3">
        <f>det_cost_comparator*AV247</f>
        <v>0</v>
      </c>
      <c r="BB247" s="3">
        <f>$AV247*(VLOOKUP($AY247,'Pregnancy costs and utilities'!$A$23:$H$158,3))</f>
        <v>0.13073694926459678</v>
      </c>
      <c r="BC247" s="3">
        <f>SUM(BA247:BB247)</f>
        <v>0.13073694926459678</v>
      </c>
      <c r="BD247" s="3"/>
      <c r="BE247" s="3">
        <f>$AV247*(VLOOKUP($AY247,'Pregnancy costs and utilities'!$A$23:$I$158,9))</f>
        <v>0</v>
      </c>
      <c r="BF247" s="3">
        <f>$AV247*(VLOOKUP($AY247,'Pregnancy costs and utilities'!$A$23:$H$158,7))</f>
        <v>0</v>
      </c>
      <c r="BG247" s="3"/>
      <c r="BH247" s="3">
        <f>$BA247</f>
        <v>0</v>
      </c>
      <c r="BI247" s="3">
        <f>$AX247*(VLOOKUP($AY247,'Pregnancy costs and utilities'!$A$23:$H$158,5))</f>
        <v>7.1844965413605091E-2</v>
      </c>
      <c r="BJ247" s="3">
        <f>SUM(BH247:BI247)</f>
        <v>7.1844965413605091E-2</v>
      </c>
      <c r="BK247" s="3"/>
      <c r="BL247" s="3">
        <f>BC247+BI247</f>
        <v>0.20258191467820186</v>
      </c>
      <c r="BN247" s="1" t="str">
        <f>IF(AV247=AX247,"Okay",IF(AV247&gt;AX247,"Lost infant","Gained infant"))</f>
        <v>Okay</v>
      </c>
    </row>
    <row r="248" spans="9:66" x14ac:dyDescent="0.25">
      <c r="I248" s="238"/>
      <c r="U248" s="3"/>
      <c r="AA248" s="238"/>
      <c r="AG248" s="3"/>
      <c r="AH248" s="3"/>
      <c r="AI248" s="3"/>
      <c r="AJ248" s="3"/>
      <c r="AK248" s="3"/>
      <c r="AL248" s="3"/>
      <c r="AM248" s="238"/>
      <c r="AN248" s="3"/>
      <c r="AO248" s="3"/>
      <c r="AP248" s="3"/>
      <c r="AQ248" s="3"/>
      <c r="AR248" s="3"/>
      <c r="AS248" s="240" t="s">
        <v>533</v>
      </c>
      <c r="AT248" s="235"/>
      <c r="AU248" s="235"/>
      <c r="AV248" s="235"/>
      <c r="AW248" s="235"/>
      <c r="AX248" s="235"/>
      <c r="AY248" s="235"/>
      <c r="AZ248" s="235"/>
      <c r="BA248" s="235"/>
      <c r="BB248" s="235"/>
      <c r="BC248" s="235"/>
      <c r="BD248" s="235"/>
      <c r="BE248" s="235"/>
      <c r="BF248" s="235"/>
      <c r="BG248" s="235"/>
      <c r="BH248" s="235"/>
      <c r="BI248" s="235"/>
      <c r="BJ248" s="235"/>
      <c r="BK248" s="235"/>
      <c r="BL248" s="235"/>
      <c r="BM248" s="235"/>
      <c r="BN248" s="235"/>
    </row>
    <row r="249" spans="9:66" x14ac:dyDescent="0.25">
      <c r="I249" s="238"/>
      <c r="U249" s="3"/>
      <c r="AA249" s="238"/>
      <c r="AM249" s="238"/>
      <c r="AN249" s="3"/>
      <c r="AO249" s="3"/>
      <c r="AP249" s="3"/>
      <c r="AQ249" s="3"/>
      <c r="AR249" s="3"/>
      <c r="AS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</row>
    <row r="250" spans="9:66" x14ac:dyDescent="0.25">
      <c r="I250" s="238"/>
      <c r="U250" s="3"/>
      <c r="AA250" s="238"/>
      <c r="AG250" s="236" t="s">
        <v>517</v>
      </c>
      <c r="AH250" s="237"/>
      <c r="AI250" s="237"/>
      <c r="AJ250" s="237"/>
      <c r="AK250" s="237"/>
      <c r="AL250" s="371"/>
      <c r="AM250" s="238"/>
      <c r="AN250" s="3"/>
      <c r="AO250" s="3"/>
      <c r="AP250" s="3"/>
      <c r="AQ250" s="3"/>
      <c r="AR250" s="3"/>
      <c r="AS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</row>
    <row r="251" spans="9:66" x14ac:dyDescent="0.25">
      <c r="I251" s="238"/>
      <c r="U251" s="3"/>
      <c r="AA251" s="238"/>
      <c r="AG251" s="238" t="s">
        <v>344</v>
      </c>
      <c r="AH251" s="1">
        <f>DET_MORT_no_complication</f>
        <v>6.1594290000000217E-5</v>
      </c>
      <c r="AI251" s="1" t="s">
        <v>345</v>
      </c>
      <c r="AJ251" s="1">
        <f>AH251*AD256</f>
        <v>1.0235805972975802E-3</v>
      </c>
      <c r="AK251" s="1" t="s">
        <v>346</v>
      </c>
      <c r="AL251" s="1">
        <f>AH251*AF256</f>
        <v>1.0235805972975802E-3</v>
      </c>
      <c r="AM251" s="238"/>
      <c r="AN251" s="3"/>
      <c r="AO251" s="3"/>
      <c r="AP251" s="3"/>
      <c r="AQ251" s="3"/>
      <c r="AR251" s="3"/>
      <c r="AS251" s="236" t="s">
        <v>532</v>
      </c>
      <c r="AT251" s="237"/>
      <c r="AU251" s="237"/>
      <c r="AV251" s="237"/>
      <c r="AW251" s="237"/>
      <c r="AX251" s="237"/>
      <c r="AY251" s="237"/>
      <c r="AZ251" s="237"/>
      <c r="BA251" s="237"/>
      <c r="BB251" s="237"/>
      <c r="BC251" s="237"/>
      <c r="BD251" s="237"/>
      <c r="BE251" s="237"/>
      <c r="BF251" s="237"/>
      <c r="BG251" s="237"/>
      <c r="BH251" s="237"/>
      <c r="BI251" s="237"/>
      <c r="BJ251" s="237"/>
      <c r="BK251" s="237"/>
      <c r="BL251" s="237"/>
      <c r="BM251" s="237"/>
      <c r="BN251" s="237"/>
    </row>
    <row r="252" spans="9:66" x14ac:dyDescent="0.25">
      <c r="I252" s="238"/>
      <c r="U252" s="3"/>
      <c r="AA252" s="238"/>
      <c r="AG252" s="238"/>
      <c r="AH252" s="3"/>
      <c r="AI252" s="3"/>
      <c r="AJ252" s="3"/>
      <c r="AK252" s="3"/>
      <c r="AL252" s="3"/>
      <c r="AM252" s="238" t="s">
        <v>344</v>
      </c>
      <c r="AN252" s="1">
        <f>1-AN247</f>
        <v>0.97305804541863394</v>
      </c>
      <c r="AO252" s="1" t="s">
        <v>345</v>
      </c>
      <c r="AP252" s="1">
        <f>AN252*AJ251</f>
        <v>9.9600333533482119E-4</v>
      </c>
      <c r="AQ252" s="1" t="s">
        <v>346</v>
      </c>
      <c r="AR252" s="1">
        <f>AN252*AL251</f>
        <v>9.9600333533482119E-4</v>
      </c>
      <c r="AS252" s="238" t="s">
        <v>344</v>
      </c>
      <c r="AT252" s="3">
        <f>DET_NS_stillbirth_nbw_fullgest</f>
        <v>1.6109941848144384E-3</v>
      </c>
      <c r="AU252" s="3" t="s">
        <v>345</v>
      </c>
      <c r="AV252" s="3">
        <f>AT252*AP252</f>
        <v>1.604555581280182E-6</v>
      </c>
      <c r="AW252" s="3" t="s">
        <v>346</v>
      </c>
      <c r="AX252" s="3">
        <f>AT252*AR252</f>
        <v>1.604555581280182E-6</v>
      </c>
      <c r="AY252" s="3">
        <f>AY247+1</f>
        <v>63</v>
      </c>
      <c r="AZ252" s="3"/>
      <c r="BA252" s="3">
        <f>det_cost_comparator*AV252</f>
        <v>0</v>
      </c>
      <c r="BB252" s="3">
        <f>$AV252*(VLOOKUP($AY252,'Pregnancy costs and utilities'!$A$23:$H$158,3))</f>
        <v>7.725469826079372E-3</v>
      </c>
      <c r="BC252" s="3">
        <f>SUM(BA252:BB252)</f>
        <v>7.725469826079372E-3</v>
      </c>
      <c r="BD252" s="3"/>
      <c r="BE252" s="3">
        <f>$AV252*(VLOOKUP($AY252,'Pregnancy costs and utilities'!$A$23:$I$158,9))</f>
        <v>0</v>
      </c>
      <c r="BF252" s="3">
        <f>$AV252*(VLOOKUP($AY252,'Pregnancy costs and utilities'!$A$23:$H$158,7))</f>
        <v>0</v>
      </c>
      <c r="BG252" s="3"/>
      <c r="BH252" s="3">
        <f>$BA252</f>
        <v>0</v>
      </c>
      <c r="BI252" s="3">
        <f>$AX252*(VLOOKUP($AY252,'Pregnancy costs and utilities'!$A$23:$H$158,5))</f>
        <v>1.7060865531575646E-3</v>
      </c>
      <c r="BJ252" s="3">
        <f>SUM(BH252:BI252)</f>
        <v>1.7060865531575646E-3</v>
      </c>
      <c r="BK252" s="3"/>
      <c r="BL252" s="3">
        <f>BC252+BI252</f>
        <v>9.4315563792369359E-3</v>
      </c>
      <c r="BN252" s="1" t="str">
        <f>IF(AV252=AX252,"Okay",IF(AV252&gt;AX252,"Lost infant","Gained infant"))</f>
        <v>Okay</v>
      </c>
    </row>
    <row r="253" spans="9:66" x14ac:dyDescent="0.25">
      <c r="I253" s="238"/>
      <c r="U253" s="3"/>
      <c r="AA253" s="238"/>
      <c r="AG253" s="238"/>
      <c r="AH253" s="3"/>
      <c r="AI253" s="3"/>
      <c r="AJ253" s="3"/>
      <c r="AK253" s="3"/>
      <c r="AL253" s="3"/>
      <c r="AM253" s="240" t="s">
        <v>524</v>
      </c>
      <c r="AN253" s="235"/>
      <c r="AO253" s="235"/>
      <c r="AP253" s="235"/>
      <c r="AQ253" s="235"/>
      <c r="AR253" s="239"/>
      <c r="AS253" s="238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</row>
    <row r="254" spans="9:66" x14ac:dyDescent="0.25">
      <c r="I254" s="238"/>
      <c r="U254" s="3"/>
      <c r="AA254" s="238"/>
      <c r="AG254" s="238"/>
      <c r="AH254" s="3"/>
      <c r="AI254" s="3"/>
      <c r="AJ254" s="3"/>
      <c r="AK254" s="3"/>
      <c r="AL254" s="3"/>
      <c r="AS254" s="238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</row>
    <row r="255" spans="9:66" x14ac:dyDescent="0.25">
      <c r="I255" s="238"/>
      <c r="U255" s="3"/>
      <c r="AA255" s="238"/>
      <c r="AG255" s="238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238" t="s">
        <v>344</v>
      </c>
      <c r="AT255" s="3">
        <f>1-AT252</f>
        <v>0.99838900581518553</v>
      </c>
      <c r="AU255" s="3" t="s">
        <v>345</v>
      </c>
      <c r="AV255" s="3">
        <f>AT255*AP252</f>
        <v>9.9439877975354089E-4</v>
      </c>
      <c r="AW255" s="3" t="s">
        <v>346</v>
      </c>
      <c r="AX255" s="3">
        <f>AT255*AR252</f>
        <v>9.9439877975354089E-4</v>
      </c>
      <c r="AY255" s="3">
        <f>AY252+1</f>
        <v>64</v>
      </c>
      <c r="AZ255" s="3"/>
      <c r="BA255" s="3">
        <f>det_cost_comparator*AV255</f>
        <v>0</v>
      </c>
      <c r="BB255" s="3">
        <f>$AV255*(VLOOKUP($AY255,'Pregnancy costs and utilities'!$A$23:$H$158,3))</f>
        <v>4.7877417633279782</v>
      </c>
      <c r="BC255" s="3">
        <f>SUM(BA255:BB255)</f>
        <v>4.7877417633279782</v>
      </c>
      <c r="BD255" s="3"/>
      <c r="BE255" s="3">
        <f>$AV255*(VLOOKUP($AY255,'Pregnancy costs and utilities'!$A$23:$I$158,9))</f>
        <v>0</v>
      </c>
      <c r="BF255" s="3">
        <f>$AV255*(VLOOKUP($AY255,'Pregnancy costs and utilities'!$A$23:$H$158,7))</f>
        <v>0</v>
      </c>
      <c r="BG255" s="3"/>
      <c r="BH255" s="3">
        <f>$BA255</f>
        <v>0</v>
      </c>
      <c r="BI255" s="3">
        <f>$AX255*(VLOOKUP($AY255,'Pregnancy costs and utilities'!$A$23:$H$158,5))</f>
        <v>2.63104763672743</v>
      </c>
      <c r="BJ255" s="3">
        <f>SUM(BH255:BI255)</f>
        <v>2.63104763672743</v>
      </c>
      <c r="BK255" s="3"/>
      <c r="BL255" s="3">
        <f>BC255+BI255</f>
        <v>7.4187894000554078</v>
      </c>
      <c r="BN255" s="1" t="str">
        <f>IF(AV255=AX255,"Okay",IF(AV255&gt;AX255,"Lost infant","Gained infant"))</f>
        <v>Okay</v>
      </c>
    </row>
    <row r="256" spans="9:66" x14ac:dyDescent="0.25">
      <c r="I256" s="238"/>
      <c r="U256" s="3"/>
      <c r="AA256" s="238" t="s">
        <v>344</v>
      </c>
      <c r="AB256" s="1">
        <f>1-AB227</f>
        <v>0.94088164021473175</v>
      </c>
      <c r="AC256" s="1" t="s">
        <v>345</v>
      </c>
      <c r="AD256" s="1">
        <f>AB256*X240</f>
        <v>16.618108550282447</v>
      </c>
      <c r="AE256" s="1" t="s">
        <v>346</v>
      </c>
      <c r="AF256" s="1">
        <f>AB256*Z240</f>
        <v>16.618108550282447</v>
      </c>
      <c r="AG256" s="238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240" t="s">
        <v>531</v>
      </c>
      <c r="AT256" s="235"/>
      <c r="AU256" s="235"/>
      <c r="AV256" s="235"/>
      <c r="AW256" s="235"/>
      <c r="AX256" s="235"/>
      <c r="AY256" s="235"/>
      <c r="AZ256" s="235"/>
      <c r="BA256" s="235"/>
      <c r="BB256" s="235"/>
      <c r="BC256" s="235"/>
      <c r="BD256" s="235"/>
      <c r="BE256" s="235"/>
      <c r="BF256" s="235"/>
      <c r="BG256" s="235"/>
      <c r="BH256" s="235"/>
      <c r="BI256" s="235"/>
      <c r="BJ256" s="235"/>
      <c r="BK256" s="235"/>
      <c r="BL256" s="235"/>
      <c r="BM256" s="235"/>
      <c r="BN256" s="235"/>
    </row>
    <row r="257" spans="1:66" x14ac:dyDescent="0.25">
      <c r="I257" s="238"/>
      <c r="U257" s="3"/>
      <c r="AA257" s="240" t="s">
        <v>514</v>
      </c>
      <c r="AB257" s="235"/>
      <c r="AC257" s="235"/>
      <c r="AD257" s="235"/>
      <c r="AE257" s="235"/>
      <c r="AF257" s="239"/>
      <c r="AG257" s="238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</row>
    <row r="258" spans="1:66" x14ac:dyDescent="0.25">
      <c r="I258" s="238"/>
      <c r="U258" s="3"/>
      <c r="AG258" s="238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</row>
    <row r="259" spans="1:66" x14ac:dyDescent="0.25">
      <c r="I259" s="238"/>
      <c r="U259" s="3"/>
      <c r="AG259" s="238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236" t="s">
        <v>530</v>
      </c>
      <c r="AT259" s="237"/>
      <c r="AU259" s="237"/>
      <c r="AV259" s="237"/>
      <c r="AW259" s="237"/>
      <c r="AX259" s="237"/>
      <c r="AY259" s="237"/>
      <c r="AZ259" s="237"/>
      <c r="BA259" s="237"/>
      <c r="BB259" s="237"/>
      <c r="BC259" s="237"/>
      <c r="BD259" s="237"/>
      <c r="BE259" s="237"/>
      <c r="BF259" s="237"/>
      <c r="BG259" s="237"/>
      <c r="BH259" s="237"/>
      <c r="BI259" s="237"/>
      <c r="BJ259" s="237"/>
      <c r="BK259" s="237"/>
      <c r="BL259" s="237"/>
      <c r="BM259" s="237"/>
      <c r="BN259" s="237"/>
    </row>
    <row r="260" spans="1:66" x14ac:dyDescent="0.25">
      <c r="I260" s="238"/>
      <c r="U260" s="3"/>
      <c r="AG260" s="238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238" t="s">
        <v>344</v>
      </c>
      <c r="AT260" s="3">
        <f>DET_NS_stillbirth_lbw_fullgest</f>
        <v>1.5360924440585004E-2</v>
      </c>
      <c r="AU260" s="3" t="s">
        <v>345</v>
      </c>
      <c r="AV260" s="3">
        <f>AT260*AP263</f>
        <v>6.8770359264335376E-3</v>
      </c>
      <c r="AW260" s="3" t="s">
        <v>346</v>
      </c>
      <c r="AX260" s="3">
        <f>AT260*AR263</f>
        <v>6.8770359264335376E-3</v>
      </c>
      <c r="AY260" s="3">
        <f>AY255+1</f>
        <v>65</v>
      </c>
      <c r="AZ260" s="3"/>
      <c r="BA260" s="3">
        <f>det_cost_comparator*AV260</f>
        <v>0</v>
      </c>
      <c r="BB260" s="3">
        <f>$AV260*(VLOOKUP($AY260,'Pregnancy costs and utilities'!$A$23:$H$158,3))</f>
        <v>21.894626522761438</v>
      </c>
      <c r="BC260" s="3">
        <f>SUM(BA260:BB260)</f>
        <v>21.894626522761438</v>
      </c>
      <c r="BD260" s="3"/>
      <c r="BE260" s="3">
        <f>$AV260*(VLOOKUP($AY260,'Pregnancy costs and utilities'!$A$23:$I$158,9))</f>
        <v>5.2900276357181059E-3</v>
      </c>
      <c r="BF260" s="3">
        <f>$AV260*(VLOOKUP($AY260,'Pregnancy costs and utilities'!$A$23:$H$158,7))</f>
        <v>4.6922545128819607E-3</v>
      </c>
      <c r="BG260" s="3"/>
      <c r="BH260" s="3">
        <f>$BA260</f>
        <v>0</v>
      </c>
      <c r="BI260" s="3">
        <f>$AX260*(VLOOKUP($AY260,'Pregnancy costs and utilities'!$A$23:$H$158,5))</f>
        <v>7.3121920216118639</v>
      </c>
      <c r="BJ260" s="3">
        <f>SUM(BH260:BI260)</f>
        <v>7.3121920216118639</v>
      </c>
      <c r="BK260" s="3"/>
      <c r="BL260" s="3">
        <f>BC260+BI260</f>
        <v>29.206818544373302</v>
      </c>
      <c r="BN260" s="1" t="str">
        <f>IF(AV260=AX260,"Okay",IF(AV260&gt;AX260,"Lost infant","Gained infant"))</f>
        <v>Okay</v>
      </c>
    </row>
    <row r="261" spans="1:66" x14ac:dyDescent="0.25">
      <c r="I261" s="238"/>
      <c r="U261" s="3"/>
      <c r="AG261" s="238"/>
      <c r="AS261" s="238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</row>
    <row r="262" spans="1:66" x14ac:dyDescent="0.25">
      <c r="I262" s="238"/>
      <c r="U262" s="3"/>
      <c r="AA262" s="3"/>
      <c r="AB262" s="3"/>
      <c r="AC262" s="3"/>
      <c r="AD262" s="3"/>
      <c r="AE262" s="3"/>
      <c r="AF262" s="3"/>
      <c r="AG262" s="238"/>
      <c r="AH262" s="3"/>
      <c r="AI262" s="3"/>
      <c r="AJ262" s="3"/>
      <c r="AK262" s="3"/>
      <c r="AL262" s="3"/>
      <c r="AM262" s="236" t="s">
        <v>525</v>
      </c>
      <c r="AN262" s="237"/>
      <c r="AO262" s="237"/>
      <c r="AP262" s="237"/>
      <c r="AQ262" s="237"/>
      <c r="AR262" s="371"/>
      <c r="AS262" s="238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</row>
    <row r="263" spans="1:66" x14ac:dyDescent="0.25">
      <c r="A263" s="235" t="s">
        <v>708</v>
      </c>
      <c r="B263" s="235" t="s">
        <v>709</v>
      </c>
      <c r="C263" s="235">
        <f>Cohort</f>
        <v>1000</v>
      </c>
      <c r="D263" s="235"/>
      <c r="E263" s="235"/>
      <c r="F263" s="235"/>
      <c r="G263" s="235"/>
      <c r="H263" s="239"/>
      <c r="I263" s="238"/>
      <c r="U263" s="3"/>
      <c r="AA263" s="3"/>
      <c r="AB263" s="3"/>
      <c r="AC263" s="3"/>
      <c r="AD263" s="3"/>
      <c r="AE263" s="3"/>
      <c r="AF263" s="3"/>
      <c r="AG263" s="238"/>
      <c r="AH263" s="3"/>
      <c r="AI263" s="3"/>
      <c r="AJ263" s="3"/>
      <c r="AK263" s="3"/>
      <c r="AL263" s="3"/>
      <c r="AM263" s="238" t="s">
        <v>344</v>
      </c>
      <c r="AN263" s="3">
        <f>DET_NS_lbw_fullgest</f>
        <v>2.6941954581366025E-2</v>
      </c>
      <c r="AO263" s="3" t="s">
        <v>345</v>
      </c>
      <c r="AP263" s="3">
        <f>AN263*AJ264</f>
        <v>0.44769674852795732</v>
      </c>
      <c r="AQ263" s="3" t="s">
        <v>346</v>
      </c>
      <c r="AR263" s="370">
        <f>AN263*AL264</f>
        <v>0.44769674852795732</v>
      </c>
      <c r="AS263" s="238" t="s">
        <v>344</v>
      </c>
      <c r="AT263" s="3">
        <f>1-AT260</f>
        <v>0.98463907555941499</v>
      </c>
      <c r="AU263" s="3" t="s">
        <v>345</v>
      </c>
      <c r="AV263" s="3">
        <f>AT263*AP263</f>
        <v>0.44081971260152381</v>
      </c>
      <c r="AW263" s="3" t="s">
        <v>346</v>
      </c>
      <c r="AX263" s="3">
        <f>AT263*AR263</f>
        <v>0.44081971260152381</v>
      </c>
      <c r="AY263" s="3">
        <f>AY260+1</f>
        <v>66</v>
      </c>
      <c r="AZ263" s="3"/>
      <c r="BA263" s="3">
        <f>det_cost_comparator*AV263</f>
        <v>0</v>
      </c>
      <c r="BB263" s="3">
        <f>$AV263*(VLOOKUP($AY263,'Pregnancy costs and utilities'!$A$23:$H$158,3))</f>
        <v>1403.4510033869713</v>
      </c>
      <c r="BC263" s="3">
        <f>SUM(BA263:BB263)</f>
        <v>1403.4510033869713</v>
      </c>
      <c r="BD263" s="3"/>
      <c r="BE263" s="3">
        <f>$AV263*(VLOOKUP($AY263,'Pregnancy costs and utilities'!$A$23:$I$158,9))</f>
        <v>0.33909208661655676</v>
      </c>
      <c r="BF263" s="3">
        <f>$AV263*(VLOOKUP($AY263,'Pregnancy costs and utilities'!$A$23:$H$158,7))</f>
        <v>0.33468388949054162</v>
      </c>
      <c r="BG263" s="3"/>
      <c r="BH263" s="3">
        <f>$BA263</f>
        <v>0</v>
      </c>
      <c r="BI263" s="3">
        <f>$AX263*(VLOOKUP($AY263,'Pregnancy costs and utilities'!$A$23:$H$158,5))</f>
        <v>1166.3506499380076</v>
      </c>
      <c r="BJ263" s="3">
        <f>SUM(BH263:BI263)</f>
        <v>1166.3506499380076</v>
      </c>
      <c r="BK263" s="3"/>
      <c r="BL263" s="3">
        <f>BC263+BI263</f>
        <v>2569.8016533249788</v>
      </c>
      <c r="BN263" s="1" t="str">
        <f>IF(AV263=AX263,"Okay",IF(AV263&gt;AX263,"Lost infant","Gained infant"))</f>
        <v>Okay</v>
      </c>
    </row>
    <row r="264" spans="1:66" x14ac:dyDescent="0.25">
      <c r="A264" s="1" t="s">
        <v>63</v>
      </c>
      <c r="B264" s="1" t="s">
        <v>710</v>
      </c>
      <c r="C264" s="1">
        <f>Cohort</f>
        <v>1000</v>
      </c>
      <c r="I264" s="238"/>
      <c r="U264" s="3"/>
      <c r="AA264" s="3"/>
      <c r="AB264" s="3"/>
      <c r="AC264" s="3"/>
      <c r="AD264" s="3"/>
      <c r="AE264" s="3"/>
      <c r="AF264" s="3"/>
      <c r="AG264" s="238" t="s">
        <v>344</v>
      </c>
      <c r="AH264" s="1">
        <f>1-AH251</f>
        <v>0.99993840571000003</v>
      </c>
      <c r="AI264" s="1" t="s">
        <v>345</v>
      </c>
      <c r="AJ264" s="1">
        <f>AH264*AD256</f>
        <v>16.617084969685148</v>
      </c>
      <c r="AK264" s="1" t="s">
        <v>346</v>
      </c>
      <c r="AL264" s="1">
        <f>AH264*AF256</f>
        <v>16.617084969685148</v>
      </c>
      <c r="AM264" s="238"/>
      <c r="AN264" s="3"/>
      <c r="AO264" s="3"/>
      <c r="AP264" s="3"/>
      <c r="AQ264" s="3"/>
      <c r="AR264" s="3"/>
      <c r="AS264" s="240" t="s">
        <v>529</v>
      </c>
      <c r="AT264" s="235"/>
      <c r="AU264" s="235"/>
      <c r="AV264" s="235"/>
      <c r="AW264" s="235"/>
      <c r="AX264" s="235"/>
      <c r="AY264" s="235"/>
      <c r="AZ264" s="235"/>
      <c r="BA264" s="235"/>
      <c r="BB264" s="235"/>
      <c r="BC264" s="235"/>
      <c r="BD264" s="235"/>
      <c r="BE264" s="235"/>
      <c r="BF264" s="235"/>
      <c r="BG264" s="235"/>
      <c r="BH264" s="235"/>
      <c r="BI264" s="235"/>
      <c r="BJ264" s="235"/>
      <c r="BK264" s="235"/>
      <c r="BL264" s="235"/>
      <c r="BM264" s="235"/>
      <c r="BN264" s="235"/>
    </row>
    <row r="265" spans="1:66" x14ac:dyDescent="0.25">
      <c r="I265" s="238"/>
      <c r="U265" s="3"/>
      <c r="AA265" s="3"/>
      <c r="AB265" s="3"/>
      <c r="AC265" s="3"/>
      <c r="AD265" s="3"/>
      <c r="AE265" s="3"/>
      <c r="AF265" s="3"/>
      <c r="AG265" s="240" t="s">
        <v>518</v>
      </c>
      <c r="AH265" s="235"/>
      <c r="AI265" s="235"/>
      <c r="AJ265" s="235"/>
      <c r="AK265" s="235"/>
      <c r="AL265" s="239"/>
      <c r="AM265" s="238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</row>
    <row r="266" spans="1:66" x14ac:dyDescent="0.25">
      <c r="I266" s="238"/>
      <c r="U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238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</row>
    <row r="267" spans="1:66" x14ac:dyDescent="0.25">
      <c r="I267" s="238"/>
      <c r="U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238"/>
      <c r="AN267" s="3"/>
      <c r="AO267" s="3"/>
      <c r="AP267" s="3"/>
      <c r="AQ267" s="3"/>
      <c r="AR267" s="3"/>
      <c r="AS267" s="236" t="s">
        <v>528</v>
      </c>
      <c r="AT267" s="237"/>
      <c r="AU267" s="237"/>
      <c r="AV267" s="237"/>
      <c r="AW267" s="237"/>
      <c r="AX267" s="237"/>
      <c r="AY267" s="237"/>
      <c r="AZ267" s="237"/>
      <c r="BA267" s="237"/>
      <c r="BB267" s="237"/>
      <c r="BC267" s="237"/>
      <c r="BD267" s="237"/>
      <c r="BE267" s="237"/>
      <c r="BF267" s="237"/>
      <c r="BG267" s="237"/>
      <c r="BH267" s="237"/>
      <c r="BI267" s="237"/>
      <c r="BJ267" s="237"/>
      <c r="BK267" s="237"/>
      <c r="BL267" s="237"/>
      <c r="BM267" s="237"/>
      <c r="BN267" s="237"/>
    </row>
    <row r="268" spans="1:66" x14ac:dyDescent="0.25">
      <c r="I268" s="238"/>
      <c r="U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238" t="s">
        <v>344</v>
      </c>
      <c r="AN268" s="1">
        <f>1-AN263</f>
        <v>0.97305804541863394</v>
      </c>
      <c r="AO268" s="1" t="s">
        <v>345</v>
      </c>
      <c r="AP268" s="1">
        <f>AN268*AJ264</f>
        <v>16.169388221157192</v>
      </c>
      <c r="AQ268" s="1" t="s">
        <v>346</v>
      </c>
      <c r="AR268" s="1">
        <f>AN268*AL264</f>
        <v>16.169388221157192</v>
      </c>
      <c r="AS268" s="238" t="s">
        <v>344</v>
      </c>
      <c r="AT268" s="3">
        <f>DET_NS_stillbirth_nbw_fullgest</f>
        <v>1.6109941848144384E-3</v>
      </c>
      <c r="AU268" s="3" t="s">
        <v>345</v>
      </c>
      <c r="AV268" s="3">
        <f>AT268*AP268</f>
        <v>2.6048790396291311E-2</v>
      </c>
      <c r="AW268" s="3" t="s">
        <v>346</v>
      </c>
      <c r="AX268" s="3">
        <f>AT268*AR268</f>
        <v>2.6048790396291311E-2</v>
      </c>
      <c r="AY268" s="3">
        <f>AY263+1</f>
        <v>67</v>
      </c>
      <c r="AZ268" s="3"/>
      <c r="BA268" s="3">
        <f>det_cost_comparator*AV268</f>
        <v>0</v>
      </c>
      <c r="BB268" s="3">
        <f>$AV268*(VLOOKUP($AY268,'Pregnancy costs and utilities'!$A$23:$H$158,3))</f>
        <v>82.93231898124867</v>
      </c>
      <c r="BC268" s="3">
        <f>SUM(BA268:BB268)</f>
        <v>82.93231898124867</v>
      </c>
      <c r="BD268" s="3"/>
      <c r="BE268" s="3">
        <f>$AV268*(VLOOKUP($AY268,'Pregnancy costs and utilities'!$A$23:$I$158,9))</f>
        <v>2.003753107407024E-2</v>
      </c>
      <c r="BF268" s="3">
        <f>$AV268*(VLOOKUP($AY268,'Pregnancy costs and utilities'!$A$23:$H$158,7))</f>
        <v>1.7773290062700304E-2</v>
      </c>
      <c r="BG268" s="3"/>
      <c r="BH268" s="3">
        <f>$BA268</f>
        <v>0</v>
      </c>
      <c r="BI268" s="3">
        <f>$AX268*(VLOOKUP($AY268,'Pregnancy costs and utilities'!$A$23:$H$158,5))</f>
        <v>27.697071724791996</v>
      </c>
      <c r="BJ268" s="3">
        <f>SUM(BH268:BI268)</f>
        <v>27.697071724791996</v>
      </c>
      <c r="BK268" s="3"/>
      <c r="BL268" s="3">
        <f>BC268+BI268</f>
        <v>110.62939070604067</v>
      </c>
      <c r="BN268" s="1" t="str">
        <f>IF(AV268=AX268,"Okay",IF(AV268&gt;AX268,"Lost infant","Gained infant"))</f>
        <v>Okay</v>
      </c>
    </row>
    <row r="269" spans="1:66" x14ac:dyDescent="0.25">
      <c r="I269" s="238"/>
      <c r="U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240" t="s">
        <v>526</v>
      </c>
      <c r="AN269" s="235"/>
      <c r="AO269" s="235"/>
      <c r="AP269" s="235"/>
      <c r="AQ269" s="235"/>
      <c r="AR269" s="239"/>
      <c r="AS269" s="238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</row>
    <row r="270" spans="1:66" x14ac:dyDescent="0.25">
      <c r="I270" s="238"/>
      <c r="U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238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</row>
    <row r="271" spans="1:66" x14ac:dyDescent="0.25">
      <c r="I271" s="238"/>
      <c r="U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238" t="s">
        <v>344</v>
      </c>
      <c r="AT271" s="3">
        <f>1-AT268</f>
        <v>0.99838900581518553</v>
      </c>
      <c r="AU271" s="3" t="s">
        <v>345</v>
      </c>
      <c r="AV271" s="3">
        <f>AT271*AP268</f>
        <v>16.1433394307609</v>
      </c>
      <c r="AW271" s="3" t="s">
        <v>346</v>
      </c>
      <c r="AX271" s="3">
        <f>AT271*AR268</f>
        <v>16.1433394307609</v>
      </c>
      <c r="AY271" s="3">
        <f>AY268+1</f>
        <v>68</v>
      </c>
      <c r="AZ271" s="3"/>
      <c r="BA271" s="3">
        <f>det_cost_comparator*AV271</f>
        <v>0</v>
      </c>
      <c r="BB271" s="3">
        <f>$AV271*(VLOOKUP($AY271,'Pregnancy costs and utilities'!$A$23:$H$158,3))</f>
        <v>51396.036235334919</v>
      </c>
      <c r="BC271" s="3">
        <f>SUM(BA271:BB271)</f>
        <v>51396.036235334919</v>
      </c>
      <c r="BD271" s="3"/>
      <c r="BE271" s="3">
        <f>$AV271*(VLOOKUP($AY271,'Pregnancy costs and utilities'!$A$23:$I$158,9))</f>
        <v>12.417953408277617</v>
      </c>
      <c r="BF271" s="3">
        <f>$AV271*(VLOOKUP($AY271,'Pregnancy costs and utilities'!$A$23:$H$158,7))</f>
        <v>12.256520013970009</v>
      </c>
      <c r="BG271" s="3"/>
      <c r="BH271" s="3">
        <f>$BA271</f>
        <v>0</v>
      </c>
      <c r="BI271" s="3">
        <f>$AX271*(VLOOKUP($AY271,'Pregnancy costs and utilities'!$A$23:$H$158,5))</f>
        <v>42713.14076704644</v>
      </c>
      <c r="BJ271" s="3">
        <f>SUM(BH271:BI271)</f>
        <v>42713.14076704644</v>
      </c>
      <c r="BK271" s="3"/>
      <c r="BL271" s="3">
        <f>BC271+BI271</f>
        <v>94109.177002381359</v>
      </c>
      <c r="BN271" s="1" t="str">
        <f>IF(AV271=AX271,"Okay",IF(AV271&gt;AX271,"Lost infant","Gained infant"))</f>
        <v>Okay</v>
      </c>
    </row>
    <row r="272" spans="1:66" x14ac:dyDescent="0.25">
      <c r="I272" s="238"/>
      <c r="U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240" t="s">
        <v>527</v>
      </c>
      <c r="AT272" s="235"/>
      <c r="AU272" s="235"/>
      <c r="AV272" s="235"/>
      <c r="AW272" s="235"/>
      <c r="AX272" s="235"/>
      <c r="AY272" s="235"/>
      <c r="AZ272" s="235"/>
      <c r="BA272" s="235"/>
      <c r="BB272" s="235"/>
      <c r="BC272" s="235"/>
      <c r="BD272" s="235"/>
      <c r="BE272" s="235"/>
      <c r="BF272" s="235"/>
      <c r="BG272" s="235"/>
      <c r="BH272" s="235"/>
      <c r="BI272" s="235"/>
      <c r="BJ272" s="235"/>
      <c r="BK272" s="235"/>
      <c r="BL272" s="235"/>
      <c r="BM272" s="235"/>
      <c r="BN272" s="235"/>
    </row>
    <row r="273" spans="9:66" x14ac:dyDescent="0.25">
      <c r="I273" s="238"/>
      <c r="U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</row>
    <row r="274" spans="9:66" x14ac:dyDescent="0.25">
      <c r="I274" s="238"/>
      <c r="U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</row>
    <row r="275" spans="9:66" x14ac:dyDescent="0.25">
      <c r="I275" s="238"/>
      <c r="U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236" t="s">
        <v>353</v>
      </c>
      <c r="AT275" s="237"/>
      <c r="AU275" s="237"/>
      <c r="AV275" s="237"/>
      <c r="AW275" s="237"/>
      <c r="AX275" s="237"/>
      <c r="AY275" s="237"/>
      <c r="AZ275" s="237"/>
      <c r="BA275" s="237"/>
      <c r="BB275" s="237"/>
      <c r="BC275" s="237"/>
      <c r="BD275" s="237"/>
      <c r="BE275" s="237"/>
      <c r="BF275" s="237"/>
      <c r="BG275" s="237"/>
      <c r="BH275" s="237"/>
      <c r="BI275" s="237"/>
      <c r="BJ275" s="237"/>
      <c r="BK275" s="237"/>
      <c r="BL275" s="237"/>
      <c r="BM275" s="237"/>
      <c r="BN275" s="237"/>
    </row>
    <row r="276" spans="9:66" x14ac:dyDescent="0.25">
      <c r="I276" s="238"/>
      <c r="U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238" t="s">
        <v>344</v>
      </c>
      <c r="AT276" s="1">
        <f>DET_MORT_ectopic</f>
        <v>1.440317699999998E-4</v>
      </c>
      <c r="AU276" s="1" t="s">
        <v>345</v>
      </c>
      <c r="AV276" s="1">
        <f>AT276*R279</f>
        <v>3.4582638947363966E-3</v>
      </c>
      <c r="AW276" s="1" t="s">
        <v>346</v>
      </c>
      <c r="AX276" s="1">
        <f>AT276*T279</f>
        <v>3.4582638947363966E-3</v>
      </c>
      <c r="AY276" s="1">
        <f>AY271+1</f>
        <v>69</v>
      </c>
      <c r="BA276" s="1">
        <f>det_cost_comparator*AV276</f>
        <v>0</v>
      </c>
      <c r="BB276" s="1">
        <f>$AV276*(VLOOKUP($AY276,'Pregnancy costs and utilities'!$A$23:$H$158,3))</f>
        <v>8.0225653452526906</v>
      </c>
      <c r="BC276" s="1">
        <f>SUM(BA276:BB276)</f>
        <v>8.0225653452526906</v>
      </c>
      <c r="BE276" s="1">
        <f>$AV276*(VLOOKUP($AY276,'Pregnancy costs and utilities'!$A$23:$I$158,9))</f>
        <v>0</v>
      </c>
      <c r="BF276" s="1">
        <f>$AV276*(VLOOKUP($AY276,'Pregnancy costs and utilities'!$A$23:$H$158,7))</f>
        <v>0</v>
      </c>
      <c r="BH276" s="1">
        <f>$BA276</f>
        <v>0</v>
      </c>
      <c r="BI276" s="1">
        <f>$AX276*(VLOOKUP($AY276,'Pregnancy costs and utilities'!$A$23:$H$158,5))</f>
        <v>0</v>
      </c>
      <c r="BJ276" s="3">
        <f>SUM(BH276:BI276)</f>
        <v>0</v>
      </c>
      <c r="BK276" s="3"/>
      <c r="BL276" s="3">
        <f>BC276+BI276</f>
        <v>8.0225653452526906</v>
      </c>
      <c r="BN276" s="1" t="str">
        <f>IF(AV276=AX276,"Okay",IF(AV276&gt;AX276,"Lost infant","Gained infant"))</f>
        <v>Okay</v>
      </c>
    </row>
    <row r="277" spans="9:66" x14ac:dyDescent="0.25">
      <c r="I277" s="238"/>
      <c r="U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238"/>
      <c r="BJ277" s="3"/>
      <c r="BK277" s="3"/>
      <c r="BL277" s="3"/>
    </row>
    <row r="278" spans="9:66" x14ac:dyDescent="0.25">
      <c r="I278" s="238"/>
      <c r="O278" s="236" t="s">
        <v>387</v>
      </c>
      <c r="P278" s="237"/>
      <c r="Q278" s="237"/>
      <c r="R278" s="237"/>
      <c r="S278" s="237"/>
      <c r="T278" s="237"/>
      <c r="U278" s="237"/>
      <c r="V278" s="237"/>
      <c r="W278" s="237"/>
      <c r="X278" s="237"/>
      <c r="Y278" s="237"/>
      <c r="Z278" s="237"/>
      <c r="AA278" s="237"/>
      <c r="AB278" s="237"/>
      <c r="AC278" s="237"/>
      <c r="AD278" s="237"/>
      <c r="AE278" s="237"/>
      <c r="AF278" s="237"/>
      <c r="AG278" s="237"/>
      <c r="AH278" s="237"/>
      <c r="AI278" s="237"/>
      <c r="AJ278" s="237"/>
      <c r="AK278" s="237"/>
      <c r="AL278" s="237"/>
      <c r="AM278" s="237"/>
      <c r="AN278" s="237"/>
      <c r="AO278" s="237"/>
      <c r="AP278" s="237"/>
      <c r="AQ278" s="237"/>
      <c r="AR278" s="371"/>
      <c r="AS278" s="238"/>
      <c r="BJ278" s="3"/>
      <c r="BK278" s="3"/>
      <c r="BL278" s="3"/>
    </row>
    <row r="279" spans="9:66" x14ac:dyDescent="0.25">
      <c r="I279" s="238"/>
      <c r="O279" s="238" t="s">
        <v>344</v>
      </c>
      <c r="P279" s="3">
        <f>DET_CS_ectopic</f>
        <v>2.4490436751721523E-2</v>
      </c>
      <c r="Q279" s="1" t="s">
        <v>345</v>
      </c>
      <c r="R279" s="1">
        <f>P279*L346</f>
        <v>24.010424191387784</v>
      </c>
      <c r="S279" s="1" t="s">
        <v>346</v>
      </c>
      <c r="T279" s="1">
        <f>P279*N346</f>
        <v>24.010424191387784</v>
      </c>
      <c r="U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238" t="s">
        <v>344</v>
      </c>
      <c r="AT279" s="1">
        <f>1-AT276</f>
        <v>0.99985596823</v>
      </c>
      <c r="AU279" s="1" t="s">
        <v>345</v>
      </c>
      <c r="AV279" s="1">
        <f>AT279*R279</f>
        <v>24.006965927493049</v>
      </c>
      <c r="AW279" s="1" t="s">
        <v>346</v>
      </c>
      <c r="AX279" s="1">
        <f>AT279*T279</f>
        <v>24.006965927493049</v>
      </c>
      <c r="AY279" s="1">
        <f>AY276+1</f>
        <v>70</v>
      </c>
      <c r="BA279" s="1">
        <f>det_cost_comparator*AV279</f>
        <v>0</v>
      </c>
      <c r="BB279" s="1">
        <f>$AV279*(VLOOKUP($AY279,'Pregnancy costs and utilities'!$A$23:$H$158,3))</f>
        <v>16537.069589091629</v>
      </c>
      <c r="BC279" s="1">
        <f>SUM(BA279:BB279)</f>
        <v>16537.069589091629</v>
      </c>
      <c r="BE279" s="1">
        <f>$AV279*(VLOOKUP($AY279,'Pregnancy costs and utilities'!$A$23:$I$158,9))</f>
        <v>4.6167242168255864</v>
      </c>
      <c r="BF279" s="1">
        <f>$AV279*(VLOOKUP($AY279,'Pregnancy costs and utilities'!$A$23:$H$158,7))</f>
        <v>3.9719839020029193</v>
      </c>
      <c r="BH279" s="1">
        <f>$BA279</f>
        <v>0</v>
      </c>
      <c r="BI279" s="1">
        <f>$AX279*(VLOOKUP($AY279,'Pregnancy costs and utilities'!$A$23:$H$158,5))</f>
        <v>0</v>
      </c>
      <c r="BJ279" s="3">
        <f>SUM(BH279:BI279)</f>
        <v>0</v>
      </c>
      <c r="BK279" s="3"/>
      <c r="BL279" s="3">
        <f>BC279+BI279</f>
        <v>16537.069589091629</v>
      </c>
      <c r="BN279" s="1" t="str">
        <f>IF(AV279=AX279,"Okay",IF(AV279&gt;AX279,"Lost infant","Gained infant"))</f>
        <v>Okay</v>
      </c>
    </row>
    <row r="280" spans="9:66" x14ac:dyDescent="0.25">
      <c r="I280" s="238"/>
      <c r="O280" s="238"/>
      <c r="P280" s="3"/>
      <c r="U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240" t="s">
        <v>354</v>
      </c>
      <c r="AT280" s="235"/>
      <c r="AU280" s="235"/>
      <c r="AV280" s="235"/>
      <c r="AW280" s="235"/>
      <c r="AX280" s="235"/>
      <c r="AY280" s="235"/>
      <c r="AZ280" s="235"/>
      <c r="BA280" s="235"/>
      <c r="BB280" s="235"/>
      <c r="BC280" s="235"/>
      <c r="BD280" s="235"/>
      <c r="BE280" s="235"/>
      <c r="BF280" s="235"/>
      <c r="BG280" s="235"/>
      <c r="BH280" s="235"/>
      <c r="BI280" s="235"/>
      <c r="BJ280" s="235"/>
      <c r="BK280" s="235"/>
      <c r="BL280" s="235"/>
      <c r="BM280" s="235"/>
      <c r="BN280" s="235"/>
    </row>
    <row r="281" spans="9:66" x14ac:dyDescent="0.25">
      <c r="I281" s="238"/>
      <c r="O281" s="238"/>
      <c r="P281" s="3"/>
      <c r="U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</row>
    <row r="282" spans="9:66" x14ac:dyDescent="0.25">
      <c r="I282" s="238"/>
      <c r="O282" s="238"/>
      <c r="P282" s="3"/>
      <c r="U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</row>
    <row r="283" spans="9:66" x14ac:dyDescent="0.25">
      <c r="I283" s="238"/>
      <c r="O283" s="238"/>
      <c r="P283" s="3"/>
      <c r="U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236" t="s">
        <v>355</v>
      </c>
      <c r="AT283" s="237"/>
      <c r="AU283" s="237"/>
      <c r="AV283" s="237"/>
      <c r="AW283" s="237"/>
      <c r="AX283" s="237"/>
      <c r="AY283" s="237"/>
      <c r="AZ283" s="237"/>
      <c r="BA283" s="237"/>
      <c r="BB283" s="237"/>
      <c r="BC283" s="237"/>
      <c r="BD283" s="237"/>
      <c r="BE283" s="237"/>
      <c r="BF283" s="237"/>
      <c r="BG283" s="237"/>
      <c r="BH283" s="237"/>
      <c r="BI283" s="237"/>
      <c r="BJ283" s="237"/>
      <c r="BK283" s="237"/>
      <c r="BL283" s="237"/>
      <c r="BM283" s="237"/>
      <c r="BN283" s="237"/>
    </row>
    <row r="284" spans="9:66" x14ac:dyDescent="0.25">
      <c r="I284" s="238"/>
      <c r="O284" s="238"/>
      <c r="P284" s="3"/>
      <c r="U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238" t="s">
        <v>344</v>
      </c>
      <c r="AT284" s="3">
        <f>DET_MORT_miscarriage</f>
        <v>9.4658919999998391E-6</v>
      </c>
      <c r="AU284" s="3" t="s">
        <v>345</v>
      </c>
      <c r="AV284" s="3">
        <f>AT284*R287</f>
        <v>6.8841701037371456E-4</v>
      </c>
      <c r="AW284" s="3" t="s">
        <v>346</v>
      </c>
      <c r="AX284" s="3">
        <f>AT284*T287</f>
        <v>6.8841701037371456E-4</v>
      </c>
      <c r="AY284" s="3">
        <f>AY279+1</f>
        <v>71</v>
      </c>
      <c r="AZ284" s="3"/>
      <c r="BA284" s="3">
        <f>det_cost_comparator*AV284</f>
        <v>0</v>
      </c>
      <c r="BB284" s="3">
        <f>$AV284*(VLOOKUP($AY284,'Pregnancy costs and utilities'!$A$23:$H$158,3))</f>
        <v>1.5970066538047121</v>
      </c>
      <c r="BC284" s="3">
        <f>SUM(BA284:BB284)</f>
        <v>1.5970066538047121</v>
      </c>
      <c r="BD284" s="3"/>
      <c r="BE284" s="3">
        <f>$AV284*(VLOOKUP($AY284,'Pregnancy costs and utilities'!$A$23:$I$158,9))</f>
        <v>0</v>
      </c>
      <c r="BF284" s="3">
        <f>$AV284*(VLOOKUP($AY284,'Pregnancy costs and utilities'!$A$23:$H$158,7))</f>
        <v>0</v>
      </c>
      <c r="BG284" s="3"/>
      <c r="BH284" s="3">
        <f>$BA284</f>
        <v>0</v>
      </c>
      <c r="BI284" s="3">
        <f>$AX284*(VLOOKUP($AY284,'Pregnancy costs and utilities'!$A$23:$H$158,5))</f>
        <v>0</v>
      </c>
      <c r="BJ284" s="3">
        <f>SUM(BH284:BI284)</f>
        <v>0</v>
      </c>
      <c r="BK284" s="3"/>
      <c r="BL284" s="3">
        <f>BC284+BI284</f>
        <v>1.5970066538047121</v>
      </c>
      <c r="BN284" s="1" t="str">
        <f>IF(AV284=AX284,"Okay",IF(AV284&gt;AX284,"Lost infant","Gained infant"))</f>
        <v>Okay</v>
      </c>
    </row>
    <row r="285" spans="9:66" x14ac:dyDescent="0.25">
      <c r="I285" s="238"/>
      <c r="O285" s="238"/>
      <c r="P285" s="3"/>
      <c r="U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238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</row>
    <row r="286" spans="9:66" x14ac:dyDescent="0.25">
      <c r="I286" s="238"/>
      <c r="O286" s="236" t="s">
        <v>388</v>
      </c>
      <c r="P286" s="237"/>
      <c r="Q286" s="237"/>
      <c r="R286" s="237"/>
      <c r="S286" s="237"/>
      <c r="T286" s="237"/>
      <c r="U286" s="237"/>
      <c r="V286" s="237"/>
      <c r="W286" s="237"/>
      <c r="X286" s="237"/>
      <c r="Y286" s="237"/>
      <c r="Z286" s="237"/>
      <c r="AA286" s="237"/>
      <c r="AB286" s="237"/>
      <c r="AC286" s="237"/>
      <c r="AD286" s="237"/>
      <c r="AE286" s="237"/>
      <c r="AF286" s="237"/>
      <c r="AG286" s="237"/>
      <c r="AH286" s="237"/>
      <c r="AI286" s="237"/>
      <c r="AJ286" s="237"/>
      <c r="AK286" s="237"/>
      <c r="AL286" s="237"/>
      <c r="AM286" s="237"/>
      <c r="AN286" s="237"/>
      <c r="AO286" s="237"/>
      <c r="AP286" s="237"/>
      <c r="AQ286" s="237"/>
      <c r="AR286" s="371"/>
      <c r="AS286" s="238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</row>
    <row r="287" spans="9:66" x14ac:dyDescent="0.25">
      <c r="I287" s="238"/>
      <c r="O287" s="238" t="s">
        <v>344</v>
      </c>
      <c r="P287" s="3">
        <f>DET_CS_miscarriage</f>
        <v>7.4179985694252118E-2</v>
      </c>
      <c r="Q287" s="1" t="s">
        <v>345</v>
      </c>
      <c r="R287" s="1">
        <f>P287*L346</f>
        <v>72.726057974644789</v>
      </c>
      <c r="S287" s="1" t="s">
        <v>346</v>
      </c>
      <c r="T287" s="1">
        <f>P287*N346</f>
        <v>72.726057974644789</v>
      </c>
      <c r="U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238" t="s">
        <v>344</v>
      </c>
      <c r="AT287" s="3">
        <f>1-AT284</f>
        <v>0.99999053410799998</v>
      </c>
      <c r="AU287" s="3" t="s">
        <v>345</v>
      </c>
      <c r="AV287" s="3">
        <f>AT287*R287</f>
        <v>72.725369557634409</v>
      </c>
      <c r="AW287" s="3" t="s">
        <v>346</v>
      </c>
      <c r="AX287" s="3">
        <f>AT287*T287</f>
        <v>72.725369557634409</v>
      </c>
      <c r="AY287" s="3">
        <f>AY284+1</f>
        <v>72</v>
      </c>
      <c r="AZ287" s="3"/>
      <c r="BA287" s="3">
        <f>det_cost_comparator*AV287</f>
        <v>0</v>
      </c>
      <c r="BB287" s="3">
        <f>$AV287*(VLOOKUP($AY287,'Pregnancy costs and utilities'!$A$23:$H$158,3))</f>
        <v>50096.480367379576</v>
      </c>
      <c r="BC287" s="3">
        <f>SUM(BA287:BB287)</f>
        <v>50096.480367379576</v>
      </c>
      <c r="BD287" s="3"/>
      <c r="BE287" s="3">
        <f>$AV287*(VLOOKUP($AY287,'Pregnancy costs and utilities'!$A$23:$I$158,9))</f>
        <v>19.579907188593879</v>
      </c>
      <c r="BF287" s="3">
        <f>$AV287*(VLOOKUP($AY287,'Pregnancy costs and utilities'!$A$23:$H$158,7))</f>
        <v>17.041309547120854</v>
      </c>
      <c r="BG287" s="3"/>
      <c r="BH287" s="3">
        <f>$BA287</f>
        <v>0</v>
      </c>
      <c r="BI287" s="3">
        <f>$AX287*(VLOOKUP($AY287,'Pregnancy costs and utilities'!$A$23:$H$158,5))</f>
        <v>0</v>
      </c>
      <c r="BJ287" s="3">
        <f>SUM(BH287:BI287)</f>
        <v>0</v>
      </c>
      <c r="BK287" s="3"/>
      <c r="BL287" s="3">
        <f>BC287+BI287</f>
        <v>50096.480367379576</v>
      </c>
      <c r="BN287" s="1" t="str">
        <f>IF(AV287=AX287,"Okay",IF(AV287&gt;AX287,"Lost infant","Gained infant"))</f>
        <v>Okay</v>
      </c>
    </row>
    <row r="288" spans="9:66" x14ac:dyDescent="0.25">
      <c r="I288" s="238"/>
      <c r="O288" s="238"/>
      <c r="P288" s="3"/>
      <c r="U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240" t="s">
        <v>356</v>
      </c>
      <c r="AT288" s="235"/>
      <c r="AU288" s="235"/>
      <c r="AV288" s="235"/>
      <c r="AW288" s="235"/>
      <c r="AX288" s="235"/>
      <c r="AY288" s="235"/>
      <c r="AZ288" s="235"/>
      <c r="BA288" s="235"/>
      <c r="BB288" s="235"/>
      <c r="BC288" s="235"/>
      <c r="BD288" s="235"/>
      <c r="BE288" s="235"/>
      <c r="BF288" s="235"/>
      <c r="BG288" s="235"/>
      <c r="BH288" s="235"/>
      <c r="BI288" s="235"/>
      <c r="BJ288" s="235"/>
      <c r="BK288" s="235"/>
      <c r="BL288" s="235"/>
      <c r="BM288" s="235"/>
      <c r="BN288" s="235"/>
    </row>
    <row r="289" spans="9:66" x14ac:dyDescent="0.25">
      <c r="I289" s="238"/>
      <c r="O289" s="238"/>
      <c r="P289" s="3"/>
      <c r="U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</row>
    <row r="290" spans="9:66" x14ac:dyDescent="0.25">
      <c r="I290" s="238"/>
      <c r="O290" s="238"/>
      <c r="P290" s="3"/>
      <c r="U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</row>
    <row r="291" spans="9:66" x14ac:dyDescent="0.25">
      <c r="I291" s="238"/>
      <c r="O291" s="238"/>
      <c r="P291" s="3"/>
      <c r="U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236" t="s">
        <v>351</v>
      </c>
      <c r="AT291" s="237"/>
      <c r="AU291" s="237"/>
      <c r="AV291" s="237"/>
      <c r="AW291" s="237"/>
      <c r="AX291" s="237"/>
      <c r="AY291" s="237"/>
      <c r="AZ291" s="237"/>
      <c r="BA291" s="237"/>
      <c r="BB291" s="237"/>
      <c r="BC291" s="237"/>
      <c r="BD291" s="237"/>
      <c r="BE291" s="237"/>
      <c r="BF291" s="237"/>
      <c r="BG291" s="237"/>
      <c r="BH291" s="237"/>
      <c r="BI291" s="237"/>
      <c r="BJ291" s="237"/>
      <c r="BK291" s="237"/>
      <c r="BL291" s="237"/>
      <c r="BM291" s="237"/>
      <c r="BN291" s="237"/>
    </row>
    <row r="292" spans="9:66" x14ac:dyDescent="0.25">
      <c r="I292" s="238"/>
      <c r="O292" s="238"/>
      <c r="P292" s="3"/>
      <c r="U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238" t="s">
        <v>344</v>
      </c>
      <c r="AT292" s="3">
        <f>DET_CS_stillbirth_lbw_premature</f>
        <v>7.6548660672211805E-2</v>
      </c>
      <c r="AU292" s="3" t="s">
        <v>345</v>
      </c>
      <c r="AV292" s="3">
        <f>AT292*AP295</f>
        <v>5.1973176782446753E-5</v>
      </c>
      <c r="AW292" s="3" t="s">
        <v>346</v>
      </c>
      <c r="AX292" s="3">
        <f>AT292*AR295</f>
        <v>5.1973176782446753E-5</v>
      </c>
      <c r="AY292" s="3">
        <f>AY287+1</f>
        <v>73</v>
      </c>
      <c r="AZ292" s="3"/>
      <c r="BA292" s="3">
        <f>det_cost_comparator*AV292</f>
        <v>0</v>
      </c>
      <c r="BB292" s="3">
        <f>$AV292*(VLOOKUP($AY292,'Pregnancy costs and utilities'!$A$23:$H$158,3))</f>
        <v>0.51950828500042756</v>
      </c>
      <c r="BC292" s="3">
        <f>SUM(BA292:BB292)</f>
        <v>0.51950828500042756</v>
      </c>
      <c r="BD292" s="3"/>
      <c r="BE292" s="3">
        <f>$AV292*(VLOOKUP($AY292,'Pregnancy costs and utilities'!$A$23:$I$158,9))</f>
        <v>0</v>
      </c>
      <c r="BF292" s="3">
        <f>$AV292*(VLOOKUP($AY292,'Pregnancy costs and utilities'!$A$23:$H$158,7))</f>
        <v>0</v>
      </c>
      <c r="BG292" s="3"/>
      <c r="BH292" s="3">
        <f>$BA292</f>
        <v>0</v>
      </c>
      <c r="BI292" s="3">
        <f>$AX292*(VLOOKUP($AY292,'Pregnancy costs and utilities'!$A$23:$H$158,5))</f>
        <v>5.5261867565016408E-2</v>
      </c>
      <c r="BJ292" s="3">
        <f>SUM(BH292:BI292)</f>
        <v>5.5261867565016408E-2</v>
      </c>
      <c r="BK292" s="3"/>
      <c r="BL292" s="3">
        <f>BC292+BI292</f>
        <v>0.57477015256544395</v>
      </c>
      <c r="BN292" s="1" t="str">
        <f>IF(AV292=AX292,"Okay",IF(AV292&gt;AX292,"Lost infant","Gained infant"))</f>
        <v>Okay</v>
      </c>
    </row>
    <row r="293" spans="9:66" x14ac:dyDescent="0.25">
      <c r="I293" s="238"/>
      <c r="O293" s="238"/>
      <c r="P293" s="3"/>
      <c r="U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238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</row>
    <row r="294" spans="9:66" x14ac:dyDescent="0.25">
      <c r="I294" s="238"/>
      <c r="O294" s="238"/>
      <c r="P294" s="3"/>
      <c r="U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236" t="s">
        <v>350</v>
      </c>
      <c r="AN294" s="237"/>
      <c r="AO294" s="237"/>
      <c r="AP294" s="237"/>
      <c r="AQ294" s="237"/>
      <c r="AR294" s="371"/>
      <c r="AS294" s="238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</row>
    <row r="295" spans="9:66" x14ac:dyDescent="0.25">
      <c r="I295" s="238"/>
      <c r="O295" s="238"/>
      <c r="P295" s="3"/>
      <c r="U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238" t="s">
        <v>344</v>
      </c>
      <c r="AN295" s="3">
        <f>DET_CS_lbw_premature</f>
        <v>1</v>
      </c>
      <c r="AO295" s="3" t="s">
        <v>345</v>
      </c>
      <c r="AP295" s="3">
        <f>AN295*AJ299</f>
        <v>6.7895605652724001E-4</v>
      </c>
      <c r="AQ295" s="3" t="s">
        <v>346</v>
      </c>
      <c r="AR295" s="370">
        <f>AN295*AL299</f>
        <v>6.7895605652724001E-4</v>
      </c>
      <c r="AS295" s="238" t="s">
        <v>344</v>
      </c>
      <c r="AT295" s="3">
        <f>1-AT292</f>
        <v>0.92345133932778822</v>
      </c>
      <c r="AU295" s="3" t="s">
        <v>345</v>
      </c>
      <c r="AV295" s="3">
        <f>AT295*AP295</f>
        <v>6.2698287974479329E-4</v>
      </c>
      <c r="AW295" s="3" t="s">
        <v>346</v>
      </c>
      <c r="AX295" s="3">
        <f>AT295*AR295</f>
        <v>6.2698287974479329E-4</v>
      </c>
      <c r="AY295" s="3">
        <f>AY292+1</f>
        <v>74</v>
      </c>
      <c r="AZ295" s="3"/>
      <c r="BA295" s="3">
        <f>det_cost_comparator*AV295</f>
        <v>0</v>
      </c>
      <c r="BB295" s="3">
        <f>$AV295*(VLOOKUP($AY295,'Pregnancy costs and utilities'!$A$23:$H$158,3))</f>
        <v>6.2671327932152767</v>
      </c>
      <c r="BC295" s="3">
        <f>SUM(BA295:BB295)</f>
        <v>6.2671327932152767</v>
      </c>
      <c r="BD295" s="3"/>
      <c r="BE295" s="3">
        <f>$AV295*(VLOOKUP($AY295,'Pregnancy costs and utilities'!$A$23:$I$158,9))</f>
        <v>0</v>
      </c>
      <c r="BF295" s="3">
        <f>$AV295*(VLOOKUP($AY295,'Pregnancy costs and utilities'!$A$23:$H$158,7))</f>
        <v>0</v>
      </c>
      <c r="BG295" s="3"/>
      <c r="BH295" s="3">
        <f>$BA295</f>
        <v>0</v>
      </c>
      <c r="BI295" s="3">
        <f>$AX295*(VLOOKUP($AY295,'Pregnancy costs and utilities'!$A$23:$H$158,5))</f>
        <v>9.9906895185934168</v>
      </c>
      <c r="BJ295" s="3">
        <f>SUM(BH295:BI295)</f>
        <v>9.9906895185934168</v>
      </c>
      <c r="BK295" s="3"/>
      <c r="BL295" s="3">
        <f>BC295+BI295</f>
        <v>16.257822311808695</v>
      </c>
      <c r="BN295" s="1" t="str">
        <f>IF(AV295=AX295,"Okay",IF(AV295&gt;AX295,"Lost infant","Gained infant"))</f>
        <v>Okay</v>
      </c>
    </row>
    <row r="296" spans="9:66" x14ac:dyDescent="0.25">
      <c r="I296" s="238"/>
      <c r="O296" s="238"/>
      <c r="P296" s="3"/>
      <c r="U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238"/>
      <c r="AN296" s="3"/>
      <c r="AO296" s="3"/>
      <c r="AP296" s="3"/>
      <c r="AQ296" s="3"/>
      <c r="AR296" s="3"/>
      <c r="AS296" s="240" t="s">
        <v>352</v>
      </c>
      <c r="AT296" s="235"/>
      <c r="AU296" s="235"/>
      <c r="AV296" s="235"/>
      <c r="AW296" s="235"/>
      <c r="AX296" s="235"/>
      <c r="AY296" s="235"/>
      <c r="AZ296" s="235"/>
      <c r="BA296" s="235"/>
      <c r="BB296" s="235"/>
      <c r="BC296" s="235"/>
      <c r="BD296" s="235"/>
      <c r="BE296" s="235"/>
      <c r="BF296" s="235"/>
      <c r="BG296" s="235"/>
      <c r="BH296" s="235"/>
      <c r="BI296" s="235"/>
      <c r="BJ296" s="235"/>
      <c r="BK296" s="235"/>
      <c r="BL296" s="235"/>
      <c r="BM296" s="235"/>
      <c r="BN296" s="235"/>
    </row>
    <row r="297" spans="9:66" x14ac:dyDescent="0.25">
      <c r="I297" s="238"/>
      <c r="O297" s="238"/>
      <c r="P297" s="3"/>
      <c r="U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238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</row>
    <row r="298" spans="9:66" x14ac:dyDescent="0.25">
      <c r="I298" s="238"/>
      <c r="O298" s="238"/>
      <c r="P298" s="3"/>
      <c r="U298" s="3"/>
      <c r="AA298" s="3"/>
      <c r="AB298" s="3"/>
      <c r="AC298" s="3"/>
      <c r="AD298" s="3"/>
      <c r="AE298" s="3"/>
      <c r="AF298" s="3"/>
      <c r="AG298" s="236" t="s">
        <v>372</v>
      </c>
      <c r="AH298" s="237"/>
      <c r="AI298" s="237"/>
      <c r="AJ298" s="237"/>
      <c r="AK298" s="237"/>
      <c r="AL298" s="371"/>
      <c r="AM298" s="238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</row>
    <row r="299" spans="9:66" x14ac:dyDescent="0.25">
      <c r="I299" s="238"/>
      <c r="O299" s="238"/>
      <c r="P299" s="3"/>
      <c r="AA299" s="3"/>
      <c r="AB299" s="3"/>
      <c r="AC299" s="3"/>
      <c r="AD299" s="3"/>
      <c r="AE299" s="3"/>
      <c r="AF299" s="3"/>
      <c r="AG299" s="238" t="s">
        <v>344</v>
      </c>
      <c r="AH299" s="3">
        <f>DET_MORT_abruption</f>
        <v>2.7833911999999947E-4</v>
      </c>
      <c r="AI299" s="3" t="s">
        <v>345</v>
      </c>
      <c r="AJ299" s="3">
        <f>AH299*AD307</f>
        <v>6.7895605652724001E-4</v>
      </c>
      <c r="AK299" s="3" t="s">
        <v>346</v>
      </c>
      <c r="AL299" s="370">
        <f>AH299*AF307</f>
        <v>6.7895605652724001E-4</v>
      </c>
      <c r="AM299" s="238"/>
      <c r="AN299" s="3"/>
      <c r="AO299" s="3"/>
      <c r="AP299" s="3"/>
      <c r="AQ299" s="3"/>
      <c r="AR299" s="3"/>
      <c r="AS299" s="236" t="s">
        <v>358</v>
      </c>
      <c r="AT299" s="237"/>
      <c r="AU299" s="237"/>
      <c r="AV299" s="237"/>
      <c r="AW299" s="237"/>
      <c r="AX299" s="237"/>
      <c r="AY299" s="237"/>
      <c r="AZ299" s="237"/>
      <c r="BA299" s="237"/>
      <c r="BB299" s="237"/>
      <c r="BC299" s="237"/>
      <c r="BD299" s="237"/>
      <c r="BE299" s="237"/>
      <c r="BF299" s="237"/>
      <c r="BG299" s="237"/>
      <c r="BH299" s="237"/>
      <c r="BI299" s="237"/>
      <c r="BJ299" s="237"/>
      <c r="BK299" s="237"/>
      <c r="BL299" s="237"/>
      <c r="BM299" s="237"/>
      <c r="BN299" s="237"/>
    </row>
    <row r="300" spans="9:66" x14ac:dyDescent="0.25">
      <c r="I300" s="238"/>
      <c r="O300" s="238"/>
      <c r="P300" s="3"/>
      <c r="AA300" s="3"/>
      <c r="AB300" s="3"/>
      <c r="AC300" s="3"/>
      <c r="AD300" s="3"/>
      <c r="AE300" s="3"/>
      <c r="AF300" s="3"/>
      <c r="AG300" s="238"/>
      <c r="AH300" s="3"/>
      <c r="AI300" s="3"/>
      <c r="AJ300" s="3"/>
      <c r="AK300" s="3"/>
      <c r="AL300" s="3"/>
      <c r="AM300" s="238" t="s">
        <v>344</v>
      </c>
      <c r="AN300" s="1">
        <f>1-AN295</f>
        <v>0</v>
      </c>
      <c r="AO300" s="1" t="s">
        <v>345</v>
      </c>
      <c r="AP300" s="1">
        <f>AN300*AJ299</f>
        <v>0</v>
      </c>
      <c r="AQ300" s="1" t="s">
        <v>346</v>
      </c>
      <c r="AR300" s="1">
        <f>AN300*AL299</f>
        <v>0</v>
      </c>
      <c r="AS300" s="238" t="s">
        <v>344</v>
      </c>
      <c r="AT300" s="3">
        <f>DET_CS_stillbirth_nbw_premature</f>
        <v>9.5923131756814883E-3</v>
      </c>
      <c r="AU300" s="3" t="s">
        <v>345</v>
      </c>
      <c r="AV300" s="3">
        <f>AT300*AP300</f>
        <v>0</v>
      </c>
      <c r="AW300" s="3" t="s">
        <v>346</v>
      </c>
      <c r="AX300" s="3">
        <f>AT300*AR300</f>
        <v>0</v>
      </c>
      <c r="AY300" s="3">
        <f>AY295+1</f>
        <v>75</v>
      </c>
      <c r="AZ300" s="3"/>
      <c r="BA300" s="3">
        <f>det_cost_comparator*AV300</f>
        <v>0</v>
      </c>
      <c r="BB300" s="3">
        <f>$AV300*(VLOOKUP($AY300,'Pregnancy costs and utilities'!$A$23:$H$158,3))</f>
        <v>0</v>
      </c>
      <c r="BC300" s="3">
        <f>SUM(BA300:BB300)</f>
        <v>0</v>
      </c>
      <c r="BD300" s="3"/>
      <c r="BE300" s="3">
        <f>$AV300*(VLOOKUP($AY300,'Pregnancy costs and utilities'!$A$23:$I$158,9))</f>
        <v>0</v>
      </c>
      <c r="BF300" s="3">
        <f>$AV300*(VLOOKUP($AY300,'Pregnancy costs and utilities'!$A$23:$H$158,7))</f>
        <v>0</v>
      </c>
      <c r="BG300" s="3"/>
      <c r="BH300" s="3">
        <f>$BA300</f>
        <v>0</v>
      </c>
      <c r="BI300" s="3">
        <f>$AX300*(VLOOKUP($AY300,'Pregnancy costs and utilities'!$A$23:$H$158,5))</f>
        <v>0</v>
      </c>
      <c r="BJ300" s="3">
        <f>SUM(BH300:BI300)</f>
        <v>0</v>
      </c>
      <c r="BK300" s="3"/>
      <c r="BL300" s="3">
        <f>BC300+BI300</f>
        <v>0</v>
      </c>
      <c r="BN300" s="1" t="str">
        <f>IF(AV300=AX300,"Okay",IF(AV300&gt;AX300,"Lost infant","Gained infant"))</f>
        <v>Okay</v>
      </c>
    </row>
    <row r="301" spans="9:66" x14ac:dyDescent="0.25">
      <c r="I301" s="238"/>
      <c r="O301" s="238"/>
      <c r="P301" s="3"/>
      <c r="AA301" s="3"/>
      <c r="AB301" s="3"/>
      <c r="AC301" s="3"/>
      <c r="AD301" s="3"/>
      <c r="AE301" s="3"/>
      <c r="AF301" s="3"/>
      <c r="AG301" s="238"/>
      <c r="AH301" s="3"/>
      <c r="AI301" s="3"/>
      <c r="AJ301" s="3"/>
      <c r="AK301" s="3"/>
      <c r="AL301" s="3"/>
      <c r="AM301" s="240" t="s">
        <v>357</v>
      </c>
      <c r="AN301" s="235"/>
      <c r="AO301" s="235"/>
      <c r="AP301" s="235"/>
      <c r="AQ301" s="235"/>
      <c r="AR301" s="239"/>
      <c r="AS301" s="238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</row>
    <row r="302" spans="9:66" x14ac:dyDescent="0.25">
      <c r="I302" s="238"/>
      <c r="O302" s="238"/>
      <c r="P302" s="3"/>
      <c r="AA302" s="3"/>
      <c r="AB302" s="3"/>
      <c r="AC302" s="3"/>
      <c r="AD302" s="3"/>
      <c r="AE302" s="3"/>
      <c r="AF302" s="3"/>
      <c r="AG302" s="238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238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</row>
    <row r="303" spans="9:66" x14ac:dyDescent="0.25">
      <c r="I303" s="238"/>
      <c r="O303" s="238"/>
      <c r="P303" s="3"/>
      <c r="AA303" s="3"/>
      <c r="AB303" s="3"/>
      <c r="AC303" s="3"/>
      <c r="AD303" s="3"/>
      <c r="AE303" s="3"/>
      <c r="AF303" s="3"/>
      <c r="AG303" s="238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238" t="s">
        <v>344</v>
      </c>
      <c r="AT303" s="3">
        <f>1-AT300</f>
        <v>0.99040768682431857</v>
      </c>
      <c r="AU303" s="3" t="s">
        <v>345</v>
      </c>
      <c r="AV303" s="3">
        <f>AT303*AP300</f>
        <v>0</v>
      </c>
      <c r="AW303" s="3" t="s">
        <v>346</v>
      </c>
      <c r="AX303" s="3">
        <f>AT303*AR300</f>
        <v>0</v>
      </c>
      <c r="AY303" s="3">
        <f>AY300+1</f>
        <v>76</v>
      </c>
      <c r="AZ303" s="3"/>
      <c r="BA303" s="3">
        <f>det_cost_comparator*AV303</f>
        <v>0</v>
      </c>
      <c r="BB303" s="3">
        <f>$AV303*(VLOOKUP($AY303,'Pregnancy costs and utilities'!$A$23:$H$158,3))</f>
        <v>0</v>
      </c>
      <c r="BC303" s="3">
        <f>SUM(BA303:BB303)</f>
        <v>0</v>
      </c>
      <c r="BD303" s="3"/>
      <c r="BE303" s="3">
        <f>$AV303*(VLOOKUP($AY303,'Pregnancy costs and utilities'!$A$23:$I$158,9))</f>
        <v>0</v>
      </c>
      <c r="BF303" s="3">
        <f>$AV303*(VLOOKUP($AY303,'Pregnancy costs and utilities'!$A$23:$H$158,7))</f>
        <v>0</v>
      </c>
      <c r="BG303" s="3"/>
      <c r="BH303" s="3">
        <f>$BA303</f>
        <v>0</v>
      </c>
      <c r="BI303" s="3">
        <f>$AX303*(VLOOKUP($AY303,'Pregnancy costs and utilities'!$A$23:$H$158,5))</f>
        <v>0</v>
      </c>
      <c r="BJ303" s="3">
        <f>SUM(BH303:BI303)</f>
        <v>0</v>
      </c>
      <c r="BK303" s="3"/>
      <c r="BL303" s="3">
        <f>BC303+BI303</f>
        <v>0</v>
      </c>
      <c r="BN303" s="1" t="str">
        <f>IF(AV303=AX303,"Okay",IF(AV303&gt;AX303,"Lost infant","Gained infant"))</f>
        <v>Okay</v>
      </c>
    </row>
    <row r="304" spans="9:66" x14ac:dyDescent="0.25">
      <c r="I304" s="238"/>
      <c r="O304" s="238"/>
      <c r="P304" s="3"/>
      <c r="AA304" s="3"/>
      <c r="AB304" s="3"/>
      <c r="AC304" s="3"/>
      <c r="AD304" s="3"/>
      <c r="AE304" s="3"/>
      <c r="AF304" s="3"/>
      <c r="AG304" s="238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240" t="s">
        <v>359</v>
      </c>
      <c r="AT304" s="235"/>
      <c r="AU304" s="235"/>
      <c r="AV304" s="235"/>
      <c r="AW304" s="235"/>
      <c r="AX304" s="235"/>
      <c r="AY304" s="235"/>
      <c r="AZ304" s="235"/>
      <c r="BA304" s="235"/>
      <c r="BB304" s="235"/>
      <c r="BC304" s="235"/>
      <c r="BD304" s="235"/>
      <c r="BE304" s="235"/>
      <c r="BF304" s="235"/>
      <c r="BG304" s="235"/>
      <c r="BH304" s="235"/>
      <c r="BI304" s="235"/>
      <c r="BJ304" s="235"/>
      <c r="BK304" s="235"/>
      <c r="BL304" s="235"/>
      <c r="BM304" s="235"/>
      <c r="BN304" s="235"/>
    </row>
    <row r="305" spans="9:66" x14ac:dyDescent="0.25">
      <c r="I305" s="238"/>
      <c r="O305" s="238"/>
      <c r="P305" s="3"/>
      <c r="AA305" s="3"/>
      <c r="AB305" s="3"/>
      <c r="AC305" s="3"/>
      <c r="AD305" s="3"/>
      <c r="AE305" s="3"/>
      <c r="AF305" s="3"/>
      <c r="AG305" s="238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</row>
    <row r="306" spans="9:66" x14ac:dyDescent="0.25">
      <c r="I306" s="238"/>
      <c r="O306" s="238"/>
      <c r="P306" s="3"/>
      <c r="AA306" s="236" t="s">
        <v>374</v>
      </c>
      <c r="AB306" s="237"/>
      <c r="AC306" s="237"/>
      <c r="AD306" s="237"/>
      <c r="AE306" s="237"/>
      <c r="AF306" s="371"/>
      <c r="AG306" s="238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</row>
    <row r="307" spans="9:66" x14ac:dyDescent="0.25">
      <c r="I307" s="238"/>
      <c r="O307" s="238"/>
      <c r="P307" s="3"/>
      <c r="AA307" s="238" t="s">
        <v>344</v>
      </c>
      <c r="AB307" s="3">
        <f>DET_CS_premature_abruption</f>
        <v>0.47203481916371182</v>
      </c>
      <c r="AC307" s="3" t="s">
        <v>345</v>
      </c>
      <c r="AD307" s="3">
        <f>AB307*X323</f>
        <v>2.4393123630168887</v>
      </c>
      <c r="AE307" s="3" t="s">
        <v>346</v>
      </c>
      <c r="AF307" s="370">
        <f>AB307*Z323</f>
        <v>2.4393123630168887</v>
      </c>
      <c r="AG307" s="238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236" t="s">
        <v>368</v>
      </c>
      <c r="AT307" s="237"/>
      <c r="AU307" s="237"/>
      <c r="AV307" s="237"/>
      <c r="AW307" s="237"/>
      <c r="AX307" s="237"/>
      <c r="AY307" s="237"/>
      <c r="AZ307" s="237"/>
      <c r="BA307" s="237"/>
      <c r="BB307" s="237"/>
      <c r="BC307" s="237"/>
      <c r="BD307" s="237"/>
      <c r="BE307" s="237"/>
      <c r="BF307" s="237"/>
      <c r="BG307" s="237"/>
      <c r="BH307" s="237"/>
      <c r="BI307" s="237"/>
      <c r="BJ307" s="237"/>
      <c r="BK307" s="237"/>
      <c r="BL307" s="237"/>
      <c r="BM307" s="237"/>
      <c r="BN307" s="237"/>
    </row>
    <row r="308" spans="9:66" x14ac:dyDescent="0.25">
      <c r="I308" s="238"/>
      <c r="O308" s="238"/>
      <c r="P308" s="3"/>
      <c r="AA308" s="238"/>
      <c r="AB308" s="3"/>
      <c r="AC308" s="3"/>
      <c r="AD308" s="3"/>
      <c r="AE308" s="3"/>
      <c r="AF308" s="3"/>
      <c r="AG308" s="238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238" t="s">
        <v>344</v>
      </c>
      <c r="AT308" s="3">
        <f>DET_CS_stillbirth_lbw_premature</f>
        <v>7.6548660672211805E-2</v>
      </c>
      <c r="AU308" s="3" t="s">
        <v>345</v>
      </c>
      <c r="AV308" s="3">
        <f>AT308*AP311</f>
        <v>0.18667412117332852</v>
      </c>
      <c r="AW308" s="3" t="s">
        <v>346</v>
      </c>
      <c r="AX308" s="3">
        <f>AT308*AR311</f>
        <v>0.18667412117332852</v>
      </c>
      <c r="AY308" s="3">
        <f>AY303+1</f>
        <v>77</v>
      </c>
      <c r="AZ308" s="3"/>
      <c r="BA308" s="3">
        <f>det_cost_comparator*AV308</f>
        <v>0</v>
      </c>
      <c r="BB308" s="3">
        <f>$AV308*(VLOOKUP($AY308,'Pregnancy costs and utilities'!$A$23:$H$158,3))</f>
        <v>1561.4767840588383</v>
      </c>
      <c r="BC308" s="3">
        <f>SUM(BA308:BB308)</f>
        <v>1561.4767840588383</v>
      </c>
      <c r="BD308" s="3"/>
      <c r="BE308" s="3">
        <f>$AV308*(VLOOKUP($AY308,'Pregnancy costs and utilities'!$A$23:$I$158,9))</f>
        <v>0.11846626920615079</v>
      </c>
      <c r="BF308" s="3">
        <f>$AV308*(VLOOKUP($AY308,'Pregnancy costs and utilities'!$A$23:$H$158,7))</f>
        <v>0.10310673819795296</v>
      </c>
      <c r="BG308" s="3"/>
      <c r="BH308" s="3">
        <f>$BA308</f>
        <v>0</v>
      </c>
      <c r="BI308" s="3">
        <f>$AX308*(VLOOKUP($AY308,'Pregnancy costs and utilities'!$A$23:$H$158,5))</f>
        <v>198.48624234146072</v>
      </c>
      <c r="BJ308" s="3">
        <f>SUM(BH308:BI308)</f>
        <v>198.48624234146072</v>
      </c>
      <c r="BK308" s="3"/>
      <c r="BL308" s="3">
        <f>BC308+BI308</f>
        <v>1759.963026400299</v>
      </c>
      <c r="BN308" s="1" t="str">
        <f>IF(AV308=AX308,"Okay",IF(AV308&gt;AX308,"Lost infant","Gained infant"))</f>
        <v>Okay</v>
      </c>
    </row>
    <row r="309" spans="9:66" x14ac:dyDescent="0.25">
      <c r="I309" s="238"/>
      <c r="O309" s="238"/>
      <c r="P309" s="3"/>
      <c r="AA309" s="238"/>
      <c r="AB309" s="3"/>
      <c r="AC309" s="3"/>
      <c r="AD309" s="3"/>
      <c r="AE309" s="3"/>
      <c r="AF309" s="3"/>
      <c r="AG309" s="238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238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</row>
    <row r="310" spans="9:66" x14ac:dyDescent="0.25">
      <c r="I310" s="238"/>
      <c r="O310" s="238"/>
      <c r="P310" s="3"/>
      <c r="AA310" s="238"/>
      <c r="AB310" s="3"/>
      <c r="AC310" s="3"/>
      <c r="AD310" s="3"/>
      <c r="AE310" s="3"/>
      <c r="AF310" s="3"/>
      <c r="AG310" s="238"/>
      <c r="AH310" s="3"/>
      <c r="AI310" s="3"/>
      <c r="AJ310" s="3"/>
      <c r="AK310" s="3"/>
      <c r="AL310" s="3"/>
      <c r="AM310" s="236" t="s">
        <v>366</v>
      </c>
      <c r="AN310" s="237"/>
      <c r="AO310" s="237"/>
      <c r="AP310" s="237"/>
      <c r="AQ310" s="237"/>
      <c r="AR310" s="371"/>
      <c r="AS310" s="238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</row>
    <row r="311" spans="9:66" x14ac:dyDescent="0.25">
      <c r="I311" s="238"/>
      <c r="O311" s="238"/>
      <c r="P311" s="3"/>
      <c r="AA311" s="238"/>
      <c r="AB311" s="3"/>
      <c r="AC311" s="3"/>
      <c r="AD311" s="3"/>
      <c r="AE311" s="3"/>
      <c r="AF311" s="3"/>
      <c r="AG311" s="238"/>
      <c r="AH311" s="3"/>
      <c r="AI311" s="3"/>
      <c r="AJ311" s="3"/>
      <c r="AK311" s="3"/>
      <c r="AL311" s="3"/>
      <c r="AM311" s="238" t="s">
        <v>344</v>
      </c>
      <c r="AN311" s="3">
        <f>DET_CS_lbw_premature</f>
        <v>1</v>
      </c>
      <c r="AO311" s="3" t="s">
        <v>345</v>
      </c>
      <c r="AP311" s="3">
        <f>AN311*AJ312</f>
        <v>2.4386334069603617</v>
      </c>
      <c r="AQ311" s="3" t="s">
        <v>346</v>
      </c>
      <c r="AR311" s="370">
        <f>AN311*AL312</f>
        <v>2.4386334069603617</v>
      </c>
      <c r="AS311" s="238" t="s">
        <v>344</v>
      </c>
      <c r="AT311" s="3">
        <f>1-AT308</f>
        <v>0.92345133932778822</v>
      </c>
      <c r="AU311" s="3" t="s">
        <v>345</v>
      </c>
      <c r="AV311" s="3">
        <f>AT311*AP311</f>
        <v>2.2519592857870334</v>
      </c>
      <c r="AW311" s="3" t="s">
        <v>346</v>
      </c>
      <c r="AX311" s="3">
        <f>AT311*AR311</f>
        <v>2.2519592857870334</v>
      </c>
      <c r="AY311" s="3">
        <f>AY308+1</f>
        <v>78</v>
      </c>
      <c r="AZ311" s="3"/>
      <c r="BA311" s="3">
        <f>det_cost_comparator*AV311</f>
        <v>0</v>
      </c>
      <c r="BB311" s="3">
        <f>$AV311*(VLOOKUP($AY311,'Pregnancy costs and utilities'!$A$23:$H$158,3))</f>
        <v>18837.009229239571</v>
      </c>
      <c r="BC311" s="3">
        <f>SUM(BA311:BB311)</f>
        <v>18837.009229239571</v>
      </c>
      <c r="BD311" s="3"/>
      <c r="BE311" s="3">
        <f>$AV311*(VLOOKUP($AY311,'Pregnancy costs and utilities'!$A$23:$I$158,9))</f>
        <v>1.429128008287925</v>
      </c>
      <c r="BF311" s="3">
        <f>$AV311*(VLOOKUP($AY311,'Pregnancy costs and utilities'!$A$23:$H$158,7))</f>
        <v>1.3867497882626338</v>
      </c>
      <c r="BG311" s="3"/>
      <c r="BH311" s="3">
        <f>$BA311</f>
        <v>0</v>
      </c>
      <c r="BI311" s="3">
        <f>$AX311*(VLOOKUP($AY311,'Pregnancy costs and utilities'!$A$23:$H$158,5))</f>
        <v>35883.955941459615</v>
      </c>
      <c r="BJ311" s="3">
        <f>SUM(BH311:BI311)</f>
        <v>35883.955941459615</v>
      </c>
      <c r="BK311" s="3"/>
      <c r="BL311" s="3">
        <f>BC311+BI311</f>
        <v>54720.965170699186</v>
      </c>
      <c r="BN311" s="1" t="str">
        <f>IF(AV311=AX311,"Okay",IF(AV311&gt;AX311,"Lost infant","Gained infant"))</f>
        <v>Okay</v>
      </c>
    </row>
    <row r="312" spans="9:66" x14ac:dyDescent="0.25">
      <c r="I312" s="238"/>
      <c r="O312" s="238"/>
      <c r="P312" s="3"/>
      <c r="AA312" s="238"/>
      <c r="AB312" s="3"/>
      <c r="AC312" s="3"/>
      <c r="AD312" s="3"/>
      <c r="AE312" s="3"/>
      <c r="AF312" s="3"/>
      <c r="AG312" s="238" t="s">
        <v>344</v>
      </c>
      <c r="AH312" s="1">
        <f>1-AH299</f>
        <v>0.99972166088000003</v>
      </c>
      <c r="AI312" s="1" t="s">
        <v>345</v>
      </c>
      <c r="AJ312" s="1">
        <f>AH312*AD307</f>
        <v>2.4386334069603617</v>
      </c>
      <c r="AK312" s="1" t="s">
        <v>346</v>
      </c>
      <c r="AL312" s="1">
        <f>AH312*AF307</f>
        <v>2.4386334069603617</v>
      </c>
      <c r="AM312" s="238"/>
      <c r="AN312" s="3"/>
      <c r="AO312" s="3"/>
      <c r="AP312" s="3"/>
      <c r="AQ312" s="3"/>
      <c r="AR312" s="3"/>
      <c r="AS312" s="240" t="s">
        <v>369</v>
      </c>
      <c r="AT312" s="235"/>
      <c r="AU312" s="235"/>
      <c r="AV312" s="235"/>
      <c r="AW312" s="235"/>
      <c r="AX312" s="235"/>
      <c r="AY312" s="235"/>
      <c r="AZ312" s="235"/>
      <c r="BA312" s="235"/>
      <c r="BB312" s="235"/>
      <c r="BC312" s="235"/>
      <c r="BD312" s="235"/>
      <c r="BE312" s="235"/>
      <c r="BF312" s="235"/>
      <c r="BG312" s="235"/>
      <c r="BH312" s="235"/>
      <c r="BI312" s="235"/>
      <c r="BJ312" s="235"/>
      <c r="BK312" s="235"/>
      <c r="BL312" s="235"/>
      <c r="BM312" s="235"/>
      <c r="BN312" s="235"/>
    </row>
    <row r="313" spans="9:66" x14ac:dyDescent="0.25">
      <c r="I313" s="238"/>
      <c r="O313" s="238"/>
      <c r="P313" s="3"/>
      <c r="AA313" s="238"/>
      <c r="AB313" s="3"/>
      <c r="AC313" s="3"/>
      <c r="AD313" s="3"/>
      <c r="AE313" s="3"/>
      <c r="AF313" s="3"/>
      <c r="AG313" s="240" t="s">
        <v>373</v>
      </c>
      <c r="AH313" s="235"/>
      <c r="AI313" s="235"/>
      <c r="AJ313" s="235"/>
      <c r="AK313" s="235"/>
      <c r="AL313" s="239"/>
      <c r="AM313" s="238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</row>
    <row r="314" spans="9:66" x14ac:dyDescent="0.25">
      <c r="I314" s="238"/>
      <c r="O314" s="238"/>
      <c r="P314" s="3"/>
      <c r="AA314" s="238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238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</row>
    <row r="315" spans="9:66" x14ac:dyDescent="0.25">
      <c r="I315" s="238"/>
      <c r="O315" s="238"/>
      <c r="P315" s="3"/>
      <c r="AA315" s="238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238"/>
      <c r="AN315" s="3"/>
      <c r="AO315" s="3"/>
      <c r="AP315" s="3"/>
      <c r="AQ315" s="3"/>
      <c r="AR315" s="3"/>
      <c r="AS315" s="236" t="s">
        <v>370</v>
      </c>
      <c r="AT315" s="237"/>
      <c r="AU315" s="237"/>
      <c r="AV315" s="237"/>
      <c r="AW315" s="237"/>
      <c r="AX315" s="237"/>
      <c r="AY315" s="237"/>
      <c r="AZ315" s="237"/>
      <c r="BA315" s="237"/>
      <c r="BB315" s="237"/>
      <c r="BC315" s="237"/>
      <c r="BD315" s="237"/>
      <c r="BE315" s="237"/>
      <c r="BF315" s="237"/>
      <c r="BG315" s="237"/>
      <c r="BH315" s="237"/>
      <c r="BI315" s="237"/>
      <c r="BJ315" s="237"/>
      <c r="BK315" s="237"/>
      <c r="BL315" s="237"/>
      <c r="BM315" s="237"/>
      <c r="BN315" s="237"/>
    </row>
    <row r="316" spans="9:66" x14ac:dyDescent="0.25">
      <c r="I316" s="238"/>
      <c r="O316" s="238"/>
      <c r="P316" s="3"/>
      <c r="AA316" s="238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238" t="s">
        <v>344</v>
      </c>
      <c r="AN316" s="1">
        <f>1-AN311</f>
        <v>0</v>
      </c>
      <c r="AO316" s="1" t="s">
        <v>345</v>
      </c>
      <c r="AP316" s="1">
        <f>AN316*AJ312</f>
        <v>0</v>
      </c>
      <c r="AQ316" s="1" t="s">
        <v>346</v>
      </c>
      <c r="AR316" s="1">
        <f>AN316*AL312</f>
        <v>0</v>
      </c>
      <c r="AS316" s="238" t="s">
        <v>344</v>
      </c>
      <c r="AT316" s="3">
        <f>DET_CS_stillbirth_nbw_premature</f>
        <v>9.5923131756814883E-3</v>
      </c>
      <c r="AU316" s="3" t="s">
        <v>345</v>
      </c>
      <c r="AV316" s="3">
        <f>AT316*AP316</f>
        <v>0</v>
      </c>
      <c r="AW316" s="3" t="s">
        <v>346</v>
      </c>
      <c r="AX316" s="3">
        <f>AT316*AR316</f>
        <v>0</v>
      </c>
      <c r="AY316" s="3">
        <f>AY311+1</f>
        <v>79</v>
      </c>
      <c r="AZ316" s="3"/>
      <c r="BA316" s="3">
        <f>det_cost_comparator*AV316</f>
        <v>0</v>
      </c>
      <c r="BB316" s="3">
        <f>$AV316*(VLOOKUP($AY316,'Pregnancy costs and utilities'!$A$23:$H$158,3))</f>
        <v>0</v>
      </c>
      <c r="BC316" s="3">
        <f>SUM(BA316:BB316)</f>
        <v>0</v>
      </c>
      <c r="BD316" s="3"/>
      <c r="BE316" s="3">
        <f>$AV316*(VLOOKUP($AY316,'Pregnancy costs and utilities'!$A$23:$I$158,9))</f>
        <v>0</v>
      </c>
      <c r="BF316" s="3">
        <f>$AV316*(VLOOKUP($AY316,'Pregnancy costs and utilities'!$A$23:$H$158,7))</f>
        <v>0</v>
      </c>
      <c r="BG316" s="3"/>
      <c r="BH316" s="3">
        <f>$BA316</f>
        <v>0</v>
      </c>
      <c r="BI316" s="3">
        <f>$AX316*(VLOOKUP($AY316,'Pregnancy costs and utilities'!$A$23:$H$158,5))</f>
        <v>0</v>
      </c>
      <c r="BJ316" s="3">
        <f>SUM(BH316:BI316)</f>
        <v>0</v>
      </c>
      <c r="BK316" s="3"/>
      <c r="BL316" s="3">
        <f>BC316+BI316</f>
        <v>0</v>
      </c>
      <c r="BN316" s="1" t="str">
        <f>IF(AV316=AX316,"Okay",IF(AV316&gt;AX316,"Lost infant","Gained infant"))</f>
        <v>Okay</v>
      </c>
    </row>
    <row r="317" spans="9:66" x14ac:dyDescent="0.25">
      <c r="I317" s="238"/>
      <c r="O317" s="238"/>
      <c r="P317" s="3"/>
      <c r="AA317" s="238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240" t="s">
        <v>367</v>
      </c>
      <c r="AN317" s="235"/>
      <c r="AO317" s="235"/>
      <c r="AP317" s="235"/>
      <c r="AQ317" s="235"/>
      <c r="AR317" s="239"/>
      <c r="AS317" s="238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</row>
    <row r="318" spans="9:66" x14ac:dyDescent="0.25">
      <c r="I318" s="238"/>
      <c r="O318" s="238"/>
      <c r="P318" s="3"/>
      <c r="AA318" s="238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238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</row>
    <row r="319" spans="9:66" x14ac:dyDescent="0.25">
      <c r="I319" s="238"/>
      <c r="O319" s="238"/>
      <c r="P319" s="3"/>
      <c r="AA319" s="238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238" t="s">
        <v>344</v>
      </c>
      <c r="AT319" s="3">
        <f>1-AT316</f>
        <v>0.99040768682431857</v>
      </c>
      <c r="AU319" s="3" t="s">
        <v>345</v>
      </c>
      <c r="AV319" s="3">
        <f>AT319*AP316</f>
        <v>0</v>
      </c>
      <c r="AW319" s="3" t="s">
        <v>346</v>
      </c>
      <c r="AX319" s="3">
        <f>AT319*AR316</f>
        <v>0</v>
      </c>
      <c r="AY319" s="3">
        <f>AY316+1</f>
        <v>80</v>
      </c>
      <c r="AZ319" s="3"/>
      <c r="BA319" s="3">
        <f>det_cost_comparator*AV319</f>
        <v>0</v>
      </c>
      <c r="BB319" s="3">
        <f>$AV319*(VLOOKUP($AY319,'Pregnancy costs and utilities'!$A$23:$H$158,3))</f>
        <v>0</v>
      </c>
      <c r="BC319" s="3">
        <f>SUM(BA319:BB319)</f>
        <v>0</v>
      </c>
      <c r="BD319" s="3"/>
      <c r="BE319" s="3">
        <f>$AV319*(VLOOKUP($AY319,'Pregnancy costs and utilities'!$A$23:$I$158,9))</f>
        <v>0</v>
      </c>
      <c r="BF319" s="3">
        <f>$AV319*(VLOOKUP($AY319,'Pregnancy costs and utilities'!$A$23:$H$158,7))</f>
        <v>0</v>
      </c>
      <c r="BG319" s="3"/>
      <c r="BH319" s="3">
        <f>$BA319</f>
        <v>0</v>
      </c>
      <c r="BI319" s="3">
        <f>$AX319*(VLOOKUP($AY319,'Pregnancy costs and utilities'!$A$23:$H$158,5))</f>
        <v>0</v>
      </c>
      <c r="BJ319" s="3">
        <f>SUM(BH319:BI319)</f>
        <v>0</v>
      </c>
      <c r="BK319" s="3"/>
      <c r="BL319" s="3">
        <f>BC319+BI319</f>
        <v>0</v>
      </c>
      <c r="BN319" s="1" t="str">
        <f>IF(AV319=AX319,"Okay",IF(AV319&gt;AX319,"Lost infant","Gained infant"))</f>
        <v>Okay</v>
      </c>
    </row>
    <row r="320" spans="9:66" x14ac:dyDescent="0.25">
      <c r="I320" s="238"/>
      <c r="O320" s="238"/>
      <c r="P320" s="3"/>
      <c r="AA320" s="238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240" t="s">
        <v>371</v>
      </c>
      <c r="AT320" s="235"/>
      <c r="AU320" s="235"/>
      <c r="AV320" s="235"/>
      <c r="AW320" s="235"/>
      <c r="AX320" s="235"/>
      <c r="AY320" s="235"/>
      <c r="AZ320" s="235"/>
      <c r="BA320" s="235"/>
      <c r="BB320" s="235"/>
      <c r="BC320" s="235"/>
      <c r="BD320" s="235"/>
      <c r="BE320" s="235"/>
      <c r="BF320" s="235"/>
      <c r="BG320" s="235"/>
      <c r="BH320" s="235"/>
      <c r="BI320" s="235"/>
      <c r="BJ320" s="235"/>
      <c r="BK320" s="235"/>
      <c r="BL320" s="235"/>
      <c r="BM320" s="235"/>
      <c r="BN320" s="235"/>
    </row>
    <row r="321" spans="9:66" x14ac:dyDescent="0.25">
      <c r="I321" s="238"/>
      <c r="O321" s="238"/>
      <c r="P321" s="3"/>
      <c r="AA321" s="238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</row>
    <row r="322" spans="9:66" x14ac:dyDescent="0.25">
      <c r="I322" s="238"/>
      <c r="O322" s="238"/>
      <c r="P322" s="3"/>
      <c r="U322" s="236" t="s">
        <v>384</v>
      </c>
      <c r="V322" s="237"/>
      <c r="W322" s="237"/>
      <c r="X322" s="237"/>
      <c r="Y322" s="237"/>
      <c r="Z322" s="371"/>
      <c r="AA322" s="238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</row>
    <row r="323" spans="9:66" x14ac:dyDescent="0.25">
      <c r="I323" s="238"/>
      <c r="O323" s="238"/>
      <c r="P323" s="3"/>
      <c r="U323" s="238" t="s">
        <v>344</v>
      </c>
      <c r="V323" s="3">
        <f>DET_CS_abruption</f>
        <v>5.8479877785441586E-3</v>
      </c>
      <c r="W323" s="3" t="s">
        <v>345</v>
      </c>
      <c r="X323" s="3">
        <f>V323*R416</f>
        <v>5.1676534526383797</v>
      </c>
      <c r="Y323" s="3" t="s">
        <v>346</v>
      </c>
      <c r="Z323" s="370">
        <f>V323*T416</f>
        <v>5.1676534526383797</v>
      </c>
      <c r="AA323" s="238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236" t="s">
        <v>362</v>
      </c>
      <c r="AT323" s="237"/>
      <c r="AU323" s="237"/>
      <c r="AV323" s="237"/>
      <c r="AW323" s="237"/>
      <c r="AX323" s="237"/>
      <c r="AY323" s="237"/>
      <c r="AZ323" s="237"/>
      <c r="BA323" s="237"/>
      <c r="BB323" s="237"/>
      <c r="BC323" s="237"/>
      <c r="BD323" s="237"/>
      <c r="BE323" s="237"/>
      <c r="BF323" s="237"/>
      <c r="BG323" s="237"/>
      <c r="BH323" s="237"/>
      <c r="BI323" s="237"/>
      <c r="BJ323" s="237"/>
      <c r="BK323" s="237"/>
      <c r="BL323" s="237"/>
      <c r="BM323" s="237"/>
      <c r="BN323" s="237"/>
    </row>
    <row r="324" spans="9:66" x14ac:dyDescent="0.25">
      <c r="I324" s="238"/>
      <c r="O324" s="238"/>
      <c r="P324" s="3"/>
      <c r="U324" s="238"/>
      <c r="AA324" s="238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238" t="s">
        <v>344</v>
      </c>
      <c r="AT324" s="3">
        <f>DET_CS_stillbirth_lbw_fullgest</f>
        <v>1.9354764795137105E-2</v>
      </c>
      <c r="AU324" s="3" t="s">
        <v>345</v>
      </c>
      <c r="AV324" s="3">
        <f>AT324*AP327</f>
        <v>7.2071124651572656E-7</v>
      </c>
      <c r="AW324" s="3" t="s">
        <v>346</v>
      </c>
      <c r="AX324" s="3">
        <f>AT324*AR327</f>
        <v>7.2071124651572656E-7</v>
      </c>
      <c r="AY324" s="3">
        <f>AY319+1</f>
        <v>81</v>
      </c>
      <c r="AZ324" s="3"/>
      <c r="BA324" s="3">
        <f>det_cost_comparator*AV324</f>
        <v>0</v>
      </c>
      <c r="BB324" s="3">
        <f>$AV324*(VLOOKUP($AY324,'Pregnancy costs and utilities'!$A$23:$H$158,3))</f>
        <v>6.4018528773978171E-3</v>
      </c>
      <c r="BC324" s="3">
        <f>SUM(BA324:BB324)</f>
        <v>6.4018528773978171E-3</v>
      </c>
      <c r="BD324" s="3"/>
      <c r="BE324" s="3">
        <f>$AV324*(VLOOKUP($AY324,'Pregnancy costs and utilities'!$A$23:$I$158,9))</f>
        <v>0</v>
      </c>
      <c r="BF324" s="3">
        <f>$AV324*(VLOOKUP($AY324,'Pregnancy costs and utilities'!$A$23:$H$158,7))</f>
        <v>0</v>
      </c>
      <c r="BG324" s="3"/>
      <c r="BH324" s="3">
        <f>$BA324</f>
        <v>0</v>
      </c>
      <c r="BI324" s="3">
        <f>$AX324*(VLOOKUP($AY324,'Pregnancy costs and utilities'!$A$23:$H$158,5))</f>
        <v>7.6631547123402505E-4</v>
      </c>
      <c r="BJ324" s="3">
        <f>SUM(BH324:BI324)</f>
        <v>7.6631547123402505E-4</v>
      </c>
      <c r="BK324" s="3"/>
      <c r="BL324" s="3">
        <f>BC324+BI324</f>
        <v>7.1681683486318421E-3</v>
      </c>
      <c r="BN324" s="1" t="str">
        <f>IF(AV324=AX324,"Okay",IF(AV324&gt;AX324,"Lost infant","Gained infant"))</f>
        <v>Okay</v>
      </c>
    </row>
    <row r="325" spans="9:66" x14ac:dyDescent="0.25">
      <c r="I325" s="238"/>
      <c r="O325" s="238"/>
      <c r="P325" s="3"/>
      <c r="U325" s="238"/>
      <c r="AA325" s="238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238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</row>
    <row r="326" spans="9:66" x14ac:dyDescent="0.25">
      <c r="I326" s="238"/>
      <c r="O326" s="238"/>
      <c r="P326" s="3"/>
      <c r="U326" s="238"/>
      <c r="AA326" s="238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236" t="s">
        <v>360</v>
      </c>
      <c r="AN326" s="237"/>
      <c r="AO326" s="237"/>
      <c r="AP326" s="237"/>
      <c r="AQ326" s="237"/>
      <c r="AR326" s="371"/>
      <c r="AS326" s="238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</row>
    <row r="327" spans="9:66" x14ac:dyDescent="0.25">
      <c r="I327" s="238"/>
      <c r="O327" s="238"/>
      <c r="P327" s="3"/>
      <c r="U327" s="238"/>
      <c r="AA327" s="238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238" t="s">
        <v>344</v>
      </c>
      <c r="AN327" s="3">
        <f>DET_CS_lbw_fullgest</f>
        <v>4.9034357338086171E-2</v>
      </c>
      <c r="AO327" s="3" t="s">
        <v>345</v>
      </c>
      <c r="AP327" s="3">
        <f>AN327*AJ331</f>
        <v>3.7236889941272016E-5</v>
      </c>
      <c r="AQ327" s="3" t="s">
        <v>346</v>
      </c>
      <c r="AR327" s="370">
        <f>AN327*AL331</f>
        <v>3.7236889941272016E-5</v>
      </c>
      <c r="AS327" s="238" t="s">
        <v>344</v>
      </c>
      <c r="AT327" s="3">
        <f>1-AT324</f>
        <v>0.98064523520486291</v>
      </c>
      <c r="AU327" s="3" t="s">
        <v>345</v>
      </c>
      <c r="AV327" s="3">
        <f>AT327*AP327</f>
        <v>3.6516178694756292E-5</v>
      </c>
      <c r="AW327" s="3" t="s">
        <v>346</v>
      </c>
      <c r="AX327" s="3">
        <f>AT327*AR327</f>
        <v>3.6516178694756292E-5</v>
      </c>
      <c r="AY327" s="3">
        <f>AY324+1</f>
        <v>82</v>
      </c>
      <c r="AZ327" s="3"/>
      <c r="BA327" s="3">
        <f>det_cost_comparator*AV327</f>
        <v>0</v>
      </c>
      <c r="BB327" s="3">
        <f>$AV327*(VLOOKUP($AY327,'Pregnancy costs and utilities'!$A$23:$H$158,3))</f>
        <v>0.32436180894743033</v>
      </c>
      <c r="BC327" s="3">
        <f>SUM(BA327:BB327)</f>
        <v>0.32436180894743033</v>
      </c>
      <c r="BD327" s="3"/>
      <c r="BE327" s="3">
        <f>$AV327*(VLOOKUP($AY327,'Pregnancy costs and utilities'!$A$23:$I$158,9))</f>
        <v>0</v>
      </c>
      <c r="BF327" s="3">
        <f>$AV327*(VLOOKUP($AY327,'Pregnancy costs and utilities'!$A$23:$H$158,7))</f>
        <v>0</v>
      </c>
      <c r="BG327" s="3"/>
      <c r="BH327" s="3">
        <f>$BA327</f>
        <v>0</v>
      </c>
      <c r="BI327" s="3">
        <f>$AX327*(VLOOKUP($AY327,'Pregnancy costs and utilities'!$A$23:$H$158,5))</f>
        <v>9.6616978634031722E-2</v>
      </c>
      <c r="BJ327" s="3">
        <f>SUM(BH327:BI327)</f>
        <v>9.6616978634031722E-2</v>
      </c>
      <c r="BK327" s="3"/>
      <c r="BL327" s="3">
        <f>BC327+BI327</f>
        <v>0.42097878758146207</v>
      </c>
      <c r="BN327" s="1" t="str">
        <f>IF(AV327=AX327,"Okay",IF(AV327&gt;AX327,"Lost infant","Gained infant"))</f>
        <v>Okay</v>
      </c>
    </row>
    <row r="328" spans="9:66" x14ac:dyDescent="0.25">
      <c r="I328" s="238"/>
      <c r="O328" s="238"/>
      <c r="P328" s="3"/>
      <c r="U328" s="238"/>
      <c r="AA328" s="238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238"/>
      <c r="AN328" s="3"/>
      <c r="AO328" s="3"/>
      <c r="AP328" s="3"/>
      <c r="AQ328" s="3"/>
      <c r="AR328" s="3"/>
      <c r="AS328" s="240" t="s">
        <v>363</v>
      </c>
      <c r="AT328" s="235"/>
      <c r="AU328" s="235"/>
      <c r="AV328" s="235"/>
      <c r="AW328" s="235"/>
      <c r="AX328" s="235"/>
      <c r="AY328" s="235"/>
      <c r="AZ328" s="235"/>
      <c r="BA328" s="235"/>
      <c r="BB328" s="235"/>
      <c r="BC328" s="235"/>
      <c r="BD328" s="235"/>
      <c r="BE328" s="235"/>
      <c r="BF328" s="235"/>
      <c r="BG328" s="235"/>
      <c r="BH328" s="235"/>
      <c r="BI328" s="235"/>
      <c r="BJ328" s="235"/>
      <c r="BK328" s="235"/>
      <c r="BL328" s="235"/>
      <c r="BM328" s="235"/>
      <c r="BN328" s="235"/>
    </row>
    <row r="329" spans="9:66" x14ac:dyDescent="0.25">
      <c r="I329" s="238"/>
      <c r="O329" s="238"/>
      <c r="P329" s="3"/>
      <c r="U329" s="238"/>
      <c r="AA329" s="238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238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</row>
    <row r="330" spans="9:66" x14ac:dyDescent="0.25">
      <c r="I330" s="238"/>
      <c r="O330" s="238"/>
      <c r="P330" s="3"/>
      <c r="U330" s="238"/>
      <c r="AA330" s="238"/>
      <c r="AB330" s="3"/>
      <c r="AC330" s="3"/>
      <c r="AD330" s="3"/>
      <c r="AE330" s="3"/>
      <c r="AF330" s="3"/>
      <c r="AG330" s="236" t="s">
        <v>376</v>
      </c>
      <c r="AH330" s="237"/>
      <c r="AI330" s="237"/>
      <c r="AJ330" s="237"/>
      <c r="AK330" s="237"/>
      <c r="AL330" s="371"/>
      <c r="AM330" s="238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</row>
    <row r="331" spans="9:66" x14ac:dyDescent="0.25">
      <c r="I331" s="238"/>
      <c r="O331" s="238"/>
      <c r="P331" s="3"/>
      <c r="U331" s="238"/>
      <c r="AA331" s="238"/>
      <c r="AB331" s="3"/>
      <c r="AC331" s="3"/>
      <c r="AD331" s="3"/>
      <c r="AE331" s="3"/>
      <c r="AF331" s="3"/>
      <c r="AG331" s="238" t="s">
        <v>344</v>
      </c>
      <c r="AH331" s="3">
        <f>DET_MORT_abruption</f>
        <v>2.7833911999999947E-4</v>
      </c>
      <c r="AI331" s="3" t="s">
        <v>345</v>
      </c>
      <c r="AJ331" s="3">
        <f>AH331*AD336</f>
        <v>7.5940405794508545E-4</v>
      </c>
      <c r="AK331" s="3" t="s">
        <v>346</v>
      </c>
      <c r="AL331" s="370">
        <f>AH331*AF336</f>
        <v>7.5940405794508545E-4</v>
      </c>
      <c r="AM331" s="238"/>
      <c r="AN331" s="3"/>
      <c r="AO331" s="3"/>
      <c r="AP331" s="3"/>
      <c r="AQ331" s="3"/>
      <c r="AR331" s="3"/>
      <c r="AS331" s="236" t="s">
        <v>364</v>
      </c>
      <c r="AT331" s="237"/>
      <c r="AU331" s="237"/>
      <c r="AV331" s="237"/>
      <c r="AW331" s="237"/>
      <c r="AX331" s="237"/>
      <c r="AY331" s="237"/>
      <c r="AZ331" s="237"/>
      <c r="BA331" s="237"/>
      <c r="BB331" s="237"/>
      <c r="BC331" s="237"/>
      <c r="BD331" s="237"/>
      <c r="BE331" s="237"/>
      <c r="BF331" s="237"/>
      <c r="BG331" s="237"/>
      <c r="BH331" s="237"/>
      <c r="BI331" s="237"/>
      <c r="BJ331" s="237"/>
      <c r="BK331" s="237"/>
      <c r="BL331" s="237"/>
      <c r="BM331" s="237"/>
      <c r="BN331" s="237"/>
    </row>
    <row r="332" spans="9:66" x14ac:dyDescent="0.25">
      <c r="I332" s="238"/>
      <c r="O332" s="238"/>
      <c r="P332" s="3"/>
      <c r="U332" s="238"/>
      <c r="AA332" s="238"/>
      <c r="AB332" s="3"/>
      <c r="AC332" s="3"/>
      <c r="AD332" s="3"/>
      <c r="AE332" s="3"/>
      <c r="AF332" s="3"/>
      <c r="AG332" s="238"/>
      <c r="AH332" s="3"/>
      <c r="AI332" s="3"/>
      <c r="AJ332" s="3"/>
      <c r="AK332" s="3"/>
      <c r="AL332" s="3"/>
      <c r="AM332" s="238" t="s">
        <v>344</v>
      </c>
      <c r="AN332" s="1">
        <f>1-AN327</f>
        <v>0.95096564266191386</v>
      </c>
      <c r="AO332" s="1" t="s">
        <v>345</v>
      </c>
      <c r="AP332" s="1">
        <f>AN332*AJ331</f>
        <v>7.2216716800381346E-4</v>
      </c>
      <c r="AQ332" s="1" t="s">
        <v>346</v>
      </c>
      <c r="AR332" s="1">
        <f>AN332*AL331</f>
        <v>7.2216716800381346E-4</v>
      </c>
      <c r="AS332" s="238" t="s">
        <v>344</v>
      </c>
      <c r="AT332" s="3">
        <f>DET_CS_stillbirth_nbw_fullgest</f>
        <v>2.0298526728661924E-3</v>
      </c>
      <c r="AU332" s="3" t="s">
        <v>345</v>
      </c>
      <c r="AV332" s="3">
        <f>AT332*AP332</f>
        <v>1.4658929562287494E-6</v>
      </c>
      <c r="AW332" s="3" t="s">
        <v>346</v>
      </c>
      <c r="AX332" s="3">
        <f>AT332*AR332</f>
        <v>1.4658929562287494E-6</v>
      </c>
      <c r="AY332" s="3">
        <f>AY327+1</f>
        <v>83</v>
      </c>
      <c r="AZ332" s="3"/>
      <c r="BA332" s="3">
        <f>det_cost_comparator*AV332</f>
        <v>0</v>
      </c>
      <c r="BB332" s="3">
        <f>$AV332*(VLOOKUP($AY332,'Pregnancy costs and utilities'!$A$23:$H$158,3))</f>
        <v>1.3021069235646283E-2</v>
      </c>
      <c r="BC332" s="3">
        <f>SUM(BA332:BB332)</f>
        <v>1.3021069235646283E-2</v>
      </c>
      <c r="BD332" s="3"/>
      <c r="BE332" s="3">
        <f>$AV332*(VLOOKUP($AY332,'Pregnancy costs and utilities'!$A$23:$I$158,9))</f>
        <v>0</v>
      </c>
      <c r="BF332" s="3">
        <f>$AV332*(VLOOKUP($AY332,'Pregnancy costs and utilities'!$A$23:$H$158,7))</f>
        <v>0</v>
      </c>
      <c r="BG332" s="3"/>
      <c r="BH332" s="3">
        <f>$BA332</f>
        <v>0</v>
      </c>
      <c r="BI332" s="3">
        <f>$AX332*(VLOOKUP($AY332,'Pregnancy costs and utilities'!$A$23:$H$158,5))</f>
        <v>1.5586498156672792E-3</v>
      </c>
      <c r="BJ332" s="3">
        <f>SUM(BH332:BI332)</f>
        <v>1.5586498156672792E-3</v>
      </c>
      <c r="BK332" s="3"/>
      <c r="BL332" s="3">
        <f>BC332+BI332</f>
        <v>1.4579719051313562E-2</v>
      </c>
      <c r="BN332" s="1" t="str">
        <f>IF(AV332=AX332,"Okay",IF(AV332&gt;AX332,"Lost infant","Gained infant"))</f>
        <v>Okay</v>
      </c>
    </row>
    <row r="333" spans="9:66" x14ac:dyDescent="0.25">
      <c r="I333" s="238"/>
      <c r="O333" s="238"/>
      <c r="P333" s="3"/>
      <c r="U333" s="238"/>
      <c r="AA333" s="238"/>
      <c r="AB333" s="3"/>
      <c r="AC333" s="3"/>
      <c r="AD333" s="3"/>
      <c r="AE333" s="3"/>
      <c r="AF333" s="3"/>
      <c r="AG333" s="238"/>
      <c r="AH333" s="3"/>
      <c r="AI333" s="3"/>
      <c r="AJ333" s="3"/>
      <c r="AK333" s="3"/>
      <c r="AL333" s="3"/>
      <c r="AM333" s="240" t="s">
        <v>361</v>
      </c>
      <c r="AN333" s="235"/>
      <c r="AO333" s="235"/>
      <c r="AP333" s="235"/>
      <c r="AQ333" s="235"/>
      <c r="AR333" s="239"/>
      <c r="AS333" s="238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</row>
    <row r="334" spans="9:66" x14ac:dyDescent="0.25">
      <c r="I334" s="238"/>
      <c r="O334" s="238"/>
      <c r="P334" s="3"/>
      <c r="U334" s="238"/>
      <c r="AA334" s="238"/>
      <c r="AG334" s="238"/>
      <c r="AS334" s="238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</row>
    <row r="335" spans="9:66" x14ac:dyDescent="0.25">
      <c r="I335" s="238"/>
      <c r="O335" s="238"/>
      <c r="P335" s="3"/>
      <c r="U335" s="238"/>
      <c r="AA335" s="238"/>
      <c r="AG335" s="238"/>
      <c r="AS335" s="238" t="s">
        <v>344</v>
      </c>
      <c r="AT335" s="3">
        <f>1-AT332</f>
        <v>0.99797014732713385</v>
      </c>
      <c r="AU335" s="3" t="s">
        <v>345</v>
      </c>
      <c r="AV335" s="3">
        <f>AT335*AP332</f>
        <v>7.2070127504758478E-4</v>
      </c>
      <c r="AW335" s="3" t="s">
        <v>346</v>
      </c>
      <c r="AX335" s="3">
        <f>AT335*AR332</f>
        <v>7.2070127504758478E-4</v>
      </c>
      <c r="AY335" s="3">
        <f>AY332+1</f>
        <v>84</v>
      </c>
      <c r="AZ335" s="3"/>
      <c r="BA335" s="3">
        <f>det_cost_comparator*AV335</f>
        <v>0</v>
      </c>
      <c r="BB335" s="3">
        <f>$AV335*(VLOOKUP($AY335,'Pregnancy costs and utilities'!$A$23:$H$158,3))</f>
        <v>6.4017643039610572</v>
      </c>
      <c r="BC335" s="3">
        <f>SUM(BA335:BB335)</f>
        <v>6.4017643039610572</v>
      </c>
      <c r="BD335" s="3"/>
      <c r="BE335" s="3">
        <f>$AV335*(VLOOKUP($AY335,'Pregnancy costs and utilities'!$A$23:$I$158,9))</f>
        <v>0</v>
      </c>
      <c r="BF335" s="3">
        <f>$AV335*(VLOOKUP($AY335,'Pregnancy costs and utilities'!$A$23:$H$158,7))</f>
        <v>0</v>
      </c>
      <c r="BG335" s="3"/>
      <c r="BH335" s="3">
        <f>$BA335</f>
        <v>0</v>
      </c>
      <c r="BI335" s="3">
        <f>$AX335*(VLOOKUP($AY335,'Pregnancy costs and utilities'!$A$23:$H$158,5))</f>
        <v>1.9068802427235092</v>
      </c>
      <c r="BJ335" s="3">
        <f>SUM(BH335:BI335)</f>
        <v>1.9068802427235092</v>
      </c>
      <c r="BK335" s="3"/>
      <c r="BL335" s="3">
        <f>BC335+BI335</f>
        <v>8.3086445466845671</v>
      </c>
      <c r="BN335" s="1" t="str">
        <f>IF(AV335=AX335,"Okay",IF(AV335&gt;AX335,"Lost infant","Gained infant"))</f>
        <v>Okay</v>
      </c>
    </row>
    <row r="336" spans="9:66" x14ac:dyDescent="0.25">
      <c r="I336" s="238"/>
      <c r="O336" s="238"/>
      <c r="P336" s="3"/>
      <c r="U336" s="238"/>
      <c r="AA336" s="238" t="s">
        <v>344</v>
      </c>
      <c r="AB336" s="1">
        <f>1-AB307</f>
        <v>0.52796518083628818</v>
      </c>
      <c r="AC336" s="1" t="s">
        <v>345</v>
      </c>
      <c r="AD336" s="1">
        <f>AB336*X323</f>
        <v>2.728341089621491</v>
      </c>
      <c r="AE336" s="1" t="s">
        <v>346</v>
      </c>
      <c r="AF336" s="1">
        <f>AB336*Z323</f>
        <v>2.728341089621491</v>
      </c>
      <c r="AG336" s="238"/>
      <c r="AS336" s="240" t="s">
        <v>365</v>
      </c>
      <c r="AT336" s="235"/>
      <c r="AU336" s="235"/>
      <c r="AV336" s="235"/>
      <c r="AW336" s="235"/>
      <c r="AX336" s="235"/>
      <c r="AY336" s="235"/>
      <c r="AZ336" s="235"/>
      <c r="BA336" s="235"/>
      <c r="BB336" s="235"/>
      <c r="BC336" s="235"/>
      <c r="BD336" s="235"/>
      <c r="BE336" s="235"/>
      <c r="BF336" s="235"/>
      <c r="BG336" s="235"/>
      <c r="BH336" s="235"/>
      <c r="BI336" s="235"/>
      <c r="BJ336" s="235"/>
      <c r="BK336" s="235"/>
      <c r="BL336" s="235"/>
      <c r="BM336" s="235"/>
      <c r="BN336" s="235"/>
    </row>
    <row r="337" spans="9:66" x14ac:dyDescent="0.25">
      <c r="I337" s="238"/>
      <c r="O337" s="238"/>
      <c r="P337" s="3"/>
      <c r="U337" s="238"/>
      <c r="AA337" s="240" t="s">
        <v>375</v>
      </c>
      <c r="AB337" s="235"/>
      <c r="AC337" s="235"/>
      <c r="AD337" s="235"/>
      <c r="AE337" s="235"/>
      <c r="AF337" s="239"/>
      <c r="AG337" s="238"/>
    </row>
    <row r="338" spans="9:66" x14ac:dyDescent="0.25">
      <c r="I338" s="238"/>
      <c r="O338" s="238"/>
      <c r="P338" s="3"/>
      <c r="U338" s="238"/>
      <c r="AG338" s="238"/>
    </row>
    <row r="339" spans="9:66" x14ac:dyDescent="0.25">
      <c r="I339" s="238"/>
      <c r="N339" s="3"/>
      <c r="O339" s="238"/>
      <c r="P339" s="3"/>
      <c r="Q339" s="3"/>
      <c r="R339" s="3"/>
      <c r="S339" s="3"/>
      <c r="T339" s="3"/>
      <c r="U339" s="238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238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236" t="s">
        <v>380</v>
      </c>
      <c r="AT339" s="237"/>
      <c r="AU339" s="237"/>
      <c r="AV339" s="237"/>
      <c r="AW339" s="237"/>
      <c r="AX339" s="3"/>
      <c r="BJ339" s="237"/>
      <c r="BK339" s="237"/>
      <c r="BL339" s="237"/>
      <c r="BM339" s="237"/>
      <c r="BN339" s="237"/>
    </row>
    <row r="340" spans="9:66" x14ac:dyDescent="0.25">
      <c r="I340" s="238"/>
      <c r="N340" s="3"/>
      <c r="O340" s="238"/>
      <c r="P340" s="3"/>
      <c r="Q340" s="3"/>
      <c r="R340" s="3"/>
      <c r="S340" s="3"/>
      <c r="T340" s="3"/>
      <c r="U340" s="238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238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238" t="s">
        <v>344</v>
      </c>
      <c r="AT340" s="1">
        <f>DET_CS_stillbirth_lbw_fullgest</f>
        <v>1.9354764795137105E-2</v>
      </c>
      <c r="AU340" s="1" t="s">
        <v>345</v>
      </c>
      <c r="AV340" s="1">
        <f>AT340*AP343</f>
        <v>2.5886071795498916E-3</v>
      </c>
      <c r="AW340" s="1" t="s">
        <v>346</v>
      </c>
      <c r="AX340" s="1">
        <f>AT340*AR343</f>
        <v>2.5886071795498916E-3</v>
      </c>
      <c r="AY340" s="1">
        <f>AY335+1</f>
        <v>85</v>
      </c>
      <c r="BA340" s="1">
        <f>det_cost_comparator*AV340</f>
        <v>0</v>
      </c>
      <c r="BB340" s="1">
        <f>$AV340*(VLOOKUP($AY340,'Pregnancy costs and utilities'!$A$23:$H$158,3))</f>
        <v>18.771822759838376</v>
      </c>
      <c r="BC340" s="1">
        <f>SUM(BA340:BB340)</f>
        <v>18.771822759838376</v>
      </c>
      <c r="BE340" s="1">
        <f>$AV340*(VLOOKUP($AY340,'Pregnancy costs and utilities'!$A$23:$I$158,9))</f>
        <v>1.9414553846624186E-3</v>
      </c>
      <c r="BF340" s="1">
        <f>$AV340*(VLOOKUP($AY340,'Pregnancy costs and utilities'!$A$23:$H$158,7))</f>
        <v>1.6897394795226731E-3</v>
      </c>
      <c r="BH340" s="1">
        <f>$BA340</f>
        <v>0</v>
      </c>
      <c r="BI340" s="1">
        <f>$AX340*(VLOOKUP($AY340,'Pregnancy costs and utilities'!$A$23:$H$158,5))</f>
        <v>2.7524056828954588</v>
      </c>
      <c r="BJ340" s="3">
        <f>SUM(BH340:BI340)</f>
        <v>2.7524056828954588</v>
      </c>
      <c r="BK340" s="3"/>
      <c r="BL340" s="3">
        <f>BC340+BI340</f>
        <v>21.524228442733836</v>
      </c>
      <c r="BN340" s="1" t="str">
        <f>IF(AV340=AX340,"Okay",IF(AV340&gt;AX340,"Lost infant","Gained infant"))</f>
        <v>Okay</v>
      </c>
    </row>
    <row r="341" spans="9:66" x14ac:dyDescent="0.25">
      <c r="I341" s="238"/>
      <c r="N341" s="3"/>
      <c r="O341" s="238"/>
      <c r="P341" s="3"/>
      <c r="Q341" s="3"/>
      <c r="R341" s="3"/>
      <c r="S341" s="3"/>
      <c r="T341" s="3"/>
      <c r="U341" s="238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238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238"/>
      <c r="BJ341" s="3"/>
      <c r="BK341" s="3"/>
      <c r="BL341" s="3"/>
    </row>
    <row r="342" spans="9:66" x14ac:dyDescent="0.25">
      <c r="I342" s="238"/>
      <c r="N342" s="3"/>
      <c r="O342" s="238"/>
      <c r="P342" s="3"/>
      <c r="Q342" s="3"/>
      <c r="R342" s="3"/>
      <c r="S342" s="3"/>
      <c r="T342" s="3"/>
      <c r="U342" s="238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238"/>
      <c r="AH342" s="3"/>
      <c r="AI342" s="3"/>
      <c r="AJ342" s="3"/>
      <c r="AK342" s="3"/>
      <c r="AL342" s="3"/>
      <c r="AM342" s="236" t="s">
        <v>378</v>
      </c>
      <c r="AN342" s="237"/>
      <c r="AO342" s="237"/>
      <c r="AP342" s="237"/>
      <c r="AQ342" s="237"/>
      <c r="AR342" s="371"/>
      <c r="AS342" s="238"/>
      <c r="BJ342" s="3"/>
      <c r="BK342" s="3"/>
      <c r="BL342" s="3"/>
    </row>
    <row r="343" spans="9:66" x14ac:dyDescent="0.25">
      <c r="I343" s="238"/>
      <c r="N343" s="3"/>
      <c r="O343" s="238"/>
      <c r="P343" s="3"/>
      <c r="Q343" s="3"/>
      <c r="R343" s="3"/>
      <c r="S343" s="3"/>
      <c r="T343" s="3"/>
      <c r="U343" s="238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238"/>
      <c r="AH343" s="3"/>
      <c r="AI343" s="3"/>
      <c r="AJ343" s="3"/>
      <c r="AK343" s="3"/>
      <c r="AL343" s="3"/>
      <c r="AM343" s="238" t="s">
        <v>344</v>
      </c>
      <c r="AN343" s="3">
        <f>DET_CS_lbw_fullgest</f>
        <v>4.9034357338086171E-2</v>
      </c>
      <c r="AO343" s="3" t="s">
        <v>345</v>
      </c>
      <c r="AP343" s="3">
        <f>AN343*AJ344</f>
        <v>0.13374521503874232</v>
      </c>
      <c r="AQ343" s="3" t="s">
        <v>346</v>
      </c>
      <c r="AR343" s="370">
        <f>AN343*AL344</f>
        <v>0.13374521503874232</v>
      </c>
      <c r="AS343" s="238" t="s">
        <v>344</v>
      </c>
      <c r="AT343" s="1">
        <f>1-AT340</f>
        <v>0.98064523520486291</v>
      </c>
      <c r="AU343" s="1" t="s">
        <v>345</v>
      </c>
      <c r="AV343" s="1">
        <f>AT343*AP343</f>
        <v>0.13115660785919242</v>
      </c>
      <c r="AW343" s="1" t="s">
        <v>346</v>
      </c>
      <c r="AX343" s="1">
        <f>AT343*AR343</f>
        <v>0.13115660785919242</v>
      </c>
      <c r="AY343" s="1">
        <f>AY340+1</f>
        <v>86</v>
      </c>
      <c r="BA343" s="1">
        <f>det_cost_comparator*AV343</f>
        <v>0</v>
      </c>
      <c r="BB343" s="1">
        <f>$AV343*(VLOOKUP($AY343,'Pregnancy costs and utilities'!$A$23:$H$158,3))</f>
        <v>951.10939039521907</v>
      </c>
      <c r="BC343" s="1">
        <f>SUM(BA343:BB343)</f>
        <v>951.10939039521907</v>
      </c>
      <c r="BE343" s="1">
        <f>$AV343*(VLOOKUP($AY343,'Pregnancy costs and utilities'!$A$23:$I$158,9))</f>
        <v>9.8367455894394315E-2</v>
      </c>
      <c r="BF343" s="1">
        <f>$AV343*(VLOOKUP($AY343,'Pregnancy costs and utilities'!$A$23:$H$158,7))</f>
        <v>9.5450545956973998E-2</v>
      </c>
      <c r="BH343" s="1">
        <f>$BA343</f>
        <v>0</v>
      </c>
      <c r="BI343" s="1">
        <f>$AX343*(VLOOKUP($AY343,'Pregnancy costs and utilities'!$A$23:$H$158,5))</f>
        <v>347.02303560211681</v>
      </c>
      <c r="BJ343" s="3">
        <f>SUM(BH343:BI343)</f>
        <v>347.02303560211681</v>
      </c>
      <c r="BK343" s="3"/>
      <c r="BL343" s="3">
        <f>BC343+BI343</f>
        <v>1298.1324259973358</v>
      </c>
      <c r="BN343" s="1" t="str">
        <f>IF(AV343=AX343,"Okay",IF(AV343&gt;AX343,"Lost infant","Gained infant"))</f>
        <v>Okay</v>
      </c>
    </row>
    <row r="344" spans="9:66" x14ac:dyDescent="0.25">
      <c r="I344" s="238"/>
      <c r="N344" s="3"/>
      <c r="O344" s="238"/>
      <c r="P344" s="3"/>
      <c r="Q344" s="3"/>
      <c r="R344" s="3"/>
      <c r="S344" s="3"/>
      <c r="T344" s="3"/>
      <c r="U344" s="238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238" t="s">
        <v>344</v>
      </c>
      <c r="AH344" s="1">
        <f>1-AH331</f>
        <v>0.99972166088000003</v>
      </c>
      <c r="AI344" s="1" t="s">
        <v>345</v>
      </c>
      <c r="AJ344" s="1">
        <f>AH344*AD336</f>
        <v>2.7275816855635462</v>
      </c>
      <c r="AK344" s="1" t="s">
        <v>346</v>
      </c>
      <c r="AL344" s="1">
        <f>AH344*AF336</f>
        <v>2.7275816855635462</v>
      </c>
      <c r="AM344" s="238"/>
      <c r="AN344" s="3"/>
      <c r="AO344" s="3"/>
      <c r="AP344" s="3"/>
      <c r="AQ344" s="3"/>
      <c r="AR344" s="3"/>
      <c r="AS344" s="240" t="s">
        <v>381</v>
      </c>
      <c r="AT344" s="235"/>
      <c r="AU344" s="235"/>
      <c r="AV344" s="235"/>
      <c r="AW344" s="235"/>
      <c r="AX344" s="235"/>
      <c r="AY344" s="235"/>
      <c r="AZ344" s="235"/>
      <c r="BA344" s="235"/>
      <c r="BB344" s="235"/>
      <c r="BC344" s="235"/>
      <c r="BD344" s="235"/>
      <c r="BE344" s="235"/>
      <c r="BF344" s="235"/>
      <c r="BG344" s="235"/>
      <c r="BH344" s="235"/>
      <c r="BI344" s="235"/>
      <c r="BJ344" s="235"/>
      <c r="BK344" s="235"/>
      <c r="BL344" s="235"/>
      <c r="BM344" s="235"/>
      <c r="BN344" s="235"/>
    </row>
    <row r="345" spans="9:66" x14ac:dyDescent="0.25">
      <c r="I345" s="238"/>
      <c r="N345" s="3"/>
      <c r="O345" s="238"/>
      <c r="P345" s="3"/>
      <c r="Q345" s="3"/>
      <c r="R345" s="3"/>
      <c r="S345" s="3"/>
      <c r="T345" s="3"/>
      <c r="U345" s="238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240" t="s">
        <v>377</v>
      </c>
      <c r="AH345" s="235"/>
      <c r="AI345" s="235"/>
      <c r="AJ345" s="235"/>
      <c r="AK345" s="235"/>
      <c r="AL345" s="239"/>
      <c r="AM345" s="238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</row>
    <row r="346" spans="9:66" x14ac:dyDescent="0.25">
      <c r="I346" s="238" t="s">
        <v>344</v>
      </c>
      <c r="J346" s="1">
        <f>1-J77</f>
        <v>0.98040000000000005</v>
      </c>
      <c r="K346" s="1" t="s">
        <v>345</v>
      </c>
      <c r="L346" s="1">
        <f>$J346*$C$263</f>
        <v>980.40000000000009</v>
      </c>
      <c r="M346" s="1" t="s">
        <v>346</v>
      </c>
      <c r="N346" s="1">
        <f>$J346*$C$264</f>
        <v>980.40000000000009</v>
      </c>
      <c r="O346" s="238"/>
      <c r="P346" s="3"/>
      <c r="Q346" s="3"/>
      <c r="R346" s="3"/>
      <c r="S346" s="3"/>
      <c r="T346" s="3"/>
      <c r="U346" s="238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238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</row>
    <row r="347" spans="9:66" x14ac:dyDescent="0.25">
      <c r="I347" s="240" t="s">
        <v>391</v>
      </c>
      <c r="J347" s="235"/>
      <c r="K347" s="235"/>
      <c r="L347" s="235"/>
      <c r="M347" s="235"/>
      <c r="N347" s="235"/>
      <c r="O347" s="238"/>
      <c r="P347" s="3"/>
      <c r="Q347" s="3"/>
      <c r="R347" s="3"/>
      <c r="S347" s="3"/>
      <c r="T347" s="3"/>
      <c r="U347" s="238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238"/>
      <c r="AN347" s="3"/>
      <c r="AO347" s="3"/>
      <c r="AP347" s="3"/>
      <c r="AQ347" s="3"/>
      <c r="AR347" s="3"/>
      <c r="AS347" s="236" t="s">
        <v>382</v>
      </c>
      <c r="AT347" s="237"/>
      <c r="AU347" s="237"/>
      <c r="AV347" s="237"/>
      <c r="AW347" s="237"/>
      <c r="AX347" s="3"/>
      <c r="BJ347" s="237"/>
      <c r="BK347" s="237"/>
      <c r="BL347" s="237"/>
      <c r="BM347" s="237"/>
      <c r="BN347" s="237"/>
    </row>
    <row r="348" spans="9:66" x14ac:dyDescent="0.25">
      <c r="I348" s="237"/>
      <c r="N348" s="3"/>
      <c r="O348" s="238"/>
      <c r="P348" s="3"/>
      <c r="Q348" s="3"/>
      <c r="R348" s="3"/>
      <c r="S348" s="3"/>
      <c r="T348" s="3"/>
      <c r="U348" s="238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238" t="s">
        <v>344</v>
      </c>
      <c r="AN348" s="1">
        <f>1-AN343</f>
        <v>0.95096564266191386</v>
      </c>
      <c r="AO348" s="1" t="s">
        <v>345</v>
      </c>
      <c r="AP348" s="1">
        <f>AN348*AJ344</f>
        <v>2.593836470524804</v>
      </c>
      <c r="AQ348" s="1" t="s">
        <v>346</v>
      </c>
      <c r="AR348" s="1">
        <f>AN348*AL344</f>
        <v>2.593836470524804</v>
      </c>
      <c r="AS348" s="238" t="s">
        <v>344</v>
      </c>
      <c r="AT348" s="1">
        <f>DET_CS_stillbirth_nbw_fullgest</f>
        <v>2.0298526728661924E-3</v>
      </c>
      <c r="AU348" s="1" t="s">
        <v>345</v>
      </c>
      <c r="AV348" s="1">
        <f>AT348*AP348</f>
        <v>5.2651058926725842E-3</v>
      </c>
      <c r="AW348" s="1" t="s">
        <v>346</v>
      </c>
      <c r="AX348" s="1">
        <f>AT348*AR348</f>
        <v>5.2651058926725842E-3</v>
      </c>
      <c r="AY348" s="1">
        <f>AY343+1</f>
        <v>87</v>
      </c>
      <c r="BA348" s="1">
        <f>det_cost_comparator*AV348</f>
        <v>0</v>
      </c>
      <c r="BB348" s="1">
        <f>$AV348*(VLOOKUP($AY348,'Pregnancy costs and utilities'!$A$23:$H$158,3))</f>
        <v>38.181009235327835</v>
      </c>
      <c r="BC348" s="1">
        <f>SUM(BA348:BB348)</f>
        <v>38.181009235327835</v>
      </c>
      <c r="BE348" s="1">
        <f>$AV348*(VLOOKUP($AY348,'Pregnancy costs and utilities'!$A$23:$I$158,9))</f>
        <v>3.9488294195044382E-3</v>
      </c>
      <c r="BF348" s="1">
        <f>$AV348*(VLOOKUP($AY348,'Pregnancy costs and utilities'!$A$23:$H$158,7))</f>
        <v>6.5760649874144103E-5</v>
      </c>
      <c r="BH348" s="1">
        <f>$BA348</f>
        <v>0</v>
      </c>
      <c r="BI348" s="1">
        <f>$AX348*(VLOOKUP($AY348,'Pregnancy costs and utilities'!$A$23:$H$158,5))</f>
        <v>5.5982643850034499</v>
      </c>
      <c r="BJ348" s="3">
        <f>SUM(BH348:BI348)</f>
        <v>5.5982643850034499</v>
      </c>
      <c r="BK348" s="3"/>
      <c r="BL348" s="3">
        <f>BC348+BI348</f>
        <v>43.779273620331281</v>
      </c>
      <c r="BN348" s="1" t="str">
        <f>IF(AV348=AX348,"Okay",IF(AV348&gt;AX348,"Lost infant","Gained infant"))</f>
        <v>Okay</v>
      </c>
    </row>
    <row r="349" spans="9:66" x14ac:dyDescent="0.25">
      <c r="I349" s="3"/>
      <c r="N349" s="3"/>
      <c r="O349" s="238"/>
      <c r="P349" s="3"/>
      <c r="Q349" s="3"/>
      <c r="R349" s="3"/>
      <c r="S349" s="3"/>
      <c r="T349" s="3"/>
      <c r="U349" s="238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240" t="s">
        <v>379</v>
      </c>
      <c r="AN349" s="235"/>
      <c r="AO349" s="235"/>
      <c r="AP349" s="235"/>
      <c r="AQ349" s="235"/>
      <c r="AR349" s="239"/>
      <c r="AS349" s="238"/>
      <c r="BJ349" s="3"/>
      <c r="BK349" s="3"/>
      <c r="BL349" s="3"/>
    </row>
    <row r="350" spans="9:66" x14ac:dyDescent="0.25">
      <c r="I350" s="3"/>
      <c r="N350" s="3"/>
      <c r="O350" s="238"/>
      <c r="P350" s="3"/>
      <c r="Q350" s="3"/>
      <c r="R350" s="3"/>
      <c r="S350" s="3"/>
      <c r="T350" s="3"/>
      <c r="U350" s="238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238"/>
      <c r="BJ350" s="3"/>
      <c r="BK350" s="3"/>
      <c r="BL350" s="3"/>
    </row>
    <row r="351" spans="9:66" x14ac:dyDescent="0.25">
      <c r="I351" s="3"/>
      <c r="N351" s="3"/>
      <c r="O351" s="238"/>
      <c r="P351" s="3"/>
      <c r="Q351" s="3"/>
      <c r="R351" s="3"/>
      <c r="S351" s="3"/>
      <c r="T351" s="3"/>
      <c r="U351" s="238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238" t="s">
        <v>344</v>
      </c>
      <c r="AT351" s="1">
        <f>1-AT348</f>
        <v>0.99797014732713385</v>
      </c>
      <c r="AU351" s="1" t="s">
        <v>345</v>
      </c>
      <c r="AV351" s="1">
        <f>AT351*AP348</f>
        <v>2.5885713646321316</v>
      </c>
      <c r="AW351" s="1" t="s">
        <v>346</v>
      </c>
      <c r="AX351" s="1">
        <f>AT351*AR348</f>
        <v>2.5885713646321316</v>
      </c>
      <c r="AY351" s="1">
        <f>AY348+1</f>
        <v>88</v>
      </c>
      <c r="BA351" s="1">
        <f>det_cost_comparator*AV351</f>
        <v>0</v>
      </c>
      <c r="BB351" s="1">
        <f>$AV351*(VLOOKUP($AY351,'Pregnancy costs and utilities'!$A$23:$H$158,3))</f>
        <v>18771.563040521491</v>
      </c>
      <c r="BC351" s="1">
        <f>SUM(BA351:BB351)</f>
        <v>18771.563040521491</v>
      </c>
      <c r="BE351" s="1">
        <f>$AV351*(VLOOKUP($AY351,'Pregnancy costs and utilities'!$A$23:$I$158,9))</f>
        <v>1.9414285234740987</v>
      </c>
      <c r="BF351" s="1">
        <f>$AV351*(VLOOKUP($AY351,'Pregnancy costs and utilities'!$A$23:$H$158,7))</f>
        <v>1.8838589533208101</v>
      </c>
      <c r="BH351" s="1">
        <f>$BA351</f>
        <v>0</v>
      </c>
      <c r="BI351" s="1">
        <f>$AX351*(VLOOKUP($AY351,'Pregnancy costs and utilities'!$A$23:$H$158,5))</f>
        <v>6849.0174264932939</v>
      </c>
      <c r="BJ351" s="3">
        <f>SUM(BH351:BI351)</f>
        <v>6849.0174264932939</v>
      </c>
      <c r="BK351" s="3"/>
      <c r="BL351" s="3">
        <f>BC351+BI351</f>
        <v>25620.580467014785</v>
      </c>
      <c r="BN351" s="1" t="str">
        <f>IF(AV351=AX351,"Okay",IF(AV351&gt;AX351,"Lost infant","Gained infant"))</f>
        <v>Okay</v>
      </c>
    </row>
    <row r="352" spans="9:66" x14ac:dyDescent="0.25">
      <c r="I352" s="3"/>
      <c r="N352" s="3"/>
      <c r="O352" s="238"/>
      <c r="P352" s="3"/>
      <c r="Q352" s="3"/>
      <c r="R352" s="3"/>
      <c r="S352" s="3"/>
      <c r="T352" s="3"/>
      <c r="U352" s="238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240" t="s">
        <v>383</v>
      </c>
      <c r="AT352" s="235"/>
      <c r="AU352" s="235"/>
      <c r="AV352" s="235"/>
      <c r="AW352" s="235"/>
      <c r="AX352" s="235"/>
      <c r="AY352" s="235"/>
      <c r="AZ352" s="235"/>
      <c r="BA352" s="235"/>
      <c r="BB352" s="235"/>
      <c r="BC352" s="235"/>
      <c r="BD352" s="235"/>
      <c r="BE352" s="235"/>
      <c r="BF352" s="235"/>
      <c r="BG352" s="235"/>
      <c r="BH352" s="235"/>
      <c r="BI352" s="235"/>
      <c r="BJ352" s="235"/>
      <c r="BK352" s="235"/>
      <c r="BL352" s="235"/>
      <c r="BM352" s="235"/>
      <c r="BN352" s="235"/>
    </row>
    <row r="353" spans="9:66" x14ac:dyDescent="0.25">
      <c r="I353" s="3"/>
      <c r="N353" s="3"/>
      <c r="O353" s="238"/>
      <c r="P353" s="3"/>
      <c r="Q353" s="3"/>
      <c r="R353" s="3"/>
      <c r="S353" s="3"/>
      <c r="T353" s="3"/>
      <c r="U353" s="238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</row>
    <row r="354" spans="9:66" x14ac:dyDescent="0.25">
      <c r="I354" s="3"/>
      <c r="N354" s="3"/>
      <c r="O354" s="238"/>
      <c r="P354" s="3"/>
      <c r="Q354" s="3"/>
      <c r="R354" s="3"/>
      <c r="S354" s="3"/>
      <c r="T354" s="3"/>
      <c r="U354" s="238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</row>
    <row r="355" spans="9:66" x14ac:dyDescent="0.25">
      <c r="I355" s="3"/>
      <c r="N355" s="3"/>
      <c r="O355" s="238"/>
      <c r="P355" s="3"/>
      <c r="Q355" s="3"/>
      <c r="R355" s="3"/>
      <c r="S355" s="3"/>
      <c r="T355" s="3"/>
      <c r="U355" s="238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236" t="s">
        <v>461</v>
      </c>
      <c r="AT355" s="237"/>
      <c r="AU355" s="237"/>
      <c r="AV355" s="237"/>
      <c r="AW355" s="237"/>
      <c r="AX355" s="3"/>
      <c r="BJ355" s="237"/>
      <c r="BK355" s="237"/>
      <c r="BL355" s="237"/>
      <c r="BM355" s="237"/>
      <c r="BN355" s="237"/>
    </row>
    <row r="356" spans="9:66" x14ac:dyDescent="0.25">
      <c r="I356" s="3"/>
      <c r="N356" s="3"/>
      <c r="O356" s="238"/>
      <c r="P356" s="3"/>
      <c r="Q356" s="3"/>
      <c r="R356" s="3"/>
      <c r="S356" s="3"/>
      <c r="T356" s="3"/>
      <c r="U356" s="238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238" t="s">
        <v>344</v>
      </c>
      <c r="AT356" s="1">
        <f>DET_CS_stillbirth_lbw_premature</f>
        <v>7.6548660672211805E-2</v>
      </c>
      <c r="AU356" s="1" t="s">
        <v>345</v>
      </c>
      <c r="AV356" s="1">
        <f>AT356*AP359</f>
        <v>1.0431606389309881E-5</v>
      </c>
      <c r="AW356" s="1" t="s">
        <v>346</v>
      </c>
      <c r="AX356" s="1">
        <f>AT356*AR359</f>
        <v>1.0431606389309881E-5</v>
      </c>
      <c r="AY356" s="1">
        <f>AY351+1</f>
        <v>89</v>
      </c>
      <c r="BA356" s="1">
        <f>det_cost_comparator*AV356</f>
        <v>0</v>
      </c>
      <c r="BB356" s="1">
        <f>$AV356*(VLOOKUP($AY356,'Pregnancy costs and utilities'!$A$23:$H$158,3))</f>
        <v>0.10385762584976628</v>
      </c>
      <c r="BC356" s="1">
        <f>SUM(BA356:BB356)</f>
        <v>0.10385762584976628</v>
      </c>
      <c r="BE356" s="1">
        <f>$AV356*(VLOOKUP($AY356,'Pregnancy costs and utilities'!$A$23:$I$158,9))</f>
        <v>0</v>
      </c>
      <c r="BF356" s="1">
        <f>$AV356*(VLOOKUP($AY356,'Pregnancy costs and utilities'!$A$23:$H$158,7))</f>
        <v>0</v>
      </c>
      <c r="BH356" s="1">
        <f>$BA356</f>
        <v>0</v>
      </c>
      <c r="BI356" s="1">
        <f>$AX356*(VLOOKUP($AY356,'Pregnancy costs and utilities'!$A$23:$H$158,5))</f>
        <v>1.1091683950539593E-2</v>
      </c>
      <c r="BJ356" s="3">
        <f>SUM(BH356:BI356)</f>
        <v>1.1091683950539593E-2</v>
      </c>
      <c r="BK356" s="3"/>
      <c r="BL356" s="3">
        <f>BC356+BI356</f>
        <v>0.11494930980030588</v>
      </c>
      <c r="BN356" s="1" t="str">
        <f>IF(AV356=AX356,"Okay",IF(AV356&gt;AX356,"Lost infant","Gained infant"))</f>
        <v>Okay</v>
      </c>
    </row>
    <row r="357" spans="9:66" x14ac:dyDescent="0.25">
      <c r="I357" s="3"/>
      <c r="N357" s="3"/>
      <c r="O357" s="238"/>
      <c r="P357" s="3"/>
      <c r="Q357" s="3"/>
      <c r="R357" s="3"/>
      <c r="S357" s="3"/>
      <c r="T357" s="3"/>
      <c r="U357" s="238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238"/>
      <c r="BJ357" s="3"/>
      <c r="BK357" s="3"/>
      <c r="BL357" s="3"/>
    </row>
    <row r="358" spans="9:66" x14ac:dyDescent="0.25">
      <c r="I358" s="3"/>
      <c r="N358" s="3"/>
      <c r="O358" s="238"/>
      <c r="P358" s="3"/>
      <c r="Q358" s="3"/>
      <c r="R358" s="3"/>
      <c r="S358" s="3"/>
      <c r="T358" s="3"/>
      <c r="U358" s="238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236" t="s">
        <v>457</v>
      </c>
      <c r="AN358" s="237"/>
      <c r="AO358" s="237"/>
      <c r="AP358" s="237"/>
      <c r="AQ358" s="237"/>
      <c r="AR358" s="371"/>
      <c r="AS358" s="238"/>
      <c r="BJ358" s="3"/>
      <c r="BK358" s="3"/>
      <c r="BL358" s="3"/>
    </row>
    <row r="359" spans="9:66" x14ac:dyDescent="0.25">
      <c r="I359" s="3"/>
      <c r="N359" s="3"/>
      <c r="O359" s="238"/>
      <c r="P359" s="3"/>
      <c r="Q359" s="3"/>
      <c r="R359" s="3"/>
      <c r="S359" s="3"/>
      <c r="T359" s="3"/>
      <c r="U359" s="238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238" t="s">
        <v>344</v>
      </c>
      <c r="AN359" s="3">
        <f>DET_CS_lbw_premature</f>
        <v>1</v>
      </c>
      <c r="AO359" s="3" t="s">
        <v>345</v>
      </c>
      <c r="AP359" s="3">
        <f>AN359*AJ363</f>
        <v>1.3627418556647191E-4</v>
      </c>
      <c r="AQ359" s="3" t="s">
        <v>346</v>
      </c>
      <c r="AR359" s="370">
        <f>AN359*AL363</f>
        <v>1.3627418556647191E-4</v>
      </c>
      <c r="AS359" s="238" t="s">
        <v>344</v>
      </c>
      <c r="AT359" s="1">
        <f>1-AT356</f>
        <v>0.92345133932778822</v>
      </c>
      <c r="AU359" s="1" t="s">
        <v>345</v>
      </c>
      <c r="AV359" s="1">
        <f>AT359*AP359</f>
        <v>1.2584257917716205E-4</v>
      </c>
      <c r="AW359" s="1" t="s">
        <v>346</v>
      </c>
      <c r="AX359" s="1">
        <f>AT359*AR359</f>
        <v>1.2584257917716205E-4</v>
      </c>
      <c r="AY359" s="1">
        <f>AY356+1</f>
        <v>90</v>
      </c>
      <c r="BA359" s="1">
        <f>det_cost_comparator*AV359</f>
        <v>0</v>
      </c>
      <c r="BB359" s="1">
        <f>$AV359*(VLOOKUP($AY359,'Pregnancy costs and utilities'!$A$23:$H$158,3))</f>
        <v>1.2528953850813318</v>
      </c>
      <c r="BC359" s="1">
        <f>SUM(BA359:BB359)</f>
        <v>1.2528953850813318</v>
      </c>
      <c r="BE359" s="1">
        <f>$AV359*(VLOOKUP($AY359,'Pregnancy costs and utilities'!$A$23:$I$158,9))</f>
        <v>0</v>
      </c>
      <c r="BF359" s="1">
        <f>$AV359*(VLOOKUP($AY359,'Pregnancy costs and utilities'!$A$23:$H$158,7))</f>
        <v>0</v>
      </c>
      <c r="BH359" s="1">
        <f>$BA359</f>
        <v>0</v>
      </c>
      <c r="BI359" s="1">
        <f>$AX359*(VLOOKUP($AY359,'Pregnancy costs and utilities'!$A$23:$H$158,5))</f>
        <v>2.0052447640831708</v>
      </c>
      <c r="BJ359" s="3">
        <f>SUM(BH359:BI359)</f>
        <v>2.0052447640831708</v>
      </c>
      <c r="BK359" s="3"/>
      <c r="BL359" s="3">
        <f>BC359+BI359</f>
        <v>3.2581401491645026</v>
      </c>
      <c r="BN359" s="1" t="str">
        <f>IF(AV359=AX359,"Okay",IF(AV359&gt;AX359,"Lost infant","Gained infant"))</f>
        <v>Okay</v>
      </c>
    </row>
    <row r="360" spans="9:66" x14ac:dyDescent="0.25">
      <c r="I360" s="3"/>
      <c r="N360" s="3"/>
      <c r="O360" s="238"/>
      <c r="P360" s="3"/>
      <c r="Q360" s="3"/>
      <c r="R360" s="3"/>
      <c r="S360" s="3"/>
      <c r="T360" s="3"/>
      <c r="U360" s="238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238"/>
      <c r="AN360" s="3"/>
      <c r="AO360" s="3"/>
      <c r="AP360" s="3"/>
      <c r="AQ360" s="3"/>
      <c r="AR360" s="3"/>
      <c r="AS360" s="240" t="s">
        <v>462</v>
      </c>
      <c r="AT360" s="235"/>
      <c r="AU360" s="235"/>
      <c r="AV360" s="235"/>
      <c r="AW360" s="235"/>
      <c r="AX360" s="235"/>
      <c r="AY360" s="235"/>
      <c r="AZ360" s="235"/>
      <c r="BA360" s="235"/>
      <c r="BB360" s="235"/>
      <c r="BC360" s="235"/>
      <c r="BD360" s="235"/>
      <c r="BE360" s="235"/>
      <c r="BF360" s="235"/>
      <c r="BG360" s="235"/>
      <c r="BH360" s="235"/>
      <c r="BI360" s="235"/>
      <c r="BJ360" s="235"/>
      <c r="BK360" s="235"/>
      <c r="BL360" s="235"/>
      <c r="BM360" s="235"/>
      <c r="BN360" s="235"/>
    </row>
    <row r="361" spans="9:66" x14ac:dyDescent="0.25">
      <c r="I361" s="3"/>
      <c r="N361" s="3"/>
      <c r="O361" s="238"/>
      <c r="P361" s="3"/>
      <c r="Q361" s="3"/>
      <c r="R361" s="3"/>
      <c r="S361" s="3"/>
      <c r="T361" s="3"/>
      <c r="U361" s="238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238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</row>
    <row r="362" spans="9:66" x14ac:dyDescent="0.25">
      <c r="I362" s="3"/>
      <c r="N362" s="3"/>
      <c r="O362" s="238"/>
      <c r="P362" s="3"/>
      <c r="Q362" s="3"/>
      <c r="R362" s="3"/>
      <c r="S362" s="3"/>
      <c r="T362" s="3"/>
      <c r="U362" s="238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236" t="s">
        <v>455</v>
      </c>
      <c r="AH362" s="237"/>
      <c r="AI362" s="237"/>
      <c r="AJ362" s="237"/>
      <c r="AK362" s="237"/>
      <c r="AL362" s="371"/>
      <c r="AM362" s="238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</row>
    <row r="363" spans="9:66" x14ac:dyDescent="0.25">
      <c r="I363" s="3"/>
      <c r="N363" s="3"/>
      <c r="O363" s="238"/>
      <c r="P363" s="3"/>
      <c r="Q363" s="3"/>
      <c r="R363" s="3"/>
      <c r="S363" s="3"/>
      <c r="T363" s="3"/>
      <c r="U363" s="238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238" t="s">
        <v>344</v>
      </c>
      <c r="AH363" s="3">
        <f>DET_MORT_previa</f>
        <v>5.0731599999999045E-5</v>
      </c>
      <c r="AI363" s="3" t="s">
        <v>345</v>
      </c>
      <c r="AJ363" s="3">
        <f>AH363*AD371</f>
        <v>1.3627418556647191E-4</v>
      </c>
      <c r="AK363" s="3" t="s">
        <v>346</v>
      </c>
      <c r="AL363" s="370">
        <f>AH363*AF371</f>
        <v>1.3627418556647191E-4</v>
      </c>
      <c r="AM363" s="238"/>
      <c r="AN363" s="3"/>
      <c r="AO363" s="3"/>
      <c r="AP363" s="3"/>
      <c r="AQ363" s="3"/>
      <c r="AR363" s="3"/>
      <c r="AS363" s="236" t="s">
        <v>463</v>
      </c>
      <c r="AT363" s="237"/>
      <c r="AU363" s="237"/>
      <c r="AV363" s="237"/>
      <c r="AW363" s="237"/>
      <c r="AX363" s="3"/>
      <c r="BJ363" s="237"/>
      <c r="BK363" s="237"/>
      <c r="BL363" s="237"/>
      <c r="BM363" s="237"/>
      <c r="BN363" s="237"/>
    </row>
    <row r="364" spans="9:66" x14ac:dyDescent="0.25">
      <c r="I364" s="3"/>
      <c r="N364" s="3"/>
      <c r="O364" s="238"/>
      <c r="P364" s="3"/>
      <c r="Q364" s="3"/>
      <c r="R364" s="3"/>
      <c r="S364" s="3"/>
      <c r="T364" s="3"/>
      <c r="U364" s="238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238"/>
      <c r="AH364" s="3"/>
      <c r="AI364" s="3"/>
      <c r="AJ364" s="3"/>
      <c r="AK364" s="3"/>
      <c r="AL364" s="3"/>
      <c r="AM364" s="238" t="s">
        <v>344</v>
      </c>
      <c r="AN364" s="1">
        <f>1-AN359</f>
        <v>0</v>
      </c>
      <c r="AO364" s="1" t="s">
        <v>345</v>
      </c>
      <c r="AP364" s="1">
        <f>AN364*AJ363</f>
        <v>0</v>
      </c>
      <c r="AQ364" s="1" t="s">
        <v>346</v>
      </c>
      <c r="AR364" s="1">
        <f>AN364*AL363</f>
        <v>0</v>
      </c>
      <c r="AS364" s="238" t="s">
        <v>344</v>
      </c>
      <c r="AT364" s="1">
        <f>DET_CS_stillbirth_nbw_premature</f>
        <v>9.5923131756814883E-3</v>
      </c>
      <c r="AU364" s="1" t="s">
        <v>345</v>
      </c>
      <c r="AV364" s="1">
        <f>AT364*AP364</f>
        <v>0</v>
      </c>
      <c r="AW364" s="1" t="s">
        <v>346</v>
      </c>
      <c r="AX364" s="1">
        <f>AT364*AR364</f>
        <v>0</v>
      </c>
      <c r="AY364" s="1">
        <f>AY359+1</f>
        <v>91</v>
      </c>
      <c r="BA364" s="1">
        <f>det_cost_comparator*AV364</f>
        <v>0</v>
      </c>
      <c r="BB364" s="1">
        <f>$AV364*(VLOOKUP($AY364,'Pregnancy costs and utilities'!$A$23:$H$158,3))</f>
        <v>0</v>
      </c>
      <c r="BC364" s="1">
        <f>SUM(BA364:BB364)</f>
        <v>0</v>
      </c>
      <c r="BE364" s="1">
        <f>$AV364*(VLOOKUP($AY364,'Pregnancy costs and utilities'!$A$23:$I$158,9))</f>
        <v>0</v>
      </c>
      <c r="BF364" s="1">
        <f>$AV364*(VLOOKUP($AY364,'Pregnancy costs and utilities'!$A$23:$H$158,7))</f>
        <v>0</v>
      </c>
      <c r="BH364" s="1">
        <f>$BA364</f>
        <v>0</v>
      </c>
      <c r="BI364" s="1">
        <f>$AX364*(VLOOKUP($AY364,'Pregnancy costs and utilities'!$A$23:$H$158,5))</f>
        <v>0</v>
      </c>
      <c r="BJ364" s="3">
        <f>SUM(BH364:BI364)</f>
        <v>0</v>
      </c>
      <c r="BK364" s="3"/>
      <c r="BL364" s="3">
        <f>BC364+BI364</f>
        <v>0</v>
      </c>
      <c r="BN364" s="1" t="str">
        <f>IF(AV364=AX364,"Okay",IF(AV364&gt;AX364,"Lost infant","Gained infant"))</f>
        <v>Okay</v>
      </c>
    </row>
    <row r="365" spans="9:66" x14ac:dyDescent="0.25">
      <c r="I365" s="3"/>
      <c r="N365" s="3"/>
      <c r="O365" s="238"/>
      <c r="P365" s="3"/>
      <c r="Q365" s="3"/>
      <c r="R365" s="3"/>
      <c r="S365" s="3"/>
      <c r="T365" s="3"/>
      <c r="U365" s="238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238"/>
      <c r="AH365" s="3"/>
      <c r="AI365" s="3"/>
      <c r="AJ365" s="3"/>
      <c r="AK365" s="3"/>
      <c r="AL365" s="3"/>
      <c r="AM365" s="240" t="s">
        <v>458</v>
      </c>
      <c r="AN365" s="235"/>
      <c r="AO365" s="235"/>
      <c r="AP365" s="235"/>
      <c r="AQ365" s="235"/>
      <c r="AR365" s="239"/>
      <c r="AS365" s="238"/>
      <c r="BJ365" s="3"/>
      <c r="BK365" s="3"/>
      <c r="BL365" s="3"/>
    </row>
    <row r="366" spans="9:66" x14ac:dyDescent="0.25">
      <c r="I366" s="3"/>
      <c r="N366" s="3"/>
      <c r="O366" s="238"/>
      <c r="P366" s="3"/>
      <c r="Q366" s="3"/>
      <c r="R366" s="3"/>
      <c r="S366" s="3"/>
      <c r="T366" s="3"/>
      <c r="U366" s="238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238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238"/>
      <c r="BJ366" s="3"/>
      <c r="BK366" s="3"/>
      <c r="BL366" s="3"/>
    </row>
    <row r="367" spans="9:66" x14ac:dyDescent="0.25">
      <c r="I367" s="3"/>
      <c r="N367" s="3"/>
      <c r="O367" s="238"/>
      <c r="P367" s="3"/>
      <c r="Q367" s="3"/>
      <c r="R367" s="3"/>
      <c r="S367" s="3"/>
      <c r="T367" s="3"/>
      <c r="U367" s="238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238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238" t="s">
        <v>344</v>
      </c>
      <c r="AT367" s="1">
        <f>1-AT364</f>
        <v>0.99040768682431857</v>
      </c>
      <c r="AU367" s="1" t="s">
        <v>345</v>
      </c>
      <c r="AV367" s="1">
        <f>AT367*AP364</f>
        <v>0</v>
      </c>
      <c r="AW367" s="1" t="s">
        <v>346</v>
      </c>
      <c r="AX367" s="1">
        <f>AT367*AR364</f>
        <v>0</v>
      </c>
      <c r="AY367" s="1">
        <f>AY364+1</f>
        <v>92</v>
      </c>
      <c r="BA367" s="1">
        <f>det_cost_comparator*AV367</f>
        <v>0</v>
      </c>
      <c r="BB367" s="1">
        <f>$AV367*(VLOOKUP($AY367,'Pregnancy costs and utilities'!$A$23:$H$158,3))</f>
        <v>0</v>
      </c>
      <c r="BC367" s="1">
        <f>SUM(BA367:BB367)</f>
        <v>0</v>
      </c>
      <c r="BE367" s="1">
        <f>$AV367*(VLOOKUP($AY367,'Pregnancy costs and utilities'!$A$23:$I$158,9))</f>
        <v>0</v>
      </c>
      <c r="BF367" s="1">
        <f>$AV367*(VLOOKUP($AY367,'Pregnancy costs and utilities'!$A$23:$H$158,7))</f>
        <v>0</v>
      </c>
      <c r="BH367" s="1">
        <f>$BA367</f>
        <v>0</v>
      </c>
      <c r="BI367" s="1">
        <f>$AX367*(VLOOKUP($AY367,'Pregnancy costs and utilities'!$A$23:$H$158,5))</f>
        <v>0</v>
      </c>
      <c r="BJ367" s="3">
        <f>SUM(BH367:BI367)</f>
        <v>0</v>
      </c>
      <c r="BK367" s="3"/>
      <c r="BL367" s="3">
        <f>BC367+BI367</f>
        <v>0</v>
      </c>
      <c r="BN367" s="1" t="str">
        <f>IF(AV367=AX367,"Okay",IF(AV367&gt;AX367,"Lost infant","Gained infant"))</f>
        <v>Okay</v>
      </c>
    </row>
    <row r="368" spans="9:66" x14ac:dyDescent="0.25">
      <c r="I368" s="3"/>
      <c r="N368" s="3"/>
      <c r="O368" s="238"/>
      <c r="P368" s="3"/>
      <c r="Q368" s="3"/>
      <c r="R368" s="3"/>
      <c r="S368" s="3"/>
      <c r="T368" s="3"/>
      <c r="U368" s="238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238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240" t="s">
        <v>464</v>
      </c>
      <c r="AT368" s="235"/>
      <c r="AU368" s="235"/>
      <c r="AV368" s="235"/>
      <c r="AW368" s="235"/>
      <c r="AX368" s="235"/>
      <c r="AY368" s="235"/>
      <c r="AZ368" s="235"/>
      <c r="BA368" s="235"/>
      <c r="BB368" s="235"/>
      <c r="BC368" s="235"/>
      <c r="BD368" s="235"/>
      <c r="BE368" s="235"/>
      <c r="BF368" s="235"/>
      <c r="BG368" s="235"/>
      <c r="BH368" s="235"/>
      <c r="BI368" s="235"/>
      <c r="BJ368" s="235"/>
      <c r="BK368" s="235"/>
      <c r="BL368" s="235"/>
      <c r="BM368" s="235"/>
      <c r="BN368" s="235"/>
    </row>
    <row r="369" spans="9:66" x14ac:dyDescent="0.25">
      <c r="I369" s="3"/>
      <c r="N369" s="3"/>
      <c r="O369" s="238"/>
      <c r="P369" s="3"/>
      <c r="Q369" s="3"/>
      <c r="R369" s="3"/>
      <c r="S369" s="3"/>
      <c r="T369" s="3"/>
      <c r="U369" s="238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238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</row>
    <row r="370" spans="9:66" x14ac:dyDescent="0.25">
      <c r="I370" s="3"/>
      <c r="N370" s="3"/>
      <c r="O370" s="238"/>
      <c r="P370" s="3"/>
      <c r="Q370" s="3"/>
      <c r="R370" s="3"/>
      <c r="S370" s="3"/>
      <c r="T370" s="3"/>
      <c r="U370" s="238"/>
      <c r="V370" s="3"/>
      <c r="W370" s="3"/>
      <c r="X370" s="3"/>
      <c r="Y370" s="3"/>
      <c r="Z370" s="3"/>
      <c r="AA370" s="236" t="s">
        <v>453</v>
      </c>
      <c r="AB370" s="237"/>
      <c r="AC370" s="237"/>
      <c r="AD370" s="237"/>
      <c r="AE370" s="237"/>
      <c r="AF370" s="371"/>
      <c r="AG370" s="238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</row>
    <row r="371" spans="9:66" x14ac:dyDescent="0.25">
      <c r="I371" s="3"/>
      <c r="N371" s="3"/>
      <c r="O371" s="238"/>
      <c r="P371" s="3"/>
      <c r="Q371" s="3"/>
      <c r="R371" s="3"/>
      <c r="S371" s="3"/>
      <c r="T371" s="3"/>
      <c r="U371" s="238"/>
      <c r="V371" s="3"/>
      <c r="W371" s="3"/>
      <c r="X371" s="3"/>
      <c r="Y371" s="3"/>
      <c r="Z371" s="3"/>
      <c r="AA371" s="238" t="s">
        <v>344</v>
      </c>
      <c r="AB371" s="3">
        <f>DET_CS_premature_previa</f>
        <v>0.31629499566076963</v>
      </c>
      <c r="AC371" s="3" t="s">
        <v>345</v>
      </c>
      <c r="AD371" s="3">
        <f>AB371*X387</f>
        <v>2.6861795324112481</v>
      </c>
      <c r="AE371" s="3" t="s">
        <v>346</v>
      </c>
      <c r="AF371" s="370">
        <f>AB371*Z387</f>
        <v>2.6861795324112481</v>
      </c>
      <c r="AG371" s="238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236" t="s">
        <v>465</v>
      </c>
      <c r="AT371" s="237"/>
      <c r="AU371" s="237"/>
      <c r="AV371" s="237"/>
      <c r="AW371" s="237"/>
      <c r="AX371" s="3"/>
      <c r="BJ371" s="237"/>
      <c r="BK371" s="237"/>
      <c r="BL371" s="237"/>
      <c r="BM371" s="237"/>
      <c r="BN371" s="237"/>
    </row>
    <row r="372" spans="9:66" x14ac:dyDescent="0.25">
      <c r="I372" s="3"/>
      <c r="O372" s="238"/>
      <c r="P372" s="3"/>
      <c r="U372" s="238"/>
      <c r="AA372" s="238"/>
      <c r="AB372" s="3"/>
      <c r="AC372" s="3"/>
      <c r="AD372" s="3"/>
      <c r="AE372" s="3"/>
      <c r="AF372" s="3"/>
      <c r="AG372" s="238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238" t="s">
        <v>344</v>
      </c>
      <c r="AT372" s="1">
        <f>DET_CS_stillbirth_lbw_premature</f>
        <v>7.6548660672211805E-2</v>
      </c>
      <c r="AU372" s="1" t="s">
        <v>345</v>
      </c>
      <c r="AV372" s="1">
        <f>AT372*AP375</f>
        <v>0.20561301392479989</v>
      </c>
      <c r="AW372" s="1" t="s">
        <v>346</v>
      </c>
      <c r="AX372" s="1">
        <f>AT372*AR375</f>
        <v>0.20561301392479989</v>
      </c>
      <c r="AY372" s="1">
        <f>AY367+1</f>
        <v>93</v>
      </c>
      <c r="BA372" s="1">
        <f>det_cost_comparator*AV372</f>
        <v>0</v>
      </c>
      <c r="BB372" s="1">
        <f>$AV372*(VLOOKUP($AY372,'Pregnancy costs and utilities'!$A$23:$H$158,3))</f>
        <v>1711.7433708919987</v>
      </c>
      <c r="BC372" s="1">
        <f>SUM(BA372:BB372)</f>
        <v>1711.7433708919987</v>
      </c>
      <c r="BE372" s="1">
        <f>$AV372*(VLOOKUP($AY372,'Pregnancy costs and utilities'!$A$23:$I$158,9))</f>
        <v>0.13048518191381531</v>
      </c>
      <c r="BF372" s="1">
        <f>$AV372*(VLOOKUP($AY372,'Pregnancy costs and utilities'!$A$23:$H$158,7))</f>
        <v>0.11356736040102708</v>
      </c>
      <c r="BH372" s="1">
        <f>$BA372</f>
        <v>0</v>
      </c>
      <c r="BI372" s="1">
        <f>$AX372*(VLOOKUP($AY372,'Pregnancy costs and utilities'!$A$23:$H$158,5))</f>
        <v>218.62352560664945</v>
      </c>
      <c r="BJ372" s="3">
        <f>SUM(BH372:BI372)</f>
        <v>218.62352560664945</v>
      </c>
      <c r="BK372" s="3"/>
      <c r="BL372" s="3">
        <f>BC372+BI372</f>
        <v>1930.3668964986482</v>
      </c>
      <c r="BN372" s="1" t="str">
        <f>IF(AV372=AX372,"Okay",IF(AV372&gt;AX372,"Lost infant","Gained infant"))</f>
        <v>Okay</v>
      </c>
    </row>
    <row r="373" spans="9:66" x14ac:dyDescent="0.25">
      <c r="I373" s="3"/>
      <c r="O373" s="238"/>
      <c r="P373" s="3"/>
      <c r="U373" s="238"/>
      <c r="AA373" s="238"/>
      <c r="AB373" s="3"/>
      <c r="AC373" s="3"/>
      <c r="AD373" s="3"/>
      <c r="AE373" s="3"/>
      <c r="AF373" s="3"/>
      <c r="AG373" s="238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238"/>
      <c r="BJ373" s="3"/>
      <c r="BK373" s="3"/>
      <c r="BL373" s="3"/>
    </row>
    <row r="374" spans="9:66" x14ac:dyDescent="0.25">
      <c r="I374" s="3"/>
      <c r="O374" s="238"/>
      <c r="P374" s="3"/>
      <c r="U374" s="238"/>
      <c r="AA374" s="238"/>
      <c r="AB374" s="3"/>
      <c r="AC374" s="3"/>
      <c r="AD374" s="3"/>
      <c r="AE374" s="3"/>
      <c r="AF374" s="3"/>
      <c r="AG374" s="238"/>
      <c r="AH374" s="3"/>
      <c r="AI374" s="3"/>
      <c r="AJ374" s="3"/>
      <c r="AK374" s="3"/>
      <c r="AL374" s="3"/>
      <c r="AM374" s="236" t="s">
        <v>459</v>
      </c>
      <c r="AN374" s="237"/>
      <c r="AO374" s="237"/>
      <c r="AP374" s="237"/>
      <c r="AQ374" s="237"/>
      <c r="AR374" s="371"/>
      <c r="AS374" s="238"/>
      <c r="BJ374" s="3"/>
      <c r="BK374" s="3"/>
      <c r="BL374" s="3"/>
    </row>
    <row r="375" spans="9:66" x14ac:dyDescent="0.25">
      <c r="I375" s="3"/>
      <c r="O375" s="238"/>
      <c r="P375" s="3"/>
      <c r="U375" s="238"/>
      <c r="AA375" s="238"/>
      <c r="AB375" s="3"/>
      <c r="AC375" s="3"/>
      <c r="AD375" s="3"/>
      <c r="AE375" s="3"/>
      <c r="AF375" s="3"/>
      <c r="AG375" s="238"/>
      <c r="AH375" s="3"/>
      <c r="AI375" s="3"/>
      <c r="AJ375" s="3"/>
      <c r="AK375" s="3"/>
      <c r="AL375" s="3"/>
      <c r="AM375" s="238" t="s">
        <v>344</v>
      </c>
      <c r="AN375" s="3">
        <f>DET_CS_lbw_premature</f>
        <v>1</v>
      </c>
      <c r="AO375" s="3" t="s">
        <v>345</v>
      </c>
      <c r="AP375" s="3">
        <f>AN375*AJ376</f>
        <v>2.6860432582256815</v>
      </c>
      <c r="AQ375" s="3" t="s">
        <v>346</v>
      </c>
      <c r="AR375" s="370">
        <f>AN375*AL376</f>
        <v>2.6860432582256815</v>
      </c>
      <c r="AS375" s="238" t="s">
        <v>344</v>
      </c>
      <c r="AT375" s="1">
        <f>1-AT372</f>
        <v>0.92345133932778822</v>
      </c>
      <c r="AU375" s="1" t="s">
        <v>345</v>
      </c>
      <c r="AV375" s="1">
        <f>AT375*AP375</f>
        <v>2.4804302443008814</v>
      </c>
      <c r="AW375" s="1" t="s">
        <v>346</v>
      </c>
      <c r="AX375" s="1">
        <f>AT375*AR375</f>
        <v>2.4804302443008814</v>
      </c>
      <c r="AY375" s="1">
        <f>AY372+1</f>
        <v>94</v>
      </c>
      <c r="BA375" s="1">
        <f>det_cost_comparator*AV375</f>
        <v>0</v>
      </c>
      <c r="BB375" s="1">
        <f>$AV375*(VLOOKUP($AY375,'Pregnancy costs and utilities'!$A$23:$H$158,3))</f>
        <v>20649.763099114527</v>
      </c>
      <c r="BC375" s="1">
        <f>SUM(BA375:BB375)</f>
        <v>20649.763099114527</v>
      </c>
      <c r="BE375" s="1">
        <f>$AV375*(VLOOKUP($AY375,'Pregnancy costs and utilities'!$A$23:$I$158,9))</f>
        <v>1.5741191934986363</v>
      </c>
      <c r="BF375" s="1">
        <f>$AV375*(VLOOKUP($AY375,'Pregnancy costs and utilities'!$A$23:$H$158,7))</f>
        <v>1.5274415207210699</v>
      </c>
      <c r="BH375" s="1">
        <f>$BA375</f>
        <v>0</v>
      </c>
      <c r="BI375" s="1">
        <f>$AX375*(VLOOKUP($AY375,'Pregnancy costs and utilities'!$A$23:$H$158,5))</f>
        <v>39524.537661101458</v>
      </c>
      <c r="BJ375" s="3">
        <f>SUM(BH375:BI375)</f>
        <v>39524.537661101458</v>
      </c>
      <c r="BK375" s="3"/>
      <c r="BL375" s="3">
        <f>BC375+BI375</f>
        <v>60174.300760215985</v>
      </c>
      <c r="BN375" s="1" t="str">
        <f>IF(AV375=AX375,"Okay",IF(AV375&gt;AX375,"Lost infant","Gained infant"))</f>
        <v>Okay</v>
      </c>
    </row>
    <row r="376" spans="9:66" x14ac:dyDescent="0.25">
      <c r="I376" s="3"/>
      <c r="O376" s="238"/>
      <c r="P376" s="3"/>
      <c r="U376" s="238"/>
      <c r="AA376" s="238"/>
      <c r="AB376" s="3"/>
      <c r="AC376" s="3"/>
      <c r="AD376" s="3"/>
      <c r="AE376" s="3"/>
      <c r="AF376" s="3"/>
      <c r="AG376" s="238" t="s">
        <v>344</v>
      </c>
      <c r="AH376" s="1">
        <f>1-AH363</f>
        <v>0.99994926839999998</v>
      </c>
      <c r="AI376" s="1" t="s">
        <v>345</v>
      </c>
      <c r="AJ376" s="1">
        <f>AH376*AD371</f>
        <v>2.6860432582256815</v>
      </c>
      <c r="AK376" s="1" t="s">
        <v>346</v>
      </c>
      <c r="AL376" s="1">
        <f>AH376*AF371</f>
        <v>2.6860432582256815</v>
      </c>
      <c r="AM376" s="238"/>
      <c r="AN376" s="3"/>
      <c r="AO376" s="3"/>
      <c r="AP376" s="3"/>
      <c r="AQ376" s="3"/>
      <c r="AR376" s="3"/>
      <c r="AS376" s="240" t="s">
        <v>466</v>
      </c>
      <c r="AT376" s="235"/>
      <c r="AU376" s="235"/>
      <c r="AV376" s="235"/>
      <c r="AW376" s="235"/>
      <c r="AX376" s="235"/>
      <c r="AY376" s="235"/>
      <c r="AZ376" s="235"/>
      <c r="BA376" s="235"/>
      <c r="BB376" s="235"/>
      <c r="BC376" s="235"/>
      <c r="BD376" s="235"/>
      <c r="BE376" s="235"/>
      <c r="BF376" s="235"/>
      <c r="BG376" s="235"/>
      <c r="BH376" s="235"/>
      <c r="BI376" s="235"/>
      <c r="BJ376" s="235"/>
      <c r="BK376" s="235"/>
      <c r="BL376" s="235"/>
      <c r="BM376" s="235"/>
      <c r="BN376" s="235"/>
    </row>
    <row r="377" spans="9:66" x14ac:dyDescent="0.25">
      <c r="I377" s="3"/>
      <c r="O377" s="238"/>
      <c r="P377" s="3"/>
      <c r="U377" s="238"/>
      <c r="AA377" s="238"/>
      <c r="AB377" s="3"/>
      <c r="AC377" s="3"/>
      <c r="AD377" s="3"/>
      <c r="AE377" s="3"/>
      <c r="AF377" s="3"/>
      <c r="AG377" s="240" t="s">
        <v>456</v>
      </c>
      <c r="AH377" s="235"/>
      <c r="AI377" s="235"/>
      <c r="AJ377" s="235"/>
      <c r="AK377" s="235"/>
      <c r="AL377" s="239"/>
      <c r="AM377" s="238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</row>
    <row r="378" spans="9:66" x14ac:dyDescent="0.25">
      <c r="I378" s="3"/>
      <c r="O378" s="238"/>
      <c r="P378" s="3"/>
      <c r="U378" s="238"/>
      <c r="AA378" s="238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238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</row>
    <row r="379" spans="9:66" x14ac:dyDescent="0.25">
      <c r="I379" s="3"/>
      <c r="O379" s="238"/>
      <c r="P379" s="3"/>
      <c r="U379" s="238"/>
      <c r="AA379" s="238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238"/>
      <c r="AN379" s="3"/>
      <c r="AO379" s="3"/>
      <c r="AP379" s="3"/>
      <c r="AQ379" s="3"/>
      <c r="AR379" s="3"/>
      <c r="AS379" s="236" t="s">
        <v>467</v>
      </c>
      <c r="AT379" s="237"/>
      <c r="AU379" s="237"/>
      <c r="AV379" s="237"/>
      <c r="AW379" s="237"/>
      <c r="AX379" s="3"/>
      <c r="BJ379" s="237"/>
      <c r="BK379" s="237"/>
      <c r="BL379" s="237"/>
      <c r="BM379" s="237"/>
      <c r="BN379" s="237"/>
    </row>
    <row r="380" spans="9:66" x14ac:dyDescent="0.25">
      <c r="I380" s="3"/>
      <c r="O380" s="238"/>
      <c r="P380" s="3"/>
      <c r="U380" s="238"/>
      <c r="AA380" s="238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238" t="s">
        <v>344</v>
      </c>
      <c r="AN380" s="1">
        <f>1-AN375</f>
        <v>0</v>
      </c>
      <c r="AO380" s="1" t="s">
        <v>345</v>
      </c>
      <c r="AP380" s="1">
        <f>AN380*AJ376</f>
        <v>0</v>
      </c>
      <c r="AQ380" s="1" t="s">
        <v>346</v>
      </c>
      <c r="AR380" s="1">
        <f>AN380*AL376</f>
        <v>0</v>
      </c>
      <c r="AS380" s="238" t="s">
        <v>344</v>
      </c>
      <c r="AT380" s="1">
        <f>DET_CS_stillbirth_nbw_premature</f>
        <v>9.5923131756814883E-3</v>
      </c>
      <c r="AU380" s="1" t="s">
        <v>345</v>
      </c>
      <c r="AV380" s="1">
        <f>AT380*AP380</f>
        <v>0</v>
      </c>
      <c r="AW380" s="1" t="s">
        <v>346</v>
      </c>
      <c r="AX380" s="1">
        <f>AT380*AR380</f>
        <v>0</v>
      </c>
      <c r="AY380" s="1">
        <f>AY375+1</f>
        <v>95</v>
      </c>
      <c r="BA380" s="1">
        <f>det_cost_comparator*AV380</f>
        <v>0</v>
      </c>
      <c r="BB380" s="1">
        <f>$AV380*(VLOOKUP($AY380,'Pregnancy costs and utilities'!$A$23:$H$158,3))</f>
        <v>0</v>
      </c>
      <c r="BC380" s="1">
        <f>SUM(BA380:BB380)</f>
        <v>0</v>
      </c>
      <c r="BE380" s="1">
        <f>$AV380*(VLOOKUP($AY380,'Pregnancy costs and utilities'!$A$23:$I$158,9))</f>
        <v>0</v>
      </c>
      <c r="BF380" s="1">
        <f>$AV380*(VLOOKUP($AY380,'Pregnancy costs and utilities'!$A$23:$H$158,7))</f>
        <v>0</v>
      </c>
      <c r="BH380" s="1">
        <f>$BA380</f>
        <v>0</v>
      </c>
      <c r="BI380" s="1">
        <f>$AX380*(VLOOKUP($AY380,'Pregnancy costs and utilities'!$A$23:$H$158,5))</f>
        <v>0</v>
      </c>
      <c r="BJ380" s="3">
        <f>SUM(BH380:BI380)</f>
        <v>0</v>
      </c>
      <c r="BK380" s="3"/>
      <c r="BL380" s="3">
        <f>BC380+BI380</f>
        <v>0</v>
      </c>
      <c r="BN380" s="1" t="str">
        <f>IF(AV380=AX380,"Okay",IF(AV380&gt;AX380,"Lost infant","Gained infant"))</f>
        <v>Okay</v>
      </c>
    </row>
    <row r="381" spans="9:66" x14ac:dyDescent="0.25">
      <c r="I381" s="3"/>
      <c r="O381" s="238"/>
      <c r="P381" s="3"/>
      <c r="U381" s="238"/>
      <c r="AA381" s="238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240" t="s">
        <v>460</v>
      </c>
      <c r="AN381" s="235"/>
      <c r="AO381" s="235"/>
      <c r="AP381" s="235"/>
      <c r="AQ381" s="235"/>
      <c r="AR381" s="239"/>
      <c r="AS381" s="238"/>
      <c r="BJ381" s="3"/>
      <c r="BK381" s="3"/>
      <c r="BL381" s="3"/>
    </row>
    <row r="382" spans="9:66" x14ac:dyDescent="0.25">
      <c r="I382" s="3"/>
      <c r="O382" s="238"/>
      <c r="P382" s="3"/>
      <c r="U382" s="238"/>
      <c r="AA382" s="238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238"/>
      <c r="BJ382" s="3"/>
      <c r="BK382" s="3"/>
      <c r="BL382" s="3"/>
    </row>
    <row r="383" spans="9:66" x14ac:dyDescent="0.25">
      <c r="I383" s="3"/>
      <c r="O383" s="238"/>
      <c r="P383" s="3"/>
      <c r="U383" s="238"/>
      <c r="AA383" s="238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238" t="s">
        <v>344</v>
      </c>
      <c r="AT383" s="1">
        <f>1-AT380</f>
        <v>0.99040768682431857</v>
      </c>
      <c r="AU383" s="1" t="s">
        <v>345</v>
      </c>
      <c r="AV383" s="1">
        <f>AT383*AP380</f>
        <v>0</v>
      </c>
      <c r="AW383" s="1" t="s">
        <v>346</v>
      </c>
      <c r="AX383" s="1">
        <f>AT383*AR380</f>
        <v>0</v>
      </c>
      <c r="AY383" s="1">
        <f>AY380+1</f>
        <v>96</v>
      </c>
      <c r="BA383" s="1">
        <f>det_cost_comparator*AV383</f>
        <v>0</v>
      </c>
      <c r="BB383" s="1">
        <f>$AV383*(VLOOKUP($AY383,'Pregnancy costs and utilities'!$A$23:$H$158,3))</f>
        <v>0</v>
      </c>
      <c r="BC383" s="1">
        <f>SUM(BA383:BB383)</f>
        <v>0</v>
      </c>
      <c r="BE383" s="1">
        <f>$AV383*(VLOOKUP($AY383,'Pregnancy costs and utilities'!$A$23:$I$158,9))</f>
        <v>0</v>
      </c>
      <c r="BF383" s="1">
        <f>$AV383*(VLOOKUP($AY383,'Pregnancy costs and utilities'!$A$23:$H$158,7))</f>
        <v>0</v>
      </c>
      <c r="BH383" s="1">
        <f>$BA383</f>
        <v>0</v>
      </c>
      <c r="BI383" s="1">
        <f>$AX383*(VLOOKUP($AY383,'Pregnancy costs and utilities'!$A$23:$H$158,5))</f>
        <v>0</v>
      </c>
      <c r="BJ383" s="3">
        <f>SUM(BH383:BI383)</f>
        <v>0</v>
      </c>
      <c r="BK383" s="3"/>
      <c r="BL383" s="3">
        <f>BC383+BI383</f>
        <v>0</v>
      </c>
      <c r="BN383" s="1" t="str">
        <f>IF(AV383=AX383,"Okay",IF(AV383&gt;AX383,"Lost infant","Gained infant"))</f>
        <v>Okay</v>
      </c>
    </row>
    <row r="384" spans="9:66" x14ac:dyDescent="0.25">
      <c r="I384" s="3"/>
      <c r="O384" s="238"/>
      <c r="P384" s="3"/>
      <c r="U384" s="238"/>
      <c r="AA384" s="238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240" t="s">
        <v>468</v>
      </c>
      <c r="AT384" s="235"/>
      <c r="AU384" s="235"/>
      <c r="AV384" s="235"/>
      <c r="AW384" s="235"/>
      <c r="AX384" s="235"/>
      <c r="AY384" s="235"/>
      <c r="AZ384" s="235"/>
      <c r="BA384" s="235"/>
      <c r="BB384" s="235"/>
      <c r="BC384" s="235"/>
      <c r="BD384" s="235"/>
      <c r="BE384" s="235"/>
      <c r="BF384" s="235"/>
      <c r="BG384" s="235"/>
      <c r="BH384" s="235"/>
      <c r="BI384" s="235"/>
      <c r="BJ384" s="235"/>
      <c r="BK384" s="235"/>
      <c r="BL384" s="235"/>
      <c r="BM384" s="235"/>
      <c r="BN384" s="235"/>
    </row>
    <row r="385" spans="9:66" x14ac:dyDescent="0.25">
      <c r="I385" s="3"/>
      <c r="O385" s="238"/>
      <c r="P385" s="3"/>
      <c r="U385" s="238"/>
      <c r="V385" s="3"/>
      <c r="W385" s="3"/>
      <c r="X385" s="3"/>
      <c r="Y385" s="3"/>
      <c r="Z385" s="3"/>
      <c r="AA385" s="238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</row>
    <row r="386" spans="9:66" x14ac:dyDescent="0.25">
      <c r="I386" s="3"/>
      <c r="O386" s="238"/>
      <c r="P386" s="3"/>
      <c r="U386" s="236" t="s">
        <v>385</v>
      </c>
      <c r="V386" s="237"/>
      <c r="W386" s="237"/>
      <c r="X386" s="237"/>
      <c r="Y386" s="237"/>
      <c r="Z386" s="371"/>
      <c r="AA386" s="238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</row>
    <row r="387" spans="9:66" x14ac:dyDescent="0.25">
      <c r="I387" s="3"/>
      <c r="O387" s="238"/>
      <c r="P387" s="3"/>
      <c r="U387" s="238" t="s">
        <v>344</v>
      </c>
      <c r="V387" s="3">
        <f>DET_CS_previa</f>
        <v>9.6107170094338838E-3</v>
      </c>
      <c r="W387" s="3" t="s">
        <v>345</v>
      </c>
      <c r="X387" s="3">
        <f>V387*R416</f>
        <v>8.4926400014630943</v>
      </c>
      <c r="Y387" s="3" t="s">
        <v>346</v>
      </c>
      <c r="Z387" s="370">
        <f>V387*T416</f>
        <v>8.4926400014630943</v>
      </c>
      <c r="AA387" s="238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236" t="s">
        <v>469</v>
      </c>
      <c r="AT387" s="237"/>
      <c r="AU387" s="237"/>
      <c r="AV387" s="237"/>
      <c r="AW387" s="237"/>
      <c r="AX387" s="237"/>
      <c r="AY387" s="237"/>
      <c r="AZ387" s="237"/>
      <c r="BA387" s="237"/>
      <c r="BB387" s="237"/>
      <c r="BC387" s="237"/>
      <c r="BD387" s="237"/>
      <c r="BE387" s="237"/>
      <c r="BF387" s="237"/>
      <c r="BG387" s="237"/>
      <c r="BH387" s="237"/>
      <c r="BI387" s="237"/>
      <c r="BJ387" s="237"/>
      <c r="BK387" s="237"/>
      <c r="BL387" s="237"/>
      <c r="BM387" s="237"/>
      <c r="BN387" s="237"/>
    </row>
    <row r="388" spans="9:66" x14ac:dyDescent="0.25">
      <c r="I388" s="3"/>
      <c r="O388" s="238"/>
      <c r="P388" s="3"/>
      <c r="U388" s="238"/>
      <c r="V388" s="3"/>
      <c r="W388" s="3"/>
      <c r="X388" s="3"/>
      <c r="Y388" s="3"/>
      <c r="Z388" s="3"/>
      <c r="AA388" s="238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238" t="s">
        <v>344</v>
      </c>
      <c r="AT388" s="3">
        <f>DET_CS_stillbirth_lbw_fullgest</f>
        <v>1.9354764795137105E-2</v>
      </c>
      <c r="AU388" s="3" t="s">
        <v>345</v>
      </c>
      <c r="AV388" s="3">
        <f>AT388*AP391</f>
        <v>2.7956218030228305E-7</v>
      </c>
      <c r="AW388" s="3" t="s">
        <v>346</v>
      </c>
      <c r="AX388" s="3">
        <f>AT388*AR391</f>
        <v>2.7956218030228305E-7</v>
      </c>
      <c r="AY388" s="3">
        <f>AY383+1</f>
        <v>97</v>
      </c>
      <c r="AZ388" s="3"/>
      <c r="BA388" s="3">
        <f>det_cost_comparator*AV388</f>
        <v>0</v>
      </c>
      <c r="BB388" s="3">
        <f>$AV388*(VLOOKUP($AY388,'Pregnancy costs and utilities'!$A$23:$H$158,3))</f>
        <v>2.472179704017276E-3</v>
      </c>
      <c r="BC388" s="3">
        <f>SUM(BA388:BB388)</f>
        <v>2.472179704017276E-3</v>
      </c>
      <c r="BD388" s="3"/>
      <c r="BE388" s="3">
        <f>$AV388*(VLOOKUP($AY388,'Pregnancy costs and utilities'!$A$23:$I$158,9))</f>
        <v>0</v>
      </c>
      <c r="BF388" s="3">
        <f>$AV388*(VLOOKUP($AY388,'Pregnancy costs and utilities'!$A$23:$H$158,7))</f>
        <v>0</v>
      </c>
      <c r="BG388" s="3"/>
      <c r="BH388" s="3">
        <f>$BA388</f>
        <v>0</v>
      </c>
      <c r="BI388" s="3">
        <f>$AX388*(VLOOKUP($AY388,'Pregnancy costs and utilities'!$A$23:$H$158,5))</f>
        <v>2.9725195072681688E-4</v>
      </c>
      <c r="BJ388" s="3">
        <f>SUM(BH388:BI388)</f>
        <v>2.9725195072681688E-4</v>
      </c>
      <c r="BK388" s="3"/>
      <c r="BL388" s="3">
        <f>BC388+BI388</f>
        <v>2.7694316547440929E-3</v>
      </c>
      <c r="BN388" s="1" t="str">
        <f>IF(AV388=AX388,"Okay",IF(AV388&gt;AX388,"Lost infant","Gained infant"))</f>
        <v>Okay</v>
      </c>
    </row>
    <row r="389" spans="9:66" x14ac:dyDescent="0.25">
      <c r="I389" s="3"/>
      <c r="O389" s="238"/>
      <c r="P389" s="3"/>
      <c r="U389" s="238"/>
      <c r="V389" s="3"/>
      <c r="W389" s="3"/>
      <c r="X389" s="3"/>
      <c r="Y389" s="3"/>
      <c r="Z389" s="3"/>
      <c r="AA389" s="238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238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</row>
    <row r="390" spans="9:66" x14ac:dyDescent="0.25">
      <c r="I390" s="3"/>
      <c r="O390" s="238"/>
      <c r="P390" s="3"/>
      <c r="U390" s="238"/>
      <c r="V390" s="3"/>
      <c r="W390" s="3"/>
      <c r="X390" s="3"/>
      <c r="Y390" s="3"/>
      <c r="Z390" s="3"/>
      <c r="AA390" s="238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236" t="s">
        <v>477</v>
      </c>
      <c r="AN390" s="237"/>
      <c r="AO390" s="237"/>
      <c r="AP390" s="237"/>
      <c r="AQ390" s="237"/>
      <c r="AR390" s="371"/>
      <c r="AS390" s="238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</row>
    <row r="391" spans="9:66" x14ac:dyDescent="0.25">
      <c r="I391" s="3"/>
      <c r="O391" s="238"/>
      <c r="P391" s="3"/>
      <c r="U391" s="238"/>
      <c r="V391" s="3"/>
      <c r="W391" s="3"/>
      <c r="X391" s="3"/>
      <c r="Y391" s="3"/>
      <c r="Z391" s="3"/>
      <c r="AA391" s="238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238" t="s">
        <v>344</v>
      </c>
      <c r="AN391" s="3">
        <f>DET_CS_lbw_fullgest</f>
        <v>4.9034357338086171E-2</v>
      </c>
      <c r="AO391" s="3" t="s">
        <v>345</v>
      </c>
      <c r="AP391" s="3">
        <f>AN391*AJ395</f>
        <v>1.4444101143121264E-5</v>
      </c>
      <c r="AQ391" s="3" t="s">
        <v>346</v>
      </c>
      <c r="AR391" s="370">
        <f>AN391*AL395</f>
        <v>1.4444101143121264E-5</v>
      </c>
      <c r="AS391" s="238" t="s">
        <v>344</v>
      </c>
      <c r="AT391" s="3">
        <f>1-AT388</f>
        <v>0.98064523520486291</v>
      </c>
      <c r="AU391" s="3" t="s">
        <v>345</v>
      </c>
      <c r="AV391" s="3">
        <f>AT391*AP391</f>
        <v>1.416453896281898E-5</v>
      </c>
      <c r="AW391" s="3" t="s">
        <v>346</v>
      </c>
      <c r="AX391" s="3">
        <f>AT391*AR391</f>
        <v>1.416453896281898E-5</v>
      </c>
      <c r="AY391" s="3">
        <f>AY388+1</f>
        <v>98</v>
      </c>
      <c r="AZ391" s="3"/>
      <c r="BA391" s="3">
        <f>det_cost_comparator*AV391</f>
        <v>0</v>
      </c>
      <c r="BB391" s="3">
        <f>$AV391*(VLOOKUP($AY391,'Pregnancy costs and utilities'!$A$23:$H$158,3))</f>
        <v>0.12525759279305862</v>
      </c>
      <c r="BC391" s="3">
        <f>SUM(BA391:BB391)</f>
        <v>0.12525759279305862</v>
      </c>
      <c r="BD391" s="3"/>
      <c r="BE391" s="3">
        <f>$AV391*(VLOOKUP($AY391,'Pregnancy costs and utilities'!$A$23:$I$158,9))</f>
        <v>0</v>
      </c>
      <c r="BF391" s="3">
        <f>$AV391*(VLOOKUP($AY391,'Pregnancy costs and utilities'!$A$23:$H$158,7))</f>
        <v>0</v>
      </c>
      <c r="BG391" s="3"/>
      <c r="BH391" s="3">
        <f>$BA391</f>
        <v>0</v>
      </c>
      <c r="BI391" s="3">
        <f>$AX391*(VLOOKUP($AY391,'Pregnancy costs and utilities'!$A$23:$H$158,5))</f>
        <v>3.747749647550367E-2</v>
      </c>
      <c r="BJ391" s="3">
        <f>SUM(BH391:BI391)</f>
        <v>3.747749647550367E-2</v>
      </c>
      <c r="BK391" s="3"/>
      <c r="BL391" s="3">
        <f>BC391+BI391</f>
        <v>0.16273508926856228</v>
      </c>
      <c r="BN391" s="1" t="str">
        <f>IF(AV391=AX391,"Okay",IF(AV391&gt;AX391,"Lost infant","Gained infant"))</f>
        <v>Okay</v>
      </c>
    </row>
    <row r="392" spans="9:66" x14ac:dyDescent="0.25">
      <c r="I392" s="3"/>
      <c r="O392" s="238"/>
      <c r="P392" s="3"/>
      <c r="U392" s="238"/>
      <c r="V392" s="3"/>
      <c r="W392" s="3"/>
      <c r="X392" s="3"/>
      <c r="Y392" s="3"/>
      <c r="Z392" s="3"/>
      <c r="AA392" s="238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238"/>
      <c r="AN392" s="3"/>
      <c r="AO392" s="3"/>
      <c r="AP392" s="3"/>
      <c r="AQ392" s="3"/>
      <c r="AR392" s="3"/>
      <c r="AS392" s="240" t="s">
        <v>470</v>
      </c>
      <c r="AT392" s="235"/>
      <c r="AU392" s="235"/>
      <c r="AV392" s="235"/>
      <c r="AW392" s="235"/>
      <c r="AX392" s="235"/>
      <c r="AY392" s="235"/>
      <c r="AZ392" s="235"/>
      <c r="BA392" s="235"/>
      <c r="BB392" s="235"/>
      <c r="BC392" s="235"/>
      <c r="BD392" s="235"/>
      <c r="BE392" s="235"/>
      <c r="BF392" s="235"/>
      <c r="BG392" s="235"/>
      <c r="BH392" s="235"/>
      <c r="BI392" s="235"/>
      <c r="BJ392" s="235"/>
      <c r="BK392" s="235"/>
      <c r="BL392" s="235"/>
      <c r="BM392" s="235"/>
      <c r="BN392" s="235"/>
    </row>
    <row r="393" spans="9:66" x14ac:dyDescent="0.25">
      <c r="I393" s="3"/>
      <c r="O393" s="238"/>
      <c r="P393" s="3"/>
      <c r="U393" s="238"/>
      <c r="V393" s="3"/>
      <c r="W393" s="3"/>
      <c r="X393" s="3"/>
      <c r="Y393" s="3"/>
      <c r="Z393" s="3"/>
      <c r="AA393" s="238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238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</row>
    <row r="394" spans="9:66" x14ac:dyDescent="0.25">
      <c r="I394" s="3"/>
      <c r="O394" s="238"/>
      <c r="P394" s="3"/>
      <c r="U394" s="238"/>
      <c r="V394" s="3"/>
      <c r="W394" s="3"/>
      <c r="X394" s="3"/>
      <c r="Y394" s="3"/>
      <c r="Z394" s="3"/>
      <c r="AA394" s="238"/>
      <c r="AB394" s="3"/>
      <c r="AC394" s="3"/>
      <c r="AD394" s="3"/>
      <c r="AE394" s="3"/>
      <c r="AF394" s="3"/>
      <c r="AG394" s="236" t="s">
        <v>481</v>
      </c>
      <c r="AH394" s="237"/>
      <c r="AI394" s="237"/>
      <c r="AJ394" s="237"/>
      <c r="AK394" s="237"/>
      <c r="AL394" s="371"/>
      <c r="AM394" s="238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</row>
    <row r="395" spans="9:66" x14ac:dyDescent="0.25">
      <c r="I395" s="3"/>
      <c r="O395" s="238"/>
      <c r="P395" s="3"/>
      <c r="U395" s="238"/>
      <c r="V395" s="3"/>
      <c r="W395" s="3"/>
      <c r="X395" s="3"/>
      <c r="Y395" s="3"/>
      <c r="Z395" s="3"/>
      <c r="AA395" s="238"/>
      <c r="AB395" s="3"/>
      <c r="AC395" s="3"/>
      <c r="AD395" s="3"/>
      <c r="AE395" s="3"/>
      <c r="AF395" s="3"/>
      <c r="AG395" s="238" t="s">
        <v>344</v>
      </c>
      <c r="AH395" s="3">
        <f>DET_MORT_previa</f>
        <v>5.0731599999999045E-5</v>
      </c>
      <c r="AI395" s="3" t="s">
        <v>345</v>
      </c>
      <c r="AJ395" s="3">
        <f>AH395*AD400</f>
        <v>2.9457102993174505E-4</v>
      </c>
      <c r="AK395" s="3" t="s">
        <v>346</v>
      </c>
      <c r="AL395" s="370">
        <f>AH395*AF400</f>
        <v>2.9457102993174505E-4</v>
      </c>
      <c r="AM395" s="238"/>
      <c r="AN395" s="3"/>
      <c r="AO395" s="3"/>
      <c r="AP395" s="3"/>
      <c r="AQ395" s="3"/>
      <c r="AR395" s="3"/>
      <c r="AS395" s="236" t="s">
        <v>471</v>
      </c>
      <c r="AT395" s="237"/>
      <c r="AU395" s="237"/>
      <c r="AV395" s="237"/>
      <c r="AW395" s="237"/>
      <c r="AX395" s="237"/>
      <c r="AY395" s="237"/>
      <c r="AZ395" s="237"/>
      <c r="BA395" s="237"/>
      <c r="BB395" s="237"/>
      <c r="BC395" s="237"/>
      <c r="BD395" s="237"/>
      <c r="BE395" s="237"/>
      <c r="BF395" s="237"/>
      <c r="BG395" s="237"/>
      <c r="BH395" s="237"/>
      <c r="BI395" s="237"/>
      <c r="BJ395" s="237"/>
      <c r="BK395" s="237"/>
      <c r="BL395" s="237"/>
      <c r="BM395" s="237"/>
      <c r="BN395" s="237"/>
    </row>
    <row r="396" spans="9:66" x14ac:dyDescent="0.25">
      <c r="I396" s="3"/>
      <c r="O396" s="238"/>
      <c r="P396" s="3"/>
      <c r="U396" s="238"/>
      <c r="V396" s="3"/>
      <c r="W396" s="3"/>
      <c r="X396" s="3"/>
      <c r="Y396" s="3"/>
      <c r="Z396" s="3"/>
      <c r="AA396" s="238"/>
      <c r="AB396" s="3"/>
      <c r="AC396" s="3"/>
      <c r="AD396" s="3"/>
      <c r="AE396" s="3"/>
      <c r="AF396" s="3"/>
      <c r="AG396" s="238"/>
      <c r="AH396" s="3"/>
      <c r="AI396" s="3"/>
      <c r="AJ396" s="3"/>
      <c r="AK396" s="3"/>
      <c r="AL396" s="3"/>
      <c r="AM396" s="238" t="s">
        <v>344</v>
      </c>
      <c r="AN396" s="1">
        <f>1-AN391</f>
        <v>0.95096564266191386</v>
      </c>
      <c r="AO396" s="1" t="s">
        <v>345</v>
      </c>
      <c r="AP396" s="1">
        <f>AN396*AJ395</f>
        <v>2.8012692878862382E-4</v>
      </c>
      <c r="AQ396" s="1" t="s">
        <v>346</v>
      </c>
      <c r="AR396" s="1">
        <f>AN396*AL395</f>
        <v>2.8012692878862382E-4</v>
      </c>
      <c r="AS396" s="238" t="s">
        <v>344</v>
      </c>
      <c r="AT396" s="3">
        <f>DET_CS_stillbirth_nbw_fullgest</f>
        <v>2.0298526728661924E-3</v>
      </c>
      <c r="AU396" s="3" t="s">
        <v>345</v>
      </c>
      <c r="AV396" s="3">
        <f>AT396*AP396</f>
        <v>5.6861639514338565E-7</v>
      </c>
      <c r="AW396" s="3" t="s">
        <v>346</v>
      </c>
      <c r="AX396" s="3">
        <f>AT396*AR396</f>
        <v>5.6861639514338565E-7</v>
      </c>
      <c r="AY396" s="3">
        <f>AY391+1</f>
        <v>99</v>
      </c>
      <c r="AZ396" s="3"/>
      <c r="BA396" s="3">
        <f>det_cost_comparator*AV396</f>
        <v>0</v>
      </c>
      <c r="BB396" s="3">
        <f>$AV396*(VLOOKUP($AY396,'Pregnancy costs and utilities'!$A$23:$H$158,3))</f>
        <v>5.0282978546131547E-3</v>
      </c>
      <c r="BC396" s="3">
        <f>SUM(BA396:BB396)</f>
        <v>5.0282978546131547E-3</v>
      </c>
      <c r="BD396" s="3"/>
      <c r="BE396" s="3">
        <f>$AV396*(VLOOKUP($AY396,'Pregnancy costs and utilities'!$A$23:$I$158,9))</f>
        <v>0</v>
      </c>
      <c r="BF396" s="3">
        <f>$AV396*(VLOOKUP($AY396,'Pregnancy costs and utilities'!$A$23:$H$158,7))</f>
        <v>0</v>
      </c>
      <c r="BG396" s="3"/>
      <c r="BH396" s="3">
        <f>$BA396</f>
        <v>0</v>
      </c>
      <c r="BI396" s="3">
        <f>$AX396*(VLOOKUP($AY396,'Pregnancy costs and utilities'!$A$23:$H$158,5))</f>
        <v>6.045965605535864E-4</v>
      </c>
      <c r="BJ396" s="3">
        <f>SUM(BH396:BI396)</f>
        <v>6.045965605535864E-4</v>
      </c>
      <c r="BK396" s="3"/>
      <c r="BL396" s="3">
        <f>BC396+BI396</f>
        <v>5.6328944151667407E-3</v>
      </c>
      <c r="BN396" s="1" t="str">
        <f>IF(AV396=AX396,"Okay",IF(AV396&gt;AX396,"Lost infant","Gained infant"))</f>
        <v>Okay</v>
      </c>
    </row>
    <row r="397" spans="9:66" x14ac:dyDescent="0.25">
      <c r="I397" s="3"/>
      <c r="O397" s="238"/>
      <c r="P397" s="3"/>
      <c r="U397" s="238"/>
      <c r="V397" s="3"/>
      <c r="W397" s="3"/>
      <c r="X397" s="3"/>
      <c r="Y397" s="3"/>
      <c r="Z397" s="3"/>
      <c r="AA397" s="238"/>
      <c r="AB397" s="3"/>
      <c r="AC397" s="3"/>
      <c r="AD397" s="3"/>
      <c r="AE397" s="3"/>
      <c r="AF397" s="3"/>
      <c r="AG397" s="238"/>
      <c r="AH397" s="3"/>
      <c r="AI397" s="3"/>
      <c r="AJ397" s="3"/>
      <c r="AK397" s="3"/>
      <c r="AL397" s="3"/>
      <c r="AM397" s="240" t="s">
        <v>478</v>
      </c>
      <c r="AN397" s="235"/>
      <c r="AO397" s="235"/>
      <c r="AP397" s="235"/>
      <c r="AQ397" s="235"/>
      <c r="AR397" s="239"/>
      <c r="AS397" s="238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</row>
    <row r="398" spans="9:66" x14ac:dyDescent="0.25">
      <c r="I398" s="3"/>
      <c r="O398" s="238"/>
      <c r="P398" s="3"/>
      <c r="U398" s="238"/>
      <c r="V398" s="3"/>
      <c r="W398" s="3"/>
      <c r="X398" s="3"/>
      <c r="Y398" s="3"/>
      <c r="Z398" s="3"/>
      <c r="AA398" s="238"/>
      <c r="AB398" s="3"/>
      <c r="AC398" s="3"/>
      <c r="AD398" s="3"/>
      <c r="AE398" s="3"/>
      <c r="AF398" s="3"/>
      <c r="AG398" s="238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238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</row>
    <row r="399" spans="9:66" x14ac:dyDescent="0.25">
      <c r="I399" s="3"/>
      <c r="O399" s="238"/>
      <c r="P399" s="3"/>
      <c r="U399" s="238"/>
      <c r="V399" s="3"/>
      <c r="W399" s="3"/>
      <c r="X399" s="3"/>
      <c r="Y399" s="3"/>
      <c r="Z399" s="3"/>
      <c r="AA399" s="238"/>
      <c r="AB399" s="3"/>
      <c r="AC399" s="3"/>
      <c r="AD399" s="3"/>
      <c r="AE399" s="3"/>
      <c r="AF399" s="3"/>
      <c r="AG399" s="238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238" t="s">
        <v>344</v>
      </c>
      <c r="AT399" s="3">
        <f>1-AT396</f>
        <v>0.99797014732713385</v>
      </c>
      <c r="AU399" s="3" t="s">
        <v>345</v>
      </c>
      <c r="AV399" s="3">
        <f>AT399*AP396</f>
        <v>2.7955831239348045E-4</v>
      </c>
      <c r="AW399" s="3" t="s">
        <v>346</v>
      </c>
      <c r="AX399" s="3">
        <f>AT399*AR396</f>
        <v>2.7955831239348045E-4</v>
      </c>
      <c r="AY399" s="3">
        <f>AY396+1</f>
        <v>100</v>
      </c>
      <c r="AZ399" s="3"/>
      <c r="BA399" s="3">
        <f>det_cost_comparator*AV399</f>
        <v>0</v>
      </c>
      <c r="BB399" s="3">
        <f>$AV399*(VLOOKUP($AY399,'Pregnancy costs and utilities'!$A$23:$H$158,3))</f>
        <v>2.4721454999427892</v>
      </c>
      <c r="BC399" s="3">
        <f>SUM(BA399:BB399)</f>
        <v>2.4721454999427892</v>
      </c>
      <c r="BD399" s="3"/>
      <c r="BE399" s="3">
        <f>$AV399*(VLOOKUP($AY399,'Pregnancy costs and utilities'!$A$23:$I$158,9))</f>
        <v>0</v>
      </c>
      <c r="BF399" s="3">
        <f>$AV399*(VLOOKUP($AY399,'Pregnancy costs and utilities'!$A$23:$H$158,7))</f>
        <v>0</v>
      </c>
      <c r="BG399" s="3"/>
      <c r="BH399" s="3">
        <f>$BA399</f>
        <v>0</v>
      </c>
      <c r="BI399" s="3">
        <f>$AX399*(VLOOKUP($AY399,'Pregnancy costs and utilities'!$A$23:$H$158,5))</f>
        <v>0.73967431590440491</v>
      </c>
      <c r="BJ399" s="3">
        <f>SUM(BH399:BI399)</f>
        <v>0.73967431590440491</v>
      </c>
      <c r="BK399" s="3"/>
      <c r="BL399" s="3">
        <f>BC399+BI399</f>
        <v>3.211819815847194</v>
      </c>
      <c r="BN399" s="1" t="str">
        <f>IF(AV399=AX399,"Okay",IF(AV399&gt;AX399,"Lost infant","Gained infant"))</f>
        <v>Okay</v>
      </c>
    </row>
    <row r="400" spans="9:66" x14ac:dyDescent="0.25">
      <c r="I400" s="3"/>
      <c r="O400" s="238"/>
      <c r="P400" s="3"/>
      <c r="U400" s="238"/>
      <c r="V400" s="3"/>
      <c r="W400" s="3"/>
      <c r="X400" s="3"/>
      <c r="Y400" s="3"/>
      <c r="Z400" s="3"/>
      <c r="AA400" s="238" t="s">
        <v>344</v>
      </c>
      <c r="AB400" s="1">
        <f>1-AB371</f>
        <v>0.68370500433923032</v>
      </c>
      <c r="AC400" s="1" t="s">
        <v>345</v>
      </c>
      <c r="AD400" s="1">
        <f>AB400*X387</f>
        <v>5.8064604690518458</v>
      </c>
      <c r="AE400" s="1" t="s">
        <v>346</v>
      </c>
      <c r="AF400" s="1">
        <f>AB400*Z387</f>
        <v>5.8064604690518458</v>
      </c>
      <c r="AG400" s="238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240" t="s">
        <v>472</v>
      </c>
      <c r="AT400" s="235"/>
      <c r="AU400" s="235"/>
      <c r="AV400" s="235"/>
      <c r="AW400" s="235"/>
      <c r="AX400" s="235"/>
      <c r="AY400" s="235"/>
      <c r="AZ400" s="235"/>
      <c r="BA400" s="235"/>
      <c r="BB400" s="235"/>
      <c r="BC400" s="235"/>
      <c r="BD400" s="235"/>
      <c r="BE400" s="235"/>
      <c r="BF400" s="235"/>
      <c r="BG400" s="235"/>
      <c r="BH400" s="235"/>
      <c r="BI400" s="235"/>
      <c r="BJ400" s="235"/>
      <c r="BK400" s="235"/>
      <c r="BL400" s="235"/>
      <c r="BM400" s="235"/>
      <c r="BN400" s="235"/>
    </row>
    <row r="401" spans="9:66" x14ac:dyDescent="0.25">
      <c r="I401" s="3"/>
      <c r="O401" s="238"/>
      <c r="P401" s="3"/>
      <c r="U401" s="238"/>
      <c r="V401" s="3"/>
      <c r="W401" s="3"/>
      <c r="X401" s="3"/>
      <c r="Y401" s="3"/>
      <c r="Z401" s="3"/>
      <c r="AA401" s="240" t="s">
        <v>454</v>
      </c>
      <c r="AB401" s="235"/>
      <c r="AC401" s="235"/>
      <c r="AD401" s="235"/>
      <c r="AE401" s="235"/>
      <c r="AF401" s="239"/>
      <c r="AG401" s="238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</row>
    <row r="402" spans="9:66" x14ac:dyDescent="0.25">
      <c r="I402" s="3"/>
      <c r="O402" s="238"/>
      <c r="P402" s="3"/>
      <c r="U402" s="238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238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</row>
    <row r="403" spans="9:66" x14ac:dyDescent="0.25">
      <c r="I403" s="3"/>
      <c r="O403" s="238"/>
      <c r="P403" s="3"/>
      <c r="U403" s="238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238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236" t="s">
        <v>473</v>
      </c>
      <c r="AT403" s="237"/>
      <c r="AU403" s="237"/>
      <c r="AV403" s="237"/>
      <c r="AW403" s="237"/>
      <c r="AX403" s="237"/>
      <c r="AY403" s="237"/>
      <c r="AZ403" s="237"/>
      <c r="BA403" s="237"/>
      <c r="BB403" s="237"/>
      <c r="BC403" s="237"/>
      <c r="BD403" s="237"/>
      <c r="BE403" s="237"/>
      <c r="BF403" s="237"/>
      <c r="BG403" s="237"/>
      <c r="BH403" s="237"/>
      <c r="BI403" s="237"/>
      <c r="BJ403" s="237"/>
      <c r="BK403" s="237"/>
      <c r="BL403" s="237"/>
      <c r="BM403" s="237"/>
      <c r="BN403" s="237"/>
    </row>
    <row r="404" spans="9:66" x14ac:dyDescent="0.25">
      <c r="I404" s="3"/>
      <c r="O404" s="238"/>
      <c r="P404" s="3"/>
      <c r="U404" s="238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238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238" t="s">
        <v>344</v>
      </c>
      <c r="AT404" s="3">
        <f>DET_CS_stillbirth_lbw_fullgest</f>
        <v>1.9354764795137105E-2</v>
      </c>
      <c r="AU404" s="3" t="s">
        <v>345</v>
      </c>
      <c r="AV404" s="3">
        <f>AT404*AP407</f>
        <v>5.5103327643043418E-3</v>
      </c>
      <c r="AW404" s="3" t="s">
        <v>346</v>
      </c>
      <c r="AX404" s="3">
        <f>AT404*AR407</f>
        <v>5.5103327643043418E-3</v>
      </c>
      <c r="AY404" s="3">
        <f>AY399+1</f>
        <v>101</v>
      </c>
      <c r="AZ404" s="3"/>
      <c r="BA404" s="3">
        <f>det_cost_comparator*AV404</f>
        <v>0</v>
      </c>
      <c r="BB404" s="3">
        <f>$AV404*(VLOOKUP($AY404,'Pregnancy costs and utilities'!$A$23:$H$158,3))</f>
        <v>39.740854359043361</v>
      </c>
      <c r="BC404" s="3">
        <f>SUM(BA404:BB404)</f>
        <v>39.740854359043361</v>
      </c>
      <c r="BD404" s="3"/>
      <c r="BE404" s="3">
        <f>$AV404*(VLOOKUP($AY404,'Pregnancy costs and utilities'!$A$23:$I$158,9))</f>
        <v>4.0267816354531728E-3</v>
      </c>
      <c r="BF404" s="3">
        <f>$AV404*(VLOOKUP($AY404,'Pregnancy costs and utilities'!$A$23:$H$158,7))</f>
        <v>3.5046965068554598E-3</v>
      </c>
      <c r="BG404" s="3"/>
      <c r="BH404" s="3">
        <f>$BA404</f>
        <v>0</v>
      </c>
      <c r="BI404" s="3">
        <f>$AX404*(VLOOKUP($AY404,'Pregnancy costs and utilities'!$A$23:$H$158,5))</f>
        <v>5.8590084022534086</v>
      </c>
      <c r="BJ404" s="3">
        <f>SUM(BH404:BI404)</f>
        <v>5.8590084022534086</v>
      </c>
      <c r="BK404" s="3"/>
      <c r="BL404" s="3">
        <f>BC404+BI404</f>
        <v>45.59986276129677</v>
      </c>
      <c r="BN404" s="1" t="str">
        <f>IF(AV404=AX404,"Okay",IF(AV404&gt;AX404,"Lost infant","Gained infant"))</f>
        <v>Okay</v>
      </c>
    </row>
    <row r="405" spans="9:66" x14ac:dyDescent="0.25">
      <c r="I405" s="3"/>
      <c r="O405" s="238"/>
      <c r="P405" s="3"/>
      <c r="U405" s="238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238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238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</row>
    <row r="406" spans="9:66" x14ac:dyDescent="0.25">
      <c r="I406" s="3"/>
      <c r="O406" s="238"/>
      <c r="P406" s="3"/>
      <c r="U406" s="238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238"/>
      <c r="AH406" s="3"/>
      <c r="AI406" s="3"/>
      <c r="AJ406" s="3"/>
      <c r="AK406" s="3"/>
      <c r="AL406" s="3"/>
      <c r="AM406" s="236" t="s">
        <v>479</v>
      </c>
      <c r="AN406" s="237"/>
      <c r="AO406" s="237"/>
      <c r="AP406" s="237"/>
      <c r="AQ406" s="237"/>
      <c r="AR406" s="371"/>
      <c r="AS406" s="238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</row>
    <row r="407" spans="9:66" x14ac:dyDescent="0.25">
      <c r="I407" s="3"/>
      <c r="O407" s="238"/>
      <c r="P407" s="3"/>
      <c r="U407" s="238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238"/>
      <c r="AH407" s="3"/>
      <c r="AI407" s="3"/>
      <c r="AJ407" s="3"/>
      <c r="AK407" s="3"/>
      <c r="AL407" s="3"/>
      <c r="AM407" s="238" t="s">
        <v>344</v>
      </c>
      <c r="AN407" s="3">
        <f>DET_CS_lbw_fullgest</f>
        <v>4.9034357338086171E-2</v>
      </c>
      <c r="AO407" s="3" t="s">
        <v>345</v>
      </c>
      <c r="AP407" s="3">
        <f>AN407*AJ408</f>
        <v>0.28470161340781652</v>
      </c>
      <c r="AQ407" s="3" t="s">
        <v>346</v>
      </c>
      <c r="AR407" s="370">
        <f>AN407*AL408</f>
        <v>0.28470161340781652</v>
      </c>
      <c r="AS407" s="238" t="s">
        <v>344</v>
      </c>
      <c r="AT407" s="3">
        <f>1-AT404</f>
        <v>0.98064523520486291</v>
      </c>
      <c r="AU407" s="3" t="s">
        <v>345</v>
      </c>
      <c r="AV407" s="3">
        <f>AT407*AP407</f>
        <v>0.27919128064351217</v>
      </c>
      <c r="AW407" s="3" t="s">
        <v>346</v>
      </c>
      <c r="AX407" s="3">
        <f>AT407*AR407</f>
        <v>0.27919128064351217</v>
      </c>
      <c r="AY407" s="3">
        <f>AY404+1</f>
        <v>102</v>
      </c>
      <c r="AZ407" s="3"/>
      <c r="BA407" s="3">
        <f>det_cost_comparator*AV407</f>
        <v>0</v>
      </c>
      <c r="BB407" s="3">
        <f>$AV407*(VLOOKUP($AY407,'Pregnancy costs and utilities'!$A$23:$H$158,3))</f>
        <v>2013.5444621862794</v>
      </c>
      <c r="BC407" s="3">
        <f>SUM(BA407:BB407)</f>
        <v>2013.5444621862794</v>
      </c>
      <c r="BD407" s="3"/>
      <c r="BE407" s="3">
        <f>$AV407*(VLOOKUP($AY407,'Pregnancy costs and utilities'!$A$23:$I$158,9))</f>
        <v>0.2040243973933358</v>
      </c>
      <c r="BF407" s="3">
        <f>$AV407*(VLOOKUP($AY407,'Pregnancy costs and utilities'!$A$23:$H$158,7))</f>
        <v>0.19797442093697887</v>
      </c>
      <c r="BG407" s="3"/>
      <c r="BH407" s="3">
        <f>$BA407</f>
        <v>0</v>
      </c>
      <c r="BI407" s="3">
        <f>$AX407*(VLOOKUP($AY407,'Pregnancy costs and utilities'!$A$23:$H$158,5))</f>
        <v>738.70319844326195</v>
      </c>
      <c r="BJ407" s="3">
        <f>SUM(BH407:BI407)</f>
        <v>738.70319844326195</v>
      </c>
      <c r="BK407" s="3"/>
      <c r="BL407" s="3">
        <f>BC407+BI407</f>
        <v>2752.2476606295413</v>
      </c>
      <c r="BN407" s="1" t="str">
        <f>IF(AV407=AX407,"Okay",IF(AV407&gt;AX407,"Lost infant","Gained infant"))</f>
        <v>Okay</v>
      </c>
    </row>
    <row r="408" spans="9:66" x14ac:dyDescent="0.25">
      <c r="I408" s="3"/>
      <c r="O408" s="238"/>
      <c r="P408" s="3"/>
      <c r="U408" s="238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238" t="s">
        <v>344</v>
      </c>
      <c r="AH408" s="1">
        <f>1-AH395</f>
        <v>0.99994926839999998</v>
      </c>
      <c r="AI408" s="1" t="s">
        <v>345</v>
      </c>
      <c r="AJ408" s="1">
        <f>AH408*AD400</f>
        <v>5.8061658980219137</v>
      </c>
      <c r="AK408" s="1" t="s">
        <v>346</v>
      </c>
      <c r="AL408" s="1">
        <f>AH408*AF400</f>
        <v>5.8061658980219137</v>
      </c>
      <c r="AM408" s="238"/>
      <c r="AN408" s="3"/>
      <c r="AO408" s="3"/>
      <c r="AP408" s="3"/>
      <c r="AQ408" s="3"/>
      <c r="AR408" s="3"/>
      <c r="AS408" s="240" t="s">
        <v>474</v>
      </c>
      <c r="AT408" s="235"/>
      <c r="AU408" s="235"/>
      <c r="AV408" s="235"/>
      <c r="AW408" s="235"/>
      <c r="AX408" s="235"/>
      <c r="AY408" s="235"/>
      <c r="AZ408" s="235"/>
      <c r="BA408" s="235"/>
      <c r="BB408" s="235"/>
      <c r="BC408" s="235"/>
      <c r="BD408" s="235"/>
      <c r="BE408" s="235"/>
      <c r="BF408" s="235"/>
      <c r="BG408" s="235"/>
      <c r="BH408" s="235"/>
      <c r="BI408" s="235"/>
      <c r="BJ408" s="235"/>
      <c r="BK408" s="235"/>
      <c r="BL408" s="235"/>
      <c r="BM408" s="235"/>
      <c r="BN408" s="235"/>
    </row>
    <row r="409" spans="9:66" x14ac:dyDescent="0.25">
      <c r="I409" s="3"/>
      <c r="O409" s="238"/>
      <c r="P409" s="3"/>
      <c r="U409" s="238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240" t="s">
        <v>482</v>
      </c>
      <c r="AH409" s="235"/>
      <c r="AI409" s="235"/>
      <c r="AJ409" s="235"/>
      <c r="AK409" s="235"/>
      <c r="AL409" s="239"/>
      <c r="AM409" s="238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</row>
    <row r="410" spans="9:66" x14ac:dyDescent="0.25">
      <c r="I410" s="3"/>
      <c r="O410" s="238"/>
      <c r="P410" s="3"/>
      <c r="U410" s="238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238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</row>
    <row r="411" spans="9:66" x14ac:dyDescent="0.25">
      <c r="I411" s="3"/>
      <c r="O411" s="238"/>
      <c r="P411" s="3"/>
      <c r="U411" s="238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238"/>
      <c r="AN411" s="3"/>
      <c r="AO411" s="3"/>
      <c r="AP411" s="3"/>
      <c r="AQ411" s="3"/>
      <c r="AR411" s="3"/>
      <c r="AS411" s="236" t="s">
        <v>475</v>
      </c>
      <c r="AT411" s="237"/>
      <c r="AU411" s="237"/>
      <c r="AV411" s="237"/>
      <c r="AW411" s="237"/>
      <c r="AX411" s="3"/>
      <c r="BJ411" s="237"/>
      <c r="BK411" s="237"/>
      <c r="BL411" s="237"/>
      <c r="BM411" s="237"/>
      <c r="BN411" s="237"/>
    </row>
    <row r="412" spans="9:66" x14ac:dyDescent="0.25">
      <c r="I412" s="3"/>
      <c r="O412" s="238"/>
      <c r="P412" s="3"/>
      <c r="U412" s="238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238" t="s">
        <v>344</v>
      </c>
      <c r="AN412" s="1">
        <f>1-AN407</f>
        <v>0.95096564266191386</v>
      </c>
      <c r="AO412" s="1" t="s">
        <v>345</v>
      </c>
      <c r="AP412" s="1">
        <f>AN412*AJ408</f>
        <v>5.5214642846140976</v>
      </c>
      <c r="AQ412" s="1" t="s">
        <v>346</v>
      </c>
      <c r="AR412" s="1">
        <f>AN412*AL408</f>
        <v>5.5214642846140976</v>
      </c>
      <c r="AS412" s="238" t="s">
        <v>344</v>
      </c>
      <c r="AT412" s="1">
        <f>DET_CS_stillbirth_nbw_fullgest</f>
        <v>2.0298526728661924E-3</v>
      </c>
      <c r="AU412" s="1" t="s">
        <v>345</v>
      </c>
      <c r="AV412" s="1">
        <f>AT412*AP412</f>
        <v>1.1207759036259144E-2</v>
      </c>
      <c r="AW412" s="1" t="s">
        <v>346</v>
      </c>
      <c r="AX412" s="1">
        <f>AT412*AR412</f>
        <v>1.1207759036259144E-2</v>
      </c>
      <c r="AY412" s="1">
        <f>AY407+1</f>
        <v>103</v>
      </c>
      <c r="BA412" s="1">
        <f>det_cost_comparator*AV412</f>
        <v>0</v>
      </c>
      <c r="BB412" s="1">
        <f>$AV412*(VLOOKUP($AY412,'Pregnancy costs and utilities'!$A$23:$H$158,3))</f>
        <v>80.831038451351603</v>
      </c>
      <c r="BC412" s="1">
        <f>SUM(BA412:BB412)</f>
        <v>80.831038451351603</v>
      </c>
      <c r="BE412" s="1">
        <f>$AV412*(VLOOKUP($AY412,'Pregnancy costs and utilities'!$A$23:$I$158,9))</f>
        <v>8.1902854495739894E-3</v>
      </c>
      <c r="BF412" s="1">
        <f>$AV412*(VLOOKUP($AY412,'Pregnancy costs and utilities'!$A$23:$H$158,7))</f>
        <v>7.1283887242722735E-3</v>
      </c>
      <c r="BH412" s="1">
        <f>$BA412</f>
        <v>0</v>
      </c>
      <c r="BI412" s="1">
        <f>$AX412*(VLOOKUP($AY412,'Pregnancy costs and utilities'!$A$23:$H$158,5))</f>
        <v>11.916948970715023</v>
      </c>
      <c r="BJ412" s="3">
        <f>SUM(BH412:BI412)</f>
        <v>11.916948970715023</v>
      </c>
      <c r="BK412" s="3"/>
      <c r="BL412" s="3">
        <f>BC412+BI412</f>
        <v>92.747987422066629</v>
      </c>
      <c r="BN412" s="1" t="str">
        <f>IF(AV412=AX412,"Okay",IF(AV412&gt;AX412,"Lost infant","Gained infant"))</f>
        <v>Okay</v>
      </c>
    </row>
    <row r="413" spans="9:66" x14ac:dyDescent="0.25">
      <c r="I413" s="3"/>
      <c r="O413" s="238"/>
      <c r="P413" s="3"/>
      <c r="U413" s="238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240" t="s">
        <v>480</v>
      </c>
      <c r="AN413" s="235"/>
      <c r="AO413" s="235"/>
      <c r="AP413" s="235"/>
      <c r="AQ413" s="235"/>
      <c r="AR413" s="239"/>
      <c r="AS413" s="238"/>
      <c r="BJ413" s="3"/>
      <c r="BK413" s="3"/>
      <c r="BL413" s="3"/>
    </row>
    <row r="414" spans="9:66" x14ac:dyDescent="0.25">
      <c r="I414" s="3"/>
      <c r="O414" s="238"/>
      <c r="P414" s="3"/>
      <c r="U414" s="238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238"/>
      <c r="BJ414" s="3"/>
      <c r="BK414" s="3"/>
      <c r="BL414" s="3"/>
    </row>
    <row r="415" spans="9:66" x14ac:dyDescent="0.25">
      <c r="I415" s="3"/>
      <c r="O415" s="238"/>
      <c r="P415" s="3"/>
      <c r="U415" s="238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238" t="s">
        <v>344</v>
      </c>
      <c r="AT415" s="1">
        <f>1-AT412</f>
        <v>0.99797014732713385</v>
      </c>
      <c r="AU415" s="1" t="s">
        <v>345</v>
      </c>
      <c r="AV415" s="1">
        <f>AT415*AP412</f>
        <v>5.5102565255778391</v>
      </c>
      <c r="AW415" s="1" t="s">
        <v>346</v>
      </c>
      <c r="AX415" s="1">
        <f>AT415*AR412</f>
        <v>5.5102565255778391</v>
      </c>
      <c r="AY415" s="1">
        <f>AY412+1</f>
        <v>104</v>
      </c>
      <c r="BA415" s="1">
        <f>det_cost_comparator*AV415</f>
        <v>0</v>
      </c>
      <c r="BB415" s="1">
        <f>$AV415*(VLOOKUP($AY415,'Pregnancy costs and utilities'!$A$23:$H$158,3))</f>
        <v>39740.304520720332</v>
      </c>
      <c r="BC415" s="1">
        <f>SUM(BA415:BB415)</f>
        <v>39740.304520720332</v>
      </c>
      <c r="BE415" s="1">
        <f>$AV415*(VLOOKUP($AY415,'Pregnancy costs and utilities'!$A$23:$I$158,9))</f>
        <v>4.0267259225376515</v>
      </c>
      <c r="BF415" s="1">
        <f>$AV415*(VLOOKUP($AY415,'Pregnancy costs and utilities'!$A$23:$H$158,7))</f>
        <v>3.9073206095515354</v>
      </c>
      <c r="BH415" s="1">
        <f>$BA415</f>
        <v>0</v>
      </c>
      <c r="BI415" s="1">
        <f>$AX415*(VLOOKUP($AY415,'Pregnancy costs and utilities'!$A$23:$H$158,5))</f>
        <v>14579.409895270288</v>
      </c>
      <c r="BJ415" s="3">
        <f>SUM(BH415:BI415)</f>
        <v>14579.409895270288</v>
      </c>
      <c r="BK415" s="3"/>
      <c r="BL415" s="3">
        <f>BC415+BI415</f>
        <v>54319.714415990617</v>
      </c>
      <c r="BN415" s="1" t="str">
        <f>IF(AV415=AX415,"Okay",IF(AV415&gt;AX415,"Lost infant","Gained infant"))</f>
        <v>Okay</v>
      </c>
    </row>
    <row r="416" spans="9:66" x14ac:dyDescent="0.25">
      <c r="I416" s="3"/>
      <c r="O416" s="238" t="s">
        <v>344</v>
      </c>
      <c r="P416" s="3">
        <f>1-P279-P287</f>
        <v>0.90132957755402632</v>
      </c>
      <c r="Q416" s="1" t="s">
        <v>345</v>
      </c>
      <c r="R416" s="1">
        <f>P416*L346</f>
        <v>883.66351783396749</v>
      </c>
      <c r="S416" s="1" t="s">
        <v>346</v>
      </c>
      <c r="T416" s="1">
        <f>P416*N346</f>
        <v>883.66351783396749</v>
      </c>
      <c r="U416" s="238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240" t="s">
        <v>476</v>
      </c>
      <c r="AT416" s="235"/>
      <c r="AU416" s="235"/>
      <c r="AV416" s="235"/>
      <c r="AW416" s="235"/>
      <c r="AX416" s="235"/>
      <c r="AY416" s="235"/>
      <c r="AZ416" s="235"/>
      <c r="BA416" s="235"/>
      <c r="BB416" s="235"/>
      <c r="BC416" s="235"/>
      <c r="BD416" s="235"/>
      <c r="BE416" s="235"/>
      <c r="BF416" s="235"/>
      <c r="BG416" s="235"/>
      <c r="BH416" s="235"/>
      <c r="BI416" s="235"/>
      <c r="BJ416" s="235"/>
      <c r="BK416" s="235"/>
      <c r="BL416" s="235"/>
      <c r="BM416" s="235"/>
      <c r="BN416" s="235"/>
    </row>
    <row r="417" spans="9:66" x14ac:dyDescent="0.25">
      <c r="I417" s="3"/>
      <c r="O417" s="240" t="s">
        <v>390</v>
      </c>
      <c r="P417" s="235"/>
      <c r="Q417" s="235"/>
      <c r="R417" s="235"/>
      <c r="S417" s="235"/>
      <c r="T417" s="239"/>
      <c r="U417" s="238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</row>
    <row r="418" spans="9:66" x14ac:dyDescent="0.25">
      <c r="I418" s="3"/>
      <c r="O418" s="237"/>
      <c r="U418" s="238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</row>
    <row r="419" spans="9:66" x14ac:dyDescent="0.25">
      <c r="I419" s="3"/>
      <c r="O419" s="3"/>
      <c r="U419" s="238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236" t="s">
        <v>497</v>
      </c>
      <c r="AT419" s="237"/>
      <c r="AU419" s="237"/>
      <c r="AV419" s="237"/>
      <c r="AW419" s="237"/>
      <c r="AX419" s="237"/>
      <c r="AY419" s="237"/>
      <c r="AZ419" s="237"/>
      <c r="BA419" s="237"/>
      <c r="BB419" s="237"/>
      <c r="BC419" s="237"/>
      <c r="BD419" s="237"/>
      <c r="BE419" s="237"/>
      <c r="BF419" s="237"/>
      <c r="BG419" s="237"/>
      <c r="BH419" s="237"/>
      <c r="BI419" s="237"/>
      <c r="BJ419" s="237"/>
      <c r="BK419" s="237"/>
      <c r="BL419" s="237"/>
      <c r="BM419" s="237"/>
      <c r="BN419" s="237"/>
    </row>
    <row r="420" spans="9:66" x14ac:dyDescent="0.25">
      <c r="I420" s="3"/>
      <c r="O420" s="3"/>
      <c r="U420" s="238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238" t="s">
        <v>344</v>
      </c>
      <c r="AT420" s="3">
        <f>DET_CS_stillbirth_lbw_premature</f>
        <v>7.6548660672211805E-2</v>
      </c>
      <c r="AU420" s="3" t="s">
        <v>345</v>
      </c>
      <c r="AV420" s="3">
        <f>AT420*AP423</f>
        <v>4.3686348196486206E-5</v>
      </c>
      <c r="AW420" s="3" t="s">
        <v>346</v>
      </c>
      <c r="AX420" s="3">
        <f>AT420*AR423</f>
        <v>4.3686348196486206E-5</v>
      </c>
      <c r="AY420" s="3">
        <f>AY415+1</f>
        <v>105</v>
      </c>
      <c r="AZ420" s="3"/>
      <c r="BA420" s="3">
        <f>det_cost_comparator*AV420</f>
        <v>0</v>
      </c>
      <c r="BB420" s="3">
        <f>$AV420*(VLOOKUP($AY420,'Pregnancy costs and utilities'!$A$23:$H$158,3))</f>
        <v>0.36657064433970493</v>
      </c>
      <c r="BC420" s="3">
        <f>SUM(BA420:BB420)</f>
        <v>0.36657064433970493</v>
      </c>
      <c r="BD420" s="3"/>
      <c r="BE420" s="3">
        <f>$AV420*(VLOOKUP($AY420,'Pregnancy costs and utilities'!$A$23:$I$158,9))</f>
        <v>0</v>
      </c>
      <c r="BF420" s="3">
        <f>$AV420*(VLOOKUP($AY420,'Pregnancy costs and utilities'!$A$23:$H$158,7))</f>
        <v>0</v>
      </c>
      <c r="BG420" s="3"/>
      <c r="BH420" s="3">
        <f>$BA420</f>
        <v>0</v>
      </c>
      <c r="BI420" s="3">
        <f>$AX420*(VLOOKUP($AY420,'Pregnancy costs and utilities'!$A$23:$H$158,5))</f>
        <v>4.6450675865724149E-2</v>
      </c>
      <c r="BJ420" s="3">
        <f>SUM(BH420:BI420)</f>
        <v>4.6450675865724149E-2</v>
      </c>
      <c r="BK420" s="3"/>
      <c r="BL420" s="3">
        <f>BC420+BI420</f>
        <v>0.41302132020542909</v>
      </c>
      <c r="BN420" s="1" t="str">
        <f>IF(AV420=AX420,"Okay",IF(AV420&gt;AX420,"Lost infant","Gained infant"))</f>
        <v>Okay</v>
      </c>
    </row>
    <row r="421" spans="9:66" x14ac:dyDescent="0.25">
      <c r="I421" s="3"/>
      <c r="O421" s="3"/>
      <c r="U421" s="238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238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</row>
    <row r="422" spans="9:66" x14ac:dyDescent="0.25">
      <c r="I422" s="3"/>
      <c r="O422" s="3"/>
      <c r="U422" s="238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236" t="s">
        <v>489</v>
      </c>
      <c r="AN422" s="237"/>
      <c r="AO422" s="237"/>
      <c r="AP422" s="237"/>
      <c r="AQ422" s="237"/>
      <c r="AR422" s="371"/>
      <c r="AS422" s="238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</row>
    <row r="423" spans="9:66" x14ac:dyDescent="0.25">
      <c r="I423" s="3"/>
      <c r="O423" s="3"/>
      <c r="U423" s="238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238" t="s">
        <v>344</v>
      </c>
      <c r="AN423" s="3">
        <f>DET_CS_lbw_premature</f>
        <v>1</v>
      </c>
      <c r="AO423" s="3" t="s">
        <v>345</v>
      </c>
      <c r="AP423" s="3">
        <f>AN423*AJ427</f>
        <v>5.7070035991295843E-4</v>
      </c>
      <c r="AQ423" s="3" t="s">
        <v>346</v>
      </c>
      <c r="AR423" s="370">
        <f>AN423*AL427</f>
        <v>5.7070035991295843E-4</v>
      </c>
      <c r="AS423" s="238" t="s">
        <v>344</v>
      </c>
      <c r="AT423" s="3">
        <f>1-AT420</f>
        <v>0.92345133932778822</v>
      </c>
      <c r="AU423" s="3" t="s">
        <v>345</v>
      </c>
      <c r="AV423" s="3">
        <f>AT423*AP423</f>
        <v>5.2701401171647221E-4</v>
      </c>
      <c r="AW423" s="3" t="s">
        <v>346</v>
      </c>
      <c r="AX423" s="3">
        <f>AT423*AR423</f>
        <v>5.2701401171647221E-4</v>
      </c>
      <c r="AY423" s="3">
        <f>AY420+1</f>
        <v>106</v>
      </c>
      <c r="AZ423" s="3"/>
      <c r="BA423" s="3">
        <f>det_cost_comparator*AV423</f>
        <v>0</v>
      </c>
      <c r="BB423" s="3">
        <f>$AV423*(VLOOKUP($AY423,'Pregnancy costs and utilities'!$A$23:$H$158,3))</f>
        <v>4.4221564361952908</v>
      </c>
      <c r="BC423" s="3">
        <f>SUM(BA423:BB423)</f>
        <v>4.4221564361952908</v>
      </c>
      <c r="BD423" s="3"/>
      <c r="BE423" s="3">
        <f>$AV423*(VLOOKUP($AY423,'Pregnancy costs and utilities'!$A$23:$I$158,9))</f>
        <v>0</v>
      </c>
      <c r="BF423" s="3">
        <f>$AV423*(VLOOKUP($AY423,'Pregnancy costs and utilities'!$A$23:$H$158,7))</f>
        <v>0</v>
      </c>
      <c r="BG423" s="3"/>
      <c r="BH423" s="3">
        <f>$BA423</f>
        <v>0</v>
      </c>
      <c r="BI423" s="3">
        <f>$AX423*(VLOOKUP($AY423,'Pregnancy costs and utilities'!$A$23:$H$158,5))</f>
        <v>8.3977306767144668</v>
      </c>
      <c r="BJ423" s="3">
        <f>SUM(BH423:BI423)</f>
        <v>8.3977306767144668</v>
      </c>
      <c r="BK423" s="3"/>
      <c r="BL423" s="3">
        <f>BC423+BI423</f>
        <v>12.819887112909758</v>
      </c>
      <c r="BN423" s="1" t="str">
        <f>IF(AV423=AX423,"Okay",IF(AV423&gt;AX423,"Lost infant","Gained infant"))</f>
        <v>Okay</v>
      </c>
    </row>
    <row r="424" spans="9:66" x14ac:dyDescent="0.25">
      <c r="I424" s="3"/>
      <c r="O424" s="3"/>
      <c r="U424" s="238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238"/>
      <c r="AN424" s="3"/>
      <c r="AO424" s="3"/>
      <c r="AP424" s="3"/>
      <c r="AQ424" s="3"/>
      <c r="AR424" s="3"/>
      <c r="AS424" s="240" t="s">
        <v>498</v>
      </c>
      <c r="AT424" s="235"/>
      <c r="AU424" s="235"/>
      <c r="AV424" s="235"/>
      <c r="AW424" s="235"/>
      <c r="AX424" s="235"/>
      <c r="AY424" s="235"/>
      <c r="AZ424" s="235"/>
      <c r="BA424" s="235"/>
      <c r="BB424" s="235"/>
      <c r="BC424" s="235"/>
      <c r="BD424" s="235"/>
      <c r="BE424" s="235"/>
      <c r="BF424" s="235"/>
      <c r="BG424" s="235"/>
      <c r="BH424" s="235"/>
      <c r="BI424" s="235"/>
      <c r="BJ424" s="235"/>
      <c r="BK424" s="235"/>
      <c r="BL424" s="235"/>
      <c r="BM424" s="235"/>
      <c r="BN424" s="235"/>
    </row>
    <row r="425" spans="9:66" x14ac:dyDescent="0.25">
      <c r="I425" s="3"/>
      <c r="O425" s="3"/>
      <c r="U425" s="238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238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</row>
    <row r="426" spans="9:66" x14ac:dyDescent="0.25">
      <c r="I426" s="3"/>
      <c r="O426" s="3"/>
      <c r="U426" s="238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236" t="s">
        <v>485</v>
      </c>
      <c r="AH426" s="237"/>
      <c r="AI426" s="237"/>
      <c r="AJ426" s="237"/>
      <c r="AK426" s="237"/>
      <c r="AL426" s="371"/>
      <c r="AM426" s="238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</row>
    <row r="427" spans="9:66" x14ac:dyDescent="0.25">
      <c r="I427" s="3"/>
      <c r="O427" s="3"/>
      <c r="U427" s="238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238" t="s">
        <v>344</v>
      </c>
      <c r="AH427" s="3">
        <f>DET_MORT_pre_eclampsia</f>
        <v>1.8648298999999959E-4</v>
      </c>
      <c r="AI427" s="3" t="s">
        <v>345</v>
      </c>
      <c r="AJ427" s="3">
        <f>AH427*AD435</f>
        <v>5.7070035991295843E-4</v>
      </c>
      <c r="AK427" s="3" t="s">
        <v>346</v>
      </c>
      <c r="AL427" s="370">
        <f>AH427*AF435</f>
        <v>5.7070035991295843E-4</v>
      </c>
      <c r="AM427" s="238"/>
      <c r="AN427" s="3"/>
      <c r="AO427" s="3"/>
      <c r="AP427" s="3"/>
      <c r="AQ427" s="3"/>
      <c r="AR427" s="3"/>
      <c r="AS427" s="236" t="s">
        <v>499</v>
      </c>
      <c r="AT427" s="237"/>
      <c r="AU427" s="237"/>
      <c r="AV427" s="237"/>
      <c r="AW427" s="237"/>
      <c r="AX427" s="237"/>
      <c r="AY427" s="237"/>
      <c r="AZ427" s="237"/>
      <c r="BA427" s="237"/>
      <c r="BB427" s="237"/>
      <c r="BC427" s="237"/>
      <c r="BD427" s="237"/>
      <c r="BE427" s="237"/>
      <c r="BF427" s="237"/>
      <c r="BG427" s="237"/>
      <c r="BH427" s="237"/>
      <c r="BI427" s="237"/>
      <c r="BJ427" s="237"/>
      <c r="BK427" s="237"/>
      <c r="BL427" s="237"/>
      <c r="BM427" s="237"/>
      <c r="BN427" s="237"/>
    </row>
    <row r="428" spans="9:66" x14ac:dyDescent="0.25">
      <c r="I428" s="3"/>
      <c r="O428" s="3"/>
      <c r="U428" s="238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238"/>
      <c r="AH428" s="3"/>
      <c r="AI428" s="3"/>
      <c r="AJ428" s="3"/>
      <c r="AK428" s="3"/>
      <c r="AL428" s="3"/>
      <c r="AM428" s="238" t="s">
        <v>344</v>
      </c>
      <c r="AN428" s="1">
        <f>1-AN423</f>
        <v>0</v>
      </c>
      <c r="AO428" s="1" t="s">
        <v>345</v>
      </c>
      <c r="AP428" s="1">
        <f>AN428*AJ427</f>
        <v>0</v>
      </c>
      <c r="AQ428" s="1" t="s">
        <v>346</v>
      </c>
      <c r="AR428" s="1">
        <f>AN428*AL427</f>
        <v>0</v>
      </c>
      <c r="AS428" s="238" t="s">
        <v>344</v>
      </c>
      <c r="AT428" s="3">
        <f>DET_CS_stillbirth_nbw_premature</f>
        <v>9.5923131756814883E-3</v>
      </c>
      <c r="AU428" s="3" t="s">
        <v>345</v>
      </c>
      <c r="AV428" s="3">
        <f>AT428*AP428</f>
        <v>0</v>
      </c>
      <c r="AW428" s="3" t="s">
        <v>346</v>
      </c>
      <c r="AX428" s="3">
        <f>AT428*AR428</f>
        <v>0</v>
      </c>
      <c r="AY428" s="3">
        <f>AY423+1</f>
        <v>107</v>
      </c>
      <c r="AZ428" s="3"/>
      <c r="BA428" s="3">
        <f>det_cost_comparator*AV428</f>
        <v>0</v>
      </c>
      <c r="BB428" s="3">
        <f>$AV428*(VLOOKUP($AY428,'Pregnancy costs and utilities'!$A$23:$H$158,3))</f>
        <v>0</v>
      </c>
      <c r="BC428" s="3">
        <f>SUM(BA428:BB428)</f>
        <v>0</v>
      </c>
      <c r="BD428" s="3"/>
      <c r="BE428" s="3">
        <f>$AV428*(VLOOKUP($AY428,'Pregnancy costs and utilities'!$A$23:$I$158,9))</f>
        <v>0</v>
      </c>
      <c r="BF428" s="3">
        <f>$AV428*(VLOOKUP($AY428,'Pregnancy costs and utilities'!$A$23:$H$158,7))</f>
        <v>0</v>
      </c>
      <c r="BG428" s="3"/>
      <c r="BH428" s="3">
        <f>$BA428</f>
        <v>0</v>
      </c>
      <c r="BI428" s="3">
        <f>$AX428*(VLOOKUP($AY428,'Pregnancy costs and utilities'!$A$23:$H$158,5))</f>
        <v>0</v>
      </c>
      <c r="BJ428" s="3">
        <f>SUM(BH428:BI428)</f>
        <v>0</v>
      </c>
      <c r="BK428" s="3"/>
      <c r="BL428" s="3">
        <f>BC428+BI428</f>
        <v>0</v>
      </c>
      <c r="BN428" s="1" t="str">
        <f>IF(AV428=AX428,"Okay",IF(AV428&gt;AX428,"Lost infant","Gained infant"))</f>
        <v>Okay</v>
      </c>
    </row>
    <row r="429" spans="9:66" x14ac:dyDescent="0.25">
      <c r="I429" s="3"/>
      <c r="O429" s="3"/>
      <c r="U429" s="238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238"/>
      <c r="AH429" s="3"/>
      <c r="AI429" s="3"/>
      <c r="AJ429" s="3"/>
      <c r="AK429" s="3"/>
      <c r="AL429" s="3"/>
      <c r="AM429" s="240" t="s">
        <v>490</v>
      </c>
      <c r="AN429" s="235"/>
      <c r="AO429" s="235"/>
      <c r="AP429" s="235"/>
      <c r="AQ429" s="235"/>
      <c r="AR429" s="239"/>
      <c r="AS429" s="238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</row>
    <row r="430" spans="9:66" x14ac:dyDescent="0.25">
      <c r="I430" s="3"/>
      <c r="O430" s="3"/>
      <c r="U430" s="238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238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238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</row>
    <row r="431" spans="9:66" x14ac:dyDescent="0.25">
      <c r="I431" s="3"/>
      <c r="O431" s="3"/>
      <c r="U431" s="238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238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238" t="s">
        <v>344</v>
      </c>
      <c r="AT431" s="3">
        <f>1-AT428</f>
        <v>0.99040768682431857</v>
      </c>
      <c r="AU431" s="3" t="s">
        <v>345</v>
      </c>
      <c r="AV431" s="3">
        <f>AT431*AP428</f>
        <v>0</v>
      </c>
      <c r="AW431" s="3" t="s">
        <v>346</v>
      </c>
      <c r="AX431" s="3">
        <f>AT431*AR428</f>
        <v>0</v>
      </c>
      <c r="AY431" s="3">
        <f>AY428+1</f>
        <v>108</v>
      </c>
      <c r="AZ431" s="3"/>
      <c r="BA431" s="3">
        <f>det_cost_comparator*AV431</f>
        <v>0</v>
      </c>
      <c r="BB431" s="3">
        <f>$AV431*(VLOOKUP($AY431,'Pregnancy costs and utilities'!$A$23:$H$158,3))</f>
        <v>0</v>
      </c>
      <c r="BC431" s="3">
        <f>SUM(BA431:BB431)</f>
        <v>0</v>
      </c>
      <c r="BD431" s="3"/>
      <c r="BE431" s="3">
        <f>$AV431*(VLOOKUP($AY431,'Pregnancy costs and utilities'!$A$23:$I$158,9))</f>
        <v>0</v>
      </c>
      <c r="BF431" s="3">
        <f>$AV431*(VLOOKUP($AY431,'Pregnancy costs and utilities'!$A$23:$H$158,7))</f>
        <v>0</v>
      </c>
      <c r="BG431" s="3"/>
      <c r="BH431" s="3">
        <f>$BA431</f>
        <v>0</v>
      </c>
      <c r="BI431" s="3">
        <f>$AX431*(VLOOKUP($AY431,'Pregnancy costs and utilities'!$A$23:$H$158,5))</f>
        <v>0</v>
      </c>
      <c r="BJ431" s="3">
        <f>SUM(BH431:BI431)</f>
        <v>0</v>
      </c>
      <c r="BK431" s="3"/>
      <c r="BL431" s="3">
        <f>BC431+BI431</f>
        <v>0</v>
      </c>
      <c r="BN431" s="1" t="str">
        <f>IF(AV431=AX431,"Okay",IF(AV431&gt;AX431,"Lost infant","Gained infant"))</f>
        <v>Okay</v>
      </c>
    </row>
    <row r="432" spans="9:66" x14ac:dyDescent="0.25">
      <c r="O432" s="3"/>
      <c r="U432" s="238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238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240" t="s">
        <v>500</v>
      </c>
      <c r="AT432" s="235"/>
      <c r="AU432" s="235"/>
      <c r="AV432" s="235"/>
      <c r="AW432" s="235"/>
      <c r="AX432" s="235"/>
      <c r="AY432" s="235"/>
      <c r="AZ432" s="235"/>
      <c r="BA432" s="235"/>
      <c r="BB432" s="235"/>
      <c r="BC432" s="235"/>
      <c r="BD432" s="235"/>
      <c r="BE432" s="235"/>
      <c r="BF432" s="235"/>
      <c r="BG432" s="235"/>
      <c r="BH432" s="235"/>
      <c r="BI432" s="235"/>
      <c r="BJ432" s="235"/>
      <c r="BK432" s="235"/>
      <c r="BL432" s="235"/>
      <c r="BM432" s="235"/>
      <c r="BN432" s="235"/>
    </row>
    <row r="433" spans="15:66" x14ac:dyDescent="0.25">
      <c r="O433" s="3"/>
      <c r="U433" s="238"/>
      <c r="V433" s="3"/>
      <c r="W433" s="3"/>
      <c r="X433" s="3"/>
      <c r="Y433" s="3"/>
      <c r="Z433" s="3"/>
      <c r="AG433" s="238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</row>
    <row r="434" spans="15:66" x14ac:dyDescent="0.25">
      <c r="O434" s="3"/>
      <c r="U434" s="238"/>
      <c r="V434" s="3"/>
      <c r="W434" s="3"/>
      <c r="X434" s="3"/>
      <c r="Y434" s="3"/>
      <c r="Z434" s="3"/>
      <c r="AA434" s="236" t="s">
        <v>483</v>
      </c>
      <c r="AB434" s="237"/>
      <c r="AC434" s="237"/>
      <c r="AD434" s="237"/>
      <c r="AE434" s="237"/>
      <c r="AF434" s="371"/>
      <c r="AG434" s="238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</row>
    <row r="435" spans="15:66" x14ac:dyDescent="0.25">
      <c r="O435" s="3"/>
      <c r="U435" s="238"/>
      <c r="V435" s="3"/>
      <c r="W435" s="3"/>
      <c r="X435" s="3"/>
      <c r="Y435" s="3"/>
      <c r="Z435" s="3"/>
      <c r="AA435" s="238" t="s">
        <v>344</v>
      </c>
      <c r="AB435" s="1">
        <f>DET_CS_premature_pre_eclampsia</f>
        <v>0.32763540895433946</v>
      </c>
      <c r="AC435" s="1" t="s">
        <v>345</v>
      </c>
      <c r="AD435" s="1">
        <f>AB435*X451</f>
        <v>3.0603346713443393</v>
      </c>
      <c r="AE435" s="1" t="s">
        <v>346</v>
      </c>
      <c r="AF435" s="1">
        <f>AB435*Z451</f>
        <v>3.0603346713443393</v>
      </c>
      <c r="AG435" s="238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236" t="s">
        <v>501</v>
      </c>
      <c r="AT435" s="237"/>
      <c r="AU435" s="237"/>
      <c r="AV435" s="237"/>
      <c r="AW435" s="237"/>
      <c r="AX435" s="237"/>
      <c r="AY435" s="237"/>
      <c r="AZ435" s="237"/>
      <c r="BA435" s="237"/>
      <c r="BB435" s="237"/>
      <c r="BC435" s="237"/>
      <c r="BD435" s="237"/>
      <c r="BE435" s="237"/>
      <c r="BF435" s="237"/>
      <c r="BG435" s="237"/>
      <c r="BH435" s="237"/>
      <c r="BI435" s="237"/>
      <c r="BJ435" s="237"/>
      <c r="BK435" s="237"/>
      <c r="BL435" s="237"/>
      <c r="BM435" s="237"/>
      <c r="BN435" s="237"/>
    </row>
    <row r="436" spans="15:66" x14ac:dyDescent="0.25">
      <c r="O436" s="3"/>
      <c r="U436" s="238"/>
      <c r="V436" s="3"/>
      <c r="W436" s="3"/>
      <c r="X436" s="3"/>
      <c r="Y436" s="3"/>
      <c r="Z436" s="3"/>
      <c r="AA436" s="238"/>
      <c r="AB436" s="3"/>
      <c r="AC436" s="3"/>
      <c r="AD436" s="3"/>
      <c r="AE436" s="3"/>
      <c r="AF436" s="3"/>
      <c r="AG436" s="238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238" t="s">
        <v>344</v>
      </c>
      <c r="AT436" s="3">
        <f>DET_CS_stillbirth_lbw_premature</f>
        <v>7.6548660672211805E-2</v>
      </c>
      <c r="AU436" s="3" t="s">
        <v>345</v>
      </c>
      <c r="AV436" s="3">
        <f>AT436*AP439</f>
        <v>0.23422083395194618</v>
      </c>
      <c r="AW436" s="3" t="s">
        <v>346</v>
      </c>
      <c r="AX436" s="3">
        <f>AT436*AR439</f>
        <v>0.23422083395194618</v>
      </c>
      <c r="AY436" s="3">
        <f>AY431+1</f>
        <v>109</v>
      </c>
      <c r="AZ436" s="3"/>
      <c r="BA436" s="3">
        <f>det_cost_comparator*AV436</f>
        <v>0</v>
      </c>
      <c r="BB436" s="3">
        <f>$AV436*(VLOOKUP($AY436,'Pregnancy costs and utilities'!$A$23:$H$158,3))</f>
        <v>1583.3294900572632</v>
      </c>
      <c r="BC436" s="3">
        <f>SUM(BA436:BB436)</f>
        <v>1583.3294900572632</v>
      </c>
      <c r="BD436" s="3"/>
      <c r="BE436" s="3">
        <f>$AV436*(VLOOKUP($AY436,'Pregnancy costs and utilities'!$A$23:$I$158,9))</f>
        <v>0.14864014462335046</v>
      </c>
      <c r="BF436" s="3">
        <f>$AV436*(VLOOKUP($AY436,'Pregnancy costs and utilities'!$A$23:$H$158,7))</f>
        <v>0.12936847408198743</v>
      </c>
      <c r="BG436" s="3"/>
      <c r="BH436" s="3">
        <f>$BA436</f>
        <v>0</v>
      </c>
      <c r="BI436" s="3">
        <f>$AX436*(VLOOKUP($AY436,'Pregnancy costs and utilities'!$A$23:$H$158,5))</f>
        <v>249.04155389615585</v>
      </c>
      <c r="BJ436" s="3">
        <f>SUM(BH436:BI436)</f>
        <v>249.04155389615585</v>
      </c>
      <c r="BK436" s="3"/>
      <c r="BL436" s="3">
        <f>BC436+BI436</f>
        <v>1832.3710439534191</v>
      </c>
      <c r="BN436" s="1" t="str">
        <f>IF(AV436=AX436,"Okay",IF(AV436&gt;AX436,"Lost infant","Gained infant"))</f>
        <v>Okay</v>
      </c>
    </row>
    <row r="437" spans="15:66" x14ac:dyDescent="0.25">
      <c r="O437" s="3"/>
      <c r="U437" s="238"/>
      <c r="V437" s="3"/>
      <c r="W437" s="3"/>
      <c r="X437" s="3"/>
      <c r="Y437" s="3"/>
      <c r="Z437" s="3"/>
      <c r="AA437" s="238"/>
      <c r="AB437" s="3"/>
      <c r="AC437" s="3"/>
      <c r="AD437" s="3"/>
      <c r="AE437" s="3"/>
      <c r="AF437" s="3"/>
      <c r="AG437" s="238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238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</row>
    <row r="438" spans="15:66" x14ac:dyDescent="0.25">
      <c r="O438" s="3"/>
      <c r="U438" s="238"/>
      <c r="V438" s="3"/>
      <c r="W438" s="3"/>
      <c r="X438" s="3"/>
      <c r="Y438" s="3"/>
      <c r="Z438" s="3"/>
      <c r="AA438" s="238"/>
      <c r="AB438" s="3"/>
      <c r="AC438" s="3"/>
      <c r="AD438" s="3"/>
      <c r="AE438" s="3"/>
      <c r="AF438" s="3"/>
      <c r="AG438" s="238"/>
      <c r="AH438" s="3"/>
      <c r="AI438" s="3"/>
      <c r="AJ438" s="3"/>
      <c r="AK438" s="3"/>
      <c r="AL438" s="3"/>
      <c r="AM438" s="236" t="s">
        <v>491</v>
      </c>
      <c r="AN438" s="237"/>
      <c r="AO438" s="237"/>
      <c r="AP438" s="237"/>
      <c r="AQ438" s="237"/>
      <c r="AR438" s="371"/>
      <c r="AS438" s="238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</row>
    <row r="439" spans="15:66" x14ac:dyDescent="0.25">
      <c r="O439" s="3"/>
      <c r="U439" s="238"/>
      <c r="V439" s="3"/>
      <c r="W439" s="3"/>
      <c r="X439" s="3"/>
      <c r="Y439" s="3"/>
      <c r="Z439" s="3"/>
      <c r="AA439" s="238"/>
      <c r="AB439" s="3"/>
      <c r="AC439" s="3"/>
      <c r="AD439" s="3"/>
      <c r="AE439" s="3"/>
      <c r="AF439" s="3"/>
      <c r="AG439" s="238"/>
      <c r="AH439" s="3"/>
      <c r="AI439" s="3"/>
      <c r="AJ439" s="3"/>
      <c r="AK439" s="3"/>
      <c r="AL439" s="3"/>
      <c r="AM439" s="238" t="s">
        <v>344</v>
      </c>
      <c r="AN439" s="3">
        <f>DET_CS_lbw_premature</f>
        <v>1</v>
      </c>
      <c r="AO439" s="3" t="s">
        <v>345</v>
      </c>
      <c r="AP439" s="3">
        <f>AN439*AJ440</f>
        <v>3.0597639709844264</v>
      </c>
      <c r="AQ439" s="3" t="s">
        <v>346</v>
      </c>
      <c r="AR439" s="370">
        <f>AN439*AL440</f>
        <v>3.0597639709844264</v>
      </c>
      <c r="AS439" s="238" t="s">
        <v>344</v>
      </c>
      <c r="AT439" s="3">
        <f>1-AT436</f>
        <v>0.92345133932778822</v>
      </c>
      <c r="AU439" s="3" t="s">
        <v>345</v>
      </c>
      <c r="AV439" s="3">
        <f>AT439*AP439</f>
        <v>2.8255431370324802</v>
      </c>
      <c r="AW439" s="3" t="s">
        <v>346</v>
      </c>
      <c r="AX439" s="3">
        <f>AT439*AR439</f>
        <v>2.8255431370324802</v>
      </c>
      <c r="AY439" s="3">
        <f>AY436+1</f>
        <v>110</v>
      </c>
      <c r="AZ439" s="3"/>
      <c r="BA439" s="3">
        <f>det_cost_comparator*AV439</f>
        <v>0</v>
      </c>
      <c r="BB439" s="3">
        <f>$AV439*(VLOOKUP($AY439,'Pregnancy costs and utilities'!$A$23:$H$158,3))</f>
        <v>19100.631223993914</v>
      </c>
      <c r="BC439" s="3">
        <f>SUM(BA439:BB439)</f>
        <v>19100.631223993914</v>
      </c>
      <c r="BD439" s="3"/>
      <c r="BE439" s="3">
        <f>$AV439*(VLOOKUP($AY439,'Pregnancy costs and utilities'!$A$23:$I$158,9))</f>
        <v>1.7931331446552277</v>
      </c>
      <c r="BF439" s="3">
        <f>$AV439*(VLOOKUP($AY439,'Pregnancy costs and utilities'!$A$23:$H$158,7))</f>
        <v>1.7399610071712832</v>
      </c>
      <c r="BG439" s="3"/>
      <c r="BH439" s="3">
        <f>$BA439</f>
        <v>0</v>
      </c>
      <c r="BI439" s="3">
        <f>$AX439*(VLOOKUP($AY439,'Pregnancy costs and utilities'!$A$23:$H$158,5))</f>
        <v>45023.756015434308</v>
      </c>
      <c r="BJ439" s="3">
        <f>SUM(BH439:BI439)</f>
        <v>45023.756015434308</v>
      </c>
      <c r="BK439" s="3"/>
      <c r="BL439" s="3">
        <f>BC439+BI439</f>
        <v>64124.387239428223</v>
      </c>
      <c r="BN439" s="1" t="str">
        <f>IF(AV439=AX439,"Okay",IF(AV439&gt;AX439,"Lost infant","Gained infant"))</f>
        <v>Okay</v>
      </c>
    </row>
    <row r="440" spans="15:66" x14ac:dyDescent="0.25">
      <c r="O440" s="3"/>
      <c r="U440" s="238"/>
      <c r="V440" s="3"/>
      <c r="W440" s="3"/>
      <c r="X440" s="3"/>
      <c r="Y440" s="3"/>
      <c r="Z440" s="3"/>
      <c r="AA440" s="238"/>
      <c r="AB440" s="3"/>
      <c r="AC440" s="3"/>
      <c r="AD440" s="3"/>
      <c r="AE440" s="3"/>
      <c r="AF440" s="3"/>
      <c r="AG440" s="238" t="s">
        <v>344</v>
      </c>
      <c r="AH440" s="1">
        <f>1-AH427</f>
        <v>0.99981351700999999</v>
      </c>
      <c r="AI440" s="1" t="s">
        <v>345</v>
      </c>
      <c r="AJ440" s="1">
        <f>AH440*AD435</f>
        <v>3.0597639709844264</v>
      </c>
      <c r="AK440" s="1" t="s">
        <v>346</v>
      </c>
      <c r="AL440" s="1">
        <f>AH440*AF435</f>
        <v>3.0597639709844264</v>
      </c>
      <c r="AM440" s="238"/>
      <c r="AN440" s="3"/>
      <c r="AO440" s="3"/>
      <c r="AP440" s="3"/>
      <c r="AQ440" s="3"/>
      <c r="AR440" s="3"/>
      <c r="AS440" s="240" t="s">
        <v>502</v>
      </c>
      <c r="AT440" s="235"/>
      <c r="AU440" s="235"/>
      <c r="AV440" s="235"/>
      <c r="AW440" s="235"/>
      <c r="AX440" s="235"/>
      <c r="AY440" s="235"/>
      <c r="AZ440" s="235"/>
      <c r="BA440" s="235"/>
      <c r="BB440" s="235"/>
      <c r="BC440" s="235"/>
      <c r="BD440" s="235"/>
      <c r="BE440" s="235"/>
      <c r="BF440" s="235"/>
      <c r="BG440" s="235"/>
      <c r="BH440" s="235"/>
      <c r="BI440" s="235"/>
      <c r="BJ440" s="235"/>
      <c r="BK440" s="235"/>
      <c r="BL440" s="235"/>
      <c r="BM440" s="235"/>
      <c r="BN440" s="235"/>
    </row>
    <row r="441" spans="15:66" x14ac:dyDescent="0.25">
      <c r="O441" s="3"/>
      <c r="U441" s="238"/>
      <c r="V441" s="3"/>
      <c r="W441" s="3"/>
      <c r="X441" s="3"/>
      <c r="Y441" s="3"/>
      <c r="Z441" s="3"/>
      <c r="AA441" s="238"/>
      <c r="AB441" s="3"/>
      <c r="AC441" s="3"/>
      <c r="AD441" s="3"/>
      <c r="AE441" s="3"/>
      <c r="AF441" s="3"/>
      <c r="AG441" s="240" t="s">
        <v>486</v>
      </c>
      <c r="AH441" s="235"/>
      <c r="AI441" s="235"/>
      <c r="AJ441" s="235"/>
      <c r="AK441" s="235"/>
      <c r="AL441" s="239"/>
      <c r="AM441" s="238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</row>
    <row r="442" spans="15:66" x14ac:dyDescent="0.25">
      <c r="O442" s="3"/>
      <c r="U442" s="238"/>
      <c r="V442" s="3"/>
      <c r="W442" s="3"/>
      <c r="X442" s="3"/>
      <c r="Y442" s="3"/>
      <c r="Z442" s="3"/>
      <c r="AA442" s="238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238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</row>
    <row r="443" spans="15:66" x14ac:dyDescent="0.25">
      <c r="O443" s="3"/>
      <c r="U443" s="238"/>
      <c r="V443" s="3"/>
      <c r="W443" s="3"/>
      <c r="X443" s="3"/>
      <c r="Y443" s="3"/>
      <c r="Z443" s="3"/>
      <c r="AA443" s="238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238"/>
      <c r="AN443" s="3"/>
      <c r="AO443" s="3"/>
      <c r="AP443" s="3"/>
      <c r="AQ443" s="3"/>
      <c r="AR443" s="3"/>
      <c r="AS443" s="236" t="s">
        <v>503</v>
      </c>
      <c r="AT443" s="237"/>
      <c r="AU443" s="237"/>
      <c r="AV443" s="237"/>
      <c r="AW443" s="237"/>
      <c r="AX443" s="237"/>
      <c r="AY443" s="237"/>
      <c r="AZ443" s="237"/>
      <c r="BA443" s="237"/>
      <c r="BB443" s="237"/>
      <c r="BC443" s="237"/>
      <c r="BD443" s="237"/>
      <c r="BE443" s="237"/>
      <c r="BF443" s="237"/>
      <c r="BG443" s="237"/>
      <c r="BH443" s="237"/>
      <c r="BI443" s="237"/>
      <c r="BJ443" s="237"/>
      <c r="BK443" s="237"/>
      <c r="BL443" s="237"/>
      <c r="BM443" s="237"/>
      <c r="BN443" s="237"/>
    </row>
    <row r="444" spans="15:66" x14ac:dyDescent="0.25">
      <c r="O444" s="3"/>
      <c r="U444" s="238"/>
      <c r="V444" s="3"/>
      <c r="W444" s="3"/>
      <c r="X444" s="3"/>
      <c r="Y444" s="3"/>
      <c r="Z444" s="3"/>
      <c r="AA444" s="238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238" t="s">
        <v>344</v>
      </c>
      <c r="AN444" s="1">
        <f>1-AN439</f>
        <v>0</v>
      </c>
      <c r="AO444" s="1" t="s">
        <v>345</v>
      </c>
      <c r="AP444" s="1">
        <f>AN444*AJ440</f>
        <v>0</v>
      </c>
      <c r="AQ444" s="1" t="s">
        <v>346</v>
      </c>
      <c r="AR444" s="1">
        <f>AN444*AL440</f>
        <v>0</v>
      </c>
      <c r="AS444" s="238" t="s">
        <v>344</v>
      </c>
      <c r="AT444" s="3">
        <f>DET_CS_stillbirth_nbw_premature</f>
        <v>9.5923131756814883E-3</v>
      </c>
      <c r="AU444" s="3" t="s">
        <v>345</v>
      </c>
      <c r="AV444" s="3">
        <f>AT444*AP444</f>
        <v>0</v>
      </c>
      <c r="AW444" s="3" t="s">
        <v>346</v>
      </c>
      <c r="AX444" s="3">
        <f>AT444*AR444</f>
        <v>0</v>
      </c>
      <c r="AY444" s="3">
        <f>AY439+1</f>
        <v>111</v>
      </c>
      <c r="AZ444" s="3"/>
      <c r="BA444" s="3">
        <f>det_cost_comparator*AV444</f>
        <v>0</v>
      </c>
      <c r="BB444" s="3">
        <f>$AV444*(VLOOKUP($AY444,'Pregnancy costs and utilities'!$A$23:$H$158,3))</f>
        <v>0</v>
      </c>
      <c r="BC444" s="3">
        <f>SUM(BA444:BB444)</f>
        <v>0</v>
      </c>
      <c r="BD444" s="3"/>
      <c r="BE444" s="3">
        <f>$AV444*(VLOOKUP($AY444,'Pregnancy costs and utilities'!$A$23:$I$158,9))</f>
        <v>0</v>
      </c>
      <c r="BF444" s="3">
        <f>$AV444*(VLOOKUP($AY444,'Pregnancy costs and utilities'!$A$23:$H$158,7))</f>
        <v>0</v>
      </c>
      <c r="BG444" s="3"/>
      <c r="BH444" s="3">
        <f>$BA444</f>
        <v>0</v>
      </c>
      <c r="BI444" s="3">
        <f>$AX444*(VLOOKUP($AY444,'Pregnancy costs and utilities'!$A$23:$H$158,5))</f>
        <v>0</v>
      </c>
      <c r="BJ444" s="3">
        <f>SUM(BH444:BI444)</f>
        <v>0</v>
      </c>
      <c r="BK444" s="3"/>
      <c r="BL444" s="3">
        <f>BC444+BI444</f>
        <v>0</v>
      </c>
      <c r="BN444" s="1" t="str">
        <f>IF(AV444=AX444,"Okay",IF(AV444&gt;AX444,"Lost infant","Gained infant"))</f>
        <v>Okay</v>
      </c>
    </row>
    <row r="445" spans="15:66" x14ac:dyDescent="0.25">
      <c r="O445" s="3"/>
      <c r="U445" s="238"/>
      <c r="V445" s="3"/>
      <c r="W445" s="3"/>
      <c r="X445" s="3"/>
      <c r="Y445" s="3"/>
      <c r="Z445" s="3"/>
      <c r="AA445" s="238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240" t="s">
        <v>492</v>
      </c>
      <c r="AN445" s="235"/>
      <c r="AO445" s="235"/>
      <c r="AP445" s="235"/>
      <c r="AQ445" s="235"/>
      <c r="AR445" s="239"/>
      <c r="AS445" s="238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</row>
    <row r="446" spans="15:66" x14ac:dyDescent="0.25">
      <c r="O446" s="3"/>
      <c r="U446" s="238"/>
      <c r="V446" s="3"/>
      <c r="W446" s="3"/>
      <c r="X446" s="3"/>
      <c r="Y446" s="3"/>
      <c r="Z446" s="3"/>
      <c r="AA446" s="238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238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</row>
    <row r="447" spans="15:66" x14ac:dyDescent="0.25">
      <c r="O447" s="3"/>
      <c r="U447" s="238"/>
      <c r="V447" s="3"/>
      <c r="W447" s="3"/>
      <c r="X447" s="3"/>
      <c r="Y447" s="3"/>
      <c r="Z447" s="3"/>
      <c r="AA447" s="238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238" t="s">
        <v>344</v>
      </c>
      <c r="AT447" s="3">
        <f>1-AT444</f>
        <v>0.99040768682431857</v>
      </c>
      <c r="AU447" s="3" t="s">
        <v>345</v>
      </c>
      <c r="AV447" s="3">
        <f>AT447*AP444</f>
        <v>0</v>
      </c>
      <c r="AW447" s="3" t="s">
        <v>346</v>
      </c>
      <c r="AX447" s="3">
        <f>AT447*AR444</f>
        <v>0</v>
      </c>
      <c r="AY447" s="3">
        <f>AY444+1</f>
        <v>112</v>
      </c>
      <c r="AZ447" s="3"/>
      <c r="BA447" s="3">
        <f>det_cost_comparator*AV447</f>
        <v>0</v>
      </c>
      <c r="BB447" s="3">
        <f>$AV447*(VLOOKUP($AY447,'Pregnancy costs and utilities'!$A$23:$H$158,3))</f>
        <v>0</v>
      </c>
      <c r="BC447" s="3">
        <f>SUM(BA447:BB447)</f>
        <v>0</v>
      </c>
      <c r="BD447" s="3"/>
      <c r="BE447" s="3">
        <f>$AV447*(VLOOKUP($AY447,'Pregnancy costs and utilities'!$A$23:$I$158,9))</f>
        <v>0</v>
      </c>
      <c r="BF447" s="3">
        <f>$AV447*(VLOOKUP($AY447,'Pregnancy costs and utilities'!$A$23:$H$158,7))</f>
        <v>0</v>
      </c>
      <c r="BG447" s="3"/>
      <c r="BH447" s="3">
        <f>$BA447</f>
        <v>0</v>
      </c>
      <c r="BI447" s="3">
        <f>$AX447*(VLOOKUP($AY447,'Pregnancy costs and utilities'!$A$23:$H$158,5))</f>
        <v>0</v>
      </c>
      <c r="BJ447" s="3">
        <f>SUM(BH447:BI447)</f>
        <v>0</v>
      </c>
      <c r="BK447" s="3"/>
      <c r="BL447" s="3">
        <f>BC447+BI447</f>
        <v>0</v>
      </c>
      <c r="BN447" s="1" t="str">
        <f>IF(AV447=AX447,"Okay",IF(AV447&gt;AX447,"Lost infant","Gained infant"))</f>
        <v>Okay</v>
      </c>
    </row>
    <row r="448" spans="15:66" x14ac:dyDescent="0.25">
      <c r="O448" s="3"/>
      <c r="U448" s="238"/>
      <c r="V448" s="3"/>
      <c r="W448" s="3"/>
      <c r="X448" s="3"/>
      <c r="Y448" s="3"/>
      <c r="Z448" s="3"/>
      <c r="AA448" s="238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240" t="s">
        <v>504</v>
      </c>
      <c r="AT448" s="235"/>
      <c r="AU448" s="235"/>
      <c r="AV448" s="235"/>
      <c r="AW448" s="235"/>
      <c r="AX448" s="235"/>
      <c r="AY448" s="235"/>
      <c r="AZ448" s="235"/>
      <c r="BA448" s="235"/>
      <c r="BB448" s="235"/>
      <c r="BC448" s="235"/>
      <c r="BD448" s="235"/>
      <c r="BE448" s="235"/>
      <c r="BF448" s="235"/>
      <c r="BG448" s="235"/>
      <c r="BH448" s="235"/>
      <c r="BI448" s="235"/>
      <c r="BJ448" s="235"/>
      <c r="BK448" s="235"/>
      <c r="BL448" s="235"/>
      <c r="BM448" s="235"/>
      <c r="BN448" s="235"/>
    </row>
    <row r="449" spans="15:66" x14ac:dyDescent="0.25">
      <c r="O449" s="3"/>
      <c r="U449" s="238"/>
      <c r="V449" s="3"/>
      <c r="W449" s="3"/>
      <c r="X449" s="3"/>
      <c r="Y449" s="3"/>
      <c r="Z449" s="3"/>
      <c r="AA449" s="238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</row>
    <row r="450" spans="15:66" x14ac:dyDescent="0.25">
      <c r="O450" s="3"/>
      <c r="U450" s="236" t="s">
        <v>386</v>
      </c>
      <c r="V450" s="237"/>
      <c r="W450" s="237"/>
      <c r="X450" s="237"/>
      <c r="Y450" s="237"/>
      <c r="Z450" s="371"/>
      <c r="AA450" s="238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</row>
    <row r="451" spans="15:66" x14ac:dyDescent="0.25">
      <c r="O451" s="3"/>
      <c r="U451" s="238" t="s">
        <v>344</v>
      </c>
      <c r="V451" s="3">
        <f>DET_CS_pre_eclampsia</f>
        <v>1.0570393755309772E-2</v>
      </c>
      <c r="W451" s="3" t="s">
        <v>345</v>
      </c>
      <c r="X451" s="3">
        <f>V451*R416</f>
        <v>9.3406713307072362</v>
      </c>
      <c r="Y451" s="3" t="s">
        <v>346</v>
      </c>
      <c r="Z451" s="370">
        <f>V451*T416</f>
        <v>9.3406713307072362</v>
      </c>
      <c r="AA451" s="238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236" t="s">
        <v>505</v>
      </c>
      <c r="AT451" s="237"/>
      <c r="AU451" s="237"/>
      <c r="AV451" s="237"/>
      <c r="AW451" s="237"/>
      <c r="AX451" s="3"/>
      <c r="BJ451" s="237"/>
      <c r="BK451" s="237"/>
      <c r="BL451" s="237"/>
      <c r="BM451" s="237"/>
      <c r="BN451" s="237"/>
    </row>
    <row r="452" spans="15:66" x14ac:dyDescent="0.25">
      <c r="O452" s="3"/>
      <c r="U452" s="238"/>
      <c r="V452" s="3"/>
      <c r="W452" s="3"/>
      <c r="X452" s="3"/>
      <c r="Y452" s="3"/>
      <c r="Z452" s="3"/>
      <c r="AA452" s="238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238" t="s">
        <v>344</v>
      </c>
      <c r="AT452" s="1">
        <f>DET_CS_stillbirth_lbw_fullgest</f>
        <v>1.9354764795137105E-2</v>
      </c>
      <c r="AU452" s="1" t="s">
        <v>345</v>
      </c>
      <c r="AV452" s="1">
        <f>AT452*AP455</f>
        <v>1.1115027317392839E-6</v>
      </c>
      <c r="AW452" s="1" t="s">
        <v>346</v>
      </c>
      <c r="AX452" s="1">
        <f>AT452*AR455</f>
        <v>1.1115027317392839E-6</v>
      </c>
      <c r="AY452" s="1">
        <f>AY447+1</f>
        <v>113</v>
      </c>
      <c r="BA452" s="1">
        <f>det_cost_comparator*AV452</f>
        <v>0</v>
      </c>
      <c r="BB452" s="1">
        <f>$AV452*(VLOOKUP($AY452,'Pregnancy costs and utilities'!$A$23:$H$158,3))</f>
        <v>8.0894648478214443E-3</v>
      </c>
      <c r="BC452" s="1">
        <f>SUM(BA452:BB452)</f>
        <v>8.0894648478214443E-3</v>
      </c>
      <c r="BE452" s="1">
        <f>$AV452*(VLOOKUP($AY452,'Pregnancy costs and utilities'!$A$23:$I$158,9))</f>
        <v>0</v>
      </c>
      <c r="BF452" s="1">
        <f>$AV452*(VLOOKUP($AY452,'Pregnancy costs and utilities'!$A$23:$H$158,7))</f>
        <v>0</v>
      </c>
      <c r="BH452" s="1">
        <f>$BA452</f>
        <v>0</v>
      </c>
      <c r="BI452" s="1">
        <f>$AX452*(VLOOKUP($AY452,'Pregnancy costs and utilities'!$A$23:$H$158,5))</f>
        <v>1.1818349495287214E-3</v>
      </c>
      <c r="BJ452" s="3">
        <f>SUM(BH452:BI452)</f>
        <v>1.1818349495287214E-3</v>
      </c>
      <c r="BK452" s="3"/>
      <c r="BL452" s="3">
        <f>BC452+BI452</f>
        <v>9.2712997973501653E-3</v>
      </c>
      <c r="BN452" s="1" t="str">
        <f>IF(AV452=AX452,"Okay",IF(AV452&gt;AX452,"Lost infant","Gained infant"))</f>
        <v>Okay</v>
      </c>
    </row>
    <row r="453" spans="15:66" x14ac:dyDescent="0.25">
      <c r="O453" s="3"/>
      <c r="U453" s="238"/>
      <c r="V453" s="3"/>
      <c r="W453" s="3"/>
      <c r="X453" s="3"/>
      <c r="Y453" s="3"/>
      <c r="Z453" s="3"/>
      <c r="AA453" s="238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238"/>
      <c r="BJ453" s="3"/>
      <c r="BK453" s="3"/>
      <c r="BL453" s="3"/>
    </row>
    <row r="454" spans="15:66" x14ac:dyDescent="0.25">
      <c r="O454" s="3"/>
      <c r="U454" s="238"/>
      <c r="V454" s="3"/>
      <c r="W454" s="3"/>
      <c r="X454" s="3"/>
      <c r="Y454" s="3"/>
      <c r="Z454" s="3"/>
      <c r="AA454" s="238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236" t="s">
        <v>493</v>
      </c>
      <c r="AN454" s="237"/>
      <c r="AO454" s="237"/>
      <c r="AP454" s="237"/>
      <c r="AQ454" s="237"/>
      <c r="AR454" s="371"/>
      <c r="AS454" s="238"/>
      <c r="BJ454" s="3"/>
      <c r="BK454" s="3"/>
      <c r="BL454" s="3"/>
    </row>
    <row r="455" spans="15:66" x14ac:dyDescent="0.25">
      <c r="O455" s="3"/>
      <c r="U455" s="238"/>
      <c r="V455" s="3"/>
      <c r="W455" s="3"/>
      <c r="X455" s="3"/>
      <c r="Y455" s="3"/>
      <c r="Z455" s="3"/>
      <c r="AA455" s="238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238" t="s">
        <v>344</v>
      </c>
      <c r="AN455" s="3">
        <f>DET_CS_lbw_fullgest</f>
        <v>4.9034357338086171E-2</v>
      </c>
      <c r="AO455" s="3" t="s">
        <v>345</v>
      </c>
      <c r="AP455" s="3">
        <f>AN455*AJ459</f>
        <v>5.7427860452148169E-5</v>
      </c>
      <c r="AQ455" s="3" t="s">
        <v>346</v>
      </c>
      <c r="AR455" s="370">
        <f>AN455*AL459</f>
        <v>5.7427860452148169E-5</v>
      </c>
      <c r="AS455" s="238" t="s">
        <v>344</v>
      </c>
      <c r="AT455" s="1">
        <f>1-AT452</f>
        <v>0.98064523520486291</v>
      </c>
      <c r="AU455" s="1" t="s">
        <v>345</v>
      </c>
      <c r="AV455" s="1">
        <f>AT455*AP455</f>
        <v>5.6316357720408885E-5</v>
      </c>
      <c r="AW455" s="1" t="s">
        <v>346</v>
      </c>
      <c r="AX455" s="1">
        <f>AT455*AR455</f>
        <v>5.6316357720408885E-5</v>
      </c>
      <c r="AY455" s="1">
        <f>AY452+1</f>
        <v>114</v>
      </c>
      <c r="BA455" s="1">
        <f>det_cost_comparator*AV455</f>
        <v>0</v>
      </c>
      <c r="BB455" s="1">
        <f>$AV455*(VLOOKUP($AY455,'Pregnancy costs and utilities'!$A$23:$H$158,3))</f>
        <v>0.40986781510083109</v>
      </c>
      <c r="BC455" s="1">
        <f>SUM(BA455:BB455)</f>
        <v>0.40986781510083109</v>
      </c>
      <c r="BE455" s="1">
        <f>$AV455*(VLOOKUP($AY455,'Pregnancy costs and utilities'!$A$23:$I$158,9))</f>
        <v>0</v>
      </c>
      <c r="BF455" s="1">
        <f>$AV455*(VLOOKUP($AY455,'Pregnancy costs and utilities'!$A$23:$H$158,7))</f>
        <v>0</v>
      </c>
      <c r="BH455" s="1">
        <f>$BA455</f>
        <v>0</v>
      </c>
      <c r="BI455" s="1">
        <f>$AX455*(VLOOKUP($AY455,'Pregnancy costs and utilities'!$A$23:$H$158,5))</f>
        <v>0.14900563325922639</v>
      </c>
      <c r="BJ455" s="3">
        <f>SUM(BH455:BI455)</f>
        <v>0.14900563325922639</v>
      </c>
      <c r="BK455" s="3"/>
      <c r="BL455" s="3">
        <f>BC455+BI455</f>
        <v>0.55887344836005748</v>
      </c>
      <c r="BN455" s="1" t="str">
        <f>IF(AV455=AX455,"Okay",IF(AV455&gt;AX455,"Lost infant","Gained infant"))</f>
        <v>Okay</v>
      </c>
    </row>
    <row r="456" spans="15:66" x14ac:dyDescent="0.25">
      <c r="O456" s="3"/>
      <c r="U456" s="238"/>
      <c r="V456" s="3"/>
      <c r="W456" s="3"/>
      <c r="X456" s="3"/>
      <c r="Y456" s="3"/>
      <c r="Z456" s="3"/>
      <c r="AA456" s="238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238"/>
      <c r="AN456" s="3"/>
      <c r="AO456" s="3"/>
      <c r="AP456" s="3"/>
      <c r="AQ456" s="3"/>
      <c r="AR456" s="3"/>
      <c r="AS456" s="240" t="s">
        <v>506</v>
      </c>
      <c r="AT456" s="235"/>
      <c r="AU456" s="235"/>
      <c r="AV456" s="235"/>
      <c r="AW456" s="235"/>
      <c r="AX456" s="235"/>
      <c r="AY456" s="235"/>
      <c r="AZ456" s="235"/>
      <c r="BA456" s="235"/>
      <c r="BB456" s="235"/>
      <c r="BC456" s="235"/>
      <c r="BD456" s="235"/>
      <c r="BE456" s="235"/>
      <c r="BF456" s="235"/>
      <c r="BG456" s="235"/>
      <c r="BH456" s="235"/>
      <c r="BI456" s="235"/>
      <c r="BJ456" s="235"/>
      <c r="BK456" s="235"/>
      <c r="BL456" s="235"/>
      <c r="BM456" s="235"/>
      <c r="BN456" s="235"/>
    </row>
    <row r="457" spans="15:66" x14ac:dyDescent="0.25">
      <c r="O457" s="3"/>
      <c r="U457" s="238"/>
      <c r="V457" s="3"/>
      <c r="W457" s="3"/>
      <c r="X457" s="3"/>
      <c r="Y457" s="3"/>
      <c r="Z457" s="3"/>
      <c r="AA457" s="238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238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</row>
    <row r="458" spans="15:66" x14ac:dyDescent="0.25">
      <c r="O458" s="3"/>
      <c r="U458" s="238"/>
      <c r="V458" s="3"/>
      <c r="W458" s="3"/>
      <c r="X458" s="3"/>
      <c r="Y458" s="3"/>
      <c r="Z458" s="3"/>
      <c r="AA458" s="238"/>
      <c r="AB458" s="3"/>
      <c r="AC458" s="3"/>
      <c r="AD458" s="3"/>
      <c r="AE458" s="3"/>
      <c r="AF458" s="3"/>
      <c r="AG458" s="236" t="s">
        <v>487</v>
      </c>
      <c r="AH458" s="237"/>
      <c r="AI458" s="237"/>
      <c r="AJ458" s="237"/>
      <c r="AK458" s="237"/>
      <c r="AL458" s="371"/>
      <c r="AM458" s="238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</row>
    <row r="459" spans="15:66" x14ac:dyDescent="0.25">
      <c r="O459" s="3"/>
      <c r="U459" s="238"/>
      <c r="V459" s="3"/>
      <c r="W459" s="3"/>
      <c r="X459" s="3"/>
      <c r="Y459" s="3"/>
      <c r="Z459" s="3"/>
      <c r="AA459" s="238"/>
      <c r="AB459" s="3"/>
      <c r="AC459" s="3"/>
      <c r="AD459" s="3"/>
      <c r="AE459" s="3"/>
      <c r="AF459" s="3"/>
      <c r="AG459" s="238" t="s">
        <v>344</v>
      </c>
      <c r="AH459" s="3">
        <f>DET_MORT_pre_eclampsia</f>
        <v>1.8648298999999959E-4</v>
      </c>
      <c r="AI459" s="3" t="s">
        <v>345</v>
      </c>
      <c r="AJ459" s="3">
        <f>AH459*AD464</f>
        <v>1.1711759584446019E-3</v>
      </c>
      <c r="AK459" s="3" t="s">
        <v>346</v>
      </c>
      <c r="AL459" s="370">
        <f>AH459*AF464</f>
        <v>1.1711759584446019E-3</v>
      </c>
      <c r="AM459" s="238"/>
      <c r="AN459" s="3"/>
      <c r="AO459" s="3"/>
      <c r="AP459" s="3"/>
      <c r="AQ459" s="3"/>
      <c r="AR459" s="3"/>
      <c r="AS459" s="236" t="s">
        <v>507</v>
      </c>
      <c r="AT459" s="237"/>
      <c r="AU459" s="237"/>
      <c r="AV459" s="237"/>
      <c r="AW459" s="237"/>
      <c r="AX459" s="237"/>
      <c r="AY459" s="237"/>
      <c r="AZ459" s="237"/>
      <c r="BA459" s="237"/>
      <c r="BB459" s="237"/>
      <c r="BC459" s="237"/>
      <c r="BD459" s="237"/>
      <c r="BE459" s="237"/>
      <c r="BF459" s="237"/>
      <c r="BG459" s="237"/>
      <c r="BH459" s="237"/>
      <c r="BI459" s="237"/>
      <c r="BJ459" s="237"/>
      <c r="BK459" s="237"/>
      <c r="BL459" s="237"/>
      <c r="BM459" s="237"/>
      <c r="BN459" s="237"/>
    </row>
    <row r="460" spans="15:66" x14ac:dyDescent="0.25">
      <c r="O460" s="3"/>
      <c r="U460" s="238"/>
      <c r="V460" s="3"/>
      <c r="W460" s="3"/>
      <c r="X460" s="3"/>
      <c r="Y460" s="3"/>
      <c r="Z460" s="3"/>
      <c r="AA460" s="238"/>
      <c r="AB460" s="3"/>
      <c r="AC460" s="3"/>
      <c r="AD460" s="3"/>
      <c r="AE460" s="3"/>
      <c r="AF460" s="3"/>
      <c r="AG460" s="238"/>
      <c r="AH460" s="3"/>
      <c r="AI460" s="3"/>
      <c r="AJ460" s="3"/>
      <c r="AK460" s="3"/>
      <c r="AL460" s="3"/>
      <c r="AM460" s="238" t="s">
        <v>344</v>
      </c>
      <c r="AN460" s="1">
        <f>1-AN455</f>
        <v>0.95096564266191386</v>
      </c>
      <c r="AO460" s="1" t="s">
        <v>345</v>
      </c>
      <c r="AP460" s="1">
        <f>AN460*AJ459</f>
        <v>1.1137480979924537E-3</v>
      </c>
      <c r="AQ460" s="1" t="s">
        <v>346</v>
      </c>
      <c r="AR460" s="1">
        <f>AN460*AL459</f>
        <v>1.1137480979924537E-3</v>
      </c>
      <c r="AS460" s="238" t="s">
        <v>344</v>
      </c>
      <c r="AT460" s="3">
        <f>DET_CS_stillbirth_nbw_fullgest</f>
        <v>2.0298526728661924E-3</v>
      </c>
      <c r="AU460" s="3" t="s">
        <v>345</v>
      </c>
      <c r="AV460" s="3">
        <f>AT460*AP460</f>
        <v>2.2607445536096202E-6</v>
      </c>
      <c r="AW460" s="3" t="s">
        <v>346</v>
      </c>
      <c r="AX460" s="3">
        <f>AT460*AR460</f>
        <v>2.2607445536096202E-6</v>
      </c>
      <c r="AY460" s="3">
        <f>AY455+1</f>
        <v>115</v>
      </c>
      <c r="AZ460" s="3"/>
      <c r="BA460" s="3">
        <f>det_cost_comparator*AV460</f>
        <v>0</v>
      </c>
      <c r="BB460" s="3">
        <f>$AV460*(VLOOKUP($AY460,'Pregnancy costs and utilities'!$A$23:$H$158,3))</f>
        <v>1.6453593026902719E-2</v>
      </c>
      <c r="BC460" s="3">
        <f>SUM(BA460:BB460)</f>
        <v>1.6453593026902719E-2</v>
      </c>
      <c r="BD460" s="3"/>
      <c r="BE460" s="3">
        <f>$AV460*(VLOOKUP($AY460,'Pregnancy costs and utilities'!$A$23:$I$158,9))</f>
        <v>0</v>
      </c>
      <c r="BF460" s="3">
        <f>$AV460*(VLOOKUP($AY460,'Pregnancy costs and utilities'!$A$23:$H$158,7))</f>
        <v>0</v>
      </c>
      <c r="BG460" s="3"/>
      <c r="BH460" s="3">
        <f>$BA460</f>
        <v>0</v>
      </c>
      <c r="BI460" s="3">
        <f>$AX460*(VLOOKUP($AY460,'Pregnancy costs and utilities'!$A$23:$H$158,5))</f>
        <v>2.4037969940313791E-3</v>
      </c>
      <c r="BJ460" s="3">
        <f>SUM(BH460:BI460)</f>
        <v>2.4037969940313791E-3</v>
      </c>
      <c r="BK460" s="3"/>
      <c r="BL460" s="3">
        <f>BC460+BI460</f>
        <v>1.8857390020934096E-2</v>
      </c>
      <c r="BN460" s="1" t="str">
        <f>IF(AV460=AX460,"Okay",IF(AV460&gt;AX460,"Lost infant","Gained infant"))</f>
        <v>Okay</v>
      </c>
    </row>
    <row r="461" spans="15:66" x14ac:dyDescent="0.25">
      <c r="O461" s="3"/>
      <c r="U461" s="238"/>
      <c r="V461" s="3"/>
      <c r="W461" s="3"/>
      <c r="X461" s="3"/>
      <c r="Y461" s="3"/>
      <c r="Z461" s="3"/>
      <c r="AA461" s="238"/>
      <c r="AB461" s="3"/>
      <c r="AC461" s="3"/>
      <c r="AD461" s="3"/>
      <c r="AE461" s="3"/>
      <c r="AF461" s="3"/>
      <c r="AG461" s="238"/>
      <c r="AH461" s="3"/>
      <c r="AI461" s="3"/>
      <c r="AJ461" s="3"/>
      <c r="AK461" s="3"/>
      <c r="AL461" s="3"/>
      <c r="AM461" s="240" t="s">
        <v>494</v>
      </c>
      <c r="AN461" s="235"/>
      <c r="AO461" s="235"/>
      <c r="AP461" s="235"/>
      <c r="AQ461" s="235"/>
      <c r="AR461" s="239"/>
      <c r="AS461" s="238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</row>
    <row r="462" spans="15:66" x14ac:dyDescent="0.25">
      <c r="O462" s="3"/>
      <c r="U462" s="238"/>
      <c r="V462" s="3"/>
      <c r="W462" s="3"/>
      <c r="X462" s="3"/>
      <c r="Y462" s="3"/>
      <c r="Z462" s="3"/>
      <c r="AA462" s="238"/>
      <c r="AB462" s="3"/>
      <c r="AC462" s="3"/>
      <c r="AD462" s="3"/>
      <c r="AE462" s="3"/>
      <c r="AF462" s="3"/>
      <c r="AG462" s="238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238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</row>
    <row r="463" spans="15:66" x14ac:dyDescent="0.25">
      <c r="O463" s="3"/>
      <c r="U463" s="238"/>
      <c r="V463" s="3"/>
      <c r="W463" s="3"/>
      <c r="X463" s="3"/>
      <c r="Y463" s="3"/>
      <c r="Z463" s="3"/>
      <c r="AA463" s="238"/>
      <c r="AB463" s="3"/>
      <c r="AC463" s="3"/>
      <c r="AD463" s="3"/>
      <c r="AE463" s="3"/>
      <c r="AF463" s="3"/>
      <c r="AG463" s="238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238" t="s">
        <v>344</v>
      </c>
      <c r="AT463" s="3">
        <f>1-AT460</f>
        <v>0.99797014732713385</v>
      </c>
      <c r="AU463" s="3" t="s">
        <v>345</v>
      </c>
      <c r="AV463" s="3">
        <f>AT463*AP460</f>
        <v>1.1114873534388441E-3</v>
      </c>
      <c r="AW463" s="3" t="s">
        <v>346</v>
      </c>
      <c r="AX463" s="3">
        <f>AT463*AR460</f>
        <v>1.1114873534388441E-3</v>
      </c>
      <c r="AY463" s="3">
        <f>AY460+1</f>
        <v>116</v>
      </c>
      <c r="AZ463" s="3"/>
      <c r="BA463" s="3">
        <f>det_cost_comparator*AV463</f>
        <v>0</v>
      </c>
      <c r="BB463" s="3">
        <f>$AV463*(VLOOKUP($AY463,'Pregnancy costs and utilities'!$A$23:$H$158,3))</f>
        <v>8.089352925270763</v>
      </c>
      <c r="BC463" s="3">
        <f>SUM(BA463:BB463)</f>
        <v>8.089352925270763</v>
      </c>
      <c r="BD463" s="3"/>
      <c r="BE463" s="3">
        <f>$AV463*(VLOOKUP($AY463,'Pregnancy costs and utilities'!$A$23:$I$158,9))</f>
        <v>0</v>
      </c>
      <c r="BF463" s="3">
        <f>$AV463*(VLOOKUP($AY463,'Pregnancy costs and utilities'!$A$23:$H$158,7))</f>
        <v>0</v>
      </c>
      <c r="BG463" s="3"/>
      <c r="BH463" s="3">
        <f>$BA463</f>
        <v>0</v>
      </c>
      <c r="BI463" s="3">
        <f>$AX463*(VLOOKUP($AY463,'Pregnancy costs and utilities'!$A$23:$H$158,5))</f>
        <v>2.9408485147603414</v>
      </c>
      <c r="BJ463" s="3">
        <f>SUM(BH463:BI463)</f>
        <v>2.9408485147603414</v>
      </c>
      <c r="BK463" s="3"/>
      <c r="BL463" s="3">
        <f>BC463+BI463</f>
        <v>11.030201440031105</v>
      </c>
      <c r="BN463" s="1" t="str">
        <f>IF(AV463=AX463,"Okay",IF(AV463&gt;AX463,"Lost infant","Gained infant"))</f>
        <v>Okay</v>
      </c>
    </row>
    <row r="464" spans="15:66" x14ac:dyDescent="0.25">
      <c r="O464" s="3"/>
      <c r="U464" s="238"/>
      <c r="V464" s="3"/>
      <c r="W464" s="3"/>
      <c r="X464" s="3"/>
      <c r="Y464" s="3"/>
      <c r="Z464" s="3"/>
      <c r="AA464" s="238" t="s">
        <v>344</v>
      </c>
      <c r="AB464" s="1">
        <f>1-AB435</f>
        <v>0.6723645910456606</v>
      </c>
      <c r="AC464" s="1" t="s">
        <v>345</v>
      </c>
      <c r="AD464" s="1">
        <f>AB464*X451</f>
        <v>6.2803366593628969</v>
      </c>
      <c r="AE464" s="1" t="s">
        <v>346</v>
      </c>
      <c r="AF464" s="1">
        <f>AB464*Z451</f>
        <v>6.2803366593628969</v>
      </c>
      <c r="AG464" s="238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240" t="s">
        <v>508</v>
      </c>
      <c r="AT464" s="235"/>
      <c r="AU464" s="235"/>
      <c r="AV464" s="235"/>
      <c r="AW464" s="235"/>
      <c r="AX464" s="235"/>
      <c r="AY464" s="235"/>
      <c r="AZ464" s="235"/>
      <c r="BA464" s="235"/>
      <c r="BB464" s="235"/>
      <c r="BC464" s="235"/>
      <c r="BD464" s="235"/>
      <c r="BE464" s="235"/>
      <c r="BF464" s="235"/>
      <c r="BG464" s="235"/>
      <c r="BH464" s="235"/>
      <c r="BI464" s="235"/>
      <c r="BJ464" s="235"/>
      <c r="BK464" s="235"/>
      <c r="BL464" s="235"/>
      <c r="BM464" s="235"/>
      <c r="BN464" s="235"/>
    </row>
    <row r="465" spans="15:66" x14ac:dyDescent="0.25">
      <c r="O465" s="3"/>
      <c r="U465" s="238"/>
      <c r="V465" s="3"/>
      <c r="W465" s="3"/>
      <c r="X465" s="3"/>
      <c r="Y465" s="3"/>
      <c r="Z465" s="3"/>
      <c r="AA465" s="240" t="s">
        <v>484</v>
      </c>
      <c r="AB465" s="235"/>
      <c r="AC465" s="235"/>
      <c r="AD465" s="235"/>
      <c r="AE465" s="235"/>
      <c r="AF465" s="239"/>
      <c r="AG465" s="238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</row>
    <row r="466" spans="15:66" x14ac:dyDescent="0.25">
      <c r="O466" s="3"/>
      <c r="U466" s="238"/>
      <c r="V466" s="3"/>
      <c r="W466" s="3"/>
      <c r="X466" s="3"/>
      <c r="Y466" s="3"/>
      <c r="Z466" s="3"/>
      <c r="AG466" s="238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</row>
    <row r="467" spans="15:66" x14ac:dyDescent="0.25">
      <c r="O467" s="3"/>
      <c r="U467" s="238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238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236" t="s">
        <v>509</v>
      </c>
      <c r="AT467" s="237"/>
      <c r="AU467" s="237"/>
      <c r="AV467" s="237"/>
      <c r="AW467" s="237"/>
      <c r="AX467" s="237"/>
      <c r="AY467" s="237"/>
      <c r="AZ467" s="237"/>
      <c r="BA467" s="237"/>
      <c r="BB467" s="237"/>
      <c r="BC467" s="237"/>
      <c r="BD467" s="237"/>
      <c r="BE467" s="237"/>
      <c r="BF467" s="237"/>
      <c r="BG467" s="237"/>
      <c r="BH467" s="237"/>
      <c r="BI467" s="237"/>
      <c r="BJ467" s="237"/>
      <c r="BK467" s="237"/>
      <c r="BL467" s="237"/>
      <c r="BM467" s="237"/>
      <c r="BN467" s="237"/>
    </row>
    <row r="468" spans="15:66" x14ac:dyDescent="0.25">
      <c r="O468" s="3"/>
      <c r="U468" s="238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238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238" t="s">
        <v>344</v>
      </c>
      <c r="AT468" s="3">
        <f>DET_CS_stillbirth_lbw_fullgest</f>
        <v>1.9354764795137105E-2</v>
      </c>
      <c r="AU468" s="3" t="s">
        <v>345</v>
      </c>
      <c r="AV468" s="3">
        <f>AT468*AP471</f>
        <v>5.9592322891566588E-3</v>
      </c>
      <c r="AW468" s="3" t="s">
        <v>346</v>
      </c>
      <c r="AX468" s="3">
        <f>AT468*AR471</f>
        <v>5.9592322891566588E-3</v>
      </c>
      <c r="AY468" s="3">
        <f>AY463+1</f>
        <v>117</v>
      </c>
      <c r="AZ468" s="3"/>
      <c r="BA468" s="3">
        <f>det_cost_comparator*AV468</f>
        <v>0</v>
      </c>
      <c r="BB468" s="3">
        <f>$AV468*(VLOOKUP($AY468,'Pregnancy costs and utilities'!$A$23:$H$158,3))</f>
        <v>33.651625668172031</v>
      </c>
      <c r="BC468" s="3">
        <f>SUM(BA468:BB468)</f>
        <v>33.651625668172031</v>
      </c>
      <c r="BD468" s="3"/>
      <c r="BE468" s="3">
        <f>$AV468*(VLOOKUP($AY468,'Pregnancy costs and utilities'!$A$23:$I$158,9))</f>
        <v>4.4694242168674941E-3</v>
      </c>
      <c r="BF468" s="3">
        <f>$AV468*(VLOOKUP($AY468,'Pregnancy costs and utilities'!$A$23:$H$158,7))</f>
        <v>3.8899490607088474E-3</v>
      </c>
      <c r="BG468" s="3"/>
      <c r="BH468" s="3">
        <f>$BA468</f>
        <v>0</v>
      </c>
      <c r="BI468" s="3">
        <f>$AX468*(VLOOKUP($AY468,'Pregnancy costs and utilities'!$A$23:$H$158,5))</f>
        <v>6.3363128047960258</v>
      </c>
      <c r="BJ468" s="3">
        <f>SUM(BH468:BI468)</f>
        <v>6.3363128047960258</v>
      </c>
      <c r="BK468" s="3"/>
      <c r="BL468" s="3">
        <f>BC468+BI468</f>
        <v>39.987938472968054</v>
      </c>
      <c r="BN468" s="1" t="str">
        <f>IF(AV468=AX468,"Okay",IF(AV468&gt;AX468,"Lost infant","Gained infant"))</f>
        <v>Okay</v>
      </c>
    </row>
    <row r="469" spans="15:66" x14ac:dyDescent="0.25">
      <c r="O469" s="3"/>
      <c r="U469" s="238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238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238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</row>
    <row r="470" spans="15:66" x14ac:dyDescent="0.25">
      <c r="O470" s="3"/>
      <c r="U470" s="238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238"/>
      <c r="AH470" s="3"/>
      <c r="AI470" s="3"/>
      <c r="AJ470" s="3"/>
      <c r="AK470" s="3"/>
      <c r="AL470" s="3"/>
      <c r="AM470" s="236" t="s">
        <v>495</v>
      </c>
      <c r="AN470" s="237"/>
      <c r="AO470" s="237"/>
      <c r="AP470" s="237"/>
      <c r="AQ470" s="237"/>
      <c r="AR470" s="371"/>
      <c r="AS470" s="238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</row>
    <row r="471" spans="15:66" x14ac:dyDescent="0.25">
      <c r="O471" s="3"/>
      <c r="U471" s="238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238"/>
      <c r="AH471" s="3"/>
      <c r="AI471" s="3"/>
      <c r="AJ471" s="3"/>
      <c r="AK471" s="3"/>
      <c r="AL471" s="3"/>
      <c r="AM471" s="238" t="s">
        <v>344</v>
      </c>
      <c r="AN471" s="3">
        <f>DET_CS_lbw_fullgest</f>
        <v>4.9034357338086171E-2</v>
      </c>
      <c r="AO471" s="3" t="s">
        <v>345</v>
      </c>
      <c r="AP471" s="3">
        <f>AN471*AJ472</f>
        <v>0.30789484409823048</v>
      </c>
      <c r="AQ471" s="3" t="s">
        <v>346</v>
      </c>
      <c r="AR471" s="370">
        <f>AN471*AL472</f>
        <v>0.30789484409823048</v>
      </c>
      <c r="AS471" s="238" t="s">
        <v>344</v>
      </c>
      <c r="AT471" s="3">
        <f>1-AT468</f>
        <v>0.98064523520486291</v>
      </c>
      <c r="AU471" s="3" t="s">
        <v>345</v>
      </c>
      <c r="AV471" s="3">
        <f>AT471*AP471</f>
        <v>0.3019356118090738</v>
      </c>
      <c r="AW471" s="3" t="s">
        <v>346</v>
      </c>
      <c r="AX471" s="3">
        <f>AT471*AR471</f>
        <v>0.3019356118090738</v>
      </c>
      <c r="AY471" s="3">
        <f>AY468+1</f>
        <v>118</v>
      </c>
      <c r="AZ471" s="3"/>
      <c r="BA471" s="3">
        <f>det_cost_comparator*AV471</f>
        <v>0</v>
      </c>
      <c r="BB471" s="3">
        <f>$AV471*(VLOOKUP($AY471,'Pregnancy costs and utilities'!$A$23:$H$158,3))</f>
        <v>1705.0223403738753</v>
      </c>
      <c r="BC471" s="3">
        <f>SUM(BA471:BB471)</f>
        <v>1705.0223403738753</v>
      </c>
      <c r="BD471" s="3"/>
      <c r="BE471" s="3">
        <f>$AV471*(VLOOKUP($AY471,'Pregnancy costs and utilities'!$A$23:$I$158,9))</f>
        <v>0.22645170885680535</v>
      </c>
      <c r="BF471" s="3">
        <f>$AV471*(VLOOKUP($AY471,'Pregnancy costs and utilities'!$A$23:$H$158,7))</f>
        <v>0.21973669082666158</v>
      </c>
      <c r="BG471" s="3"/>
      <c r="BH471" s="3">
        <f>$BA471</f>
        <v>0</v>
      </c>
      <c r="BI471" s="3">
        <f>$AX471*(VLOOKUP($AY471,'Pregnancy costs and utilities'!$A$23:$H$158,5))</f>
        <v>798.88169019174177</v>
      </c>
      <c r="BJ471" s="3">
        <f>SUM(BH471:BI471)</f>
        <v>798.88169019174177</v>
      </c>
      <c r="BK471" s="3"/>
      <c r="BL471" s="3">
        <f>BC471+BI471</f>
        <v>2503.9040305656172</v>
      </c>
      <c r="BN471" s="1" t="str">
        <f>IF(AV471=AX471,"Okay",IF(AV471&gt;AX471,"Lost infant","Gained infant"))</f>
        <v>Okay</v>
      </c>
    </row>
    <row r="472" spans="15:66" x14ac:dyDescent="0.25">
      <c r="O472" s="3"/>
      <c r="U472" s="238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238" t="s">
        <v>344</v>
      </c>
      <c r="AH472" s="1">
        <f>1-AH459</f>
        <v>0.99981351700999999</v>
      </c>
      <c r="AI472" s="1" t="s">
        <v>345</v>
      </c>
      <c r="AJ472" s="1">
        <f>AH472*AD464</f>
        <v>6.2791654834044524</v>
      </c>
      <c r="AK472" s="1" t="s">
        <v>346</v>
      </c>
      <c r="AL472" s="1">
        <f>AH472*AF464</f>
        <v>6.2791654834044524</v>
      </c>
      <c r="AM472" s="238"/>
      <c r="AN472" s="3"/>
      <c r="AO472" s="3"/>
      <c r="AP472" s="3"/>
      <c r="AQ472" s="3"/>
      <c r="AR472" s="3"/>
      <c r="AS472" s="240" t="s">
        <v>510</v>
      </c>
      <c r="AT472" s="235"/>
      <c r="AU472" s="235"/>
      <c r="AV472" s="235"/>
      <c r="AW472" s="235"/>
      <c r="AX472" s="235"/>
      <c r="AY472" s="235"/>
      <c r="AZ472" s="235"/>
      <c r="BA472" s="235"/>
      <c r="BB472" s="235"/>
      <c r="BC472" s="235"/>
      <c r="BD472" s="235"/>
      <c r="BE472" s="235"/>
      <c r="BF472" s="235"/>
      <c r="BG472" s="235"/>
      <c r="BH472" s="235"/>
      <c r="BI472" s="235"/>
      <c r="BJ472" s="235"/>
      <c r="BK472" s="235"/>
      <c r="BL472" s="235"/>
      <c r="BM472" s="235"/>
      <c r="BN472" s="235"/>
    </row>
    <row r="473" spans="15:66" x14ac:dyDescent="0.25">
      <c r="O473" s="3"/>
      <c r="U473" s="238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240" t="s">
        <v>488</v>
      </c>
      <c r="AH473" s="235"/>
      <c r="AI473" s="235"/>
      <c r="AJ473" s="235"/>
      <c r="AK473" s="235"/>
      <c r="AL473" s="239"/>
      <c r="AM473" s="238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</row>
    <row r="474" spans="15:66" x14ac:dyDescent="0.25">
      <c r="O474" s="3"/>
      <c r="U474" s="238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238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</row>
    <row r="475" spans="15:66" x14ac:dyDescent="0.25">
      <c r="O475" s="3"/>
      <c r="U475" s="238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238"/>
      <c r="AN475" s="3"/>
      <c r="AO475" s="3"/>
      <c r="AP475" s="3"/>
      <c r="AQ475" s="3"/>
      <c r="AR475" s="3"/>
      <c r="AS475" s="236" t="s">
        <v>511</v>
      </c>
      <c r="AT475" s="237"/>
      <c r="AU475" s="237"/>
      <c r="AV475" s="237"/>
      <c r="AW475" s="237"/>
      <c r="AX475" s="237"/>
      <c r="AY475" s="237"/>
      <c r="AZ475" s="237"/>
      <c r="BA475" s="237"/>
      <c r="BB475" s="237"/>
      <c r="BC475" s="237"/>
      <c r="BD475" s="237"/>
      <c r="BE475" s="237"/>
      <c r="BF475" s="237"/>
      <c r="BG475" s="237"/>
      <c r="BH475" s="237"/>
      <c r="BI475" s="237"/>
      <c r="BJ475" s="237"/>
      <c r="BK475" s="237"/>
      <c r="BL475" s="237"/>
      <c r="BM475" s="237"/>
      <c r="BN475" s="237"/>
    </row>
    <row r="476" spans="15:66" x14ac:dyDescent="0.25">
      <c r="O476" s="3"/>
      <c r="U476" s="238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238" t="s">
        <v>344</v>
      </c>
      <c r="AN476" s="1">
        <f>1-AN471</f>
        <v>0.95096564266191386</v>
      </c>
      <c r="AO476" s="1" t="s">
        <v>345</v>
      </c>
      <c r="AP476" s="1">
        <f>AN476*AJ472</f>
        <v>5.9712706393062218</v>
      </c>
      <c r="AQ476" s="1" t="s">
        <v>346</v>
      </c>
      <c r="AR476" s="1">
        <f>AN476*AL472</f>
        <v>5.9712706393062218</v>
      </c>
      <c r="AS476" s="238" t="s">
        <v>344</v>
      </c>
      <c r="AT476" s="3">
        <f>DET_CS_stillbirth_nbw_fullgest</f>
        <v>2.0298526728661924E-3</v>
      </c>
      <c r="AU476" s="3" t="s">
        <v>345</v>
      </c>
      <c r="AV476" s="3">
        <f>AT476*AP476</f>
        <v>1.2120799667603151E-2</v>
      </c>
      <c r="AW476" s="3" t="s">
        <v>346</v>
      </c>
      <c r="AX476" s="3">
        <f>AT476*AR476</f>
        <v>1.2120799667603151E-2</v>
      </c>
      <c r="AY476" s="3">
        <f>AY471+1</f>
        <v>119</v>
      </c>
      <c r="AZ476" s="3"/>
      <c r="BA476" s="3">
        <f>det_cost_comparator*AV476</f>
        <v>0</v>
      </c>
      <c r="BB476" s="3">
        <f>$AV476*(VLOOKUP($AY476,'Pregnancy costs and utilities'!$A$23:$H$158,3))</f>
        <v>68.44583218467028</v>
      </c>
      <c r="BC476" s="3">
        <f>SUM(BA476:BB476)</f>
        <v>68.44583218467028</v>
      </c>
      <c r="BD476" s="3"/>
      <c r="BE476" s="3">
        <f>$AV476*(VLOOKUP($AY476,'Pregnancy costs and utilities'!$A$23:$I$158,9))</f>
        <v>9.0905997507023627E-3</v>
      </c>
      <c r="BF476" s="3">
        <f>$AV476*(VLOOKUP($AY476,'Pregnancy costs and utilities'!$A$23:$H$158,7))</f>
        <v>7.911974394390571E-3</v>
      </c>
      <c r="BG476" s="3"/>
      <c r="BH476" s="3">
        <f>$BA476</f>
        <v>0</v>
      </c>
      <c r="BI476" s="3">
        <f>$AX476*(VLOOKUP($AY476,'Pregnancy costs and utilities'!$A$23:$H$158,5))</f>
        <v>12.88776379433097</v>
      </c>
      <c r="BJ476" s="3">
        <f>SUM(BH476:BI476)</f>
        <v>12.88776379433097</v>
      </c>
      <c r="BK476" s="3"/>
      <c r="BL476" s="3">
        <f>BC476+BI476</f>
        <v>81.333595979001245</v>
      </c>
      <c r="BN476" s="1" t="str">
        <f>IF(AV476=AX476,"Okay",IF(AV476&gt;AX476,"Lost infant","Gained infant"))</f>
        <v>Okay</v>
      </c>
    </row>
    <row r="477" spans="15:66" x14ac:dyDescent="0.25">
      <c r="O477" s="3"/>
      <c r="U477" s="238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240" t="s">
        <v>496</v>
      </c>
      <c r="AN477" s="235"/>
      <c r="AO477" s="235"/>
      <c r="AP477" s="235"/>
      <c r="AQ477" s="235"/>
      <c r="AR477" s="239"/>
      <c r="AS477" s="238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</row>
    <row r="478" spans="15:66" x14ac:dyDescent="0.25">
      <c r="O478" s="3"/>
      <c r="U478" s="238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238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</row>
    <row r="479" spans="15:66" x14ac:dyDescent="0.25">
      <c r="O479" s="3"/>
      <c r="U479" s="238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238" t="s">
        <v>344</v>
      </c>
      <c r="AT479" s="3">
        <f>1-AT476</f>
        <v>0.99797014732713385</v>
      </c>
      <c r="AU479" s="3" t="s">
        <v>345</v>
      </c>
      <c r="AV479" s="3">
        <f>AT479*AP476</f>
        <v>5.9591498396386191</v>
      </c>
      <c r="AW479" s="3" t="s">
        <v>346</v>
      </c>
      <c r="AX479" s="3">
        <f>AT479*AR476</f>
        <v>5.9591498396386191</v>
      </c>
      <c r="AY479" s="3">
        <f>AY476+1</f>
        <v>120</v>
      </c>
      <c r="AZ479" s="3"/>
      <c r="BA479" s="3">
        <f>det_cost_comparator*AV479</f>
        <v>0</v>
      </c>
      <c r="BB479" s="3">
        <f>$AV479*(VLOOKUP($AY479,'Pregnancy costs and utilities'!$A$23:$H$158,3))</f>
        <v>33651.160077944471</v>
      </c>
      <c r="BC479" s="3">
        <f>SUM(BA479:BB479)</f>
        <v>33651.160077944471</v>
      </c>
      <c r="BD479" s="3"/>
      <c r="BE479" s="3">
        <f>$AV479*(VLOOKUP($AY479,'Pregnancy costs and utilities'!$A$23:$I$158,9))</f>
        <v>4.4693623797289641</v>
      </c>
      <c r="BF479" s="3">
        <f>$AV479*(VLOOKUP($AY479,'Pregnancy costs and utilities'!$A$23:$H$158,7))</f>
        <v>4.3368314789261628</v>
      </c>
      <c r="BG479" s="3"/>
      <c r="BH479" s="3">
        <f>$BA479</f>
        <v>0</v>
      </c>
      <c r="BI479" s="3">
        <f>$AX479*(VLOOKUP($AY479,'Pregnancy costs and utilities'!$A$23:$H$158,5))</f>
        <v>15767.122226730591</v>
      </c>
      <c r="BJ479" s="3">
        <f>SUM(BH479:BI479)</f>
        <v>15767.122226730591</v>
      </c>
      <c r="BK479" s="3"/>
      <c r="BL479" s="3">
        <f>BC479+BI479</f>
        <v>49418.282304675064</v>
      </c>
      <c r="BN479" s="1" t="str">
        <f>IF(AV479=AX479,"Okay",IF(AV479&gt;AX479,"Lost infant","Gained infant"))</f>
        <v>Okay</v>
      </c>
    </row>
    <row r="480" spans="15:66" x14ac:dyDescent="0.25">
      <c r="O480" s="3"/>
      <c r="U480" s="238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240" t="s">
        <v>512</v>
      </c>
      <c r="AT480" s="235"/>
      <c r="AU480" s="235"/>
      <c r="AV480" s="235"/>
      <c r="AW480" s="235"/>
      <c r="AX480" s="235"/>
      <c r="AY480" s="235"/>
      <c r="AZ480" s="235"/>
      <c r="BA480" s="235"/>
      <c r="BB480" s="235"/>
      <c r="BC480" s="235"/>
      <c r="BD480" s="235"/>
      <c r="BE480" s="235"/>
      <c r="BF480" s="235"/>
      <c r="BG480" s="235"/>
      <c r="BH480" s="235"/>
      <c r="BI480" s="235"/>
      <c r="BJ480" s="235"/>
      <c r="BK480" s="235"/>
      <c r="BL480" s="235"/>
      <c r="BM480" s="235"/>
      <c r="BN480" s="235"/>
    </row>
    <row r="481" spans="15:66" x14ac:dyDescent="0.25">
      <c r="O481" s="3"/>
      <c r="U481" s="238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</row>
    <row r="482" spans="15:66" x14ac:dyDescent="0.25">
      <c r="O482" s="3"/>
      <c r="U482" s="238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</row>
    <row r="483" spans="15:66" x14ac:dyDescent="0.25">
      <c r="O483" s="3"/>
      <c r="U483" s="238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236" t="s">
        <v>542</v>
      </c>
      <c r="AT483" s="237"/>
      <c r="AU483" s="237"/>
      <c r="AV483" s="237"/>
      <c r="AW483" s="237"/>
      <c r="AX483" s="237"/>
      <c r="AY483" s="237"/>
      <c r="AZ483" s="237"/>
      <c r="BA483" s="237"/>
      <c r="BB483" s="237"/>
      <c r="BC483" s="237"/>
      <c r="BD483" s="237"/>
      <c r="BE483" s="237"/>
      <c r="BF483" s="237"/>
      <c r="BG483" s="237"/>
      <c r="BH483" s="237"/>
      <c r="BI483" s="237"/>
      <c r="BJ483" s="237"/>
      <c r="BK483" s="237"/>
      <c r="BL483" s="237"/>
      <c r="BM483" s="237"/>
      <c r="BN483" s="237"/>
    </row>
    <row r="484" spans="15:66" x14ac:dyDescent="0.25">
      <c r="O484" s="3"/>
      <c r="U484" s="238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238" t="s">
        <v>344</v>
      </c>
      <c r="AT484" s="3">
        <f>DET_CS_stillbirth_lbw_premature</f>
        <v>7.6548660672211805E-2</v>
      </c>
      <c r="AU484" s="3" t="s">
        <v>345</v>
      </c>
      <c r="AV484" s="3">
        <f>AT484*AP487</f>
        <v>3.0000067871000435E-4</v>
      </c>
      <c r="AW484" s="3" t="s">
        <v>346</v>
      </c>
      <c r="AX484" s="3">
        <f>AT484*AR487</f>
        <v>3.0000067871000435E-4</v>
      </c>
      <c r="AY484" s="3">
        <f>AY479+1</f>
        <v>121</v>
      </c>
      <c r="AZ484" s="3"/>
      <c r="BA484" s="3">
        <f>det_cost_comparator*AV484</f>
        <v>0</v>
      </c>
      <c r="BB484" s="3">
        <f>$AV484*(VLOOKUP($AY484,'Pregnancy costs and utilities'!$A$23:$H$158,3))</f>
        <v>1.7783207478458605</v>
      </c>
      <c r="BC484" s="3">
        <f>SUM(BA484:BB484)</f>
        <v>1.7783207478458605</v>
      </c>
      <c r="BD484" s="3"/>
      <c r="BE484" s="3">
        <f>$AV484*(VLOOKUP($AY484,'Pregnancy costs and utilities'!$A$23:$I$158,9))</f>
        <v>0</v>
      </c>
      <c r="BF484" s="3">
        <f>$AV484*(VLOOKUP($AY484,'Pregnancy costs and utilities'!$A$23:$H$158,7))</f>
        <v>0</v>
      </c>
      <c r="BG484" s="3"/>
      <c r="BH484" s="3">
        <f>$BA484</f>
        <v>0</v>
      </c>
      <c r="BI484" s="3">
        <f>$AX484*(VLOOKUP($AY484,'Pregnancy costs and utilities'!$A$23:$H$158,5))</f>
        <v>0.31898372973588368</v>
      </c>
      <c r="BJ484" s="3">
        <f>SUM(BH484:BI484)</f>
        <v>0.31898372973588368</v>
      </c>
      <c r="BK484" s="3"/>
      <c r="BL484" s="3">
        <f>BC484+BI484</f>
        <v>2.0973044775817442</v>
      </c>
      <c r="BN484" s="1" t="str">
        <f>IF(AV484=AX484,"Okay",IF(AV484&gt;AX484,"Lost infant","Gained infant"))</f>
        <v>Okay</v>
      </c>
    </row>
    <row r="485" spans="15:66" x14ac:dyDescent="0.25">
      <c r="O485" s="3"/>
      <c r="U485" s="238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238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</row>
    <row r="486" spans="15:66" x14ac:dyDescent="0.25">
      <c r="O486" s="3"/>
      <c r="U486" s="238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236" t="s">
        <v>519</v>
      </c>
      <c r="AN486" s="237"/>
      <c r="AO486" s="237"/>
      <c r="AP486" s="237"/>
      <c r="AQ486" s="237"/>
      <c r="AR486" s="371"/>
      <c r="AS486" s="238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</row>
    <row r="487" spans="15:66" x14ac:dyDescent="0.25">
      <c r="O487" s="3"/>
      <c r="U487" s="238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238" t="s">
        <v>344</v>
      </c>
      <c r="AN487" s="3">
        <f>DET_CS_lbw_premature</f>
        <v>1</v>
      </c>
      <c r="AO487" s="3" t="s">
        <v>345</v>
      </c>
      <c r="AP487" s="3">
        <f>AN487*AJ491</f>
        <v>3.9190846198424558E-3</v>
      </c>
      <c r="AQ487" s="3" t="s">
        <v>346</v>
      </c>
      <c r="AR487" s="370">
        <f>AN487*AL491</f>
        <v>3.9190846198424558E-3</v>
      </c>
      <c r="AS487" s="238" t="s">
        <v>344</v>
      </c>
      <c r="AT487" s="3">
        <f>1-AT484</f>
        <v>0.92345133932778822</v>
      </c>
      <c r="AU487" s="3" t="s">
        <v>345</v>
      </c>
      <c r="AV487" s="3">
        <f>AT487*AP487</f>
        <v>3.6190839411324514E-3</v>
      </c>
      <c r="AW487" s="3" t="s">
        <v>346</v>
      </c>
      <c r="AX487" s="3">
        <f>AT487*AR487</f>
        <v>3.6190839411324514E-3</v>
      </c>
      <c r="AY487" s="3">
        <f>AY484+1</f>
        <v>122</v>
      </c>
      <c r="AZ487" s="3"/>
      <c r="BA487" s="3">
        <f>det_cost_comparator*AV487</f>
        <v>0</v>
      </c>
      <c r="BB487" s="3">
        <f>$AV487*(VLOOKUP($AY487,'Pregnancy costs and utilities'!$A$23:$H$158,3))</f>
        <v>21.452925001322615</v>
      </c>
      <c r="BC487" s="3">
        <f>SUM(BA487:BB487)</f>
        <v>21.452925001322615</v>
      </c>
      <c r="BD487" s="3"/>
      <c r="BE487" s="3">
        <f>$AV487*(VLOOKUP($AY487,'Pregnancy costs and utilities'!$A$23:$I$158,9))</f>
        <v>0</v>
      </c>
      <c r="BF487" s="3">
        <f>$AV487*(VLOOKUP($AY487,'Pregnancy costs and utilities'!$A$23:$H$158,7))</f>
        <v>0</v>
      </c>
      <c r="BG487" s="3"/>
      <c r="BH487" s="3">
        <f>$BA487</f>
        <v>0</v>
      </c>
      <c r="BI487" s="3">
        <f>$AX487*(VLOOKUP($AY487,'Pregnancy costs and utilities'!$A$23:$H$158,5))</f>
        <v>57.668470967339843</v>
      </c>
      <c r="BJ487" s="3">
        <f>SUM(BH487:BI487)</f>
        <v>57.668470967339843</v>
      </c>
      <c r="BK487" s="3"/>
      <c r="BL487" s="3">
        <f>BC487+BI487</f>
        <v>79.121395968662455</v>
      </c>
      <c r="BN487" s="1" t="str">
        <f>IF(AV487=AX487,"Okay",IF(AV487&gt;AX487,"Lost infant","Gained infant"))</f>
        <v>Okay</v>
      </c>
    </row>
    <row r="488" spans="15:66" x14ac:dyDescent="0.25">
      <c r="O488" s="3"/>
      <c r="U488" s="238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238"/>
      <c r="AN488" s="3"/>
      <c r="AO488" s="3"/>
      <c r="AP488" s="3"/>
      <c r="AQ488" s="3"/>
      <c r="AR488" s="3"/>
      <c r="AS488" s="240" t="s">
        <v>541</v>
      </c>
      <c r="AT488" s="235"/>
      <c r="AU488" s="235"/>
      <c r="AV488" s="235"/>
      <c r="AW488" s="235"/>
      <c r="AX488" s="235"/>
      <c r="AY488" s="235"/>
      <c r="AZ488" s="235"/>
      <c r="BA488" s="235"/>
      <c r="BB488" s="235"/>
      <c r="BC488" s="235"/>
      <c r="BD488" s="235"/>
      <c r="BE488" s="235"/>
      <c r="BF488" s="235"/>
      <c r="BG488" s="235"/>
      <c r="BH488" s="235"/>
      <c r="BI488" s="235"/>
      <c r="BJ488" s="235"/>
      <c r="BK488" s="235"/>
      <c r="BL488" s="235"/>
      <c r="BM488" s="235"/>
      <c r="BN488" s="235"/>
    </row>
    <row r="489" spans="15:66" x14ac:dyDescent="0.25">
      <c r="O489" s="3"/>
      <c r="U489" s="238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238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</row>
    <row r="490" spans="15:66" x14ac:dyDescent="0.25">
      <c r="O490" s="3"/>
      <c r="U490" s="238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236" t="s">
        <v>515</v>
      </c>
      <c r="AH490" s="237"/>
      <c r="AI490" s="237"/>
      <c r="AJ490" s="237"/>
      <c r="AK490" s="237"/>
      <c r="AL490" s="371"/>
      <c r="AM490" s="238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</row>
    <row r="491" spans="15:66" x14ac:dyDescent="0.25">
      <c r="O491" s="3"/>
      <c r="U491" s="238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238" t="s">
        <v>344</v>
      </c>
      <c r="AH491" s="3">
        <f>DET_MORT_no_complication</f>
        <v>6.1594290000000217E-5</v>
      </c>
      <c r="AI491" s="3" t="s">
        <v>345</v>
      </c>
      <c r="AJ491" s="3">
        <f>AH491*AD499</f>
        <v>3.9190846198424558E-3</v>
      </c>
      <c r="AK491" s="3" t="s">
        <v>346</v>
      </c>
      <c r="AL491" s="370">
        <f>AH491*AF499</f>
        <v>3.9190846198424558E-3</v>
      </c>
      <c r="AM491" s="238"/>
      <c r="AN491" s="3"/>
      <c r="AO491" s="3"/>
      <c r="AP491" s="3"/>
      <c r="AQ491" s="3"/>
      <c r="AR491" s="3"/>
      <c r="AS491" s="236" t="s">
        <v>540</v>
      </c>
      <c r="AT491" s="237"/>
      <c r="AU491" s="237"/>
      <c r="AV491" s="237"/>
      <c r="AW491" s="237"/>
      <c r="AX491" s="237"/>
      <c r="AY491" s="237"/>
      <c r="AZ491" s="237"/>
      <c r="BA491" s="237"/>
      <c r="BB491" s="237"/>
      <c r="BC491" s="237"/>
      <c r="BD491" s="237"/>
      <c r="BE491" s="237"/>
      <c r="BF491" s="237"/>
      <c r="BG491" s="237"/>
      <c r="BH491" s="237"/>
      <c r="BI491" s="237"/>
      <c r="BJ491" s="237"/>
      <c r="BK491" s="237"/>
      <c r="BL491" s="237"/>
      <c r="BM491" s="237"/>
      <c r="BN491" s="237"/>
    </row>
    <row r="492" spans="15:66" x14ac:dyDescent="0.25">
      <c r="O492" s="3"/>
      <c r="U492" s="238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238"/>
      <c r="AH492" s="3"/>
      <c r="AI492" s="3"/>
      <c r="AJ492" s="3"/>
      <c r="AK492" s="3"/>
      <c r="AL492" s="3"/>
      <c r="AM492" s="238" t="s">
        <v>344</v>
      </c>
      <c r="AN492" s="1">
        <f>1-AN487</f>
        <v>0</v>
      </c>
      <c r="AO492" s="1" t="s">
        <v>345</v>
      </c>
      <c r="AP492" s="1">
        <f>AN492*AJ491</f>
        <v>0</v>
      </c>
      <c r="AQ492" s="1" t="s">
        <v>346</v>
      </c>
      <c r="AR492" s="1">
        <f>AN492*AL491</f>
        <v>0</v>
      </c>
      <c r="AS492" s="238" t="s">
        <v>344</v>
      </c>
      <c r="AT492" s="3">
        <f>DET_CS_stillbirth_nbw_premature</f>
        <v>9.5923131756814883E-3</v>
      </c>
      <c r="AU492" s="3" t="s">
        <v>345</v>
      </c>
      <c r="AV492" s="3">
        <f>AT492*AP492</f>
        <v>0</v>
      </c>
      <c r="AW492" s="3" t="s">
        <v>346</v>
      </c>
      <c r="AX492" s="3">
        <f>AT492*AR492</f>
        <v>0</v>
      </c>
      <c r="AY492" s="3">
        <f>AY487+1</f>
        <v>123</v>
      </c>
      <c r="AZ492" s="3"/>
      <c r="BA492" s="3">
        <f>det_cost_comparator*AV492</f>
        <v>0</v>
      </c>
      <c r="BB492" s="3">
        <f>$AV492*(VLOOKUP($AY492,'Pregnancy costs and utilities'!$A$23:$H$158,3))</f>
        <v>0</v>
      </c>
      <c r="BC492" s="3">
        <f>SUM(BA492:BB492)</f>
        <v>0</v>
      </c>
      <c r="BD492" s="3"/>
      <c r="BE492" s="3">
        <f>$AV492*(VLOOKUP($AY492,'Pregnancy costs and utilities'!$A$23:$I$158,9))</f>
        <v>0</v>
      </c>
      <c r="BF492" s="3">
        <f>$AV492*(VLOOKUP($AY492,'Pregnancy costs and utilities'!$A$23:$H$158,7))</f>
        <v>0</v>
      </c>
      <c r="BG492" s="3"/>
      <c r="BH492" s="3">
        <f>$BA492</f>
        <v>0</v>
      </c>
      <c r="BI492" s="3">
        <f>$AX492*(VLOOKUP($AY492,'Pregnancy costs and utilities'!$A$23:$H$158,5))</f>
        <v>0</v>
      </c>
      <c r="BJ492" s="3">
        <f>SUM(BH492:BI492)</f>
        <v>0</v>
      </c>
      <c r="BK492" s="3"/>
      <c r="BL492" s="3">
        <f>BC492+BI492</f>
        <v>0</v>
      </c>
      <c r="BN492" s="1" t="str">
        <f>IF(AV492=AX492,"Okay",IF(AV492&gt;AX492,"Lost infant","Gained infant"))</f>
        <v>Okay</v>
      </c>
    </row>
    <row r="493" spans="15:66" x14ac:dyDescent="0.25">
      <c r="O493" s="3"/>
      <c r="U493" s="238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238"/>
      <c r="AH493" s="3"/>
      <c r="AI493" s="3"/>
      <c r="AJ493" s="3"/>
      <c r="AK493" s="3"/>
      <c r="AL493" s="3"/>
      <c r="AM493" s="240" t="s">
        <v>520</v>
      </c>
      <c r="AN493" s="235"/>
      <c r="AO493" s="235"/>
      <c r="AP493" s="235"/>
      <c r="AQ493" s="235"/>
      <c r="AR493" s="239"/>
      <c r="AS493" s="238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</row>
    <row r="494" spans="15:66" x14ac:dyDescent="0.25">
      <c r="O494" s="3"/>
      <c r="U494" s="238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238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238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</row>
    <row r="495" spans="15:66" x14ac:dyDescent="0.25">
      <c r="O495" s="3"/>
      <c r="U495" s="238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238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238" t="s">
        <v>344</v>
      </c>
      <c r="AT495" s="3">
        <f>1-AT492</f>
        <v>0.99040768682431857</v>
      </c>
      <c r="AU495" s="3" t="s">
        <v>345</v>
      </c>
      <c r="AV495" s="3">
        <f>AT495*AP492</f>
        <v>0</v>
      </c>
      <c r="AW495" s="3" t="s">
        <v>346</v>
      </c>
      <c r="AX495" s="3">
        <f>AT495*AR492</f>
        <v>0</v>
      </c>
      <c r="AY495" s="3">
        <f>AY492+1</f>
        <v>124</v>
      </c>
      <c r="AZ495" s="3"/>
      <c r="BA495" s="3">
        <f>det_cost_comparator*AV495</f>
        <v>0</v>
      </c>
      <c r="BB495" s="3">
        <f>$AV495*(VLOOKUP($AY495,'Pregnancy costs and utilities'!$A$23:$H$158,3))</f>
        <v>0</v>
      </c>
      <c r="BC495" s="3">
        <f>SUM(BA495:BB495)</f>
        <v>0</v>
      </c>
      <c r="BD495" s="3"/>
      <c r="BE495" s="3">
        <f>$AV495*(VLOOKUP($AY495,'Pregnancy costs and utilities'!$A$23:$I$158,9))</f>
        <v>0</v>
      </c>
      <c r="BF495" s="3">
        <f>$AV495*(VLOOKUP($AY495,'Pregnancy costs and utilities'!$A$23:$H$158,7))</f>
        <v>0</v>
      </c>
      <c r="BG495" s="3"/>
      <c r="BH495" s="3">
        <f>$BA495</f>
        <v>0</v>
      </c>
      <c r="BI495" s="3">
        <f>$AX495*(VLOOKUP($AY495,'Pregnancy costs and utilities'!$A$23:$H$158,5))</f>
        <v>0</v>
      </c>
      <c r="BJ495" s="3">
        <f>SUM(BH495:BI495)</f>
        <v>0</v>
      </c>
      <c r="BK495" s="3"/>
      <c r="BL495" s="3">
        <f>BC495+BI495</f>
        <v>0</v>
      </c>
      <c r="BN495" s="1" t="str">
        <f>IF(AV495=AX495,"Okay",IF(AV495&gt;AX495,"Lost infant","Gained infant"))</f>
        <v>Okay</v>
      </c>
    </row>
    <row r="496" spans="15:66" x14ac:dyDescent="0.25">
      <c r="O496" s="3"/>
      <c r="U496" s="238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238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240" t="s">
        <v>539</v>
      </c>
      <c r="AT496" s="235"/>
      <c r="AU496" s="235"/>
      <c r="AV496" s="235"/>
      <c r="AW496" s="235"/>
      <c r="AX496" s="235"/>
      <c r="AY496" s="235"/>
      <c r="AZ496" s="235"/>
      <c r="BA496" s="235"/>
      <c r="BB496" s="235"/>
      <c r="BC496" s="235"/>
      <c r="BD496" s="235"/>
      <c r="BE496" s="235"/>
      <c r="BF496" s="235"/>
      <c r="BG496" s="235"/>
      <c r="BH496" s="235"/>
      <c r="BI496" s="235"/>
      <c r="BJ496" s="235"/>
      <c r="BK496" s="235"/>
      <c r="BL496" s="235"/>
      <c r="BM496" s="235"/>
      <c r="BN496" s="235"/>
    </row>
    <row r="497" spans="15:66" x14ac:dyDescent="0.25">
      <c r="O497" s="3"/>
      <c r="U497" s="238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238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</row>
    <row r="498" spans="15:66" x14ac:dyDescent="0.25">
      <c r="O498" s="3"/>
      <c r="U498" s="238"/>
      <c r="V498" s="3"/>
      <c r="W498" s="3"/>
      <c r="X498" s="3"/>
      <c r="Y498" s="3"/>
      <c r="Z498" s="3"/>
      <c r="AA498" s="236" t="s">
        <v>513</v>
      </c>
      <c r="AB498" s="237"/>
      <c r="AC498" s="237"/>
      <c r="AD498" s="237"/>
      <c r="AE498" s="237"/>
      <c r="AF498" s="371"/>
      <c r="AG498" s="238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</row>
    <row r="499" spans="15:66" x14ac:dyDescent="0.25">
      <c r="O499" s="3"/>
      <c r="U499" s="238"/>
      <c r="V499" s="3"/>
      <c r="W499" s="3"/>
      <c r="X499" s="3"/>
      <c r="Y499" s="3"/>
      <c r="Z499" s="3"/>
      <c r="AA499" s="238" t="s">
        <v>344</v>
      </c>
      <c r="AB499" s="3">
        <f>DET_CS_premature_no_complication</f>
        <v>7.3928395365917041E-2</v>
      </c>
      <c r="AC499" s="3" t="s">
        <v>345</v>
      </c>
      <c r="AD499" s="3">
        <f>AB499*X512</f>
        <v>63.627401498457765</v>
      </c>
      <c r="AE499" s="3" t="s">
        <v>346</v>
      </c>
      <c r="AF499" s="370">
        <f>AB499*Z512</f>
        <v>63.627401498457765</v>
      </c>
      <c r="AG499" s="238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236" t="s">
        <v>538</v>
      </c>
      <c r="AT499" s="237"/>
      <c r="AU499" s="237"/>
      <c r="AV499" s="237"/>
      <c r="AW499" s="237"/>
      <c r="AX499" s="237"/>
      <c r="AY499" s="237"/>
      <c r="AZ499" s="237"/>
      <c r="BA499" s="237"/>
      <c r="BB499" s="237"/>
      <c r="BC499" s="237"/>
      <c r="BD499" s="237"/>
      <c r="BE499" s="237"/>
      <c r="BF499" s="237"/>
      <c r="BG499" s="237"/>
      <c r="BH499" s="237"/>
      <c r="BI499" s="237"/>
      <c r="BJ499" s="237"/>
      <c r="BK499" s="237"/>
      <c r="BL499" s="237"/>
      <c r="BM499" s="237"/>
      <c r="BN499" s="237"/>
    </row>
    <row r="500" spans="15:66" x14ac:dyDescent="0.25">
      <c r="O500" s="3"/>
      <c r="U500" s="238"/>
      <c r="V500" s="3"/>
      <c r="W500" s="3"/>
      <c r="X500" s="3"/>
      <c r="Y500" s="3"/>
      <c r="Z500" s="3"/>
      <c r="AA500" s="238"/>
      <c r="AB500" s="3"/>
      <c r="AC500" s="3"/>
      <c r="AD500" s="3"/>
      <c r="AE500" s="3"/>
      <c r="AF500" s="3"/>
      <c r="AG500" s="238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238" t="s">
        <v>344</v>
      </c>
      <c r="AT500" s="3">
        <f>DET_CS_stillbirth_lbw_premature</f>
        <v>7.6548660672211805E-2</v>
      </c>
      <c r="AU500" s="3" t="s">
        <v>345</v>
      </c>
      <c r="AV500" s="3">
        <f>AT500*AP503</f>
        <v>4.8702923660813147</v>
      </c>
      <c r="AW500" s="3" t="s">
        <v>346</v>
      </c>
      <c r="AX500" s="3">
        <f>AT500*AR503</f>
        <v>4.8702923660813147</v>
      </c>
      <c r="AY500" s="3">
        <f>AY495+1</f>
        <v>125</v>
      </c>
      <c r="AZ500" s="3"/>
      <c r="BA500" s="3">
        <f>det_cost_comparator*AV500</f>
        <v>0</v>
      </c>
      <c r="BB500" s="3">
        <f>$AV500*(VLOOKUP($AY500,'Pregnancy costs and utilities'!$A$23:$H$158,3))</f>
        <v>20926.392374794843</v>
      </c>
      <c r="BC500" s="3">
        <f>SUM(BA500:BB500)</f>
        <v>20926.392374794843</v>
      </c>
      <c r="BD500" s="3"/>
      <c r="BE500" s="3">
        <f>$AV500*(VLOOKUP($AY500,'Pregnancy costs and utilities'!$A$23:$I$158,9))</f>
        <v>3.0907624630900647</v>
      </c>
      <c r="BF500" s="3">
        <f>$AV500*(VLOOKUP($AY500,'Pregnancy costs and utilities'!$A$23:$H$158,7))</f>
        <v>2.6900352163478258</v>
      </c>
      <c r="BG500" s="3"/>
      <c r="BH500" s="3">
        <f>$BA500</f>
        <v>0</v>
      </c>
      <c r="BI500" s="3">
        <f>$AX500*(VLOOKUP($AY500,'Pregnancy costs and utilities'!$A$23:$H$158,5))</f>
        <v>5178.4683638617789</v>
      </c>
      <c r="BJ500" s="3">
        <f>SUM(BH500:BI500)</f>
        <v>5178.4683638617789</v>
      </c>
      <c r="BK500" s="3"/>
      <c r="BL500" s="3">
        <f>BC500+BI500</f>
        <v>26104.860738656622</v>
      </c>
      <c r="BN500" s="1" t="str">
        <f>IF(AV500=AX500,"Okay",IF(AV500&gt;AX500,"Lost infant","Gained infant"))</f>
        <v>Okay</v>
      </c>
    </row>
    <row r="501" spans="15:66" x14ac:dyDescent="0.25">
      <c r="O501" s="3"/>
      <c r="U501" s="238"/>
      <c r="V501" s="3"/>
      <c r="W501" s="3"/>
      <c r="X501" s="3"/>
      <c r="Y501" s="3"/>
      <c r="Z501" s="3"/>
      <c r="AA501" s="238"/>
      <c r="AB501" s="3"/>
      <c r="AC501" s="3"/>
      <c r="AD501" s="3"/>
      <c r="AE501" s="3"/>
      <c r="AF501" s="3"/>
      <c r="AG501" s="238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238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</row>
    <row r="502" spans="15:66" x14ac:dyDescent="0.25">
      <c r="O502" s="3"/>
      <c r="U502" s="238"/>
      <c r="V502" s="3"/>
      <c r="W502" s="3"/>
      <c r="X502" s="3"/>
      <c r="Y502" s="3"/>
      <c r="Z502" s="3"/>
      <c r="AA502" s="238"/>
      <c r="AB502" s="3"/>
      <c r="AC502" s="3"/>
      <c r="AD502" s="3"/>
      <c r="AE502" s="3"/>
      <c r="AF502" s="3"/>
      <c r="AG502" s="238"/>
      <c r="AH502" s="3"/>
      <c r="AI502" s="3"/>
      <c r="AJ502" s="3"/>
      <c r="AK502" s="3"/>
      <c r="AL502" s="3"/>
      <c r="AM502" s="236" t="s">
        <v>521</v>
      </c>
      <c r="AN502" s="237"/>
      <c r="AO502" s="237"/>
      <c r="AP502" s="237"/>
      <c r="AQ502" s="237"/>
      <c r="AR502" s="371"/>
      <c r="AS502" s="238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</row>
    <row r="503" spans="15:66" x14ac:dyDescent="0.25">
      <c r="O503" s="3"/>
      <c r="U503" s="238"/>
      <c r="V503" s="3"/>
      <c r="W503" s="3"/>
      <c r="X503" s="3"/>
      <c r="Y503" s="3"/>
      <c r="Z503" s="3"/>
      <c r="AA503" s="238"/>
      <c r="AB503" s="3"/>
      <c r="AC503" s="3"/>
      <c r="AD503" s="3"/>
      <c r="AE503" s="3"/>
      <c r="AF503" s="3"/>
      <c r="AG503" s="238"/>
      <c r="AH503" s="3"/>
      <c r="AI503" s="3"/>
      <c r="AJ503" s="3"/>
      <c r="AK503" s="3"/>
      <c r="AL503" s="3"/>
      <c r="AM503" s="238" t="s">
        <v>344</v>
      </c>
      <c r="AN503" s="3">
        <f>DET_CS_lbw_premature</f>
        <v>1</v>
      </c>
      <c r="AO503" s="3" t="s">
        <v>345</v>
      </c>
      <c r="AP503" s="3">
        <f>AN503*AJ504</f>
        <v>63.623482413837927</v>
      </c>
      <c r="AQ503" s="3" t="s">
        <v>346</v>
      </c>
      <c r="AR503" s="370">
        <f>AN503*AL504</f>
        <v>63.623482413837927</v>
      </c>
      <c r="AS503" s="238" t="s">
        <v>344</v>
      </c>
      <c r="AT503" s="3">
        <f>1-AT500</f>
        <v>0.92345133932778822</v>
      </c>
      <c r="AU503" s="3" t="s">
        <v>345</v>
      </c>
      <c r="AV503" s="3">
        <f>AT503*AP503</f>
        <v>58.753190047756611</v>
      </c>
      <c r="AW503" s="3" t="s">
        <v>346</v>
      </c>
      <c r="AX503" s="3">
        <f>AT503*AR503</f>
        <v>58.753190047756611</v>
      </c>
      <c r="AY503" s="3">
        <f>AY500+1</f>
        <v>126</v>
      </c>
      <c r="AZ503" s="3"/>
      <c r="BA503" s="3">
        <f>det_cost_comparator*AV503</f>
        <v>0</v>
      </c>
      <c r="BB503" s="3">
        <f>$AV503*(VLOOKUP($AY503,'Pregnancy costs and utilities'!$A$23:$H$158,3))</f>
        <v>252447.33083642527</v>
      </c>
      <c r="BC503" s="3">
        <f>SUM(BA503:BB503)</f>
        <v>252447.33083642527</v>
      </c>
      <c r="BD503" s="3"/>
      <c r="BE503" s="3">
        <f>$AV503*(VLOOKUP($AY503,'Pregnancy costs and utilities'!$A$23:$I$158,9))</f>
        <v>37.28567829953785</v>
      </c>
      <c r="BF503" s="3">
        <f>$AV503*(VLOOKUP($AY503,'Pregnancy costs and utilities'!$A$23:$H$158,7))</f>
        <v>36.180038588044837</v>
      </c>
      <c r="BG503" s="3"/>
      <c r="BH503" s="3">
        <f>$BA503</f>
        <v>0</v>
      </c>
      <c r="BI503" s="3">
        <f>$AX503*(VLOOKUP($AY503,'Pregnancy costs and utilities'!$A$23:$H$158,5))</f>
        <v>936205.595012379</v>
      </c>
      <c r="BJ503" s="3">
        <f>SUM(BH503:BI503)</f>
        <v>936205.595012379</v>
      </c>
      <c r="BK503" s="3"/>
      <c r="BL503" s="3">
        <f>BC503+BI503</f>
        <v>1188652.9258488042</v>
      </c>
      <c r="BN503" s="1" t="str">
        <f>IF(AV503=AX503,"Okay",IF(AV503&gt;AX503,"Lost infant","Gained infant"))</f>
        <v>Okay</v>
      </c>
    </row>
    <row r="504" spans="15:66" x14ac:dyDescent="0.25">
      <c r="O504" s="3"/>
      <c r="U504" s="238"/>
      <c r="V504" s="3"/>
      <c r="W504" s="3"/>
      <c r="X504" s="3"/>
      <c r="Y504" s="3"/>
      <c r="Z504" s="3"/>
      <c r="AA504" s="238"/>
      <c r="AB504" s="3"/>
      <c r="AC504" s="3"/>
      <c r="AD504" s="3"/>
      <c r="AE504" s="3"/>
      <c r="AF504" s="3"/>
      <c r="AG504" s="238" t="s">
        <v>344</v>
      </c>
      <c r="AH504" s="1">
        <f>1-AH491</f>
        <v>0.99993840571000003</v>
      </c>
      <c r="AI504" s="1" t="s">
        <v>345</v>
      </c>
      <c r="AJ504" s="1">
        <f>AH504*AD499</f>
        <v>63.623482413837927</v>
      </c>
      <c r="AK504" s="1" t="s">
        <v>346</v>
      </c>
      <c r="AL504" s="1">
        <f>AH504*AF499</f>
        <v>63.623482413837927</v>
      </c>
      <c r="AM504" s="238"/>
      <c r="AN504" s="3"/>
      <c r="AO504" s="3"/>
      <c r="AP504" s="3"/>
      <c r="AQ504" s="3"/>
      <c r="AR504" s="3"/>
      <c r="AS504" s="240" t="s">
        <v>537</v>
      </c>
      <c r="AT504" s="235"/>
      <c r="AU504" s="235"/>
      <c r="AV504" s="235"/>
      <c r="AW504" s="235"/>
      <c r="AX504" s="235"/>
      <c r="AY504" s="235"/>
      <c r="AZ504" s="235"/>
      <c r="BA504" s="235"/>
      <c r="BB504" s="235"/>
      <c r="BC504" s="235"/>
      <c r="BD504" s="235"/>
      <c r="BE504" s="235"/>
      <c r="BF504" s="235"/>
      <c r="BG504" s="235"/>
      <c r="BH504" s="235"/>
      <c r="BI504" s="235"/>
      <c r="BJ504" s="235"/>
      <c r="BK504" s="235"/>
      <c r="BL504" s="235"/>
      <c r="BM504" s="235"/>
      <c r="BN504" s="235"/>
    </row>
    <row r="505" spans="15:66" x14ac:dyDescent="0.25">
      <c r="O505" s="3"/>
      <c r="U505" s="238"/>
      <c r="V505" s="3"/>
      <c r="W505" s="3"/>
      <c r="X505" s="3"/>
      <c r="Y505" s="3"/>
      <c r="Z505" s="3"/>
      <c r="AA505" s="238"/>
      <c r="AB505" s="3"/>
      <c r="AC505" s="3"/>
      <c r="AD505" s="3"/>
      <c r="AE505" s="3"/>
      <c r="AF505" s="3"/>
      <c r="AG505" s="240" t="s">
        <v>516</v>
      </c>
      <c r="AH505" s="235"/>
      <c r="AI505" s="235"/>
      <c r="AJ505" s="235"/>
      <c r="AK505" s="235"/>
      <c r="AL505" s="239"/>
      <c r="AM505" s="238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</row>
    <row r="506" spans="15:66" x14ac:dyDescent="0.25">
      <c r="O506" s="3"/>
      <c r="U506" s="238"/>
      <c r="V506" s="3"/>
      <c r="W506" s="3"/>
      <c r="X506" s="3"/>
      <c r="Y506" s="3"/>
      <c r="Z506" s="3"/>
      <c r="AA506" s="238"/>
      <c r="AB506" s="3"/>
      <c r="AC506" s="3"/>
      <c r="AD506" s="3"/>
      <c r="AE506" s="3"/>
      <c r="AF506" s="3"/>
      <c r="AM506" s="238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</row>
    <row r="507" spans="15:66" x14ac:dyDescent="0.25">
      <c r="O507" s="3"/>
      <c r="U507" s="238"/>
      <c r="V507" s="3"/>
      <c r="W507" s="3"/>
      <c r="X507" s="3"/>
      <c r="Y507" s="3"/>
      <c r="Z507" s="3"/>
      <c r="AA507" s="238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238"/>
      <c r="AN507" s="3"/>
      <c r="AO507" s="3"/>
      <c r="AP507" s="3"/>
      <c r="AQ507" s="3"/>
      <c r="AR507" s="3"/>
      <c r="AS507" s="236" t="s">
        <v>536</v>
      </c>
      <c r="AT507" s="237"/>
      <c r="AU507" s="237"/>
      <c r="AV507" s="237"/>
      <c r="AW507" s="237"/>
      <c r="AX507" s="237"/>
      <c r="AY507" s="237"/>
      <c r="AZ507" s="237"/>
      <c r="BA507" s="237"/>
      <c r="BB507" s="237"/>
      <c r="BC507" s="237"/>
      <c r="BD507" s="237"/>
      <c r="BE507" s="237"/>
      <c r="BF507" s="237"/>
      <c r="BG507" s="237"/>
      <c r="BH507" s="237"/>
      <c r="BI507" s="237"/>
      <c r="BJ507" s="237"/>
      <c r="BK507" s="237"/>
      <c r="BL507" s="237"/>
      <c r="BM507" s="237"/>
      <c r="BN507" s="237"/>
    </row>
    <row r="508" spans="15:66" x14ac:dyDescent="0.25">
      <c r="O508" s="3"/>
      <c r="U508" s="238"/>
      <c r="V508" s="3"/>
      <c r="W508" s="3"/>
      <c r="X508" s="3"/>
      <c r="Y508" s="3"/>
      <c r="Z508" s="3"/>
      <c r="AA508" s="238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238" t="s">
        <v>344</v>
      </c>
      <c r="AN508" s="1">
        <f>1-AN503</f>
        <v>0</v>
      </c>
      <c r="AO508" s="1" t="s">
        <v>345</v>
      </c>
      <c r="AP508" s="1">
        <f>AN508*AJ504</f>
        <v>0</v>
      </c>
      <c r="AQ508" s="1" t="s">
        <v>346</v>
      </c>
      <c r="AR508" s="1">
        <f>AN508*AL504</f>
        <v>0</v>
      </c>
      <c r="AS508" s="238" t="s">
        <v>344</v>
      </c>
      <c r="AT508" s="3">
        <f>DET_CS_stillbirth_nbw_premature</f>
        <v>9.5923131756814883E-3</v>
      </c>
      <c r="AU508" s="3" t="s">
        <v>345</v>
      </c>
      <c r="AV508" s="3">
        <f>AT508*AP508</f>
        <v>0</v>
      </c>
      <c r="AW508" s="3" t="s">
        <v>346</v>
      </c>
      <c r="AX508" s="3">
        <f>AT508*AR508</f>
        <v>0</v>
      </c>
      <c r="AY508" s="3">
        <f>AY503+1</f>
        <v>127</v>
      </c>
      <c r="AZ508" s="3"/>
      <c r="BA508" s="3">
        <f>det_cost_comparator*AV508</f>
        <v>0</v>
      </c>
      <c r="BB508" s="3">
        <f>$AV508*(VLOOKUP($AY508,'Pregnancy costs and utilities'!$A$23:$H$158,3))</f>
        <v>0</v>
      </c>
      <c r="BC508" s="3">
        <f>SUM(BA508:BB508)</f>
        <v>0</v>
      </c>
      <c r="BD508" s="3"/>
      <c r="BE508" s="3">
        <f>$AV508*(VLOOKUP($AY508,'Pregnancy costs and utilities'!$A$23:$I$158,9))</f>
        <v>0</v>
      </c>
      <c r="BF508" s="3">
        <f>$AV508*(VLOOKUP($AY508,'Pregnancy costs and utilities'!$A$23:$H$158,7))</f>
        <v>0</v>
      </c>
      <c r="BG508" s="3"/>
      <c r="BH508" s="3">
        <f>$BA508</f>
        <v>0</v>
      </c>
      <c r="BI508" s="3">
        <f>$AX508*(VLOOKUP($AY508,'Pregnancy costs and utilities'!$A$23:$H$158,5))</f>
        <v>0</v>
      </c>
      <c r="BJ508" s="3">
        <f>SUM(BH508:BI508)</f>
        <v>0</v>
      </c>
      <c r="BK508" s="3"/>
      <c r="BL508" s="3">
        <f>BC508+BI508</f>
        <v>0</v>
      </c>
      <c r="BN508" s="1" t="str">
        <f>IF(AV508=AX508,"Okay",IF(AV508&gt;AX508,"Lost infant","Gained infant"))</f>
        <v>Okay</v>
      </c>
    </row>
    <row r="509" spans="15:66" x14ac:dyDescent="0.25">
      <c r="O509" s="3"/>
      <c r="U509" s="238"/>
      <c r="V509" s="3"/>
      <c r="W509" s="3"/>
      <c r="X509" s="3"/>
      <c r="Y509" s="3"/>
      <c r="Z509" s="3"/>
      <c r="AA509" s="238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240" t="s">
        <v>522</v>
      </c>
      <c r="AN509" s="235"/>
      <c r="AO509" s="235"/>
      <c r="AP509" s="235"/>
      <c r="AQ509" s="235"/>
      <c r="AR509" s="239"/>
      <c r="AS509" s="238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</row>
    <row r="510" spans="15:66" x14ac:dyDescent="0.25">
      <c r="O510" s="3"/>
      <c r="U510" s="238"/>
      <c r="V510" s="3"/>
      <c r="W510" s="3"/>
      <c r="X510" s="3"/>
      <c r="Y510" s="3"/>
      <c r="Z510" s="3"/>
      <c r="AA510" s="238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238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</row>
    <row r="511" spans="15:66" x14ac:dyDescent="0.25">
      <c r="O511" s="3"/>
      <c r="U511" s="238"/>
      <c r="V511" s="3"/>
      <c r="W511" s="3"/>
      <c r="X511" s="3"/>
      <c r="Y511" s="3"/>
      <c r="Z511" s="3"/>
      <c r="AA511" s="238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238" t="s">
        <v>344</v>
      </c>
      <c r="AT511" s="3">
        <f>1-AT508</f>
        <v>0.99040768682431857</v>
      </c>
      <c r="AU511" s="3" t="s">
        <v>345</v>
      </c>
      <c r="AV511" s="3">
        <f>AT511*AP508</f>
        <v>0</v>
      </c>
      <c r="AW511" s="3" t="s">
        <v>346</v>
      </c>
      <c r="AX511" s="3">
        <f>AT511*AR508</f>
        <v>0</v>
      </c>
      <c r="AY511" s="3">
        <f>AY508+1</f>
        <v>128</v>
      </c>
      <c r="AZ511" s="3"/>
      <c r="BA511" s="3">
        <f>det_cost_comparator*AV511</f>
        <v>0</v>
      </c>
      <c r="BB511" s="3">
        <f>$AV511*(VLOOKUP($AY511,'Pregnancy costs and utilities'!$A$23:$H$158,3))</f>
        <v>0</v>
      </c>
      <c r="BC511" s="3">
        <f>SUM(BA511:BB511)</f>
        <v>0</v>
      </c>
      <c r="BD511" s="3"/>
      <c r="BE511" s="3">
        <f>$AV511*(VLOOKUP($AY511,'Pregnancy costs and utilities'!$A$23:$I$158,9))</f>
        <v>0</v>
      </c>
      <c r="BF511" s="3">
        <f>$AV511*(VLOOKUP($AY511,'Pregnancy costs and utilities'!$A$23:$H$158,7))</f>
        <v>0</v>
      </c>
      <c r="BG511" s="3"/>
      <c r="BH511" s="3">
        <f>$BA511</f>
        <v>0</v>
      </c>
      <c r="BI511" s="3">
        <f>$AX511*(VLOOKUP($AY511,'Pregnancy costs and utilities'!$A$23:$H$158,5))</f>
        <v>0</v>
      </c>
      <c r="BJ511" s="3">
        <f>SUM(BH511:BI511)</f>
        <v>0</v>
      </c>
      <c r="BK511" s="3"/>
      <c r="BL511" s="3">
        <f>BC511+BI511</f>
        <v>0</v>
      </c>
      <c r="BN511" s="1" t="str">
        <f>IF(AV511=AX511,"Okay",IF(AV511&gt;AX511,"Lost infant","Gained infant"))</f>
        <v>Okay</v>
      </c>
    </row>
    <row r="512" spans="15:66" x14ac:dyDescent="0.25">
      <c r="O512" s="3"/>
      <c r="U512" s="238" t="s">
        <v>344</v>
      </c>
      <c r="V512" s="1">
        <f>1-V323-V387-V451</f>
        <v>0.97397090145671228</v>
      </c>
      <c r="W512" s="1" t="s">
        <v>345</v>
      </c>
      <c r="X512" s="1">
        <f>V512*R416</f>
        <v>860.66255304915887</v>
      </c>
      <c r="Y512" s="1" t="s">
        <v>346</v>
      </c>
      <c r="Z512" s="1">
        <f>V512*T416</f>
        <v>860.66255304915887</v>
      </c>
      <c r="AA512" s="238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240" t="s">
        <v>535</v>
      </c>
      <c r="AT512" s="235"/>
      <c r="AU512" s="235"/>
      <c r="AV512" s="235"/>
      <c r="AW512" s="235"/>
      <c r="AX512" s="235"/>
      <c r="AY512" s="235"/>
      <c r="AZ512" s="235"/>
      <c r="BA512" s="235"/>
      <c r="BB512" s="235"/>
      <c r="BC512" s="235"/>
      <c r="BD512" s="235"/>
      <c r="BE512" s="235"/>
      <c r="BF512" s="235"/>
      <c r="BG512" s="235"/>
      <c r="BH512" s="235"/>
      <c r="BI512" s="235"/>
      <c r="BJ512" s="235"/>
      <c r="BK512" s="235"/>
      <c r="BL512" s="235"/>
      <c r="BM512" s="235"/>
      <c r="BN512" s="235"/>
    </row>
    <row r="513" spans="15:66" x14ac:dyDescent="0.25">
      <c r="O513" s="3"/>
      <c r="U513" s="240" t="s">
        <v>389</v>
      </c>
      <c r="V513" s="235"/>
      <c r="W513" s="235"/>
      <c r="X513" s="235"/>
      <c r="Y513" s="235"/>
      <c r="Z513" s="235"/>
      <c r="AA513" s="238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</row>
    <row r="514" spans="15:66" x14ac:dyDescent="0.25">
      <c r="O514" s="3"/>
      <c r="U514" s="3"/>
      <c r="V514" s="3"/>
      <c r="W514" s="3"/>
      <c r="X514" s="3"/>
      <c r="Y514" s="3"/>
      <c r="Z514" s="3"/>
      <c r="AA514" s="238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</row>
    <row r="515" spans="15:66" x14ac:dyDescent="0.25">
      <c r="O515" s="3"/>
      <c r="U515" s="3"/>
      <c r="V515" s="3"/>
      <c r="W515" s="3"/>
      <c r="X515" s="3"/>
      <c r="Y515" s="3"/>
      <c r="Z515" s="3"/>
      <c r="AA515" s="238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236" t="s">
        <v>534</v>
      </c>
      <c r="AT515" s="237"/>
      <c r="AU515" s="237"/>
      <c r="AV515" s="237"/>
      <c r="AW515" s="237"/>
      <c r="AX515" s="237"/>
      <c r="AY515" s="237"/>
      <c r="AZ515" s="237"/>
      <c r="BA515" s="237"/>
      <c r="BB515" s="237"/>
      <c r="BC515" s="237"/>
      <c r="BD515" s="237"/>
      <c r="BE515" s="237"/>
      <c r="BF515" s="237"/>
      <c r="BG515" s="237"/>
      <c r="BH515" s="237"/>
      <c r="BI515" s="237"/>
      <c r="BJ515" s="237"/>
      <c r="BK515" s="237"/>
      <c r="BL515" s="237"/>
      <c r="BM515" s="237"/>
      <c r="BN515" s="237"/>
    </row>
    <row r="516" spans="15:66" x14ac:dyDescent="0.25">
      <c r="O516" s="3"/>
      <c r="U516" s="3"/>
      <c r="V516" s="3"/>
      <c r="W516" s="3"/>
      <c r="X516" s="3"/>
      <c r="Y516" s="3"/>
      <c r="Z516" s="3"/>
      <c r="AA516" s="238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238" t="s">
        <v>344</v>
      </c>
      <c r="AT516" s="1">
        <f>DET_CS_stillbirth_lbw_fullgest</f>
        <v>1.9354764795137105E-2</v>
      </c>
      <c r="AU516" s="1" t="s">
        <v>345</v>
      </c>
      <c r="AV516" s="1">
        <f>AT516*AP519</f>
        <v>4.6591459439255949E-5</v>
      </c>
      <c r="AW516" s="1" t="s">
        <v>346</v>
      </c>
      <c r="AX516" s="1">
        <f>AT516*AR519</f>
        <v>4.6591459439255949E-5</v>
      </c>
      <c r="AY516" s="1">
        <f>AY511+1</f>
        <v>129</v>
      </c>
      <c r="BA516" s="1">
        <f>det_cost_comparator*AV516</f>
        <v>0</v>
      </c>
      <c r="BB516" s="1">
        <f>$AV516*(VLOOKUP($AY516,'Pregnancy costs and utilities'!$A$23:$H$158,3))</f>
        <v>0.22432436635432521</v>
      </c>
      <c r="BC516" s="1">
        <f>SUM(BA516:BB516)</f>
        <v>0.22432436635432521</v>
      </c>
      <c r="BE516" s="1">
        <f>$AV516*(VLOOKUP($AY516,'Pregnancy costs and utilities'!$A$23:$I$158,9))</f>
        <v>0</v>
      </c>
      <c r="BF516" s="1">
        <f>$AV516*(VLOOKUP($AY516,'Pregnancy costs and utilities'!$A$23:$H$158,7))</f>
        <v>0</v>
      </c>
      <c r="BH516" s="1">
        <f>$BA516</f>
        <v>0</v>
      </c>
      <c r="BI516" s="1">
        <f>$AX516*(VLOOKUP($AY516,'Pregnancy costs and utilities'!$A$23:$H$158,5))</f>
        <v>4.95396129424703E-2</v>
      </c>
      <c r="BJ516" s="3">
        <f>SUM(BH516:BI516)</f>
        <v>4.95396129424703E-2</v>
      </c>
      <c r="BK516" s="3"/>
      <c r="BL516" s="3">
        <f>BC516+BI516</f>
        <v>0.27386397929679551</v>
      </c>
      <c r="BN516" s="1" t="str">
        <f>IF(AV516=AX516,"Okay",IF(AV516&gt;AX516,"Lost infant","Gained infant"))</f>
        <v>Okay</v>
      </c>
    </row>
    <row r="517" spans="15:66" x14ac:dyDescent="0.25">
      <c r="O517" s="3"/>
      <c r="U517" s="3"/>
      <c r="V517" s="3"/>
      <c r="W517" s="3"/>
      <c r="X517" s="3"/>
      <c r="Y517" s="3"/>
      <c r="Z517" s="3"/>
      <c r="AA517" s="238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238"/>
      <c r="BJ517" s="3"/>
      <c r="BK517" s="3"/>
      <c r="BL517" s="3"/>
    </row>
    <row r="518" spans="15:66" x14ac:dyDescent="0.25">
      <c r="O518" s="3"/>
      <c r="U518" s="3"/>
      <c r="V518" s="3"/>
      <c r="W518" s="3"/>
      <c r="X518" s="3"/>
      <c r="Y518" s="3"/>
      <c r="Z518" s="3"/>
      <c r="AA518" s="238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236" t="s">
        <v>523</v>
      </c>
      <c r="AN518" s="237"/>
      <c r="AO518" s="237"/>
      <c r="AP518" s="237"/>
      <c r="AQ518" s="237"/>
      <c r="AR518" s="371"/>
      <c r="AS518" s="238"/>
      <c r="BJ518" s="3"/>
      <c r="BK518" s="3"/>
      <c r="BL518" s="3"/>
    </row>
    <row r="519" spans="15:66" x14ac:dyDescent="0.25">
      <c r="O519" s="3"/>
      <c r="U519" s="3"/>
      <c r="V519" s="3"/>
      <c r="W519" s="3"/>
      <c r="X519" s="3"/>
      <c r="Y519" s="3"/>
      <c r="Z519" s="3"/>
      <c r="AA519" s="238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238" t="s">
        <v>344</v>
      </c>
      <c r="AN519" s="3">
        <f>DET_CS_lbw_fullgest</f>
        <v>4.9034357338086171E-2</v>
      </c>
      <c r="AO519" s="3" t="s">
        <v>345</v>
      </c>
      <c r="AP519" s="3">
        <f>AN519*AJ523</f>
        <v>2.4072345973928898E-3</v>
      </c>
      <c r="AQ519" s="3" t="s">
        <v>346</v>
      </c>
      <c r="AR519" s="370">
        <f>AN519*AL523</f>
        <v>2.4072345973928898E-3</v>
      </c>
      <c r="AS519" s="238" t="s">
        <v>344</v>
      </c>
      <c r="AT519" s="1">
        <f>1-AT516</f>
        <v>0.98064523520486291</v>
      </c>
      <c r="AU519" s="1" t="s">
        <v>345</v>
      </c>
      <c r="AV519" s="1">
        <f>AT519*AP519</f>
        <v>2.3606431379536337E-3</v>
      </c>
      <c r="AW519" s="1" t="s">
        <v>346</v>
      </c>
      <c r="AX519" s="1">
        <f>AT519*AR519</f>
        <v>2.3606431379536337E-3</v>
      </c>
      <c r="AY519" s="1">
        <f>AY516+1</f>
        <v>130</v>
      </c>
      <c r="BA519" s="1">
        <f>det_cost_comparator*AV519</f>
        <v>0</v>
      </c>
      <c r="BB519" s="1">
        <f>$AV519*(VLOOKUP($AY519,'Pregnancy costs and utilities'!$A$23:$H$158,3))</f>
        <v>11.365812157065831</v>
      </c>
      <c r="BC519" s="1">
        <f>SUM(BA519:BB519)</f>
        <v>11.365812157065831</v>
      </c>
      <c r="BE519" s="1">
        <f>$AV519*(VLOOKUP($AY519,'Pregnancy costs and utilities'!$A$23:$I$158,9))</f>
        <v>0</v>
      </c>
      <c r="BF519" s="1">
        <f>$AV519*(VLOOKUP($AY519,'Pregnancy costs and utilities'!$A$23:$H$158,7))</f>
        <v>0</v>
      </c>
      <c r="BH519" s="1">
        <f>$BA519</f>
        <v>0</v>
      </c>
      <c r="BI519" s="1">
        <f>$AX519*(VLOOKUP($AY519,'Pregnancy costs and utilities'!$A$23:$H$158,5))</f>
        <v>6.2459494880002806</v>
      </c>
      <c r="BJ519" s="3">
        <f>SUM(BH519:BI519)</f>
        <v>6.2459494880002806</v>
      </c>
      <c r="BK519" s="3"/>
      <c r="BL519" s="3">
        <f>BC519+BI519</f>
        <v>17.61176164506611</v>
      </c>
      <c r="BN519" s="1" t="str">
        <f>IF(AV519=AX519,"Okay",IF(AV519&gt;AX519,"Lost infant","Gained infant"))</f>
        <v>Okay</v>
      </c>
    </row>
    <row r="520" spans="15:66" x14ac:dyDescent="0.25">
      <c r="O520" s="3"/>
      <c r="U520" s="3"/>
      <c r="V520" s="3"/>
      <c r="W520" s="3"/>
      <c r="X520" s="3"/>
      <c r="Y520" s="3"/>
      <c r="Z520" s="3"/>
      <c r="AA520" s="238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238"/>
      <c r="AN520" s="3"/>
      <c r="AO520" s="3"/>
      <c r="AP520" s="3"/>
      <c r="AQ520" s="3"/>
      <c r="AR520" s="3"/>
      <c r="AS520" s="240" t="s">
        <v>533</v>
      </c>
      <c r="AT520" s="235"/>
      <c r="AU520" s="235"/>
      <c r="AV520" s="235"/>
      <c r="AW520" s="235"/>
      <c r="AX520" s="235"/>
      <c r="AY520" s="235"/>
      <c r="AZ520" s="235"/>
      <c r="BA520" s="235"/>
      <c r="BB520" s="235"/>
      <c r="BC520" s="235"/>
      <c r="BD520" s="235"/>
      <c r="BE520" s="235"/>
      <c r="BF520" s="235"/>
      <c r="BG520" s="235"/>
      <c r="BH520" s="235"/>
      <c r="BI520" s="235"/>
      <c r="BJ520" s="235"/>
      <c r="BK520" s="235"/>
      <c r="BL520" s="235"/>
      <c r="BM520" s="235"/>
      <c r="BN520" s="235"/>
    </row>
    <row r="521" spans="15:66" x14ac:dyDescent="0.25">
      <c r="O521" s="3"/>
      <c r="U521" s="3"/>
      <c r="V521" s="3"/>
      <c r="W521" s="3"/>
      <c r="X521" s="3"/>
      <c r="Y521" s="3"/>
      <c r="Z521" s="3"/>
      <c r="AA521" s="238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238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</row>
    <row r="522" spans="15:66" x14ac:dyDescent="0.25">
      <c r="O522" s="3"/>
      <c r="U522" s="3"/>
      <c r="V522" s="3"/>
      <c r="W522" s="3"/>
      <c r="X522" s="3"/>
      <c r="Y522" s="3"/>
      <c r="Z522" s="3"/>
      <c r="AA522" s="238"/>
      <c r="AB522" s="3"/>
      <c r="AC522" s="3"/>
      <c r="AD522" s="3"/>
      <c r="AE522" s="3"/>
      <c r="AF522" s="3"/>
      <c r="AG522" s="236" t="s">
        <v>517</v>
      </c>
      <c r="AH522" s="237"/>
      <c r="AI522" s="237"/>
      <c r="AJ522" s="237"/>
      <c r="AK522" s="237"/>
      <c r="AL522" s="371"/>
      <c r="AM522" s="238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</row>
    <row r="523" spans="15:66" x14ac:dyDescent="0.25">
      <c r="O523" s="3"/>
      <c r="U523" s="3"/>
      <c r="V523" s="3"/>
      <c r="W523" s="3"/>
      <c r="X523" s="3"/>
      <c r="Y523" s="3"/>
      <c r="Z523" s="3"/>
      <c r="AA523" s="238"/>
      <c r="AB523" s="3"/>
      <c r="AC523" s="3"/>
      <c r="AD523" s="3"/>
      <c r="AE523" s="3"/>
      <c r="AF523" s="3"/>
      <c r="AG523" s="238" t="s">
        <v>344</v>
      </c>
      <c r="AH523" s="3">
        <f>DET_MORT_no_complication</f>
        <v>6.1594290000000217E-5</v>
      </c>
      <c r="AI523" s="3" t="s">
        <v>345</v>
      </c>
      <c r="AJ523" s="3">
        <f>AH523*AD528</f>
        <v>4.9092814264808007E-2</v>
      </c>
      <c r="AK523" s="3" t="s">
        <v>346</v>
      </c>
      <c r="AL523" s="370">
        <f>AH523*AF528</f>
        <v>4.9092814264808007E-2</v>
      </c>
      <c r="AM523" s="238"/>
      <c r="AN523" s="3"/>
      <c r="AO523" s="3"/>
      <c r="AP523" s="3"/>
      <c r="AQ523" s="3"/>
      <c r="AR523" s="3"/>
      <c r="AS523" s="236" t="s">
        <v>532</v>
      </c>
      <c r="AT523" s="237"/>
      <c r="AU523" s="237"/>
      <c r="AV523" s="237"/>
      <c r="AW523" s="237"/>
      <c r="AX523" s="237"/>
      <c r="AY523" s="237"/>
      <c r="AZ523" s="237"/>
      <c r="BA523" s="237"/>
      <c r="BB523" s="237"/>
      <c r="BC523" s="237"/>
      <c r="BD523" s="237"/>
      <c r="BE523" s="237"/>
      <c r="BF523" s="237"/>
      <c r="BG523" s="237"/>
      <c r="BH523" s="237"/>
      <c r="BI523" s="237"/>
      <c r="BJ523" s="237"/>
      <c r="BK523" s="237"/>
      <c r="BL523" s="237"/>
      <c r="BM523" s="237"/>
      <c r="BN523" s="237"/>
    </row>
    <row r="524" spans="15:66" x14ac:dyDescent="0.25">
      <c r="O524" s="3"/>
      <c r="U524" s="3"/>
      <c r="V524" s="3"/>
      <c r="W524" s="3"/>
      <c r="X524" s="3"/>
      <c r="Y524" s="3"/>
      <c r="Z524" s="3"/>
      <c r="AA524" s="238"/>
      <c r="AB524" s="3"/>
      <c r="AC524" s="3"/>
      <c r="AD524" s="3"/>
      <c r="AE524" s="3"/>
      <c r="AF524" s="3"/>
      <c r="AG524" s="238"/>
      <c r="AH524" s="3"/>
      <c r="AI524" s="3"/>
      <c r="AJ524" s="3"/>
      <c r="AK524" s="3"/>
      <c r="AL524" s="3"/>
      <c r="AM524" s="238" t="s">
        <v>344</v>
      </c>
      <c r="AN524" s="1">
        <f>1-AN519</f>
        <v>0.95096564266191386</v>
      </c>
      <c r="AO524" s="1" t="s">
        <v>345</v>
      </c>
      <c r="AP524" s="1">
        <f>AN524*AJ523</f>
        <v>4.6685579667415121E-2</v>
      </c>
      <c r="AQ524" s="1" t="s">
        <v>346</v>
      </c>
      <c r="AR524" s="1">
        <f>AN524*AL523</f>
        <v>4.6685579667415121E-2</v>
      </c>
      <c r="AS524" s="238" t="s">
        <v>344</v>
      </c>
      <c r="AT524" s="3">
        <f>DET_CS_stillbirth_nbw_fullgest</f>
        <v>2.0298526728661924E-3</v>
      </c>
      <c r="AU524" s="3" t="s">
        <v>345</v>
      </c>
      <c r="AV524" s="3">
        <f>AT524*AP524</f>
        <v>9.4764848672210147E-5</v>
      </c>
      <c r="AW524" s="3" t="s">
        <v>346</v>
      </c>
      <c r="AX524" s="3">
        <f>AT524*AR524</f>
        <v>9.4764848672210147E-5</v>
      </c>
      <c r="AY524" s="3">
        <f>AY519+1</f>
        <v>131</v>
      </c>
      <c r="AZ524" s="3"/>
      <c r="BA524" s="3">
        <f>det_cost_comparator*AV524</f>
        <v>0</v>
      </c>
      <c r="BB524" s="3">
        <f>$AV524*(VLOOKUP($AY524,'Pregnancy costs and utilities'!$A$23:$H$158,3))</f>
        <v>0.45626526592867217</v>
      </c>
      <c r="BC524" s="3">
        <f>SUM(BA524:BB524)</f>
        <v>0.45626526592867217</v>
      </c>
      <c r="BD524" s="3"/>
      <c r="BE524" s="3">
        <f>$AV524*(VLOOKUP($AY524,'Pregnancy costs and utilities'!$A$23:$I$158,9))</f>
        <v>0</v>
      </c>
      <c r="BF524" s="3">
        <f>$AV524*(VLOOKUP($AY524,'Pregnancy costs and utilities'!$A$23:$H$158,7))</f>
        <v>0</v>
      </c>
      <c r="BG524" s="3"/>
      <c r="BH524" s="3">
        <f>$BA524</f>
        <v>0</v>
      </c>
      <c r="BI524" s="3">
        <f>$AX524*(VLOOKUP($AY524,'Pregnancy costs and utilities'!$A$23:$H$158,5))</f>
        <v>0.10076125496548799</v>
      </c>
      <c r="BJ524" s="3">
        <f>SUM(BH524:BI524)</f>
        <v>0.10076125496548799</v>
      </c>
      <c r="BK524" s="3"/>
      <c r="BL524" s="3">
        <f>BC524+BI524</f>
        <v>0.55702652089416016</v>
      </c>
      <c r="BN524" s="1" t="str">
        <f>IF(AV524=AX524,"Okay",IF(AV524&gt;AX524,"Lost infant","Gained infant"))</f>
        <v>Okay</v>
      </c>
    </row>
    <row r="525" spans="15:66" x14ac:dyDescent="0.25">
      <c r="O525" s="3"/>
      <c r="U525" s="3"/>
      <c r="V525" s="3"/>
      <c r="W525" s="3"/>
      <c r="X525" s="3"/>
      <c r="Y525" s="3"/>
      <c r="Z525" s="3"/>
      <c r="AA525" s="238"/>
      <c r="AB525" s="3"/>
      <c r="AC525" s="3"/>
      <c r="AD525" s="3"/>
      <c r="AE525" s="3"/>
      <c r="AF525" s="3"/>
      <c r="AG525" s="238"/>
      <c r="AH525" s="3"/>
      <c r="AI525" s="3"/>
      <c r="AJ525" s="3"/>
      <c r="AK525" s="3"/>
      <c r="AL525" s="3"/>
      <c r="AM525" s="240" t="s">
        <v>524</v>
      </c>
      <c r="AN525" s="235"/>
      <c r="AO525" s="235"/>
      <c r="AP525" s="235"/>
      <c r="AQ525" s="235"/>
      <c r="AR525" s="239"/>
      <c r="AS525" s="238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</row>
    <row r="526" spans="15:66" x14ac:dyDescent="0.25">
      <c r="O526" s="3"/>
      <c r="U526" s="3"/>
      <c r="V526" s="3"/>
      <c r="W526" s="3"/>
      <c r="X526" s="3"/>
      <c r="Y526" s="3"/>
      <c r="Z526" s="3"/>
      <c r="AA526" s="238"/>
      <c r="AB526" s="3"/>
      <c r="AC526" s="3"/>
      <c r="AD526" s="3"/>
      <c r="AE526" s="3"/>
      <c r="AF526" s="3"/>
      <c r="AG526" s="238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238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</row>
    <row r="527" spans="15:66" x14ac:dyDescent="0.25">
      <c r="O527" s="3"/>
      <c r="U527" s="3"/>
      <c r="V527" s="3"/>
      <c r="W527" s="3"/>
      <c r="X527" s="3"/>
      <c r="Y527" s="3"/>
      <c r="Z527" s="3"/>
      <c r="AA527" s="238"/>
      <c r="AB527" s="3"/>
      <c r="AC527" s="3"/>
      <c r="AD527" s="3"/>
      <c r="AE527" s="3"/>
      <c r="AF527" s="3"/>
      <c r="AG527" s="238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238" t="s">
        <v>344</v>
      </c>
      <c r="AT527" s="3">
        <f>1-AT524</f>
        <v>0.99797014732713385</v>
      </c>
      <c r="AU527" s="3" t="s">
        <v>345</v>
      </c>
      <c r="AV527" s="3">
        <f>AT527*AP524</f>
        <v>4.6590814818742915E-2</v>
      </c>
      <c r="AW527" s="3" t="s">
        <v>346</v>
      </c>
      <c r="AX527" s="3">
        <f>AT527*AR524</f>
        <v>4.6590814818742915E-2</v>
      </c>
      <c r="AY527" s="3">
        <f>AY524+1</f>
        <v>132</v>
      </c>
      <c r="AZ527" s="3"/>
      <c r="BA527" s="3">
        <f>det_cost_comparator*AV527</f>
        <v>0</v>
      </c>
      <c r="BB527" s="3">
        <f>$AV527*(VLOOKUP($AY527,'Pregnancy costs and utilities'!$A$23:$H$158,3))</f>
        <v>224.32126269348552</v>
      </c>
      <c r="BC527" s="3">
        <f>SUM(BA527:BB527)</f>
        <v>224.32126269348552</v>
      </c>
      <c r="BD527" s="3"/>
      <c r="BE527" s="3">
        <f>$AV527*(VLOOKUP($AY527,'Pregnancy costs and utilities'!$A$23:$I$158,9))</f>
        <v>0</v>
      </c>
      <c r="BF527" s="3">
        <f>$AV527*(VLOOKUP($AY527,'Pregnancy costs and utilities'!$A$23:$H$158,7))</f>
        <v>0</v>
      </c>
      <c r="BG527" s="3"/>
      <c r="BH527" s="3">
        <f>$BA527</f>
        <v>0</v>
      </c>
      <c r="BI527" s="3">
        <f>$AX527*(VLOOKUP($AY527,'Pregnancy costs and utilities'!$A$23:$H$158,5))</f>
        <v>123.27313319153576</v>
      </c>
      <c r="BJ527" s="3">
        <f>SUM(BH527:BI527)</f>
        <v>123.27313319153576</v>
      </c>
      <c r="BK527" s="3"/>
      <c r="BL527" s="3">
        <f>BC527+BI527</f>
        <v>347.5943958850213</v>
      </c>
      <c r="BN527" s="1" t="str">
        <f>IF(AV527=AX527,"Okay",IF(AV527&gt;AX527,"Lost infant","Gained infant"))</f>
        <v>Okay</v>
      </c>
    </row>
    <row r="528" spans="15:66" x14ac:dyDescent="0.25">
      <c r="O528" s="3"/>
      <c r="U528" s="3"/>
      <c r="V528" s="3"/>
      <c r="W528" s="3"/>
      <c r="X528" s="3"/>
      <c r="Y528" s="3"/>
      <c r="Z528" s="3"/>
      <c r="AA528" s="238" t="s">
        <v>344</v>
      </c>
      <c r="AB528" s="1">
        <f>1-AB499</f>
        <v>0.926071604634083</v>
      </c>
      <c r="AC528" s="1" t="s">
        <v>345</v>
      </c>
      <c r="AD528" s="1">
        <f>AB528*X512</f>
        <v>797.03515155070113</v>
      </c>
      <c r="AE528" s="1" t="s">
        <v>346</v>
      </c>
      <c r="AF528" s="1">
        <f>AB528*Z512</f>
        <v>797.03515155070113</v>
      </c>
      <c r="AG528" s="238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240" t="s">
        <v>531</v>
      </c>
      <c r="AT528" s="235"/>
      <c r="AU528" s="235"/>
      <c r="AV528" s="235"/>
      <c r="AW528" s="235"/>
      <c r="AX528" s="235"/>
      <c r="AY528" s="235"/>
      <c r="AZ528" s="235"/>
      <c r="BA528" s="235"/>
      <c r="BB528" s="235"/>
      <c r="BC528" s="235"/>
      <c r="BD528" s="235"/>
      <c r="BE528" s="235"/>
      <c r="BF528" s="235"/>
      <c r="BG528" s="235"/>
      <c r="BH528" s="235"/>
      <c r="BI528" s="235"/>
      <c r="BJ528" s="235"/>
      <c r="BK528" s="235"/>
      <c r="BL528" s="235"/>
      <c r="BM528" s="235"/>
      <c r="BN528" s="235"/>
    </row>
    <row r="529" spans="15:66" x14ac:dyDescent="0.25">
      <c r="O529" s="3"/>
      <c r="U529" s="3"/>
      <c r="V529" s="3"/>
      <c r="W529" s="3"/>
      <c r="X529" s="3"/>
      <c r="Y529" s="3"/>
      <c r="Z529" s="3"/>
      <c r="AA529" s="240" t="s">
        <v>514</v>
      </c>
      <c r="AB529" s="235"/>
      <c r="AC529" s="235"/>
      <c r="AD529" s="235"/>
      <c r="AE529" s="235"/>
      <c r="AF529" s="239"/>
      <c r="AG529" s="238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</row>
    <row r="530" spans="15:66" x14ac:dyDescent="0.25">
      <c r="O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238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</row>
    <row r="531" spans="15:66" x14ac:dyDescent="0.25">
      <c r="O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238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236" t="s">
        <v>530</v>
      </c>
      <c r="AT531" s="237"/>
      <c r="AU531" s="237"/>
      <c r="AV531" s="237"/>
      <c r="AW531" s="237"/>
      <c r="AX531" s="237"/>
      <c r="AY531" s="237"/>
      <c r="AZ531" s="237"/>
      <c r="BA531" s="237"/>
      <c r="BB531" s="237"/>
      <c r="BC531" s="237"/>
      <c r="BD531" s="237"/>
      <c r="BE531" s="237"/>
      <c r="BF531" s="237"/>
      <c r="BG531" s="237"/>
      <c r="BH531" s="237"/>
      <c r="BI531" s="237"/>
      <c r="BJ531" s="237"/>
      <c r="BK531" s="237"/>
      <c r="BL531" s="237"/>
      <c r="BM531" s="237"/>
      <c r="BN531" s="237"/>
    </row>
    <row r="532" spans="15:66" x14ac:dyDescent="0.25">
      <c r="O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238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238" t="s">
        <v>344</v>
      </c>
      <c r="AT532" s="3">
        <f>DET_CS_stillbirth_lbw_fullgest</f>
        <v>1.9354764795137105E-2</v>
      </c>
      <c r="AU532" s="3" t="s">
        <v>345</v>
      </c>
      <c r="AV532" s="3">
        <f>AT532*AP535</f>
        <v>0.75637838623339215</v>
      </c>
      <c r="AW532" s="3" t="s">
        <v>346</v>
      </c>
      <c r="AX532" s="3">
        <f>AT532*AR535</f>
        <v>0.75637838623339215</v>
      </c>
      <c r="AY532" s="3">
        <f>AY527+1</f>
        <v>133</v>
      </c>
      <c r="AZ532" s="3"/>
      <c r="BA532" s="3">
        <f>det_cost_comparator*AV532</f>
        <v>0</v>
      </c>
      <c r="BB532" s="3">
        <f>$AV532*(VLOOKUP($AY532,'Pregnancy costs and utilities'!$A$23:$H$158,3))</f>
        <v>2408.1046621865676</v>
      </c>
      <c r="BC532" s="3">
        <f>SUM(BA532:BB532)</f>
        <v>2408.1046621865676</v>
      </c>
      <c r="BD532" s="3"/>
      <c r="BE532" s="3">
        <f>$AV532*(VLOOKUP($AY532,'Pregnancy costs and utilities'!$A$23:$I$158,9))</f>
        <v>0.58182952787184017</v>
      </c>
      <c r="BF532" s="3">
        <f>$AV532*(VLOOKUP($AY532,'Pregnancy costs and utilities'!$A$23:$H$158,7))</f>
        <v>0.50639346717103917</v>
      </c>
      <c r="BG532" s="3"/>
      <c r="BH532" s="3">
        <f>$BA532</f>
        <v>0</v>
      </c>
      <c r="BI532" s="3">
        <f>$AX532*(VLOOKUP($AY532,'Pregnancy costs and utilities'!$A$23:$H$158,5))</f>
        <v>804.23950962311699</v>
      </c>
      <c r="BJ532" s="3">
        <f>SUM(BH532:BI532)</f>
        <v>804.23950962311699</v>
      </c>
      <c r="BK532" s="3"/>
      <c r="BL532" s="3">
        <f>BC532+BI532</f>
        <v>3212.3441718096847</v>
      </c>
      <c r="BN532" s="1" t="str">
        <f>IF(AV532=AX532,"Okay",IF(AV532&gt;AX532,"Lost infant","Gained infant"))</f>
        <v>Okay</v>
      </c>
    </row>
    <row r="533" spans="15:66" x14ac:dyDescent="0.25">
      <c r="O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238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238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</row>
    <row r="534" spans="15:66" x14ac:dyDescent="0.25">
      <c r="O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238"/>
      <c r="AH534" s="3"/>
      <c r="AI534" s="3"/>
      <c r="AJ534" s="3"/>
      <c r="AK534" s="3"/>
      <c r="AL534" s="3"/>
      <c r="AM534" s="236" t="s">
        <v>525</v>
      </c>
      <c r="AN534" s="237"/>
      <c r="AO534" s="237"/>
      <c r="AP534" s="237"/>
      <c r="AQ534" s="237"/>
      <c r="AR534" s="371"/>
      <c r="AS534" s="238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</row>
    <row r="535" spans="15:66" x14ac:dyDescent="0.25">
      <c r="O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238"/>
      <c r="AH535" s="3"/>
      <c r="AI535" s="3"/>
      <c r="AJ535" s="3"/>
      <c r="AK535" s="3"/>
      <c r="AL535" s="3"/>
      <c r="AM535" s="238" t="s">
        <v>344</v>
      </c>
      <c r="AN535" s="3">
        <f>DET_CS_lbw_fullgest</f>
        <v>4.9034357338086171E-2</v>
      </c>
      <c r="AO535" s="3" t="s">
        <v>345</v>
      </c>
      <c r="AP535" s="3">
        <f>AN535*AJ536</f>
        <v>39.079699197555357</v>
      </c>
      <c r="AQ535" s="3" t="s">
        <v>346</v>
      </c>
      <c r="AR535" s="370">
        <f>AN535*AL536</f>
        <v>39.079699197555357</v>
      </c>
      <c r="AS535" s="238" t="s">
        <v>344</v>
      </c>
      <c r="AT535" s="3">
        <f>1-AT532</f>
        <v>0.98064523520486291</v>
      </c>
      <c r="AU535" s="3" t="s">
        <v>345</v>
      </c>
      <c r="AV535" s="3">
        <f>AT535*AP535</f>
        <v>38.323320811321963</v>
      </c>
      <c r="AW535" s="3" t="s">
        <v>346</v>
      </c>
      <c r="AX535" s="3">
        <f>AT535*AR535</f>
        <v>38.323320811321963</v>
      </c>
      <c r="AY535" s="3">
        <f>AY532+1</f>
        <v>134</v>
      </c>
      <c r="AZ535" s="3"/>
      <c r="BA535" s="3">
        <f>det_cost_comparator*AV535</f>
        <v>0</v>
      </c>
      <c r="BB535" s="3">
        <f>$AV535*(VLOOKUP($AY535,'Pregnancy costs and utilities'!$A$23:$H$158,3))</f>
        <v>122011.11136422596</v>
      </c>
      <c r="BC535" s="3">
        <f>SUM(BA535:BB535)</f>
        <v>122011.11136422596</v>
      </c>
      <c r="BD535" s="3"/>
      <c r="BE535" s="3">
        <f>$AV535*(VLOOKUP($AY535,'Pregnancy costs and utilities'!$A$23:$I$158,9))</f>
        <v>29.479477547170742</v>
      </c>
      <c r="BF535" s="3">
        <f>$AV535*(VLOOKUP($AY535,'Pregnancy costs and utilities'!$A$23:$H$158,7))</f>
        <v>28.605316675310664</v>
      </c>
      <c r="BG535" s="3"/>
      <c r="BH535" s="3">
        <f>$BA535</f>
        <v>0</v>
      </c>
      <c r="BI535" s="3">
        <f>$AX535*(VLOOKUP($AY535,'Pregnancy costs and utilities'!$A$23:$H$158,5))</f>
        <v>101398.43763401073</v>
      </c>
      <c r="BJ535" s="3">
        <f>SUM(BH535:BI535)</f>
        <v>101398.43763401073</v>
      </c>
      <c r="BK535" s="3"/>
      <c r="BL535" s="3">
        <f>BC535+BI535</f>
        <v>223409.54899823669</v>
      </c>
      <c r="BN535" s="1" t="str">
        <f>IF(AV535=AX535,"Okay",IF(AV535&gt;AX535,"Lost infant","Gained infant"))</f>
        <v>Okay</v>
      </c>
    </row>
    <row r="536" spans="15:66" x14ac:dyDescent="0.25">
      <c r="O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238" t="s">
        <v>344</v>
      </c>
      <c r="AH536" s="1">
        <f>1-AH523</f>
        <v>0.99993840571000003</v>
      </c>
      <c r="AI536" s="1" t="s">
        <v>345</v>
      </c>
      <c r="AJ536" s="1">
        <f>AH536*AD528</f>
        <v>796.98605873643635</v>
      </c>
      <c r="AK536" s="1" t="s">
        <v>346</v>
      </c>
      <c r="AL536" s="1">
        <f>AH536*AF528</f>
        <v>796.98605873643635</v>
      </c>
      <c r="AM536" s="238"/>
      <c r="AN536" s="3"/>
      <c r="AO536" s="3"/>
      <c r="AP536" s="3"/>
      <c r="AQ536" s="3"/>
      <c r="AR536" s="3"/>
      <c r="AS536" s="240" t="s">
        <v>529</v>
      </c>
      <c r="AT536" s="235"/>
      <c r="AU536" s="235"/>
      <c r="AV536" s="235"/>
      <c r="AW536" s="235"/>
      <c r="AX536" s="235"/>
      <c r="AY536" s="235"/>
      <c r="AZ536" s="235"/>
      <c r="BA536" s="235"/>
      <c r="BB536" s="235"/>
      <c r="BC536" s="235"/>
      <c r="BD536" s="235"/>
      <c r="BE536" s="235"/>
      <c r="BF536" s="235"/>
      <c r="BG536" s="235"/>
      <c r="BH536" s="235"/>
      <c r="BI536" s="235"/>
      <c r="BJ536" s="235"/>
      <c r="BK536" s="235"/>
      <c r="BL536" s="235"/>
      <c r="BM536" s="235"/>
      <c r="BN536" s="235"/>
    </row>
    <row r="537" spans="15:66" x14ac:dyDescent="0.25">
      <c r="O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240" t="s">
        <v>518</v>
      </c>
      <c r="AH537" s="235"/>
      <c r="AI537" s="235"/>
      <c r="AJ537" s="235"/>
      <c r="AK537" s="235"/>
      <c r="AL537" s="239"/>
      <c r="AM537" s="238"/>
      <c r="AN537" s="3"/>
      <c r="AO537" s="3"/>
      <c r="AP537" s="3"/>
      <c r="AQ537" s="3"/>
      <c r="AR537" s="3"/>
    </row>
    <row r="538" spans="15:66" x14ac:dyDescent="0.25"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238"/>
      <c r="AN538" s="3"/>
      <c r="AO538" s="3"/>
      <c r="AP538" s="3"/>
      <c r="AQ538" s="3"/>
      <c r="AR538" s="3"/>
    </row>
    <row r="539" spans="15:66" x14ac:dyDescent="0.25"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238"/>
      <c r="AN539" s="3"/>
      <c r="AO539" s="3"/>
      <c r="AP539" s="3"/>
      <c r="AQ539" s="3"/>
      <c r="AR539" s="3"/>
      <c r="AS539" s="236" t="s">
        <v>528</v>
      </c>
      <c r="AT539" s="237"/>
      <c r="AU539" s="237"/>
      <c r="AV539" s="237"/>
      <c r="AW539" s="237"/>
      <c r="AX539" s="237"/>
      <c r="AY539" s="237"/>
      <c r="AZ539" s="237"/>
      <c r="BA539" s="237"/>
      <c r="BB539" s="237"/>
      <c r="BC539" s="237"/>
      <c r="BD539" s="237"/>
      <c r="BE539" s="237"/>
      <c r="BF539" s="237"/>
      <c r="BG539" s="237"/>
      <c r="BH539" s="237"/>
      <c r="BI539" s="237"/>
      <c r="BJ539" s="237"/>
      <c r="BK539" s="237"/>
      <c r="BL539" s="237"/>
      <c r="BM539" s="237"/>
      <c r="BN539" s="237"/>
    </row>
    <row r="540" spans="15:66" x14ac:dyDescent="0.25"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238" t="s">
        <v>344</v>
      </c>
      <c r="AN540" s="1">
        <f>1-AN535</f>
        <v>0.95096564266191386</v>
      </c>
      <c r="AO540" s="1" t="s">
        <v>345</v>
      </c>
      <c r="AP540" s="1">
        <f>AN540*AJ536</f>
        <v>757.90635953888102</v>
      </c>
      <c r="AQ540" s="1" t="s">
        <v>346</v>
      </c>
      <c r="AR540" s="1">
        <f>AN540*AL536</f>
        <v>757.90635953888102</v>
      </c>
      <c r="AS540" s="238" t="s">
        <v>344</v>
      </c>
      <c r="AT540" s="3">
        <f>DET_CS_stillbirth_nbw_fullgest</f>
        <v>2.0298526728661924E-3</v>
      </c>
      <c r="AU540" s="3" t="s">
        <v>345</v>
      </c>
      <c r="AV540" s="3">
        <f>AT540*AP540</f>
        <v>1.538438249692283</v>
      </c>
      <c r="AW540" s="3" t="s">
        <v>346</v>
      </c>
      <c r="AX540" s="3">
        <f>AT540*AR540</f>
        <v>1.538438249692283</v>
      </c>
      <c r="AY540" s="3">
        <f>AY535+1</f>
        <v>135</v>
      </c>
      <c r="AZ540" s="3"/>
      <c r="BA540" s="3">
        <f>det_cost_comparator*AV540</f>
        <v>0</v>
      </c>
      <c r="BB540" s="3">
        <f>$AV540*(VLOOKUP($AY540,'Pregnancy costs and utilities'!$A$23:$H$158,3))</f>
        <v>4897.9722173433192</v>
      </c>
      <c r="BC540" s="3">
        <f>SUM(BA540:BB540)</f>
        <v>4897.9722173433192</v>
      </c>
      <c r="BD540" s="3"/>
      <c r="BE540" s="3">
        <f>$AV540*(VLOOKUP($AY540,'Pregnancy costs and utilities'!$A$23:$I$158,9))</f>
        <v>1.1834140382248333</v>
      </c>
      <c r="BF540" s="3">
        <f>$AV540*(VLOOKUP($AY540,'Pregnancy costs and utilities'!$A$23:$H$158,7))</f>
        <v>1.0299806201096693</v>
      </c>
      <c r="BG540" s="3"/>
      <c r="BH540" s="3">
        <f>$BA540</f>
        <v>0</v>
      </c>
      <c r="BI540" s="3">
        <f>$AX540*(VLOOKUP($AY540,'Pregnancy costs and utilities'!$A$23:$H$158,5))</f>
        <v>1635.7855354372707</v>
      </c>
      <c r="BJ540" s="3">
        <f>SUM(BH540:BI540)</f>
        <v>1635.7855354372707</v>
      </c>
      <c r="BK540" s="3"/>
      <c r="BL540" s="3">
        <f>BC540+BI540</f>
        <v>6533.7577527805897</v>
      </c>
      <c r="BN540" s="1" t="str">
        <f>IF(AV540=AX540,"Okay",IF(AV540&gt;AX540,"Lost infant","Gained infant"))</f>
        <v>Okay</v>
      </c>
    </row>
    <row r="541" spans="15:66" x14ac:dyDescent="0.25"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240" t="s">
        <v>526</v>
      </c>
      <c r="AN541" s="235"/>
      <c r="AO541" s="235"/>
      <c r="AP541" s="235"/>
      <c r="AQ541" s="235"/>
      <c r="AR541" s="239"/>
      <c r="AS541" s="238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</row>
    <row r="542" spans="15:66" x14ac:dyDescent="0.25"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238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</row>
    <row r="543" spans="15:66" x14ac:dyDescent="0.25"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238" t="s">
        <v>344</v>
      </c>
      <c r="AT543" s="3">
        <f>1-AT540</f>
        <v>0.99797014732713385</v>
      </c>
      <c r="AU543" s="3" t="s">
        <v>345</v>
      </c>
      <c r="AV543" s="3">
        <f>AT543*AP540</f>
        <v>756.36792128918876</v>
      </c>
      <c r="AW543" s="3" t="s">
        <v>346</v>
      </c>
      <c r="AX543" s="3">
        <f>AT543*AR540</f>
        <v>756.36792128918876</v>
      </c>
      <c r="AY543" s="3">
        <f>AY540+1</f>
        <v>136</v>
      </c>
      <c r="AZ543" s="3"/>
      <c r="BA543" s="3">
        <f>det_cost_comparator*AV543</f>
        <v>0</v>
      </c>
      <c r="BB543" s="3">
        <f>$AV543*(VLOOKUP($AY543,'Pregnancy costs and utilities'!$A$23:$H$158,3))</f>
        <v>2408071.3446283396</v>
      </c>
      <c r="BC543" s="3">
        <f>SUM(BA543:BB543)</f>
        <v>2408071.3446283396</v>
      </c>
      <c r="BD543" s="3"/>
      <c r="BE543" s="3">
        <f>$AV543*(VLOOKUP($AY543,'Pregnancy costs and utilities'!$A$23:$I$158,9))</f>
        <v>581.82147791476064</v>
      </c>
      <c r="BF543" s="3">
        <f>$AV543*(VLOOKUP($AY543,'Pregnancy costs and utilities'!$A$23:$H$158,7))</f>
        <v>564.56860870813864</v>
      </c>
      <c r="BG543" s="3"/>
      <c r="BH543" s="3">
        <f>$BA543</f>
        <v>0</v>
      </c>
      <c r="BI543" s="3">
        <f>$AX543*(VLOOKUP($AY543,'Pregnancy costs and utilities'!$A$23:$H$158,5))</f>
        <v>2001249.4708587485</v>
      </c>
      <c r="BJ543" s="3">
        <f>SUM(BH543:BI543)</f>
        <v>2001249.4708587485</v>
      </c>
      <c r="BK543" s="3"/>
      <c r="BL543" s="3">
        <f>BC543+BI543</f>
        <v>4409320.8154870886</v>
      </c>
      <c r="BN543" s="1" t="str">
        <f>IF(AV543=AX543,"Okay",IF(AV543&gt;AX543,"Lost infant","Gained infant"))</f>
        <v>Okay</v>
      </c>
    </row>
    <row r="544" spans="15:66" x14ac:dyDescent="0.25"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240" t="s">
        <v>527</v>
      </c>
      <c r="AT544" s="235"/>
      <c r="AU544" s="235"/>
      <c r="AV544" s="235"/>
      <c r="AW544" s="235"/>
      <c r="AX544" s="235"/>
      <c r="AY544" s="235"/>
      <c r="AZ544" s="235"/>
      <c r="BA544" s="235"/>
      <c r="BB544" s="235"/>
      <c r="BC544" s="235"/>
      <c r="BD544" s="235"/>
      <c r="BE544" s="235"/>
      <c r="BF544" s="235"/>
      <c r="BG544" s="235"/>
      <c r="BH544" s="235"/>
      <c r="BI544" s="235"/>
      <c r="BJ544" s="235"/>
      <c r="BK544" s="235"/>
      <c r="BL544" s="235"/>
      <c r="BM544" s="235"/>
      <c r="BN544" s="235"/>
    </row>
    <row r="545" spans="1:94" x14ac:dyDescent="0.25"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</row>
    <row r="546" spans="1:94" x14ac:dyDescent="0.25"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 t="s">
        <v>1072</v>
      </c>
      <c r="AV546" s="3">
        <f>SUM(AV3:AV544)</f>
        <v>1000.0000000000003</v>
      </c>
      <c r="AW546" s="3" t="s">
        <v>1073</v>
      </c>
      <c r="AX546" s="3">
        <f>SUM(AX3:AX544)</f>
        <v>1000.0000000000003</v>
      </c>
      <c r="AY546" s="3"/>
      <c r="AZ546" s="3"/>
      <c r="BA546" s="3" t="s">
        <v>1075</v>
      </c>
      <c r="BB546" s="3" t="s">
        <v>1076</v>
      </c>
      <c r="BC546" s="3" t="s">
        <v>1077</v>
      </c>
      <c r="BD546" s="3"/>
      <c r="BE546" s="3" t="s">
        <v>1078</v>
      </c>
      <c r="BF546" s="3" t="s">
        <v>1079</v>
      </c>
      <c r="BG546" s="3"/>
      <c r="BH546" s="3" t="s">
        <v>1075</v>
      </c>
      <c r="BI546" s="3" t="s">
        <v>1080</v>
      </c>
      <c r="BJ546" s="3" t="s">
        <v>1081</v>
      </c>
      <c r="BL546" s="1" t="s">
        <v>1082</v>
      </c>
    </row>
    <row r="547" spans="1:94" x14ac:dyDescent="0.25"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 t="s">
        <v>1074</v>
      </c>
      <c r="AV547" s="3" t="str">
        <f>IF(AV546=AX546,"Yes",IF(AV546&lt;AX546,"Too few infants","Too many infants"))</f>
        <v>Yes</v>
      </c>
      <c r="AW547" s="3"/>
      <c r="AX547" s="3"/>
      <c r="AY547" s="3"/>
      <c r="AZ547" s="3"/>
      <c r="BA547" s="3">
        <f>SUM(BA3:BA544)</f>
        <v>0</v>
      </c>
      <c r="BB547" s="3">
        <f>SUM(BB3:BB544)</f>
        <v>3100131.9358560899</v>
      </c>
      <c r="BC547" s="3">
        <f>SUM(BC3:BC544)</f>
        <v>3100131.9358560899</v>
      </c>
      <c r="BD547" s="3"/>
      <c r="BE547" s="3">
        <f>SUM(BE3:BE544)</f>
        <v>708.02049829044336</v>
      </c>
      <c r="BF547" s="3">
        <f>SUM(BF3:BF544)</f>
        <v>684.22261850605844</v>
      </c>
      <c r="BG547" s="3"/>
      <c r="BH547" s="3">
        <f>SUM(BH3:BH544)</f>
        <v>0</v>
      </c>
      <c r="BI547" s="3">
        <f t="shared" ref="BI547:BJ547" si="0">SUM(BI3:BI544)</f>
        <v>3270222.5864739148</v>
      </c>
      <c r="BJ547" s="3">
        <f t="shared" si="0"/>
        <v>3270222.5864739148</v>
      </c>
      <c r="BL547" s="1">
        <f>SUM(BL3:BL544)</f>
        <v>6370354.5223300057</v>
      </c>
    </row>
    <row r="548" spans="1:94" x14ac:dyDescent="0.25"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</row>
    <row r="549" spans="1:94" x14ac:dyDescent="0.25"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</row>
    <row r="550" spans="1:94" ht="15.75" thickBot="1" x14ac:dyDescent="0.3"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</row>
    <row r="551" spans="1:94" s="263" customFormat="1" x14ac:dyDescent="0.25">
      <c r="A551" s="577" t="s">
        <v>835</v>
      </c>
      <c r="B551" s="578"/>
      <c r="C551" s="578"/>
      <c r="D551" s="578"/>
      <c r="E551" s="578"/>
      <c r="F551" s="578"/>
      <c r="G551" s="578"/>
      <c r="H551" s="578"/>
      <c r="I551" s="578"/>
      <c r="J551" s="578"/>
      <c r="K551" s="578"/>
      <c r="L551" s="578"/>
      <c r="M551" s="578"/>
      <c r="N551" s="578"/>
      <c r="O551" s="578"/>
      <c r="P551" s="578"/>
      <c r="Q551" s="578"/>
      <c r="R551" s="578"/>
      <c r="S551" s="578"/>
      <c r="T551" s="578"/>
      <c r="U551" s="578"/>
      <c r="V551" s="578"/>
      <c r="W551" s="578"/>
      <c r="X551" s="578"/>
      <c r="Y551" s="578"/>
      <c r="Z551" s="578"/>
      <c r="AA551" s="578"/>
      <c r="AB551" s="578"/>
      <c r="AC551" s="578"/>
      <c r="AD551" s="578"/>
      <c r="AE551" s="578"/>
      <c r="AF551" s="578"/>
      <c r="AG551" s="578"/>
      <c r="AH551" s="578"/>
      <c r="AI551" s="578"/>
      <c r="AJ551" s="578"/>
      <c r="AK551" s="578"/>
      <c r="AL551" s="578"/>
      <c r="AM551" s="578"/>
      <c r="AN551" s="578"/>
      <c r="AO551" s="578"/>
      <c r="AP551" s="578"/>
      <c r="AQ551" s="578"/>
      <c r="AR551" s="578"/>
      <c r="AS551" s="578"/>
      <c r="AT551" s="578"/>
      <c r="AU551" s="368"/>
      <c r="AV551" s="368"/>
      <c r="AW551" s="368"/>
      <c r="AX551" s="368"/>
      <c r="AY551" s="368"/>
      <c r="AZ551" s="368"/>
      <c r="BA551" s="368"/>
      <c r="BB551" s="368"/>
      <c r="BC551" s="368"/>
      <c r="BD551" s="368"/>
      <c r="BE551" s="368"/>
      <c r="BF551" s="368"/>
      <c r="BG551" s="368"/>
      <c r="BH551" s="368"/>
      <c r="BI551" s="368"/>
      <c r="BJ551" s="368"/>
      <c r="BK551" s="368"/>
      <c r="BL551" s="368"/>
      <c r="BM551" s="368"/>
      <c r="BN551" s="368"/>
      <c r="BO551" s="368"/>
      <c r="BP551" s="368"/>
      <c r="BQ551" s="368"/>
      <c r="BR551" s="368"/>
      <c r="BS551" s="368"/>
      <c r="BT551" s="368"/>
      <c r="BU551" s="368"/>
      <c r="BV551" s="368"/>
      <c r="BW551" s="368"/>
      <c r="BX551" s="368"/>
      <c r="BY551" s="368"/>
      <c r="BZ551" s="368"/>
      <c r="CA551" s="368"/>
      <c r="CB551" s="368"/>
      <c r="CC551" s="368"/>
      <c r="CD551" s="368"/>
      <c r="CE551" s="368"/>
      <c r="CF551" s="368"/>
      <c r="CG551" s="368"/>
      <c r="CH551" s="368"/>
      <c r="CI551" s="368"/>
      <c r="CJ551" s="368"/>
      <c r="CK551" s="368"/>
      <c r="CL551" s="368"/>
      <c r="CM551" s="368"/>
      <c r="CN551" s="368"/>
      <c r="CO551" s="369"/>
    </row>
    <row r="552" spans="1:94" s="263" customFormat="1" x14ac:dyDescent="0.25">
      <c r="A552" s="588" t="s">
        <v>107</v>
      </c>
      <c r="B552" s="580"/>
      <c r="C552" s="580"/>
      <c r="D552" s="580"/>
      <c r="E552" s="580"/>
      <c r="F552" s="580"/>
      <c r="G552" s="580"/>
      <c r="H552" s="580"/>
      <c r="I552" s="580"/>
      <c r="J552" s="580"/>
      <c r="K552" s="580"/>
      <c r="L552" s="580"/>
      <c r="M552" s="580"/>
      <c r="N552" s="580"/>
      <c r="O552" s="580"/>
      <c r="P552" s="580"/>
      <c r="Q552" s="580"/>
      <c r="R552" s="580"/>
      <c r="S552" s="580"/>
      <c r="T552" s="580"/>
      <c r="U552" s="580"/>
      <c r="V552" s="580"/>
      <c r="W552" s="580"/>
      <c r="X552" s="580"/>
      <c r="Y552" s="580"/>
      <c r="Z552" s="580"/>
      <c r="AA552" s="580"/>
      <c r="AB552" s="580"/>
      <c r="AC552" s="580"/>
      <c r="AD552" s="580"/>
      <c r="AE552" s="580"/>
      <c r="AF552" s="580"/>
      <c r="AG552" s="580"/>
      <c r="AH552" s="580"/>
      <c r="AI552" s="580"/>
      <c r="AJ552" s="580"/>
      <c r="AK552" s="580"/>
      <c r="AL552" s="580"/>
      <c r="AM552" s="580"/>
      <c r="AN552" s="580"/>
      <c r="AO552" s="580"/>
      <c r="AP552" s="580"/>
      <c r="AQ552" s="580"/>
      <c r="AR552" s="580"/>
      <c r="AS552" s="580"/>
      <c r="AT552" s="580"/>
      <c r="AU552" s="247"/>
      <c r="AV552" s="566" t="s">
        <v>1087</v>
      </c>
      <c r="AW552" s="566"/>
      <c r="AX552" s="566"/>
      <c r="AY552" s="333"/>
      <c r="AZ552" s="333"/>
      <c r="BA552" s="333"/>
      <c r="BB552" s="333"/>
      <c r="BC552" s="333"/>
      <c r="BD552" s="333"/>
      <c r="BE552" s="333"/>
      <c r="BF552" s="333"/>
      <c r="BG552" s="333"/>
      <c r="BH552" s="333"/>
      <c r="BI552" s="333"/>
      <c r="BJ552" s="333"/>
      <c r="BK552" s="333"/>
      <c r="BL552" s="333"/>
      <c r="BM552" s="333"/>
      <c r="BN552" s="333"/>
      <c r="BO552" s="333"/>
      <c r="BP552" s="333"/>
      <c r="BQ552" s="333"/>
      <c r="BR552" s="333"/>
      <c r="BS552" s="333"/>
      <c r="BT552" s="333"/>
      <c r="BU552" s="333"/>
      <c r="BV552" s="333"/>
      <c r="BW552" s="333"/>
      <c r="BX552" s="333"/>
      <c r="BY552" s="333"/>
      <c r="BZ552" s="333"/>
      <c r="CA552" s="333"/>
      <c r="CB552" s="333"/>
      <c r="CC552" s="333"/>
      <c r="CD552" s="333"/>
      <c r="CE552" s="333"/>
      <c r="CF552" s="333"/>
      <c r="CG552" s="333"/>
      <c r="CH552" s="333"/>
      <c r="CI552" s="333"/>
      <c r="CJ552" s="333"/>
      <c r="CK552" s="333"/>
      <c r="CL552" s="333"/>
      <c r="CM552" s="333"/>
      <c r="CN552" s="333"/>
      <c r="CO552" s="333"/>
    </row>
    <row r="553" spans="1:94" s="263" customFormat="1" x14ac:dyDescent="0.25">
      <c r="A553" s="264" t="s">
        <v>835</v>
      </c>
      <c r="B553" s="276"/>
      <c r="C553" s="579" t="s">
        <v>837</v>
      </c>
      <c r="D553" s="580"/>
      <c r="E553" s="580"/>
      <c r="F553" s="580"/>
      <c r="G553" s="580"/>
      <c r="H553" s="580"/>
      <c r="I553" s="580"/>
      <c r="J553" s="580"/>
      <c r="K553" s="580"/>
      <c r="L553" s="580"/>
      <c r="M553" s="580"/>
      <c r="N553" s="589"/>
      <c r="O553" s="277"/>
      <c r="P553" s="579" t="s">
        <v>836</v>
      </c>
      <c r="Q553" s="580"/>
      <c r="R553" s="580"/>
      <c r="S553" s="580"/>
      <c r="T553" s="589"/>
      <c r="U553" s="278"/>
      <c r="V553" s="276"/>
      <c r="W553" s="276"/>
      <c r="X553" s="579" t="s">
        <v>81</v>
      </c>
      <c r="Y553" s="580"/>
      <c r="Z553" s="580"/>
      <c r="AA553" s="580"/>
      <c r="AB553" s="580"/>
      <c r="AC553" s="589"/>
      <c r="AD553" s="277"/>
      <c r="AE553" s="579" t="s">
        <v>823</v>
      </c>
      <c r="AF553" s="580"/>
      <c r="AG553" s="580"/>
      <c r="AH553" s="278"/>
      <c r="AI553" s="579" t="s">
        <v>824</v>
      </c>
      <c r="AJ553" s="580"/>
      <c r="AK553" s="580"/>
      <c r="AL553" s="278"/>
      <c r="AM553" s="579" t="s">
        <v>825</v>
      </c>
      <c r="AN553" s="580"/>
      <c r="AO553" s="580"/>
      <c r="AP553" s="278"/>
      <c r="AQ553" s="579" t="s">
        <v>829</v>
      </c>
      <c r="AR553" s="580"/>
      <c r="AS553" s="580"/>
      <c r="AT553" s="580"/>
      <c r="AU553" s="247"/>
      <c r="AV553" s="579" t="s">
        <v>825</v>
      </c>
      <c r="AW553" s="580"/>
      <c r="AX553" s="580"/>
      <c r="AY553" s="333"/>
      <c r="AZ553" s="333"/>
      <c r="BA553" s="333"/>
      <c r="BB553" s="333"/>
      <c r="BC553" s="333"/>
      <c r="BD553" s="333"/>
      <c r="BE553" s="333"/>
      <c r="BF553" s="333"/>
      <c r="BG553" s="333"/>
      <c r="BH553" s="333"/>
      <c r="BI553" s="333"/>
      <c r="BJ553" s="321"/>
      <c r="BK553" s="566"/>
      <c r="BL553" s="566"/>
      <c r="BM553" s="566"/>
      <c r="BN553" s="566"/>
      <c r="BO553" s="566"/>
      <c r="BP553" s="321"/>
      <c r="BQ553" s="321"/>
      <c r="BR553" s="321"/>
      <c r="BS553" s="566"/>
      <c r="BT553" s="566"/>
      <c r="BU553" s="566"/>
      <c r="BV553" s="566"/>
      <c r="BW553" s="566"/>
      <c r="BX553" s="566"/>
      <c r="BY553" s="321"/>
      <c r="BZ553" s="566"/>
      <c r="CA553" s="566"/>
      <c r="CB553" s="566"/>
      <c r="CC553" s="321"/>
      <c r="CD553" s="566"/>
      <c r="CE553" s="566"/>
      <c r="CF553" s="566"/>
      <c r="CG553" s="321"/>
      <c r="CH553" s="566"/>
      <c r="CI553" s="566"/>
      <c r="CJ553" s="566"/>
      <c r="CK553" s="321"/>
      <c r="CL553" s="566"/>
      <c r="CM553" s="566"/>
      <c r="CN553" s="566"/>
      <c r="CO553" s="566"/>
      <c r="CP553" s="247"/>
    </row>
    <row r="554" spans="1:94" s="263" customFormat="1" ht="15.75" thickBot="1" x14ac:dyDescent="0.3">
      <c r="A554" s="279" t="s">
        <v>45</v>
      </c>
      <c r="B554" s="280" t="s">
        <v>48</v>
      </c>
      <c r="C554" s="291" t="s">
        <v>1014</v>
      </c>
      <c r="D554" s="292" t="s">
        <v>1015</v>
      </c>
      <c r="E554" s="292" t="s">
        <v>1016</v>
      </c>
      <c r="F554" s="292" t="s">
        <v>1017</v>
      </c>
      <c r="G554" s="292" t="s">
        <v>1018</v>
      </c>
      <c r="H554" s="292" t="s">
        <v>1019</v>
      </c>
      <c r="I554" s="292" t="s">
        <v>1020</v>
      </c>
      <c r="J554" s="292" t="s">
        <v>1021</v>
      </c>
      <c r="K554" s="292" t="s">
        <v>1022</v>
      </c>
      <c r="L554" s="292" t="s">
        <v>1023</v>
      </c>
      <c r="M554" s="292" t="s">
        <v>1024</v>
      </c>
      <c r="N554" s="292" t="s">
        <v>1025</v>
      </c>
      <c r="O554" s="291"/>
      <c r="P554" s="291" t="s">
        <v>746</v>
      </c>
      <c r="Q554" s="292" t="s">
        <v>747</v>
      </c>
      <c r="R554" s="292" t="s">
        <v>748</v>
      </c>
      <c r="S554" s="292" t="s">
        <v>749</v>
      </c>
      <c r="T554" s="292" t="s">
        <v>750</v>
      </c>
      <c r="U554" s="291" t="s">
        <v>71</v>
      </c>
      <c r="V554" s="292"/>
      <c r="W554" s="292"/>
      <c r="X554" s="291" t="s">
        <v>56</v>
      </c>
      <c r="Y554" s="292" t="s">
        <v>57</v>
      </c>
      <c r="Z554" s="292" t="s">
        <v>5</v>
      </c>
      <c r="AA554" s="292" t="s">
        <v>6</v>
      </c>
      <c r="AB554" s="292" t="s">
        <v>53</v>
      </c>
      <c r="AC554" s="292" t="s">
        <v>8</v>
      </c>
      <c r="AD554" s="291"/>
      <c r="AE554" s="291" t="s">
        <v>48</v>
      </c>
      <c r="AF554" s="292" t="s">
        <v>80</v>
      </c>
      <c r="AG554" s="292" t="s">
        <v>20</v>
      </c>
      <c r="AH554" s="291"/>
      <c r="AI554" s="291" t="s">
        <v>48</v>
      </c>
      <c r="AJ554" s="292" t="s">
        <v>80</v>
      </c>
      <c r="AK554" s="292" t="s">
        <v>20</v>
      </c>
      <c r="AL554" s="291"/>
      <c r="AM554" s="291" t="s">
        <v>48</v>
      </c>
      <c r="AN554" s="292" t="s">
        <v>80</v>
      </c>
      <c r="AO554" s="292" t="s">
        <v>20</v>
      </c>
      <c r="AP554" s="291"/>
      <c r="AQ554" s="291" t="s">
        <v>48</v>
      </c>
      <c r="AR554" s="292" t="s">
        <v>826</v>
      </c>
      <c r="AS554" s="292" t="s">
        <v>827</v>
      </c>
      <c r="AT554" s="292" t="s">
        <v>828</v>
      </c>
      <c r="AU554" s="293"/>
      <c r="AV554" s="291" t="s">
        <v>48</v>
      </c>
      <c r="AW554" s="292" t="s">
        <v>80</v>
      </c>
      <c r="AX554" s="292" t="s">
        <v>20</v>
      </c>
      <c r="AY554" s="367"/>
      <c r="AZ554" s="367"/>
      <c r="BA554" s="367"/>
      <c r="BB554" s="367"/>
      <c r="BC554" s="367"/>
      <c r="BD554" s="367"/>
      <c r="BE554" s="367"/>
      <c r="BF554" s="367"/>
      <c r="BG554" s="367"/>
      <c r="BH554" s="367"/>
      <c r="BI554" s="367"/>
      <c r="BJ554" s="367"/>
      <c r="BK554" s="367"/>
      <c r="BL554" s="367"/>
      <c r="BM554" s="367"/>
      <c r="BN554" s="367"/>
      <c r="BO554" s="367"/>
      <c r="BP554" s="367"/>
      <c r="BQ554" s="367"/>
      <c r="BR554" s="367"/>
      <c r="BS554" s="367"/>
      <c r="BT554" s="367"/>
      <c r="BU554" s="367"/>
      <c r="BV554" s="367"/>
      <c r="BW554" s="367"/>
      <c r="BX554" s="367"/>
      <c r="BY554" s="367"/>
      <c r="BZ554" s="367"/>
      <c r="CA554" s="367"/>
      <c r="CB554" s="367"/>
      <c r="CC554" s="367"/>
      <c r="CD554" s="367"/>
      <c r="CE554" s="367"/>
      <c r="CF554" s="367"/>
      <c r="CG554" s="367"/>
      <c r="CH554" s="367"/>
      <c r="CI554" s="367"/>
      <c r="CJ554" s="367"/>
      <c r="CK554" s="367"/>
      <c r="CL554" s="367"/>
      <c r="CM554" s="367"/>
      <c r="CN554" s="367"/>
      <c r="CO554" s="367"/>
      <c r="CP554" s="247"/>
    </row>
    <row r="555" spans="1:94" x14ac:dyDescent="0.25">
      <c r="A555" s="34">
        <v>0</v>
      </c>
      <c r="B555" s="33">
        <f>Age_of_mother</f>
        <v>27</v>
      </c>
      <c r="C555" s="294">
        <f>VLOOKUP($B555,'Mother mortality'!$A$23:$I$124,5)</f>
        <v>2.7550000000000003E-4</v>
      </c>
      <c r="D555" s="295">
        <f t="shared" ref="D555:D586" si="1">IF(A555=1,DET_P_01Q_CSP,DET_P_01Q_CS_FEMALE)</f>
        <v>0.27</v>
      </c>
      <c r="E555" s="295">
        <f>1-D555-C555</f>
        <v>0.7297245</v>
      </c>
      <c r="F555" s="295">
        <f>VLOOKUP($B555,'Mother mortality'!$A$23:$I$124,5)</f>
        <v>2.7550000000000003E-4</v>
      </c>
      <c r="G555" s="295">
        <f t="shared" ref="G555:G586" si="2">IF(A555=1,DET_P_12Q_QP,DET_P_12Q_01Q)</f>
        <v>0.14000000000000001</v>
      </c>
      <c r="H555" s="295">
        <f>1-G555-F555</f>
        <v>0.8597245</v>
      </c>
      <c r="I555" s="295">
        <f>VLOOKUP($B555,'Mother mortality'!$A$23:$I$124,4)</f>
        <v>2.7550000000000003E-4</v>
      </c>
      <c r="J555" s="295">
        <f>1-I555-K555</f>
        <v>0.42829592857142862</v>
      </c>
      <c r="K555" s="295">
        <f t="shared" ref="K555:K586" si="3">IF(A555=2,DET_P_LTQ_12Q_QP,DET_P_LTQ_12Q)</f>
        <v>0.5714285714285714</v>
      </c>
      <c r="L555" s="295">
        <f>VLOOKUP($B555,'Mother mortality'!$A$23:$I$124,4)</f>
        <v>2.7550000000000003E-4</v>
      </c>
      <c r="M555" s="295">
        <f t="shared" ref="M555:M586" si="4">DET_P_CS_LTQ</f>
        <v>8.6261668788331098E-3</v>
      </c>
      <c r="N555" s="295">
        <f>1-M555-L555</f>
        <v>0.99109833312116691</v>
      </c>
      <c r="O555" s="294"/>
      <c r="P555" s="296">
        <f>AV543+AV540+AV535+AV532+AV511+AV508+AV503+AV500+AV479+AV476+AV471+AV468+AV447+AV444+AV439+AV436+AV415+AV412+AV407+AV404+AV383+AV380+AV375+AV372+AV351+AV348+AV343+AV340+AV319+AV316+AV311+AV287+AV279+AV308</f>
        <v>980.33923033856206</v>
      </c>
      <c r="Q555" s="297">
        <f>AV7+AV15+AV36+AV39+AV44+AV47+AV68+AV71+AV76+AV79+AV100+AV103+AV108+AV111+AV132+AV135+AV140+AV143+AV164+AV167+AV172+AV175+AV196+AV199+AV204+AV207+AV228+AV231+AV236+AV239+AV260+AV263+AV268+AV271</f>
        <v>19.598769422717407</v>
      </c>
      <c r="R555" s="297"/>
      <c r="S555" s="297"/>
      <c r="T555" s="297">
        <f>AV4+AV12+AV20+AV23+AV28+AV31+AV52+AV55+AV60+AV63+AV84+AV87+AV92+AV95+AV116+AV119+AV124+AV127+AV148+AV151+AV156+AV159+AV180+AV183+AV188+AV191+AV212+AV215+AV220+AV223+AV244+AV247+AV252+AV255+AV276+AV284+AV292+AV295+AV300+AV303+AV324+AV327+AV332+AV335+AV356+AV359+AV364+AV367+AV388+AV391+AV396+AV399+AV420+AV423+AV428+AV431+AV452+AV455+AV460+AV463+AV484+AV487+AV492+AV495+AV516+AV519+AV524+AV527</f>
        <v>6.2000238720679286E-2</v>
      </c>
      <c r="U555" s="294">
        <f>SUM(P555:T555)</f>
        <v>1000.0000000000001</v>
      </c>
      <c r="V555" s="295" t="str">
        <f t="shared" ref="V555:V586" si="5">IF(U555=Cohort,"OKAY",IF(U555&gt;Cohort,"Too many","Too Few"))</f>
        <v>OKAY</v>
      </c>
      <c r="W555" s="295"/>
      <c r="X555" s="294"/>
      <c r="Y555" s="295"/>
      <c r="Z555" s="295"/>
      <c r="AA555" s="295"/>
      <c r="AB555" s="295"/>
      <c r="AC555" s="295"/>
      <c r="AD555" s="294"/>
      <c r="AE555" s="294">
        <f>B555</f>
        <v>27</v>
      </c>
      <c r="AF555" s="295">
        <f>$BE$547/((1+Discount_rate_QALYs)^A555)</f>
        <v>708.02049829044336</v>
      </c>
      <c r="AG555" s="295">
        <f>AF555</f>
        <v>708.02049829044336</v>
      </c>
      <c r="AH555" s="294"/>
      <c r="AI555" s="294">
        <f>B555</f>
        <v>27</v>
      </c>
      <c r="AJ555" s="295">
        <f>$BF$547/((1+Discount_rate_QALYs)^$A555)</f>
        <v>684.22261850605844</v>
      </c>
      <c r="AK555" s="295">
        <f>AJ555</f>
        <v>684.22261850605844</v>
      </c>
      <c r="AL555" s="294"/>
      <c r="AM555" s="294">
        <f>B555</f>
        <v>27</v>
      </c>
      <c r="AN555" s="299">
        <f>$BC$547/((1+Discount_rate_costs)^A555)</f>
        <v>3100131.9358560899</v>
      </c>
      <c r="AO555" s="299">
        <f>AN555</f>
        <v>3100131.9358560899</v>
      </c>
      <c r="AP555" s="294"/>
      <c r="AQ555" s="294">
        <f>B555</f>
        <v>27</v>
      </c>
      <c r="AR555" s="298">
        <f t="shared" ref="AR555:AR586" si="6">(SUM(P555:S555))/Cohort</f>
        <v>0.99993799976127951</v>
      </c>
      <c r="AS555" s="298">
        <f t="shared" ref="AS555:AS586" si="7">T555/Cohort</f>
        <v>6.2000238720679281E-5</v>
      </c>
      <c r="AT555" s="298">
        <f t="shared" ref="AT555:AT586" si="8">SUM(Z555:AC555)/Cohort</f>
        <v>0</v>
      </c>
      <c r="AU555" s="250"/>
      <c r="AV555" s="294">
        <f>B555</f>
        <v>27</v>
      </c>
      <c r="AW555" s="299">
        <f>$BB$547/((1+Discount_rate_costs)^A555)</f>
        <v>3100131.9358560899</v>
      </c>
      <c r="AX555" s="299">
        <f>AW555</f>
        <v>3100131.9358560899</v>
      </c>
      <c r="AY555" s="335"/>
      <c r="AZ555" s="335"/>
      <c r="BA555" s="335"/>
      <c r="BB555" s="335"/>
      <c r="BC555" s="335"/>
      <c r="BD555" s="335"/>
      <c r="BE555" s="335"/>
      <c r="BF555" s="335"/>
      <c r="BG555" s="335"/>
      <c r="BH555" s="335"/>
      <c r="BI555" s="335"/>
      <c r="BJ555" s="335"/>
      <c r="BK555" s="364"/>
      <c r="BL555" s="364"/>
      <c r="BM555" s="364"/>
      <c r="BN555" s="364"/>
      <c r="BO555" s="364"/>
      <c r="BP555" s="364"/>
      <c r="BQ555" s="335"/>
      <c r="BR555" s="335"/>
      <c r="BS555" s="335"/>
      <c r="BT555" s="335"/>
      <c r="BU555" s="335"/>
      <c r="BV555" s="335"/>
      <c r="BW555" s="335"/>
      <c r="BX555" s="335"/>
      <c r="BY555" s="335"/>
      <c r="BZ555" s="335"/>
      <c r="CA555" s="335"/>
      <c r="CB555" s="335"/>
      <c r="CC555" s="335"/>
      <c r="CD555" s="335"/>
      <c r="CE555" s="335"/>
      <c r="CF555" s="335"/>
      <c r="CG555" s="335"/>
      <c r="CH555" s="335"/>
      <c r="CI555" s="365"/>
      <c r="CJ555" s="365"/>
      <c r="CK555" s="335"/>
      <c r="CL555" s="335"/>
      <c r="CM555" s="366"/>
      <c r="CN555" s="366"/>
      <c r="CO555" s="366"/>
      <c r="CP555" s="3"/>
    </row>
    <row r="556" spans="1:94" x14ac:dyDescent="0.25">
      <c r="A556" s="34">
        <v>1</v>
      </c>
      <c r="B556" s="33">
        <f>B555+1</f>
        <v>28</v>
      </c>
      <c r="C556" s="294">
        <f>VLOOKUP($B556,'Mother mortality'!$A$23:$I$124,5)</f>
        <v>2.8499999999999999E-4</v>
      </c>
      <c r="D556" s="295">
        <f t="shared" si="1"/>
        <v>0.13</v>
      </c>
      <c r="E556" s="295">
        <f t="shared" ref="E556:E619" si="9">1-D556-C556</f>
        <v>0.86971500000000002</v>
      </c>
      <c r="F556" s="295">
        <f>VLOOKUP($B556,'Mother mortality'!$A$23:$I$124,5)</f>
        <v>2.8499999999999999E-4</v>
      </c>
      <c r="G556" s="295">
        <f t="shared" si="2"/>
        <v>0.53</v>
      </c>
      <c r="H556" s="295">
        <f t="shared" ref="H556:H619" si="10">1-G556-F556</f>
        <v>0.46971499999999999</v>
      </c>
      <c r="I556" s="295">
        <f>VLOOKUP($B556,'Mother mortality'!$A$23:$I$124,4)</f>
        <v>2.8499999999999999E-4</v>
      </c>
      <c r="J556" s="295">
        <f t="shared" ref="J556:J619" si="11">1-I556-K556</f>
        <v>0.42828642857142862</v>
      </c>
      <c r="K556" s="295">
        <f t="shared" si="3"/>
        <v>0.5714285714285714</v>
      </c>
      <c r="L556" s="295">
        <f>VLOOKUP($B556,'Mother mortality'!$A$23:$I$124,4)</f>
        <v>2.8499999999999999E-4</v>
      </c>
      <c r="M556" s="295">
        <f t="shared" si="4"/>
        <v>8.6261668788331098E-3</v>
      </c>
      <c r="N556" s="295">
        <f t="shared" ref="N556:N619" si="12">1-M556-L556</f>
        <v>0.99108883312116691</v>
      </c>
      <c r="O556" s="294"/>
      <c r="P556" s="296">
        <f>(P555*E556)+(Q555*H556)+(R555*J556)+(S555*M556)</f>
        <v>861.82156969329424</v>
      </c>
      <c r="Q556" s="297">
        <f>P555*D556</f>
        <v>127.44409994401308</v>
      </c>
      <c r="R556" s="297">
        <f>Q555*G556</f>
        <v>10.387347794040226</v>
      </c>
      <c r="S556" s="297">
        <f>(R555*K556)+(S555*N556)</f>
        <v>0</v>
      </c>
      <c r="T556" s="297">
        <f>T555+(P555*C556)+(Q555*F556)+(R555*I556)+(S555*L556)</f>
        <v>0.34698256865264393</v>
      </c>
      <c r="U556" s="294">
        <f t="shared" ref="U556:U619" si="13">SUM(P556:T556)</f>
        <v>1000.0000000000001</v>
      </c>
      <c r="V556" s="295" t="str">
        <f t="shared" si="5"/>
        <v>OKAY</v>
      </c>
      <c r="W556" s="295"/>
      <c r="X556" s="296">
        <f>SUM(P556:Q556)-(SUM(P556:Q556)*(VLOOKUP(B556,Lifetime_morbidity_array!$A$6:$Y$24,4)+VLOOKUP(B556,Lifetime_morbidity_array!$A$6:$Y$24,7)+VLOOKUP(B556,Lifetime_morbidity_array!$A$6:$Y$24,10)+VLOOKUP(B556,Lifetime_morbidity_array!$A$6:$Y$24,13)))</f>
        <v>987.07093847091642</v>
      </c>
      <c r="Y556" s="297">
        <f>SUM(R556:S556)-(SUM(R556:S556)*(VLOOKUP(B556,Lifetime_morbidity_array!$A$6:$Y$24,3)+VLOOKUP(B556,Lifetime_morbidity_array!$A$6:$Y$24,6)+VLOOKUP(B556,Lifetime_morbidity_array!$A$6:$Y$24,9)+VLOOKUP(B556,Lifetime_morbidity_array!$A$6:$Y$24,12)))</f>
        <v>10.364302987534325</v>
      </c>
      <c r="Z556" s="297">
        <f>(SUM(P556:Q556)*VLOOKUP(B556,Lifetime_morbidity_array!$A$6:$Y$24,4))+(SUM(R556:S556)*VLOOKUP(B556,Lifetime_morbidity_array!$A$6:$Y$24,3))</f>
        <v>1.0011047060105147</v>
      </c>
      <c r="AA556" s="297">
        <f>(SUM(P556:Q556)*VLOOKUP(B556,Lifetime_morbidity_array!$A$6:$Y$24,7))+(SUM(R556:S556)*VLOOKUP(B556,Lifetime_morbidity_array!$A$6:$Y$24,6))</f>
        <v>0.19612031037706254</v>
      </c>
      <c r="AB556" s="297">
        <f>(SUM(P556:Q556)*VLOOKUP(B556,Lifetime_morbidity_array!$A$6:$Y$24,10))+(SUM(R556:S556)*VLOOKUP(B556,Lifetime_morbidity_array!$A$6:$Y$24,9))</f>
        <v>2.002398665903939E-2</v>
      </c>
      <c r="AC556" s="297">
        <f>(SUM(P556:Q556)*VLOOKUP(B556,Lifetime_morbidity_array!$A$6:$Y$24,13))+(SUM(R556:S556)*VLOOKUP(B556,Lifetime_morbidity_array!$A$6:$Y$24,12))</f>
        <v>1.0005269698501851</v>
      </c>
      <c r="AD556" s="294"/>
      <c r="AE556" s="294">
        <f>B556</f>
        <v>28</v>
      </c>
      <c r="AF556" s="297">
        <f>(SUM(P556:S556))/((1+Discount_rate_QALYs)^A556)</f>
        <v>965.84832602062568</v>
      </c>
      <c r="AG556" s="297">
        <f>AF556+AG555</f>
        <v>1673.8688243110691</v>
      </c>
      <c r="AH556" s="294"/>
      <c r="AI556" s="294">
        <f>B556</f>
        <v>28</v>
      </c>
      <c r="AJ556" s="295">
        <f>((VLOOKUP(B556,'Mahawesran Tariff'!$A$21:$M$120,7)*X556)+(VLOOKUP(B556,'Mahawesran Tariff'!$A$21:$M$120,6)*Y556)+(DET_UTIL_chd*Z556)+(DET_UTIL_copd*AA556)+(DET_UTIL_lc*AB556)+(DET_UTIL_stroke*AC556))/((1+Discount_rate_QALYs)^A556)</f>
        <v>936.84875591505443</v>
      </c>
      <c r="AK556" s="295">
        <f>AJ556+AK555</f>
        <v>1621.071374421113</v>
      </c>
      <c r="AL556" s="294"/>
      <c r="AM556" s="294">
        <f t="shared" ref="AM556:AM619" si="14">B556</f>
        <v>28</v>
      </c>
      <c r="AN556" s="299">
        <f t="shared" ref="AN556:AN587" si="15">(($Z556*DET_COST_chd)+($AA556*DET_COST_copd)+($AB556*DET_cost_lc)+($AC556*DET_COST_stroke))/((1+Discount_rate_costs)^$A556)</f>
        <v>23124.41798307814</v>
      </c>
      <c r="AO556" s="299">
        <f>AN556+AO555</f>
        <v>3123256.3538391679</v>
      </c>
      <c r="AP556" s="294"/>
      <c r="AQ556" s="294">
        <f t="shared" ref="AQ556:AQ619" si="16">B556</f>
        <v>28</v>
      </c>
      <c r="AR556" s="298">
        <f t="shared" si="6"/>
        <v>0.99965301743134749</v>
      </c>
      <c r="AS556" s="298">
        <f t="shared" si="7"/>
        <v>3.4698256865264393E-4</v>
      </c>
      <c r="AT556" s="298">
        <f t="shared" si="8"/>
        <v>2.2177759728968017E-3</v>
      </c>
      <c r="AU556" s="250"/>
      <c r="AV556" s="294">
        <f t="shared" ref="AV556:AV619" si="17">B556</f>
        <v>28</v>
      </c>
      <c r="AW556" s="299">
        <f t="shared" ref="AW556:AW587" si="18">(($Z556*DET_COST_chd)+($AA556*DET_COST_copd)+($AB556*DET_cost_lc)+($AC556*DET_COST_stroke))/((1+Discount_rate_costs)^$A556)</f>
        <v>23124.41798307814</v>
      </c>
      <c r="AX556" s="299">
        <f>AW556+AX555</f>
        <v>3123256.3538391679</v>
      </c>
      <c r="AY556" s="335"/>
      <c r="AZ556" s="335"/>
      <c r="BA556" s="335"/>
      <c r="BB556" s="335"/>
      <c r="BC556" s="335"/>
      <c r="BD556" s="335"/>
      <c r="BE556" s="335"/>
      <c r="BF556" s="335"/>
      <c r="BG556" s="335"/>
      <c r="BH556" s="335"/>
      <c r="BI556" s="335"/>
      <c r="BJ556" s="335"/>
      <c r="BK556" s="364"/>
      <c r="BL556" s="364"/>
      <c r="BM556" s="364"/>
      <c r="BN556" s="364"/>
      <c r="BO556" s="364"/>
      <c r="BP556" s="364"/>
      <c r="BQ556" s="335"/>
      <c r="BR556" s="335"/>
      <c r="BS556" s="364"/>
      <c r="BT556" s="364"/>
      <c r="BU556" s="364"/>
      <c r="BV556" s="364"/>
      <c r="BW556" s="364"/>
      <c r="BX556" s="364"/>
      <c r="BY556" s="335"/>
      <c r="BZ556" s="335"/>
      <c r="CA556" s="364"/>
      <c r="CB556" s="364"/>
      <c r="CC556" s="335"/>
      <c r="CD556" s="335"/>
      <c r="CE556" s="335"/>
      <c r="CF556" s="335"/>
      <c r="CG556" s="335"/>
      <c r="CH556" s="335"/>
      <c r="CI556" s="365"/>
      <c r="CJ556" s="365"/>
      <c r="CK556" s="335"/>
      <c r="CL556" s="335"/>
      <c r="CM556" s="366"/>
      <c r="CN556" s="366"/>
      <c r="CO556" s="366"/>
      <c r="CP556" s="3"/>
    </row>
    <row r="557" spans="1:94" x14ac:dyDescent="0.25">
      <c r="A557" s="34">
        <v>2</v>
      </c>
      <c r="B557" s="33">
        <f t="shared" ref="B557:B620" si="19">B556+1</f>
        <v>29</v>
      </c>
      <c r="C557" s="294">
        <f>VLOOKUP($B557,'Mother mortality'!$A$23:$I$124,5)</f>
        <v>3.077E-4</v>
      </c>
      <c r="D557" s="295">
        <f t="shared" si="1"/>
        <v>0.27</v>
      </c>
      <c r="E557" s="295">
        <f t="shared" si="9"/>
        <v>0.72969229999999996</v>
      </c>
      <c r="F557" s="295">
        <f>VLOOKUP($B557,'Mother mortality'!$A$23:$I$124,5)</f>
        <v>3.077E-4</v>
      </c>
      <c r="G557" s="295">
        <f t="shared" si="2"/>
        <v>0.14000000000000001</v>
      </c>
      <c r="H557" s="295">
        <f t="shared" si="10"/>
        <v>0.85969229999999996</v>
      </c>
      <c r="I557" s="295">
        <f>VLOOKUP($B557,'Mother mortality'!$A$23:$I$124,4)</f>
        <v>3.077E-4</v>
      </c>
      <c r="J557" s="295">
        <f t="shared" si="11"/>
        <v>0.28969230000000001</v>
      </c>
      <c r="K557" s="295">
        <f t="shared" si="3"/>
        <v>0.71</v>
      </c>
      <c r="L557" s="295">
        <f>VLOOKUP($B557,'Mother mortality'!$A$23:$I$124,4)</f>
        <v>3.077E-4</v>
      </c>
      <c r="M557" s="295">
        <f t="shared" si="4"/>
        <v>8.6261668788331098E-3</v>
      </c>
      <c r="N557" s="295">
        <f t="shared" si="12"/>
        <v>0.99106613312116687</v>
      </c>
      <c r="O557" s="294"/>
      <c r="P557" s="296">
        <f t="shared" ref="P557:P620" si="20">(P556*E557)+(Q556*H557)+(R556*J557)+(S556*M557)</f>
        <v>741.43640945476398</v>
      </c>
      <c r="Q557" s="297">
        <f t="shared" ref="Q557:Q620" si="21">P556*D557</f>
        <v>232.69182381718946</v>
      </c>
      <c r="R557" s="297">
        <f t="shared" ref="R557:R620" si="22">Q556*G557</f>
        <v>17.842173992161833</v>
      </c>
      <c r="S557" s="297">
        <f t="shared" ref="S557:S620" si="23">(R556*K557)+(S556*N557)</f>
        <v>7.3750169337685598</v>
      </c>
      <c r="T557" s="297">
        <f t="shared" ref="T557:T620" si="24">T556+(P556*C557)+(Q556*F557)+(R556*I557)+(S556*L557)</f>
        <v>0.65457580211626953</v>
      </c>
      <c r="U557" s="294">
        <f t="shared" si="13"/>
        <v>1000</v>
      </c>
      <c r="V557" s="295" t="str">
        <f t="shared" si="5"/>
        <v>OKAY</v>
      </c>
      <c r="W557" s="295"/>
      <c r="X557" s="296">
        <f>SUM($P557:$Q557)-(SUM($P557:$Q557)*(VLOOKUP($B557,Lifetime_morbidity_array!$A$6:$Y$24,4)+VLOOKUP($B557,Lifetime_morbidity_array!$A$6:$Y$24,7)+VLOOKUP($B557,Lifetime_morbidity_array!$A$6:$Y$24,10)+VLOOKUP($B557,Lifetime_morbidity_array!$A$6:$Y$24,13)))</f>
        <v>971.96708520097354</v>
      </c>
      <c r="Y557" s="297">
        <f>SUM($R557:$S557)-(SUM($R557:$S557)*(VLOOKUP($B557,Lifetime_morbidity_array!$A$6:$Y$24,3)+VLOOKUP($B557,Lifetime_morbidity_array!$A$6:$Y$24,6)+VLOOKUP($B557,Lifetime_morbidity_array!$A$6:$Y$24,9)+VLOOKUP($B557,Lifetime_morbidity_array!$A$6:$Y$24,12)))</f>
        <v>25.161245433680307</v>
      </c>
      <c r="Z557" s="297">
        <f>(SUM($P557:$Q557)*VLOOKUP($B557,Lifetime_morbidity_array!$A$6:$Y$24,4))+(SUM($R557:$S557)*VLOOKUP($B557,Lifetime_morbidity_array!$A$6:$Y$24,3))</f>
        <v>1.0007966660924752</v>
      </c>
      <c r="AA557" s="297">
        <f>(SUM($P557:$Q557)*VLOOKUP($B557,Lifetime_morbidity_array!$A$6:$Y$24,7))+(SUM($R557:$S557)*VLOOKUP($B557,Lifetime_morbidity_array!$A$6:$Y$24,6))</f>
        <v>0.1960599641575595</v>
      </c>
      <c r="AB557" s="297">
        <f>(SUM($P557:$Q557)*VLOOKUP($B557,Lifetime_morbidity_array!$A$6:$Y$24,10))+(SUM($R557:$S557)*VLOOKUP($B557,Lifetime_morbidity_array!$A$6:$Y$24,9))</f>
        <v>2.0017825278344403E-2</v>
      </c>
      <c r="AC557" s="297">
        <f>(SUM($P557:$Q557)*VLOOKUP($B557,Lifetime_morbidity_array!$A$6:$Y$24,13))+(SUM($R557:$S557)*VLOOKUP($B557,Lifetime_morbidity_array!$A$6:$Y$24,12))</f>
        <v>1.0002191077015623</v>
      </c>
      <c r="AD557" s="294"/>
      <c r="AE557" s="294">
        <f t="shared" ref="AE557:AE620" si="25">B557</f>
        <v>29</v>
      </c>
      <c r="AF557" s="297">
        <f t="shared" ref="AF557:AF588" si="26">(SUM(P557:S557))/((1+Discount_rate_QALYs)^$A557)</f>
        <v>932.89964685092662</v>
      </c>
      <c r="AG557" s="297">
        <f t="shared" ref="AG557:AG620" si="27">AF557+AG556</f>
        <v>2606.7684711619959</v>
      </c>
      <c r="AH557" s="294"/>
      <c r="AI557" s="294">
        <f t="shared" ref="AI557:AI620" si="28">B557</f>
        <v>29</v>
      </c>
      <c r="AJ557" s="295">
        <f>((VLOOKUP($B557,'Mahawesran Tariff'!$A$21:$M$120,7)*$X557)+(VLOOKUP($B557,'Mahawesran Tariff'!$A$21:$M$120,6)*$Y557)+(DET_UTIL_chd*$Z557)+(DET_UTIL_copd*$AA557)+(DET_UTIL_lc*$AB557)+(DET_UTIL_stroke*$AC557))/((1+Discount_rate_QALYs)^$A557)</f>
        <v>905.1194419304951</v>
      </c>
      <c r="AK557" s="295">
        <f t="shared" ref="AK557:AK620" si="29">AJ557+AK556</f>
        <v>2526.1908163516082</v>
      </c>
      <c r="AL557" s="294"/>
      <c r="AM557" s="294">
        <f t="shared" si="14"/>
        <v>29</v>
      </c>
      <c r="AN557" s="299">
        <f t="shared" si="15"/>
        <v>22335.558067308935</v>
      </c>
      <c r="AO557" s="299">
        <f t="shared" ref="AO557:AO620" si="30">AN557+AO556</f>
        <v>3145591.9119064766</v>
      </c>
      <c r="AP557" s="294"/>
      <c r="AQ557" s="294">
        <f t="shared" si="16"/>
        <v>29</v>
      </c>
      <c r="AR557" s="298">
        <f t="shared" si="6"/>
        <v>0.99934542419788375</v>
      </c>
      <c r="AS557" s="298">
        <f t="shared" si="7"/>
        <v>6.5457580211626958E-4</v>
      </c>
      <c r="AT557" s="298">
        <f t="shared" si="8"/>
        <v>2.2170935632299417E-3</v>
      </c>
      <c r="AU557" s="250"/>
      <c r="AV557" s="294">
        <f t="shared" si="17"/>
        <v>29</v>
      </c>
      <c r="AW557" s="299">
        <f t="shared" si="18"/>
        <v>22335.558067308935</v>
      </c>
      <c r="AX557" s="299">
        <f t="shared" ref="AX557:AX620" si="31">AW557+AX556</f>
        <v>3145591.9119064766</v>
      </c>
      <c r="AY557" s="335"/>
      <c r="AZ557" s="335"/>
      <c r="BA557" s="335"/>
      <c r="BB557" s="335"/>
      <c r="BC557" s="335"/>
      <c r="BD557" s="335"/>
      <c r="BE557" s="335"/>
      <c r="BF557" s="335"/>
      <c r="BG557" s="335"/>
      <c r="BH557" s="335"/>
      <c r="BI557" s="335"/>
      <c r="BJ557" s="335"/>
      <c r="BK557" s="364"/>
      <c r="BL557" s="364"/>
      <c r="BM557" s="364"/>
      <c r="BN557" s="364"/>
      <c r="BO557" s="364"/>
      <c r="BP557" s="364"/>
      <c r="BQ557" s="335"/>
      <c r="BR557" s="335"/>
      <c r="BS557" s="364"/>
      <c r="BT557" s="364"/>
      <c r="BU557" s="364"/>
      <c r="BV557" s="364"/>
      <c r="BW557" s="364"/>
      <c r="BX557" s="364"/>
      <c r="BY557" s="335"/>
      <c r="BZ557" s="335"/>
      <c r="CA557" s="364"/>
      <c r="CB557" s="364"/>
      <c r="CC557" s="335"/>
      <c r="CD557" s="335"/>
      <c r="CE557" s="335"/>
      <c r="CF557" s="335"/>
      <c r="CG557" s="335"/>
      <c r="CH557" s="335"/>
      <c r="CI557" s="365"/>
      <c r="CJ557" s="365"/>
      <c r="CK557" s="335"/>
      <c r="CL557" s="335"/>
      <c r="CM557" s="366"/>
      <c r="CN557" s="366"/>
      <c r="CO557" s="366"/>
      <c r="CP557" s="3"/>
    </row>
    <row r="558" spans="1:94" x14ac:dyDescent="0.25">
      <c r="A558" s="34">
        <v>3</v>
      </c>
      <c r="B558" s="33">
        <f t="shared" si="19"/>
        <v>30</v>
      </c>
      <c r="C558" s="294">
        <f>VLOOKUP($B558,'Mother mortality'!$A$23:$I$124,5)</f>
        <v>3.3479999999999995E-4</v>
      </c>
      <c r="D558" s="295">
        <f t="shared" si="1"/>
        <v>0.27</v>
      </c>
      <c r="E558" s="295">
        <f t="shared" si="9"/>
        <v>0.72966520000000001</v>
      </c>
      <c r="F558" s="295">
        <f>VLOOKUP($B558,'Mother mortality'!$A$23:$I$124,5)</f>
        <v>3.3479999999999995E-4</v>
      </c>
      <c r="G558" s="295">
        <f t="shared" si="2"/>
        <v>0.14000000000000001</v>
      </c>
      <c r="H558" s="295">
        <f t="shared" si="10"/>
        <v>0.85966520000000002</v>
      </c>
      <c r="I558" s="295">
        <f>VLOOKUP($B558,'Mother mortality'!$A$23:$I$124,4)</f>
        <v>3.3479999999999995E-4</v>
      </c>
      <c r="J558" s="295">
        <f t="shared" si="11"/>
        <v>0.42823662857142863</v>
      </c>
      <c r="K558" s="295">
        <f t="shared" si="3"/>
        <v>0.5714285714285714</v>
      </c>
      <c r="L558" s="295">
        <f>VLOOKUP($B558,'Mother mortality'!$A$23:$I$124,4)</f>
        <v>3.3479999999999995E-4</v>
      </c>
      <c r="M558" s="295">
        <f t="shared" si="4"/>
        <v>8.6261668788331098E-3</v>
      </c>
      <c r="N558" s="295">
        <f t="shared" si="12"/>
        <v>0.99103903312116692</v>
      </c>
      <c r="O558" s="294"/>
      <c r="P558" s="296">
        <f t="shared" si="20"/>
        <v>748.7416998158543</v>
      </c>
      <c r="Q558" s="297">
        <f t="shared" si="21"/>
        <v>200.18783055278629</v>
      </c>
      <c r="R558" s="297">
        <f t="shared" si="22"/>
        <v>32.576855334406524</v>
      </c>
      <c r="S558" s="297">
        <f t="shared" si="23"/>
        <v>17.504457646815275</v>
      </c>
      <c r="T558" s="297">
        <f t="shared" si="24"/>
        <v>0.98915665013772103</v>
      </c>
      <c r="U558" s="294">
        <f t="shared" si="13"/>
        <v>1000.0000000000001</v>
      </c>
      <c r="V558" s="295" t="str">
        <f t="shared" si="5"/>
        <v>OKAY</v>
      </c>
      <c r="W558" s="295"/>
      <c r="X558" s="296">
        <f>SUM($P558:$Q558)-(SUM($P558:$Q558)*(VLOOKUP($B558,Lifetime_morbidity_array!$A$6:$Y$24,4)+VLOOKUP($B558,Lifetime_morbidity_array!$A$6:$Y$24,7)+VLOOKUP($B558,Lifetime_morbidity_array!$A$6:$Y$24,10)+VLOOKUP($B558,Lifetime_morbidity_array!$A$6:$Y$24,13)))</f>
        <v>946.66759852448729</v>
      </c>
      <c r="Y558" s="297">
        <f>SUM($R558:$S558)-(SUM($R558:$S558)*(VLOOKUP($B558,Lifetime_morbidity_array!$A$6:$Y$24,3)+VLOOKUP($B558,Lifetime_morbidity_array!$A$6:$Y$24,6)+VLOOKUP($B558,Lifetime_morbidity_array!$A$6:$Y$24,9)+VLOOKUP($B558,Lifetime_morbidity_array!$A$6:$Y$24,12)))</f>
        <v>49.961935816739178</v>
      </c>
      <c r="Z558" s="297">
        <f>(SUM($P558:$Q558)*VLOOKUP($B558,Lifetime_morbidity_array!$A$6:$Y$24,4))+(SUM($R558:$S558)*VLOOKUP($B558,Lifetime_morbidity_array!$A$6:$Y$24,3))</f>
        <v>0.99563679333275557</v>
      </c>
      <c r="AA558" s="297">
        <f>(SUM($P558:$Q558)*VLOOKUP($B558,Lifetime_morbidity_array!$A$6:$Y$24,7))+(SUM($R558:$S558)*VLOOKUP($B558,Lifetime_morbidity_array!$A$6:$Y$24,6))</f>
        <v>0.36498620090509504</v>
      </c>
      <c r="AB558" s="297">
        <f>(SUM($P558:$Q558)*VLOOKUP($B558,Lifetime_morbidity_array!$A$6:$Y$24,10))+(SUM($R558:$S558)*VLOOKUP($B558,Lifetime_morbidity_array!$A$6:$Y$24,9))</f>
        <v>1.9972762485678249E-2</v>
      </c>
      <c r="AC558" s="297">
        <f>(SUM($P558:$Q558)*VLOOKUP($B558,Lifetime_morbidity_array!$A$6:$Y$24,13))+(SUM($R558:$S558)*VLOOKUP($B558,Lifetime_morbidity_array!$A$6:$Y$24,12))</f>
        <v>1.0007132519124469</v>
      </c>
      <c r="AD558" s="294"/>
      <c r="AE558" s="294">
        <f t="shared" si="25"/>
        <v>30</v>
      </c>
      <c r="AF558" s="297">
        <f t="shared" si="26"/>
        <v>901.05054304266775</v>
      </c>
      <c r="AG558" s="297">
        <f t="shared" si="27"/>
        <v>3507.8190142046637</v>
      </c>
      <c r="AH558" s="294"/>
      <c r="AI558" s="294">
        <f t="shared" si="28"/>
        <v>30</v>
      </c>
      <c r="AJ558" s="295">
        <f>((VLOOKUP($B558,'Mahawesran Tariff'!$A$21:$M$120,7)*$X558)+(VLOOKUP($B558,'Mahawesran Tariff'!$A$21:$M$120,6)*$Y558)+(DET_UTIL_chd*$Z558)+(DET_UTIL_copd*$AA558)+(DET_UTIL_lc*$AB558)+(DET_UTIL_stroke*$AC558))/((1+Discount_rate_QALYs)^$A558)</f>
        <v>874.5556255360508</v>
      </c>
      <c r="AK558" s="295">
        <f t="shared" si="29"/>
        <v>3400.7464418876589</v>
      </c>
      <c r="AL558" s="294"/>
      <c r="AM558" s="294">
        <f t="shared" si="14"/>
        <v>30</v>
      </c>
      <c r="AN558" s="299">
        <f t="shared" si="15"/>
        <v>21709.526889600784</v>
      </c>
      <c r="AO558" s="299">
        <f t="shared" si="30"/>
        <v>3167301.4387960774</v>
      </c>
      <c r="AP558" s="294"/>
      <c r="AQ558" s="294">
        <f t="shared" si="16"/>
        <v>30</v>
      </c>
      <c r="AR558" s="298">
        <f t="shared" si="6"/>
        <v>0.99901084334986234</v>
      </c>
      <c r="AS558" s="298">
        <f t="shared" si="7"/>
        <v>9.8915665013772094E-4</v>
      </c>
      <c r="AT558" s="298">
        <f t="shared" si="8"/>
        <v>2.3813090086359755E-3</v>
      </c>
      <c r="AU558" s="250"/>
      <c r="AV558" s="294">
        <f t="shared" si="17"/>
        <v>30</v>
      </c>
      <c r="AW558" s="299">
        <f t="shared" si="18"/>
        <v>21709.526889600784</v>
      </c>
      <c r="AX558" s="299">
        <f t="shared" si="31"/>
        <v>3167301.4387960774</v>
      </c>
      <c r="AY558" s="335"/>
      <c r="AZ558" s="335"/>
      <c r="BA558" s="335"/>
      <c r="BB558" s="335"/>
      <c r="BC558" s="335"/>
      <c r="BD558" s="335"/>
      <c r="BE558" s="335"/>
      <c r="BF558" s="335"/>
      <c r="BG558" s="335"/>
      <c r="BH558" s="335"/>
      <c r="BI558" s="335"/>
      <c r="BJ558" s="335"/>
      <c r="BK558" s="364"/>
      <c r="BL558" s="364"/>
      <c r="BM558" s="364"/>
      <c r="BN558" s="364"/>
      <c r="BO558" s="364"/>
      <c r="BP558" s="364"/>
      <c r="BQ558" s="335"/>
      <c r="BR558" s="335"/>
      <c r="BS558" s="364"/>
      <c r="BT558" s="364"/>
      <c r="BU558" s="364"/>
      <c r="BV558" s="364"/>
      <c r="BW558" s="364"/>
      <c r="BX558" s="364"/>
      <c r="BY558" s="335"/>
      <c r="BZ558" s="335"/>
      <c r="CA558" s="364"/>
      <c r="CB558" s="364"/>
      <c r="CC558" s="335"/>
      <c r="CD558" s="335"/>
      <c r="CE558" s="335"/>
      <c r="CF558" s="335"/>
      <c r="CG558" s="335"/>
      <c r="CH558" s="335"/>
      <c r="CI558" s="365"/>
      <c r="CJ558" s="365"/>
      <c r="CK558" s="335"/>
      <c r="CL558" s="335"/>
      <c r="CM558" s="366"/>
      <c r="CN558" s="366"/>
      <c r="CO558" s="366"/>
      <c r="CP558" s="3"/>
    </row>
    <row r="559" spans="1:94" x14ac:dyDescent="0.25">
      <c r="A559" s="34">
        <v>4</v>
      </c>
      <c r="B559" s="33">
        <f t="shared" si="19"/>
        <v>31</v>
      </c>
      <c r="C559" s="294">
        <f>VLOOKUP($B559,'Mother mortality'!$A$23:$I$124,5)</f>
        <v>3.6479999999999998E-4</v>
      </c>
      <c r="D559" s="295">
        <f t="shared" si="1"/>
        <v>0.27</v>
      </c>
      <c r="E559" s="295">
        <f t="shared" si="9"/>
        <v>0.72963519999999993</v>
      </c>
      <c r="F559" s="295">
        <f>VLOOKUP($B559,'Mother mortality'!$A$23:$I$124,5)</f>
        <v>3.6479999999999998E-4</v>
      </c>
      <c r="G559" s="295">
        <f t="shared" si="2"/>
        <v>0.14000000000000001</v>
      </c>
      <c r="H559" s="295">
        <f t="shared" si="10"/>
        <v>0.85963519999999993</v>
      </c>
      <c r="I559" s="295">
        <f>VLOOKUP($B559,'Mother mortality'!$A$23:$I$124,4)</f>
        <v>3.6479999999999998E-4</v>
      </c>
      <c r="J559" s="295">
        <f t="shared" si="11"/>
        <v>0.42820662857142855</v>
      </c>
      <c r="K559" s="295">
        <f t="shared" si="3"/>
        <v>0.5714285714285714</v>
      </c>
      <c r="L559" s="295">
        <f>VLOOKUP($B559,'Mother mortality'!$A$23:$I$124,4)</f>
        <v>3.6479999999999998E-4</v>
      </c>
      <c r="M559" s="295">
        <f t="shared" si="4"/>
        <v>8.6261668788331098E-3</v>
      </c>
      <c r="N559" s="295">
        <f t="shared" si="12"/>
        <v>0.99100903312116684</v>
      </c>
      <c r="O559" s="294"/>
      <c r="P559" s="296">
        <f t="shared" si="20"/>
        <v>732.49742741328157</v>
      </c>
      <c r="Q559" s="297">
        <f t="shared" si="21"/>
        <v>202.16025895028068</v>
      </c>
      <c r="R559" s="297">
        <f t="shared" si="22"/>
        <v>28.026296277390085</v>
      </c>
      <c r="S559" s="297">
        <f t="shared" si="23"/>
        <v>35.962421553255979</v>
      </c>
      <c r="T559" s="297">
        <f t="shared" si="24"/>
        <v>1.353595805791751</v>
      </c>
      <c r="U559" s="294">
        <f t="shared" si="13"/>
        <v>1000.0000000000001</v>
      </c>
      <c r="V559" s="295" t="str">
        <f t="shared" si="5"/>
        <v>OKAY</v>
      </c>
      <c r="W559" s="295"/>
      <c r="X559" s="296">
        <f>SUM($P559:$Q559)-(SUM($P559:$Q559)*(VLOOKUP($B559,Lifetime_morbidity_array!$A$6:$Y$24,4)+VLOOKUP($B559,Lifetime_morbidity_array!$A$6:$Y$24,7)+VLOOKUP($B559,Lifetime_morbidity_array!$A$6:$Y$24,10)+VLOOKUP($B559,Lifetime_morbidity_array!$A$6:$Y$24,13)))</f>
        <v>932.42977384054575</v>
      </c>
      <c r="Y559" s="297">
        <f>SUM($R559:$S559)-(SUM($R559:$S559)*(VLOOKUP($B559,Lifetime_morbidity_array!$A$6:$Y$24,3)+VLOOKUP($B559,Lifetime_morbidity_array!$A$6:$Y$24,6)+VLOOKUP($B559,Lifetime_morbidity_array!$A$6:$Y$24,9)+VLOOKUP($B559,Lifetime_morbidity_array!$A$6:$Y$24,12)))</f>
        <v>63.836190046552915</v>
      </c>
      <c r="Z559" s="297">
        <f>(SUM($P559:$Q559)*VLOOKUP($B559,Lifetime_morbidity_array!$A$6:$Y$24,4))+(SUM($R559:$S559)*VLOOKUP($B559,Lifetime_morbidity_array!$A$6:$Y$24,3))</f>
        <v>0.99527358503054764</v>
      </c>
      <c r="AA559" s="297">
        <f>(SUM($P559:$Q559)*VLOOKUP($B559,Lifetime_morbidity_array!$A$6:$Y$24,7))+(SUM($R559:$S559)*VLOOKUP($B559,Lifetime_morbidity_array!$A$6:$Y$24,6))</f>
        <v>0.3648530539390048</v>
      </c>
      <c r="AB559" s="297">
        <f>(SUM($P559:$Q559)*VLOOKUP($B559,Lifetime_morbidity_array!$A$6:$Y$24,10))+(SUM($R559:$S559)*VLOOKUP($B559,Lifetime_morbidity_array!$A$6:$Y$24,9))</f>
        <v>1.9965476421923475E-2</v>
      </c>
      <c r="AC559" s="297">
        <f>(SUM($P559:$Q559)*VLOOKUP($B559,Lifetime_morbidity_array!$A$6:$Y$24,13))+(SUM($R559:$S559)*VLOOKUP($B559,Lifetime_morbidity_array!$A$6:$Y$24,12))</f>
        <v>1.0003481917181491</v>
      </c>
      <c r="AD559" s="294"/>
      <c r="AE559" s="294">
        <f t="shared" si="25"/>
        <v>31</v>
      </c>
      <c r="AF559" s="297">
        <f t="shared" si="26"/>
        <v>870.26264715416983</v>
      </c>
      <c r="AG559" s="297">
        <f t="shared" si="27"/>
        <v>4378.081661358834</v>
      </c>
      <c r="AH559" s="294"/>
      <c r="AI559" s="294">
        <f t="shared" si="28"/>
        <v>31</v>
      </c>
      <c r="AJ559" s="295">
        <f>((VLOOKUP($B559,'Mahawesran Tariff'!$A$21:$M$120,7)*$X559)+(VLOOKUP($B559,'Mahawesran Tariff'!$A$21:$M$120,6)*$Y559)+(DET_UTIL_chd*$Z559)+(DET_UTIL_copd*$AA559)+(DET_UTIL_lc*$AB559)+(DET_UTIL_stroke*$AC559))/((1+Discount_rate_QALYs)^$A559)</f>
        <v>844.87464341776285</v>
      </c>
      <c r="AK559" s="295">
        <f t="shared" si="29"/>
        <v>4245.6210853054217</v>
      </c>
      <c r="AL559" s="294"/>
      <c r="AM559" s="294">
        <f t="shared" si="14"/>
        <v>31</v>
      </c>
      <c r="AN559" s="299">
        <f t="shared" si="15"/>
        <v>20967.736477479666</v>
      </c>
      <c r="AO559" s="299">
        <f t="shared" si="30"/>
        <v>3188269.1752735572</v>
      </c>
      <c r="AP559" s="294"/>
      <c r="AQ559" s="294">
        <f t="shared" si="16"/>
        <v>31</v>
      </c>
      <c r="AR559" s="298">
        <f t="shared" si="6"/>
        <v>0.99864640419420836</v>
      </c>
      <c r="AS559" s="298">
        <f t="shared" si="7"/>
        <v>1.353595805791751E-3</v>
      </c>
      <c r="AT559" s="298">
        <f t="shared" si="8"/>
        <v>2.3804403071096248E-3</v>
      </c>
      <c r="AU559" s="250"/>
      <c r="AV559" s="294">
        <f t="shared" si="17"/>
        <v>31</v>
      </c>
      <c r="AW559" s="299">
        <f t="shared" si="18"/>
        <v>20967.736477479666</v>
      </c>
      <c r="AX559" s="299">
        <f t="shared" si="31"/>
        <v>3188269.1752735572</v>
      </c>
      <c r="AY559" s="335"/>
      <c r="AZ559" s="335"/>
      <c r="BA559" s="335"/>
      <c r="BB559" s="335"/>
      <c r="BC559" s="335"/>
      <c r="BD559" s="335"/>
      <c r="BE559" s="335"/>
      <c r="BF559" s="335"/>
      <c r="BG559" s="335"/>
      <c r="BH559" s="335"/>
      <c r="BI559" s="335"/>
      <c r="BJ559" s="335"/>
      <c r="BK559" s="364"/>
      <c r="BL559" s="364"/>
      <c r="BM559" s="364"/>
      <c r="BN559" s="364"/>
      <c r="BO559" s="364"/>
      <c r="BP559" s="364"/>
      <c r="BQ559" s="335"/>
      <c r="BR559" s="335"/>
      <c r="BS559" s="364"/>
      <c r="BT559" s="364"/>
      <c r="BU559" s="364"/>
      <c r="BV559" s="364"/>
      <c r="BW559" s="364"/>
      <c r="BX559" s="364"/>
      <c r="BY559" s="335"/>
      <c r="BZ559" s="335"/>
      <c r="CA559" s="364"/>
      <c r="CB559" s="364"/>
      <c r="CC559" s="335"/>
      <c r="CD559" s="335"/>
      <c r="CE559" s="335"/>
      <c r="CF559" s="335"/>
      <c r="CG559" s="335"/>
      <c r="CH559" s="335"/>
      <c r="CI559" s="365"/>
      <c r="CJ559" s="365"/>
      <c r="CK559" s="335"/>
      <c r="CL559" s="335"/>
      <c r="CM559" s="366"/>
      <c r="CN559" s="366"/>
      <c r="CO559" s="366"/>
      <c r="CP559" s="3"/>
    </row>
    <row r="560" spans="1:94" x14ac:dyDescent="0.25">
      <c r="A560" s="34">
        <v>5</v>
      </c>
      <c r="B560" s="33">
        <f t="shared" si="19"/>
        <v>32</v>
      </c>
      <c r="C560" s="294">
        <f>VLOOKUP($B560,'Mother mortality'!$A$23:$I$124,5)</f>
        <v>3.9549999999999996E-4</v>
      </c>
      <c r="D560" s="295">
        <f t="shared" si="1"/>
        <v>0.27</v>
      </c>
      <c r="E560" s="295">
        <f t="shared" si="9"/>
        <v>0.72960449999999999</v>
      </c>
      <c r="F560" s="295">
        <f>VLOOKUP($B560,'Mother mortality'!$A$23:$I$124,5)</f>
        <v>3.9549999999999996E-4</v>
      </c>
      <c r="G560" s="295">
        <f t="shared" si="2"/>
        <v>0.14000000000000001</v>
      </c>
      <c r="H560" s="295">
        <f t="shared" si="10"/>
        <v>0.85960449999999999</v>
      </c>
      <c r="I560" s="295">
        <f>VLOOKUP($B560,'Mother mortality'!$A$23:$I$124,4)</f>
        <v>3.9549999999999996E-4</v>
      </c>
      <c r="J560" s="295">
        <f t="shared" si="11"/>
        <v>0.42817592857142861</v>
      </c>
      <c r="K560" s="295">
        <f t="shared" si="3"/>
        <v>0.5714285714285714</v>
      </c>
      <c r="L560" s="295">
        <f>VLOOKUP($B560,'Mother mortality'!$A$23:$I$124,4)</f>
        <v>3.9549999999999996E-4</v>
      </c>
      <c r="M560" s="295">
        <f t="shared" si="4"/>
        <v>8.6261668788331098E-3</v>
      </c>
      <c r="N560" s="295">
        <f t="shared" si="12"/>
        <v>0.9909783331211669</v>
      </c>
      <c r="O560" s="294"/>
      <c r="P560" s="296">
        <f t="shared" si="20"/>
        <v>720.52169087665504</v>
      </c>
      <c r="Q560" s="297">
        <f t="shared" si="21"/>
        <v>197.77430540158605</v>
      </c>
      <c r="R560" s="297">
        <f t="shared" si="22"/>
        <v>28.302436253039296</v>
      </c>
      <c r="S560" s="297">
        <f t="shared" si="23"/>
        <v>51.653007010069238</v>
      </c>
      <c r="T560" s="297">
        <f t="shared" si="24"/>
        <v>1.7485604586505603</v>
      </c>
      <c r="U560" s="294">
        <f t="shared" si="13"/>
        <v>1000.0000000000002</v>
      </c>
      <c r="V560" s="295" t="str">
        <f t="shared" si="5"/>
        <v>OKAY</v>
      </c>
      <c r="W560" s="295"/>
      <c r="X560" s="296">
        <f>SUM($P560:$Q560)-(SUM($P560:$Q560)*(VLOOKUP($B560,Lifetime_morbidity_array!$A$6:$Y$24,4)+VLOOKUP($B560,Lifetime_morbidity_array!$A$6:$Y$24,7)+VLOOKUP($B560,Lifetime_morbidity_array!$A$6:$Y$24,10)+VLOOKUP($B560,Lifetime_morbidity_array!$A$6:$Y$24,13)))</f>
        <v>916.10708457313967</v>
      </c>
      <c r="Y560" s="297">
        <f>SUM($R560:$S560)-(SUM($R560:$S560)*(VLOOKUP($B560,Lifetime_morbidity_array!$A$6:$Y$24,3)+VLOOKUP($B560,Lifetime_morbidity_array!$A$6:$Y$24,6)+VLOOKUP($B560,Lifetime_morbidity_array!$A$6:$Y$24,9)+VLOOKUP($B560,Lifetime_morbidity_array!$A$6:$Y$24,12)))</f>
        <v>79.764856125241764</v>
      </c>
      <c r="Z560" s="297">
        <f>(SUM($P560:$Q560)*VLOOKUP($B560,Lifetime_morbidity_array!$A$6:$Y$24,4))+(SUM($R560:$S560)*VLOOKUP($B560,Lifetime_morbidity_array!$A$6:$Y$24,3))</f>
        <v>0.99487995432766818</v>
      </c>
      <c r="AA560" s="297">
        <f>(SUM($P560:$Q560)*VLOOKUP($B560,Lifetime_morbidity_array!$A$6:$Y$24,7))+(SUM($R560:$S560)*VLOOKUP($B560,Lifetime_morbidity_array!$A$6:$Y$24,6))</f>
        <v>0.36470875455617202</v>
      </c>
      <c r="AB560" s="297">
        <f>(SUM($P560:$Q560)*VLOOKUP($B560,Lifetime_morbidity_array!$A$6:$Y$24,10))+(SUM($R560:$S560)*VLOOKUP($B560,Lifetime_morbidity_array!$A$6:$Y$24,9))</f>
        <v>1.9957580075998606E-2</v>
      </c>
      <c r="AC560" s="297">
        <f>(SUM($P560:$Q560)*VLOOKUP($B560,Lifetime_morbidity_array!$A$6:$Y$24,13))+(SUM($R560:$S560)*VLOOKUP($B560,Lifetime_morbidity_array!$A$6:$Y$24,12))</f>
        <v>0.99995255400832472</v>
      </c>
      <c r="AD560" s="294"/>
      <c r="AE560" s="294">
        <f t="shared" si="25"/>
        <v>32</v>
      </c>
      <c r="AF560" s="297">
        <f t="shared" si="26"/>
        <v>840.50092587171071</v>
      </c>
      <c r="AG560" s="297">
        <f t="shared" si="27"/>
        <v>5218.582587230545</v>
      </c>
      <c r="AH560" s="294"/>
      <c r="AI560" s="294">
        <f t="shared" si="28"/>
        <v>32</v>
      </c>
      <c r="AJ560" s="295">
        <f>((VLOOKUP($B560,'Mahawesran Tariff'!$A$21:$M$120,7)*$X560)+(VLOOKUP($B560,'Mahawesran Tariff'!$A$21:$M$120,6)*$Y560)+(DET_UTIL_chd*$Z560)+(DET_UTIL_copd*$AA560)+(DET_UTIL_lc*$AB560)+(DET_UTIL_stroke*$AC560))/((1+Discount_rate_QALYs)^$A560)</f>
        <v>816.2048536354647</v>
      </c>
      <c r="AK560" s="295">
        <f t="shared" si="29"/>
        <v>5061.8259389408868</v>
      </c>
      <c r="AL560" s="294"/>
      <c r="AM560" s="294">
        <f t="shared" si="14"/>
        <v>32</v>
      </c>
      <c r="AN560" s="299">
        <f t="shared" si="15"/>
        <v>20250.670277973746</v>
      </c>
      <c r="AO560" s="299">
        <f t="shared" si="30"/>
        <v>3208519.8455515308</v>
      </c>
      <c r="AP560" s="294"/>
      <c r="AQ560" s="294">
        <f t="shared" si="16"/>
        <v>32</v>
      </c>
      <c r="AR560" s="298">
        <f t="shared" si="6"/>
        <v>0.99825143954134965</v>
      </c>
      <c r="AS560" s="298">
        <f t="shared" si="7"/>
        <v>1.7485604586505604E-3</v>
      </c>
      <c r="AT560" s="298">
        <f t="shared" si="8"/>
        <v>2.3794988429681634E-3</v>
      </c>
      <c r="AU560" s="250"/>
      <c r="AV560" s="294">
        <f t="shared" si="17"/>
        <v>32</v>
      </c>
      <c r="AW560" s="299">
        <f t="shared" si="18"/>
        <v>20250.670277973746</v>
      </c>
      <c r="AX560" s="299">
        <f t="shared" si="31"/>
        <v>3208519.8455515308</v>
      </c>
      <c r="AY560" s="335"/>
      <c r="AZ560" s="335"/>
      <c r="BA560" s="335"/>
      <c r="BB560" s="335"/>
      <c r="BC560" s="335"/>
      <c r="BD560" s="335"/>
      <c r="BE560" s="335"/>
      <c r="BF560" s="335"/>
      <c r="BG560" s="335"/>
      <c r="BH560" s="335"/>
      <c r="BI560" s="335"/>
      <c r="BJ560" s="335"/>
      <c r="BK560" s="364"/>
      <c r="BL560" s="364"/>
      <c r="BM560" s="364"/>
      <c r="BN560" s="364"/>
      <c r="BO560" s="364"/>
      <c r="BP560" s="364"/>
      <c r="BQ560" s="335"/>
      <c r="BR560" s="335"/>
      <c r="BS560" s="364"/>
      <c r="BT560" s="364"/>
      <c r="BU560" s="364"/>
      <c r="BV560" s="364"/>
      <c r="BW560" s="364"/>
      <c r="BX560" s="364"/>
      <c r="BY560" s="335"/>
      <c r="BZ560" s="335"/>
      <c r="CA560" s="364"/>
      <c r="CB560" s="364"/>
      <c r="CC560" s="335"/>
      <c r="CD560" s="335"/>
      <c r="CE560" s="335"/>
      <c r="CF560" s="335"/>
      <c r="CG560" s="335"/>
      <c r="CH560" s="335"/>
      <c r="CI560" s="365"/>
      <c r="CJ560" s="365"/>
      <c r="CK560" s="335"/>
      <c r="CL560" s="335"/>
      <c r="CM560" s="366"/>
      <c r="CN560" s="366"/>
      <c r="CO560" s="366"/>
      <c r="CP560" s="3"/>
    </row>
    <row r="561" spans="1:94" x14ac:dyDescent="0.25">
      <c r="A561" s="34">
        <v>6</v>
      </c>
      <c r="B561" s="33">
        <f t="shared" si="19"/>
        <v>33</v>
      </c>
      <c r="C561" s="294">
        <f>VLOOKUP($B561,'Mother mortality'!$A$23:$I$124,5)</f>
        <v>4.2680000000000002E-4</v>
      </c>
      <c r="D561" s="295">
        <f t="shared" si="1"/>
        <v>0.27</v>
      </c>
      <c r="E561" s="295">
        <f t="shared" si="9"/>
        <v>0.72957320000000003</v>
      </c>
      <c r="F561" s="295">
        <f>VLOOKUP($B561,'Mother mortality'!$A$23:$I$124,5)</f>
        <v>4.2680000000000002E-4</v>
      </c>
      <c r="G561" s="295">
        <f t="shared" si="2"/>
        <v>0.14000000000000001</v>
      </c>
      <c r="H561" s="295">
        <f t="shared" si="10"/>
        <v>0.85957320000000004</v>
      </c>
      <c r="I561" s="295">
        <f>VLOOKUP($B561,'Mother mortality'!$A$23:$I$124,4)</f>
        <v>4.2680000000000002E-4</v>
      </c>
      <c r="J561" s="295">
        <f t="shared" si="11"/>
        <v>0.42814462857142865</v>
      </c>
      <c r="K561" s="295">
        <f t="shared" si="3"/>
        <v>0.5714285714285714</v>
      </c>
      <c r="L561" s="295">
        <f>VLOOKUP($B561,'Mother mortality'!$A$23:$I$124,4)</f>
        <v>4.2680000000000002E-4</v>
      </c>
      <c r="M561" s="295">
        <f t="shared" si="4"/>
        <v>8.6261668788331098E-3</v>
      </c>
      <c r="N561" s="295">
        <f t="shared" si="12"/>
        <v>0.99094703312116694</v>
      </c>
      <c r="O561" s="294"/>
      <c r="P561" s="296">
        <f t="shared" si="20"/>
        <v>708.23791176959708</v>
      </c>
      <c r="Q561" s="297">
        <f t="shared" si="21"/>
        <v>194.54085653669688</v>
      </c>
      <c r="R561" s="297">
        <f t="shared" si="22"/>
        <v>27.68840275622205</v>
      </c>
      <c r="S561" s="297">
        <f t="shared" si="23"/>
        <v>67.358214764437406</v>
      </c>
      <c r="T561" s="297">
        <f t="shared" si="24"/>
        <v>2.174614173046808</v>
      </c>
      <c r="U561" s="294">
        <f t="shared" si="13"/>
        <v>1000.0000000000003</v>
      </c>
      <c r="V561" s="295" t="str">
        <f t="shared" si="5"/>
        <v>OKAY</v>
      </c>
      <c r="W561" s="295"/>
      <c r="X561" s="296">
        <f>SUM($P561:$Q561)-(SUM($P561:$Q561)*(VLOOKUP($B561,Lifetime_morbidity_array!$A$6:$Y$24,4)+VLOOKUP($B561,Lifetime_morbidity_array!$A$6:$Y$24,7)+VLOOKUP($B561,Lifetime_morbidity_array!$A$6:$Y$24,10)+VLOOKUP($B561,Lifetime_morbidity_array!$A$6:$Y$24,13)))</f>
        <v>900.62684450278005</v>
      </c>
      <c r="Y561" s="297">
        <f>SUM($R561:$S561)-(SUM($R561:$S561)*(VLOOKUP($B561,Lifetime_morbidity_array!$A$6:$Y$24,3)+VLOOKUP($B561,Lifetime_morbidity_array!$A$6:$Y$24,6)+VLOOKUP($B561,Lifetime_morbidity_array!$A$6:$Y$24,9)+VLOOKUP($B561,Lifetime_morbidity_array!$A$6:$Y$24,12)))</f>
        <v>94.820058051311378</v>
      </c>
      <c r="Z561" s="297">
        <f>(SUM($P561:$Q561)*VLOOKUP($B561,Lifetime_morbidity_array!$A$6:$Y$24,4))+(SUM($R561:$S561)*VLOOKUP($B561,Lifetime_morbidity_array!$A$6:$Y$24,3))</f>
        <v>0.99445533956316123</v>
      </c>
      <c r="AA561" s="297">
        <f>(SUM($P561:$Q561)*VLOOKUP($B561,Lifetime_morbidity_array!$A$6:$Y$24,7))+(SUM($R561:$S561)*VLOOKUP($B561,Lifetime_morbidity_array!$A$6:$Y$24,6))</f>
        <v>0.36455309685972748</v>
      </c>
      <c r="AB561" s="297">
        <f>(SUM($P561:$Q561)*VLOOKUP($B561,Lifetime_morbidity_array!$A$6:$Y$24,10))+(SUM($R561:$S561)*VLOOKUP($B561,Lifetime_morbidity_array!$A$6:$Y$24,9))</f>
        <v>1.9949062180822173E-2</v>
      </c>
      <c r="AC561" s="297">
        <f>(SUM($P561:$Q561)*VLOOKUP($B561,Lifetime_morbidity_array!$A$6:$Y$24,13))+(SUM($R561:$S561)*VLOOKUP($B561,Lifetime_morbidity_array!$A$6:$Y$24,12))</f>
        <v>0.99952577425827405</v>
      </c>
      <c r="AD561" s="294"/>
      <c r="AE561" s="294">
        <f t="shared" si="25"/>
        <v>33</v>
      </c>
      <c r="AF561" s="297">
        <f t="shared" si="26"/>
        <v>811.73159427685869</v>
      </c>
      <c r="AG561" s="297">
        <f t="shared" si="27"/>
        <v>6030.3141815074032</v>
      </c>
      <c r="AH561" s="294"/>
      <c r="AI561" s="294">
        <f t="shared" si="28"/>
        <v>33</v>
      </c>
      <c r="AJ561" s="295">
        <f>((VLOOKUP($B561,'Mahawesran Tariff'!$A$21:$M$120,7)*$X561)+(VLOOKUP($B561,'Mahawesran Tariff'!$A$21:$M$120,6)*$Y561)+(DET_UTIL_chd*$Z561)+(DET_UTIL_copd*$AA561)+(DET_UTIL_lc*$AB561)+(DET_UTIL_stroke*$AC561))/((1+Discount_rate_QALYs)^$A561)</f>
        <v>788.47156714029222</v>
      </c>
      <c r="AK561" s="295">
        <f t="shared" si="29"/>
        <v>5850.2975060811787</v>
      </c>
      <c r="AL561" s="294"/>
      <c r="AM561" s="294">
        <f t="shared" si="14"/>
        <v>33</v>
      </c>
      <c r="AN561" s="299">
        <f t="shared" si="15"/>
        <v>19557.51429168996</v>
      </c>
      <c r="AO561" s="299">
        <f t="shared" si="30"/>
        <v>3228077.3598432206</v>
      </c>
      <c r="AP561" s="294"/>
      <c r="AQ561" s="294">
        <f t="shared" si="16"/>
        <v>33</v>
      </c>
      <c r="AR561" s="298">
        <f t="shared" si="6"/>
        <v>0.99782538582695346</v>
      </c>
      <c r="AS561" s="298">
        <f t="shared" si="7"/>
        <v>2.1746141730468078E-3</v>
      </c>
      <c r="AT561" s="298">
        <f t="shared" si="8"/>
        <v>2.378483272861985E-3</v>
      </c>
      <c r="AU561" s="250"/>
      <c r="AV561" s="294">
        <f t="shared" si="17"/>
        <v>33</v>
      </c>
      <c r="AW561" s="299">
        <f t="shared" si="18"/>
        <v>19557.51429168996</v>
      </c>
      <c r="AX561" s="299">
        <f t="shared" si="31"/>
        <v>3228077.3598432206</v>
      </c>
      <c r="AY561" s="335"/>
      <c r="AZ561" s="335"/>
      <c r="BA561" s="335"/>
      <c r="BB561" s="335"/>
      <c r="BC561" s="335"/>
      <c r="BD561" s="335"/>
      <c r="BE561" s="335"/>
      <c r="BF561" s="335"/>
      <c r="BG561" s="335"/>
      <c r="BH561" s="335"/>
      <c r="BI561" s="335"/>
      <c r="BJ561" s="335"/>
      <c r="BK561" s="364"/>
      <c r="BL561" s="364"/>
      <c r="BM561" s="364"/>
      <c r="BN561" s="364"/>
      <c r="BO561" s="364"/>
      <c r="BP561" s="364"/>
      <c r="BQ561" s="335"/>
      <c r="BR561" s="335"/>
      <c r="BS561" s="364"/>
      <c r="BT561" s="364"/>
      <c r="BU561" s="364"/>
      <c r="BV561" s="364"/>
      <c r="BW561" s="364"/>
      <c r="BX561" s="364"/>
      <c r="BY561" s="335"/>
      <c r="BZ561" s="335"/>
      <c r="CA561" s="364"/>
      <c r="CB561" s="364"/>
      <c r="CC561" s="335"/>
      <c r="CD561" s="335"/>
      <c r="CE561" s="335"/>
      <c r="CF561" s="335"/>
      <c r="CG561" s="335"/>
      <c r="CH561" s="335"/>
      <c r="CI561" s="365"/>
      <c r="CJ561" s="365"/>
      <c r="CK561" s="335"/>
      <c r="CL561" s="335"/>
      <c r="CM561" s="366"/>
      <c r="CN561" s="366"/>
      <c r="CO561" s="366"/>
      <c r="CP561" s="3"/>
    </row>
    <row r="562" spans="1:94" x14ac:dyDescent="0.25">
      <c r="A562" s="34">
        <v>7</v>
      </c>
      <c r="B562" s="33">
        <f t="shared" si="19"/>
        <v>34</v>
      </c>
      <c r="C562" s="294">
        <f>VLOOKUP($B562,'Mother mortality'!$A$23:$I$124,5)</f>
        <v>4.593E-4</v>
      </c>
      <c r="D562" s="295">
        <f t="shared" si="1"/>
        <v>0.27</v>
      </c>
      <c r="E562" s="295">
        <f t="shared" si="9"/>
        <v>0.72954069999999993</v>
      </c>
      <c r="F562" s="295">
        <f>VLOOKUP($B562,'Mother mortality'!$A$23:$I$124,5)</f>
        <v>4.593E-4</v>
      </c>
      <c r="G562" s="295">
        <f t="shared" si="2"/>
        <v>0.14000000000000001</v>
      </c>
      <c r="H562" s="295">
        <f t="shared" si="10"/>
        <v>0.85954069999999994</v>
      </c>
      <c r="I562" s="295">
        <f>VLOOKUP($B562,'Mother mortality'!$A$23:$I$124,4)</f>
        <v>4.593E-4</v>
      </c>
      <c r="J562" s="295">
        <f t="shared" si="11"/>
        <v>0.42811212857142855</v>
      </c>
      <c r="K562" s="295">
        <f t="shared" si="3"/>
        <v>0.5714285714285714</v>
      </c>
      <c r="L562" s="295">
        <f>VLOOKUP($B562,'Mother mortality'!$A$23:$I$124,4)</f>
        <v>4.593E-4</v>
      </c>
      <c r="M562" s="295">
        <f t="shared" si="4"/>
        <v>8.6261668788331098E-3</v>
      </c>
      <c r="N562" s="295">
        <f t="shared" si="12"/>
        <v>0.99091453312116684</v>
      </c>
      <c r="O562" s="294"/>
      <c r="P562" s="296">
        <f t="shared" si="20"/>
        <v>696.33895016700967</v>
      </c>
      <c r="Q562" s="297">
        <f t="shared" si="21"/>
        <v>191.22423617779123</v>
      </c>
      <c r="R562" s="297">
        <f t="shared" si="22"/>
        <v>27.235719915137565</v>
      </c>
      <c r="S562" s="297">
        <f t="shared" si="23"/>
        <v>82.568178367304668</v>
      </c>
      <c r="T562" s="297">
        <f t="shared" si="24"/>
        <v>2.6329153727571279</v>
      </c>
      <c r="U562" s="294">
        <f t="shared" si="13"/>
        <v>1000.0000000000002</v>
      </c>
      <c r="V562" s="295" t="str">
        <f t="shared" si="5"/>
        <v>OKAY</v>
      </c>
      <c r="W562" s="295"/>
      <c r="X562" s="296">
        <f>SUM($P562:$Q562)-(SUM($P562:$Q562)*(VLOOKUP($B562,Lifetime_morbidity_array!$A$6:$Y$24,4)+VLOOKUP($B562,Lifetime_morbidity_array!$A$6:$Y$24,7)+VLOOKUP($B562,Lifetime_morbidity_array!$A$6:$Y$24,10)+VLOOKUP($B562,Lifetime_morbidity_array!$A$6:$Y$24,13)))</f>
        <v>885.44753141928538</v>
      </c>
      <c r="Y562" s="297">
        <f>SUM($R562:$S562)-(SUM($R562:$S562)*(VLOOKUP($B562,Lifetime_morbidity_array!$A$6:$Y$24,3)+VLOOKUP($B562,Lifetime_morbidity_array!$A$6:$Y$24,6)+VLOOKUP($B562,Lifetime_morbidity_array!$A$6:$Y$24,9)+VLOOKUP($B562,Lifetime_morbidity_array!$A$6:$Y$24,12)))</f>
        <v>109.54216237246297</v>
      </c>
      <c r="Z562" s="297">
        <f>(SUM($P562:$Q562)*VLOOKUP($B562,Lifetime_morbidity_array!$A$6:$Y$24,4))+(SUM($R562:$S562)*VLOOKUP($B562,Lifetime_morbidity_array!$A$6:$Y$24,3))</f>
        <v>0.99399858622569992</v>
      </c>
      <c r="AA562" s="297">
        <f>(SUM($P562:$Q562)*VLOOKUP($B562,Lifetime_morbidity_array!$A$6:$Y$24,7))+(SUM($R562:$S562)*VLOOKUP($B562,Lifetime_morbidity_array!$A$6:$Y$24,6))</f>
        <v>0.36438565762233976</v>
      </c>
      <c r="AB562" s="297">
        <f>(SUM($P562:$Q562)*VLOOKUP($B562,Lifetime_morbidity_array!$A$6:$Y$24,10))+(SUM($R562:$S562)*VLOOKUP($B562,Lifetime_morbidity_array!$A$6:$Y$24,9))</f>
        <v>1.993989957656252E-2</v>
      </c>
      <c r="AC562" s="297">
        <f>(SUM($P562:$Q562)*VLOOKUP($B562,Lifetime_morbidity_array!$A$6:$Y$24,13))+(SUM($R562:$S562)*VLOOKUP($B562,Lifetime_morbidity_array!$A$6:$Y$24,12))</f>
        <v>0.99906669207015719</v>
      </c>
      <c r="AD562" s="294"/>
      <c r="AE562" s="294">
        <f t="shared" si="25"/>
        <v>34</v>
      </c>
      <c r="AF562" s="297">
        <f t="shared" si="26"/>
        <v>783.92151300058674</v>
      </c>
      <c r="AG562" s="297">
        <f t="shared" si="27"/>
        <v>6814.23569450799</v>
      </c>
      <c r="AH562" s="294"/>
      <c r="AI562" s="294">
        <f t="shared" si="28"/>
        <v>34</v>
      </c>
      <c r="AJ562" s="295">
        <f>((VLOOKUP($B562,'Mahawesran Tariff'!$A$21:$M$120,7)*$X562)+(VLOOKUP($B562,'Mahawesran Tariff'!$A$21:$M$120,6)*$Y562)+(DET_UTIL_chd*$Z562)+(DET_UTIL_copd*$AA562)+(DET_UTIL_lc*$AB562)+(DET_UTIL_stroke*$AC562))/((1+Discount_rate_QALYs)^$A562)</f>
        <v>761.65165046807908</v>
      </c>
      <c r="AK562" s="295">
        <f t="shared" si="29"/>
        <v>6611.9491565492581</v>
      </c>
      <c r="AL562" s="294"/>
      <c r="AM562" s="294">
        <f t="shared" si="14"/>
        <v>34</v>
      </c>
      <c r="AN562" s="299">
        <f t="shared" si="15"/>
        <v>18887.470072826847</v>
      </c>
      <c r="AO562" s="299">
        <f t="shared" si="30"/>
        <v>3246964.8299160474</v>
      </c>
      <c r="AP562" s="294"/>
      <c r="AQ562" s="294">
        <f t="shared" si="16"/>
        <v>34</v>
      </c>
      <c r="AR562" s="298">
        <f t="shared" si="6"/>
        <v>0.99736708462724311</v>
      </c>
      <c r="AS562" s="298">
        <f t="shared" si="7"/>
        <v>2.6329153727571281E-3</v>
      </c>
      <c r="AT562" s="298">
        <f t="shared" si="8"/>
        <v>2.3773908354947594E-3</v>
      </c>
      <c r="AU562" s="250"/>
      <c r="AV562" s="294">
        <f t="shared" si="17"/>
        <v>34</v>
      </c>
      <c r="AW562" s="299">
        <f t="shared" si="18"/>
        <v>18887.470072826847</v>
      </c>
      <c r="AX562" s="299">
        <f t="shared" si="31"/>
        <v>3246964.8299160474</v>
      </c>
      <c r="AY562" s="335"/>
      <c r="AZ562" s="335"/>
      <c r="BA562" s="335"/>
      <c r="BB562" s="335"/>
      <c r="BC562" s="335"/>
      <c r="BD562" s="335"/>
      <c r="BE562" s="335"/>
      <c r="BF562" s="335"/>
      <c r="BG562" s="335"/>
      <c r="BH562" s="335"/>
      <c r="BI562" s="335"/>
      <c r="BJ562" s="335"/>
      <c r="BK562" s="364"/>
      <c r="BL562" s="364"/>
      <c r="BM562" s="364"/>
      <c r="BN562" s="364"/>
      <c r="BO562" s="364"/>
      <c r="BP562" s="364"/>
      <c r="BQ562" s="335"/>
      <c r="BR562" s="335"/>
      <c r="BS562" s="364"/>
      <c r="BT562" s="364"/>
      <c r="BU562" s="364"/>
      <c r="BV562" s="364"/>
      <c r="BW562" s="364"/>
      <c r="BX562" s="364"/>
      <c r="BY562" s="335"/>
      <c r="BZ562" s="335"/>
      <c r="CA562" s="364"/>
      <c r="CB562" s="364"/>
      <c r="CC562" s="335"/>
      <c r="CD562" s="335"/>
      <c r="CE562" s="335"/>
      <c r="CF562" s="335"/>
      <c r="CG562" s="335"/>
      <c r="CH562" s="335"/>
      <c r="CI562" s="365"/>
      <c r="CJ562" s="365"/>
      <c r="CK562" s="335"/>
      <c r="CL562" s="335"/>
      <c r="CM562" s="366"/>
      <c r="CN562" s="366"/>
      <c r="CO562" s="366"/>
      <c r="CP562" s="3"/>
    </row>
    <row r="563" spans="1:94" x14ac:dyDescent="0.25">
      <c r="A563" s="34">
        <v>8</v>
      </c>
      <c r="B563" s="33">
        <f t="shared" si="19"/>
        <v>35</v>
      </c>
      <c r="C563" s="294">
        <f>VLOOKUP($B563,'Mother mortality'!$A$23:$I$124,5)</f>
        <v>7.0370672097759665E-4</v>
      </c>
      <c r="D563" s="295">
        <f t="shared" si="1"/>
        <v>0.27</v>
      </c>
      <c r="E563" s="295">
        <f t="shared" si="9"/>
        <v>0.72929629327902235</v>
      </c>
      <c r="F563" s="295">
        <f>VLOOKUP($B563,'Mother mortality'!$A$23:$I$124,5)</f>
        <v>7.0370672097759665E-4</v>
      </c>
      <c r="G563" s="295">
        <f t="shared" si="2"/>
        <v>0.14000000000000001</v>
      </c>
      <c r="H563" s="295">
        <f t="shared" si="10"/>
        <v>0.85929629327902235</v>
      </c>
      <c r="I563" s="295">
        <f>VLOOKUP($B563,'Mother mortality'!$A$23:$I$124,4)</f>
        <v>5.0264765784114045E-4</v>
      </c>
      <c r="J563" s="295">
        <f t="shared" si="11"/>
        <v>0.42806878091358747</v>
      </c>
      <c r="K563" s="295">
        <f t="shared" si="3"/>
        <v>0.5714285714285714</v>
      </c>
      <c r="L563" s="295">
        <f>VLOOKUP($B563,'Mother mortality'!$A$23:$I$124,4)</f>
        <v>5.0264765784114045E-4</v>
      </c>
      <c r="M563" s="295">
        <f t="shared" si="4"/>
        <v>8.6261668788331098E-3</v>
      </c>
      <c r="N563" s="295">
        <f t="shared" si="12"/>
        <v>0.99087118546332575</v>
      </c>
      <c r="O563" s="294"/>
      <c r="P563" s="296">
        <f t="shared" si="20"/>
        <v>684.5267008621488</v>
      </c>
      <c r="Q563" s="297">
        <f t="shared" si="21"/>
        <v>188.01151654509263</v>
      </c>
      <c r="R563" s="297">
        <f t="shared" si="22"/>
        <v>26.771393064890773</v>
      </c>
      <c r="S563" s="297">
        <f t="shared" si="23"/>
        <v>97.377697303294269</v>
      </c>
      <c r="T563" s="297">
        <f t="shared" si="24"/>
        <v>3.3126922245737518</v>
      </c>
      <c r="U563" s="294">
        <f t="shared" si="13"/>
        <v>1000.0000000000002</v>
      </c>
      <c r="V563" s="295" t="str">
        <f t="shared" si="5"/>
        <v>OKAY</v>
      </c>
      <c r="W563" s="295"/>
      <c r="X563" s="296">
        <f>SUM($P563:$Q563)-(SUM($P563:$Q563)*(VLOOKUP($B563,Lifetime_morbidity_array!$A$6:$Y$24,4)+VLOOKUP($B563,Lifetime_morbidity_array!$A$6:$Y$24,7)+VLOOKUP($B563,Lifetime_morbidity_array!$A$6:$Y$24,10)+VLOOKUP($B563,Lifetime_morbidity_array!$A$6:$Y$24,13)))</f>
        <v>857.24718823543537</v>
      </c>
      <c r="Y563" s="297">
        <f>SUM($R563:$S563)-(SUM($R563:$S563)*(VLOOKUP($B563,Lifetime_morbidity_array!$A$6:$Y$24,3)+VLOOKUP($B563,Lifetime_morbidity_array!$A$6:$Y$24,6)+VLOOKUP($B563,Lifetime_morbidity_array!$A$6:$Y$24,9)+VLOOKUP($B563,Lifetime_morbidity_array!$A$6:$Y$24,12)))</f>
        <v>123.26182575432397</v>
      </c>
      <c r="Z563" s="297">
        <f>(SUM($P563:$Q563)*VLOOKUP($B563,Lifetime_morbidity_array!$A$6:$Y$24,4))+(SUM($R563:$S563)*VLOOKUP($B563,Lifetime_morbidity_array!$A$6:$Y$24,3))</f>
        <v>6.8569371592187895</v>
      </c>
      <c r="AA563" s="297">
        <f>(SUM($P563:$Q563)*VLOOKUP($B563,Lifetime_morbidity_array!$A$6:$Y$24,7))+(SUM($R563:$S563)*VLOOKUP($B563,Lifetime_morbidity_array!$A$6:$Y$24,6))</f>
        <v>2.2375749572573627</v>
      </c>
      <c r="AB563" s="297">
        <f>(SUM($P563:$Q563)*VLOOKUP($B563,Lifetime_morbidity_array!$A$6:$Y$24,10))+(SUM($R563:$S563)*VLOOKUP($B563,Lifetime_morbidity_array!$A$6:$Y$24,9))</f>
        <v>6.3949529372823929E-2</v>
      </c>
      <c r="AC563" s="297">
        <f>(SUM($P563:$Q563)*VLOOKUP($B563,Lifetime_morbidity_array!$A$6:$Y$24,13))+(SUM($R563:$S563)*VLOOKUP($B563,Lifetime_morbidity_array!$A$6:$Y$24,12))</f>
        <v>7.0198321398181713</v>
      </c>
      <c r="AD563" s="294"/>
      <c r="AE563" s="294">
        <f t="shared" si="25"/>
        <v>35</v>
      </c>
      <c r="AF563" s="297">
        <f t="shared" si="26"/>
        <v>756.8958594587217</v>
      </c>
      <c r="AG563" s="297">
        <f t="shared" si="27"/>
        <v>7571.1315539667121</v>
      </c>
      <c r="AH563" s="294"/>
      <c r="AI563" s="294">
        <f t="shared" si="28"/>
        <v>35</v>
      </c>
      <c r="AJ563" s="295">
        <f>((VLOOKUP($B563,'Mahawesran Tariff'!$A$21:$M$120,7)*$X563)+(VLOOKUP($B563,'Mahawesran Tariff'!$A$21:$M$120,6)*$Y563)+(DET_UTIL_chd*$Z563)+(DET_UTIL_copd*$AA563)+(DET_UTIL_lc*$AB563)+(DET_UTIL_stroke*$AC563))/((1+Discount_rate_QALYs)^$A563)</f>
        <v>723.32127314069646</v>
      </c>
      <c r="AK563" s="295">
        <f t="shared" si="29"/>
        <v>7335.2704296899547</v>
      </c>
      <c r="AL563" s="294"/>
      <c r="AM563" s="294">
        <f t="shared" si="14"/>
        <v>35</v>
      </c>
      <c r="AN563" s="299">
        <f t="shared" si="15"/>
        <v>127285.83025315125</v>
      </c>
      <c r="AO563" s="299">
        <f t="shared" si="30"/>
        <v>3374250.6601691986</v>
      </c>
      <c r="AP563" s="294"/>
      <c r="AQ563" s="294">
        <f t="shared" si="16"/>
        <v>35</v>
      </c>
      <c r="AR563" s="298">
        <f t="shared" si="6"/>
        <v>0.99668730777542647</v>
      </c>
      <c r="AS563" s="298">
        <f t="shared" si="7"/>
        <v>3.3126922245737518E-3</v>
      </c>
      <c r="AT563" s="298">
        <f t="shared" si="8"/>
        <v>1.6178293785667146E-2</v>
      </c>
      <c r="AU563" s="250"/>
      <c r="AV563" s="294">
        <f t="shared" si="17"/>
        <v>35</v>
      </c>
      <c r="AW563" s="299">
        <f t="shared" si="18"/>
        <v>127285.83025315125</v>
      </c>
      <c r="AX563" s="299">
        <f t="shared" si="31"/>
        <v>3374250.6601691986</v>
      </c>
      <c r="AY563" s="335"/>
      <c r="AZ563" s="335"/>
      <c r="BA563" s="335"/>
      <c r="BB563" s="335"/>
      <c r="BC563" s="335"/>
      <c r="BD563" s="335"/>
      <c r="BE563" s="335"/>
      <c r="BF563" s="335"/>
      <c r="BG563" s="335"/>
      <c r="BH563" s="335"/>
      <c r="BI563" s="335"/>
      <c r="BJ563" s="335"/>
      <c r="BK563" s="364"/>
      <c r="BL563" s="364"/>
      <c r="BM563" s="364"/>
      <c r="BN563" s="364"/>
      <c r="BO563" s="364"/>
      <c r="BP563" s="364"/>
      <c r="BQ563" s="335"/>
      <c r="BR563" s="335"/>
      <c r="BS563" s="364"/>
      <c r="BT563" s="364"/>
      <c r="BU563" s="364"/>
      <c r="BV563" s="364"/>
      <c r="BW563" s="364"/>
      <c r="BX563" s="364"/>
      <c r="BY563" s="335"/>
      <c r="BZ563" s="335"/>
      <c r="CA563" s="364"/>
      <c r="CB563" s="364"/>
      <c r="CC563" s="335"/>
      <c r="CD563" s="335"/>
      <c r="CE563" s="335"/>
      <c r="CF563" s="335"/>
      <c r="CG563" s="335"/>
      <c r="CH563" s="335"/>
      <c r="CI563" s="365"/>
      <c r="CJ563" s="365"/>
      <c r="CK563" s="335"/>
      <c r="CL563" s="335"/>
      <c r="CM563" s="366"/>
      <c r="CN563" s="366"/>
      <c r="CO563" s="366"/>
      <c r="CP563" s="3"/>
    </row>
    <row r="564" spans="1:94" x14ac:dyDescent="0.25">
      <c r="A564" s="34">
        <v>9</v>
      </c>
      <c r="B564" s="33">
        <f t="shared" si="19"/>
        <v>36</v>
      </c>
      <c r="C564" s="294">
        <f>VLOOKUP($B564,'Mother mortality'!$A$23:$I$124,5)</f>
        <v>7.6187372708757617E-4</v>
      </c>
      <c r="D564" s="295">
        <f t="shared" si="1"/>
        <v>0.27</v>
      </c>
      <c r="E564" s="295">
        <f t="shared" si="9"/>
        <v>0.7292381262729124</v>
      </c>
      <c r="F564" s="295">
        <f>VLOOKUP($B564,'Mother mortality'!$A$23:$I$124,5)</f>
        <v>7.6187372708757617E-4</v>
      </c>
      <c r="G564" s="295">
        <f t="shared" si="2"/>
        <v>0.14000000000000001</v>
      </c>
      <c r="H564" s="295">
        <f t="shared" si="10"/>
        <v>0.85923812627291241</v>
      </c>
      <c r="I564" s="295">
        <f>VLOOKUP($B564,'Mother mortality'!$A$23:$I$124,4)</f>
        <v>5.4419551934826874E-4</v>
      </c>
      <c r="J564" s="295">
        <f t="shared" si="11"/>
        <v>0.42802723305208035</v>
      </c>
      <c r="K564" s="295">
        <f t="shared" si="3"/>
        <v>0.5714285714285714</v>
      </c>
      <c r="L564" s="295">
        <f>VLOOKUP($B564,'Mother mortality'!$A$23:$I$124,4)</f>
        <v>5.4419551934826874E-4</v>
      </c>
      <c r="M564" s="295">
        <f t="shared" si="4"/>
        <v>8.6261668788331098E-3</v>
      </c>
      <c r="N564" s="295">
        <f t="shared" si="12"/>
        <v>0.99082963760181864</v>
      </c>
      <c r="O564" s="294"/>
      <c r="P564" s="296">
        <f t="shared" si="20"/>
        <v>673.02851348015542</v>
      </c>
      <c r="Q564" s="297">
        <f t="shared" si="21"/>
        <v>184.82220923278018</v>
      </c>
      <c r="R564" s="297">
        <f t="shared" si="22"/>
        <v>26.321612316312972</v>
      </c>
      <c r="S564" s="297">
        <f t="shared" si="23"/>
        <v>111.78264742374594</v>
      </c>
      <c r="T564" s="297">
        <f t="shared" si="24"/>
        <v>4.0450175470056866</v>
      </c>
      <c r="U564" s="294">
        <f t="shared" si="13"/>
        <v>1000.0000000000003</v>
      </c>
      <c r="V564" s="295" t="str">
        <f t="shared" si="5"/>
        <v>OKAY</v>
      </c>
      <c r="W564" s="295"/>
      <c r="X564" s="296">
        <f>SUM($P564:$Q564)-(SUM($P564:$Q564)*(VLOOKUP($B564,Lifetime_morbidity_array!$A$6:$Y$24,4)+VLOOKUP($B564,Lifetime_morbidity_array!$A$6:$Y$24,7)+VLOOKUP($B564,Lifetime_morbidity_array!$A$6:$Y$24,10)+VLOOKUP($B564,Lifetime_morbidity_array!$A$6:$Y$24,13)))</f>
        <v>842.81708846704896</v>
      </c>
      <c r="Y564" s="297">
        <f>SUM($R564:$S564)-(SUM($R564:$S564)*(VLOOKUP($B564,Lifetime_morbidity_array!$A$6:$Y$24,3)+VLOOKUP($B564,Lifetime_morbidity_array!$A$6:$Y$24,6)+VLOOKUP($B564,Lifetime_morbidity_array!$A$6:$Y$24,9)+VLOOKUP($B564,Lifetime_morbidity_array!$A$6:$Y$24,12)))</f>
        <v>137.11726078318026</v>
      </c>
      <c r="Z564" s="297">
        <f>(SUM($P564:$Q564)*VLOOKUP($B564,Lifetime_morbidity_array!$A$6:$Y$24,4))+(SUM($R564:$S564)*VLOOKUP($B564,Lifetime_morbidity_array!$A$6:$Y$24,3))</f>
        <v>6.7945944381472687</v>
      </c>
      <c r="AA564" s="297">
        <f>(SUM($P564:$Q564)*VLOOKUP($B564,Lifetime_morbidity_array!$A$6:$Y$24,7))+(SUM($R564:$S564)*VLOOKUP($B564,Lifetime_morbidity_array!$A$6:$Y$24,6))</f>
        <v>2.2112825346462701</v>
      </c>
      <c r="AB564" s="297">
        <f>(SUM($P564:$Q564)*VLOOKUP($B564,Lifetime_morbidity_array!$A$6:$Y$24,10))+(SUM($R564:$S564)*VLOOKUP($B564,Lifetime_morbidity_array!$A$6:$Y$24,9))</f>
        <v>6.3100074500026998E-2</v>
      </c>
      <c r="AC564" s="297">
        <f>(SUM($P564:$Q564)*VLOOKUP($B564,Lifetime_morbidity_array!$A$6:$Y$24,13))+(SUM($R564:$S564)*VLOOKUP($B564,Lifetime_morbidity_array!$A$6:$Y$24,12))</f>
        <v>6.9516561554717713</v>
      </c>
      <c r="AD564" s="294"/>
      <c r="AE564" s="294">
        <f t="shared" si="25"/>
        <v>36</v>
      </c>
      <c r="AF564" s="297">
        <f t="shared" si="26"/>
        <v>730.76301753232588</v>
      </c>
      <c r="AG564" s="297">
        <f t="shared" si="27"/>
        <v>8301.8945714990386</v>
      </c>
      <c r="AH564" s="294"/>
      <c r="AI564" s="294">
        <f t="shared" si="28"/>
        <v>36</v>
      </c>
      <c r="AJ564" s="295">
        <f>((VLOOKUP($B564,'Mahawesran Tariff'!$A$21:$M$120,7)*$X564)+(VLOOKUP($B564,'Mahawesran Tariff'!$A$21:$M$120,6)*$Y564)+(DET_UTIL_chd*$Z564)+(DET_UTIL_copd*$AA564)+(DET_UTIL_lc*$AB564)+(DET_UTIL_stroke*$AC564))/((1+Discount_rate_QALYs)^$A564)</f>
        <v>698.54285887408503</v>
      </c>
      <c r="AK564" s="295">
        <f t="shared" si="29"/>
        <v>8033.8132885640398</v>
      </c>
      <c r="AL564" s="294"/>
      <c r="AM564" s="294">
        <f t="shared" si="14"/>
        <v>36</v>
      </c>
      <c r="AN564" s="299">
        <f t="shared" si="15"/>
        <v>121788.40386284883</v>
      </c>
      <c r="AO564" s="299">
        <f t="shared" si="30"/>
        <v>3496039.0640320475</v>
      </c>
      <c r="AP564" s="294"/>
      <c r="AQ564" s="294">
        <f t="shared" si="16"/>
        <v>36</v>
      </c>
      <c r="AR564" s="298">
        <f t="shared" si="6"/>
        <v>0.99595498245299463</v>
      </c>
      <c r="AS564" s="298">
        <f t="shared" si="7"/>
        <v>4.045017547005687E-3</v>
      </c>
      <c r="AT564" s="298">
        <f t="shared" si="8"/>
        <v>1.6020633202765339E-2</v>
      </c>
      <c r="AU564" s="250"/>
      <c r="AV564" s="294">
        <f t="shared" si="17"/>
        <v>36</v>
      </c>
      <c r="AW564" s="299">
        <f t="shared" si="18"/>
        <v>121788.40386284883</v>
      </c>
      <c r="AX564" s="299">
        <f t="shared" si="31"/>
        <v>3496039.0640320475</v>
      </c>
      <c r="AY564" s="335"/>
      <c r="AZ564" s="335"/>
      <c r="BA564" s="335"/>
      <c r="BB564" s="335"/>
      <c r="BC564" s="335"/>
      <c r="BD564" s="335"/>
      <c r="BE564" s="335"/>
      <c r="BF564" s="335"/>
      <c r="BG564" s="335"/>
      <c r="BH564" s="335"/>
      <c r="BI564" s="335"/>
      <c r="BJ564" s="335"/>
      <c r="BK564" s="364"/>
      <c r="BL564" s="364"/>
      <c r="BM564" s="364"/>
      <c r="BN564" s="364"/>
      <c r="BO564" s="364"/>
      <c r="BP564" s="364"/>
      <c r="BQ564" s="335"/>
      <c r="BR564" s="335"/>
      <c r="BS564" s="364"/>
      <c r="BT564" s="364"/>
      <c r="BU564" s="364"/>
      <c r="BV564" s="364"/>
      <c r="BW564" s="364"/>
      <c r="BX564" s="364"/>
      <c r="BY564" s="335"/>
      <c r="BZ564" s="335"/>
      <c r="CA564" s="364"/>
      <c r="CB564" s="364"/>
      <c r="CC564" s="335"/>
      <c r="CD564" s="335"/>
      <c r="CE564" s="335"/>
      <c r="CF564" s="335"/>
      <c r="CG564" s="335"/>
      <c r="CH564" s="335"/>
      <c r="CI564" s="365"/>
      <c r="CJ564" s="365"/>
      <c r="CK564" s="335"/>
      <c r="CL564" s="335"/>
      <c r="CM564" s="366"/>
      <c r="CN564" s="366"/>
      <c r="CO564" s="366"/>
      <c r="CP564" s="3"/>
    </row>
    <row r="565" spans="1:94" x14ac:dyDescent="0.25">
      <c r="A565" s="34">
        <v>10</v>
      </c>
      <c r="B565" s="33">
        <f t="shared" si="19"/>
        <v>37</v>
      </c>
      <c r="C565" s="294">
        <f>VLOOKUP($B565,'Mother mortality'!$A$23:$I$124,5)</f>
        <v>8.2916496945010154E-4</v>
      </c>
      <c r="D565" s="295">
        <f t="shared" si="1"/>
        <v>0.27</v>
      </c>
      <c r="E565" s="295">
        <f t="shared" si="9"/>
        <v>0.72917083503054991</v>
      </c>
      <c r="F565" s="295">
        <f>VLOOKUP($B565,'Mother mortality'!$A$23:$I$124,5)</f>
        <v>8.2916496945010154E-4</v>
      </c>
      <c r="G565" s="295">
        <f t="shared" si="2"/>
        <v>0.14000000000000001</v>
      </c>
      <c r="H565" s="295">
        <f t="shared" si="10"/>
        <v>0.85917083503054992</v>
      </c>
      <c r="I565" s="295">
        <f>VLOOKUP($B565,'Mother mortality'!$A$23:$I$124,4)</f>
        <v>5.9226069246435837E-4</v>
      </c>
      <c r="J565" s="295">
        <f t="shared" si="11"/>
        <v>0.42797916787896428</v>
      </c>
      <c r="K565" s="295">
        <f t="shared" si="3"/>
        <v>0.5714285714285714</v>
      </c>
      <c r="L565" s="295">
        <f>VLOOKUP($B565,'Mother mortality'!$A$23:$I$124,4)</f>
        <v>5.9226069246435837E-4</v>
      </c>
      <c r="M565" s="295">
        <f t="shared" si="4"/>
        <v>8.6261668788331098E-3</v>
      </c>
      <c r="N565" s="295">
        <f t="shared" si="12"/>
        <v>0.99078157242870257</v>
      </c>
      <c r="O565" s="294"/>
      <c r="P565" s="296">
        <f t="shared" si="20"/>
        <v>661.77597251961686</v>
      </c>
      <c r="Q565" s="297">
        <f t="shared" si="21"/>
        <v>181.71769863964198</v>
      </c>
      <c r="R565" s="297">
        <f t="shared" si="22"/>
        <v>25.875109292589229</v>
      </c>
      <c r="S565" s="297">
        <f t="shared" si="23"/>
        <v>125.79310850834968</v>
      </c>
      <c r="T565" s="297">
        <f t="shared" si="24"/>
        <v>4.8381110398026301</v>
      </c>
      <c r="U565" s="294">
        <f t="shared" si="13"/>
        <v>1000.0000000000003</v>
      </c>
      <c r="V565" s="295" t="str">
        <f t="shared" si="5"/>
        <v>OKAY</v>
      </c>
      <c r="W565" s="295"/>
      <c r="X565" s="296">
        <f>SUM($P565:$Q565)-(SUM($P565:$Q565)*(VLOOKUP($B565,Lifetime_morbidity_array!$A$6:$Y$24,4)+VLOOKUP($B565,Lifetime_morbidity_array!$A$6:$Y$24,7)+VLOOKUP($B565,Lifetime_morbidity_array!$A$6:$Y$24,10)+VLOOKUP($B565,Lifetime_morbidity_array!$A$6:$Y$24,13)))</f>
        <v>828.71164090016453</v>
      </c>
      <c r="Y565" s="297">
        <f>SUM($R565:$S565)-(SUM($R565:$S565)*(VLOOKUP($B565,Lifetime_morbidity_array!$A$6:$Y$24,3)+VLOOKUP($B565,Lifetime_morbidity_array!$A$6:$Y$24,6)+VLOOKUP($B565,Lifetime_morbidity_array!$A$6:$Y$24,9)+VLOOKUP($B565,Lifetime_morbidity_array!$A$6:$Y$24,12)))</f>
        <v>150.58428039710407</v>
      </c>
      <c r="Z565" s="297">
        <f>(SUM($P565:$Q565)*VLOOKUP($B565,Lifetime_morbidity_array!$A$6:$Y$24,4))+(SUM($R565:$S565)*VLOOKUP($B565,Lifetime_morbidity_array!$A$6:$Y$24,3))</f>
        <v>6.7333987780634255</v>
      </c>
      <c r="AA565" s="297">
        <f>(SUM($P565:$Q565)*VLOOKUP($B565,Lifetime_morbidity_array!$A$6:$Y$24,7))+(SUM($R565:$S565)*VLOOKUP($B565,Lifetime_morbidity_array!$A$6:$Y$24,6))</f>
        <v>2.1855268945070683</v>
      </c>
      <c r="AB565" s="297">
        <f>(SUM($P565:$Q565)*VLOOKUP($B565,Lifetime_morbidity_array!$A$6:$Y$24,10))+(SUM($R565:$S565)*VLOOKUP($B565,Lifetime_morbidity_array!$A$6:$Y$24,9))</f>
        <v>6.2268638000317747E-2</v>
      </c>
      <c r="AC565" s="297">
        <f>(SUM($P565:$Q565)*VLOOKUP($B565,Lifetime_morbidity_array!$A$6:$Y$24,13))+(SUM($R565:$S565)*VLOOKUP($B565,Lifetime_morbidity_array!$A$6:$Y$24,12))</f>
        <v>6.884773352358307</v>
      </c>
      <c r="AD565" s="294"/>
      <c r="AE565" s="294">
        <f t="shared" si="25"/>
        <v>37</v>
      </c>
      <c r="AF565" s="297">
        <f t="shared" si="26"/>
        <v>705.48898577083946</v>
      </c>
      <c r="AG565" s="297">
        <f t="shared" si="27"/>
        <v>9007.3835572698772</v>
      </c>
      <c r="AH565" s="294"/>
      <c r="AI565" s="294">
        <f t="shared" si="28"/>
        <v>37</v>
      </c>
      <c r="AJ565" s="295">
        <f>((VLOOKUP($B565,'Mahawesran Tariff'!$A$21:$M$120,7)*$X565)+(VLOOKUP($B565,'Mahawesran Tariff'!$A$21:$M$120,6)*$Y565)+(DET_UTIL_chd*$Z565)+(DET_UTIL_copd*$AA565)+(DET_UTIL_lc*$AB565)+(DET_UTIL_stroke*$AC565))/((1+Discount_rate_QALYs)^$A565)</f>
        <v>674.56680450652379</v>
      </c>
      <c r="AK565" s="295">
        <f t="shared" si="29"/>
        <v>8708.3800930705638</v>
      </c>
      <c r="AL565" s="294"/>
      <c r="AM565" s="294">
        <f t="shared" si="14"/>
        <v>37</v>
      </c>
      <c r="AN565" s="299">
        <f t="shared" si="15"/>
        <v>116539.08102427937</v>
      </c>
      <c r="AO565" s="299">
        <f t="shared" si="30"/>
        <v>3612578.1450563269</v>
      </c>
      <c r="AP565" s="294"/>
      <c r="AQ565" s="294">
        <f t="shared" si="16"/>
        <v>37</v>
      </c>
      <c r="AR565" s="298">
        <f t="shared" si="6"/>
        <v>0.99516188896019775</v>
      </c>
      <c r="AS565" s="298">
        <f t="shared" si="7"/>
        <v>4.8381110398026299E-3</v>
      </c>
      <c r="AT565" s="298">
        <f t="shared" si="8"/>
        <v>1.5865967662929116E-2</v>
      </c>
      <c r="AU565" s="250"/>
      <c r="AV565" s="294">
        <f t="shared" si="17"/>
        <v>37</v>
      </c>
      <c r="AW565" s="299">
        <f t="shared" si="18"/>
        <v>116539.08102427937</v>
      </c>
      <c r="AX565" s="299">
        <f t="shared" si="31"/>
        <v>3612578.1450563269</v>
      </c>
      <c r="AY565" s="335"/>
      <c r="AZ565" s="335"/>
      <c r="BA565" s="335"/>
      <c r="BB565" s="335"/>
      <c r="BC565" s="335"/>
      <c r="BD565" s="335"/>
      <c r="BE565" s="335"/>
      <c r="BF565" s="335"/>
      <c r="BG565" s="335"/>
      <c r="BH565" s="335"/>
      <c r="BI565" s="335"/>
      <c r="BJ565" s="335"/>
      <c r="BK565" s="364"/>
      <c r="BL565" s="364"/>
      <c r="BM565" s="364"/>
      <c r="BN565" s="364"/>
      <c r="BO565" s="364"/>
      <c r="BP565" s="364"/>
      <c r="BQ565" s="335"/>
      <c r="BR565" s="335"/>
      <c r="BS565" s="364"/>
      <c r="BT565" s="364"/>
      <c r="BU565" s="364"/>
      <c r="BV565" s="364"/>
      <c r="BW565" s="364"/>
      <c r="BX565" s="364"/>
      <c r="BY565" s="335"/>
      <c r="BZ565" s="335"/>
      <c r="CA565" s="364"/>
      <c r="CB565" s="364"/>
      <c r="CC565" s="335"/>
      <c r="CD565" s="335"/>
      <c r="CE565" s="335"/>
      <c r="CF565" s="335"/>
      <c r="CG565" s="335"/>
      <c r="CH565" s="335"/>
      <c r="CI565" s="365"/>
      <c r="CJ565" s="365"/>
      <c r="CK565" s="335"/>
      <c r="CL565" s="335"/>
      <c r="CM565" s="366"/>
      <c r="CN565" s="366"/>
      <c r="CO565" s="366"/>
      <c r="CP565" s="3"/>
    </row>
    <row r="566" spans="1:94" x14ac:dyDescent="0.25">
      <c r="A566" s="34">
        <v>11</v>
      </c>
      <c r="B566" s="33">
        <f t="shared" si="19"/>
        <v>38</v>
      </c>
      <c r="C566" s="294">
        <f>VLOOKUP($B566,'Mother mortality'!$A$23:$I$124,5)</f>
        <v>9.0230142566191445E-4</v>
      </c>
      <c r="D566" s="295">
        <f t="shared" si="1"/>
        <v>0.27</v>
      </c>
      <c r="E566" s="295">
        <f t="shared" si="9"/>
        <v>0.72909769857433804</v>
      </c>
      <c r="F566" s="295">
        <f>VLOOKUP($B566,'Mother mortality'!$A$23:$I$124,5)</f>
        <v>9.0230142566191445E-4</v>
      </c>
      <c r="G566" s="295">
        <f t="shared" si="2"/>
        <v>0.14000000000000001</v>
      </c>
      <c r="H566" s="295">
        <f t="shared" si="10"/>
        <v>0.85909769857433804</v>
      </c>
      <c r="I566" s="295">
        <f>VLOOKUP($B566,'Mother mortality'!$A$23:$I$124,4)</f>
        <v>6.4450101832993893E-4</v>
      </c>
      <c r="J566" s="295">
        <f t="shared" si="11"/>
        <v>0.42792692755309869</v>
      </c>
      <c r="K566" s="295">
        <f t="shared" si="3"/>
        <v>0.5714285714285714</v>
      </c>
      <c r="L566" s="295">
        <f>VLOOKUP($B566,'Mother mortality'!$A$23:$I$124,4)</f>
        <v>6.4450101832993893E-4</v>
      </c>
      <c r="M566" s="295">
        <f t="shared" si="4"/>
        <v>8.6261668788331098E-3</v>
      </c>
      <c r="N566" s="295">
        <f t="shared" si="12"/>
        <v>0.99072933210283698</v>
      </c>
      <c r="O566" s="294"/>
      <c r="P566" s="296">
        <f t="shared" si="20"/>
        <v>650.77036359326701</v>
      </c>
      <c r="Q566" s="297">
        <f t="shared" si="21"/>
        <v>178.67951258029657</v>
      </c>
      <c r="R566" s="297">
        <f t="shared" si="22"/>
        <v>25.440477809549879</v>
      </c>
      <c r="S566" s="297">
        <f t="shared" si="23"/>
        <v>139.41269911423939</v>
      </c>
      <c r="T566" s="297">
        <f t="shared" si="24"/>
        <v>5.696946902647424</v>
      </c>
      <c r="U566" s="294">
        <f t="shared" si="13"/>
        <v>1000.0000000000002</v>
      </c>
      <c r="V566" s="295" t="str">
        <f t="shared" si="5"/>
        <v>OKAY</v>
      </c>
      <c r="W566" s="295"/>
      <c r="X566" s="296">
        <f>SUM($P566:$Q566)-(SUM($P566:$Q566)*(VLOOKUP($B566,Lifetime_morbidity_array!$A$6:$Y$24,4)+VLOOKUP($B566,Lifetime_morbidity_array!$A$6:$Y$24,7)+VLOOKUP($B566,Lifetime_morbidity_array!$A$6:$Y$24,10)+VLOOKUP($B566,Lifetime_morbidity_array!$A$6:$Y$24,13)))</f>
        <v>814.9139601528201</v>
      </c>
      <c r="Y566" s="297">
        <f>SUM($R566:$S566)-(SUM($R566:$S566)*(VLOOKUP($B566,Lifetime_morbidity_array!$A$6:$Y$24,3)+VLOOKUP($B566,Lifetime_morbidity_array!$A$6:$Y$24,6)+VLOOKUP($B566,Lifetime_morbidity_array!$A$6:$Y$24,9)+VLOOKUP($B566,Lifetime_morbidity_array!$A$6:$Y$24,12)))</f>
        <v>163.67500969007637</v>
      </c>
      <c r="Z566" s="297">
        <f>(SUM($P566:$Q566)*VLOOKUP($B566,Lifetime_morbidity_array!$A$6:$Y$24,4))+(SUM($R566:$S566)*VLOOKUP($B566,Lifetime_morbidity_array!$A$6:$Y$24,3))</f>
        <v>6.673263607734488</v>
      </c>
      <c r="AA566" s="297">
        <f>(SUM($P566:$Q566)*VLOOKUP($B566,Lifetime_morbidity_array!$A$6:$Y$24,7))+(SUM($R566:$S566)*VLOOKUP($B566,Lifetime_morbidity_array!$A$6:$Y$24,6))</f>
        <v>2.1602743524022117</v>
      </c>
      <c r="AB566" s="297">
        <f>(SUM($P566:$Q566)*VLOOKUP($B566,Lifetime_morbidity_array!$A$6:$Y$24,10))+(SUM($R566:$S566)*VLOOKUP($B566,Lifetime_morbidity_array!$A$6:$Y$24,9))</f>
        <v>6.1454167630985136E-2</v>
      </c>
      <c r="AC566" s="297">
        <f>(SUM($P566:$Q566)*VLOOKUP($B566,Lifetime_morbidity_array!$A$6:$Y$24,13))+(SUM($R566:$S566)*VLOOKUP($B566,Lifetime_morbidity_array!$A$6:$Y$24,12))</f>
        <v>6.8190911266887131</v>
      </c>
      <c r="AD566" s="294"/>
      <c r="AE566" s="294">
        <f t="shared" si="25"/>
        <v>38</v>
      </c>
      <c r="AF566" s="297">
        <f t="shared" si="26"/>
        <v>681.04361436693716</v>
      </c>
      <c r="AG566" s="297">
        <f t="shared" si="27"/>
        <v>9688.4271716368148</v>
      </c>
      <c r="AH566" s="294"/>
      <c r="AI566" s="294">
        <f t="shared" si="28"/>
        <v>38</v>
      </c>
      <c r="AJ566" s="295">
        <f>((VLOOKUP($B566,'Mahawesran Tariff'!$A$21:$M$120,7)*$X566)+(VLOOKUP($B566,'Mahawesran Tariff'!$A$21:$M$120,6)*$Y566)+(DET_UTIL_chd*$Z566)+(DET_UTIL_copd*$AA566)+(DET_UTIL_lc*$AB566)+(DET_UTIL_stroke*$AC566))/((1+Discount_rate_QALYs)^$A566)</f>
        <v>651.36565647056148</v>
      </c>
      <c r="AK566" s="295">
        <f t="shared" si="29"/>
        <v>9359.7457495411254</v>
      </c>
      <c r="AL566" s="294"/>
      <c r="AM566" s="294">
        <f t="shared" si="14"/>
        <v>38</v>
      </c>
      <c r="AN566" s="299">
        <f t="shared" si="15"/>
        <v>111525.11597005893</v>
      </c>
      <c r="AO566" s="299">
        <f t="shared" si="30"/>
        <v>3724103.2610263857</v>
      </c>
      <c r="AP566" s="294"/>
      <c r="AQ566" s="294">
        <f t="shared" si="16"/>
        <v>38</v>
      </c>
      <c r="AR566" s="298">
        <f t="shared" si="6"/>
        <v>0.9943030530973529</v>
      </c>
      <c r="AS566" s="298">
        <f t="shared" si="7"/>
        <v>5.6969469026474243E-3</v>
      </c>
      <c r="AT566" s="298">
        <f t="shared" si="8"/>
        <v>1.5714083254456397E-2</v>
      </c>
      <c r="AU566" s="250"/>
      <c r="AV566" s="294">
        <f t="shared" si="17"/>
        <v>38</v>
      </c>
      <c r="AW566" s="299">
        <f t="shared" si="18"/>
        <v>111525.11597005893</v>
      </c>
      <c r="AX566" s="299">
        <f t="shared" si="31"/>
        <v>3724103.2610263857</v>
      </c>
      <c r="AY566" s="335"/>
      <c r="AZ566" s="335"/>
      <c r="BA566" s="335"/>
      <c r="BB566" s="335"/>
      <c r="BC566" s="335"/>
      <c r="BD566" s="335"/>
      <c r="BE566" s="335"/>
      <c r="BF566" s="335"/>
      <c r="BG566" s="335"/>
      <c r="BH566" s="335"/>
      <c r="BI566" s="335"/>
      <c r="BJ566" s="335"/>
      <c r="BK566" s="364"/>
      <c r="BL566" s="364"/>
      <c r="BM566" s="364"/>
      <c r="BN566" s="364"/>
      <c r="BO566" s="364"/>
      <c r="BP566" s="364"/>
      <c r="BQ566" s="335"/>
      <c r="BR566" s="335"/>
      <c r="BS566" s="364"/>
      <c r="BT566" s="364"/>
      <c r="BU566" s="364"/>
      <c r="BV566" s="364"/>
      <c r="BW566" s="364"/>
      <c r="BX566" s="364"/>
      <c r="BY566" s="335"/>
      <c r="BZ566" s="335"/>
      <c r="CA566" s="364"/>
      <c r="CB566" s="364"/>
      <c r="CC566" s="335"/>
      <c r="CD566" s="335"/>
      <c r="CE566" s="335"/>
      <c r="CF566" s="335"/>
      <c r="CG566" s="335"/>
      <c r="CH566" s="335"/>
      <c r="CI566" s="365"/>
      <c r="CJ566" s="365"/>
      <c r="CK566" s="335"/>
      <c r="CL566" s="335"/>
      <c r="CM566" s="366"/>
      <c r="CN566" s="366"/>
      <c r="CO566" s="366"/>
      <c r="CP566" s="3"/>
    </row>
    <row r="567" spans="1:94" x14ac:dyDescent="0.25">
      <c r="A567" s="34">
        <v>12</v>
      </c>
      <c r="B567" s="33">
        <f t="shared" si="19"/>
        <v>39</v>
      </c>
      <c r="C567" s="294">
        <f>VLOOKUP($B567,'Mother mortality'!$A$23:$I$124,5)</f>
        <v>9.7714867617107936E-4</v>
      </c>
      <c r="D567" s="295">
        <f t="shared" si="1"/>
        <v>0.27</v>
      </c>
      <c r="E567" s="295">
        <f t="shared" si="9"/>
        <v>0.72902285132382894</v>
      </c>
      <c r="F567" s="295">
        <f>VLOOKUP($B567,'Mother mortality'!$A$23:$I$124,5)</f>
        <v>9.7714867617107936E-4</v>
      </c>
      <c r="G567" s="295">
        <f t="shared" si="2"/>
        <v>0.14000000000000001</v>
      </c>
      <c r="H567" s="295">
        <f t="shared" si="10"/>
        <v>0.85902285132382894</v>
      </c>
      <c r="I567" s="295">
        <f>VLOOKUP($B567,'Mother mortality'!$A$23:$I$124,4)</f>
        <v>6.9796334012219962E-4</v>
      </c>
      <c r="J567" s="295">
        <f t="shared" si="11"/>
        <v>0.42787346523130643</v>
      </c>
      <c r="K567" s="295">
        <f t="shared" si="3"/>
        <v>0.5714285714285714</v>
      </c>
      <c r="L567" s="295">
        <f>VLOOKUP($B567,'Mother mortality'!$A$23:$I$124,4)</f>
        <v>6.9796334012219962E-4</v>
      </c>
      <c r="M567" s="295">
        <f t="shared" si="4"/>
        <v>8.6261668788331098E-3</v>
      </c>
      <c r="N567" s="295">
        <f t="shared" si="12"/>
        <v>0.99067586978104472</v>
      </c>
      <c r="O567" s="294"/>
      <c r="P567" s="296">
        <f t="shared" si="20"/>
        <v>640.00415299878694</v>
      </c>
      <c r="Q567" s="297">
        <f t="shared" si="21"/>
        <v>175.70799817018209</v>
      </c>
      <c r="R567" s="297">
        <f t="shared" si="22"/>
        <v>25.015131761241523</v>
      </c>
      <c r="S567" s="297">
        <f t="shared" si="23"/>
        <v>152.65021284469353</v>
      </c>
      <c r="T567" s="297">
        <f t="shared" si="24"/>
        <v>6.6225042250961712</v>
      </c>
      <c r="U567" s="294">
        <f t="shared" si="13"/>
        <v>1000.0000000000002</v>
      </c>
      <c r="V567" s="295" t="str">
        <f t="shared" si="5"/>
        <v>OKAY</v>
      </c>
      <c r="W567" s="295"/>
      <c r="X567" s="296">
        <f>SUM($P567:$Q567)-(SUM($P567:$Q567)*(VLOOKUP($B567,Lifetime_morbidity_array!$A$6:$Y$24,4)+VLOOKUP($B567,Lifetime_morbidity_array!$A$6:$Y$24,7)+VLOOKUP($B567,Lifetime_morbidity_array!$A$6:$Y$24,10)+VLOOKUP($B567,Lifetime_morbidity_array!$A$6:$Y$24,13)))</f>
        <v>801.41698558139706</v>
      </c>
      <c r="Y567" s="297">
        <f>SUM($R567:$S567)-(SUM($R567:$S567)*(VLOOKUP($B567,Lifetime_morbidity_array!$A$6:$Y$24,3)+VLOOKUP($B567,Lifetime_morbidity_array!$A$6:$Y$24,6)+VLOOKUP($B567,Lifetime_morbidity_array!$A$6:$Y$24,9)+VLOOKUP($B567,Lifetime_morbidity_array!$A$6:$Y$24,12)))</f>
        <v>176.3956117958856</v>
      </c>
      <c r="Z567" s="297">
        <f>(SUM($P567:$Q567)*VLOOKUP($B567,Lifetime_morbidity_array!$A$6:$Y$24,4))+(SUM($R567:$S567)*VLOOKUP($B567,Lifetime_morbidity_array!$A$6:$Y$24,3))</f>
        <v>6.614156369255233</v>
      </c>
      <c r="AA567" s="297">
        <f>(SUM($P567:$Q567)*VLOOKUP($B567,Lifetime_morbidity_array!$A$6:$Y$24,7))+(SUM($R567:$S567)*VLOOKUP($B567,Lifetime_morbidity_array!$A$6:$Y$24,6))</f>
        <v>2.1355116034545034</v>
      </c>
      <c r="AB567" s="297">
        <f>(SUM($P567:$Q567)*VLOOKUP($B567,Lifetime_morbidity_array!$A$6:$Y$24,10))+(SUM($R567:$S567)*VLOOKUP($B567,Lifetime_morbidity_array!$A$6:$Y$24,9))</f>
        <v>6.0656238971162034E-2</v>
      </c>
      <c r="AC567" s="297">
        <f>(SUM($P567:$Q567)*VLOOKUP($B567,Lifetime_morbidity_array!$A$6:$Y$24,13))+(SUM($R567:$S567)*VLOOKUP($B567,Lifetime_morbidity_array!$A$6:$Y$24,12))</f>
        <v>6.754574185940533</v>
      </c>
      <c r="AD567" s="294"/>
      <c r="AE567" s="294">
        <f t="shared" si="25"/>
        <v>39</v>
      </c>
      <c r="AF567" s="297">
        <f t="shared" si="26"/>
        <v>657.40063560011129</v>
      </c>
      <c r="AG567" s="297">
        <f t="shared" si="27"/>
        <v>10345.827807236927</v>
      </c>
      <c r="AH567" s="294"/>
      <c r="AI567" s="294">
        <f t="shared" si="28"/>
        <v>39</v>
      </c>
      <c r="AJ567" s="295">
        <f>((VLOOKUP($B567,'Mahawesran Tariff'!$A$21:$M$120,7)*$X567)+(VLOOKUP($B567,'Mahawesran Tariff'!$A$21:$M$120,6)*$Y567)+(DET_UTIL_chd*$Z567)+(DET_UTIL_copd*$AA567)+(DET_UTIL_lc*$AB567)+(DET_UTIL_stroke*$AC567))/((1+Discount_rate_QALYs)^$A567)</f>
        <v>628.91550150735782</v>
      </c>
      <c r="AK567" s="295">
        <f t="shared" si="29"/>
        <v>9988.6612510484829</v>
      </c>
      <c r="AL567" s="294"/>
      <c r="AM567" s="294">
        <f t="shared" si="14"/>
        <v>39</v>
      </c>
      <c r="AN567" s="299">
        <f t="shared" si="15"/>
        <v>106735.37363429746</v>
      </c>
      <c r="AO567" s="299">
        <f t="shared" si="30"/>
        <v>3830838.6346606831</v>
      </c>
      <c r="AP567" s="294"/>
      <c r="AQ567" s="294">
        <f t="shared" si="16"/>
        <v>39</v>
      </c>
      <c r="AR567" s="298">
        <f t="shared" si="6"/>
        <v>0.99337749577490408</v>
      </c>
      <c r="AS567" s="298">
        <f t="shared" si="7"/>
        <v>6.6225042250961713E-3</v>
      </c>
      <c r="AT567" s="298">
        <f t="shared" si="8"/>
        <v>1.5564898397621435E-2</v>
      </c>
      <c r="AU567" s="250"/>
      <c r="AV567" s="294">
        <f t="shared" si="17"/>
        <v>39</v>
      </c>
      <c r="AW567" s="299">
        <f t="shared" si="18"/>
        <v>106735.37363429746</v>
      </c>
      <c r="AX567" s="299">
        <f t="shared" si="31"/>
        <v>3830838.6346606831</v>
      </c>
      <c r="AY567" s="335"/>
      <c r="AZ567" s="335"/>
      <c r="BA567" s="335"/>
      <c r="BB567" s="335"/>
      <c r="BC567" s="335"/>
      <c r="BD567" s="335"/>
      <c r="BE567" s="335"/>
      <c r="BF567" s="335"/>
      <c r="BG567" s="335"/>
      <c r="BH567" s="335"/>
      <c r="BI567" s="335"/>
      <c r="BJ567" s="335"/>
      <c r="BK567" s="364"/>
      <c r="BL567" s="364"/>
      <c r="BM567" s="364"/>
      <c r="BN567" s="364"/>
      <c r="BO567" s="364"/>
      <c r="BP567" s="364"/>
      <c r="BQ567" s="335"/>
      <c r="BR567" s="335"/>
      <c r="BS567" s="364"/>
      <c r="BT567" s="364"/>
      <c r="BU567" s="364"/>
      <c r="BV567" s="364"/>
      <c r="BW567" s="364"/>
      <c r="BX567" s="364"/>
      <c r="BY567" s="335"/>
      <c r="BZ567" s="335"/>
      <c r="CA567" s="364"/>
      <c r="CB567" s="364"/>
      <c r="CC567" s="335"/>
      <c r="CD567" s="335"/>
      <c r="CE567" s="335"/>
      <c r="CF567" s="335"/>
      <c r="CG567" s="335"/>
      <c r="CH567" s="335"/>
      <c r="CI567" s="365"/>
      <c r="CJ567" s="365"/>
      <c r="CK567" s="335"/>
      <c r="CL567" s="335"/>
      <c r="CM567" s="366"/>
      <c r="CN567" s="366"/>
      <c r="CO567" s="366"/>
      <c r="CP567" s="3"/>
    </row>
    <row r="568" spans="1:94" x14ac:dyDescent="0.25">
      <c r="A568" s="34">
        <v>13</v>
      </c>
      <c r="B568" s="33">
        <f t="shared" si="19"/>
        <v>40</v>
      </c>
      <c r="C568" s="294">
        <f>VLOOKUP($B568,'Mother mortality'!$A$23:$I$124,5)</f>
        <v>1.0535641547861506E-3</v>
      </c>
      <c r="D568" s="295">
        <f t="shared" si="1"/>
        <v>0.27</v>
      </c>
      <c r="E568" s="295">
        <f t="shared" si="9"/>
        <v>0.72894643584521379</v>
      </c>
      <c r="F568" s="295">
        <f>VLOOKUP($B568,'Mother mortality'!$A$23:$I$124,5)</f>
        <v>1.0535641547861506E-3</v>
      </c>
      <c r="G568" s="295">
        <f t="shared" si="2"/>
        <v>0.14000000000000001</v>
      </c>
      <c r="H568" s="295">
        <f t="shared" si="10"/>
        <v>0.8589464358452138</v>
      </c>
      <c r="I568" s="295">
        <f>VLOOKUP($B568,'Mother mortality'!$A$23:$I$124,4)</f>
        <v>7.5254582484725048E-4</v>
      </c>
      <c r="J568" s="295">
        <f t="shared" si="11"/>
        <v>0.42781888274658131</v>
      </c>
      <c r="K568" s="295">
        <f t="shared" si="3"/>
        <v>0.5714285714285714</v>
      </c>
      <c r="L568" s="295">
        <f>VLOOKUP($B568,'Mother mortality'!$A$23:$I$124,4)</f>
        <v>7.5254582484725048E-4</v>
      </c>
      <c r="M568" s="295">
        <f t="shared" si="4"/>
        <v>8.6261668788331098E-3</v>
      </c>
      <c r="N568" s="295">
        <f t="shared" si="12"/>
        <v>0.9906212872963196</v>
      </c>
      <c r="O568" s="294"/>
      <c r="P568" s="296">
        <f t="shared" si="20"/>
        <v>629.4712369643164</v>
      </c>
      <c r="Q568" s="297">
        <f t="shared" si="21"/>
        <v>172.80112130967248</v>
      </c>
      <c r="R568" s="297">
        <f t="shared" si="22"/>
        <v>24.599119743825497</v>
      </c>
      <c r="S568" s="297">
        <f t="shared" si="23"/>
        <v>165.51291136069119</v>
      </c>
      <c r="T568" s="297">
        <f t="shared" si="24"/>
        <v>7.615610621494544</v>
      </c>
      <c r="U568" s="294">
        <f t="shared" si="13"/>
        <v>1000</v>
      </c>
      <c r="V568" s="295" t="str">
        <f t="shared" si="5"/>
        <v>OKAY</v>
      </c>
      <c r="W568" s="295"/>
      <c r="X568" s="296">
        <f>SUM($P568:$Q568)-(SUM($P568:$Q568)*(VLOOKUP($B568,Lifetime_morbidity_array!$A$6:$Y$24,4)+VLOOKUP($B568,Lifetime_morbidity_array!$A$6:$Y$24,7)+VLOOKUP($B568,Lifetime_morbidity_array!$A$6:$Y$24,10)+VLOOKUP($B568,Lifetime_morbidity_array!$A$6:$Y$24,13)))</f>
        <v>784.96169058224234</v>
      </c>
      <c r="Y568" s="297">
        <f>SUM($R568:$S568)-(SUM($R568:$S568)*(VLOOKUP($B568,Lifetime_morbidity_array!$A$6:$Y$24,3)+VLOOKUP($B568,Lifetime_morbidity_array!$A$6:$Y$24,6)+VLOOKUP($B568,Lifetime_morbidity_array!$A$6:$Y$24,9)+VLOOKUP($B568,Lifetime_morbidity_array!$A$6:$Y$24,12)))</f>
        <v>188.53160695096167</v>
      </c>
      <c r="Z568" s="297">
        <f>(SUM($P568:$Q568)*VLOOKUP($B568,Lifetime_morbidity_array!$A$6:$Y$24,4))+(SUM($R568:$S568)*VLOOKUP($B568,Lifetime_morbidity_array!$A$6:$Y$24,3))</f>
        <v>6.5596429973660584</v>
      </c>
      <c r="AA568" s="297">
        <f>(SUM($P568:$Q568)*VLOOKUP($B568,Lifetime_morbidity_array!$A$6:$Y$24,7))+(SUM($R568:$S568)*VLOOKUP($B568,Lifetime_morbidity_array!$A$6:$Y$24,6))</f>
        <v>5.5817482273115289</v>
      </c>
      <c r="AB568" s="297">
        <f>(SUM($P568:$Q568)*VLOOKUP($B568,Lifetime_morbidity_array!$A$6:$Y$24,10))+(SUM($R568:$S568)*VLOOKUP($B568,Lifetime_morbidity_array!$A$6:$Y$24,9))</f>
        <v>5.9894615749836996E-2</v>
      </c>
      <c r="AC568" s="297">
        <f>(SUM($P568:$Q568)*VLOOKUP($B568,Lifetime_morbidity_array!$A$6:$Y$24,13))+(SUM($R568:$S568)*VLOOKUP($B568,Lifetime_morbidity_array!$A$6:$Y$24,12))</f>
        <v>6.6898060048741135</v>
      </c>
      <c r="AD568" s="294"/>
      <c r="AE568" s="294">
        <f t="shared" si="25"/>
        <v>40</v>
      </c>
      <c r="AF568" s="297">
        <f t="shared" si="26"/>
        <v>634.53469987782682</v>
      </c>
      <c r="AG568" s="297">
        <f t="shared" si="27"/>
        <v>10980.362507114754</v>
      </c>
      <c r="AH568" s="294"/>
      <c r="AI568" s="294">
        <f t="shared" si="28"/>
        <v>40</v>
      </c>
      <c r="AJ568" s="295">
        <f>((VLOOKUP($B568,'Mahawesran Tariff'!$A$21:$M$120,7)*$X568)+(VLOOKUP($B568,'Mahawesran Tariff'!$A$21:$M$120,6)*$Y568)+(DET_UTIL_chd*$Z568)+(DET_UTIL_copd*$AA568)+(DET_UTIL_lc*$AB568)+(DET_UTIL_stroke*$AC568))/((1+Discount_rate_QALYs)^$A568)</f>
        <v>606.68606771146415</v>
      </c>
      <c r="AK568" s="295">
        <f t="shared" si="29"/>
        <v>10595.347318759947</v>
      </c>
      <c r="AL568" s="294"/>
      <c r="AM568" s="294">
        <f t="shared" si="14"/>
        <v>40</v>
      </c>
      <c r="AN568" s="299">
        <f t="shared" si="15"/>
        <v>104016.54743829931</v>
      </c>
      <c r="AO568" s="299">
        <f t="shared" si="30"/>
        <v>3934855.1820989824</v>
      </c>
      <c r="AP568" s="294"/>
      <c r="AQ568" s="294">
        <f t="shared" si="16"/>
        <v>40</v>
      </c>
      <c r="AR568" s="298">
        <f t="shared" si="6"/>
        <v>0.99238438937850548</v>
      </c>
      <c r="AS568" s="298">
        <f t="shared" si="7"/>
        <v>7.6156106214945443E-3</v>
      </c>
      <c r="AT568" s="298">
        <f t="shared" si="8"/>
        <v>1.8891091845301539E-2</v>
      </c>
      <c r="AU568" s="250"/>
      <c r="AV568" s="294">
        <f t="shared" si="17"/>
        <v>40</v>
      </c>
      <c r="AW568" s="299">
        <f t="shared" si="18"/>
        <v>104016.54743829931</v>
      </c>
      <c r="AX568" s="299">
        <f t="shared" si="31"/>
        <v>3934855.1820989824</v>
      </c>
      <c r="AY568" s="335"/>
      <c r="AZ568" s="335"/>
      <c r="BA568" s="335"/>
      <c r="BB568" s="335"/>
      <c r="BC568" s="335"/>
      <c r="BD568" s="335"/>
      <c r="BE568" s="335"/>
      <c r="BF568" s="335"/>
      <c r="BG568" s="335"/>
      <c r="BH568" s="335"/>
      <c r="BI568" s="335"/>
      <c r="BJ568" s="335"/>
      <c r="BK568" s="364"/>
      <c r="BL568" s="364"/>
      <c r="BM568" s="364"/>
      <c r="BN568" s="364"/>
      <c r="BO568" s="364"/>
      <c r="BP568" s="364"/>
      <c r="BQ568" s="335"/>
      <c r="BR568" s="335"/>
      <c r="BS568" s="364"/>
      <c r="BT568" s="364"/>
      <c r="BU568" s="364"/>
      <c r="BV568" s="364"/>
      <c r="BW568" s="364"/>
      <c r="BX568" s="364"/>
      <c r="BY568" s="335"/>
      <c r="BZ568" s="335"/>
      <c r="CA568" s="364"/>
      <c r="CB568" s="364"/>
      <c r="CC568" s="335"/>
      <c r="CD568" s="335"/>
      <c r="CE568" s="335"/>
      <c r="CF568" s="335"/>
      <c r="CG568" s="335"/>
      <c r="CH568" s="335"/>
      <c r="CI568" s="365"/>
      <c r="CJ568" s="365"/>
      <c r="CK568" s="335"/>
      <c r="CL568" s="335"/>
      <c r="CM568" s="366"/>
      <c r="CN568" s="366"/>
      <c r="CO568" s="366"/>
      <c r="CP568" s="3"/>
    </row>
    <row r="569" spans="1:94" x14ac:dyDescent="0.25">
      <c r="A569" s="34">
        <v>14</v>
      </c>
      <c r="B569" s="33">
        <f t="shared" si="19"/>
        <v>41</v>
      </c>
      <c r="C569" s="294">
        <f>VLOOKUP($B569,'Mother mortality'!$A$23:$I$124,5)</f>
        <v>1.1221384928716902E-3</v>
      </c>
      <c r="D569" s="295">
        <f t="shared" si="1"/>
        <v>0.27</v>
      </c>
      <c r="E569" s="295">
        <f t="shared" si="9"/>
        <v>0.7288778615071283</v>
      </c>
      <c r="F569" s="295">
        <f>VLOOKUP($B569,'Mother mortality'!$A$23:$I$124,5)</f>
        <v>1.1221384928716902E-3</v>
      </c>
      <c r="G569" s="295">
        <f t="shared" si="2"/>
        <v>0.14000000000000001</v>
      </c>
      <c r="H569" s="295">
        <f t="shared" si="10"/>
        <v>0.8588778615071283</v>
      </c>
      <c r="I569" s="295">
        <f>VLOOKUP($B569,'Mother mortality'!$A$23:$I$124,4)</f>
        <v>8.0152749490835021E-4</v>
      </c>
      <c r="J569" s="295">
        <f t="shared" si="11"/>
        <v>0.42776990107652024</v>
      </c>
      <c r="K569" s="295">
        <f t="shared" si="3"/>
        <v>0.5714285714285714</v>
      </c>
      <c r="L569" s="295">
        <f>VLOOKUP($B569,'Mother mortality'!$A$23:$I$124,4)</f>
        <v>8.0152749490835021E-4</v>
      </c>
      <c r="M569" s="295">
        <f t="shared" si="4"/>
        <v>8.6261668788331098E-3</v>
      </c>
      <c r="N569" s="295">
        <f t="shared" si="12"/>
        <v>0.99057230562625853</v>
      </c>
      <c r="O569" s="294"/>
      <c r="P569" s="296">
        <f t="shared" si="20"/>
        <v>619.17321162866756</v>
      </c>
      <c r="Q569" s="297">
        <f t="shared" si="21"/>
        <v>169.95723398036543</v>
      </c>
      <c r="R569" s="297">
        <f t="shared" si="22"/>
        <v>24.192156983354149</v>
      </c>
      <c r="S569" s="297">
        <f t="shared" si="23"/>
        <v>178.00914607108899</v>
      </c>
      <c r="T569" s="297">
        <f t="shared" si="24"/>
        <v>8.6682513365238769</v>
      </c>
      <c r="U569" s="294">
        <f t="shared" si="13"/>
        <v>1000.0000000000001</v>
      </c>
      <c r="V569" s="295" t="str">
        <f t="shared" si="5"/>
        <v>OKAY</v>
      </c>
      <c r="W569" s="295"/>
      <c r="X569" s="296">
        <f>SUM($P569:$Q569)-(SUM($P569:$Q569)*(VLOOKUP($B569,Lifetime_morbidity_array!$A$6:$Y$24,4)+VLOOKUP($B569,Lifetime_morbidity_array!$A$6:$Y$24,7)+VLOOKUP($B569,Lifetime_morbidity_array!$A$6:$Y$24,10)+VLOOKUP($B569,Lifetime_morbidity_array!$A$6:$Y$24,13)))</f>
        <v>772.10334157323302</v>
      </c>
      <c r="Y569" s="297">
        <f>SUM($R569:$S569)-(SUM($R569:$S569)*(VLOOKUP($B569,Lifetime_morbidity_array!$A$6:$Y$24,3)+VLOOKUP($B569,Lifetime_morbidity_array!$A$6:$Y$24,6)+VLOOKUP($B569,Lifetime_morbidity_array!$A$6:$Y$24,9)+VLOOKUP($B569,Lifetime_morbidity_array!$A$6:$Y$24,12)))</f>
        <v>200.5203793308317</v>
      </c>
      <c r="Z569" s="297">
        <f>(SUM($P569:$Q569)*VLOOKUP($B569,Lifetime_morbidity_array!$A$6:$Y$24,4))+(SUM($R569:$S569)*VLOOKUP($B569,Lifetime_morbidity_array!$A$6:$Y$24,3))</f>
        <v>6.5025146812926931</v>
      </c>
      <c r="AA569" s="297">
        <f>(SUM($P569:$Q569)*VLOOKUP($B569,Lifetime_morbidity_array!$A$6:$Y$24,7))+(SUM($R569:$S569)*VLOOKUP($B569,Lifetime_morbidity_array!$A$6:$Y$24,6))</f>
        <v>5.5188054018108126</v>
      </c>
      <c r="AB569" s="297">
        <f>(SUM($P569:$Q569)*VLOOKUP($B569,Lifetime_morbidity_array!$A$6:$Y$24,10))+(SUM($R569:$S569)*VLOOKUP($B569,Lifetime_morbidity_array!$A$6:$Y$24,9))</f>
        <v>5.9128668854268998E-2</v>
      </c>
      <c r="AC569" s="297">
        <f>(SUM($P569:$Q569)*VLOOKUP($B569,Lifetime_morbidity_array!$A$6:$Y$24,13))+(SUM($R569:$S569)*VLOOKUP($B569,Lifetime_morbidity_array!$A$6:$Y$24,12))</f>
        <v>6.6275790074536767</v>
      </c>
      <c r="AD569" s="294"/>
      <c r="AE569" s="294">
        <f t="shared" si="25"/>
        <v>41</v>
      </c>
      <c r="AF569" s="297">
        <f t="shared" si="26"/>
        <v>612.42670244742715</v>
      </c>
      <c r="AG569" s="297">
        <f t="shared" si="27"/>
        <v>11592.789209562181</v>
      </c>
      <c r="AH569" s="294"/>
      <c r="AI569" s="294">
        <f t="shared" si="28"/>
        <v>41</v>
      </c>
      <c r="AJ569" s="295">
        <f>((VLOOKUP($B569,'Mahawesran Tariff'!$A$21:$M$120,7)*$X569)+(VLOOKUP($B569,'Mahawesran Tariff'!$A$21:$M$120,6)*$Y569)+(DET_UTIL_chd*$Z569)+(DET_UTIL_copd*$AA569)+(DET_UTIL_lc*$AB569)+(DET_UTIL_stroke*$AC569))/((1+Discount_rate_QALYs)^$A569)</f>
        <v>585.69701425965945</v>
      </c>
      <c r="AK569" s="295">
        <f t="shared" si="29"/>
        <v>11181.044333019607</v>
      </c>
      <c r="AL569" s="294"/>
      <c r="AM569" s="294">
        <f t="shared" si="14"/>
        <v>41</v>
      </c>
      <c r="AN569" s="299">
        <f t="shared" si="15"/>
        <v>99561.699498041489</v>
      </c>
      <c r="AO569" s="299">
        <f t="shared" si="30"/>
        <v>4034416.8815970239</v>
      </c>
      <c r="AP569" s="294"/>
      <c r="AQ569" s="294">
        <f t="shared" si="16"/>
        <v>41</v>
      </c>
      <c r="AR569" s="298">
        <f t="shared" si="6"/>
        <v>0.99133174866347618</v>
      </c>
      <c r="AS569" s="298">
        <f t="shared" si="7"/>
        <v>8.6682513365238766E-3</v>
      </c>
      <c r="AT569" s="298">
        <f t="shared" si="8"/>
        <v>1.8708027759411449E-2</v>
      </c>
      <c r="AU569" s="250"/>
      <c r="AV569" s="294">
        <f t="shared" si="17"/>
        <v>41</v>
      </c>
      <c r="AW569" s="299">
        <f t="shared" si="18"/>
        <v>99561.699498041489</v>
      </c>
      <c r="AX569" s="299">
        <f t="shared" si="31"/>
        <v>4034416.8815970239</v>
      </c>
      <c r="AY569" s="335"/>
      <c r="AZ569" s="335"/>
      <c r="BA569" s="335"/>
      <c r="BB569" s="335"/>
      <c r="BC569" s="335"/>
      <c r="BD569" s="335"/>
      <c r="BE569" s="335"/>
      <c r="BF569" s="335"/>
      <c r="BG569" s="335"/>
      <c r="BH569" s="335"/>
      <c r="BI569" s="335"/>
      <c r="BJ569" s="335"/>
      <c r="BK569" s="364"/>
      <c r="BL569" s="364"/>
      <c r="BM569" s="364"/>
      <c r="BN569" s="364"/>
      <c r="BO569" s="364"/>
      <c r="BP569" s="364"/>
      <c r="BQ569" s="335"/>
      <c r="BR569" s="335"/>
      <c r="BS569" s="364"/>
      <c r="BT569" s="364"/>
      <c r="BU569" s="364"/>
      <c r="BV569" s="364"/>
      <c r="BW569" s="364"/>
      <c r="BX569" s="364"/>
      <c r="BY569" s="335"/>
      <c r="BZ569" s="335"/>
      <c r="CA569" s="364"/>
      <c r="CB569" s="364"/>
      <c r="CC569" s="335"/>
      <c r="CD569" s="335"/>
      <c r="CE569" s="335"/>
      <c r="CF569" s="335"/>
      <c r="CG569" s="335"/>
      <c r="CH569" s="335"/>
      <c r="CI569" s="365"/>
      <c r="CJ569" s="365"/>
      <c r="CK569" s="335"/>
      <c r="CL569" s="335"/>
      <c r="CM569" s="366"/>
      <c r="CN569" s="366"/>
      <c r="CO569" s="366"/>
      <c r="CP569" s="3"/>
    </row>
    <row r="570" spans="1:94" x14ac:dyDescent="0.25">
      <c r="A570" s="34">
        <v>15</v>
      </c>
      <c r="B570" s="33">
        <f t="shared" si="19"/>
        <v>42</v>
      </c>
      <c r="C570" s="294">
        <f>VLOOKUP($B570,'Mother mortality'!$A$23:$I$124,5)</f>
        <v>1.1838696537678206E-3</v>
      </c>
      <c r="D570" s="295">
        <f t="shared" si="1"/>
        <v>0.27</v>
      </c>
      <c r="E570" s="295">
        <f t="shared" si="9"/>
        <v>0.72881613034623216</v>
      </c>
      <c r="F570" s="295">
        <f>VLOOKUP($B570,'Mother mortality'!$A$23:$I$124,5)</f>
        <v>1.1838696537678206E-3</v>
      </c>
      <c r="G570" s="295">
        <f t="shared" si="2"/>
        <v>0.14000000000000001</v>
      </c>
      <c r="H570" s="295">
        <f t="shared" si="10"/>
        <v>0.85881613034623216</v>
      </c>
      <c r="I570" s="295">
        <f>VLOOKUP($B570,'Mother mortality'!$A$23:$I$124,4)</f>
        <v>8.4562118126272918E-4</v>
      </c>
      <c r="J570" s="295">
        <f t="shared" si="11"/>
        <v>0.42772580739016586</v>
      </c>
      <c r="K570" s="295">
        <f t="shared" si="3"/>
        <v>0.5714285714285714</v>
      </c>
      <c r="L570" s="295">
        <f>VLOOKUP($B570,'Mother mortality'!$A$23:$I$124,4)</f>
        <v>8.4562118126272918E-4</v>
      </c>
      <c r="M570" s="295">
        <f t="shared" si="4"/>
        <v>8.6261668788331098E-3</v>
      </c>
      <c r="N570" s="295">
        <f t="shared" si="12"/>
        <v>0.99052821193990415</v>
      </c>
      <c r="O570" s="294"/>
      <c r="P570" s="296">
        <f t="shared" si="20"/>
        <v>609.10858460280338</v>
      </c>
      <c r="Q570" s="297">
        <f t="shared" si="21"/>
        <v>167.17676713974026</v>
      </c>
      <c r="R570" s="297">
        <f t="shared" si="22"/>
        <v>23.794012757251163</v>
      </c>
      <c r="S570" s="297">
        <f t="shared" si="23"/>
        <v>190.1471708715188</v>
      </c>
      <c r="T570" s="297">
        <f t="shared" si="24"/>
        <v>9.7734646286864511</v>
      </c>
      <c r="U570" s="294">
        <f t="shared" si="13"/>
        <v>1000.0000000000001</v>
      </c>
      <c r="V570" s="295" t="str">
        <f t="shared" si="5"/>
        <v>OKAY</v>
      </c>
      <c r="W570" s="295"/>
      <c r="X570" s="296">
        <f>SUM($P570:$Q570)-(SUM($P570:$Q570)*(VLOOKUP($B570,Lifetime_morbidity_array!$A$6:$Y$24,4)+VLOOKUP($B570,Lifetime_morbidity_array!$A$6:$Y$24,7)+VLOOKUP($B570,Lifetime_morbidity_array!$A$6:$Y$24,10)+VLOOKUP($B570,Lifetime_morbidity_array!$A$6:$Y$24,13)))</f>
        <v>759.53540688978023</v>
      </c>
      <c r="Y570" s="297">
        <f>SUM($R570:$S570)-(SUM($R570:$S570)*(VLOOKUP($B570,Lifetime_morbidity_array!$A$6:$Y$24,3)+VLOOKUP($B570,Lifetime_morbidity_array!$A$6:$Y$24,6)+VLOOKUP($B570,Lifetime_morbidity_array!$A$6:$Y$24,9)+VLOOKUP($B570,Lifetime_morbidity_array!$A$6:$Y$24,12)))</f>
        <v>212.16266486758133</v>
      </c>
      <c r="Z570" s="297">
        <f>(SUM($P570:$Q570)*VLOOKUP($B570,Lifetime_morbidity_array!$A$6:$Y$24,4))+(SUM($R570:$S570)*VLOOKUP($B570,Lifetime_morbidity_array!$A$6:$Y$24,3))</f>
        <v>6.4464239329235005</v>
      </c>
      <c r="AA570" s="297">
        <f>(SUM($P570:$Q570)*VLOOKUP($B570,Lifetime_morbidity_array!$A$6:$Y$24,7))+(SUM($R570:$S570)*VLOOKUP($B570,Lifetime_morbidity_array!$A$6:$Y$24,6))</f>
        <v>5.4571411085331851</v>
      </c>
      <c r="AB570" s="297">
        <f>(SUM($P570:$Q570)*VLOOKUP($B570,Lifetime_morbidity_array!$A$6:$Y$24,10))+(SUM($R570:$S570)*VLOOKUP($B570,Lifetime_morbidity_array!$A$6:$Y$24,9))</f>
        <v>5.8378940815911905E-2</v>
      </c>
      <c r="AC570" s="297">
        <f>(SUM($P570:$Q570)*VLOOKUP($B570,Lifetime_morbidity_array!$A$6:$Y$24,13))+(SUM($R570:$S570)*VLOOKUP($B570,Lifetime_morbidity_array!$A$6:$Y$24,12))</f>
        <v>6.5665196316793937</v>
      </c>
      <c r="AD570" s="294"/>
      <c r="AE570" s="294">
        <f t="shared" si="25"/>
        <v>42</v>
      </c>
      <c r="AF570" s="297">
        <f t="shared" si="26"/>
        <v>591.05692927648067</v>
      </c>
      <c r="AG570" s="297">
        <f t="shared" si="27"/>
        <v>12183.846138838662</v>
      </c>
      <c r="AH570" s="294"/>
      <c r="AI570" s="294">
        <f t="shared" si="28"/>
        <v>42</v>
      </c>
      <c r="AJ570" s="295">
        <f>((VLOOKUP($B570,'Mahawesran Tariff'!$A$21:$M$120,7)*$X570)+(VLOOKUP($B570,'Mahawesran Tariff'!$A$21:$M$120,6)*$Y570)+(DET_UTIL_chd*$Z570)+(DET_UTIL_copd*$AA570)+(DET_UTIL_lc*$AB570)+(DET_UTIL_stroke*$AC570))/((1+Discount_rate_QALYs)^$A570)</f>
        <v>565.39976585397415</v>
      </c>
      <c r="AK570" s="295">
        <f t="shared" si="29"/>
        <v>11746.444098873581</v>
      </c>
      <c r="AL570" s="294"/>
      <c r="AM570" s="294">
        <f t="shared" si="14"/>
        <v>42</v>
      </c>
      <c r="AN570" s="299">
        <f t="shared" si="15"/>
        <v>95306.213441689179</v>
      </c>
      <c r="AO570" s="299">
        <f t="shared" si="30"/>
        <v>4129723.095038713</v>
      </c>
      <c r="AP570" s="294"/>
      <c r="AQ570" s="294">
        <f t="shared" si="16"/>
        <v>42</v>
      </c>
      <c r="AR570" s="298">
        <f t="shared" si="6"/>
        <v>0.99022653537131367</v>
      </c>
      <c r="AS570" s="298">
        <f t="shared" si="7"/>
        <v>9.7734646286864509E-3</v>
      </c>
      <c r="AT570" s="298">
        <f t="shared" si="8"/>
        <v>1.8528463613951992E-2</v>
      </c>
      <c r="AU570" s="250"/>
      <c r="AV570" s="294">
        <f t="shared" si="17"/>
        <v>42</v>
      </c>
      <c r="AW570" s="299">
        <f t="shared" si="18"/>
        <v>95306.213441689179</v>
      </c>
      <c r="AX570" s="299">
        <f t="shared" si="31"/>
        <v>4129723.095038713</v>
      </c>
      <c r="AY570" s="335"/>
      <c r="AZ570" s="335"/>
      <c r="BA570" s="335"/>
      <c r="BB570" s="335"/>
      <c r="BC570" s="335"/>
      <c r="BD570" s="335"/>
      <c r="BE570" s="335"/>
      <c r="BF570" s="335"/>
      <c r="BG570" s="335"/>
      <c r="BH570" s="335"/>
      <c r="BI570" s="335"/>
      <c r="BJ570" s="335"/>
      <c r="BK570" s="364"/>
      <c r="BL570" s="364"/>
      <c r="BM570" s="364"/>
      <c r="BN570" s="364"/>
      <c r="BO570" s="364"/>
      <c r="BP570" s="364"/>
      <c r="BQ570" s="335"/>
      <c r="BR570" s="335"/>
      <c r="BS570" s="364"/>
      <c r="BT570" s="364"/>
      <c r="BU570" s="364"/>
      <c r="BV570" s="364"/>
      <c r="BW570" s="364"/>
      <c r="BX570" s="364"/>
      <c r="BY570" s="335"/>
      <c r="BZ570" s="335"/>
      <c r="CA570" s="364"/>
      <c r="CB570" s="364"/>
      <c r="CC570" s="335"/>
      <c r="CD570" s="335"/>
      <c r="CE570" s="335"/>
      <c r="CF570" s="335"/>
      <c r="CG570" s="335"/>
      <c r="CH570" s="335"/>
      <c r="CI570" s="365"/>
      <c r="CJ570" s="365"/>
      <c r="CK570" s="335"/>
      <c r="CL570" s="335"/>
      <c r="CM570" s="366"/>
      <c r="CN570" s="366"/>
      <c r="CO570" s="366"/>
      <c r="CP570" s="3"/>
    </row>
    <row r="571" spans="1:94" x14ac:dyDescent="0.25">
      <c r="A571" s="34">
        <v>16</v>
      </c>
      <c r="B571" s="33">
        <f t="shared" si="19"/>
        <v>43</v>
      </c>
      <c r="C571" s="294">
        <f>VLOOKUP($B571,'Mother mortality'!$A$23:$I$124,5)</f>
        <v>1.2351934826883909E-3</v>
      </c>
      <c r="D571" s="295">
        <f t="shared" si="1"/>
        <v>0.27</v>
      </c>
      <c r="E571" s="295">
        <f t="shared" si="9"/>
        <v>0.72876480651731157</v>
      </c>
      <c r="F571" s="295">
        <f>VLOOKUP($B571,'Mother mortality'!$A$23:$I$124,5)</f>
        <v>1.2351934826883909E-3</v>
      </c>
      <c r="G571" s="295">
        <f t="shared" si="2"/>
        <v>0.14000000000000001</v>
      </c>
      <c r="H571" s="295">
        <f t="shared" si="10"/>
        <v>0.85876480651731157</v>
      </c>
      <c r="I571" s="295">
        <f>VLOOKUP($B571,'Mother mortality'!$A$23:$I$124,4)</f>
        <v>8.8228105906313649E-4</v>
      </c>
      <c r="J571" s="295">
        <f t="shared" si="11"/>
        <v>0.42768914751236542</v>
      </c>
      <c r="K571" s="295">
        <f t="shared" si="3"/>
        <v>0.5714285714285714</v>
      </c>
      <c r="L571" s="295">
        <f>VLOOKUP($B571,'Mother mortality'!$A$23:$I$124,4)</f>
        <v>8.8228105906313649E-4</v>
      </c>
      <c r="M571" s="295">
        <f t="shared" si="4"/>
        <v>8.6261668788331098E-3</v>
      </c>
      <c r="N571" s="295">
        <f t="shared" si="12"/>
        <v>0.99049155206210371</v>
      </c>
      <c r="O571" s="294"/>
      <c r="P571" s="296">
        <f t="shared" si="20"/>
        <v>599.27910615256701</v>
      </c>
      <c r="Q571" s="297">
        <f t="shared" si="21"/>
        <v>164.45931784275692</v>
      </c>
      <c r="R571" s="297">
        <f t="shared" si="22"/>
        <v>23.404747399563639</v>
      </c>
      <c r="S571" s="297">
        <f t="shared" si="23"/>
        <v>201.93574511517792</v>
      </c>
      <c r="T571" s="297">
        <f t="shared" si="24"/>
        <v>10.921083489934517</v>
      </c>
      <c r="U571" s="294">
        <f t="shared" si="13"/>
        <v>1000.0000000000001</v>
      </c>
      <c r="V571" s="295" t="str">
        <f t="shared" si="5"/>
        <v>OKAY</v>
      </c>
      <c r="W571" s="295"/>
      <c r="X571" s="296">
        <f>SUM($P571:$Q571)-(SUM($P571:$Q571)*(VLOOKUP($B571,Lifetime_morbidity_array!$A$6:$Y$24,4)+VLOOKUP($B571,Lifetime_morbidity_array!$A$6:$Y$24,7)+VLOOKUP($B571,Lifetime_morbidity_array!$A$6:$Y$24,10)+VLOOKUP($B571,Lifetime_morbidity_array!$A$6:$Y$24,13)))</f>
        <v>747.25920478148419</v>
      </c>
      <c r="Y571" s="297">
        <f>SUM($R571:$S571)-(SUM($R571:$S571)*(VLOOKUP($B571,Lifetime_morbidity_array!$A$6:$Y$24,3)+VLOOKUP($B571,Lifetime_morbidity_array!$A$6:$Y$24,6)+VLOOKUP($B571,Lifetime_morbidity_array!$A$6:$Y$24,9)+VLOOKUP($B571,Lifetime_morbidity_array!$A$6:$Y$24,12)))</f>
        <v>223.46720992933544</v>
      </c>
      <c r="Z571" s="297">
        <f>(SUM($P571:$Q571)*VLOOKUP($B571,Lifetime_morbidity_array!$A$6:$Y$24,4))+(SUM($R571:$S571)*VLOOKUP($B571,Lifetime_morbidity_array!$A$6:$Y$24,3))</f>
        <v>6.3914099052243687</v>
      </c>
      <c r="AA571" s="297">
        <f>(SUM($P571:$Q571)*VLOOKUP($B571,Lifetime_morbidity_array!$A$6:$Y$24,7))+(SUM($R571:$S571)*VLOOKUP($B571,Lifetime_morbidity_array!$A$6:$Y$24,6))</f>
        <v>5.3967806509820848</v>
      </c>
      <c r="AB571" s="297">
        <f>(SUM($P571:$Q571)*VLOOKUP($B571,Lifetime_morbidity_array!$A$6:$Y$24,10))+(SUM($R571:$S571)*VLOOKUP($B571,Lifetime_morbidity_array!$A$6:$Y$24,9))</f>
        <v>5.7645652529160971E-2</v>
      </c>
      <c r="AC571" s="297">
        <f>(SUM($P571:$Q571)*VLOOKUP($B571,Lifetime_morbidity_array!$A$6:$Y$24,13))+(SUM($R571:$S571)*VLOOKUP($B571,Lifetime_morbidity_array!$A$6:$Y$24,12))</f>
        <v>6.5066655905102904</v>
      </c>
      <c r="AD571" s="294"/>
      <c r="AE571" s="294">
        <f t="shared" si="25"/>
        <v>43</v>
      </c>
      <c r="AF571" s="297">
        <f t="shared" si="26"/>
        <v>570.40765830381156</v>
      </c>
      <c r="AG571" s="297">
        <f t="shared" si="27"/>
        <v>12754.253797142474</v>
      </c>
      <c r="AH571" s="294"/>
      <c r="AI571" s="294">
        <f t="shared" si="28"/>
        <v>43</v>
      </c>
      <c r="AJ571" s="295">
        <f>((VLOOKUP($B571,'Mahawesran Tariff'!$A$21:$M$120,7)*$X571)+(VLOOKUP($B571,'Mahawesran Tariff'!$A$21:$M$120,6)*$Y571)+(DET_UTIL_chd*$Z571)+(DET_UTIL_copd*$AA571)+(DET_UTIL_lc*$AB571)+(DET_UTIL_stroke*$AC571))/((1+Discount_rate_QALYs)^$A571)</f>
        <v>545.7783681089893</v>
      </c>
      <c r="AK571" s="295">
        <f t="shared" si="29"/>
        <v>12292.22246698257</v>
      </c>
      <c r="AL571" s="294"/>
      <c r="AM571" s="294">
        <f t="shared" si="14"/>
        <v>43</v>
      </c>
      <c r="AN571" s="299">
        <f t="shared" si="15"/>
        <v>91241.652325088522</v>
      </c>
      <c r="AO571" s="299">
        <f t="shared" si="30"/>
        <v>4220964.7473638011</v>
      </c>
      <c r="AP571" s="294"/>
      <c r="AQ571" s="294">
        <f t="shared" si="16"/>
        <v>43</v>
      </c>
      <c r="AR571" s="298">
        <f t="shared" si="6"/>
        <v>0.98907891651006563</v>
      </c>
      <c r="AS571" s="298">
        <f t="shared" si="7"/>
        <v>1.0921083489934518E-2</v>
      </c>
      <c r="AT571" s="298">
        <f t="shared" si="8"/>
        <v>1.8352501799245902E-2</v>
      </c>
      <c r="AU571" s="250"/>
      <c r="AV571" s="294">
        <f t="shared" si="17"/>
        <v>43</v>
      </c>
      <c r="AW571" s="299">
        <f t="shared" si="18"/>
        <v>91241.652325088522</v>
      </c>
      <c r="AX571" s="299">
        <f t="shared" si="31"/>
        <v>4220964.7473638011</v>
      </c>
      <c r="AY571" s="335"/>
      <c r="AZ571" s="335"/>
      <c r="BA571" s="335"/>
      <c r="BB571" s="335"/>
      <c r="BC571" s="335"/>
      <c r="BD571" s="335"/>
      <c r="BE571" s="335"/>
      <c r="BF571" s="335"/>
      <c r="BG571" s="335"/>
      <c r="BH571" s="335"/>
      <c r="BI571" s="335"/>
      <c r="BJ571" s="335"/>
      <c r="BK571" s="364"/>
      <c r="BL571" s="364"/>
      <c r="BM571" s="364"/>
      <c r="BN571" s="364"/>
      <c r="BO571" s="364"/>
      <c r="BP571" s="364"/>
      <c r="BQ571" s="335"/>
      <c r="BR571" s="335"/>
      <c r="BS571" s="364"/>
      <c r="BT571" s="364"/>
      <c r="BU571" s="364"/>
      <c r="BV571" s="364"/>
      <c r="BW571" s="364"/>
      <c r="BX571" s="364"/>
      <c r="BY571" s="335"/>
      <c r="BZ571" s="335"/>
      <c r="CA571" s="364"/>
      <c r="CB571" s="364"/>
      <c r="CC571" s="335"/>
      <c r="CD571" s="335"/>
      <c r="CE571" s="335"/>
      <c r="CF571" s="335"/>
      <c r="CG571" s="335"/>
      <c r="CH571" s="335"/>
      <c r="CI571" s="365"/>
      <c r="CJ571" s="365"/>
      <c r="CK571" s="335"/>
      <c r="CL571" s="335"/>
      <c r="CM571" s="366"/>
      <c r="CN571" s="366"/>
      <c r="CO571" s="366"/>
      <c r="CP571" s="3"/>
    </row>
    <row r="572" spans="1:94" x14ac:dyDescent="0.25">
      <c r="A572" s="34">
        <v>17</v>
      </c>
      <c r="B572" s="33">
        <f t="shared" si="19"/>
        <v>44</v>
      </c>
      <c r="C572" s="294">
        <f>VLOOKUP($B572,'Mother mortality'!$A$23:$I$124,5)</f>
        <v>1.2819551934826882E-3</v>
      </c>
      <c r="D572" s="295">
        <f t="shared" si="1"/>
        <v>0.27</v>
      </c>
      <c r="E572" s="295">
        <f t="shared" si="9"/>
        <v>0.72871804480651725</v>
      </c>
      <c r="F572" s="295">
        <f>VLOOKUP($B572,'Mother mortality'!$A$23:$I$124,5)</f>
        <v>1.2819551934826882E-3</v>
      </c>
      <c r="G572" s="295">
        <f t="shared" si="2"/>
        <v>0.14000000000000001</v>
      </c>
      <c r="H572" s="295">
        <f t="shared" si="10"/>
        <v>0.85871804480651726</v>
      </c>
      <c r="I572" s="295">
        <f>VLOOKUP($B572,'Mother mortality'!$A$23:$I$124,4)</f>
        <v>9.156822810590632E-4</v>
      </c>
      <c r="J572" s="295">
        <f t="shared" si="11"/>
        <v>0.42765574629036951</v>
      </c>
      <c r="K572" s="295">
        <f t="shared" si="3"/>
        <v>0.5714285714285714</v>
      </c>
      <c r="L572" s="295">
        <f>VLOOKUP($B572,'Mother mortality'!$A$23:$I$124,4)</f>
        <v>9.156822810590632E-4</v>
      </c>
      <c r="M572" s="295">
        <f t="shared" si="4"/>
        <v>8.6261668788331098E-3</v>
      </c>
      <c r="N572" s="295">
        <f t="shared" si="12"/>
        <v>0.9904581508401078</v>
      </c>
      <c r="O572" s="294"/>
      <c r="P572" s="296">
        <f t="shared" si="20"/>
        <v>589.6807885491047</v>
      </c>
      <c r="Q572" s="297">
        <f t="shared" si="21"/>
        <v>161.80535866119311</v>
      </c>
      <c r="R572" s="297">
        <f t="shared" si="22"/>
        <v>23.02430449798597</v>
      </c>
      <c r="S572" s="297">
        <f t="shared" si="23"/>
        <v>213.3830460664777</v>
      </c>
      <c r="T572" s="297">
        <f t="shared" si="24"/>
        <v>12.106502225238476</v>
      </c>
      <c r="U572" s="294">
        <f t="shared" si="13"/>
        <v>1000</v>
      </c>
      <c r="V572" s="295" t="str">
        <f t="shared" si="5"/>
        <v>OKAY</v>
      </c>
      <c r="W572" s="295"/>
      <c r="X572" s="296">
        <f>SUM($P572:$Q572)-(SUM($P572:$Q572)*(VLOOKUP($B572,Lifetime_morbidity_array!$A$6:$Y$24,4)+VLOOKUP($B572,Lifetime_morbidity_array!$A$6:$Y$24,7)+VLOOKUP($B572,Lifetime_morbidity_array!$A$6:$Y$24,10)+VLOOKUP($B572,Lifetime_morbidity_array!$A$6:$Y$24,13)))</f>
        <v>735.27129593797497</v>
      </c>
      <c r="Y572" s="297">
        <f>SUM($R572:$S572)-(SUM($R572:$S572)*(VLOOKUP($B572,Lifetime_morbidity_array!$A$6:$Y$24,3)+VLOOKUP($B572,Lifetime_morbidity_array!$A$6:$Y$24,6)+VLOOKUP($B572,Lifetime_morbidity_array!$A$6:$Y$24,9)+VLOOKUP($B572,Lifetime_morbidity_array!$A$6:$Y$24,12)))</f>
        <v>234.44206785858054</v>
      </c>
      <c r="Z572" s="297">
        <f>(SUM($P572:$Q572)*VLOOKUP($B572,Lifetime_morbidity_array!$A$6:$Y$24,4))+(SUM($R572:$S572)*VLOOKUP($B572,Lifetime_morbidity_array!$A$6:$Y$24,3))</f>
        <v>6.3374734947564031</v>
      </c>
      <c r="AA572" s="297">
        <f>(SUM($P572:$Q572)*VLOOKUP($B572,Lifetime_morbidity_array!$A$6:$Y$24,7))+(SUM($R572:$S572)*VLOOKUP($B572,Lifetime_morbidity_array!$A$6:$Y$24,6))</f>
        <v>5.337716352029596</v>
      </c>
      <c r="AB572" s="297">
        <f>(SUM($P572:$Q572)*VLOOKUP($B572,Lifetime_morbidity_array!$A$6:$Y$24,10))+(SUM($R572:$S572)*VLOOKUP($B572,Lifetime_morbidity_array!$A$6:$Y$24,9))</f>
        <v>5.692866829147409E-2</v>
      </c>
      <c r="AC572" s="297">
        <f>(SUM($P572:$Q572)*VLOOKUP($B572,Lifetime_morbidity_array!$A$6:$Y$24,13))+(SUM($R572:$S572)*VLOOKUP($B572,Lifetime_morbidity_array!$A$6:$Y$24,12))</f>
        <v>6.4480154631284385</v>
      </c>
      <c r="AD572" s="294"/>
      <c r="AE572" s="294">
        <f t="shared" si="25"/>
        <v>44</v>
      </c>
      <c r="AF572" s="297">
        <f t="shared" si="26"/>
        <v>550.45799063894128</v>
      </c>
      <c r="AG572" s="297">
        <f t="shared" si="27"/>
        <v>13304.711787781414</v>
      </c>
      <c r="AH572" s="294"/>
      <c r="AI572" s="294">
        <f t="shared" si="28"/>
        <v>44</v>
      </c>
      <c r="AJ572" s="295">
        <f>((VLOOKUP($B572,'Mahawesran Tariff'!$A$21:$M$120,7)*$X572)+(VLOOKUP($B572,'Mahawesran Tariff'!$A$21:$M$120,6)*$Y572)+(DET_UTIL_chd*$Z572)+(DET_UTIL_copd*$AA572)+(DET_UTIL_lc*$AB572)+(DET_UTIL_stroke*$AC572))/((1+Discount_rate_QALYs)^$A572)</f>
        <v>526.81377253557559</v>
      </c>
      <c r="AK572" s="295">
        <f t="shared" si="29"/>
        <v>12819.036239518146</v>
      </c>
      <c r="AL572" s="294"/>
      <c r="AM572" s="294">
        <f t="shared" si="14"/>
        <v>44</v>
      </c>
      <c r="AN572" s="299">
        <f t="shared" si="15"/>
        <v>87359.37530038548</v>
      </c>
      <c r="AO572" s="299">
        <f t="shared" si="30"/>
        <v>4308324.1226641862</v>
      </c>
      <c r="AP572" s="294"/>
      <c r="AQ572" s="294">
        <f t="shared" si="16"/>
        <v>44</v>
      </c>
      <c r="AR572" s="298">
        <f t="shared" si="6"/>
        <v>0.98789349777476154</v>
      </c>
      <c r="AS572" s="298">
        <f t="shared" si="7"/>
        <v>1.2106502225238475E-2</v>
      </c>
      <c r="AT572" s="298">
        <f t="shared" si="8"/>
        <v>1.8180133978205913E-2</v>
      </c>
      <c r="AU572" s="250"/>
      <c r="AV572" s="294">
        <f t="shared" si="17"/>
        <v>44</v>
      </c>
      <c r="AW572" s="299">
        <f t="shared" si="18"/>
        <v>87359.37530038548</v>
      </c>
      <c r="AX572" s="299">
        <f t="shared" si="31"/>
        <v>4308324.1226641862</v>
      </c>
      <c r="AY572" s="335"/>
      <c r="AZ572" s="335"/>
      <c r="BA572" s="335"/>
      <c r="BB572" s="335"/>
      <c r="BC572" s="335"/>
      <c r="BD572" s="335"/>
      <c r="BE572" s="335"/>
      <c r="BF572" s="335"/>
      <c r="BG572" s="335"/>
      <c r="BH572" s="335"/>
      <c r="BI572" s="335"/>
      <c r="BJ572" s="335"/>
      <c r="BK572" s="364"/>
      <c r="BL572" s="364"/>
      <c r="BM572" s="364"/>
      <c r="BN572" s="364"/>
      <c r="BO572" s="364"/>
      <c r="BP572" s="364"/>
      <c r="BQ572" s="335"/>
      <c r="BR572" s="335"/>
      <c r="BS572" s="364"/>
      <c r="BT572" s="364"/>
      <c r="BU572" s="364"/>
      <c r="BV572" s="364"/>
      <c r="BW572" s="364"/>
      <c r="BX572" s="364"/>
      <c r="BY572" s="335"/>
      <c r="BZ572" s="335"/>
      <c r="CA572" s="364"/>
      <c r="CB572" s="364"/>
      <c r="CC572" s="335"/>
      <c r="CD572" s="335"/>
      <c r="CE572" s="335"/>
      <c r="CF572" s="335"/>
      <c r="CG572" s="335"/>
      <c r="CH572" s="335"/>
      <c r="CI572" s="365"/>
      <c r="CJ572" s="365"/>
      <c r="CK572" s="335"/>
      <c r="CL572" s="335"/>
      <c r="CM572" s="366"/>
      <c r="CN572" s="366"/>
      <c r="CO572" s="366"/>
      <c r="CP572" s="3"/>
    </row>
    <row r="573" spans="1:94" x14ac:dyDescent="0.25">
      <c r="A573" s="34">
        <v>18</v>
      </c>
      <c r="B573" s="33">
        <f t="shared" si="19"/>
        <v>45</v>
      </c>
      <c r="C573" s="294">
        <f>VLOOKUP($B573,'Mother mortality'!$A$23:$I$124,5)</f>
        <v>1.4701633923361213E-3</v>
      </c>
      <c r="D573" s="295">
        <f t="shared" si="1"/>
        <v>0.27</v>
      </c>
      <c r="E573" s="295">
        <f t="shared" si="9"/>
        <v>0.72852983660766391</v>
      </c>
      <c r="F573" s="295">
        <f>VLOOKUP($B573,'Mother mortality'!$A$23:$I$124,5)</f>
        <v>1.4701633923361213E-3</v>
      </c>
      <c r="G573" s="295">
        <f t="shared" si="2"/>
        <v>0.14000000000000001</v>
      </c>
      <c r="H573" s="295">
        <f t="shared" si="10"/>
        <v>0.85852983660766391</v>
      </c>
      <c r="I573" s="295">
        <f>VLOOKUP($B573,'Mother mortality'!$A$23:$I$124,4)</f>
        <v>8.8935810153666615E-4</v>
      </c>
      <c r="J573" s="295">
        <f t="shared" si="11"/>
        <v>0.42768207046989193</v>
      </c>
      <c r="K573" s="295">
        <f t="shared" si="3"/>
        <v>0.5714285714285714</v>
      </c>
      <c r="L573" s="295">
        <f>VLOOKUP($B573,'Mother mortality'!$A$23:$I$124,4)</f>
        <v>8.8935810153666615E-4</v>
      </c>
      <c r="M573" s="295">
        <f t="shared" si="4"/>
        <v>8.6261668788331098E-3</v>
      </c>
      <c r="N573" s="295">
        <f t="shared" si="12"/>
        <v>0.99048447501963022</v>
      </c>
      <c r="O573" s="294"/>
      <c r="P573" s="296">
        <f t="shared" si="20"/>
        <v>580.20253664930726</v>
      </c>
      <c r="Q573" s="297">
        <f t="shared" si="21"/>
        <v>159.21381290825829</v>
      </c>
      <c r="R573" s="297">
        <f t="shared" si="22"/>
        <v>22.652750212567039</v>
      </c>
      <c r="S573" s="297">
        <f t="shared" si="23"/>
        <v>224.5093397886653</v>
      </c>
      <c r="T573" s="297">
        <f t="shared" si="24"/>
        <v>13.421560441202095</v>
      </c>
      <c r="U573" s="294">
        <f t="shared" si="13"/>
        <v>1000.0000000000001</v>
      </c>
      <c r="V573" s="295" t="str">
        <f t="shared" si="5"/>
        <v>OKAY</v>
      </c>
      <c r="W573" s="295"/>
      <c r="X573" s="296">
        <f>SUM($P573:$Q573)-(SUM($P573:$Q573)*(VLOOKUP($B573,Lifetime_morbidity_array!$A$6:$Y$24,4)+VLOOKUP($B573,Lifetime_morbidity_array!$A$6:$Y$24,7)+VLOOKUP($B573,Lifetime_morbidity_array!$A$6:$Y$24,10)+VLOOKUP($B573,Lifetime_morbidity_array!$A$6:$Y$24,13)))</f>
        <v>690.01106879090662</v>
      </c>
      <c r="Y573" s="297">
        <f>SUM($R573:$S573)-(SUM($R573:$S573)*(VLOOKUP($B573,Lifetime_morbidity_array!$A$6:$Y$24,3)+VLOOKUP($B573,Lifetime_morbidity_array!$A$6:$Y$24,6)+VLOOKUP($B573,Lifetime_morbidity_array!$A$6:$Y$24,9)+VLOOKUP($B573,Lifetime_morbidity_array!$A$6:$Y$24,12)))</f>
        <v>240.68101263921292</v>
      </c>
      <c r="Z573" s="297">
        <f>(SUM($P573:$Q573)*VLOOKUP($B573,Lifetime_morbidity_array!$A$6:$Y$24,4))+(SUM($R573:$S573)*VLOOKUP($B573,Lifetime_morbidity_array!$A$6:$Y$24,3))</f>
        <v>27.232494961742791</v>
      </c>
      <c r="AA573" s="297">
        <f>(SUM($P573:$Q573)*VLOOKUP($B573,Lifetime_morbidity_array!$A$6:$Y$24,7))+(SUM($R573:$S573)*VLOOKUP($B573,Lifetime_morbidity_array!$A$6:$Y$24,6))</f>
        <v>12.323508669390399</v>
      </c>
      <c r="AB573" s="297">
        <f>(SUM($P573:$Q573)*VLOOKUP($B573,Lifetime_morbidity_array!$A$6:$Y$24,10))+(SUM($R573:$S573)*VLOOKUP($B573,Lifetime_morbidity_array!$A$6:$Y$24,9))</f>
        <v>1.943683842004766</v>
      </c>
      <c r="AC573" s="297">
        <f>(SUM($P573:$Q573)*VLOOKUP($B573,Lifetime_morbidity_array!$A$6:$Y$24,13))+(SUM($R573:$S573)*VLOOKUP($B573,Lifetime_morbidity_array!$A$6:$Y$24,12))</f>
        <v>14.386670655540424</v>
      </c>
      <c r="AD573" s="294"/>
      <c r="AE573" s="294">
        <f t="shared" si="25"/>
        <v>45</v>
      </c>
      <c r="AF573" s="297">
        <f t="shared" si="26"/>
        <v>531.13549297664736</v>
      </c>
      <c r="AG573" s="297">
        <f t="shared" si="27"/>
        <v>13835.847280758062</v>
      </c>
      <c r="AH573" s="294"/>
      <c r="AI573" s="294">
        <f t="shared" si="28"/>
        <v>45</v>
      </c>
      <c r="AJ573" s="295">
        <f>((VLOOKUP($B573,'Mahawesran Tariff'!$A$21:$M$120,7)*$X573)+(VLOOKUP($B573,'Mahawesran Tariff'!$A$21:$M$120,6)*$Y573)+(DET_UTIL_chd*$Z573)+(DET_UTIL_copd*$AA573)+(DET_UTIL_lc*$AB573)+(DET_UTIL_stroke*$AC573))/((1+Discount_rate_QALYs)^$A573)</f>
        <v>486.62259755336777</v>
      </c>
      <c r="AK573" s="295">
        <f t="shared" si="29"/>
        <v>13305.658837071513</v>
      </c>
      <c r="AL573" s="294"/>
      <c r="AM573" s="294">
        <f t="shared" si="14"/>
        <v>45</v>
      </c>
      <c r="AN573" s="299">
        <f t="shared" si="15"/>
        <v>210815.57514885502</v>
      </c>
      <c r="AO573" s="299">
        <f t="shared" si="30"/>
        <v>4519139.6978130415</v>
      </c>
      <c r="AP573" s="294"/>
      <c r="AQ573" s="294">
        <f t="shared" si="16"/>
        <v>45</v>
      </c>
      <c r="AR573" s="298">
        <f t="shared" si="6"/>
        <v>0.98657843955879798</v>
      </c>
      <c r="AS573" s="298">
        <f t="shared" si="7"/>
        <v>1.3421560441202095E-2</v>
      </c>
      <c r="AT573" s="298">
        <f t="shared" si="8"/>
        <v>5.5886358128678384E-2</v>
      </c>
      <c r="AU573" s="250"/>
      <c r="AV573" s="294">
        <f t="shared" si="17"/>
        <v>45</v>
      </c>
      <c r="AW573" s="299">
        <f t="shared" si="18"/>
        <v>210815.57514885502</v>
      </c>
      <c r="AX573" s="299">
        <f t="shared" si="31"/>
        <v>4519139.6978130415</v>
      </c>
      <c r="AY573" s="335"/>
      <c r="AZ573" s="335"/>
      <c r="BA573" s="335"/>
      <c r="BB573" s="335"/>
      <c r="BC573" s="335"/>
      <c r="BD573" s="335"/>
      <c r="BE573" s="335"/>
      <c r="BF573" s="335"/>
      <c r="BG573" s="335"/>
      <c r="BH573" s="335"/>
      <c r="BI573" s="335"/>
      <c r="BJ573" s="335"/>
      <c r="BK573" s="364"/>
      <c r="BL573" s="364"/>
      <c r="BM573" s="364"/>
      <c r="BN573" s="364"/>
      <c r="BO573" s="364"/>
      <c r="BP573" s="364"/>
      <c r="BQ573" s="335"/>
      <c r="BR573" s="335"/>
      <c r="BS573" s="364"/>
      <c r="BT573" s="364"/>
      <c r="BU573" s="364"/>
      <c r="BV573" s="364"/>
      <c r="BW573" s="364"/>
      <c r="BX573" s="364"/>
      <c r="BY573" s="335"/>
      <c r="BZ573" s="335"/>
      <c r="CA573" s="364"/>
      <c r="CB573" s="364"/>
      <c r="CC573" s="335"/>
      <c r="CD573" s="335"/>
      <c r="CE573" s="335"/>
      <c r="CF573" s="335"/>
      <c r="CG573" s="335"/>
      <c r="CH573" s="335"/>
      <c r="CI573" s="365"/>
      <c r="CJ573" s="365"/>
      <c r="CK573" s="335"/>
      <c r="CL573" s="335"/>
      <c r="CM573" s="366"/>
      <c r="CN573" s="366"/>
      <c r="CO573" s="366"/>
      <c r="CP573" s="3"/>
    </row>
    <row r="574" spans="1:94" x14ac:dyDescent="0.25">
      <c r="A574" s="34">
        <v>19</v>
      </c>
      <c r="B574" s="33">
        <f t="shared" si="19"/>
        <v>46</v>
      </c>
      <c r="C574" s="294">
        <f>VLOOKUP($B574,'Mother mortality'!$A$23:$I$124,5)</f>
        <v>1.5360221746741876E-3</v>
      </c>
      <c r="D574" s="295">
        <f t="shared" si="1"/>
        <v>0.27</v>
      </c>
      <c r="E574" s="295">
        <f t="shared" si="9"/>
        <v>0.72846397782532579</v>
      </c>
      <c r="F574" s="295">
        <f>VLOOKUP($B574,'Mother mortality'!$A$23:$I$124,5)</f>
        <v>1.5360221746741876E-3</v>
      </c>
      <c r="G574" s="295">
        <f t="shared" si="2"/>
        <v>0.14000000000000001</v>
      </c>
      <c r="H574" s="295">
        <f t="shared" si="10"/>
        <v>0.8584639778253258</v>
      </c>
      <c r="I574" s="295">
        <f>VLOOKUP($B574,'Mother mortality'!$A$23:$I$124,4)</f>
        <v>9.2919859949426174E-4</v>
      </c>
      <c r="J574" s="295">
        <f t="shared" si="11"/>
        <v>0.42764222997193435</v>
      </c>
      <c r="K574" s="295">
        <f t="shared" si="3"/>
        <v>0.5714285714285714</v>
      </c>
      <c r="L574" s="295">
        <f>VLOOKUP($B574,'Mother mortality'!$A$23:$I$124,4)</f>
        <v>9.2919859949426174E-4</v>
      </c>
      <c r="M574" s="295">
        <f t="shared" si="4"/>
        <v>8.6261668788331098E-3</v>
      </c>
      <c r="N574" s="295">
        <f t="shared" si="12"/>
        <v>0.99044463452167264</v>
      </c>
      <c r="O574" s="294"/>
      <c r="P574" s="296">
        <f t="shared" si="20"/>
        <v>570.95989859263238</v>
      </c>
      <c r="Q574" s="297">
        <f t="shared" si="21"/>
        <v>156.65468489531298</v>
      </c>
      <c r="R574" s="297">
        <f t="shared" si="22"/>
        <v>22.289933807156164</v>
      </c>
      <c r="S574" s="297">
        <f t="shared" si="23"/>
        <v>235.30849968658208</v>
      </c>
      <c r="T574" s="297">
        <f t="shared" si="24"/>
        <v>14.786983018316375</v>
      </c>
      <c r="U574" s="294">
        <f t="shared" si="13"/>
        <v>1000</v>
      </c>
      <c r="V574" s="295" t="str">
        <f t="shared" si="5"/>
        <v>OKAY</v>
      </c>
      <c r="W574" s="295"/>
      <c r="X574" s="296">
        <f>SUM($P574:$Q574)-(SUM($P574:$Q574)*(VLOOKUP($B574,Lifetime_morbidity_array!$A$6:$Y$24,4)+VLOOKUP($B574,Lifetime_morbidity_array!$A$6:$Y$24,7)+VLOOKUP($B574,Lifetime_morbidity_array!$A$6:$Y$24,10)+VLOOKUP($B574,Lifetime_morbidity_array!$A$6:$Y$24,13)))</f>
        <v>678.99785651315324</v>
      </c>
      <c r="Y574" s="297">
        <f>SUM($R574:$S574)-(SUM($R574:$S574)*(VLOOKUP($B574,Lifetime_morbidity_array!$A$6:$Y$24,3)+VLOOKUP($B574,Lifetime_morbidity_array!$A$6:$Y$24,6)+VLOOKUP($B574,Lifetime_morbidity_array!$A$6:$Y$24,9)+VLOOKUP($B574,Lifetime_morbidity_array!$A$6:$Y$24,12)))</f>
        <v>250.84369462662636</v>
      </c>
      <c r="Z574" s="297">
        <f>(SUM($P574:$Q574)*VLOOKUP($B574,Lifetime_morbidity_array!$A$6:$Y$24,4))+(SUM($R574:$S574)*VLOOKUP($B574,Lifetime_morbidity_array!$A$6:$Y$24,3))</f>
        <v>27.004136686927119</v>
      </c>
      <c r="AA574" s="297">
        <f>(SUM($P574:$Q574)*VLOOKUP($B574,Lifetime_morbidity_array!$A$6:$Y$24,7))+(SUM($R574:$S574)*VLOOKUP($B574,Lifetime_morbidity_array!$A$6:$Y$24,6))</f>
        <v>12.18972480635763</v>
      </c>
      <c r="AB574" s="297">
        <f>(SUM($P574:$Q574)*VLOOKUP($B574,Lifetime_morbidity_array!$A$6:$Y$24,10))+(SUM($R574:$S574)*VLOOKUP($B574,Lifetime_morbidity_array!$A$6:$Y$24,9))</f>
        <v>1.9196978373698697</v>
      </c>
      <c r="AC574" s="297">
        <f>(SUM($P574:$Q574)*VLOOKUP($B574,Lifetime_morbidity_array!$A$6:$Y$24,13))+(SUM($R574:$S574)*VLOOKUP($B574,Lifetime_morbidity_array!$A$6:$Y$24,12))</f>
        <v>14.257906511249304</v>
      </c>
      <c r="AD574" s="294"/>
      <c r="AE574" s="294">
        <f t="shared" si="25"/>
        <v>46</v>
      </c>
      <c r="AF574" s="297">
        <f t="shared" si="26"/>
        <v>512.46415702614911</v>
      </c>
      <c r="AG574" s="297">
        <f t="shared" si="27"/>
        <v>14348.31143778421</v>
      </c>
      <c r="AH574" s="294"/>
      <c r="AI574" s="294">
        <f t="shared" si="28"/>
        <v>46</v>
      </c>
      <c r="AJ574" s="295">
        <f>((VLOOKUP($B574,'Mahawesran Tariff'!$A$21:$M$120,7)*$X574)+(VLOOKUP($B574,'Mahawesran Tariff'!$A$21:$M$120,6)*$Y574)+(DET_UTIL_chd*$Z574)+(DET_UTIL_copd*$AA574)+(DET_UTIL_lc*$AB574)+(DET_UTIL_stroke*$AC574))/((1+Discount_rate_QALYs)^$A574)</f>
        <v>469.65220324860502</v>
      </c>
      <c r="AK574" s="295">
        <f t="shared" si="29"/>
        <v>13775.311040320117</v>
      </c>
      <c r="AL574" s="294"/>
      <c r="AM574" s="294">
        <f t="shared" si="14"/>
        <v>46</v>
      </c>
      <c r="AN574" s="299">
        <f t="shared" si="15"/>
        <v>201835.15401451103</v>
      </c>
      <c r="AO574" s="299">
        <f t="shared" si="30"/>
        <v>4720974.8518275525</v>
      </c>
      <c r="AP574" s="294"/>
      <c r="AQ574" s="294">
        <f t="shared" si="16"/>
        <v>46</v>
      </c>
      <c r="AR574" s="298">
        <f t="shared" si="6"/>
        <v>0.98521301698168362</v>
      </c>
      <c r="AS574" s="298">
        <f t="shared" si="7"/>
        <v>1.4786983018316375E-2</v>
      </c>
      <c r="AT574" s="298">
        <f t="shared" si="8"/>
        <v>5.5371465841903916E-2</v>
      </c>
      <c r="AU574" s="250"/>
      <c r="AV574" s="294">
        <f t="shared" si="17"/>
        <v>46</v>
      </c>
      <c r="AW574" s="299">
        <f t="shared" si="18"/>
        <v>201835.15401451103</v>
      </c>
      <c r="AX574" s="299">
        <f t="shared" si="31"/>
        <v>4720974.8518275525</v>
      </c>
      <c r="AY574" s="335"/>
      <c r="AZ574" s="335"/>
      <c r="BA574" s="335"/>
      <c r="BB574" s="335"/>
      <c r="BC574" s="335"/>
      <c r="BD574" s="335"/>
      <c r="BE574" s="335"/>
      <c r="BF574" s="335"/>
      <c r="BG574" s="335"/>
      <c r="BH574" s="335"/>
      <c r="BI574" s="335"/>
      <c r="BJ574" s="335"/>
      <c r="BK574" s="364"/>
      <c r="BL574" s="364"/>
      <c r="BM574" s="364"/>
      <c r="BN574" s="364"/>
      <c r="BO574" s="364"/>
      <c r="BP574" s="364"/>
      <c r="BQ574" s="335"/>
      <c r="BR574" s="335"/>
      <c r="BS574" s="364"/>
      <c r="BT574" s="364"/>
      <c r="BU574" s="364"/>
      <c r="BV574" s="364"/>
      <c r="BW574" s="364"/>
      <c r="BX574" s="364"/>
      <c r="BY574" s="335"/>
      <c r="BZ574" s="335"/>
      <c r="CA574" s="364"/>
      <c r="CB574" s="364"/>
      <c r="CC574" s="335"/>
      <c r="CD574" s="335"/>
      <c r="CE574" s="335"/>
      <c r="CF574" s="335"/>
      <c r="CG574" s="335"/>
      <c r="CH574" s="335"/>
      <c r="CI574" s="365"/>
      <c r="CJ574" s="365"/>
      <c r="CK574" s="335"/>
      <c r="CL574" s="335"/>
      <c r="CM574" s="366"/>
      <c r="CN574" s="366"/>
      <c r="CO574" s="366"/>
      <c r="CP574" s="3"/>
    </row>
    <row r="575" spans="1:94" x14ac:dyDescent="0.25">
      <c r="A575" s="34">
        <v>20</v>
      </c>
      <c r="B575" s="33">
        <f t="shared" si="19"/>
        <v>47</v>
      </c>
      <c r="C575" s="294">
        <f>VLOOKUP($B575,'Mother mortality'!$A$23:$I$124,5)</f>
        <v>1.6225209103287296E-3</v>
      </c>
      <c r="D575" s="295">
        <f t="shared" si="1"/>
        <v>0.27</v>
      </c>
      <c r="E575" s="295">
        <f t="shared" si="9"/>
        <v>0.72837747908967121</v>
      </c>
      <c r="F575" s="295">
        <f>VLOOKUP($B575,'Mother mortality'!$A$23:$I$124,5)</f>
        <v>1.6225209103287296E-3</v>
      </c>
      <c r="G575" s="295">
        <f t="shared" si="2"/>
        <v>0.14000000000000001</v>
      </c>
      <c r="H575" s="295">
        <f t="shared" si="10"/>
        <v>0.85837747908967121</v>
      </c>
      <c r="I575" s="295">
        <f>VLOOKUP($B575,'Mother mortality'!$A$23:$I$124,4)</f>
        <v>9.8152499513713275E-4</v>
      </c>
      <c r="J575" s="295">
        <f t="shared" si="11"/>
        <v>0.42758990357629145</v>
      </c>
      <c r="K575" s="295">
        <f t="shared" si="3"/>
        <v>0.5714285714285714</v>
      </c>
      <c r="L575" s="295">
        <f>VLOOKUP($B575,'Mother mortality'!$A$23:$I$124,4)</f>
        <v>9.8152499513713275E-4</v>
      </c>
      <c r="M575" s="295">
        <f t="shared" si="4"/>
        <v>8.6261668788331098E-3</v>
      </c>
      <c r="N575" s="295">
        <f t="shared" si="12"/>
        <v>0.99039230812602974</v>
      </c>
      <c r="O575" s="294"/>
      <c r="P575" s="296">
        <f t="shared" si="20"/>
        <v>561.90394613984961</v>
      </c>
      <c r="Q575" s="297">
        <f t="shared" si="21"/>
        <v>154.15917262001076</v>
      </c>
      <c r="R575" s="297">
        <f t="shared" si="22"/>
        <v>21.931655885343819</v>
      </c>
      <c r="S575" s="297">
        <f t="shared" si="23"/>
        <v>245.78483315892782</v>
      </c>
      <c r="T575" s="297">
        <f t="shared" si="24"/>
        <v>16.220392195867969</v>
      </c>
      <c r="U575" s="294">
        <f t="shared" si="13"/>
        <v>999.99999999999989</v>
      </c>
      <c r="V575" s="295" t="str">
        <f t="shared" si="5"/>
        <v>OKAY</v>
      </c>
      <c r="W575" s="295"/>
      <c r="X575" s="296">
        <f>SUM($P575:$Q575)-(SUM($P575:$Q575)*(VLOOKUP($B575,Lifetime_morbidity_array!$A$6:$Y$24,4)+VLOOKUP($B575,Lifetime_morbidity_array!$A$6:$Y$24,7)+VLOOKUP($B575,Lifetime_morbidity_array!$A$6:$Y$24,10)+VLOOKUP($B575,Lifetime_morbidity_array!$A$6:$Y$24,13)))</f>
        <v>668.21822129424629</v>
      </c>
      <c r="Y575" s="297">
        <f>SUM($R575:$S575)-(SUM($R575:$S575)*(VLOOKUP($B575,Lifetime_morbidity_array!$A$6:$Y$24,3)+VLOOKUP($B575,Lifetime_morbidity_array!$A$6:$Y$24,6)+VLOOKUP($B575,Lifetime_morbidity_array!$A$6:$Y$24,9)+VLOOKUP($B575,Lifetime_morbidity_array!$A$6:$Y$24,12)))</f>
        <v>260.69643480951629</v>
      </c>
      <c r="Z575" s="297">
        <f>(SUM($P575:$Q575)*VLOOKUP($B575,Lifetime_morbidity_array!$A$6:$Y$24,4))+(SUM($R575:$S575)*VLOOKUP($B575,Lifetime_morbidity_array!$A$6:$Y$24,3))</f>
        <v>26.779230947131644</v>
      </c>
      <c r="AA575" s="297">
        <f>(SUM($P575:$Q575)*VLOOKUP($B575,Lifetime_morbidity_array!$A$6:$Y$24,7))+(SUM($R575:$S575)*VLOOKUP($B575,Lifetime_morbidity_array!$A$6:$Y$24,6))</f>
        <v>12.058354252033935</v>
      </c>
      <c r="AB575" s="297">
        <f>(SUM($P575:$Q575)*VLOOKUP($B575,Lifetime_morbidity_array!$A$6:$Y$24,10))+(SUM($R575:$S575)*VLOOKUP($B575,Lifetime_morbidity_array!$A$6:$Y$24,9))</f>
        <v>1.8961731102430157</v>
      </c>
      <c r="AC575" s="297">
        <f>(SUM($P575:$Q575)*VLOOKUP($B575,Lifetime_morbidity_array!$A$6:$Y$24,13))+(SUM($R575:$S575)*VLOOKUP($B575,Lifetime_morbidity_array!$A$6:$Y$24,12))</f>
        <v>14.13119339096086</v>
      </c>
      <c r="AD575" s="294"/>
      <c r="AE575" s="294">
        <f t="shared" si="25"/>
        <v>47</v>
      </c>
      <c r="AF575" s="297">
        <f t="shared" si="26"/>
        <v>494.41406868192564</v>
      </c>
      <c r="AG575" s="297">
        <f t="shared" si="27"/>
        <v>14842.725506466137</v>
      </c>
      <c r="AH575" s="294"/>
      <c r="AI575" s="294">
        <f t="shared" si="28"/>
        <v>47</v>
      </c>
      <c r="AJ575" s="295">
        <f>((VLOOKUP($B575,'Mahawesran Tariff'!$A$21:$M$120,7)*$X575)+(VLOOKUP($B575,'Mahawesran Tariff'!$A$21:$M$120,6)*$Y575)+(DET_UTIL_chd*$Z575)+(DET_UTIL_copd*$AA575)+(DET_UTIL_lc*$AB575)+(DET_UTIL_stroke*$AC575))/((1+Discount_rate_QALYs)^$A575)</f>
        <v>453.23810651147937</v>
      </c>
      <c r="AK575" s="295">
        <f t="shared" si="29"/>
        <v>14228.549146831596</v>
      </c>
      <c r="AL575" s="294"/>
      <c r="AM575" s="294">
        <f t="shared" si="14"/>
        <v>47</v>
      </c>
      <c r="AN575" s="299">
        <f t="shared" si="15"/>
        <v>193249.8480596678</v>
      </c>
      <c r="AO575" s="299">
        <f t="shared" si="30"/>
        <v>4914224.6998872207</v>
      </c>
      <c r="AP575" s="294"/>
      <c r="AQ575" s="294">
        <f t="shared" si="16"/>
        <v>47</v>
      </c>
      <c r="AR575" s="298">
        <f t="shared" si="6"/>
        <v>0.98377960780413198</v>
      </c>
      <c r="AS575" s="298">
        <f t="shared" si="7"/>
        <v>1.6220392195867968E-2</v>
      </c>
      <c r="AT575" s="298">
        <f t="shared" si="8"/>
        <v>5.4864951700369459E-2</v>
      </c>
      <c r="AU575" s="250"/>
      <c r="AV575" s="294">
        <f t="shared" si="17"/>
        <v>47</v>
      </c>
      <c r="AW575" s="299">
        <f t="shared" si="18"/>
        <v>193249.8480596678</v>
      </c>
      <c r="AX575" s="299">
        <f t="shared" si="31"/>
        <v>4914224.6998872207</v>
      </c>
      <c r="AY575" s="335"/>
      <c r="AZ575" s="335"/>
      <c r="BA575" s="335"/>
      <c r="BB575" s="335"/>
      <c r="BC575" s="335"/>
      <c r="BD575" s="335"/>
      <c r="BE575" s="335"/>
      <c r="BF575" s="335"/>
      <c r="BG575" s="335"/>
      <c r="BH575" s="335"/>
      <c r="BI575" s="335"/>
      <c r="BJ575" s="335"/>
      <c r="BK575" s="364"/>
      <c r="BL575" s="364"/>
      <c r="BM575" s="364"/>
      <c r="BN575" s="364"/>
      <c r="BO575" s="364"/>
      <c r="BP575" s="364"/>
      <c r="BQ575" s="335"/>
      <c r="BR575" s="335"/>
      <c r="BS575" s="364"/>
      <c r="BT575" s="364"/>
      <c r="BU575" s="364"/>
      <c r="BV575" s="364"/>
      <c r="BW575" s="364"/>
      <c r="BX575" s="364"/>
      <c r="BY575" s="335"/>
      <c r="BZ575" s="335"/>
      <c r="CA575" s="364"/>
      <c r="CB575" s="364"/>
      <c r="CC575" s="335"/>
      <c r="CD575" s="335"/>
      <c r="CE575" s="335"/>
      <c r="CF575" s="335"/>
      <c r="CG575" s="335"/>
      <c r="CH575" s="335"/>
      <c r="CI575" s="365"/>
      <c r="CJ575" s="365"/>
      <c r="CK575" s="335"/>
      <c r="CL575" s="335"/>
      <c r="CM575" s="366"/>
      <c r="CN575" s="366"/>
      <c r="CO575" s="366"/>
      <c r="CP575" s="3"/>
    </row>
    <row r="576" spans="1:94" x14ac:dyDescent="0.25">
      <c r="A576" s="34">
        <v>21</v>
      </c>
      <c r="B576" s="33">
        <f t="shared" si="19"/>
        <v>48</v>
      </c>
      <c r="C576" s="294">
        <f>VLOOKUP($B576,'Mother mortality'!$A$23:$I$124,5)</f>
        <v>1.7296595992997469E-3</v>
      </c>
      <c r="D576" s="295">
        <f t="shared" si="1"/>
        <v>0.27</v>
      </c>
      <c r="E576" s="295">
        <f t="shared" si="9"/>
        <v>0.72827034040070027</v>
      </c>
      <c r="F576" s="295">
        <f>VLOOKUP($B576,'Mother mortality'!$A$23:$I$124,5)</f>
        <v>1.7296595992997469E-3</v>
      </c>
      <c r="G576" s="295">
        <f t="shared" si="2"/>
        <v>0.14000000000000001</v>
      </c>
      <c r="H576" s="295">
        <f t="shared" si="10"/>
        <v>0.85827034040070027</v>
      </c>
      <c r="I576" s="295">
        <f>VLOOKUP($B576,'Mother mortality'!$A$23:$I$124,4)</f>
        <v>1.0463372884652793E-3</v>
      </c>
      <c r="J576" s="295">
        <f t="shared" si="11"/>
        <v>0.42752509128296334</v>
      </c>
      <c r="K576" s="295">
        <f t="shared" si="3"/>
        <v>0.5714285714285714</v>
      </c>
      <c r="L576" s="295">
        <f>VLOOKUP($B576,'Mother mortality'!$A$23:$I$124,4)</f>
        <v>1.0463372884652793E-3</v>
      </c>
      <c r="M576" s="295">
        <f t="shared" si="4"/>
        <v>8.6261668788331098E-3</v>
      </c>
      <c r="N576" s="295">
        <f t="shared" si="12"/>
        <v>0.99032749583270163</v>
      </c>
      <c r="O576" s="294"/>
      <c r="P576" s="296">
        <f t="shared" si="20"/>
        <v>553.02473785971517</v>
      </c>
      <c r="Q576" s="297">
        <f t="shared" si="21"/>
        <v>151.7140654577594</v>
      </c>
      <c r="R576" s="297">
        <f t="shared" si="22"/>
        <v>21.582284166801507</v>
      </c>
      <c r="S576" s="297">
        <f t="shared" si="23"/>
        <v>255.93985312756442</v>
      </c>
      <c r="T576" s="297">
        <f t="shared" si="24"/>
        <v>17.7390593881595</v>
      </c>
      <c r="U576" s="294">
        <f t="shared" si="13"/>
        <v>1000</v>
      </c>
      <c r="V576" s="295" t="str">
        <f t="shared" si="5"/>
        <v>OKAY</v>
      </c>
      <c r="W576" s="295"/>
      <c r="X576" s="296">
        <f>SUM($P576:$Q576)-(SUM($P576:$Q576)*(VLOOKUP($B576,Lifetime_morbidity_array!$A$6:$Y$24,4)+VLOOKUP($B576,Lifetime_morbidity_array!$A$6:$Y$24,7)+VLOOKUP($B576,Lifetime_morbidity_array!$A$6:$Y$24,10)+VLOOKUP($B576,Lifetime_morbidity_array!$A$6:$Y$24,13)))</f>
        <v>657.65055801982521</v>
      </c>
      <c r="Y576" s="297">
        <f>SUM($R576:$S576)-(SUM($R576:$S576)*(VLOOKUP($B576,Lifetime_morbidity_array!$A$6:$Y$24,3)+VLOOKUP($B576,Lifetime_morbidity_array!$A$6:$Y$24,6)+VLOOKUP($B576,Lifetime_morbidity_array!$A$6:$Y$24,9)+VLOOKUP($B576,Lifetime_morbidity_array!$A$6:$Y$24,12)))</f>
        <v>270.24495962739928</v>
      </c>
      <c r="Z576" s="297">
        <f>(SUM($P576:$Q576)*VLOOKUP($B576,Lifetime_morbidity_array!$A$6:$Y$24,4))+(SUM($R576:$S576)*VLOOKUP($B576,Lifetime_morbidity_array!$A$6:$Y$24,3))</f>
        <v>26.557120429916949</v>
      </c>
      <c r="AA576" s="297">
        <f>(SUM($P576:$Q576)*VLOOKUP($B576,Lifetime_morbidity_array!$A$6:$Y$24,7))+(SUM($R576:$S576)*VLOOKUP($B576,Lifetime_morbidity_array!$A$6:$Y$24,6))</f>
        <v>11.929070720590609</v>
      </c>
      <c r="AB576" s="297">
        <f>(SUM($P576:$Q576)*VLOOKUP($B576,Lifetime_morbidity_array!$A$6:$Y$24,10))+(SUM($R576:$S576)*VLOOKUP($B576,Lifetime_morbidity_array!$A$6:$Y$24,9))</f>
        <v>1.8730554657165246</v>
      </c>
      <c r="AC576" s="297">
        <f>(SUM($P576:$Q576)*VLOOKUP($B576,Lifetime_morbidity_array!$A$6:$Y$24,13))+(SUM($R576:$S576)*VLOOKUP($B576,Lifetime_morbidity_array!$A$6:$Y$24,12))</f>
        <v>14.006176348391868</v>
      </c>
      <c r="AD576" s="294"/>
      <c r="AE576" s="294">
        <f t="shared" si="25"/>
        <v>48</v>
      </c>
      <c r="AF576" s="297">
        <f t="shared" si="26"/>
        <v>476.95733175002363</v>
      </c>
      <c r="AG576" s="297">
        <f t="shared" si="27"/>
        <v>15319.68283821616</v>
      </c>
      <c r="AH576" s="294"/>
      <c r="AI576" s="294">
        <f t="shared" si="28"/>
        <v>48</v>
      </c>
      <c r="AJ576" s="295">
        <f>((VLOOKUP($B576,'Mahawesran Tariff'!$A$21:$M$120,7)*$X576)+(VLOOKUP($B576,'Mahawesran Tariff'!$A$21:$M$120,6)*$Y576)+(DET_UTIL_chd*$Z576)+(DET_UTIL_copd*$AA576)+(DET_UTIL_lc*$AB576)+(DET_UTIL_stroke*$AC576))/((1+Discount_rate_QALYs)^$A576)</f>
        <v>437.35570950817566</v>
      </c>
      <c r="AK576" s="295">
        <f t="shared" si="29"/>
        <v>14665.904856339772</v>
      </c>
      <c r="AL576" s="294"/>
      <c r="AM576" s="294">
        <f t="shared" si="14"/>
        <v>48</v>
      </c>
      <c r="AN576" s="299">
        <f t="shared" si="15"/>
        <v>185037.51316575328</v>
      </c>
      <c r="AO576" s="299">
        <f t="shared" si="30"/>
        <v>5099262.2130529741</v>
      </c>
      <c r="AP576" s="294"/>
      <c r="AQ576" s="294">
        <f t="shared" si="16"/>
        <v>48</v>
      </c>
      <c r="AR576" s="298">
        <f t="shared" si="6"/>
        <v>0.98226094061184055</v>
      </c>
      <c r="AS576" s="298">
        <f t="shared" si="7"/>
        <v>1.7739059388159499E-2</v>
      </c>
      <c r="AT576" s="298">
        <f t="shared" si="8"/>
        <v>5.4365422964615953E-2</v>
      </c>
      <c r="AU576" s="250"/>
      <c r="AV576" s="294">
        <f t="shared" si="17"/>
        <v>48</v>
      </c>
      <c r="AW576" s="299">
        <f t="shared" si="18"/>
        <v>185037.51316575328</v>
      </c>
      <c r="AX576" s="299">
        <f t="shared" si="31"/>
        <v>5099262.2130529741</v>
      </c>
      <c r="AY576" s="335"/>
      <c r="AZ576" s="335"/>
      <c r="BA576" s="335"/>
      <c r="BB576" s="335"/>
      <c r="BC576" s="335"/>
      <c r="BD576" s="335"/>
      <c r="BE576" s="335"/>
      <c r="BF576" s="335"/>
      <c r="BG576" s="335"/>
      <c r="BH576" s="335"/>
      <c r="BI576" s="335"/>
      <c r="BJ576" s="335"/>
      <c r="BK576" s="364"/>
      <c r="BL576" s="364"/>
      <c r="BM576" s="364"/>
      <c r="BN576" s="364"/>
      <c r="BO576" s="364"/>
      <c r="BP576" s="364"/>
      <c r="BQ576" s="335"/>
      <c r="BR576" s="335"/>
      <c r="BS576" s="364"/>
      <c r="BT576" s="364"/>
      <c r="BU576" s="364"/>
      <c r="BV576" s="364"/>
      <c r="BW576" s="364"/>
      <c r="BX576" s="364"/>
      <c r="BY576" s="335"/>
      <c r="BZ576" s="335"/>
      <c r="CA576" s="364"/>
      <c r="CB576" s="364"/>
      <c r="CC576" s="335"/>
      <c r="CD576" s="335"/>
      <c r="CE576" s="335"/>
      <c r="CF576" s="335"/>
      <c r="CG576" s="335"/>
      <c r="CH576" s="335"/>
      <c r="CI576" s="365"/>
      <c r="CJ576" s="365"/>
      <c r="CK576" s="335"/>
      <c r="CL576" s="335"/>
      <c r="CM576" s="366"/>
      <c r="CN576" s="366"/>
      <c r="CO576" s="366"/>
      <c r="CP576" s="3"/>
    </row>
    <row r="577" spans="1:94" x14ac:dyDescent="0.25">
      <c r="A577" s="34">
        <v>22</v>
      </c>
      <c r="B577" s="33">
        <f t="shared" si="19"/>
        <v>49</v>
      </c>
      <c r="C577" s="294">
        <f>VLOOKUP($B577,'Mother mortality'!$A$23:$I$124,5)</f>
        <v>1.8664189846333396E-3</v>
      </c>
      <c r="D577" s="295">
        <f t="shared" si="1"/>
        <v>0.27</v>
      </c>
      <c r="E577" s="295">
        <f t="shared" si="9"/>
        <v>0.72813358101536663</v>
      </c>
      <c r="F577" s="295">
        <f>VLOOKUP($B577,'Mother mortality'!$A$23:$I$124,5)</f>
        <v>1.8664189846333396E-3</v>
      </c>
      <c r="G577" s="295">
        <f t="shared" si="2"/>
        <v>0.14000000000000001</v>
      </c>
      <c r="H577" s="295">
        <f t="shared" si="10"/>
        <v>0.85813358101536663</v>
      </c>
      <c r="I577" s="295">
        <f>VLOOKUP($B577,'Mother mortality'!$A$23:$I$124,4)</f>
        <v>1.1290682746547365E-3</v>
      </c>
      <c r="J577" s="295">
        <f t="shared" si="11"/>
        <v>0.42744236029677385</v>
      </c>
      <c r="K577" s="295">
        <f t="shared" si="3"/>
        <v>0.5714285714285714</v>
      </c>
      <c r="L577" s="295">
        <f>VLOOKUP($B577,'Mother mortality'!$A$23:$I$124,4)</f>
        <v>1.1290682746547365E-3</v>
      </c>
      <c r="M577" s="295">
        <f t="shared" si="4"/>
        <v>8.6261668788331098E-3</v>
      </c>
      <c r="N577" s="295">
        <f t="shared" si="12"/>
        <v>0.99024476484651214</v>
      </c>
      <c r="O577" s="294"/>
      <c r="P577" s="296">
        <f t="shared" si="20"/>
        <v>544.29977941842139</v>
      </c>
      <c r="Q577" s="297">
        <f t="shared" si="21"/>
        <v>149.3166792221231</v>
      </c>
      <c r="R577" s="297">
        <f t="shared" si="22"/>
        <v>21.239969164086318</v>
      </c>
      <c r="S577" s="297">
        <f t="shared" si="23"/>
        <v>265.77583348475673</v>
      </c>
      <c r="T577" s="297">
        <f t="shared" si="24"/>
        <v>19.367738710612464</v>
      </c>
      <c r="U577" s="294">
        <f t="shared" si="13"/>
        <v>1000</v>
      </c>
      <c r="V577" s="295" t="str">
        <f t="shared" si="5"/>
        <v>OKAY</v>
      </c>
      <c r="W577" s="295"/>
      <c r="X577" s="296">
        <f>SUM($P577:$Q577)-(SUM($P577:$Q577)*(VLOOKUP($B577,Lifetime_morbidity_array!$A$6:$Y$24,4)+VLOOKUP($B577,Lifetime_morbidity_array!$A$6:$Y$24,7)+VLOOKUP($B577,Lifetime_morbidity_array!$A$6:$Y$24,10)+VLOOKUP($B577,Lifetime_morbidity_array!$A$6:$Y$24,13)))</f>
        <v>647.2713705125683</v>
      </c>
      <c r="Y577" s="297">
        <f>SUM($R577:$S577)-(SUM($R577:$S577)*(VLOOKUP($B577,Lifetime_morbidity_array!$A$6:$Y$24,3)+VLOOKUP($B577,Lifetime_morbidity_array!$A$6:$Y$24,6)+VLOOKUP($B577,Lifetime_morbidity_array!$A$6:$Y$24,9)+VLOOKUP($B577,Lifetime_morbidity_array!$A$6:$Y$24,12)))</f>
        <v>279.4896823563663</v>
      </c>
      <c r="Z577" s="297">
        <f>(SUM($P577:$Q577)*VLOOKUP($B577,Lifetime_morbidity_array!$A$6:$Y$24,4))+(SUM($R577:$S577)*VLOOKUP($B577,Lifetime_morbidity_array!$A$6:$Y$24,3))</f>
        <v>26.337004636686299</v>
      </c>
      <c r="AA577" s="297">
        <f>(SUM($P577:$Q577)*VLOOKUP($B577,Lifetime_morbidity_array!$A$6:$Y$24,7))+(SUM($R577:$S577)*VLOOKUP($B577,Lifetime_morbidity_array!$A$6:$Y$24,6))</f>
        <v>11.801493247016809</v>
      </c>
      <c r="AB577" s="297">
        <f>(SUM($P577:$Q577)*VLOOKUP($B577,Lifetime_morbidity_array!$A$6:$Y$24,10))+(SUM($R577:$S577)*VLOOKUP($B577,Lifetime_morbidity_array!$A$6:$Y$24,9))</f>
        <v>1.850283043601987</v>
      </c>
      <c r="AC577" s="297">
        <f>(SUM($P577:$Q577)*VLOOKUP($B577,Lifetime_morbidity_array!$A$6:$Y$24,13))+(SUM($R577:$S577)*VLOOKUP($B577,Lifetime_morbidity_array!$A$6:$Y$24,12))</f>
        <v>13.882427493147841</v>
      </c>
      <c r="AD577" s="294"/>
      <c r="AE577" s="294">
        <f t="shared" si="25"/>
        <v>49</v>
      </c>
      <c r="AF577" s="297">
        <f t="shared" si="26"/>
        <v>460.06424392366711</v>
      </c>
      <c r="AG577" s="297">
        <f t="shared" si="27"/>
        <v>15779.747082139827</v>
      </c>
      <c r="AH577" s="294"/>
      <c r="AI577" s="294">
        <f t="shared" si="28"/>
        <v>49</v>
      </c>
      <c r="AJ577" s="295">
        <f>((VLOOKUP($B577,'Mahawesran Tariff'!$A$21:$M$120,7)*$X577)+(VLOOKUP($B577,'Mahawesran Tariff'!$A$21:$M$120,6)*$Y577)+(DET_UTIL_chd*$Z577)+(DET_UTIL_copd*$AA577)+(DET_UTIL_lc*$AB577)+(DET_UTIL_stroke*$AC577))/((1+Discount_rate_QALYs)^$A577)</f>
        <v>421.97865628103546</v>
      </c>
      <c r="AK577" s="295">
        <f t="shared" si="29"/>
        <v>15087.883512620807</v>
      </c>
      <c r="AL577" s="294"/>
      <c r="AM577" s="294">
        <f t="shared" si="14"/>
        <v>49</v>
      </c>
      <c r="AN577" s="299">
        <f t="shared" si="15"/>
        <v>177176.48000493346</v>
      </c>
      <c r="AO577" s="299">
        <f t="shared" si="30"/>
        <v>5276438.6930579077</v>
      </c>
      <c r="AP577" s="294"/>
      <c r="AQ577" s="294">
        <f t="shared" si="16"/>
        <v>49</v>
      </c>
      <c r="AR577" s="298">
        <f t="shared" si="6"/>
        <v>0.98063226128938752</v>
      </c>
      <c r="AS577" s="298">
        <f t="shared" si="7"/>
        <v>1.9367738710612464E-2</v>
      </c>
      <c r="AT577" s="298">
        <f t="shared" si="8"/>
        <v>5.3871208420452947E-2</v>
      </c>
      <c r="AU577" s="250"/>
      <c r="AV577" s="294">
        <f t="shared" si="17"/>
        <v>49</v>
      </c>
      <c r="AW577" s="299">
        <f t="shared" si="18"/>
        <v>177176.48000493346</v>
      </c>
      <c r="AX577" s="299">
        <f t="shared" si="31"/>
        <v>5276438.6930579077</v>
      </c>
      <c r="AY577" s="335"/>
      <c r="AZ577" s="335"/>
      <c r="BA577" s="335"/>
      <c r="BB577" s="335"/>
      <c r="BC577" s="335"/>
      <c r="BD577" s="335"/>
      <c r="BE577" s="335"/>
      <c r="BF577" s="335"/>
      <c r="BG577" s="335"/>
      <c r="BH577" s="335"/>
      <c r="BI577" s="335"/>
      <c r="BJ577" s="335"/>
      <c r="BK577" s="364"/>
      <c r="BL577" s="364"/>
      <c r="BM577" s="364"/>
      <c r="BN577" s="364"/>
      <c r="BO577" s="364"/>
      <c r="BP577" s="364"/>
      <c r="BQ577" s="335"/>
      <c r="BR577" s="335"/>
      <c r="BS577" s="364"/>
      <c r="BT577" s="364"/>
      <c r="BU577" s="364"/>
      <c r="BV577" s="364"/>
      <c r="BW577" s="364"/>
      <c r="BX577" s="364"/>
      <c r="BY577" s="335"/>
      <c r="BZ577" s="335"/>
      <c r="CA577" s="364"/>
      <c r="CB577" s="364"/>
      <c r="CC577" s="335"/>
      <c r="CD577" s="335"/>
      <c r="CE577" s="335"/>
      <c r="CF577" s="335"/>
      <c r="CG577" s="335"/>
      <c r="CH577" s="335"/>
      <c r="CI577" s="365"/>
      <c r="CJ577" s="365"/>
      <c r="CK577" s="335"/>
      <c r="CL577" s="335"/>
      <c r="CM577" s="366"/>
      <c r="CN577" s="366"/>
      <c r="CO577" s="366"/>
      <c r="CP577" s="3"/>
    </row>
    <row r="578" spans="1:94" x14ac:dyDescent="0.25">
      <c r="A578" s="34">
        <v>23</v>
      </c>
      <c r="B578" s="33">
        <f t="shared" si="19"/>
        <v>50</v>
      </c>
      <c r="C578" s="294">
        <f>VLOOKUP($B578,'Mother mortality'!$A$23:$I$124,5)</f>
        <v>2.1116572466693584E-3</v>
      </c>
      <c r="D578" s="295">
        <f t="shared" si="1"/>
        <v>0.27</v>
      </c>
      <c r="E578" s="295">
        <f t="shared" si="9"/>
        <v>0.72788834275333059</v>
      </c>
      <c r="F578" s="295">
        <f>VLOOKUP($B578,'Mother mortality'!$A$23:$I$124,5)</f>
        <v>2.1116572466693584E-3</v>
      </c>
      <c r="G578" s="295">
        <f t="shared" si="2"/>
        <v>0.14000000000000001</v>
      </c>
      <c r="H578" s="295">
        <f t="shared" si="10"/>
        <v>0.85788834275333059</v>
      </c>
      <c r="I578" s="295">
        <f>VLOOKUP($B578,'Mother mortality'!$A$23:$I$124,4)</f>
        <v>1.2774222850222045E-3</v>
      </c>
      <c r="J578" s="295">
        <f t="shared" si="11"/>
        <v>0.42729400628640635</v>
      </c>
      <c r="K578" s="295">
        <f t="shared" si="3"/>
        <v>0.5714285714285714</v>
      </c>
      <c r="L578" s="295">
        <f>VLOOKUP($B578,'Mother mortality'!$A$23:$I$124,4)</f>
        <v>1.2774222850222045E-3</v>
      </c>
      <c r="M578" s="295">
        <f t="shared" si="4"/>
        <v>8.6261668788331098E-3</v>
      </c>
      <c r="N578" s="295">
        <f t="shared" si="12"/>
        <v>0.99009641083614464</v>
      </c>
      <c r="O578" s="294"/>
      <c r="P578" s="296">
        <f t="shared" si="20"/>
        <v>535.65484109469867</v>
      </c>
      <c r="Q578" s="297">
        <f t="shared" si="21"/>
        <v>146.96094044297379</v>
      </c>
      <c r="R578" s="297">
        <f t="shared" si="22"/>
        <v>20.904335091097234</v>
      </c>
      <c r="S578" s="297">
        <f t="shared" si="23"/>
        <v>275.28082405686325</v>
      </c>
      <c r="T578" s="297">
        <f t="shared" si="24"/>
        <v>21.199059314367073</v>
      </c>
      <c r="U578" s="294">
        <f t="shared" si="13"/>
        <v>1000</v>
      </c>
      <c r="V578" s="295" t="str">
        <f t="shared" si="5"/>
        <v>OKAY</v>
      </c>
      <c r="W578" s="295"/>
      <c r="X578" s="296">
        <f>SUM($P578:$Q578)-(SUM($P578:$Q578)*(VLOOKUP($B578,Lifetime_morbidity_array!$A$6:$Y$24,4)+VLOOKUP($B578,Lifetime_morbidity_array!$A$6:$Y$24,7)+VLOOKUP($B578,Lifetime_morbidity_array!$A$6:$Y$24,10)+VLOOKUP($B578,Lifetime_morbidity_array!$A$6:$Y$24,13)))</f>
        <v>623.51865510023754</v>
      </c>
      <c r="Y578" s="297">
        <f>SUM($R578:$S578)-(SUM($R578:$S578)*(VLOOKUP($B578,Lifetime_morbidity_array!$A$6:$Y$24,3)+VLOOKUP($B578,Lifetime_morbidity_array!$A$6:$Y$24,6)+VLOOKUP($B578,Lifetime_morbidity_array!$A$6:$Y$24,9)+VLOOKUP($B578,Lifetime_morbidity_array!$A$6:$Y$24,12)))</f>
        <v>286.68752400106621</v>
      </c>
      <c r="Z578" s="297">
        <f>(SUM($P578:$Q578)*VLOOKUP($B578,Lifetime_morbidity_array!$A$6:$Y$24,4))+(SUM($R578:$S578)*VLOOKUP($B578,Lifetime_morbidity_array!$A$6:$Y$24,3))</f>
        <v>26.779159096131508</v>
      </c>
      <c r="AA578" s="297">
        <f>(SUM($P578:$Q578)*VLOOKUP($B578,Lifetime_morbidity_array!$A$6:$Y$24,7))+(SUM($R578:$S578)*VLOOKUP($B578,Lifetime_morbidity_array!$A$6:$Y$24,6))</f>
        <v>25.877808251756868</v>
      </c>
      <c r="AB578" s="297">
        <f>(SUM($P578:$Q578)*VLOOKUP($B578,Lifetime_morbidity_array!$A$6:$Y$24,10))+(SUM($R578:$S578)*VLOOKUP($B578,Lifetime_morbidity_array!$A$6:$Y$24,9))</f>
        <v>1.9145417236928113</v>
      </c>
      <c r="AC578" s="297">
        <f>(SUM($P578:$Q578)*VLOOKUP($B578,Lifetime_morbidity_array!$A$6:$Y$24,13))+(SUM($R578:$S578)*VLOOKUP($B578,Lifetime_morbidity_array!$A$6:$Y$24,12))</f>
        <v>14.023252512747984</v>
      </c>
      <c r="AD578" s="294"/>
      <c r="AE578" s="294">
        <f t="shared" si="25"/>
        <v>50</v>
      </c>
      <c r="AF578" s="297">
        <f t="shared" si="26"/>
        <v>443.67640454811499</v>
      </c>
      <c r="AG578" s="297">
        <f t="shared" si="27"/>
        <v>16223.423486687941</v>
      </c>
      <c r="AH578" s="294"/>
      <c r="AI578" s="294">
        <f t="shared" si="28"/>
        <v>50</v>
      </c>
      <c r="AJ578" s="295">
        <f>((VLOOKUP($B578,'Mahawesran Tariff'!$A$21:$M$120,7)*$X578)+(VLOOKUP($B578,'Mahawesran Tariff'!$A$21:$M$120,6)*$Y578)+(DET_UTIL_chd*$Z578)+(DET_UTIL_copd*$AA578)+(DET_UTIL_lc*$AB578)+(DET_UTIL_stroke*$AC578))/((1+Discount_rate_QALYs)^$A578)</f>
        <v>405.70392233495585</v>
      </c>
      <c r="AK578" s="295">
        <f t="shared" si="29"/>
        <v>15493.587434955763</v>
      </c>
      <c r="AL578" s="294"/>
      <c r="AM578" s="294">
        <f t="shared" si="14"/>
        <v>50</v>
      </c>
      <c r="AN578" s="299">
        <f t="shared" si="15"/>
        <v>178601.59489506931</v>
      </c>
      <c r="AO578" s="299">
        <f t="shared" si="30"/>
        <v>5455040.2879529772</v>
      </c>
      <c r="AP578" s="294"/>
      <c r="AQ578" s="294">
        <f t="shared" si="16"/>
        <v>50</v>
      </c>
      <c r="AR578" s="298">
        <f t="shared" si="6"/>
        <v>0.97880094068563295</v>
      </c>
      <c r="AS578" s="298">
        <f t="shared" si="7"/>
        <v>2.1199059314367073E-2</v>
      </c>
      <c r="AT578" s="298">
        <f t="shared" si="8"/>
        <v>6.8594761584329172E-2</v>
      </c>
      <c r="AU578" s="250"/>
      <c r="AV578" s="294">
        <f t="shared" si="17"/>
        <v>50</v>
      </c>
      <c r="AW578" s="299">
        <f t="shared" si="18"/>
        <v>178601.59489506931</v>
      </c>
      <c r="AX578" s="299">
        <f t="shared" si="31"/>
        <v>5455040.2879529772</v>
      </c>
      <c r="AY578" s="335"/>
      <c r="AZ578" s="335"/>
      <c r="BA578" s="335"/>
      <c r="BB578" s="335"/>
      <c r="BC578" s="335"/>
      <c r="BD578" s="335"/>
      <c r="BE578" s="335"/>
      <c r="BF578" s="335"/>
      <c r="BG578" s="335"/>
      <c r="BH578" s="335"/>
      <c r="BI578" s="335"/>
      <c r="BJ578" s="335"/>
      <c r="BK578" s="364"/>
      <c r="BL578" s="364"/>
      <c r="BM578" s="364"/>
      <c r="BN578" s="364"/>
      <c r="BO578" s="364"/>
      <c r="BP578" s="364"/>
      <c r="BQ578" s="335"/>
      <c r="BR578" s="335"/>
      <c r="BS578" s="364"/>
      <c r="BT578" s="364"/>
      <c r="BU578" s="364"/>
      <c r="BV578" s="364"/>
      <c r="BW578" s="364"/>
      <c r="BX578" s="364"/>
      <c r="BY578" s="335"/>
      <c r="BZ578" s="335"/>
      <c r="CA578" s="364"/>
      <c r="CB578" s="364"/>
      <c r="CC578" s="335"/>
      <c r="CD578" s="335"/>
      <c r="CE578" s="335"/>
      <c r="CF578" s="335"/>
      <c r="CG578" s="335"/>
      <c r="CH578" s="335"/>
      <c r="CI578" s="365"/>
      <c r="CJ578" s="365"/>
      <c r="CK578" s="335"/>
      <c r="CL578" s="335"/>
      <c r="CM578" s="366"/>
      <c r="CN578" s="366"/>
      <c r="CO578" s="366"/>
      <c r="CP578" s="3"/>
    </row>
    <row r="579" spans="1:94" x14ac:dyDescent="0.25">
      <c r="A579" s="34">
        <v>24</v>
      </c>
      <c r="B579" s="33">
        <f t="shared" si="19"/>
        <v>51</v>
      </c>
      <c r="C579" s="294">
        <f>VLOOKUP($B579,'Mother mortality'!$A$23:$I$124,5)</f>
        <v>2.3070448122729107E-3</v>
      </c>
      <c r="D579" s="295">
        <f t="shared" si="1"/>
        <v>0.27</v>
      </c>
      <c r="E579" s="295">
        <f t="shared" si="9"/>
        <v>0.72769295518772703</v>
      </c>
      <c r="F579" s="295">
        <f>VLOOKUP($B579,'Mother mortality'!$A$23:$I$124,5)</f>
        <v>2.3070448122729107E-3</v>
      </c>
      <c r="G579" s="295">
        <f t="shared" si="2"/>
        <v>0.14000000000000001</v>
      </c>
      <c r="H579" s="295">
        <f t="shared" si="10"/>
        <v>0.85769295518772704</v>
      </c>
      <c r="I579" s="295">
        <f>VLOOKUP($B579,'Mother mortality'!$A$23:$I$124,4)</f>
        <v>1.395619701251514E-3</v>
      </c>
      <c r="J579" s="295">
        <f t="shared" si="11"/>
        <v>0.42717580887017714</v>
      </c>
      <c r="K579" s="295">
        <f t="shared" si="3"/>
        <v>0.5714285714285714</v>
      </c>
      <c r="L579" s="295">
        <f>VLOOKUP($B579,'Mother mortality'!$A$23:$I$124,4)</f>
        <v>1.395619701251514E-3</v>
      </c>
      <c r="M579" s="295">
        <f t="shared" si="4"/>
        <v>8.6261668788331098E-3</v>
      </c>
      <c r="N579" s="295">
        <f t="shared" si="12"/>
        <v>0.98997821341991543</v>
      </c>
      <c r="O579" s="294"/>
      <c r="P579" s="296">
        <f t="shared" si="20"/>
        <v>527.14406216080522</v>
      </c>
      <c r="Q579" s="297">
        <f t="shared" si="21"/>
        <v>144.62680709556864</v>
      </c>
      <c r="R579" s="297">
        <f t="shared" si="22"/>
        <v>20.574531662016334</v>
      </c>
      <c r="S579" s="297">
        <f t="shared" si="23"/>
        <v>284.46735272634538</v>
      </c>
      <c r="T579" s="297">
        <f t="shared" si="24"/>
        <v>23.187246355264389</v>
      </c>
      <c r="U579" s="294">
        <f t="shared" si="13"/>
        <v>999.99999999999989</v>
      </c>
      <c r="V579" s="295" t="str">
        <f t="shared" si="5"/>
        <v>OKAY</v>
      </c>
      <c r="W579" s="295"/>
      <c r="X579" s="296">
        <f>SUM($P579:$Q579)-(SUM($P579:$Q579)*(VLOOKUP($B579,Lifetime_morbidity_array!$A$6:$Y$24,4)+VLOOKUP($B579,Lifetime_morbidity_array!$A$6:$Y$24,7)+VLOOKUP($B579,Lifetime_morbidity_array!$A$6:$Y$24,10)+VLOOKUP($B579,Lifetime_morbidity_array!$A$6:$Y$24,13)))</f>
        <v>613.61263577984755</v>
      </c>
      <c r="Y579" s="297">
        <f>SUM($R579:$S579)-(SUM($R579:$S579)*(VLOOKUP($B579,Lifetime_morbidity_array!$A$6:$Y$24,3)+VLOOKUP($B579,Lifetime_morbidity_array!$A$6:$Y$24,6)+VLOOKUP($B579,Lifetime_morbidity_array!$A$6:$Y$24,9)+VLOOKUP($B579,Lifetime_morbidity_array!$A$6:$Y$24,12)))</f>
        <v>295.26024465065137</v>
      </c>
      <c r="Z579" s="297">
        <f>(SUM($P579:$Q579)*VLOOKUP($B579,Lifetime_morbidity_array!$A$6:$Y$24,4))+(SUM($R579:$S579)*VLOOKUP($B579,Lifetime_morbidity_array!$A$6:$Y$24,3))</f>
        <v>26.553199419879174</v>
      </c>
      <c r="AA579" s="297">
        <f>(SUM($P579:$Q579)*VLOOKUP($B579,Lifetime_morbidity_array!$A$6:$Y$24,7))+(SUM($R579:$S579)*VLOOKUP($B579,Lifetime_morbidity_array!$A$6:$Y$24,6))</f>
        <v>25.598189053671856</v>
      </c>
      <c r="AB579" s="297">
        <f>(SUM($P579:$Q579)*VLOOKUP($B579,Lifetime_morbidity_array!$A$6:$Y$24,10))+(SUM($R579:$S579)*VLOOKUP($B579,Lifetime_morbidity_array!$A$6:$Y$24,9))</f>
        <v>1.891076593546444</v>
      </c>
      <c r="AC579" s="297">
        <f>(SUM($P579:$Q579)*VLOOKUP($B579,Lifetime_morbidity_array!$A$6:$Y$24,13))+(SUM($R579:$S579)*VLOOKUP($B579,Lifetime_morbidity_array!$A$6:$Y$24,12))</f>
        <v>13.897408147139286</v>
      </c>
      <c r="AD579" s="294"/>
      <c r="AE579" s="294">
        <f t="shared" si="25"/>
        <v>51</v>
      </c>
      <c r="AF579" s="297">
        <f t="shared" si="26"/>
        <v>427.80211393778251</v>
      </c>
      <c r="AG579" s="297">
        <f t="shared" si="27"/>
        <v>16651.225600625723</v>
      </c>
      <c r="AH579" s="294"/>
      <c r="AI579" s="294">
        <f t="shared" si="28"/>
        <v>51</v>
      </c>
      <c r="AJ579" s="295">
        <f>((VLOOKUP($B579,'Mahawesran Tariff'!$A$21:$M$120,7)*$X579)+(VLOOKUP($B579,'Mahawesran Tariff'!$A$21:$M$120,6)*$Y579)+(DET_UTIL_chd*$Z579)+(DET_UTIL_copd*$AA579)+(DET_UTIL_lc*$AB579)+(DET_UTIL_stroke*$AC579))/((1+Discount_rate_QALYs)^$A579)</f>
        <v>391.2996166966617</v>
      </c>
      <c r="AK579" s="295">
        <f t="shared" si="29"/>
        <v>15884.887051652426</v>
      </c>
      <c r="AL579" s="294"/>
      <c r="AM579" s="294">
        <f t="shared" si="14"/>
        <v>51</v>
      </c>
      <c r="AN579" s="299">
        <f t="shared" si="15"/>
        <v>170981.11293711327</v>
      </c>
      <c r="AO579" s="299">
        <f t="shared" si="30"/>
        <v>5626021.4008900905</v>
      </c>
      <c r="AP579" s="294"/>
      <c r="AQ579" s="294">
        <f t="shared" si="16"/>
        <v>51</v>
      </c>
      <c r="AR579" s="298">
        <f t="shared" si="6"/>
        <v>0.97681275364473552</v>
      </c>
      <c r="AS579" s="298">
        <f t="shared" si="7"/>
        <v>2.3187246355264389E-2</v>
      </c>
      <c r="AT579" s="298">
        <f t="shared" si="8"/>
        <v>6.7939873214236751E-2</v>
      </c>
      <c r="AU579" s="250"/>
      <c r="AV579" s="294">
        <f t="shared" si="17"/>
        <v>51</v>
      </c>
      <c r="AW579" s="299">
        <f t="shared" si="18"/>
        <v>170981.11293711327</v>
      </c>
      <c r="AX579" s="299">
        <f t="shared" si="31"/>
        <v>5626021.4008900905</v>
      </c>
      <c r="AY579" s="335"/>
      <c r="AZ579" s="335"/>
      <c r="BA579" s="335"/>
      <c r="BB579" s="335"/>
      <c r="BC579" s="335"/>
      <c r="BD579" s="335"/>
      <c r="BE579" s="335"/>
      <c r="BF579" s="335"/>
      <c r="BG579" s="335"/>
      <c r="BH579" s="335"/>
      <c r="BI579" s="335"/>
      <c r="BJ579" s="335"/>
      <c r="BK579" s="364"/>
      <c r="BL579" s="364"/>
      <c r="BM579" s="364"/>
      <c r="BN579" s="364"/>
      <c r="BO579" s="364"/>
      <c r="BP579" s="364"/>
      <c r="BQ579" s="335"/>
      <c r="BR579" s="335"/>
      <c r="BS579" s="364"/>
      <c r="BT579" s="364"/>
      <c r="BU579" s="364"/>
      <c r="BV579" s="364"/>
      <c r="BW579" s="364"/>
      <c r="BX579" s="364"/>
      <c r="BY579" s="335"/>
      <c r="BZ579" s="335"/>
      <c r="CA579" s="364"/>
      <c r="CB579" s="364"/>
      <c r="CC579" s="335"/>
      <c r="CD579" s="335"/>
      <c r="CE579" s="335"/>
      <c r="CF579" s="335"/>
      <c r="CG579" s="335"/>
      <c r="CH579" s="335"/>
      <c r="CI579" s="365"/>
      <c r="CJ579" s="365"/>
      <c r="CK579" s="335"/>
      <c r="CL579" s="335"/>
      <c r="CM579" s="366"/>
      <c r="CN579" s="366"/>
      <c r="CO579" s="366"/>
      <c r="CP579" s="3"/>
    </row>
    <row r="580" spans="1:94" x14ac:dyDescent="0.25">
      <c r="A580" s="34">
        <v>25</v>
      </c>
      <c r="B580" s="33">
        <f t="shared" si="19"/>
        <v>52</v>
      </c>
      <c r="C580" s="294">
        <f>VLOOKUP($B580,'Mother mortality'!$A$23:$I$124,5)</f>
        <v>2.5178017763423494E-3</v>
      </c>
      <c r="D580" s="295">
        <f t="shared" si="1"/>
        <v>0.27</v>
      </c>
      <c r="E580" s="295">
        <f t="shared" si="9"/>
        <v>0.72748219822365767</v>
      </c>
      <c r="F580" s="295">
        <f>VLOOKUP($B580,'Mother mortality'!$A$23:$I$124,5)</f>
        <v>2.5178017763423494E-3</v>
      </c>
      <c r="G580" s="295">
        <f t="shared" si="2"/>
        <v>0.14000000000000001</v>
      </c>
      <c r="H580" s="295">
        <f t="shared" si="10"/>
        <v>0.85748219822365768</v>
      </c>
      <c r="I580" s="295">
        <f>VLOOKUP($B580,'Mother mortality'!$A$23:$I$124,4)</f>
        <v>1.5231146548243845E-3</v>
      </c>
      <c r="J580" s="295">
        <f t="shared" si="11"/>
        <v>0.42704831391660425</v>
      </c>
      <c r="K580" s="295">
        <f t="shared" si="3"/>
        <v>0.5714285714285714</v>
      </c>
      <c r="L580" s="295">
        <f>VLOOKUP($B580,'Mother mortality'!$A$23:$I$124,4)</f>
        <v>1.5231146548243845E-3</v>
      </c>
      <c r="M580" s="295">
        <f t="shared" si="4"/>
        <v>8.6261668788331098E-3</v>
      </c>
      <c r="N580" s="295">
        <f t="shared" si="12"/>
        <v>0.98985071846634254</v>
      </c>
      <c r="O580" s="294"/>
      <c r="P580" s="296">
        <f t="shared" si="20"/>
        <v>518.74301550375333</v>
      </c>
      <c r="Q580" s="297">
        <f t="shared" si="21"/>
        <v>142.32889678341741</v>
      </c>
      <c r="R580" s="297">
        <f t="shared" si="22"/>
        <v>20.24775299337961</v>
      </c>
      <c r="S580" s="297">
        <f t="shared" si="23"/>
        <v>293.33708871182938</v>
      </c>
      <c r="T580" s="297">
        <f t="shared" si="24"/>
        <v>25.343246007620287</v>
      </c>
      <c r="U580" s="294">
        <f t="shared" si="13"/>
        <v>1000.0000000000002</v>
      </c>
      <c r="V580" s="295" t="str">
        <f t="shared" si="5"/>
        <v>OKAY</v>
      </c>
      <c r="W580" s="295"/>
      <c r="X580" s="296">
        <f>SUM($P580:$Q580)-(SUM($P580:$Q580)*(VLOOKUP($B580,Lifetime_morbidity_array!$A$6:$Y$24,4)+VLOOKUP($B580,Lifetime_morbidity_array!$A$6:$Y$24,7)+VLOOKUP($B580,Lifetime_morbidity_array!$A$6:$Y$24,10)+VLOOKUP($B580,Lifetime_morbidity_array!$A$6:$Y$24,13)))</f>
        <v>603.83993576200498</v>
      </c>
      <c r="Y580" s="297">
        <f>SUM($R580:$S580)-(SUM($R580:$S580)*(VLOOKUP($B580,Lifetime_morbidity_array!$A$6:$Y$24,3)+VLOOKUP($B580,Lifetime_morbidity_array!$A$6:$Y$24,6)+VLOOKUP($B580,Lifetime_morbidity_array!$A$6:$Y$24,9)+VLOOKUP($B580,Lifetime_morbidity_array!$A$6:$Y$24,12)))</f>
        <v>303.52925883035994</v>
      </c>
      <c r="Z580" s="297">
        <f>(SUM($P580:$Q580)*VLOOKUP($B580,Lifetime_morbidity_array!$A$6:$Y$24,4))+(SUM($R580:$S580)*VLOOKUP($B580,Lifetime_morbidity_array!$A$6:$Y$24,3))</f>
        <v>26.327418857438413</v>
      </c>
      <c r="AA580" s="297">
        <f>(SUM($P580:$Q580)*VLOOKUP($B580,Lifetime_morbidity_array!$A$6:$Y$24,7))+(SUM($R580:$S580)*VLOOKUP($B580,Lifetime_morbidity_array!$A$6:$Y$24,6))</f>
        <v>25.320446404215861</v>
      </c>
      <c r="AB580" s="297">
        <f>(SUM($P580:$Q580)*VLOOKUP($B580,Lifetime_morbidity_array!$A$6:$Y$24,10))+(SUM($R580:$S580)*VLOOKUP($B580,Lifetime_morbidity_array!$A$6:$Y$24,9))</f>
        <v>1.8678275342334665</v>
      </c>
      <c r="AC580" s="297">
        <f>(SUM($P580:$Q580)*VLOOKUP($B580,Lifetime_morbidity_array!$A$6:$Y$24,13))+(SUM($R580:$S580)*VLOOKUP($B580,Lifetime_morbidity_array!$A$6:$Y$24,12))</f>
        <v>13.771866604127149</v>
      </c>
      <c r="AD580" s="294"/>
      <c r="AE580" s="294">
        <f t="shared" si="25"/>
        <v>52</v>
      </c>
      <c r="AF580" s="297">
        <f t="shared" si="26"/>
        <v>412.42307102353573</v>
      </c>
      <c r="AG580" s="297">
        <f t="shared" si="27"/>
        <v>17063.648671649258</v>
      </c>
      <c r="AH580" s="294"/>
      <c r="AI580" s="294">
        <f t="shared" si="28"/>
        <v>52</v>
      </c>
      <c r="AJ580" s="295">
        <f>((VLOOKUP($B580,'Mahawesran Tariff'!$A$21:$M$120,7)*$X580)+(VLOOKUP($B580,'Mahawesran Tariff'!$A$21:$M$120,6)*$Y580)+(DET_UTIL_chd*$Z580)+(DET_UTIL_copd*$AA580)+(DET_UTIL_lc*$AB580)+(DET_UTIL_stroke*$AC580))/((1+Discount_rate_QALYs)^$A580)</f>
        <v>377.3376484877017</v>
      </c>
      <c r="AK580" s="295">
        <f t="shared" si="29"/>
        <v>16262.224700140127</v>
      </c>
      <c r="AL580" s="294"/>
      <c r="AM580" s="294">
        <f t="shared" si="14"/>
        <v>52</v>
      </c>
      <c r="AN580" s="299">
        <f t="shared" si="15"/>
        <v>163676.25259183528</v>
      </c>
      <c r="AO580" s="299">
        <f t="shared" si="30"/>
        <v>5789697.6534819258</v>
      </c>
      <c r="AP580" s="294"/>
      <c r="AQ580" s="294">
        <f t="shared" si="16"/>
        <v>52</v>
      </c>
      <c r="AR580" s="298">
        <f t="shared" si="6"/>
        <v>0.97465675399237994</v>
      </c>
      <c r="AS580" s="298">
        <f t="shared" si="7"/>
        <v>2.5343246007620286E-2</v>
      </c>
      <c r="AT580" s="298">
        <f t="shared" si="8"/>
        <v>6.7287559400014893E-2</v>
      </c>
      <c r="AU580" s="250"/>
      <c r="AV580" s="294">
        <f t="shared" si="17"/>
        <v>52</v>
      </c>
      <c r="AW580" s="299">
        <f t="shared" si="18"/>
        <v>163676.25259183528</v>
      </c>
      <c r="AX580" s="299">
        <f t="shared" si="31"/>
        <v>5789697.6534819258</v>
      </c>
      <c r="AY580" s="335"/>
      <c r="AZ580" s="335"/>
      <c r="BA580" s="335"/>
      <c r="BB580" s="335"/>
      <c r="BC580" s="335"/>
      <c r="BD580" s="335"/>
      <c r="BE580" s="335"/>
      <c r="BF580" s="335"/>
      <c r="BG580" s="335"/>
      <c r="BH580" s="335"/>
      <c r="BI580" s="335"/>
      <c r="BJ580" s="335"/>
      <c r="BK580" s="364"/>
      <c r="BL580" s="364"/>
      <c r="BM580" s="364"/>
      <c r="BN580" s="364"/>
      <c r="BO580" s="364"/>
      <c r="BP580" s="364"/>
      <c r="BQ580" s="335"/>
      <c r="BR580" s="335"/>
      <c r="BS580" s="364"/>
      <c r="BT580" s="364"/>
      <c r="BU580" s="364"/>
      <c r="BV580" s="364"/>
      <c r="BW580" s="364"/>
      <c r="BX580" s="364"/>
      <c r="BY580" s="335"/>
      <c r="BZ580" s="335"/>
      <c r="CA580" s="364"/>
      <c r="CB580" s="364"/>
      <c r="CC580" s="335"/>
      <c r="CD580" s="335"/>
      <c r="CE580" s="335"/>
      <c r="CF580" s="335"/>
      <c r="CG580" s="335"/>
      <c r="CH580" s="335"/>
      <c r="CI580" s="365"/>
      <c r="CJ580" s="365"/>
      <c r="CK580" s="335"/>
      <c r="CL580" s="335"/>
      <c r="CM580" s="366"/>
      <c r="CN580" s="366"/>
      <c r="CO580" s="366"/>
      <c r="CP580" s="3"/>
    </row>
    <row r="581" spans="1:94" x14ac:dyDescent="0.25">
      <c r="A581" s="34">
        <v>26</v>
      </c>
      <c r="B581" s="33">
        <f t="shared" si="19"/>
        <v>53</v>
      </c>
      <c r="C581" s="294">
        <f>VLOOKUP($B581,'Mother mortality'!$A$23:$I$124,5)</f>
        <v>2.7506318126766247E-3</v>
      </c>
      <c r="D581" s="295">
        <f t="shared" si="1"/>
        <v>0.27</v>
      </c>
      <c r="E581" s="295">
        <f t="shared" si="9"/>
        <v>0.72724936818732333</v>
      </c>
      <c r="F581" s="295">
        <f>VLOOKUP($B581,'Mother mortality'!$A$23:$I$124,5)</f>
        <v>2.7506318126766247E-3</v>
      </c>
      <c r="G581" s="295">
        <f t="shared" si="2"/>
        <v>0.14000000000000001</v>
      </c>
      <c r="H581" s="295">
        <f t="shared" si="10"/>
        <v>0.85724936818732334</v>
      </c>
      <c r="I581" s="295">
        <f>VLOOKUP($B581,'Mother mortality'!$A$23:$I$124,4)</f>
        <v>1.6639624545821557E-3</v>
      </c>
      <c r="J581" s="295">
        <f t="shared" si="11"/>
        <v>0.42690746611684649</v>
      </c>
      <c r="K581" s="295">
        <f t="shared" si="3"/>
        <v>0.5714285714285714</v>
      </c>
      <c r="L581" s="295">
        <f>VLOOKUP($B581,'Mother mortality'!$A$23:$I$124,4)</f>
        <v>1.6639624545821557E-3</v>
      </c>
      <c r="M581" s="295">
        <f t="shared" si="4"/>
        <v>8.6261668788331098E-3</v>
      </c>
      <c r="N581" s="295">
        <f t="shared" si="12"/>
        <v>0.98970987066658478</v>
      </c>
      <c r="O581" s="294"/>
      <c r="P581" s="296">
        <f t="shared" si="20"/>
        <v>510.44117872301757</v>
      </c>
      <c r="Q581" s="297">
        <f t="shared" si="21"/>
        <v>140.0606141860134</v>
      </c>
      <c r="R581" s="297">
        <f t="shared" si="22"/>
        <v>19.926045549678438</v>
      </c>
      <c r="S581" s="297">
        <f t="shared" si="23"/>
        <v>301.88875669834266</v>
      </c>
      <c r="T581" s="297">
        <f t="shared" si="24"/>
        <v>27.683404842947908</v>
      </c>
      <c r="U581" s="294">
        <f t="shared" si="13"/>
        <v>999.99999999999989</v>
      </c>
      <c r="V581" s="295" t="str">
        <f t="shared" si="5"/>
        <v>OKAY</v>
      </c>
      <c r="W581" s="295"/>
      <c r="X581" s="296">
        <f>SUM($P581:$Q581)-(SUM($P581:$Q581)*(VLOOKUP($B581,Lifetime_morbidity_array!$A$6:$Y$24,4)+VLOOKUP($B581,Lifetime_morbidity_array!$A$6:$Y$24,7)+VLOOKUP($B581,Lifetime_morbidity_array!$A$6:$Y$24,10)+VLOOKUP($B581,Lifetime_morbidity_array!$A$6:$Y$24,13)))</f>
        <v>594.18491928397918</v>
      </c>
      <c r="Y581" s="297">
        <f>SUM($R581:$S581)-(SUM($R581:$S581)*(VLOOKUP($B581,Lifetime_morbidity_array!$A$6:$Y$24,3)+VLOOKUP($B581,Lifetime_morbidity_array!$A$6:$Y$24,6)+VLOOKUP($B581,Lifetime_morbidity_array!$A$6:$Y$24,9)+VLOOKUP($B581,Lifetime_morbidity_array!$A$6:$Y$24,12)))</f>
        <v>311.49531296160905</v>
      </c>
      <c r="Z581" s="297">
        <f>(SUM($P581:$Q581)*VLOOKUP($B581,Lifetime_morbidity_array!$A$6:$Y$24,4))+(SUM($R581:$S581)*VLOOKUP($B581,Lifetime_morbidity_array!$A$6:$Y$24,3))</f>
        <v>26.101266468877519</v>
      </c>
      <c r="AA581" s="297">
        <f>(SUM($P581:$Q581)*VLOOKUP($B581,Lifetime_morbidity_array!$A$6:$Y$24,7))+(SUM($R581:$S581)*VLOOKUP($B581,Lifetime_morbidity_array!$A$6:$Y$24,6))</f>
        <v>25.044010872337495</v>
      </c>
      <c r="AB581" s="297">
        <f>(SUM($P581:$Q581)*VLOOKUP($B581,Lifetime_morbidity_array!$A$6:$Y$24,10))+(SUM($R581:$S581)*VLOOKUP($B581,Lifetime_morbidity_array!$A$6:$Y$24,9))</f>
        <v>1.8447507378141128</v>
      </c>
      <c r="AC581" s="297">
        <f>(SUM($P581:$Q581)*VLOOKUP($B581,Lifetime_morbidity_array!$A$6:$Y$24,13))+(SUM($R581:$S581)*VLOOKUP($B581,Lifetime_morbidity_array!$A$6:$Y$24,12))</f>
        <v>13.6463348324348</v>
      </c>
      <c r="AD581" s="294"/>
      <c r="AE581" s="294">
        <f t="shared" si="25"/>
        <v>53</v>
      </c>
      <c r="AF581" s="297">
        <f t="shared" si="26"/>
        <v>397.5196520366697</v>
      </c>
      <c r="AG581" s="297">
        <f t="shared" si="27"/>
        <v>17461.168323685928</v>
      </c>
      <c r="AH581" s="294"/>
      <c r="AI581" s="294">
        <f t="shared" si="28"/>
        <v>53</v>
      </c>
      <c r="AJ581" s="295">
        <f>((VLOOKUP($B581,'Mahawesran Tariff'!$A$21:$M$120,7)*$X581)+(VLOOKUP($B581,'Mahawesran Tariff'!$A$21:$M$120,6)*$Y581)+(DET_UTIL_chd*$Z581)+(DET_UTIL_copd*$AA581)+(DET_UTIL_lc*$AB581)+(DET_UTIL_stroke*$AC581))/((1+Discount_rate_QALYs)^$A581)</f>
        <v>363.80082189259036</v>
      </c>
      <c r="AK581" s="295">
        <f t="shared" si="29"/>
        <v>16626.025522032716</v>
      </c>
      <c r="AL581" s="294"/>
      <c r="AM581" s="294">
        <f t="shared" si="14"/>
        <v>53</v>
      </c>
      <c r="AN581" s="299">
        <f t="shared" si="15"/>
        <v>156670.84628356478</v>
      </c>
      <c r="AO581" s="299">
        <f t="shared" si="30"/>
        <v>5946368.4997654902</v>
      </c>
      <c r="AP581" s="294"/>
      <c r="AQ581" s="294">
        <f t="shared" si="16"/>
        <v>53</v>
      </c>
      <c r="AR581" s="298">
        <f t="shared" si="6"/>
        <v>0.97231659515705204</v>
      </c>
      <c r="AS581" s="298">
        <f t="shared" si="7"/>
        <v>2.7683404842947908E-2</v>
      </c>
      <c r="AT581" s="298">
        <f t="shared" si="8"/>
        <v>6.6636362911463923E-2</v>
      </c>
      <c r="AU581" s="250"/>
      <c r="AV581" s="294">
        <f t="shared" si="17"/>
        <v>53</v>
      </c>
      <c r="AW581" s="299">
        <f t="shared" si="18"/>
        <v>156670.84628356478</v>
      </c>
      <c r="AX581" s="299">
        <f t="shared" si="31"/>
        <v>5946368.4997654902</v>
      </c>
      <c r="AY581" s="335"/>
      <c r="AZ581" s="335"/>
      <c r="BA581" s="335"/>
      <c r="BB581" s="335"/>
      <c r="BC581" s="335"/>
      <c r="BD581" s="335"/>
      <c r="BE581" s="335"/>
      <c r="BF581" s="335"/>
      <c r="BG581" s="335"/>
      <c r="BH581" s="335"/>
      <c r="BI581" s="335"/>
      <c r="BJ581" s="335"/>
      <c r="BK581" s="364"/>
      <c r="BL581" s="364"/>
      <c r="BM581" s="364"/>
      <c r="BN581" s="364"/>
      <c r="BO581" s="364"/>
      <c r="BP581" s="364"/>
      <c r="BQ581" s="335"/>
      <c r="BR581" s="335"/>
      <c r="BS581" s="364"/>
      <c r="BT581" s="364"/>
      <c r="BU581" s="364"/>
      <c r="BV581" s="364"/>
      <c r="BW581" s="364"/>
      <c r="BX581" s="364"/>
      <c r="BY581" s="335"/>
      <c r="BZ581" s="335"/>
      <c r="CA581" s="364"/>
      <c r="CB581" s="364"/>
      <c r="CC581" s="335"/>
      <c r="CD581" s="335"/>
      <c r="CE581" s="335"/>
      <c r="CF581" s="335"/>
      <c r="CG581" s="335"/>
      <c r="CH581" s="335"/>
      <c r="CI581" s="365"/>
      <c r="CJ581" s="365"/>
      <c r="CK581" s="335"/>
      <c r="CL581" s="335"/>
      <c r="CM581" s="366"/>
      <c r="CN581" s="366"/>
      <c r="CO581" s="366"/>
      <c r="CP581" s="3"/>
    </row>
    <row r="582" spans="1:94" x14ac:dyDescent="0.25">
      <c r="A582" s="34">
        <v>27</v>
      </c>
      <c r="B582" s="33">
        <f t="shared" si="19"/>
        <v>54</v>
      </c>
      <c r="C582" s="294">
        <f>VLOOKUP($B582,'Mother mortality'!$A$23:$I$124,5)</f>
        <v>3.0021013322567625E-3</v>
      </c>
      <c r="D582" s="295">
        <f t="shared" si="1"/>
        <v>0.27</v>
      </c>
      <c r="E582" s="295">
        <f t="shared" si="9"/>
        <v>0.72699789866774323</v>
      </c>
      <c r="F582" s="295">
        <f>VLOOKUP($B582,'Mother mortality'!$A$23:$I$124,5)</f>
        <v>3.0021013322567625E-3</v>
      </c>
      <c r="G582" s="295">
        <f t="shared" si="2"/>
        <v>0.14000000000000001</v>
      </c>
      <c r="H582" s="295">
        <f t="shared" si="10"/>
        <v>0.85699789866774323</v>
      </c>
      <c r="I582" s="295">
        <f>VLOOKUP($B582,'Mother mortality'!$A$23:$I$124,4)</f>
        <v>1.8160859911182888E-3</v>
      </c>
      <c r="J582" s="295">
        <f t="shared" si="11"/>
        <v>0.42675534258031034</v>
      </c>
      <c r="K582" s="295">
        <f t="shared" si="3"/>
        <v>0.5714285714285714</v>
      </c>
      <c r="L582" s="295">
        <f>VLOOKUP($B582,'Mother mortality'!$A$23:$I$124,4)</f>
        <v>1.8160859911182888E-3</v>
      </c>
      <c r="M582" s="295">
        <f t="shared" si="4"/>
        <v>8.6261668788331098E-3</v>
      </c>
      <c r="N582" s="295">
        <f t="shared" si="12"/>
        <v>0.98955774713004863</v>
      </c>
      <c r="O582" s="294"/>
      <c r="P582" s="296">
        <f t="shared" si="20"/>
        <v>502.22900555759395</v>
      </c>
      <c r="Q582" s="297">
        <f t="shared" si="21"/>
        <v>137.81911825521476</v>
      </c>
      <c r="R582" s="297">
        <f t="shared" si="22"/>
        <v>19.608485986041877</v>
      </c>
      <c r="S582" s="297">
        <f t="shared" si="23"/>
        <v>310.12266970497672</v>
      </c>
      <c r="T582" s="297">
        <f t="shared" si="24"/>
        <v>30.22072049617266</v>
      </c>
      <c r="U582" s="294">
        <f t="shared" si="13"/>
        <v>1000</v>
      </c>
      <c r="V582" s="295" t="str">
        <f t="shared" si="5"/>
        <v>OKAY</v>
      </c>
      <c r="W582" s="295"/>
      <c r="X582" s="296">
        <f>SUM($P582:$Q582)-(SUM($P582:$Q582)*(VLOOKUP($B582,Lifetime_morbidity_array!$A$6:$Y$24,4)+VLOOKUP($B582,Lifetime_morbidity_array!$A$6:$Y$24,7)+VLOOKUP($B582,Lifetime_morbidity_array!$A$6:$Y$24,10)+VLOOKUP($B582,Lifetime_morbidity_array!$A$6:$Y$24,13)))</f>
        <v>584.63627146183717</v>
      </c>
      <c r="Y582" s="297">
        <f>SUM($R582:$S582)-(SUM($R582:$S582)*(VLOOKUP($B582,Lifetime_morbidity_array!$A$6:$Y$24,3)+VLOOKUP($B582,Lifetime_morbidity_array!$A$6:$Y$24,6)+VLOOKUP($B582,Lifetime_morbidity_array!$A$6:$Y$24,9)+VLOOKUP($B582,Lifetime_morbidity_array!$A$6:$Y$24,12)))</f>
        <v>319.15781628965908</v>
      </c>
      <c r="Z582" s="297">
        <f>(SUM($P582:$Q582)*VLOOKUP($B582,Lifetime_morbidity_array!$A$6:$Y$24,4))+(SUM($R582:$S582)*VLOOKUP($B582,Lifetime_morbidity_array!$A$6:$Y$24,3))</f>
        <v>25.87432637862959</v>
      </c>
      <c r="AA582" s="297">
        <f>(SUM($P582:$Q582)*VLOOKUP($B582,Lifetime_morbidity_array!$A$6:$Y$24,7))+(SUM($R582:$S582)*VLOOKUP($B582,Lifetime_morbidity_array!$A$6:$Y$24,6))</f>
        <v>24.768459057626515</v>
      </c>
      <c r="AB582" s="297">
        <f>(SUM($P582:$Q582)*VLOOKUP($B582,Lifetime_morbidity_array!$A$6:$Y$24,10))+(SUM($R582:$S582)*VLOOKUP($B582,Lifetime_morbidity_array!$A$6:$Y$24,9))</f>
        <v>1.8218139036110648</v>
      </c>
      <c r="AC582" s="297">
        <f>(SUM($P582:$Q582)*VLOOKUP($B582,Lifetime_morbidity_array!$A$6:$Y$24,13))+(SUM($R582:$S582)*VLOOKUP($B582,Lifetime_morbidity_array!$A$6:$Y$24,12))</f>
        <v>13.52059241246393</v>
      </c>
      <c r="AD582" s="294"/>
      <c r="AE582" s="294">
        <f t="shared" si="25"/>
        <v>54</v>
      </c>
      <c r="AF582" s="297">
        <f t="shared" si="26"/>
        <v>383.07468774390395</v>
      </c>
      <c r="AG582" s="297">
        <f t="shared" si="27"/>
        <v>17844.243011429833</v>
      </c>
      <c r="AH582" s="294"/>
      <c r="AI582" s="294">
        <f t="shared" si="28"/>
        <v>54</v>
      </c>
      <c r="AJ582" s="295">
        <f>((VLOOKUP($B582,'Mahawesran Tariff'!$A$21:$M$120,7)*$X582)+(VLOOKUP($B582,'Mahawesran Tariff'!$A$21:$M$120,6)*$Y582)+(DET_UTIL_chd*$Z582)+(DET_UTIL_copd*$AA582)+(DET_UTIL_lc*$AB582)+(DET_UTIL_stroke*$AC582))/((1+Discount_rate_QALYs)^$A582)</f>
        <v>350.67411386818605</v>
      </c>
      <c r="AK582" s="295">
        <f t="shared" si="29"/>
        <v>16976.699635900903</v>
      </c>
      <c r="AL582" s="294"/>
      <c r="AM582" s="294">
        <f t="shared" si="14"/>
        <v>54</v>
      </c>
      <c r="AN582" s="299">
        <f t="shared" si="15"/>
        <v>149950.50646830947</v>
      </c>
      <c r="AO582" s="299">
        <f t="shared" si="30"/>
        <v>6096319.0062337993</v>
      </c>
      <c r="AP582" s="294"/>
      <c r="AQ582" s="294">
        <f t="shared" si="16"/>
        <v>54</v>
      </c>
      <c r="AR582" s="298">
        <f t="shared" si="6"/>
        <v>0.96977927950382725</v>
      </c>
      <c r="AS582" s="298">
        <f t="shared" si="7"/>
        <v>3.0220720496172662E-2</v>
      </c>
      <c r="AT582" s="298">
        <f t="shared" si="8"/>
        <v>6.5985191752331099E-2</v>
      </c>
      <c r="AU582" s="250"/>
      <c r="AV582" s="294">
        <f t="shared" si="17"/>
        <v>54</v>
      </c>
      <c r="AW582" s="299">
        <f t="shared" si="18"/>
        <v>149950.50646830947</v>
      </c>
      <c r="AX582" s="299">
        <f t="shared" si="31"/>
        <v>6096319.0062337993</v>
      </c>
      <c r="AY582" s="335"/>
      <c r="AZ582" s="335"/>
      <c r="BA582" s="335"/>
      <c r="BB582" s="335"/>
      <c r="BC582" s="335"/>
      <c r="BD582" s="335"/>
      <c r="BE582" s="335"/>
      <c r="BF582" s="335"/>
      <c r="BG582" s="335"/>
      <c r="BH582" s="335"/>
      <c r="BI582" s="335"/>
      <c r="BJ582" s="335"/>
      <c r="BK582" s="364"/>
      <c r="BL582" s="364"/>
      <c r="BM582" s="364"/>
      <c r="BN582" s="364"/>
      <c r="BO582" s="364"/>
      <c r="BP582" s="364"/>
      <c r="BQ582" s="335"/>
      <c r="BR582" s="335"/>
      <c r="BS582" s="364"/>
      <c r="BT582" s="364"/>
      <c r="BU582" s="364"/>
      <c r="BV582" s="364"/>
      <c r="BW582" s="364"/>
      <c r="BX582" s="364"/>
      <c r="BY582" s="335"/>
      <c r="BZ582" s="335"/>
      <c r="CA582" s="364"/>
      <c r="CB582" s="364"/>
      <c r="CC582" s="335"/>
      <c r="CD582" s="335"/>
      <c r="CE582" s="335"/>
      <c r="CF582" s="335"/>
      <c r="CG582" s="335"/>
      <c r="CH582" s="335"/>
      <c r="CI582" s="365"/>
      <c r="CJ582" s="365"/>
      <c r="CK582" s="335"/>
      <c r="CL582" s="335"/>
      <c r="CM582" s="366"/>
      <c r="CN582" s="366"/>
      <c r="CO582" s="366"/>
      <c r="CP582" s="3"/>
    </row>
    <row r="583" spans="1:94" x14ac:dyDescent="0.25">
      <c r="A583" s="34">
        <v>28</v>
      </c>
      <c r="B583" s="33">
        <f t="shared" si="19"/>
        <v>55</v>
      </c>
      <c r="C583" s="294">
        <f>VLOOKUP($B583,'Mother mortality'!$A$23:$I$124,5)</f>
        <v>3.2724321486268175E-3</v>
      </c>
      <c r="D583" s="295">
        <f t="shared" si="1"/>
        <v>0.27</v>
      </c>
      <c r="E583" s="295">
        <f t="shared" si="9"/>
        <v>0.72672756785137316</v>
      </c>
      <c r="F583" s="295">
        <f>VLOOKUP($B583,'Mother mortality'!$A$23:$I$124,5)</f>
        <v>3.2724321486268175E-3</v>
      </c>
      <c r="G583" s="295">
        <f t="shared" si="2"/>
        <v>0.14000000000000001</v>
      </c>
      <c r="H583" s="295">
        <f t="shared" si="10"/>
        <v>0.85672756785137316</v>
      </c>
      <c r="I583" s="295">
        <f>VLOOKUP($B583,'Mother mortality'!$A$23:$I$124,4)</f>
        <v>2.1601276252019388E-3</v>
      </c>
      <c r="J583" s="295">
        <f t="shared" si="11"/>
        <v>0.4264113009462267</v>
      </c>
      <c r="K583" s="295">
        <f t="shared" si="3"/>
        <v>0.5714285714285714</v>
      </c>
      <c r="L583" s="295">
        <f>VLOOKUP($B583,'Mother mortality'!$A$23:$I$124,4)</f>
        <v>2.1601276252019388E-3</v>
      </c>
      <c r="M583" s="295">
        <f t="shared" si="4"/>
        <v>8.6261668788331098E-3</v>
      </c>
      <c r="N583" s="295">
        <f t="shared" si="12"/>
        <v>0.98921370549596499</v>
      </c>
      <c r="O583" s="294"/>
      <c r="P583" s="296">
        <f t="shared" si="20"/>
        <v>494.09355162017334</v>
      </c>
      <c r="Q583" s="297">
        <f t="shared" si="21"/>
        <v>135.60183150055039</v>
      </c>
      <c r="R583" s="297">
        <f t="shared" si="22"/>
        <v>19.294676555730067</v>
      </c>
      <c r="S583" s="297">
        <f t="shared" si="23"/>
        <v>317.98244439204234</v>
      </c>
      <c r="T583" s="297">
        <f t="shared" si="24"/>
        <v>33.027495931503907</v>
      </c>
      <c r="U583" s="294">
        <f t="shared" si="13"/>
        <v>1000.0000000000001</v>
      </c>
      <c r="V583" s="295" t="str">
        <f t="shared" si="5"/>
        <v>OKAY</v>
      </c>
      <c r="W583" s="295"/>
      <c r="X583" s="296">
        <f>SUM($P583:$Q583)-(SUM($P583:$Q583)*(VLOOKUP($B583,Lifetime_morbidity_array!$A$6:$Y$24,4)+VLOOKUP($B583,Lifetime_morbidity_array!$A$6:$Y$24,7)+VLOOKUP($B583,Lifetime_morbidity_array!$A$6:$Y$24,10)+VLOOKUP($B583,Lifetime_morbidity_array!$A$6:$Y$24,13)))</f>
        <v>520.01904160455751</v>
      </c>
      <c r="Y583" s="297">
        <f>SUM($R583:$S583)-(SUM($R583:$S583)*(VLOOKUP($B583,Lifetime_morbidity_array!$A$6:$Y$24,3)+VLOOKUP($B583,Lifetime_morbidity_array!$A$6:$Y$24,6)+VLOOKUP($B583,Lifetime_morbidity_array!$A$6:$Y$24,9)+VLOOKUP($B583,Lifetime_morbidity_array!$A$6:$Y$24,12)))</f>
        <v>310.06867509833012</v>
      </c>
      <c r="Z583" s="297">
        <f>(SUM($P583:$Q583)*VLOOKUP($B583,Lifetime_morbidity_array!$A$6:$Y$24,4))+(SUM($R583:$S583)*VLOOKUP($B583,Lifetime_morbidity_array!$A$6:$Y$24,3))</f>
        <v>59.166237222629746</v>
      </c>
      <c r="AA583" s="297">
        <f>(SUM($P583:$Q583)*VLOOKUP($B583,Lifetime_morbidity_array!$A$6:$Y$24,7))+(SUM($R583:$S583)*VLOOKUP($B583,Lifetime_morbidity_array!$A$6:$Y$24,6))</f>
        <v>44.842196534070318</v>
      </c>
      <c r="AB583" s="297">
        <f>(SUM($P583:$Q583)*VLOOKUP($B583,Lifetime_morbidity_array!$A$6:$Y$24,10))+(SUM($R583:$S583)*VLOOKUP($B583,Lifetime_morbidity_array!$A$6:$Y$24,9))</f>
        <v>1.8577814297432531</v>
      </c>
      <c r="AC583" s="297">
        <f>(SUM($P583:$Q583)*VLOOKUP($B583,Lifetime_morbidity_array!$A$6:$Y$24,13))+(SUM($R583:$S583)*VLOOKUP($B583,Lifetime_morbidity_array!$A$6:$Y$24,12))</f>
        <v>31.018572179165176</v>
      </c>
      <c r="AD583" s="294"/>
      <c r="AE583" s="294">
        <f t="shared" si="25"/>
        <v>55</v>
      </c>
      <c r="AF583" s="297">
        <f t="shared" si="26"/>
        <v>369.04925322273368</v>
      </c>
      <c r="AG583" s="297">
        <f t="shared" si="27"/>
        <v>18213.292264652566</v>
      </c>
      <c r="AH583" s="294"/>
      <c r="AI583" s="294">
        <f t="shared" si="28"/>
        <v>55</v>
      </c>
      <c r="AJ583" s="295">
        <f>((VLOOKUP($B583,'Mahawesran Tariff'!$A$21:$M$120,7)*$X583)+(VLOOKUP($B583,'Mahawesran Tariff'!$A$21:$M$120,6)*$Y583)+(DET_UTIL_chd*$Z583)+(DET_UTIL_copd*$AA583)+(DET_UTIL_lc*$AB583)+(DET_UTIL_stroke*$AC583))/((1+Discount_rate_QALYs)^$A583)</f>
        <v>326.13315993671108</v>
      </c>
      <c r="AK583" s="295">
        <f t="shared" si="29"/>
        <v>17302.832795837614</v>
      </c>
      <c r="AL583" s="294"/>
      <c r="AM583" s="294">
        <f t="shared" si="14"/>
        <v>55</v>
      </c>
      <c r="AN583" s="299">
        <f t="shared" si="15"/>
        <v>319918.52168156084</v>
      </c>
      <c r="AO583" s="299">
        <f t="shared" si="30"/>
        <v>6416237.5279153604</v>
      </c>
      <c r="AP583" s="294"/>
      <c r="AQ583" s="294">
        <f t="shared" si="16"/>
        <v>55</v>
      </c>
      <c r="AR583" s="298">
        <f t="shared" si="6"/>
        <v>0.96697250406849622</v>
      </c>
      <c r="AS583" s="298">
        <f t="shared" si="7"/>
        <v>3.3027495931503906E-2</v>
      </c>
      <c r="AT583" s="298">
        <f t="shared" si="8"/>
        <v>0.1368847873656085</v>
      </c>
      <c r="AU583" s="250"/>
      <c r="AV583" s="294">
        <f t="shared" si="17"/>
        <v>55</v>
      </c>
      <c r="AW583" s="299">
        <f t="shared" si="18"/>
        <v>319918.52168156084</v>
      </c>
      <c r="AX583" s="299">
        <f t="shared" si="31"/>
        <v>6416237.5279153604</v>
      </c>
      <c r="AY583" s="335"/>
      <c r="AZ583" s="335"/>
      <c r="BA583" s="335"/>
      <c r="BB583" s="335"/>
      <c r="BC583" s="335"/>
      <c r="BD583" s="335"/>
      <c r="BE583" s="335"/>
      <c r="BF583" s="335"/>
      <c r="BG583" s="335"/>
      <c r="BH583" s="335"/>
      <c r="BI583" s="335"/>
      <c r="BJ583" s="335"/>
      <c r="BK583" s="364"/>
      <c r="BL583" s="364"/>
      <c r="BM583" s="364"/>
      <c r="BN583" s="364"/>
      <c r="BO583" s="364"/>
      <c r="BP583" s="364"/>
      <c r="BQ583" s="335"/>
      <c r="BR583" s="335"/>
      <c r="BS583" s="364"/>
      <c r="BT583" s="364"/>
      <c r="BU583" s="364"/>
      <c r="BV583" s="364"/>
      <c r="BW583" s="364"/>
      <c r="BX583" s="364"/>
      <c r="BY583" s="335"/>
      <c r="BZ583" s="335"/>
      <c r="CA583" s="364"/>
      <c r="CB583" s="364"/>
      <c r="CC583" s="335"/>
      <c r="CD583" s="335"/>
      <c r="CE583" s="335"/>
      <c r="CF583" s="335"/>
      <c r="CG583" s="335"/>
      <c r="CH583" s="335"/>
      <c r="CI583" s="365"/>
      <c r="CJ583" s="365"/>
      <c r="CK583" s="335"/>
      <c r="CL583" s="335"/>
      <c r="CM583" s="366"/>
      <c r="CN583" s="366"/>
      <c r="CO583" s="366"/>
      <c r="CP583" s="3"/>
    </row>
    <row r="584" spans="1:94" x14ac:dyDescent="0.25">
      <c r="A584" s="34">
        <v>29</v>
      </c>
      <c r="B584" s="33">
        <f t="shared" si="19"/>
        <v>56</v>
      </c>
      <c r="C584" s="294">
        <f>VLOOKUP($B584,'Mother mortality'!$A$23:$I$124,5)</f>
        <v>3.5480726978998384E-3</v>
      </c>
      <c r="D584" s="295">
        <f t="shared" si="1"/>
        <v>0.27</v>
      </c>
      <c r="E584" s="295">
        <f t="shared" si="9"/>
        <v>0.72645192730210018</v>
      </c>
      <c r="F584" s="295">
        <f>VLOOKUP($B584,'Mother mortality'!$A$23:$I$124,5)</f>
        <v>3.5480726978998384E-3</v>
      </c>
      <c r="G584" s="295">
        <f t="shared" si="2"/>
        <v>0.14000000000000001</v>
      </c>
      <c r="H584" s="295">
        <f t="shared" si="10"/>
        <v>0.85645192730210018</v>
      </c>
      <c r="I584" s="295">
        <f>VLOOKUP($B584,'Mother mortality'!$A$23:$I$124,4)</f>
        <v>2.342077544426494E-3</v>
      </c>
      <c r="J584" s="295">
        <f t="shared" si="11"/>
        <v>0.4262293510270021</v>
      </c>
      <c r="K584" s="295">
        <f t="shared" si="3"/>
        <v>0.5714285714285714</v>
      </c>
      <c r="L584" s="295">
        <f>VLOOKUP($B584,'Mother mortality'!$A$23:$I$124,4)</f>
        <v>2.342077544426494E-3</v>
      </c>
      <c r="M584" s="295">
        <f t="shared" si="4"/>
        <v>8.6261668788331098E-3</v>
      </c>
      <c r="N584" s="295">
        <f t="shared" si="12"/>
        <v>0.98903175557674039</v>
      </c>
      <c r="O584" s="294"/>
      <c r="P584" s="296">
        <f t="shared" si="20"/>
        <v>486.03858987284536</v>
      </c>
      <c r="Q584" s="297">
        <f t="shared" si="21"/>
        <v>133.4052589374468</v>
      </c>
      <c r="R584" s="297">
        <f t="shared" si="22"/>
        <v>18.984256410077055</v>
      </c>
      <c r="S584" s="297">
        <f t="shared" si="23"/>
        <v>325.52026468006204</v>
      </c>
      <c r="T584" s="297">
        <f t="shared" si="24"/>
        <v>36.051630099568726</v>
      </c>
      <c r="U584" s="294">
        <f t="shared" si="13"/>
        <v>999.99999999999989</v>
      </c>
      <c r="V584" s="295" t="str">
        <f t="shared" si="5"/>
        <v>OKAY</v>
      </c>
      <c r="W584" s="295"/>
      <c r="X584" s="296">
        <f>SUM($P584:$Q584)-(SUM($P584:$Q584)*(VLOOKUP($B584,Lifetime_morbidity_array!$A$6:$Y$24,4)+VLOOKUP($B584,Lifetime_morbidity_array!$A$6:$Y$24,7)+VLOOKUP($B584,Lifetime_morbidity_array!$A$6:$Y$24,10)+VLOOKUP($B584,Lifetime_morbidity_array!$A$6:$Y$24,13)))</f>
        <v>511.55305441458188</v>
      </c>
      <c r="Y584" s="297">
        <f>SUM($R584:$S584)-(SUM($R584:$S584)*(VLOOKUP($B584,Lifetime_morbidity_array!$A$6:$Y$24,3)+VLOOKUP($B584,Lifetime_morbidity_array!$A$6:$Y$24,6)+VLOOKUP($B584,Lifetime_morbidity_array!$A$6:$Y$24,9)+VLOOKUP($B584,Lifetime_morbidity_array!$A$6:$Y$24,12)))</f>
        <v>316.71303443184132</v>
      </c>
      <c r="Z584" s="297">
        <f>(SUM($P584:$Q584)*VLOOKUP($B584,Lifetime_morbidity_array!$A$6:$Y$24,4))+(SUM($R584:$S584)*VLOOKUP($B584,Lifetime_morbidity_array!$A$6:$Y$24,3))</f>
        <v>58.573943824418663</v>
      </c>
      <c r="AA584" s="297">
        <f>(SUM($P584:$Q584)*VLOOKUP($B584,Lifetime_morbidity_array!$A$6:$Y$24,7))+(SUM($R584:$S584)*VLOOKUP($B584,Lifetime_morbidity_array!$A$6:$Y$24,6))</f>
        <v>44.490303812842789</v>
      </c>
      <c r="AB584" s="297">
        <f>(SUM($P584:$Q584)*VLOOKUP($B584,Lifetime_morbidity_array!$A$6:$Y$24,10))+(SUM($R584:$S584)*VLOOKUP($B584,Lifetime_morbidity_array!$A$6:$Y$24,9))</f>
        <v>1.8362109952761041</v>
      </c>
      <c r="AC584" s="297">
        <f>(SUM($P584:$Q584)*VLOOKUP($B584,Lifetime_morbidity_array!$A$6:$Y$24,13))+(SUM($R584:$S584)*VLOOKUP($B584,Lifetime_morbidity_array!$A$6:$Y$24,12))</f>
        <v>30.781822421470512</v>
      </c>
      <c r="AD584" s="294"/>
      <c r="AE584" s="294">
        <f t="shared" si="25"/>
        <v>56</v>
      </c>
      <c r="AF584" s="297">
        <f t="shared" si="26"/>
        <v>355.45418289038406</v>
      </c>
      <c r="AG584" s="297">
        <f t="shared" si="27"/>
        <v>18568.746447542952</v>
      </c>
      <c r="AH584" s="294"/>
      <c r="AI584" s="294">
        <f t="shared" si="28"/>
        <v>56</v>
      </c>
      <c r="AJ584" s="295">
        <f>((VLOOKUP($B584,'Mahawesran Tariff'!$A$21:$M$120,7)*$X584)+(VLOOKUP($B584,'Mahawesran Tariff'!$A$21:$M$120,6)*$Y584)+(DET_UTIL_chd*$Z584)+(DET_UTIL_copd*$AA584)+(DET_UTIL_lc*$AB584)+(DET_UTIL_stroke*$AC584))/((1+Discount_rate_QALYs)^$A584)</f>
        <v>314.21615865024404</v>
      </c>
      <c r="AK584" s="295">
        <f t="shared" si="29"/>
        <v>17617.048954487858</v>
      </c>
      <c r="AL584" s="294"/>
      <c r="AM584" s="294">
        <f t="shared" si="14"/>
        <v>56</v>
      </c>
      <c r="AN584" s="299">
        <f t="shared" si="15"/>
        <v>306616.37479147944</v>
      </c>
      <c r="AO584" s="299">
        <f t="shared" si="30"/>
        <v>6722853.9027068401</v>
      </c>
      <c r="AP584" s="294"/>
      <c r="AQ584" s="294">
        <f t="shared" si="16"/>
        <v>56</v>
      </c>
      <c r="AR584" s="298">
        <f t="shared" si="6"/>
        <v>0.9639483699004312</v>
      </c>
      <c r="AS584" s="298">
        <f t="shared" si="7"/>
        <v>3.6051630099568729E-2</v>
      </c>
      <c r="AT584" s="298">
        <f t="shared" si="8"/>
        <v>0.13568228105400806</v>
      </c>
      <c r="AU584" s="250"/>
      <c r="AV584" s="294">
        <f t="shared" si="17"/>
        <v>56</v>
      </c>
      <c r="AW584" s="299">
        <f t="shared" si="18"/>
        <v>306616.37479147944</v>
      </c>
      <c r="AX584" s="299">
        <f t="shared" si="31"/>
        <v>6722853.9027068401</v>
      </c>
      <c r="AY584" s="335"/>
      <c r="AZ584" s="335"/>
      <c r="BA584" s="335"/>
      <c r="BB584" s="335"/>
      <c r="BC584" s="335"/>
      <c r="BD584" s="335"/>
      <c r="BE584" s="335"/>
      <c r="BF584" s="335"/>
      <c r="BG584" s="335"/>
      <c r="BH584" s="335"/>
      <c r="BI584" s="335"/>
      <c r="BJ584" s="335"/>
      <c r="BK584" s="364"/>
      <c r="BL584" s="364"/>
      <c r="BM584" s="364"/>
      <c r="BN584" s="364"/>
      <c r="BO584" s="364"/>
      <c r="BP584" s="364"/>
      <c r="BQ584" s="335"/>
      <c r="BR584" s="335"/>
      <c r="BS584" s="364"/>
      <c r="BT584" s="364"/>
      <c r="BU584" s="364"/>
      <c r="BV584" s="364"/>
      <c r="BW584" s="364"/>
      <c r="BX584" s="364"/>
      <c r="BY584" s="335"/>
      <c r="BZ584" s="335"/>
      <c r="CA584" s="364"/>
      <c r="CB584" s="364"/>
      <c r="CC584" s="335"/>
      <c r="CD584" s="335"/>
      <c r="CE584" s="335"/>
      <c r="CF584" s="335"/>
      <c r="CG584" s="335"/>
      <c r="CH584" s="335"/>
      <c r="CI584" s="365"/>
      <c r="CJ584" s="365"/>
      <c r="CK584" s="335"/>
      <c r="CL584" s="335"/>
      <c r="CM584" s="366"/>
      <c r="CN584" s="366"/>
      <c r="CO584" s="366"/>
      <c r="CP584" s="3"/>
    </row>
    <row r="585" spans="1:94" x14ac:dyDescent="0.25">
      <c r="A585" s="34">
        <v>30</v>
      </c>
      <c r="B585" s="33">
        <f t="shared" si="19"/>
        <v>57</v>
      </c>
      <c r="C585" s="294">
        <f>VLOOKUP($B585,'Mother mortality'!$A$23:$I$124,5)</f>
        <v>3.8415864297253635E-3</v>
      </c>
      <c r="D585" s="295">
        <f t="shared" si="1"/>
        <v>0.27</v>
      </c>
      <c r="E585" s="295">
        <f t="shared" si="9"/>
        <v>0.72615841357027466</v>
      </c>
      <c r="F585" s="295">
        <f>VLOOKUP($B585,'Mother mortality'!$A$23:$I$124,5)</f>
        <v>3.8415864297253635E-3</v>
      </c>
      <c r="G585" s="295">
        <f t="shared" si="2"/>
        <v>0.14000000000000001</v>
      </c>
      <c r="H585" s="295">
        <f t="shared" si="10"/>
        <v>0.85615841357027467</v>
      </c>
      <c r="I585" s="295">
        <f>VLOOKUP($B585,'Mother mortality'!$A$23:$I$124,4)</f>
        <v>2.5358255250403877E-3</v>
      </c>
      <c r="J585" s="295">
        <f t="shared" si="11"/>
        <v>0.42603560304638821</v>
      </c>
      <c r="K585" s="295">
        <f t="shared" si="3"/>
        <v>0.5714285714285714</v>
      </c>
      <c r="L585" s="295">
        <f>VLOOKUP($B585,'Mother mortality'!$A$23:$I$124,4)</f>
        <v>2.5358255250403877E-3</v>
      </c>
      <c r="M585" s="295">
        <f t="shared" si="4"/>
        <v>8.6261668788331098E-3</v>
      </c>
      <c r="N585" s="295">
        <f t="shared" si="12"/>
        <v>0.9888380075961265</v>
      </c>
      <c r="O585" s="294"/>
      <c r="P585" s="296">
        <f t="shared" si="20"/>
        <v>478.05300746344147</v>
      </c>
      <c r="Q585" s="297">
        <f t="shared" si="21"/>
        <v>131.23041926566825</v>
      </c>
      <c r="R585" s="297">
        <f t="shared" si="22"/>
        <v>18.676736251242556</v>
      </c>
      <c r="S585" s="297">
        <f t="shared" si="23"/>
        <v>332.73495647844032</v>
      </c>
      <c r="T585" s="297">
        <f t="shared" si="24"/>
        <v>39.304880541207382</v>
      </c>
      <c r="U585" s="294">
        <f t="shared" si="13"/>
        <v>999.99999999999989</v>
      </c>
      <c r="V585" s="295" t="str">
        <f t="shared" si="5"/>
        <v>OKAY</v>
      </c>
      <c r="W585" s="295"/>
      <c r="X585" s="296">
        <f>SUM($P585:$Q585)-(SUM($P585:$Q585)*(VLOOKUP($B585,Lifetime_morbidity_array!$A$6:$Y$24,4)+VLOOKUP($B585,Lifetime_morbidity_array!$A$6:$Y$24,7)+VLOOKUP($B585,Lifetime_morbidity_array!$A$6:$Y$24,10)+VLOOKUP($B585,Lifetime_morbidity_array!$A$6:$Y$24,13)))</f>
        <v>503.16231010458057</v>
      </c>
      <c r="Y585" s="297">
        <f>SUM($R585:$S585)-(SUM($R585:$S585)*(VLOOKUP($B585,Lifetime_morbidity_array!$A$6:$Y$24,3)+VLOOKUP($B585,Lifetime_morbidity_array!$A$6:$Y$24,6)+VLOOKUP($B585,Lifetime_morbidity_array!$A$6:$Y$24,9)+VLOOKUP($B585,Lifetime_morbidity_array!$A$6:$Y$24,12)))</f>
        <v>323.06299838116519</v>
      </c>
      <c r="Z585" s="297">
        <f>(SUM($P585:$Q585)*VLOOKUP($B585,Lifetime_morbidity_array!$A$6:$Y$24,4))+(SUM($R585:$S585)*VLOOKUP($B585,Lifetime_morbidity_array!$A$6:$Y$24,3))</f>
        <v>57.979448235682987</v>
      </c>
      <c r="AA585" s="297">
        <f>(SUM($P585:$Q585)*VLOOKUP($B585,Lifetime_morbidity_array!$A$6:$Y$24,7))+(SUM($R585:$S585)*VLOOKUP($B585,Lifetime_morbidity_array!$A$6:$Y$24,6))</f>
        <v>44.133927314757585</v>
      </c>
      <c r="AB585" s="297">
        <f>(SUM($P585:$Q585)*VLOOKUP($B585,Lifetime_morbidity_array!$A$6:$Y$24,10))+(SUM($R585:$S585)*VLOOKUP($B585,Lifetime_morbidity_array!$A$6:$Y$24,9))</f>
        <v>1.8146576712758018</v>
      </c>
      <c r="AC585" s="297">
        <f>(SUM($P585:$Q585)*VLOOKUP($B585,Lifetime_morbidity_array!$A$6:$Y$24,13))+(SUM($R585:$S585)*VLOOKUP($B585,Lifetime_morbidity_array!$A$6:$Y$24,12))</f>
        <v>30.541777751330418</v>
      </c>
      <c r="AD585" s="294"/>
      <c r="AE585" s="294">
        <f t="shared" si="25"/>
        <v>57</v>
      </c>
      <c r="AF585" s="297">
        <f t="shared" si="26"/>
        <v>342.27493023416758</v>
      </c>
      <c r="AG585" s="297">
        <f t="shared" si="27"/>
        <v>18911.021377777121</v>
      </c>
      <c r="AH585" s="294"/>
      <c r="AI585" s="294">
        <f t="shared" si="28"/>
        <v>57</v>
      </c>
      <c r="AJ585" s="295">
        <f>((VLOOKUP($B585,'Mahawesran Tariff'!$A$21:$M$120,7)*$X585)+(VLOOKUP($B585,'Mahawesran Tariff'!$A$21:$M$120,6)*$Y585)+(DET_UTIL_chd*$Z585)+(DET_UTIL_copd*$AA585)+(DET_UTIL_lc*$AB585)+(DET_UTIL_stroke*$AC585))/((1+Discount_rate_QALYs)^$A585)</f>
        <v>302.65732892701845</v>
      </c>
      <c r="AK585" s="295">
        <f t="shared" si="29"/>
        <v>17919.706283414878</v>
      </c>
      <c r="AL585" s="294"/>
      <c r="AM585" s="294">
        <f t="shared" si="14"/>
        <v>57</v>
      </c>
      <c r="AN585" s="299">
        <f t="shared" si="15"/>
        <v>293819.81198280235</v>
      </c>
      <c r="AO585" s="299">
        <f t="shared" si="30"/>
        <v>7016673.7146896422</v>
      </c>
      <c r="AP585" s="294"/>
      <c r="AQ585" s="294">
        <f t="shared" si="16"/>
        <v>57</v>
      </c>
      <c r="AR585" s="298">
        <f t="shared" si="6"/>
        <v>0.96069511945879249</v>
      </c>
      <c r="AS585" s="298">
        <f t="shared" si="7"/>
        <v>3.9304880541207385E-2</v>
      </c>
      <c r="AT585" s="298">
        <f t="shared" si="8"/>
        <v>0.13446981097304678</v>
      </c>
      <c r="AU585" s="250"/>
      <c r="AV585" s="294">
        <f t="shared" si="17"/>
        <v>57</v>
      </c>
      <c r="AW585" s="299">
        <f t="shared" si="18"/>
        <v>293819.81198280235</v>
      </c>
      <c r="AX585" s="299">
        <f t="shared" si="31"/>
        <v>7016673.7146896422</v>
      </c>
      <c r="AY585" s="335"/>
      <c r="AZ585" s="335"/>
      <c r="BA585" s="335"/>
      <c r="BB585" s="335"/>
      <c r="BC585" s="335"/>
      <c r="BD585" s="335"/>
      <c r="BE585" s="335"/>
      <c r="BF585" s="335"/>
      <c r="BG585" s="335"/>
      <c r="BH585" s="335"/>
      <c r="BI585" s="335"/>
      <c r="BJ585" s="335"/>
      <c r="BK585" s="364"/>
      <c r="BL585" s="364"/>
      <c r="BM585" s="364"/>
      <c r="BN585" s="364"/>
      <c r="BO585" s="364"/>
      <c r="BP585" s="364"/>
      <c r="BQ585" s="335"/>
      <c r="BR585" s="335"/>
      <c r="BS585" s="364"/>
      <c r="BT585" s="364"/>
      <c r="BU585" s="364"/>
      <c r="BV585" s="364"/>
      <c r="BW585" s="364"/>
      <c r="BX585" s="364"/>
      <c r="BY585" s="335"/>
      <c r="BZ585" s="335"/>
      <c r="CA585" s="364"/>
      <c r="CB585" s="364"/>
      <c r="CC585" s="335"/>
      <c r="CD585" s="335"/>
      <c r="CE585" s="335"/>
      <c r="CF585" s="335"/>
      <c r="CG585" s="335"/>
      <c r="CH585" s="335"/>
      <c r="CI585" s="365"/>
      <c r="CJ585" s="365"/>
      <c r="CK585" s="335"/>
      <c r="CL585" s="335"/>
      <c r="CM585" s="366"/>
      <c r="CN585" s="366"/>
      <c r="CO585" s="366"/>
      <c r="CP585" s="3"/>
    </row>
    <row r="586" spans="1:94" x14ac:dyDescent="0.25">
      <c r="A586" s="34">
        <v>31</v>
      </c>
      <c r="B586" s="33">
        <f t="shared" si="19"/>
        <v>58</v>
      </c>
      <c r="C586" s="294">
        <f>VLOOKUP($B586,'Mother mortality'!$A$23:$I$124,5)</f>
        <v>4.1541211631663973E-3</v>
      </c>
      <c r="D586" s="295">
        <f t="shared" si="1"/>
        <v>0.27</v>
      </c>
      <c r="E586" s="295">
        <f t="shared" si="9"/>
        <v>0.7258458788368336</v>
      </c>
      <c r="F586" s="295">
        <f>VLOOKUP($B586,'Mother mortality'!$A$23:$I$124,5)</f>
        <v>4.1541211631663973E-3</v>
      </c>
      <c r="G586" s="295">
        <f t="shared" si="2"/>
        <v>0.14000000000000001</v>
      </c>
      <c r="H586" s="295">
        <f t="shared" si="10"/>
        <v>0.85584587883683361</v>
      </c>
      <c r="I586" s="295">
        <f>VLOOKUP($B586,'Mother mortality'!$A$23:$I$124,4)</f>
        <v>2.7421292407108235E-3</v>
      </c>
      <c r="J586" s="295">
        <f t="shared" si="11"/>
        <v>0.42582929933071778</v>
      </c>
      <c r="K586" s="295">
        <f t="shared" si="3"/>
        <v>0.5714285714285714</v>
      </c>
      <c r="L586" s="295">
        <f>VLOOKUP($B586,'Mother mortality'!$A$23:$I$124,4)</f>
        <v>2.7421292407108235E-3</v>
      </c>
      <c r="M586" s="295">
        <f t="shared" si="4"/>
        <v>8.6261668788331098E-3</v>
      </c>
      <c r="N586" s="295">
        <f t="shared" si="12"/>
        <v>0.98863170388045607</v>
      </c>
      <c r="O586" s="294"/>
      <c r="P586" s="296">
        <f t="shared" si="20"/>
        <v>470.12914761210055</v>
      </c>
      <c r="Q586" s="297">
        <f t="shared" si="21"/>
        <v>129.07431201512921</v>
      </c>
      <c r="R586" s="297">
        <f t="shared" si="22"/>
        <v>18.372258697193555</v>
      </c>
      <c r="S586" s="297">
        <f t="shared" si="23"/>
        <v>339.62474767886556</v>
      </c>
      <c r="T586" s="297">
        <f t="shared" si="24"/>
        <v>42.799533996711062</v>
      </c>
      <c r="U586" s="294">
        <f t="shared" si="13"/>
        <v>999.99999999999989</v>
      </c>
      <c r="V586" s="295" t="str">
        <f t="shared" si="5"/>
        <v>OKAY</v>
      </c>
      <c r="W586" s="295"/>
      <c r="X586" s="296">
        <f>SUM($P586:$Q586)-(SUM($P586:$Q586)*(VLOOKUP($B586,Lifetime_morbidity_array!$A$6:$Y$24,4)+VLOOKUP($B586,Lifetime_morbidity_array!$A$6:$Y$24,7)+VLOOKUP($B586,Lifetime_morbidity_array!$A$6:$Y$24,10)+VLOOKUP($B586,Lifetime_morbidity_array!$A$6:$Y$24,13)))</f>
        <v>494.83800763669967</v>
      </c>
      <c r="Y586" s="297">
        <f>SUM($R586:$S586)-(SUM($R586:$S586)*(VLOOKUP($B586,Lifetime_morbidity_array!$A$6:$Y$24,3)+VLOOKUP($B586,Lifetime_morbidity_array!$A$6:$Y$24,6)+VLOOKUP($B586,Lifetime_morbidity_array!$A$6:$Y$24,9)+VLOOKUP($B586,Lifetime_morbidity_array!$A$6:$Y$24,12)))</f>
        <v>329.11706890839497</v>
      </c>
      <c r="Z586" s="297">
        <f>(SUM($P586:$Q586)*VLOOKUP($B586,Lifetime_morbidity_array!$A$6:$Y$24,4))+(SUM($R586:$S586)*VLOOKUP($B586,Lifetime_morbidity_array!$A$6:$Y$24,3))</f>
        <v>57.381868060491762</v>
      </c>
      <c r="AA586" s="297">
        <f>(SUM($P586:$Q586)*VLOOKUP($B586,Lifetime_morbidity_array!$A$6:$Y$24,7))+(SUM($R586:$S586)*VLOOKUP($B586,Lifetime_morbidity_array!$A$6:$Y$24,6))</f>
        <v>43.772429380479593</v>
      </c>
      <c r="AB586" s="297">
        <f>(SUM($P586:$Q586)*VLOOKUP($B586,Lifetime_morbidity_array!$A$6:$Y$24,10))+(SUM($R586:$S586)*VLOOKUP($B586,Lifetime_morbidity_array!$A$6:$Y$24,9))</f>
        <v>1.7930927977100097</v>
      </c>
      <c r="AC586" s="297">
        <f>(SUM($P586:$Q586)*VLOOKUP($B586,Lifetime_morbidity_array!$A$6:$Y$24,13))+(SUM($R586:$S586)*VLOOKUP($B586,Lifetime_morbidity_array!$A$6:$Y$24,12))</f>
        <v>30.297999219512867</v>
      </c>
      <c r="AD586" s="294"/>
      <c r="AE586" s="294">
        <f t="shared" si="25"/>
        <v>58</v>
      </c>
      <c r="AF586" s="297">
        <f t="shared" si="26"/>
        <v>329.4974499086328</v>
      </c>
      <c r="AG586" s="297">
        <f t="shared" si="27"/>
        <v>19240.518827685752</v>
      </c>
      <c r="AH586" s="294"/>
      <c r="AI586" s="294">
        <f t="shared" si="28"/>
        <v>58</v>
      </c>
      <c r="AJ586" s="295">
        <f>((VLOOKUP($B586,'Mahawesran Tariff'!$A$21:$M$120,7)*$X586)+(VLOOKUP($B586,'Mahawesran Tariff'!$A$21:$M$120,6)*$Y586)+(DET_UTIL_chd*$Z586)+(DET_UTIL_copd*$AA586)+(DET_UTIL_lc*$AB586)+(DET_UTIL_stroke*$AC586))/((1+Discount_rate_QALYs)^$A586)</f>
        <v>291.44489722018164</v>
      </c>
      <c r="AK586" s="295">
        <f t="shared" si="29"/>
        <v>18211.151180635061</v>
      </c>
      <c r="AL586" s="294"/>
      <c r="AM586" s="294">
        <f t="shared" si="14"/>
        <v>58</v>
      </c>
      <c r="AN586" s="299">
        <f t="shared" si="15"/>
        <v>281506.68509979616</v>
      </c>
      <c r="AO586" s="299">
        <f t="shared" si="30"/>
        <v>7298180.3997894386</v>
      </c>
      <c r="AP586" s="294"/>
      <c r="AQ586" s="294">
        <f t="shared" si="16"/>
        <v>58</v>
      </c>
      <c r="AR586" s="298">
        <f t="shared" si="6"/>
        <v>0.9572004660032889</v>
      </c>
      <c r="AS586" s="298">
        <f t="shared" si="7"/>
        <v>4.2799533996711062E-2</v>
      </c>
      <c r="AT586" s="298">
        <f t="shared" si="8"/>
        <v>0.13324538945819425</v>
      </c>
      <c r="AU586" s="250"/>
      <c r="AV586" s="294">
        <f t="shared" si="17"/>
        <v>58</v>
      </c>
      <c r="AW586" s="299">
        <f t="shared" si="18"/>
        <v>281506.68509979616</v>
      </c>
      <c r="AX586" s="299">
        <f t="shared" si="31"/>
        <v>7298180.3997894386</v>
      </c>
      <c r="AY586" s="335"/>
      <c r="AZ586" s="335"/>
      <c r="BA586" s="335"/>
      <c r="BB586" s="335"/>
      <c r="BC586" s="335"/>
      <c r="BD586" s="335"/>
      <c r="BE586" s="335"/>
      <c r="BF586" s="335"/>
      <c r="BG586" s="335"/>
      <c r="BH586" s="335"/>
      <c r="BI586" s="335"/>
      <c r="BJ586" s="335"/>
      <c r="BK586" s="364"/>
      <c r="BL586" s="364"/>
      <c r="BM586" s="364"/>
      <c r="BN586" s="364"/>
      <c r="BO586" s="364"/>
      <c r="BP586" s="364"/>
      <c r="BQ586" s="335"/>
      <c r="BR586" s="335"/>
      <c r="BS586" s="364"/>
      <c r="BT586" s="364"/>
      <c r="BU586" s="364"/>
      <c r="BV586" s="364"/>
      <c r="BW586" s="364"/>
      <c r="BX586" s="364"/>
      <c r="BY586" s="335"/>
      <c r="BZ586" s="335"/>
      <c r="CA586" s="364"/>
      <c r="CB586" s="364"/>
      <c r="CC586" s="335"/>
      <c r="CD586" s="335"/>
      <c r="CE586" s="335"/>
      <c r="CF586" s="335"/>
      <c r="CG586" s="335"/>
      <c r="CH586" s="335"/>
      <c r="CI586" s="365"/>
      <c r="CJ586" s="365"/>
      <c r="CK586" s="335"/>
      <c r="CL586" s="335"/>
      <c r="CM586" s="366"/>
      <c r="CN586" s="366"/>
      <c r="CO586" s="366"/>
      <c r="CP586" s="3"/>
    </row>
    <row r="587" spans="1:94" x14ac:dyDescent="0.25">
      <c r="A587" s="34">
        <v>32</v>
      </c>
      <c r="B587" s="33">
        <f t="shared" si="19"/>
        <v>59</v>
      </c>
      <c r="C587" s="294">
        <f>VLOOKUP($B587,'Mother mortality'!$A$23:$I$124,5)</f>
        <v>4.4855129240710823E-3</v>
      </c>
      <c r="D587" s="295">
        <f t="shared" ref="D587:D618" si="32">IF(A587=1,DET_P_01Q_CSP,DET_P_01Q_CS_FEMALE)</f>
        <v>0.27</v>
      </c>
      <c r="E587" s="295">
        <f t="shared" si="9"/>
        <v>0.72551448707592892</v>
      </c>
      <c r="F587" s="295">
        <f>VLOOKUP($B587,'Mother mortality'!$A$23:$I$124,5)</f>
        <v>4.4855129240710823E-3</v>
      </c>
      <c r="G587" s="295">
        <f t="shared" ref="G587:G618" si="33">IF(A587=1,DET_P_12Q_QP,DET_P_12Q_01Q)</f>
        <v>0.14000000000000001</v>
      </c>
      <c r="H587" s="295">
        <f t="shared" si="10"/>
        <v>0.85551448707592892</v>
      </c>
      <c r="I587" s="295">
        <f>VLOOKUP($B587,'Mother mortality'!$A$23:$I$124,4)</f>
        <v>2.9608804523424876E-3</v>
      </c>
      <c r="J587" s="295">
        <f t="shared" si="11"/>
        <v>0.42561054811908616</v>
      </c>
      <c r="K587" s="295">
        <f t="shared" ref="K587:K618" si="34">IF(A587=2,DET_P_LTQ_12Q_QP,DET_P_LTQ_12Q)</f>
        <v>0.5714285714285714</v>
      </c>
      <c r="L587" s="295">
        <f>VLOOKUP($B587,'Mother mortality'!$A$23:$I$124,4)</f>
        <v>2.9608804523424876E-3</v>
      </c>
      <c r="M587" s="295">
        <f t="shared" ref="M587:M618" si="35">DET_P_CS_LTQ</f>
        <v>8.6261668788331098E-3</v>
      </c>
      <c r="N587" s="295">
        <f t="shared" si="12"/>
        <v>0.98841295266882445</v>
      </c>
      <c r="O587" s="294"/>
      <c r="P587" s="296">
        <f t="shared" si="20"/>
        <v>462.25953807149614</v>
      </c>
      <c r="Q587" s="297">
        <f t="shared" si="21"/>
        <v>126.93486985526715</v>
      </c>
      <c r="R587" s="297">
        <f t="shared" si="22"/>
        <v>18.070403682118091</v>
      </c>
      <c r="S587" s="297">
        <f t="shared" si="23"/>
        <v>346.18793319392546</v>
      </c>
      <c r="T587" s="297">
        <f t="shared" si="24"/>
        <v>46.54725519719311</v>
      </c>
      <c r="U587" s="294">
        <f t="shared" si="13"/>
        <v>999.99999999999989</v>
      </c>
      <c r="V587" s="295" t="str">
        <f t="shared" ref="V587:V618" si="36">IF(U587=Cohort,"OKAY",IF(U587&gt;Cohort,"Too many","Too Few"))</f>
        <v>OKAY</v>
      </c>
      <c r="W587" s="295"/>
      <c r="X587" s="296">
        <f>SUM($P587:$Q587)-(SUM($P587:$Q587)*(VLOOKUP($B587,Lifetime_morbidity_array!$A$6:$Y$24,4)+VLOOKUP($B587,Lifetime_morbidity_array!$A$6:$Y$24,7)+VLOOKUP($B587,Lifetime_morbidity_array!$A$6:$Y$24,10)+VLOOKUP($B587,Lifetime_morbidity_array!$A$6:$Y$24,13)))</f>
        <v>486.57226897612384</v>
      </c>
      <c r="Y587" s="297">
        <f>SUM($R587:$S587)-(SUM($R587:$S587)*(VLOOKUP($B587,Lifetime_morbidity_array!$A$6:$Y$24,3)+VLOOKUP($B587,Lifetime_morbidity_array!$A$6:$Y$24,6)+VLOOKUP($B587,Lifetime_morbidity_array!$A$6:$Y$24,9)+VLOOKUP($B587,Lifetime_morbidity_array!$A$6:$Y$24,12)))</f>
        <v>334.8732922983105</v>
      </c>
      <c r="Z587" s="297">
        <f>(SUM($P587:$Q587)*VLOOKUP($B587,Lifetime_morbidity_array!$A$6:$Y$24,4))+(SUM($R587:$S587)*VLOOKUP($B587,Lifetime_morbidity_array!$A$6:$Y$24,3))</f>
        <v>56.780394002917859</v>
      </c>
      <c r="AA587" s="297">
        <f>(SUM($P587:$Q587)*VLOOKUP($B587,Lifetime_morbidity_array!$A$6:$Y$24,7))+(SUM($R587:$S587)*VLOOKUP($B587,Lifetime_morbidity_array!$A$6:$Y$24,6))</f>
        <v>43.405219406577572</v>
      </c>
      <c r="AB587" s="297">
        <f>(SUM($P587:$Q587)*VLOOKUP($B587,Lifetime_morbidity_array!$A$6:$Y$24,10))+(SUM($R587:$S587)*VLOOKUP($B587,Lifetime_morbidity_array!$A$6:$Y$24,9))</f>
        <v>1.7714902656252445</v>
      </c>
      <c r="AC587" s="297">
        <f>(SUM($P587:$Q587)*VLOOKUP($B587,Lifetime_morbidity_array!$A$6:$Y$24,13))+(SUM($R587:$S587)*VLOOKUP($B587,Lifetime_morbidity_array!$A$6:$Y$24,12))</f>
        <v>30.050079853251741</v>
      </c>
      <c r="AD587" s="294"/>
      <c r="AE587" s="294">
        <f t="shared" si="25"/>
        <v>59</v>
      </c>
      <c r="AF587" s="297">
        <f t="shared" si="26"/>
        <v>317.10857056430416</v>
      </c>
      <c r="AG587" s="297">
        <f t="shared" si="27"/>
        <v>19557.627398250057</v>
      </c>
      <c r="AH587" s="294"/>
      <c r="AI587" s="294">
        <f t="shared" si="28"/>
        <v>59</v>
      </c>
      <c r="AJ587" s="295">
        <f>((VLOOKUP($B587,'Mahawesran Tariff'!$A$21:$M$120,7)*$X587)+(VLOOKUP($B587,'Mahawesran Tariff'!$A$21:$M$120,6)*$Y587)+(DET_UTIL_chd*$Z587)+(DET_UTIL_copd*$AA587)+(DET_UTIL_lc*$AB587)+(DET_UTIL_stroke*$AC587))/((1+Discount_rate_QALYs)^$A587)</f>
        <v>280.56781716843352</v>
      </c>
      <c r="AK587" s="295">
        <f t="shared" si="29"/>
        <v>18491.718997803495</v>
      </c>
      <c r="AL587" s="294"/>
      <c r="AM587" s="294">
        <f t="shared" si="14"/>
        <v>59</v>
      </c>
      <c r="AN587" s="299">
        <f t="shared" si="15"/>
        <v>269656.30922162975</v>
      </c>
      <c r="AO587" s="299">
        <f t="shared" si="30"/>
        <v>7567836.7090110686</v>
      </c>
      <c r="AP587" s="294"/>
      <c r="AQ587" s="294">
        <f t="shared" si="16"/>
        <v>59</v>
      </c>
      <c r="AR587" s="298">
        <f t="shared" ref="AR587:AR618" si="37">(SUM(P587:S587))/Cohort</f>
        <v>0.95345274480280684</v>
      </c>
      <c r="AS587" s="298">
        <f t="shared" ref="AS587:AS618" si="38">T587/Cohort</f>
        <v>4.6547255197193112E-2</v>
      </c>
      <c r="AT587" s="298">
        <f t="shared" ref="AT587:AT618" si="39">SUM(Z587:AC587)/Cohort</f>
        <v>0.13200718352837243</v>
      </c>
      <c r="AU587" s="250"/>
      <c r="AV587" s="294">
        <f t="shared" si="17"/>
        <v>59</v>
      </c>
      <c r="AW587" s="299">
        <f t="shared" si="18"/>
        <v>269656.30922162975</v>
      </c>
      <c r="AX587" s="299">
        <f t="shared" si="31"/>
        <v>7567836.7090110686</v>
      </c>
      <c r="AY587" s="335"/>
      <c r="AZ587" s="335"/>
      <c r="BA587" s="335"/>
      <c r="BB587" s="335"/>
      <c r="BC587" s="335"/>
      <c r="BD587" s="335"/>
      <c r="BE587" s="335"/>
      <c r="BF587" s="335"/>
      <c r="BG587" s="335"/>
      <c r="BH587" s="335"/>
      <c r="BI587" s="335"/>
      <c r="BJ587" s="335"/>
      <c r="BK587" s="364"/>
      <c r="BL587" s="364"/>
      <c r="BM587" s="364"/>
      <c r="BN587" s="364"/>
      <c r="BO587" s="364"/>
      <c r="BP587" s="364"/>
      <c r="BQ587" s="335"/>
      <c r="BR587" s="335"/>
      <c r="BS587" s="364"/>
      <c r="BT587" s="364"/>
      <c r="BU587" s="364"/>
      <c r="BV587" s="364"/>
      <c r="BW587" s="364"/>
      <c r="BX587" s="364"/>
      <c r="BY587" s="335"/>
      <c r="BZ587" s="335"/>
      <c r="CA587" s="364"/>
      <c r="CB587" s="364"/>
      <c r="CC587" s="335"/>
      <c r="CD587" s="335"/>
      <c r="CE587" s="335"/>
      <c r="CF587" s="335"/>
      <c r="CG587" s="335"/>
      <c r="CH587" s="335"/>
      <c r="CI587" s="365"/>
      <c r="CJ587" s="365"/>
      <c r="CK587" s="335"/>
      <c r="CL587" s="335"/>
      <c r="CM587" s="366"/>
      <c r="CN587" s="366"/>
      <c r="CO587" s="366"/>
      <c r="CP587" s="3"/>
    </row>
    <row r="588" spans="1:94" x14ac:dyDescent="0.25">
      <c r="A588" s="34">
        <v>33</v>
      </c>
      <c r="B588" s="33">
        <f t="shared" si="19"/>
        <v>60</v>
      </c>
      <c r="C588" s="294">
        <f>VLOOKUP($B588,'Mother mortality'!$A$23:$I$124,5)</f>
        <v>5.0037481196724054E-3</v>
      </c>
      <c r="D588" s="295">
        <f t="shared" si="32"/>
        <v>0.27</v>
      </c>
      <c r="E588" s="295">
        <f t="shared" si="9"/>
        <v>0.72499625188032757</v>
      </c>
      <c r="F588" s="295">
        <f>VLOOKUP($B588,'Mother mortality'!$A$23:$I$124,5)</f>
        <v>5.0037481196724054E-3</v>
      </c>
      <c r="G588" s="295">
        <f t="shared" si="33"/>
        <v>0.14000000000000001</v>
      </c>
      <c r="H588" s="295">
        <f t="shared" si="10"/>
        <v>0.85499625188032757</v>
      </c>
      <c r="I588" s="295">
        <f>VLOOKUP($B588,'Mother mortality'!$A$23:$I$124,4)</f>
        <v>3.3029667390941002E-3</v>
      </c>
      <c r="J588" s="295">
        <f t="shared" si="11"/>
        <v>0.42526846183233447</v>
      </c>
      <c r="K588" s="295">
        <f t="shared" si="34"/>
        <v>0.5714285714285714</v>
      </c>
      <c r="L588" s="295">
        <f>VLOOKUP($B588,'Mother mortality'!$A$23:$I$124,4)</f>
        <v>3.3029667390941002E-3</v>
      </c>
      <c r="M588" s="295">
        <f t="shared" si="35"/>
        <v>8.6261668788331098E-3</v>
      </c>
      <c r="N588" s="295">
        <f t="shared" si="12"/>
        <v>0.98807086638207275</v>
      </c>
      <c r="O588" s="294"/>
      <c r="P588" s="296">
        <f t="shared" si="20"/>
        <v>454.33631811868969</v>
      </c>
      <c r="Q588" s="297">
        <f t="shared" si="21"/>
        <v>124.81007527930396</v>
      </c>
      <c r="R588" s="297">
        <f t="shared" si="22"/>
        <v>17.770881779737405</v>
      </c>
      <c r="S588" s="297">
        <f t="shared" si="23"/>
        <v>352.38415604315139</v>
      </c>
      <c r="T588" s="297">
        <f t="shared" si="24"/>
        <v>50.698568779117458</v>
      </c>
      <c r="U588" s="294">
        <f t="shared" si="13"/>
        <v>999.99999999999977</v>
      </c>
      <c r="V588" s="295" t="str">
        <f t="shared" si="36"/>
        <v>OKAY</v>
      </c>
      <c r="W588" s="295"/>
      <c r="X588" s="296">
        <f>SUM($P588:$Q588)-(SUM($P588:$Q588)*(VLOOKUP($B588,Lifetime_morbidity_array!$A$6:$Y$24,4)+VLOOKUP($B588,Lifetime_morbidity_array!$A$6:$Y$24,7)+VLOOKUP($B588,Lifetime_morbidity_array!$A$6:$Y$24,10)+VLOOKUP($B588,Lifetime_morbidity_array!$A$6:$Y$24,13)))</f>
        <v>433.59057236906972</v>
      </c>
      <c r="Y588" s="297">
        <f>SUM($R588:$S588)-(SUM($R588:$S588)*(VLOOKUP($B588,Lifetime_morbidity_array!$A$6:$Y$24,3)+VLOOKUP($B588,Lifetime_morbidity_array!$A$6:$Y$24,6)+VLOOKUP($B588,Lifetime_morbidity_array!$A$6:$Y$24,9)+VLOOKUP($B588,Lifetime_morbidity_array!$A$6:$Y$24,12)))</f>
        <v>326.29570438669083</v>
      </c>
      <c r="Z588" s="297">
        <f>(SUM($P588:$Q588)*VLOOKUP($B588,Lifetime_morbidity_array!$A$6:$Y$24,4))+(SUM($R588:$S588)*VLOOKUP($B588,Lifetime_morbidity_array!$A$6:$Y$24,3))</f>
        <v>70.218429179397361</v>
      </c>
      <c r="AA588" s="297">
        <f>(SUM($P588:$Q588)*VLOOKUP($B588,Lifetime_morbidity_array!$A$6:$Y$24,7))+(SUM($R588:$S588)*VLOOKUP($B588,Lifetime_morbidity_array!$A$6:$Y$24,6))</f>
        <v>82.905699529630979</v>
      </c>
      <c r="AB588" s="297">
        <f>(SUM($P588:$Q588)*VLOOKUP($B588,Lifetime_morbidity_array!$A$6:$Y$24,10))+(SUM($R588:$S588)*VLOOKUP($B588,Lifetime_morbidity_array!$A$6:$Y$24,9))</f>
        <v>3.0082965855359127</v>
      </c>
      <c r="AC588" s="297">
        <f>(SUM($P588:$Q588)*VLOOKUP($B588,Lifetime_morbidity_array!$A$6:$Y$24,13))+(SUM($R588:$S588)*VLOOKUP($B588,Lifetime_morbidity_array!$A$6:$Y$24,12))</f>
        <v>33.282729170557595</v>
      </c>
      <c r="AD588" s="294"/>
      <c r="AE588" s="294">
        <f t="shared" si="25"/>
        <v>60</v>
      </c>
      <c r="AF588" s="297">
        <f t="shared" si="26"/>
        <v>305.05109796111742</v>
      </c>
      <c r="AG588" s="297">
        <f t="shared" si="27"/>
        <v>19862.678496211174</v>
      </c>
      <c r="AH588" s="294"/>
      <c r="AI588" s="294">
        <f t="shared" si="28"/>
        <v>60</v>
      </c>
      <c r="AJ588" s="295">
        <f>((VLOOKUP($B588,'Mahawesran Tariff'!$A$21:$M$120,7)*$X588)+(VLOOKUP($B588,'Mahawesran Tariff'!$A$21:$M$120,6)*$Y588)+(DET_UTIL_chd*$Z588)+(DET_UTIL_copd*$AA588)+(DET_UTIL_lc*$AB588)+(DET_UTIL_stroke*$AC588))/((1+Discount_rate_QALYs)^$A588)</f>
        <v>266.59698270493897</v>
      </c>
      <c r="AK588" s="295">
        <f t="shared" si="29"/>
        <v>18758.315980508432</v>
      </c>
      <c r="AL588" s="294"/>
      <c r="AM588" s="294">
        <f t="shared" si="14"/>
        <v>60</v>
      </c>
      <c r="AN588" s="299">
        <f t="shared" ref="AN588:AN619" si="40">(($Z588*DET_COST_chd)+($AA588*DET_COST_copd)+($AB588*DET_cost_lc)+($AC588*DET_COST_stroke))/((1+Discount_rate_costs)^$A588)</f>
        <v>305550.76298275252</v>
      </c>
      <c r="AO588" s="299">
        <f t="shared" si="30"/>
        <v>7873387.4719938207</v>
      </c>
      <c r="AP588" s="294"/>
      <c r="AQ588" s="294">
        <f t="shared" si="16"/>
        <v>60</v>
      </c>
      <c r="AR588" s="298">
        <f t="shared" si="37"/>
        <v>0.9493014312208824</v>
      </c>
      <c r="AS588" s="298">
        <f t="shared" si="38"/>
        <v>5.0698568779117457E-2</v>
      </c>
      <c r="AT588" s="298">
        <f t="shared" si="39"/>
        <v>0.18941515446512183</v>
      </c>
      <c r="AU588" s="250"/>
      <c r="AV588" s="294">
        <f t="shared" si="17"/>
        <v>60</v>
      </c>
      <c r="AW588" s="299">
        <f t="shared" ref="AW588:AW619" si="41">(($Z588*DET_COST_chd)+($AA588*DET_COST_copd)+($AB588*DET_cost_lc)+($AC588*DET_COST_stroke))/((1+Discount_rate_costs)^$A588)</f>
        <v>305550.76298275252</v>
      </c>
      <c r="AX588" s="299">
        <f t="shared" si="31"/>
        <v>7873387.4719938207</v>
      </c>
      <c r="AY588" s="335"/>
      <c r="AZ588" s="335"/>
      <c r="BA588" s="335"/>
      <c r="BB588" s="335"/>
      <c r="BC588" s="335"/>
      <c r="BD588" s="335"/>
      <c r="BE588" s="335"/>
      <c r="BF588" s="335"/>
      <c r="BG588" s="335"/>
      <c r="BH588" s="335"/>
      <c r="BI588" s="335"/>
      <c r="BJ588" s="335"/>
      <c r="BK588" s="364"/>
      <c r="BL588" s="364"/>
      <c r="BM588" s="364"/>
      <c r="BN588" s="364"/>
      <c r="BO588" s="364"/>
      <c r="BP588" s="364"/>
      <c r="BQ588" s="335"/>
      <c r="BR588" s="335"/>
      <c r="BS588" s="364"/>
      <c r="BT588" s="364"/>
      <c r="BU588" s="364"/>
      <c r="BV588" s="364"/>
      <c r="BW588" s="364"/>
      <c r="BX588" s="364"/>
      <c r="BY588" s="335"/>
      <c r="BZ588" s="335"/>
      <c r="CA588" s="364"/>
      <c r="CB588" s="364"/>
      <c r="CC588" s="335"/>
      <c r="CD588" s="335"/>
      <c r="CE588" s="335"/>
      <c r="CF588" s="335"/>
      <c r="CG588" s="335"/>
      <c r="CH588" s="335"/>
      <c r="CI588" s="365"/>
      <c r="CJ588" s="365"/>
      <c r="CK588" s="335"/>
      <c r="CL588" s="335"/>
      <c r="CM588" s="366"/>
      <c r="CN588" s="366"/>
      <c r="CO588" s="366"/>
      <c r="CP588" s="3"/>
    </row>
    <row r="589" spans="1:94" x14ac:dyDescent="0.25">
      <c r="A589" s="34">
        <v>34</v>
      </c>
      <c r="B589" s="33">
        <f t="shared" si="19"/>
        <v>61</v>
      </c>
      <c r="C589" s="294">
        <f>VLOOKUP($B589,'Mother mortality'!$A$23:$I$124,5)</f>
        <v>5.3971602874811975E-3</v>
      </c>
      <c r="D589" s="295">
        <f t="shared" si="32"/>
        <v>0.27</v>
      </c>
      <c r="E589" s="295">
        <f t="shared" si="9"/>
        <v>0.72460283971251882</v>
      </c>
      <c r="F589" s="295">
        <f>VLOOKUP($B589,'Mother mortality'!$A$23:$I$124,5)</f>
        <v>5.3971602874811975E-3</v>
      </c>
      <c r="G589" s="295">
        <f t="shared" si="33"/>
        <v>0.14000000000000001</v>
      </c>
      <c r="H589" s="295">
        <f t="shared" si="10"/>
        <v>0.85460283971251882</v>
      </c>
      <c r="I589" s="295">
        <f>VLOOKUP($B589,'Mother mortality'!$A$23:$I$124,4)</f>
        <v>3.562657529667391E-3</v>
      </c>
      <c r="J589" s="295">
        <f t="shared" si="11"/>
        <v>0.42500877104176116</v>
      </c>
      <c r="K589" s="295">
        <f t="shared" si="34"/>
        <v>0.5714285714285714</v>
      </c>
      <c r="L589" s="295">
        <f>VLOOKUP($B589,'Mother mortality'!$A$23:$I$124,4)</f>
        <v>3.562657529667391E-3</v>
      </c>
      <c r="M589" s="295">
        <f t="shared" si="35"/>
        <v>8.6261668788331098E-3</v>
      </c>
      <c r="N589" s="295">
        <f t="shared" si="12"/>
        <v>0.98781117559149945</v>
      </c>
      <c r="O589" s="294"/>
      <c r="P589" s="296">
        <f t="shared" si="20"/>
        <v>446.46893621277889</v>
      </c>
      <c r="Q589" s="297">
        <f t="shared" si="21"/>
        <v>122.67080589204622</v>
      </c>
      <c r="R589" s="297">
        <f t="shared" si="22"/>
        <v>17.473410539102556</v>
      </c>
      <c r="S589" s="297">
        <f t="shared" si="23"/>
        <v>358.24379702922511</v>
      </c>
      <c r="T589" s="297">
        <f t="shared" si="24"/>
        <v>55.14305032684711</v>
      </c>
      <c r="U589" s="294">
        <f t="shared" si="13"/>
        <v>999.99999999999989</v>
      </c>
      <c r="V589" s="295" t="str">
        <f t="shared" si="36"/>
        <v>OKAY</v>
      </c>
      <c r="W589" s="295"/>
      <c r="X589" s="296">
        <f>SUM($P589:$Q589)-(SUM($P589:$Q589)*(VLOOKUP($B589,Lifetime_morbidity_array!$A$6:$Y$24,4)+VLOOKUP($B589,Lifetime_morbidity_array!$A$6:$Y$24,7)+VLOOKUP($B589,Lifetime_morbidity_array!$A$6:$Y$24,10)+VLOOKUP($B589,Lifetime_morbidity_array!$A$6:$Y$24,13)))</f>
        <v>426.09887474103846</v>
      </c>
      <c r="Y589" s="297">
        <f>SUM($R589:$S589)-(SUM($R589:$S589)*(VLOOKUP($B589,Lifetime_morbidity_array!$A$6:$Y$24,3)+VLOOKUP($B589,Lifetime_morbidity_array!$A$6:$Y$24,6)+VLOOKUP($B589,Lifetime_morbidity_array!$A$6:$Y$24,9)+VLOOKUP($B589,Lifetime_morbidity_array!$A$6:$Y$24,12)))</f>
        <v>331.19881770288646</v>
      </c>
      <c r="Z589" s="297">
        <f>(SUM($P589:$Q589)*VLOOKUP($B589,Lifetime_morbidity_array!$A$6:$Y$24,4))+(SUM($R589:$S589)*VLOOKUP($B589,Lifetime_morbidity_array!$A$6:$Y$24,3))</f>
        <v>69.441200481358749</v>
      </c>
      <c r="AA589" s="297">
        <f>(SUM($P589:$Q589)*VLOOKUP($B589,Lifetime_morbidity_array!$A$6:$Y$24,7))+(SUM($R589:$S589)*VLOOKUP($B589,Lifetime_morbidity_array!$A$6:$Y$24,6))</f>
        <v>82.158315411413355</v>
      </c>
      <c r="AB589" s="297">
        <f>(SUM($P589:$Q589)*VLOOKUP($B589,Lifetime_morbidity_array!$A$6:$Y$24,10))+(SUM($R589:$S589)*VLOOKUP($B589,Lifetime_morbidity_array!$A$6:$Y$24,9))</f>
        <v>2.9703421726176131</v>
      </c>
      <c r="AC589" s="297">
        <f>(SUM($P589:$Q589)*VLOOKUP($B589,Lifetime_morbidity_array!$A$6:$Y$24,13))+(SUM($R589:$S589)*VLOOKUP($B589,Lifetime_morbidity_array!$A$6:$Y$24,12))</f>
        <v>32.989399163838122</v>
      </c>
      <c r="AD589" s="294"/>
      <c r="AE589" s="294">
        <f t="shared" si="25"/>
        <v>61</v>
      </c>
      <c r="AF589" s="297">
        <f t="shared" ref="AF589:AF620" si="42">(SUM(P589:S589))/((1+Discount_rate_QALYs)^$A589)</f>
        <v>293.35545526559685</v>
      </c>
      <c r="AG589" s="297">
        <f t="shared" si="27"/>
        <v>20156.033951476769</v>
      </c>
      <c r="AH589" s="294"/>
      <c r="AI589" s="294">
        <f t="shared" si="28"/>
        <v>61</v>
      </c>
      <c r="AJ589" s="295">
        <f>((VLOOKUP($B589,'Mahawesran Tariff'!$A$21:$M$120,7)*$X589)+(VLOOKUP($B589,'Mahawesran Tariff'!$A$21:$M$120,6)*$Y589)+(DET_UTIL_chd*$Z589)+(DET_UTIL_copd*$AA589)+(DET_UTIL_lc*$AB589)+(DET_UTIL_stroke*$AC589))/((1+Discount_rate_QALYs)^$A589)</f>
        <v>256.46194631751786</v>
      </c>
      <c r="AK589" s="295">
        <f t="shared" si="29"/>
        <v>19014.777926825951</v>
      </c>
      <c r="AL589" s="294"/>
      <c r="AM589" s="294">
        <f t="shared" si="14"/>
        <v>61</v>
      </c>
      <c r="AN589" s="299">
        <f t="shared" si="40"/>
        <v>292487.56107615324</v>
      </c>
      <c r="AO589" s="299">
        <f t="shared" si="30"/>
        <v>8165875.0330699738</v>
      </c>
      <c r="AP589" s="294"/>
      <c r="AQ589" s="294">
        <f t="shared" si="16"/>
        <v>61</v>
      </c>
      <c r="AR589" s="298">
        <f t="shared" si="37"/>
        <v>0.94485694967315281</v>
      </c>
      <c r="AS589" s="298">
        <f t="shared" si="38"/>
        <v>5.5143050326847111E-2</v>
      </c>
      <c r="AT589" s="298">
        <f t="shared" si="39"/>
        <v>0.18755925722922787</v>
      </c>
      <c r="AU589" s="250"/>
      <c r="AV589" s="294">
        <f t="shared" si="17"/>
        <v>61</v>
      </c>
      <c r="AW589" s="299">
        <f t="shared" si="41"/>
        <v>292487.56107615324</v>
      </c>
      <c r="AX589" s="299">
        <f t="shared" si="31"/>
        <v>8165875.0330699738</v>
      </c>
      <c r="AY589" s="335"/>
      <c r="AZ589" s="335"/>
      <c r="BA589" s="335"/>
      <c r="BB589" s="335"/>
      <c r="BC589" s="335"/>
      <c r="BD589" s="335"/>
      <c r="BE589" s="335"/>
      <c r="BF589" s="335"/>
      <c r="BG589" s="335"/>
      <c r="BH589" s="335"/>
      <c r="BI589" s="335"/>
      <c r="BJ589" s="335"/>
      <c r="BK589" s="364"/>
      <c r="BL589" s="364"/>
      <c r="BM589" s="364"/>
      <c r="BN589" s="364"/>
      <c r="BO589" s="364"/>
      <c r="BP589" s="364"/>
      <c r="BQ589" s="335"/>
      <c r="BR589" s="335"/>
      <c r="BS589" s="364"/>
      <c r="BT589" s="364"/>
      <c r="BU589" s="364"/>
      <c r="BV589" s="364"/>
      <c r="BW589" s="364"/>
      <c r="BX589" s="364"/>
      <c r="BY589" s="335"/>
      <c r="BZ589" s="335"/>
      <c r="CA589" s="364"/>
      <c r="CB589" s="364"/>
      <c r="CC589" s="335"/>
      <c r="CD589" s="335"/>
      <c r="CE589" s="335"/>
      <c r="CF589" s="335"/>
      <c r="CG589" s="335"/>
      <c r="CH589" s="335"/>
      <c r="CI589" s="365"/>
      <c r="CJ589" s="365"/>
      <c r="CK589" s="335"/>
      <c r="CL589" s="335"/>
      <c r="CM589" s="366"/>
      <c r="CN589" s="366"/>
      <c r="CO589" s="366"/>
      <c r="CP589" s="3"/>
    </row>
    <row r="590" spans="1:94" x14ac:dyDescent="0.25">
      <c r="A590" s="34">
        <v>35</v>
      </c>
      <c r="B590" s="33">
        <f t="shared" si="19"/>
        <v>62</v>
      </c>
      <c r="C590" s="294">
        <f>VLOOKUP($B590,'Mother mortality'!$A$23:$I$124,5)</f>
        <v>5.8190732074210267E-3</v>
      </c>
      <c r="D590" s="295">
        <f t="shared" si="32"/>
        <v>0.27</v>
      </c>
      <c r="E590" s="295">
        <f t="shared" si="9"/>
        <v>0.72418092679257895</v>
      </c>
      <c r="F590" s="295">
        <f>VLOOKUP($B590,'Mother mortality'!$A$23:$I$124,5)</f>
        <v>5.8190732074210267E-3</v>
      </c>
      <c r="G590" s="295">
        <f t="shared" si="33"/>
        <v>0.14000000000000001</v>
      </c>
      <c r="H590" s="295">
        <f t="shared" si="10"/>
        <v>0.85418092679257895</v>
      </c>
      <c r="I590" s="295">
        <f>VLOOKUP($B590,'Mother mortality'!$A$23:$I$124,4)</f>
        <v>3.8411616246030421E-3</v>
      </c>
      <c r="J590" s="295">
        <f t="shared" si="11"/>
        <v>0.42473026694682559</v>
      </c>
      <c r="K590" s="295">
        <f t="shared" si="34"/>
        <v>0.5714285714285714</v>
      </c>
      <c r="L590" s="295">
        <f>VLOOKUP($B590,'Mother mortality'!$A$23:$I$124,4)</f>
        <v>3.8411616246030421E-3</v>
      </c>
      <c r="M590" s="295">
        <f t="shared" si="35"/>
        <v>8.6261668788331098E-3</v>
      </c>
      <c r="N590" s="295">
        <f t="shared" si="12"/>
        <v>0.98753267149656387</v>
      </c>
      <c r="O590" s="294"/>
      <c r="P590" s="296">
        <f t="shared" si="20"/>
        <v>438.61910777715303</v>
      </c>
      <c r="Q590" s="297">
        <f t="shared" si="21"/>
        <v>120.54661277745031</v>
      </c>
      <c r="R590" s="297">
        <f t="shared" si="22"/>
        <v>17.173912824886472</v>
      </c>
      <c r="S590" s="297">
        <f t="shared" si="23"/>
        <v>363.7622599496878</v>
      </c>
      <c r="T590" s="297">
        <f t="shared" si="24"/>
        <v>59.898106670822287</v>
      </c>
      <c r="U590" s="294">
        <f t="shared" si="13"/>
        <v>999.99999999999977</v>
      </c>
      <c r="V590" s="295" t="str">
        <f t="shared" si="36"/>
        <v>OKAY</v>
      </c>
      <c r="W590" s="295"/>
      <c r="X590" s="296">
        <f>SUM($P590:$Q590)-(SUM($P590:$Q590)*(VLOOKUP($B590,Lifetime_morbidity_array!$A$6:$Y$24,4)+VLOOKUP($B590,Lifetime_morbidity_array!$A$6:$Y$24,7)+VLOOKUP($B590,Lifetime_morbidity_array!$A$6:$Y$24,10)+VLOOKUP($B590,Lifetime_morbidity_array!$A$6:$Y$24,13)))</f>
        <v>418.63160608136786</v>
      </c>
      <c r="Y590" s="297">
        <f>SUM($R590:$S590)-(SUM($R590:$S590)*(VLOOKUP($B590,Lifetime_morbidity_array!$A$6:$Y$24,3)+VLOOKUP($B590,Lifetime_morbidity_array!$A$6:$Y$24,6)+VLOOKUP($B590,Lifetime_morbidity_array!$A$6:$Y$24,9)+VLOOKUP($B590,Lifetime_morbidity_array!$A$6:$Y$24,12)))</f>
        <v>335.79939247327957</v>
      </c>
      <c r="Z590" s="297">
        <f>(SUM($P590:$Q590)*VLOOKUP($B590,Lifetime_morbidity_array!$A$6:$Y$24,4))+(SUM($R590:$S590)*VLOOKUP($B590,Lifetime_morbidity_array!$A$6:$Y$24,3))</f>
        <v>68.654653050925134</v>
      </c>
      <c r="AA590" s="297">
        <f>(SUM($P590:$Q590)*VLOOKUP($B590,Lifetime_morbidity_array!$A$6:$Y$24,7))+(SUM($R590:$S590)*VLOOKUP($B590,Lifetime_morbidity_array!$A$6:$Y$24,6))</f>
        <v>81.394744700260446</v>
      </c>
      <c r="AB590" s="297">
        <f>(SUM($P590:$Q590)*VLOOKUP($B590,Lifetime_morbidity_array!$A$6:$Y$24,10))+(SUM($R590:$S590)*VLOOKUP($B590,Lifetime_morbidity_array!$A$6:$Y$24,9))</f>
        <v>2.9321302922559589</v>
      </c>
      <c r="AC590" s="297">
        <f>(SUM($P590:$Q590)*VLOOKUP($B590,Lifetime_morbidity_array!$A$6:$Y$24,13))+(SUM($R590:$S590)*VLOOKUP($B590,Lifetime_morbidity_array!$A$6:$Y$24,12))</f>
        <v>32.68936673108869</v>
      </c>
      <c r="AD590" s="294"/>
      <c r="AE590" s="294">
        <f t="shared" si="25"/>
        <v>62</v>
      </c>
      <c r="AF590" s="297">
        <f t="shared" si="42"/>
        <v>282.0088155997642</v>
      </c>
      <c r="AG590" s="297">
        <f t="shared" si="27"/>
        <v>20438.042767076535</v>
      </c>
      <c r="AH590" s="294"/>
      <c r="AI590" s="294">
        <f t="shared" si="28"/>
        <v>62</v>
      </c>
      <c r="AJ590" s="295">
        <f>((VLOOKUP($B590,'Mahawesran Tariff'!$A$21:$M$120,7)*$X590)+(VLOOKUP($B590,'Mahawesran Tariff'!$A$21:$M$120,6)*$Y590)+(DET_UTIL_chd*$Z590)+(DET_UTIL_copd*$AA590)+(DET_UTIL_lc*$AB590)+(DET_UTIL_stroke*$AC590))/((1+Discount_rate_QALYs)^$A590)</f>
        <v>246.62354523194415</v>
      </c>
      <c r="AK590" s="295">
        <f t="shared" si="29"/>
        <v>19261.401472057896</v>
      </c>
      <c r="AL590" s="294"/>
      <c r="AM590" s="294">
        <f t="shared" si="14"/>
        <v>62</v>
      </c>
      <c r="AN590" s="299">
        <f t="shared" si="40"/>
        <v>279904.7944268813</v>
      </c>
      <c r="AO590" s="299">
        <f t="shared" si="30"/>
        <v>8445779.8274968546</v>
      </c>
      <c r="AP590" s="294"/>
      <c r="AQ590" s="294">
        <f t="shared" si="16"/>
        <v>62</v>
      </c>
      <c r="AR590" s="298">
        <f t="shared" si="37"/>
        <v>0.94010189332917748</v>
      </c>
      <c r="AS590" s="298">
        <f t="shared" si="38"/>
        <v>5.9898106670822286E-2</v>
      </c>
      <c r="AT590" s="298">
        <f t="shared" si="39"/>
        <v>0.18567089477453022</v>
      </c>
      <c r="AU590" s="250"/>
      <c r="AV590" s="294">
        <f t="shared" si="17"/>
        <v>62</v>
      </c>
      <c r="AW590" s="299">
        <f t="shared" si="41"/>
        <v>279904.7944268813</v>
      </c>
      <c r="AX590" s="299">
        <f t="shared" si="31"/>
        <v>8445779.8274968546</v>
      </c>
      <c r="AY590" s="335"/>
      <c r="AZ590" s="335"/>
      <c r="BA590" s="335"/>
      <c r="BB590" s="335"/>
      <c r="BC590" s="335"/>
      <c r="BD590" s="335"/>
      <c r="BE590" s="335"/>
      <c r="BF590" s="335"/>
      <c r="BG590" s="335"/>
      <c r="BH590" s="335"/>
      <c r="BI590" s="335"/>
      <c r="BJ590" s="335"/>
      <c r="BK590" s="364"/>
      <c r="BL590" s="364"/>
      <c r="BM590" s="364"/>
      <c r="BN590" s="364"/>
      <c r="BO590" s="364"/>
      <c r="BP590" s="364"/>
      <c r="BQ590" s="335"/>
      <c r="BR590" s="335"/>
      <c r="BS590" s="364"/>
      <c r="BT590" s="364"/>
      <c r="BU590" s="364"/>
      <c r="BV590" s="364"/>
      <c r="BW590" s="364"/>
      <c r="BX590" s="364"/>
      <c r="BY590" s="335"/>
      <c r="BZ590" s="335"/>
      <c r="CA590" s="364"/>
      <c r="CB590" s="364"/>
      <c r="CC590" s="335"/>
      <c r="CD590" s="335"/>
      <c r="CE590" s="335"/>
      <c r="CF590" s="335"/>
      <c r="CG590" s="335"/>
      <c r="CH590" s="335"/>
      <c r="CI590" s="365"/>
      <c r="CJ590" s="365"/>
      <c r="CK590" s="335"/>
      <c r="CL590" s="335"/>
      <c r="CM590" s="366"/>
      <c r="CN590" s="366"/>
      <c r="CO590" s="366"/>
      <c r="CP590" s="3"/>
    </row>
    <row r="591" spans="1:94" x14ac:dyDescent="0.25">
      <c r="A591" s="34">
        <v>36</v>
      </c>
      <c r="B591" s="33">
        <f t="shared" si="19"/>
        <v>63</v>
      </c>
      <c r="C591" s="294">
        <f>VLOOKUP($B591,'Mother mortality'!$A$23:$I$124,5)</f>
        <v>6.2740673575129536E-3</v>
      </c>
      <c r="D591" s="295">
        <f t="shared" si="32"/>
        <v>0.27</v>
      </c>
      <c r="E591" s="295">
        <f t="shared" si="9"/>
        <v>0.72372593264248708</v>
      </c>
      <c r="F591" s="295">
        <f>VLOOKUP($B591,'Mother mortality'!$A$23:$I$124,5)</f>
        <v>6.2740673575129536E-3</v>
      </c>
      <c r="G591" s="295">
        <f t="shared" si="33"/>
        <v>0.14000000000000001</v>
      </c>
      <c r="H591" s="295">
        <f t="shared" si="10"/>
        <v>0.85372593264248708</v>
      </c>
      <c r="I591" s="295">
        <f>VLOOKUP($B591,'Mother mortality'!$A$23:$I$124,4)</f>
        <v>4.1415025906735752E-3</v>
      </c>
      <c r="J591" s="295">
        <f t="shared" si="11"/>
        <v>0.42442992598075502</v>
      </c>
      <c r="K591" s="295">
        <f t="shared" si="34"/>
        <v>0.5714285714285714</v>
      </c>
      <c r="L591" s="295">
        <f>VLOOKUP($B591,'Mother mortality'!$A$23:$I$124,4)</f>
        <v>4.1415025906735752E-3</v>
      </c>
      <c r="M591" s="295">
        <f t="shared" si="35"/>
        <v>8.6261668788331098E-3</v>
      </c>
      <c r="N591" s="295">
        <f t="shared" si="12"/>
        <v>0.98723233053049331</v>
      </c>
      <c r="O591" s="294"/>
      <c r="P591" s="296">
        <f t="shared" si="20"/>
        <v>430.78078877877113</v>
      </c>
      <c r="Q591" s="297">
        <f t="shared" si="21"/>
        <v>118.42715909983133</v>
      </c>
      <c r="R591" s="297">
        <f t="shared" si="22"/>
        <v>16.876525788843043</v>
      </c>
      <c r="S591" s="297">
        <f t="shared" si="23"/>
        <v>368.93152812053313</v>
      </c>
      <c r="T591" s="297">
        <f t="shared" si="24"/>
        <v>64.983998212021305</v>
      </c>
      <c r="U591" s="294">
        <f t="shared" si="13"/>
        <v>1000</v>
      </c>
      <c r="V591" s="295" t="str">
        <f t="shared" si="36"/>
        <v>OKAY</v>
      </c>
      <c r="W591" s="295"/>
      <c r="X591" s="296">
        <f>SUM($P591:$Q591)-(SUM($P591:$Q591)*(VLOOKUP($B591,Lifetime_morbidity_array!$A$6:$Y$24,4)+VLOOKUP($B591,Lifetime_morbidity_array!$A$6:$Y$24,7)+VLOOKUP($B591,Lifetime_morbidity_array!$A$6:$Y$24,10)+VLOOKUP($B591,Lifetime_morbidity_array!$A$6:$Y$24,13)))</f>
        <v>411.17650249559586</v>
      </c>
      <c r="Y591" s="297">
        <f>SUM($R591:$S591)-(SUM($R591:$S591)*(VLOOKUP($B591,Lifetime_morbidity_array!$A$6:$Y$24,3)+VLOOKUP($B591,Lifetime_morbidity_array!$A$6:$Y$24,6)+VLOOKUP($B591,Lifetime_morbidity_array!$A$6:$Y$24,9)+VLOOKUP($B591,Lifetime_morbidity_array!$A$6:$Y$24,12)))</f>
        <v>340.09400884786214</v>
      </c>
      <c r="Z591" s="297">
        <f>(SUM($P591:$Q591)*VLOOKUP($B591,Lifetime_morbidity_array!$A$6:$Y$24,4))+(SUM($R591:$S591)*VLOOKUP($B591,Lifetime_morbidity_array!$A$6:$Y$24,3))</f>
        <v>67.857041094044817</v>
      </c>
      <c r="AA591" s="297">
        <f>(SUM($P591:$Q591)*VLOOKUP($B591,Lifetime_morbidity_array!$A$6:$Y$24,7))+(SUM($R591:$S591)*VLOOKUP($B591,Lifetime_morbidity_array!$A$6:$Y$24,6))</f>
        <v>80.613020008780239</v>
      </c>
      <c r="AB591" s="297">
        <f>(SUM($P591:$Q591)*VLOOKUP($B591,Lifetime_morbidity_array!$A$6:$Y$24,10))+(SUM($R591:$S591)*VLOOKUP($B591,Lifetime_morbidity_array!$A$6:$Y$24,9))</f>
        <v>2.8935835849698339</v>
      </c>
      <c r="AC591" s="297">
        <f>(SUM($P591:$Q591)*VLOOKUP($B591,Lifetime_morbidity_array!$A$6:$Y$24,13))+(SUM($R591:$S591)*VLOOKUP($B591,Lifetime_morbidity_array!$A$6:$Y$24,12))</f>
        <v>32.381845756725738</v>
      </c>
      <c r="AD591" s="294"/>
      <c r="AE591" s="294">
        <f t="shared" si="25"/>
        <v>63</v>
      </c>
      <c r="AF591" s="297">
        <f t="shared" si="42"/>
        <v>270.99822784203064</v>
      </c>
      <c r="AG591" s="297">
        <f t="shared" si="27"/>
        <v>20709.040994918567</v>
      </c>
      <c r="AH591" s="294"/>
      <c r="AI591" s="294">
        <f t="shared" si="28"/>
        <v>63</v>
      </c>
      <c r="AJ591" s="295">
        <f>((VLOOKUP($B591,'Mahawesran Tariff'!$A$21:$M$120,7)*$X591)+(VLOOKUP($B591,'Mahawesran Tariff'!$A$21:$M$120,6)*$Y591)+(DET_UTIL_chd*$Z591)+(DET_UTIL_copd*$AA591)+(DET_UTIL_lc*$AB591)+(DET_UTIL_stroke*$AC591))/((1+Discount_rate_QALYs)^$A591)</f>
        <v>237.07105876455046</v>
      </c>
      <c r="AK591" s="295">
        <f t="shared" si="29"/>
        <v>19498.472530822448</v>
      </c>
      <c r="AL591" s="294"/>
      <c r="AM591" s="294">
        <f t="shared" si="14"/>
        <v>63</v>
      </c>
      <c r="AN591" s="299">
        <f t="shared" si="40"/>
        <v>267780.14717397565</v>
      </c>
      <c r="AO591" s="299">
        <f t="shared" si="30"/>
        <v>8713559.9746708311</v>
      </c>
      <c r="AP591" s="294"/>
      <c r="AQ591" s="294">
        <f t="shared" si="16"/>
        <v>63</v>
      </c>
      <c r="AR591" s="298">
        <f t="shared" si="37"/>
        <v>0.93501600178797861</v>
      </c>
      <c r="AS591" s="298">
        <f t="shared" si="38"/>
        <v>6.4983998212021304E-2</v>
      </c>
      <c r="AT591" s="298">
        <f t="shared" si="39"/>
        <v>0.18374549044452065</v>
      </c>
      <c r="AU591" s="250"/>
      <c r="AV591" s="294">
        <f t="shared" si="17"/>
        <v>63</v>
      </c>
      <c r="AW591" s="299">
        <f t="shared" si="41"/>
        <v>267780.14717397565</v>
      </c>
      <c r="AX591" s="299">
        <f t="shared" si="31"/>
        <v>8713559.9746708311</v>
      </c>
      <c r="AY591" s="335"/>
      <c r="AZ591" s="335"/>
      <c r="BA591" s="335"/>
      <c r="BB591" s="335"/>
      <c r="BC591" s="335"/>
      <c r="BD591" s="335"/>
      <c r="BE591" s="335"/>
      <c r="BF591" s="335"/>
      <c r="BG591" s="335"/>
      <c r="BH591" s="335"/>
      <c r="BI591" s="335"/>
      <c r="BJ591" s="335"/>
      <c r="BK591" s="364"/>
      <c r="BL591" s="364"/>
      <c r="BM591" s="364"/>
      <c r="BN591" s="364"/>
      <c r="BO591" s="364"/>
      <c r="BP591" s="364"/>
      <c r="BQ591" s="335"/>
      <c r="BR591" s="335"/>
      <c r="BS591" s="364"/>
      <c r="BT591" s="364"/>
      <c r="BU591" s="364"/>
      <c r="BV591" s="364"/>
      <c r="BW591" s="364"/>
      <c r="BX591" s="364"/>
      <c r="BY591" s="335"/>
      <c r="BZ591" s="335"/>
      <c r="CA591" s="364"/>
      <c r="CB591" s="364"/>
      <c r="CC591" s="335"/>
      <c r="CD591" s="335"/>
      <c r="CE591" s="335"/>
      <c r="CF591" s="335"/>
      <c r="CG591" s="335"/>
      <c r="CH591" s="335"/>
      <c r="CI591" s="365"/>
      <c r="CJ591" s="365"/>
      <c r="CK591" s="335"/>
      <c r="CL591" s="335"/>
      <c r="CM591" s="366"/>
      <c r="CN591" s="366"/>
      <c r="CO591" s="366"/>
      <c r="CP591" s="3"/>
    </row>
    <row r="592" spans="1:94" x14ac:dyDescent="0.25">
      <c r="A592" s="34">
        <v>37</v>
      </c>
      <c r="B592" s="33">
        <f t="shared" si="19"/>
        <v>64</v>
      </c>
      <c r="C592" s="294">
        <f>VLOOKUP($B592,'Mother mortality'!$A$23:$I$124,5)</f>
        <v>6.7594283804111657E-3</v>
      </c>
      <c r="D592" s="295">
        <f t="shared" si="32"/>
        <v>0.27</v>
      </c>
      <c r="E592" s="295">
        <f t="shared" si="9"/>
        <v>0.72324057161958877</v>
      </c>
      <c r="F592" s="295">
        <f>VLOOKUP($B592,'Mother mortality'!$A$23:$I$124,5)</f>
        <v>6.7594283804111657E-3</v>
      </c>
      <c r="G592" s="295">
        <f t="shared" si="33"/>
        <v>0.14000000000000001</v>
      </c>
      <c r="H592" s="295">
        <f t="shared" si="10"/>
        <v>0.85324057161958877</v>
      </c>
      <c r="I592" s="295">
        <f>VLOOKUP($B592,'Mother mortality'!$A$23:$I$124,4)</f>
        <v>4.4618886846063853E-3</v>
      </c>
      <c r="J592" s="295">
        <f t="shared" si="11"/>
        <v>0.42410953988682221</v>
      </c>
      <c r="K592" s="295">
        <f t="shared" si="34"/>
        <v>0.5714285714285714</v>
      </c>
      <c r="L592" s="295">
        <f>VLOOKUP($B592,'Mother mortality'!$A$23:$I$124,4)</f>
        <v>4.4618886846063853E-3</v>
      </c>
      <c r="M592" s="295">
        <f t="shared" si="35"/>
        <v>8.6261668788331098E-3</v>
      </c>
      <c r="N592" s="295">
        <f t="shared" si="12"/>
        <v>0.9869119444365605</v>
      </c>
      <c r="O592" s="294"/>
      <c r="P592" s="296">
        <f t="shared" si="20"/>
        <v>422.94496136034479</v>
      </c>
      <c r="Q592" s="297">
        <f t="shared" si="21"/>
        <v>116.31081297026822</v>
      </c>
      <c r="R592" s="297">
        <f t="shared" si="22"/>
        <v>16.579802273976387</v>
      </c>
      <c r="S592" s="297">
        <f t="shared" si="23"/>
        <v>373.74666080358293</v>
      </c>
      <c r="T592" s="297">
        <f t="shared" si="24"/>
        <v>70.417762591827582</v>
      </c>
      <c r="U592" s="294">
        <f t="shared" si="13"/>
        <v>999.99999999999989</v>
      </c>
      <c r="V592" s="295" t="str">
        <f t="shared" si="36"/>
        <v>OKAY</v>
      </c>
      <c r="W592" s="295"/>
      <c r="X592" s="296">
        <f>SUM($P592:$Q592)-(SUM($P592:$Q592)*(VLOOKUP($B592,Lifetime_morbidity_array!$A$6:$Y$24,4)+VLOOKUP($B592,Lifetime_morbidity_array!$A$6:$Y$24,7)+VLOOKUP($B592,Lifetime_morbidity_array!$A$6:$Y$24,10)+VLOOKUP($B592,Lifetime_morbidity_array!$A$6:$Y$24,13)))</f>
        <v>403.72559081906638</v>
      </c>
      <c r="Y592" s="297">
        <f>SUM($R592:$S592)-(SUM($R592:$S592)*(VLOOKUP($B592,Lifetime_morbidity_array!$A$6:$Y$24,3)+VLOOKUP($B592,Lifetime_morbidity_array!$A$6:$Y$24,6)+VLOOKUP($B592,Lifetime_morbidity_array!$A$6:$Y$24,9)+VLOOKUP($B592,Lifetime_morbidity_array!$A$6:$Y$24,12)))</f>
        <v>344.07703582734371</v>
      </c>
      <c r="Z592" s="297">
        <f>(SUM($P592:$Q592)*VLOOKUP($B592,Lifetime_morbidity_array!$A$6:$Y$24,4))+(SUM($R592:$S592)*VLOOKUP($B592,Lifetime_morbidity_array!$A$6:$Y$24,3))</f>
        <v>67.047088655421931</v>
      </c>
      <c r="AA592" s="297">
        <f>(SUM($P592:$Q592)*VLOOKUP($B592,Lifetime_morbidity_array!$A$6:$Y$24,7))+(SUM($R592:$S592)*VLOOKUP($B592,Lifetime_morbidity_array!$A$6:$Y$24,6))</f>
        <v>79.811640801587018</v>
      </c>
      <c r="AB592" s="297">
        <f>(SUM($P592:$Q592)*VLOOKUP($B592,Lifetime_morbidity_array!$A$6:$Y$24,10))+(SUM($R592:$S592)*VLOOKUP($B592,Lifetime_morbidity_array!$A$6:$Y$24,9))</f>
        <v>2.8546472232361277</v>
      </c>
      <c r="AC592" s="297">
        <f>(SUM($P592:$Q592)*VLOOKUP($B592,Lifetime_morbidity_array!$A$6:$Y$24,13))+(SUM($R592:$S592)*VLOOKUP($B592,Lifetime_morbidity_array!$A$6:$Y$24,12))</f>
        <v>32.066234081517159</v>
      </c>
      <c r="AD592" s="294"/>
      <c r="AE592" s="294">
        <f t="shared" si="25"/>
        <v>64</v>
      </c>
      <c r="AF592" s="297">
        <f t="shared" si="42"/>
        <v>260.31241077351405</v>
      </c>
      <c r="AG592" s="297">
        <f t="shared" si="27"/>
        <v>20969.35340569208</v>
      </c>
      <c r="AH592" s="294"/>
      <c r="AI592" s="294">
        <f t="shared" si="28"/>
        <v>64</v>
      </c>
      <c r="AJ592" s="295">
        <f>((VLOOKUP($B592,'Mahawesran Tariff'!$A$21:$M$120,7)*$X592)+(VLOOKUP($B592,'Mahawesran Tariff'!$A$21:$M$120,6)*$Y592)+(DET_UTIL_chd*$Z592)+(DET_UTIL_copd*$AA592)+(DET_UTIL_lc*$AB592)+(DET_UTIL_stroke*$AC592))/((1+Discount_rate_QALYs)^$A592)</f>
        <v>227.79514870556849</v>
      </c>
      <c r="AK592" s="295">
        <f t="shared" si="29"/>
        <v>19726.267679528017</v>
      </c>
      <c r="AL592" s="294"/>
      <c r="AM592" s="294">
        <f t="shared" si="14"/>
        <v>64</v>
      </c>
      <c r="AN592" s="299">
        <f t="shared" si="40"/>
        <v>256094.17831716317</v>
      </c>
      <c r="AO592" s="299">
        <f t="shared" si="30"/>
        <v>8969654.1529879943</v>
      </c>
      <c r="AP592" s="294"/>
      <c r="AQ592" s="294">
        <f t="shared" si="16"/>
        <v>64</v>
      </c>
      <c r="AR592" s="298">
        <f t="shared" si="37"/>
        <v>0.92958223740817236</v>
      </c>
      <c r="AS592" s="298">
        <f t="shared" si="38"/>
        <v>7.0417762591827582E-2</v>
      </c>
      <c r="AT592" s="298">
        <f t="shared" si="39"/>
        <v>0.18177961076176224</v>
      </c>
      <c r="AU592" s="250"/>
      <c r="AV592" s="294">
        <f t="shared" si="17"/>
        <v>64</v>
      </c>
      <c r="AW592" s="299">
        <f t="shared" si="41"/>
        <v>256094.17831716317</v>
      </c>
      <c r="AX592" s="299">
        <f t="shared" si="31"/>
        <v>8969654.1529879943</v>
      </c>
      <c r="AY592" s="335"/>
      <c r="AZ592" s="335"/>
      <c r="BA592" s="335"/>
      <c r="BB592" s="335"/>
      <c r="BC592" s="335"/>
      <c r="BD592" s="335"/>
      <c r="BE592" s="335"/>
      <c r="BF592" s="335"/>
      <c r="BG592" s="335"/>
      <c r="BH592" s="335"/>
      <c r="BI592" s="335"/>
      <c r="BJ592" s="335"/>
      <c r="BK592" s="364"/>
      <c r="BL592" s="364"/>
      <c r="BM592" s="364"/>
      <c r="BN592" s="364"/>
      <c r="BO592" s="364"/>
      <c r="BP592" s="364"/>
      <c r="BQ592" s="335"/>
      <c r="BR592" s="335"/>
      <c r="BS592" s="364"/>
      <c r="BT592" s="364"/>
      <c r="BU592" s="364"/>
      <c r="BV592" s="364"/>
      <c r="BW592" s="364"/>
      <c r="BX592" s="364"/>
      <c r="BY592" s="335"/>
      <c r="BZ592" s="335"/>
      <c r="CA592" s="364"/>
      <c r="CB592" s="364"/>
      <c r="CC592" s="335"/>
      <c r="CD592" s="335"/>
      <c r="CE592" s="335"/>
      <c r="CF592" s="335"/>
      <c r="CG592" s="335"/>
      <c r="CH592" s="335"/>
      <c r="CI592" s="365"/>
      <c r="CJ592" s="365"/>
      <c r="CK592" s="335"/>
      <c r="CL592" s="335"/>
      <c r="CM592" s="366"/>
      <c r="CN592" s="366"/>
      <c r="CO592" s="366"/>
      <c r="CP592" s="3"/>
    </row>
    <row r="593" spans="1:94" x14ac:dyDescent="0.25">
      <c r="A593" s="34">
        <v>38</v>
      </c>
      <c r="B593" s="33">
        <f t="shared" si="19"/>
        <v>65</v>
      </c>
      <c r="C593" s="294">
        <f>VLOOKUP($B593,'Mother mortality'!$A$23:$I$124,5)</f>
        <v>6.991058684958083E-3</v>
      </c>
      <c r="D593" s="295">
        <f t="shared" si="32"/>
        <v>0.27</v>
      </c>
      <c r="E593" s="295">
        <f t="shared" si="9"/>
        <v>0.7230089413150419</v>
      </c>
      <c r="F593" s="295">
        <f>VLOOKUP($B593,'Mother mortality'!$A$23:$I$124,5)</f>
        <v>6.991058684958083E-3</v>
      </c>
      <c r="G593" s="295">
        <f t="shared" si="33"/>
        <v>0.14000000000000001</v>
      </c>
      <c r="H593" s="295">
        <f t="shared" si="10"/>
        <v>0.8530089413150419</v>
      </c>
      <c r="I593" s="295">
        <f>VLOOKUP($B593,'Mother mortality'!$A$23:$I$124,4)</f>
        <v>4.7003713711633076E-3</v>
      </c>
      <c r="J593" s="295">
        <f t="shared" si="11"/>
        <v>0.4238710572002653</v>
      </c>
      <c r="K593" s="295">
        <f t="shared" si="34"/>
        <v>0.5714285714285714</v>
      </c>
      <c r="L593" s="295">
        <f>VLOOKUP($B593,'Mother mortality'!$A$23:$I$124,4)</f>
        <v>4.7003713711633076E-3</v>
      </c>
      <c r="M593" s="295">
        <f t="shared" si="35"/>
        <v>8.6261668788331098E-3</v>
      </c>
      <c r="N593" s="295">
        <f t="shared" si="12"/>
        <v>0.98667346175000359</v>
      </c>
      <c r="O593" s="294"/>
      <c r="P593" s="296">
        <f t="shared" si="20"/>
        <v>415.25885156747461</v>
      </c>
      <c r="Q593" s="297">
        <f t="shared" si="21"/>
        <v>114.1951395672931</v>
      </c>
      <c r="R593" s="297">
        <f t="shared" si="22"/>
        <v>16.283513815837551</v>
      </c>
      <c r="S593" s="297">
        <f t="shared" si="23"/>
        <v>378.24008436056204</v>
      </c>
      <c r="T593" s="297">
        <f t="shared" si="24"/>
        <v>76.022410688832593</v>
      </c>
      <c r="U593" s="294">
        <f t="shared" si="13"/>
        <v>999.99999999999977</v>
      </c>
      <c r="V593" s="295" t="str">
        <f t="shared" si="36"/>
        <v>OKAY</v>
      </c>
      <c r="W593" s="295"/>
      <c r="X593" s="296">
        <f>SUM($P593:$Q593)-(SUM($P593:$Q593)*(VLOOKUP($B593,Lifetime_morbidity_array!$A$6:$Y$24,4)+VLOOKUP($B593,Lifetime_morbidity_array!$A$6:$Y$24,7)+VLOOKUP($B593,Lifetime_morbidity_array!$A$6:$Y$24,10)+VLOOKUP($B593,Lifetime_morbidity_array!$A$6:$Y$24,13)))</f>
        <v>212.05094199388003</v>
      </c>
      <c r="Y593" s="297">
        <f>SUM($R593:$S593)-(SUM($R593:$S593)*(VLOOKUP($B593,Lifetime_morbidity_array!$A$6:$Y$24,3)+VLOOKUP($B593,Lifetime_morbidity_array!$A$6:$Y$24,6)+VLOOKUP($B593,Lifetime_morbidity_array!$A$6:$Y$24,9)+VLOOKUP($B593,Lifetime_morbidity_array!$A$6:$Y$24,12)))</f>
        <v>287.82370060773212</v>
      </c>
      <c r="Z593" s="297">
        <f>(SUM($P593:$Q593)*VLOOKUP($B593,Lifetime_morbidity_array!$A$6:$Y$24,4))+(SUM($R593:$S593)*VLOOKUP($B593,Lifetime_morbidity_array!$A$6:$Y$24,3))</f>
        <v>183.30559698675251</v>
      </c>
      <c r="AA593" s="297">
        <f>(SUM($P593:$Q593)*VLOOKUP($B593,Lifetime_morbidity_array!$A$6:$Y$24,7))+(SUM($R593:$S593)*VLOOKUP($B593,Lifetime_morbidity_array!$A$6:$Y$24,6))</f>
        <v>169.21875980125341</v>
      </c>
      <c r="AB593" s="297">
        <f>(SUM($P593:$Q593)*VLOOKUP($B593,Lifetime_morbidity_array!$A$6:$Y$24,10))+(SUM($R593:$S593)*VLOOKUP($B593,Lifetime_morbidity_array!$A$6:$Y$24,9))</f>
        <v>9.1728809661105402</v>
      </c>
      <c r="AC593" s="297">
        <f>(SUM($P593:$Q593)*VLOOKUP($B593,Lifetime_morbidity_array!$A$6:$Y$24,13))+(SUM($R593:$S593)*VLOOKUP($B593,Lifetime_morbidity_array!$A$6:$Y$24,12))</f>
        <v>62.405708955438641</v>
      </c>
      <c r="AD593" s="294"/>
      <c r="AE593" s="294">
        <f t="shared" si="25"/>
        <v>65</v>
      </c>
      <c r="AF593" s="297">
        <f t="shared" si="42"/>
        <v>249.99317115187642</v>
      </c>
      <c r="AG593" s="297">
        <f t="shared" si="27"/>
        <v>21219.346576843956</v>
      </c>
      <c r="AH593" s="294"/>
      <c r="AI593" s="294">
        <f t="shared" si="28"/>
        <v>65</v>
      </c>
      <c r="AJ593" s="295">
        <f>((VLOOKUP($B593,'Mahawesran Tariff'!$A$21:$M$120,7)*$X593)+(VLOOKUP($B593,'Mahawesran Tariff'!$A$21:$M$120,6)*$Y593)+(DET_UTIL_chd*$Z593)+(DET_UTIL_copd*$AA593)+(DET_UTIL_lc*$AB593)+(DET_UTIL_stroke*$AC593))/((1+Discount_rate_QALYs)^$A593)</f>
        <v>205.97202712971281</v>
      </c>
      <c r="AK593" s="295">
        <f t="shared" si="29"/>
        <v>19932.239706657729</v>
      </c>
      <c r="AL593" s="294"/>
      <c r="AM593" s="294">
        <f t="shared" si="14"/>
        <v>65</v>
      </c>
      <c r="AN593" s="299">
        <f t="shared" si="40"/>
        <v>520343.38127899368</v>
      </c>
      <c r="AO593" s="299">
        <f t="shared" si="30"/>
        <v>9489997.5342669878</v>
      </c>
      <c r="AP593" s="294"/>
      <c r="AQ593" s="294">
        <f t="shared" si="16"/>
        <v>65</v>
      </c>
      <c r="AR593" s="298">
        <f t="shared" si="37"/>
        <v>0.92397758931116725</v>
      </c>
      <c r="AS593" s="298">
        <f t="shared" si="38"/>
        <v>7.6022410688832587E-2</v>
      </c>
      <c r="AT593" s="298">
        <f t="shared" si="39"/>
        <v>0.42410294670955506</v>
      </c>
      <c r="AU593" s="250"/>
      <c r="AV593" s="294">
        <f t="shared" si="17"/>
        <v>65</v>
      </c>
      <c r="AW593" s="299">
        <f t="shared" si="41"/>
        <v>520343.38127899368</v>
      </c>
      <c r="AX593" s="299">
        <f t="shared" si="31"/>
        <v>9489997.5342669878</v>
      </c>
      <c r="AY593" s="335"/>
      <c r="AZ593" s="335"/>
      <c r="BA593" s="335"/>
      <c r="BB593" s="335"/>
      <c r="BC593" s="335"/>
      <c r="BD593" s="335"/>
      <c r="BE593" s="335"/>
      <c r="BF593" s="335"/>
      <c r="BG593" s="335"/>
      <c r="BH593" s="335"/>
      <c r="BI593" s="335"/>
      <c r="BJ593" s="335"/>
      <c r="BK593" s="364"/>
      <c r="BL593" s="364"/>
      <c r="BM593" s="364"/>
      <c r="BN593" s="364"/>
      <c r="BO593" s="364"/>
      <c r="BP593" s="364"/>
      <c r="BQ593" s="335"/>
      <c r="BR593" s="335"/>
      <c r="BS593" s="364"/>
      <c r="BT593" s="364"/>
      <c r="BU593" s="364"/>
      <c r="BV593" s="364"/>
      <c r="BW593" s="364"/>
      <c r="BX593" s="364"/>
      <c r="BY593" s="335"/>
      <c r="BZ593" s="335"/>
      <c r="CA593" s="364"/>
      <c r="CB593" s="364"/>
      <c r="CC593" s="335"/>
      <c r="CD593" s="335"/>
      <c r="CE593" s="335"/>
      <c r="CF593" s="335"/>
      <c r="CG593" s="335"/>
      <c r="CH593" s="335"/>
      <c r="CI593" s="365"/>
      <c r="CJ593" s="365"/>
      <c r="CK593" s="335"/>
      <c r="CL593" s="335"/>
      <c r="CM593" s="366"/>
      <c r="CN593" s="366"/>
      <c r="CO593" s="366"/>
      <c r="CP593" s="3"/>
    </row>
    <row r="594" spans="1:94" x14ac:dyDescent="0.25">
      <c r="A594" s="34">
        <v>39</v>
      </c>
      <c r="B594" s="33">
        <f t="shared" si="19"/>
        <v>66</v>
      </c>
      <c r="C594" s="294">
        <f>VLOOKUP($B594,'Mother mortality'!$A$23:$I$124,5)</f>
        <v>7.543511397491859E-3</v>
      </c>
      <c r="D594" s="295">
        <f t="shared" si="32"/>
        <v>0.27</v>
      </c>
      <c r="E594" s="295">
        <f t="shared" si="9"/>
        <v>0.72245648860250811</v>
      </c>
      <c r="F594" s="295">
        <f>VLOOKUP($B594,'Mother mortality'!$A$23:$I$124,5)</f>
        <v>7.543511397491859E-3</v>
      </c>
      <c r="G594" s="295">
        <f t="shared" si="33"/>
        <v>0.14000000000000001</v>
      </c>
      <c r="H594" s="295">
        <f t="shared" si="10"/>
        <v>0.85245648860250811</v>
      </c>
      <c r="I594" s="295">
        <f>VLOOKUP($B594,'Mother mortality'!$A$23:$I$124,4)</f>
        <v>5.0718076629945276E-3</v>
      </c>
      <c r="J594" s="295">
        <f t="shared" si="11"/>
        <v>0.42349962090843407</v>
      </c>
      <c r="K594" s="295">
        <f t="shared" si="34"/>
        <v>0.5714285714285714</v>
      </c>
      <c r="L594" s="295">
        <f>VLOOKUP($B594,'Mother mortality'!$A$23:$I$124,4)</f>
        <v>5.0718076629945276E-3</v>
      </c>
      <c r="M594" s="295">
        <f t="shared" si="35"/>
        <v>8.6261668788331098E-3</v>
      </c>
      <c r="N594" s="295">
        <f t="shared" si="12"/>
        <v>0.98630202545817236</v>
      </c>
      <c r="O594" s="294"/>
      <c r="P594" s="296">
        <f t="shared" si="20"/>
        <v>407.51166347157834</v>
      </c>
      <c r="Q594" s="297">
        <f t="shared" si="21"/>
        <v>112.11988992321815</v>
      </c>
      <c r="R594" s="297">
        <f t="shared" si="22"/>
        <v>15.987319539421035</v>
      </c>
      <c r="S594" s="297">
        <f t="shared" si="23"/>
        <v>382.36382635191381</v>
      </c>
      <c r="T594" s="297">
        <f t="shared" si="24"/>
        <v>82.017300713868508</v>
      </c>
      <c r="U594" s="294">
        <f t="shared" si="13"/>
        <v>999.99999999999977</v>
      </c>
      <c r="V594" s="295" t="str">
        <f t="shared" si="36"/>
        <v>OKAY</v>
      </c>
      <c r="W594" s="295"/>
      <c r="X594" s="296">
        <f>SUM($P594:$Q594)-(SUM($P594:$Q594)*(VLOOKUP($B594,Lifetime_morbidity_array!$A$6:$Y$24,4)+VLOOKUP($B594,Lifetime_morbidity_array!$A$6:$Y$24,7)+VLOOKUP($B594,Lifetime_morbidity_array!$A$6:$Y$24,10)+VLOOKUP($B594,Lifetime_morbidity_array!$A$6:$Y$24,13)))</f>
        <v>208.11696999572212</v>
      </c>
      <c r="Y594" s="297">
        <f>SUM($R594:$S594)-(SUM($R594:$S594)*(VLOOKUP($B594,Lifetime_morbidity_array!$A$6:$Y$24,3)+VLOOKUP($B594,Lifetime_morbidity_array!$A$6:$Y$24,6)+VLOOKUP($B594,Lifetime_morbidity_array!$A$6:$Y$24,9)+VLOOKUP($B594,Lifetime_morbidity_array!$A$6:$Y$24,12)))</f>
        <v>290.61607843419813</v>
      </c>
      <c r="Z594" s="297">
        <f>(SUM($P594:$Q594)*VLOOKUP($B594,Lifetime_morbidity_array!$A$6:$Y$24,4))+(SUM($R594:$S594)*VLOOKUP($B594,Lifetime_morbidity_array!$A$6:$Y$24,3))</f>
        <v>181.25705252838139</v>
      </c>
      <c r="AA594" s="297">
        <f>(SUM($P594:$Q594)*VLOOKUP($B594,Lifetime_morbidity_array!$A$6:$Y$24,7))+(SUM($R594:$S594)*VLOOKUP($B594,Lifetime_morbidity_array!$A$6:$Y$24,6))</f>
        <v>167.18613232252096</v>
      </c>
      <c r="AB594" s="297">
        <f>(SUM($P594:$Q594)*VLOOKUP($B594,Lifetime_morbidity_array!$A$6:$Y$24,10))+(SUM($R594:$S594)*VLOOKUP($B594,Lifetime_morbidity_array!$A$6:$Y$24,9))</f>
        <v>9.0484349349526187</v>
      </c>
      <c r="AC594" s="297">
        <f>(SUM($P594:$Q594)*VLOOKUP($B594,Lifetime_morbidity_array!$A$6:$Y$24,13))+(SUM($R594:$S594)*VLOOKUP($B594,Lifetime_morbidity_array!$A$6:$Y$24,12))</f>
        <v>61.758031070356175</v>
      </c>
      <c r="AD594" s="294"/>
      <c r="AE594" s="294">
        <f t="shared" si="25"/>
        <v>66</v>
      </c>
      <c r="AF594" s="297">
        <f t="shared" si="42"/>
        <v>239.97215658277977</v>
      </c>
      <c r="AG594" s="297">
        <f t="shared" si="27"/>
        <v>21459.318733426735</v>
      </c>
      <c r="AH594" s="294"/>
      <c r="AI594" s="294">
        <f t="shared" si="28"/>
        <v>66</v>
      </c>
      <c r="AJ594" s="295">
        <f>((VLOOKUP($B594,'Mahawesran Tariff'!$A$21:$M$120,7)*$X594)+(VLOOKUP($B594,'Mahawesran Tariff'!$A$21:$M$120,6)*$Y594)+(DET_UTIL_chd*$Z594)+(DET_UTIL_copd*$AA594)+(DET_UTIL_lc*$AB594)+(DET_UTIL_stroke*$AC594))/((1+Discount_rate_QALYs)^$A594)</f>
        <v>197.82893672251896</v>
      </c>
      <c r="AK594" s="295">
        <f t="shared" si="29"/>
        <v>20130.068643380248</v>
      </c>
      <c r="AL594" s="294"/>
      <c r="AM594" s="294">
        <f t="shared" si="14"/>
        <v>66</v>
      </c>
      <c r="AN594" s="299">
        <f t="shared" si="40"/>
        <v>497325.23591239366</v>
      </c>
      <c r="AO594" s="299">
        <f t="shared" si="30"/>
        <v>9987322.7701793816</v>
      </c>
      <c r="AP594" s="294"/>
      <c r="AQ594" s="294">
        <f t="shared" si="16"/>
        <v>66</v>
      </c>
      <c r="AR594" s="298">
        <f t="shared" si="37"/>
        <v>0.9179826992861313</v>
      </c>
      <c r="AS594" s="298">
        <f t="shared" si="38"/>
        <v>8.2017300713868507E-2</v>
      </c>
      <c r="AT594" s="298">
        <f t="shared" si="39"/>
        <v>0.41924965085621119</v>
      </c>
      <c r="AU594" s="250"/>
      <c r="AV594" s="294">
        <f t="shared" si="17"/>
        <v>66</v>
      </c>
      <c r="AW594" s="299">
        <f t="shared" si="41"/>
        <v>497325.23591239366</v>
      </c>
      <c r="AX594" s="299">
        <f t="shared" si="31"/>
        <v>9987322.7701793816</v>
      </c>
      <c r="AY594" s="335"/>
      <c r="AZ594" s="335"/>
      <c r="BA594" s="335"/>
      <c r="BB594" s="335"/>
      <c r="BC594" s="335"/>
      <c r="BD594" s="335"/>
      <c r="BE594" s="335"/>
      <c r="BF594" s="335"/>
      <c r="BG594" s="335"/>
      <c r="BH594" s="335"/>
      <c r="BI594" s="335"/>
      <c r="BJ594" s="335"/>
      <c r="BK594" s="364"/>
      <c r="BL594" s="364"/>
      <c r="BM594" s="364"/>
      <c r="BN594" s="364"/>
      <c r="BO594" s="364"/>
      <c r="BP594" s="364"/>
      <c r="BQ594" s="335"/>
      <c r="BR594" s="335"/>
      <c r="BS594" s="364"/>
      <c r="BT594" s="364"/>
      <c r="BU594" s="364"/>
      <c r="BV594" s="364"/>
      <c r="BW594" s="364"/>
      <c r="BX594" s="364"/>
      <c r="BY594" s="335"/>
      <c r="BZ594" s="335"/>
      <c r="CA594" s="364"/>
      <c r="CB594" s="364"/>
      <c r="CC594" s="335"/>
      <c r="CD594" s="335"/>
      <c r="CE594" s="335"/>
      <c r="CF594" s="335"/>
      <c r="CG594" s="335"/>
      <c r="CH594" s="335"/>
      <c r="CI594" s="365"/>
      <c r="CJ594" s="365"/>
      <c r="CK594" s="335"/>
      <c r="CL594" s="335"/>
      <c r="CM594" s="366"/>
      <c r="CN594" s="366"/>
      <c r="CO594" s="366"/>
      <c r="CP594" s="3"/>
    </row>
    <row r="595" spans="1:94" x14ac:dyDescent="0.25">
      <c r="A595" s="34">
        <v>40</v>
      </c>
      <c r="B595" s="33">
        <f t="shared" si="19"/>
        <v>67</v>
      </c>
      <c r="C595" s="294">
        <f>VLOOKUP($B595,'Mother mortality'!$A$23:$I$124,5)</f>
        <v>8.146438716829487E-3</v>
      </c>
      <c r="D595" s="295">
        <f t="shared" si="32"/>
        <v>0.27</v>
      </c>
      <c r="E595" s="295">
        <f t="shared" si="9"/>
        <v>0.72185356128317046</v>
      </c>
      <c r="F595" s="295">
        <f>VLOOKUP($B595,'Mother mortality'!$A$23:$I$124,5)</f>
        <v>8.146438716829487E-3</v>
      </c>
      <c r="G595" s="295">
        <f t="shared" si="33"/>
        <v>0.14000000000000001</v>
      </c>
      <c r="H595" s="295">
        <f t="shared" si="10"/>
        <v>0.85185356128317047</v>
      </c>
      <c r="I595" s="295">
        <f>VLOOKUP($B595,'Mother mortality'!$A$23:$I$124,4)</f>
        <v>5.4771800734428047E-3</v>
      </c>
      <c r="J595" s="295">
        <f t="shared" si="11"/>
        <v>0.42309424849798583</v>
      </c>
      <c r="K595" s="295">
        <f t="shared" si="34"/>
        <v>0.5714285714285714</v>
      </c>
      <c r="L595" s="295">
        <f>VLOOKUP($B595,'Mother mortality'!$A$23:$I$124,4)</f>
        <v>5.4771800734428047E-3</v>
      </c>
      <c r="M595" s="295">
        <f t="shared" si="35"/>
        <v>8.6261668788331098E-3</v>
      </c>
      <c r="N595" s="295">
        <f t="shared" si="12"/>
        <v>0.98589665304772411</v>
      </c>
      <c r="O595" s="294"/>
      <c r="P595" s="296">
        <f t="shared" si="20"/>
        <v>399.73595018372748</v>
      </c>
      <c r="Q595" s="297">
        <f t="shared" si="21"/>
        <v>110.02814913732617</v>
      </c>
      <c r="R595" s="297">
        <f t="shared" si="22"/>
        <v>15.696784589250543</v>
      </c>
      <c r="S595" s="297">
        <f t="shared" si="23"/>
        <v>386.10682781225648</v>
      </c>
      <c r="T595" s="297">
        <f t="shared" si="24"/>
        <v>88.432288277439255</v>
      </c>
      <c r="U595" s="294">
        <f t="shared" si="13"/>
        <v>1000</v>
      </c>
      <c r="V595" s="295" t="str">
        <f t="shared" si="36"/>
        <v>OKAY</v>
      </c>
      <c r="W595" s="295"/>
      <c r="X595" s="296">
        <f>SUM($P595:$Q595)-(SUM($P595:$Q595)*(VLOOKUP($B595,Lifetime_morbidity_array!$A$6:$Y$24,4)+VLOOKUP($B595,Lifetime_morbidity_array!$A$6:$Y$24,7)+VLOOKUP($B595,Lifetime_morbidity_array!$A$6:$Y$24,10)+VLOOKUP($B595,Lifetime_morbidity_array!$A$6:$Y$24,13)))</f>
        <v>204.16496856320117</v>
      </c>
      <c r="Y595" s="297">
        <f>SUM($R595:$S595)-(SUM($R595:$S595)*(VLOOKUP($B595,Lifetime_morbidity_array!$A$6:$Y$24,3)+VLOOKUP($B595,Lifetime_morbidity_array!$A$6:$Y$24,6)+VLOOKUP($B595,Lifetime_morbidity_array!$A$6:$Y$24,9)+VLOOKUP($B595,Lifetime_morbidity_array!$A$6:$Y$24,12)))</f>
        <v>293.13481670936136</v>
      </c>
      <c r="Z595" s="297">
        <f>(SUM($P595:$Q595)*VLOOKUP($B595,Lifetime_morbidity_array!$A$6:$Y$24,4))+(SUM($R595:$S595)*VLOOKUP($B595,Lifetime_morbidity_array!$A$6:$Y$24,3))</f>
        <v>179.15149292845288</v>
      </c>
      <c r="AA595" s="297">
        <f>(SUM($P595:$Q595)*VLOOKUP($B595,Lifetime_morbidity_array!$A$6:$Y$24,7))+(SUM($R595:$S595)*VLOOKUP($B595,Lifetime_morbidity_array!$A$6:$Y$24,6))</f>
        <v>165.10520717312372</v>
      </c>
      <c r="AB595" s="297">
        <f>(SUM($P595:$Q595)*VLOOKUP($B595,Lifetime_morbidity_array!$A$6:$Y$24,10))+(SUM($R595:$S595)*VLOOKUP($B595,Lifetime_morbidity_array!$A$6:$Y$24,9))</f>
        <v>8.9218078372304959</v>
      </c>
      <c r="AC595" s="297">
        <f>(SUM($P595:$Q595)*VLOOKUP($B595,Lifetime_morbidity_array!$A$6:$Y$24,13))+(SUM($R595:$S595)*VLOOKUP($B595,Lifetime_morbidity_array!$A$6:$Y$24,12))</f>
        <v>61.089418511191106</v>
      </c>
      <c r="AD595" s="294"/>
      <c r="AE595" s="294">
        <f t="shared" si="25"/>
        <v>67</v>
      </c>
      <c r="AF595" s="297">
        <f t="shared" si="42"/>
        <v>230.23690687625924</v>
      </c>
      <c r="AG595" s="297">
        <f t="shared" si="27"/>
        <v>21689.555640302995</v>
      </c>
      <c r="AH595" s="294"/>
      <c r="AI595" s="294">
        <f t="shared" si="28"/>
        <v>67</v>
      </c>
      <c r="AJ595" s="295">
        <f>((VLOOKUP($B595,'Mahawesran Tariff'!$A$21:$M$120,7)*$X595)+(VLOOKUP($B595,'Mahawesran Tariff'!$A$21:$M$120,6)*$Y595)+(DET_UTIL_chd*$Z595)+(DET_UTIL_copd*$AA595)+(DET_UTIL_lc*$AB595)+(DET_UTIL_stroke*$AC595))/((1+Discount_rate_QALYs)^$A595)</f>
        <v>189.91027118931015</v>
      </c>
      <c r="AK595" s="295">
        <f t="shared" si="29"/>
        <v>20319.978914569558</v>
      </c>
      <c r="AL595" s="294"/>
      <c r="AM595" s="294">
        <f t="shared" si="14"/>
        <v>67</v>
      </c>
      <c r="AN595" s="299">
        <f t="shared" si="40"/>
        <v>475111.93147535925</v>
      </c>
      <c r="AO595" s="299">
        <f t="shared" si="30"/>
        <v>10462434.701654742</v>
      </c>
      <c r="AP595" s="294"/>
      <c r="AQ595" s="294">
        <f t="shared" si="16"/>
        <v>67</v>
      </c>
      <c r="AR595" s="298">
        <f t="shared" si="37"/>
        <v>0.91156771172256068</v>
      </c>
      <c r="AS595" s="298">
        <f t="shared" si="38"/>
        <v>8.843228827743925E-2</v>
      </c>
      <c r="AT595" s="298">
        <f t="shared" si="39"/>
        <v>0.41426792644999827</v>
      </c>
      <c r="AU595" s="250"/>
      <c r="AV595" s="294">
        <f t="shared" si="17"/>
        <v>67</v>
      </c>
      <c r="AW595" s="299">
        <f t="shared" si="41"/>
        <v>475111.93147535925</v>
      </c>
      <c r="AX595" s="299">
        <f t="shared" si="31"/>
        <v>10462434.701654742</v>
      </c>
      <c r="AY595" s="335"/>
      <c r="AZ595" s="335"/>
      <c r="BA595" s="335"/>
      <c r="BB595" s="335"/>
      <c r="BC595" s="335"/>
      <c r="BD595" s="335"/>
      <c r="BE595" s="335"/>
      <c r="BF595" s="335"/>
      <c r="BG595" s="335"/>
      <c r="BH595" s="335"/>
      <c r="BI595" s="335"/>
      <c r="BJ595" s="335"/>
      <c r="BK595" s="364"/>
      <c r="BL595" s="364"/>
      <c r="BM595" s="364"/>
      <c r="BN595" s="364"/>
      <c r="BO595" s="364"/>
      <c r="BP595" s="364"/>
      <c r="BQ595" s="335"/>
      <c r="BR595" s="335"/>
      <c r="BS595" s="364"/>
      <c r="BT595" s="364"/>
      <c r="BU595" s="364"/>
      <c r="BV595" s="364"/>
      <c r="BW595" s="364"/>
      <c r="BX595" s="364"/>
      <c r="BY595" s="335"/>
      <c r="BZ595" s="335"/>
      <c r="CA595" s="364"/>
      <c r="CB595" s="364"/>
      <c r="CC595" s="335"/>
      <c r="CD595" s="335"/>
      <c r="CE595" s="335"/>
      <c r="CF595" s="335"/>
      <c r="CG595" s="335"/>
      <c r="CH595" s="335"/>
      <c r="CI595" s="365"/>
      <c r="CJ595" s="365"/>
      <c r="CK595" s="335"/>
      <c r="CL595" s="335"/>
      <c r="CM595" s="366"/>
      <c r="CN595" s="366"/>
      <c r="CO595" s="366"/>
      <c r="CP595" s="3"/>
    </row>
    <row r="596" spans="1:94" x14ac:dyDescent="0.25">
      <c r="A596" s="34">
        <v>41</v>
      </c>
      <c r="B596" s="33">
        <f t="shared" si="19"/>
        <v>68</v>
      </c>
      <c r="C596" s="294">
        <f>VLOOKUP($B596,'Mother mortality'!$A$23:$I$124,5)</f>
        <v>8.8475472874662252E-3</v>
      </c>
      <c r="D596" s="295">
        <f t="shared" si="32"/>
        <v>0.27</v>
      </c>
      <c r="E596" s="295">
        <f t="shared" si="9"/>
        <v>0.72115245271253381</v>
      </c>
      <c r="F596" s="295">
        <f>VLOOKUP($B596,'Mother mortality'!$A$23:$I$124,5)</f>
        <v>8.8475472874662252E-3</v>
      </c>
      <c r="G596" s="295">
        <f t="shared" si="33"/>
        <v>0.14000000000000001</v>
      </c>
      <c r="H596" s="295">
        <f t="shared" si="10"/>
        <v>0.85115245271253381</v>
      </c>
      <c r="I596" s="295">
        <f>VLOOKUP($B596,'Mother mortality'!$A$23:$I$124,4)</f>
        <v>5.9485637081687819E-3</v>
      </c>
      <c r="J596" s="295">
        <f t="shared" si="11"/>
        <v>0.42262286486325984</v>
      </c>
      <c r="K596" s="295">
        <f t="shared" si="34"/>
        <v>0.5714285714285714</v>
      </c>
      <c r="L596" s="295">
        <f>VLOOKUP($B596,'Mother mortality'!$A$23:$I$124,4)</f>
        <v>5.9485637081687819E-3</v>
      </c>
      <c r="M596" s="295">
        <f t="shared" si="35"/>
        <v>8.6261668788331098E-3</v>
      </c>
      <c r="N596" s="295">
        <f t="shared" si="12"/>
        <v>0.98542526941299813</v>
      </c>
      <c r="O596" s="294"/>
      <c r="P596" s="296">
        <f t="shared" si="20"/>
        <v>391.88573192004191</v>
      </c>
      <c r="Q596" s="297">
        <f t="shared" si="21"/>
        <v>107.92870654960643</v>
      </c>
      <c r="R596" s="297">
        <f t="shared" si="22"/>
        <v>15.403940879225665</v>
      </c>
      <c r="S596" s="297">
        <f t="shared" si="23"/>
        <v>389.44901601294839</v>
      </c>
      <c r="T596" s="297">
        <f t="shared" si="24"/>
        <v>95.332604638177628</v>
      </c>
      <c r="U596" s="294">
        <f t="shared" si="13"/>
        <v>1000</v>
      </c>
      <c r="V596" s="295" t="str">
        <f t="shared" si="36"/>
        <v>OKAY</v>
      </c>
      <c r="W596" s="295"/>
      <c r="X596" s="296">
        <f>SUM($P596:$Q596)-(SUM($P596:$Q596)*(VLOOKUP($B596,Lifetime_morbidity_array!$A$6:$Y$24,4)+VLOOKUP($B596,Lifetime_morbidity_array!$A$6:$Y$24,7)+VLOOKUP($B596,Lifetime_morbidity_array!$A$6:$Y$24,10)+VLOOKUP($B596,Lifetime_morbidity_array!$A$6:$Y$24,13)))</f>
        <v>200.18004259911851</v>
      </c>
      <c r="Y596" s="297">
        <f>SUM($R596:$S596)-(SUM($R596:$S596)*(VLOOKUP($B596,Lifetime_morbidity_array!$A$6:$Y$24,3)+VLOOKUP($B596,Lifetime_morbidity_array!$A$6:$Y$24,6)+VLOOKUP($B596,Lifetime_morbidity_array!$A$6:$Y$24,9)+VLOOKUP($B596,Lifetime_morbidity_array!$A$6:$Y$24,12)))</f>
        <v>295.35945832722257</v>
      </c>
      <c r="Z596" s="297">
        <f>(SUM($P596:$Q596)*VLOOKUP($B596,Lifetime_morbidity_array!$A$6:$Y$24,4))+(SUM($R596:$S596)*VLOOKUP($B596,Lifetime_morbidity_array!$A$6:$Y$24,3))</f>
        <v>176.97600242681926</v>
      </c>
      <c r="AA596" s="297">
        <f>(SUM($P596:$Q596)*VLOOKUP($B596,Lifetime_morbidity_array!$A$6:$Y$24,7))+(SUM($R596:$S596)*VLOOKUP($B596,Lifetime_morbidity_array!$A$6:$Y$24,6))</f>
        <v>162.96406532285391</v>
      </c>
      <c r="AB596" s="297">
        <f>(SUM($P596:$Q596)*VLOOKUP($B596,Lifetime_morbidity_array!$A$6:$Y$24,10))+(SUM($R596:$S596)*VLOOKUP($B596,Lifetime_morbidity_array!$A$6:$Y$24,9))</f>
        <v>8.7923539953444916</v>
      </c>
      <c r="AC596" s="297">
        <f>(SUM($P596:$Q596)*VLOOKUP($B596,Lifetime_morbidity_array!$A$6:$Y$24,13))+(SUM($R596:$S596)*VLOOKUP($B596,Lifetime_morbidity_array!$A$6:$Y$24,12))</f>
        <v>60.395472690463635</v>
      </c>
      <c r="AD596" s="294"/>
      <c r="AE596" s="294">
        <f t="shared" si="25"/>
        <v>68</v>
      </c>
      <c r="AF596" s="297">
        <f t="shared" si="42"/>
        <v>220.76722409826485</v>
      </c>
      <c r="AG596" s="297">
        <f t="shared" si="27"/>
        <v>21910.32286440126</v>
      </c>
      <c r="AH596" s="294"/>
      <c r="AI596" s="294">
        <f t="shared" si="28"/>
        <v>68</v>
      </c>
      <c r="AJ596" s="295">
        <f>((VLOOKUP($B596,'Mahawesran Tariff'!$A$21:$M$120,7)*$X596)+(VLOOKUP($B596,'Mahawesran Tariff'!$A$21:$M$120,6)*$Y596)+(DET_UTIL_chd*$Z596)+(DET_UTIL_copd*$AA596)+(DET_UTIL_lc*$AB596)+(DET_UTIL_stroke*$AC596))/((1+Discount_rate_QALYs)^$A596)</f>
        <v>182.20011528045441</v>
      </c>
      <c r="AK596" s="295">
        <f t="shared" si="29"/>
        <v>20502.179029850013</v>
      </c>
      <c r="AL596" s="294"/>
      <c r="AM596" s="294">
        <f t="shared" si="14"/>
        <v>68</v>
      </c>
      <c r="AN596" s="299">
        <f t="shared" si="40"/>
        <v>453647.58878376329</v>
      </c>
      <c r="AO596" s="299">
        <f t="shared" si="30"/>
        <v>10916082.290438505</v>
      </c>
      <c r="AP596" s="294"/>
      <c r="AQ596" s="294">
        <f t="shared" si="16"/>
        <v>68</v>
      </c>
      <c r="AR596" s="298">
        <f t="shared" si="37"/>
        <v>0.90466739536182239</v>
      </c>
      <c r="AS596" s="298">
        <f t="shared" si="38"/>
        <v>9.5332604638177623E-2</v>
      </c>
      <c r="AT596" s="298">
        <f t="shared" si="39"/>
        <v>0.40912789443548131</v>
      </c>
      <c r="AU596" s="250"/>
      <c r="AV596" s="294">
        <f t="shared" si="17"/>
        <v>68</v>
      </c>
      <c r="AW596" s="299">
        <f t="shared" si="41"/>
        <v>453647.58878376329</v>
      </c>
      <c r="AX596" s="299">
        <f t="shared" si="31"/>
        <v>10916082.290438505</v>
      </c>
      <c r="AY596" s="335"/>
      <c r="AZ596" s="335"/>
      <c r="BA596" s="335"/>
      <c r="BB596" s="335"/>
      <c r="BC596" s="335"/>
      <c r="BD596" s="335"/>
      <c r="BE596" s="335"/>
      <c r="BF596" s="335"/>
      <c r="BG596" s="335"/>
      <c r="BH596" s="335"/>
      <c r="BI596" s="335"/>
      <c r="BJ596" s="335"/>
      <c r="BK596" s="364"/>
      <c r="BL596" s="364"/>
      <c r="BM596" s="364"/>
      <c r="BN596" s="364"/>
      <c r="BO596" s="364"/>
      <c r="BP596" s="364"/>
      <c r="BQ596" s="335"/>
      <c r="BR596" s="335"/>
      <c r="BS596" s="364"/>
      <c r="BT596" s="364"/>
      <c r="BU596" s="364"/>
      <c r="BV596" s="364"/>
      <c r="BW596" s="364"/>
      <c r="BX596" s="364"/>
      <c r="BY596" s="335"/>
      <c r="BZ596" s="335"/>
      <c r="CA596" s="364"/>
      <c r="CB596" s="364"/>
      <c r="CC596" s="335"/>
      <c r="CD596" s="335"/>
      <c r="CE596" s="335"/>
      <c r="CF596" s="335"/>
      <c r="CG596" s="335"/>
      <c r="CH596" s="335"/>
      <c r="CI596" s="365"/>
      <c r="CJ596" s="365"/>
      <c r="CK596" s="335"/>
      <c r="CL596" s="335"/>
      <c r="CM596" s="366"/>
      <c r="CN596" s="366"/>
      <c r="CO596" s="366"/>
      <c r="CP596" s="3"/>
    </row>
    <row r="597" spans="1:94" x14ac:dyDescent="0.25">
      <c r="A597" s="34">
        <v>42</v>
      </c>
      <c r="B597" s="33">
        <f t="shared" si="19"/>
        <v>69</v>
      </c>
      <c r="C597" s="294">
        <f>VLOOKUP($B597,'Mother mortality'!$A$23:$I$124,5)</f>
        <v>9.6556294602646725E-3</v>
      </c>
      <c r="D597" s="295">
        <f t="shared" si="32"/>
        <v>0.27</v>
      </c>
      <c r="E597" s="295">
        <f t="shared" si="9"/>
        <v>0.72034437053973532</v>
      </c>
      <c r="F597" s="295">
        <f>VLOOKUP($B597,'Mother mortality'!$A$23:$I$124,5)</f>
        <v>9.6556294602646725E-3</v>
      </c>
      <c r="G597" s="295">
        <f t="shared" si="33"/>
        <v>0.14000000000000001</v>
      </c>
      <c r="H597" s="295">
        <f t="shared" si="10"/>
        <v>0.85034437053973533</v>
      </c>
      <c r="I597" s="295">
        <f>VLOOKUP($B597,'Mother mortality'!$A$23:$I$124,4)</f>
        <v>6.4918700200928435E-3</v>
      </c>
      <c r="J597" s="295">
        <f t="shared" si="11"/>
        <v>0.42207955855133572</v>
      </c>
      <c r="K597" s="295">
        <f t="shared" si="34"/>
        <v>0.5714285714285714</v>
      </c>
      <c r="L597" s="295">
        <f>VLOOKUP($B597,'Mother mortality'!$A$23:$I$124,4)</f>
        <v>6.4918700200928435E-3</v>
      </c>
      <c r="M597" s="295">
        <f t="shared" si="35"/>
        <v>8.6261668788331098E-3</v>
      </c>
      <c r="N597" s="295">
        <f t="shared" si="12"/>
        <v>0.98488196310107401</v>
      </c>
      <c r="O597" s="294"/>
      <c r="P597" s="296">
        <f t="shared" si="20"/>
        <v>383.9303896867184</v>
      </c>
      <c r="Q597" s="297">
        <f t="shared" si="21"/>
        <v>105.80914761841132</v>
      </c>
      <c r="R597" s="297">
        <f t="shared" si="22"/>
        <v>15.110018916944902</v>
      </c>
      <c r="S597" s="297">
        <f t="shared" si="23"/>
        <v>392.36356334960027</v>
      </c>
      <c r="T597" s="297">
        <f t="shared" si="24"/>
        <v>102.78688042832505</v>
      </c>
      <c r="U597" s="294">
        <f t="shared" si="13"/>
        <v>1000</v>
      </c>
      <c r="V597" s="295" t="str">
        <f t="shared" si="36"/>
        <v>OKAY</v>
      </c>
      <c r="W597" s="295"/>
      <c r="X597" s="296">
        <f>SUM($P597:$Q597)-(SUM($P597:$Q597)*(VLOOKUP($B597,Lifetime_morbidity_array!$A$6:$Y$24,4)+VLOOKUP($B597,Lifetime_morbidity_array!$A$6:$Y$24,7)+VLOOKUP($B597,Lifetime_morbidity_array!$A$6:$Y$24,10)+VLOOKUP($B597,Lifetime_morbidity_array!$A$6:$Y$24,13)))</f>
        <v>196.14495679713502</v>
      </c>
      <c r="Y597" s="297">
        <f>SUM($R597:$S597)-(SUM($R597:$S597)*(VLOOKUP($B597,Lifetime_morbidity_array!$A$6:$Y$24,3)+VLOOKUP($B597,Lifetime_morbidity_array!$A$6:$Y$24,6)+VLOOKUP($B597,Lifetime_morbidity_array!$A$6:$Y$24,9)+VLOOKUP($B597,Lifetime_morbidity_array!$A$6:$Y$24,12)))</f>
        <v>297.27132899007904</v>
      </c>
      <c r="Z597" s="297">
        <f>(SUM($P597:$Q597)*VLOOKUP($B597,Lifetime_morbidity_array!$A$6:$Y$24,4))+(SUM($R597:$S597)*VLOOKUP($B597,Lifetime_morbidity_array!$A$6:$Y$24,3))</f>
        <v>174.71646687754017</v>
      </c>
      <c r="AA597" s="297">
        <f>(SUM($P597:$Q597)*VLOOKUP($B597,Lifetime_morbidity_array!$A$6:$Y$24,7))+(SUM($R597:$S597)*VLOOKUP($B597,Lifetime_morbidity_array!$A$6:$Y$24,6))</f>
        <v>160.74959515138883</v>
      </c>
      <c r="AB597" s="297">
        <f>(SUM($P597:$Q597)*VLOOKUP($B597,Lifetime_morbidity_array!$A$6:$Y$24,10))+(SUM($R597:$S597)*VLOOKUP($B597,Lifetime_morbidity_array!$A$6:$Y$24,9))</f>
        <v>8.6593543866226597</v>
      </c>
      <c r="AC597" s="297">
        <f>(SUM($P597:$Q597)*VLOOKUP($B597,Lifetime_morbidity_array!$A$6:$Y$24,13))+(SUM($R597:$S597)*VLOOKUP($B597,Lifetime_morbidity_array!$A$6:$Y$24,12))</f>
        <v>59.671417368909232</v>
      </c>
      <c r="AD597" s="294"/>
      <c r="AE597" s="294">
        <f t="shared" si="25"/>
        <v>69</v>
      </c>
      <c r="AF597" s="297">
        <f t="shared" si="42"/>
        <v>211.5441033459669</v>
      </c>
      <c r="AG597" s="297">
        <f t="shared" si="27"/>
        <v>22121.866967747228</v>
      </c>
      <c r="AH597" s="294"/>
      <c r="AI597" s="294">
        <f t="shared" si="28"/>
        <v>69</v>
      </c>
      <c r="AJ597" s="295">
        <f>((VLOOKUP($B597,'Mahawesran Tariff'!$A$21:$M$120,7)*$X597)+(VLOOKUP($B597,'Mahawesran Tariff'!$A$21:$M$120,6)*$Y597)+(DET_UTIL_chd*$Z597)+(DET_UTIL_copd*$AA597)+(DET_UTIL_lc*$AB597)+(DET_UTIL_stroke*$AC597))/((1+Discount_rate_QALYs)^$A597)</f>
        <v>174.68355890469024</v>
      </c>
      <c r="AK597" s="295">
        <f t="shared" si="29"/>
        <v>20676.862588754702</v>
      </c>
      <c r="AL597" s="294"/>
      <c r="AM597" s="294">
        <f t="shared" si="14"/>
        <v>69</v>
      </c>
      <c r="AN597" s="299">
        <f t="shared" si="40"/>
        <v>432878.38858735946</v>
      </c>
      <c r="AO597" s="299">
        <f t="shared" si="30"/>
        <v>11348960.679025864</v>
      </c>
      <c r="AP597" s="294"/>
      <c r="AQ597" s="294">
        <f t="shared" si="16"/>
        <v>69</v>
      </c>
      <c r="AR597" s="298">
        <f t="shared" si="37"/>
        <v>0.89721311957167493</v>
      </c>
      <c r="AS597" s="298">
        <f t="shared" si="38"/>
        <v>0.10278688042832505</v>
      </c>
      <c r="AT597" s="298">
        <f t="shared" si="39"/>
        <v>0.40379683378446091</v>
      </c>
      <c r="AU597" s="250"/>
      <c r="AV597" s="294">
        <f t="shared" si="17"/>
        <v>69</v>
      </c>
      <c r="AW597" s="299">
        <f t="shared" si="41"/>
        <v>432878.38858735946</v>
      </c>
      <c r="AX597" s="299">
        <f t="shared" si="31"/>
        <v>11348960.679025864</v>
      </c>
      <c r="AY597" s="335"/>
      <c r="AZ597" s="335"/>
      <c r="BA597" s="335"/>
      <c r="BB597" s="335"/>
      <c r="BC597" s="335"/>
      <c r="BD597" s="335"/>
      <c r="BE597" s="335"/>
      <c r="BF597" s="335"/>
      <c r="BG597" s="335"/>
      <c r="BH597" s="335"/>
      <c r="BI597" s="335"/>
      <c r="BJ597" s="335"/>
      <c r="BK597" s="364"/>
      <c r="BL597" s="364"/>
      <c r="BM597" s="364"/>
      <c r="BN597" s="364"/>
      <c r="BO597" s="364"/>
      <c r="BP597" s="364"/>
      <c r="BQ597" s="335"/>
      <c r="BR597" s="335"/>
      <c r="BS597" s="364"/>
      <c r="BT597" s="364"/>
      <c r="BU597" s="364"/>
      <c r="BV597" s="364"/>
      <c r="BW597" s="364"/>
      <c r="BX597" s="364"/>
      <c r="BY597" s="335"/>
      <c r="BZ597" s="335"/>
      <c r="CA597" s="364"/>
      <c r="CB597" s="364"/>
      <c r="CC597" s="335"/>
      <c r="CD597" s="335"/>
      <c r="CE597" s="335"/>
      <c r="CF597" s="335"/>
      <c r="CG597" s="335"/>
      <c r="CH597" s="335"/>
      <c r="CI597" s="365"/>
      <c r="CJ597" s="365"/>
      <c r="CK597" s="335"/>
      <c r="CL597" s="335"/>
      <c r="CM597" s="366"/>
      <c r="CN597" s="366"/>
      <c r="CO597" s="366"/>
      <c r="CP597" s="3"/>
    </row>
    <row r="598" spans="1:94" x14ac:dyDescent="0.25">
      <c r="A598" s="34">
        <v>43</v>
      </c>
      <c r="B598" s="33">
        <f t="shared" si="19"/>
        <v>70</v>
      </c>
      <c r="C598" s="294">
        <f>VLOOKUP($B598,'Mother mortality'!$A$23:$I$124,5)</f>
        <v>1.0508487493937506E-2</v>
      </c>
      <c r="D598" s="295">
        <f t="shared" si="32"/>
        <v>0.27</v>
      </c>
      <c r="E598" s="295">
        <f t="shared" si="9"/>
        <v>0.71949151250606247</v>
      </c>
      <c r="F598" s="295">
        <f>VLOOKUP($B598,'Mother mortality'!$A$23:$I$124,5)</f>
        <v>1.0508487493937506E-2</v>
      </c>
      <c r="G598" s="295">
        <f t="shared" si="33"/>
        <v>0.14000000000000001</v>
      </c>
      <c r="H598" s="295">
        <f t="shared" si="10"/>
        <v>0.84949151250606247</v>
      </c>
      <c r="I598" s="295">
        <f>VLOOKUP($B598,'Mother mortality'!$A$23:$I$124,4)</f>
        <v>7.0652809533707488E-3</v>
      </c>
      <c r="J598" s="295">
        <f t="shared" si="11"/>
        <v>0.42150614761805782</v>
      </c>
      <c r="K598" s="295">
        <f t="shared" si="34"/>
        <v>0.5714285714285714</v>
      </c>
      <c r="L598" s="295">
        <f>VLOOKUP($B598,'Mother mortality'!$A$23:$I$124,4)</f>
        <v>7.0652809533707488E-3</v>
      </c>
      <c r="M598" s="295">
        <f t="shared" si="35"/>
        <v>8.6261668788331098E-3</v>
      </c>
      <c r="N598" s="295">
        <f t="shared" si="12"/>
        <v>0.98430855216779611</v>
      </c>
      <c r="O598" s="294"/>
      <c r="P598" s="296">
        <f t="shared" si="20"/>
        <v>375.87218905882514</v>
      </c>
      <c r="Q598" s="297">
        <f t="shared" si="21"/>
        <v>103.66120521541397</v>
      </c>
      <c r="R598" s="297">
        <f t="shared" si="22"/>
        <v>14.813280666577585</v>
      </c>
      <c r="S598" s="297">
        <f t="shared" si="23"/>
        <v>394.84110748801095</v>
      </c>
      <c r="T598" s="297">
        <f t="shared" si="24"/>
        <v>110.81221757117231</v>
      </c>
      <c r="U598" s="294">
        <f t="shared" si="13"/>
        <v>1000</v>
      </c>
      <c r="V598" s="295" t="str">
        <f t="shared" si="36"/>
        <v>OKAY</v>
      </c>
      <c r="W598" s="295"/>
      <c r="X598" s="296">
        <f>SUM($P598:$Q598)-(SUM($P598:$Q598)*(VLOOKUP($B598,Lifetime_morbidity_array!$A$6:$Y$24,4)+VLOOKUP($B598,Lifetime_morbidity_array!$A$6:$Y$24,7)+VLOOKUP($B598,Lifetime_morbidity_array!$A$6:$Y$24,10)+VLOOKUP($B598,Lifetime_morbidity_array!$A$6:$Y$24,13)))</f>
        <v>166.66471835634047</v>
      </c>
      <c r="Y598" s="297">
        <f>SUM($R598:$S598)-(SUM($R598:$S598)*(VLOOKUP($B598,Lifetime_morbidity_array!$A$6:$Y$24,3)+VLOOKUP($B598,Lifetime_morbidity_array!$A$6:$Y$24,6)+VLOOKUP($B598,Lifetime_morbidity_array!$A$6:$Y$24,9)+VLOOKUP($B598,Lifetime_morbidity_array!$A$6:$Y$24,12)))</f>
        <v>290.1104226005512</v>
      </c>
      <c r="Z598" s="297">
        <f>(SUM($P598:$Q598)*VLOOKUP($B598,Lifetime_morbidity_array!$A$6:$Y$24,4))+(SUM($R598:$S598)*VLOOKUP($B598,Lifetime_morbidity_array!$A$6:$Y$24,3))</f>
        <v>172.01706281623541</v>
      </c>
      <c r="AA598" s="297">
        <f>(SUM($P598:$Q598)*VLOOKUP($B598,Lifetime_morbidity_array!$A$6:$Y$24,7))+(SUM($R598:$S598)*VLOOKUP($B598,Lifetime_morbidity_array!$A$6:$Y$24,6))</f>
        <v>192.99394775735877</v>
      </c>
      <c r="AB598" s="297">
        <f>(SUM($P598:$Q598)*VLOOKUP($B598,Lifetime_morbidity_array!$A$6:$Y$24,10))+(SUM($R598:$S598)*VLOOKUP($B598,Lifetime_morbidity_array!$A$6:$Y$24,9))</f>
        <v>8.5128295698369243</v>
      </c>
      <c r="AC598" s="297">
        <f>(SUM($P598:$Q598)*VLOOKUP($B598,Lifetime_morbidity_array!$A$6:$Y$24,13))+(SUM($R598:$S598)*VLOOKUP($B598,Lifetime_morbidity_array!$A$6:$Y$24,12))</f>
        <v>58.888801328504911</v>
      </c>
      <c r="AD598" s="294"/>
      <c r="AE598" s="294">
        <f t="shared" si="25"/>
        <v>70</v>
      </c>
      <c r="AF598" s="297">
        <f t="shared" si="42"/>
        <v>202.56221890218984</v>
      </c>
      <c r="AG598" s="297">
        <f t="shared" si="27"/>
        <v>22324.429186649417</v>
      </c>
      <c r="AH598" s="294"/>
      <c r="AI598" s="294">
        <f t="shared" si="28"/>
        <v>70</v>
      </c>
      <c r="AJ598" s="295">
        <f>((VLOOKUP($B598,'Mahawesran Tariff'!$A$21:$M$120,7)*$X598)+(VLOOKUP($B598,'Mahawesran Tariff'!$A$21:$M$120,6)*$Y598)+(DET_UTIL_chd*$Z598)+(DET_UTIL_copd*$AA598)+(DET_UTIL_lc*$AB598)+(DET_UTIL_stroke*$AC598))/((1+Discount_rate_QALYs)^$A598)</f>
        <v>166.02989657238527</v>
      </c>
      <c r="AK598" s="295">
        <f t="shared" si="29"/>
        <v>20842.892485327087</v>
      </c>
      <c r="AL598" s="294"/>
      <c r="AM598" s="294">
        <f t="shared" si="14"/>
        <v>70</v>
      </c>
      <c r="AN598" s="299">
        <f t="shared" si="40"/>
        <v>419114.19392625161</v>
      </c>
      <c r="AO598" s="299">
        <f t="shared" si="30"/>
        <v>11768074.872952117</v>
      </c>
      <c r="AP598" s="294"/>
      <c r="AQ598" s="294">
        <f t="shared" si="16"/>
        <v>70</v>
      </c>
      <c r="AR598" s="298">
        <f t="shared" si="37"/>
        <v>0.88918778242882768</v>
      </c>
      <c r="AS598" s="298">
        <f t="shared" si="38"/>
        <v>0.11081221757117231</v>
      </c>
      <c r="AT598" s="298">
        <f t="shared" si="39"/>
        <v>0.43241264147193603</v>
      </c>
      <c r="AU598" s="250"/>
      <c r="AV598" s="294">
        <f t="shared" si="17"/>
        <v>70</v>
      </c>
      <c r="AW598" s="299">
        <f t="shared" si="41"/>
        <v>419114.19392625161</v>
      </c>
      <c r="AX598" s="299">
        <f t="shared" si="31"/>
        <v>11768074.872952117</v>
      </c>
      <c r="AY598" s="335"/>
      <c r="AZ598" s="335"/>
      <c r="BA598" s="335"/>
      <c r="BB598" s="335"/>
      <c r="BC598" s="335"/>
      <c r="BD598" s="335"/>
      <c r="BE598" s="335"/>
      <c r="BF598" s="335"/>
      <c r="BG598" s="335"/>
      <c r="BH598" s="335"/>
      <c r="BI598" s="335"/>
      <c r="BJ598" s="335"/>
      <c r="BK598" s="364"/>
      <c r="BL598" s="364"/>
      <c r="BM598" s="364"/>
      <c r="BN598" s="364"/>
      <c r="BO598" s="364"/>
      <c r="BP598" s="364"/>
      <c r="BQ598" s="335"/>
      <c r="BR598" s="335"/>
      <c r="BS598" s="364"/>
      <c r="BT598" s="364"/>
      <c r="BU598" s="364"/>
      <c r="BV598" s="364"/>
      <c r="BW598" s="364"/>
      <c r="BX598" s="364"/>
      <c r="BY598" s="335"/>
      <c r="BZ598" s="335"/>
      <c r="CA598" s="364"/>
      <c r="CB598" s="364"/>
      <c r="CC598" s="335"/>
      <c r="CD598" s="335"/>
      <c r="CE598" s="335"/>
      <c r="CF598" s="335"/>
      <c r="CG598" s="335"/>
      <c r="CH598" s="335"/>
      <c r="CI598" s="365"/>
      <c r="CJ598" s="365"/>
      <c r="CK598" s="335"/>
      <c r="CL598" s="335"/>
      <c r="CM598" s="366"/>
      <c r="CN598" s="366"/>
      <c r="CO598" s="366"/>
      <c r="CP598" s="3"/>
    </row>
    <row r="599" spans="1:94" x14ac:dyDescent="0.25">
      <c r="A599" s="34">
        <v>44</v>
      </c>
      <c r="B599" s="33">
        <f t="shared" si="19"/>
        <v>71</v>
      </c>
      <c r="C599" s="294">
        <f>VLOOKUP($B599,'Mother mortality'!$A$23:$I$124,5)</f>
        <v>1.138218665558096E-2</v>
      </c>
      <c r="D599" s="295">
        <f t="shared" si="32"/>
        <v>0.27</v>
      </c>
      <c r="E599" s="295">
        <f t="shared" si="9"/>
        <v>0.71861781334441899</v>
      </c>
      <c r="F599" s="295">
        <f>VLOOKUP($B599,'Mother mortality'!$A$23:$I$124,5)</f>
        <v>1.138218665558096E-2</v>
      </c>
      <c r="G599" s="295">
        <f t="shared" si="33"/>
        <v>0.14000000000000001</v>
      </c>
      <c r="H599" s="295">
        <f t="shared" si="10"/>
        <v>0.84861781334441899</v>
      </c>
      <c r="I599" s="295">
        <f>VLOOKUP($B599,'Mother mortality'!$A$23:$I$124,4)</f>
        <v>7.6527042194969872E-3</v>
      </c>
      <c r="J599" s="295">
        <f t="shared" si="11"/>
        <v>0.42091872435193156</v>
      </c>
      <c r="K599" s="295">
        <f t="shared" si="34"/>
        <v>0.5714285714285714</v>
      </c>
      <c r="L599" s="295">
        <f>VLOOKUP($B599,'Mother mortality'!$A$23:$I$124,4)</f>
        <v>7.6527042194969872E-3</v>
      </c>
      <c r="M599" s="295">
        <f t="shared" si="35"/>
        <v>8.6261668788331098E-3</v>
      </c>
      <c r="N599" s="295">
        <f t="shared" si="12"/>
        <v>0.98372112890166985</v>
      </c>
      <c r="O599" s="294"/>
      <c r="P599" s="296">
        <f t="shared" si="20"/>
        <v>367.71834838244251</v>
      </c>
      <c r="Q599" s="297">
        <f t="shared" si="21"/>
        <v>101.4854910458828</v>
      </c>
      <c r="R599" s="297">
        <f t="shared" si="22"/>
        <v>14.512568730157957</v>
      </c>
      <c r="S599" s="297">
        <f t="shared" si="23"/>
        <v>396.8782718043646</v>
      </c>
      <c r="T599" s="297">
        <f t="shared" si="24"/>
        <v>119.40532003715208</v>
      </c>
      <c r="U599" s="294">
        <f t="shared" si="13"/>
        <v>1000</v>
      </c>
      <c r="V599" s="295" t="str">
        <f t="shared" si="36"/>
        <v>OKAY</v>
      </c>
      <c r="W599" s="295"/>
      <c r="X599" s="296">
        <f>SUM($P599:$Q599)-(SUM($P599:$Q599)*(VLOOKUP($B599,Lifetime_morbidity_array!$A$6:$Y$24,4)+VLOOKUP($B599,Lifetime_morbidity_array!$A$6:$Y$24,7)+VLOOKUP($B599,Lifetime_morbidity_array!$A$6:$Y$24,10)+VLOOKUP($B599,Lifetime_morbidity_array!$A$6:$Y$24,13)))</f>
        <v>163.07461937742335</v>
      </c>
      <c r="Y599" s="297">
        <f>SUM($R599:$S599)-(SUM($R599:$S599)*(VLOOKUP($B599,Lifetime_morbidity_array!$A$6:$Y$24,3)+VLOOKUP($B599,Lifetime_morbidity_array!$A$6:$Y$24,6)+VLOOKUP($B599,Lifetime_morbidity_array!$A$6:$Y$24,9)+VLOOKUP($B599,Lifetime_morbidity_array!$A$6:$Y$24,12)))</f>
        <v>291.34014928805902</v>
      </c>
      <c r="Z599" s="297">
        <f>(SUM($P599:$Q599)*VLOOKUP($B599,Lifetime_morbidity_array!$A$6:$Y$24,4))+(SUM($R599:$S599)*VLOOKUP($B599,Lifetime_morbidity_array!$A$6:$Y$24,3))</f>
        <v>169.59010615275369</v>
      </c>
      <c r="AA599" s="297">
        <f>(SUM($P599:$Q599)*VLOOKUP($B599,Lifetime_morbidity_array!$A$6:$Y$24,7))+(SUM($R599:$S599)*VLOOKUP($B599,Lifetime_morbidity_array!$A$6:$Y$24,6))</f>
        <v>190.11375379992555</v>
      </c>
      <c r="AB599" s="297">
        <f>(SUM($P599:$Q599)*VLOOKUP($B599,Lifetime_morbidity_array!$A$6:$Y$24,10))+(SUM($R599:$S599)*VLOOKUP($B599,Lifetime_morbidity_array!$A$6:$Y$24,9))</f>
        <v>8.3727312825957014</v>
      </c>
      <c r="AC599" s="297">
        <f>(SUM($P599:$Q599)*VLOOKUP($B599,Lifetime_morbidity_array!$A$6:$Y$24,13))+(SUM($R599:$S599)*VLOOKUP($B599,Lifetime_morbidity_array!$A$6:$Y$24,12))</f>
        <v>58.103320062090525</v>
      </c>
      <c r="AD599" s="294"/>
      <c r="AE599" s="294">
        <f t="shared" si="25"/>
        <v>71</v>
      </c>
      <c r="AF599" s="297">
        <f t="shared" si="42"/>
        <v>193.8209270542736</v>
      </c>
      <c r="AG599" s="297">
        <f t="shared" si="27"/>
        <v>22518.250113703689</v>
      </c>
      <c r="AH599" s="294"/>
      <c r="AI599" s="294">
        <f t="shared" si="28"/>
        <v>71</v>
      </c>
      <c r="AJ599" s="295">
        <f>((VLOOKUP($B599,'Mahawesran Tariff'!$A$21:$M$120,7)*$X599)+(VLOOKUP($B599,'Mahawesran Tariff'!$A$21:$M$120,6)*$Y599)+(DET_UTIL_chd*$Z599)+(DET_UTIL_copd*$AA599)+(DET_UTIL_lc*$AB599)+(DET_UTIL_stroke*$AC599))/((1+Discount_rate_QALYs)^$A599)</f>
        <v>158.95633035157238</v>
      </c>
      <c r="AK599" s="295">
        <f t="shared" si="29"/>
        <v>21001.848815678659</v>
      </c>
      <c r="AL599" s="294"/>
      <c r="AM599" s="294">
        <f t="shared" si="14"/>
        <v>71</v>
      </c>
      <c r="AN599" s="299">
        <f t="shared" si="40"/>
        <v>399373.70414219826</v>
      </c>
      <c r="AO599" s="299">
        <f t="shared" si="30"/>
        <v>12167448.577094315</v>
      </c>
      <c r="AP599" s="294"/>
      <c r="AQ599" s="294">
        <f t="shared" si="16"/>
        <v>71</v>
      </c>
      <c r="AR599" s="298">
        <f t="shared" si="37"/>
        <v>0.8805946799628479</v>
      </c>
      <c r="AS599" s="298">
        <f t="shared" si="38"/>
        <v>0.11940532003715208</v>
      </c>
      <c r="AT599" s="298">
        <f t="shared" si="39"/>
        <v>0.42617991129736543</v>
      </c>
      <c r="AU599" s="250"/>
      <c r="AV599" s="294">
        <f t="shared" si="17"/>
        <v>71</v>
      </c>
      <c r="AW599" s="299">
        <f t="shared" si="41"/>
        <v>399373.70414219826</v>
      </c>
      <c r="AX599" s="299">
        <f t="shared" si="31"/>
        <v>12167448.577094315</v>
      </c>
      <c r="AY599" s="335"/>
      <c r="AZ599" s="335"/>
      <c r="BA599" s="335"/>
      <c r="BB599" s="335"/>
      <c r="BC599" s="335"/>
      <c r="BD599" s="335"/>
      <c r="BE599" s="335"/>
      <c r="BF599" s="335"/>
      <c r="BG599" s="335"/>
      <c r="BH599" s="335"/>
      <c r="BI599" s="335"/>
      <c r="BJ599" s="335"/>
      <c r="BK599" s="364"/>
      <c r="BL599" s="364"/>
      <c r="BM599" s="364"/>
      <c r="BN599" s="364"/>
      <c r="BO599" s="364"/>
      <c r="BP599" s="364"/>
      <c r="BQ599" s="335"/>
      <c r="BR599" s="335"/>
      <c r="BS599" s="364"/>
      <c r="BT599" s="364"/>
      <c r="BU599" s="364"/>
      <c r="BV599" s="364"/>
      <c r="BW599" s="364"/>
      <c r="BX599" s="364"/>
      <c r="BY599" s="335"/>
      <c r="BZ599" s="335"/>
      <c r="CA599" s="364"/>
      <c r="CB599" s="364"/>
      <c r="CC599" s="335"/>
      <c r="CD599" s="335"/>
      <c r="CE599" s="335"/>
      <c r="CF599" s="335"/>
      <c r="CG599" s="335"/>
      <c r="CH599" s="335"/>
      <c r="CI599" s="365"/>
      <c r="CJ599" s="365"/>
      <c r="CK599" s="335"/>
      <c r="CL599" s="335"/>
      <c r="CM599" s="366"/>
      <c r="CN599" s="366"/>
      <c r="CO599" s="366"/>
      <c r="CP599" s="3"/>
    </row>
    <row r="600" spans="1:94" x14ac:dyDescent="0.25">
      <c r="A600" s="34">
        <v>45</v>
      </c>
      <c r="B600" s="33">
        <f t="shared" si="19"/>
        <v>72</v>
      </c>
      <c r="C600" s="294">
        <f>VLOOKUP($B600,'Mother mortality'!$A$23:$I$124,5)</f>
        <v>1.2306034781403729E-2</v>
      </c>
      <c r="D600" s="295">
        <f t="shared" si="32"/>
        <v>0.27</v>
      </c>
      <c r="E600" s="295">
        <f t="shared" si="9"/>
        <v>0.7176939652185963</v>
      </c>
      <c r="F600" s="295">
        <f>VLOOKUP($B600,'Mother mortality'!$A$23:$I$124,5)</f>
        <v>1.2306034781403729E-2</v>
      </c>
      <c r="G600" s="295">
        <f t="shared" si="33"/>
        <v>0.14000000000000001</v>
      </c>
      <c r="H600" s="295">
        <f t="shared" si="10"/>
        <v>0.8476939652185963</v>
      </c>
      <c r="I600" s="295">
        <f>VLOOKUP($B600,'Mother mortality'!$A$23:$I$124,4)</f>
        <v>8.2738446615395287E-3</v>
      </c>
      <c r="J600" s="295">
        <f t="shared" si="11"/>
        <v>0.42029758390988903</v>
      </c>
      <c r="K600" s="295">
        <f t="shared" si="34"/>
        <v>0.5714285714285714</v>
      </c>
      <c r="L600" s="295">
        <f>VLOOKUP($B600,'Mother mortality'!$A$23:$I$124,4)</f>
        <v>8.2738446615395287E-3</v>
      </c>
      <c r="M600" s="295">
        <f t="shared" si="35"/>
        <v>8.6261668788331098E-3</v>
      </c>
      <c r="N600" s="295">
        <f t="shared" si="12"/>
        <v>0.98309998845962732</v>
      </c>
      <c r="O600" s="294"/>
      <c r="P600" s="296">
        <f t="shared" si="20"/>
        <v>359.46101362784805</v>
      </c>
      <c r="Q600" s="297">
        <f t="shared" si="21"/>
        <v>99.283954063259486</v>
      </c>
      <c r="R600" s="297">
        <f t="shared" si="22"/>
        <v>14.207968746423592</v>
      </c>
      <c r="S600" s="297">
        <f t="shared" si="23"/>
        <v>398.46392084798077</v>
      </c>
      <c r="T600" s="297">
        <f t="shared" si="24"/>
        <v>128.58314271448802</v>
      </c>
      <c r="U600" s="294">
        <f t="shared" si="13"/>
        <v>1000</v>
      </c>
      <c r="V600" s="295" t="str">
        <f t="shared" si="36"/>
        <v>OKAY</v>
      </c>
      <c r="W600" s="295"/>
      <c r="X600" s="296">
        <f>SUM($P600:$Q600)-(SUM($P600:$Q600)*(VLOOKUP($B600,Lifetime_morbidity_array!$A$6:$Y$24,4)+VLOOKUP($B600,Lifetime_morbidity_array!$A$6:$Y$24,7)+VLOOKUP($B600,Lifetime_morbidity_array!$A$6:$Y$24,10)+VLOOKUP($B600,Lifetime_morbidity_array!$A$6:$Y$24,13)))</f>
        <v>159.439575534342</v>
      </c>
      <c r="Y600" s="297">
        <f>SUM($R600:$S600)-(SUM($R600:$S600)*(VLOOKUP($B600,Lifetime_morbidity_array!$A$6:$Y$24,3)+VLOOKUP($B600,Lifetime_morbidity_array!$A$6:$Y$24,6)+VLOOKUP($B600,Lifetime_morbidity_array!$A$6:$Y$24,9)+VLOOKUP($B600,Lifetime_morbidity_array!$A$6:$Y$24,12)))</f>
        <v>292.24736692048458</v>
      </c>
      <c r="Z600" s="297">
        <f>(SUM($P600:$Q600)*VLOOKUP($B600,Lifetime_morbidity_array!$A$6:$Y$24,4))+(SUM($R600:$S600)*VLOOKUP($B600,Lifetime_morbidity_array!$A$6:$Y$24,3))</f>
        <v>167.07500550216923</v>
      </c>
      <c r="AA600" s="297">
        <f>(SUM($P600:$Q600)*VLOOKUP($B600,Lifetime_morbidity_array!$A$6:$Y$24,7))+(SUM($R600:$S600)*VLOOKUP($B600,Lifetime_morbidity_array!$A$6:$Y$24,6))</f>
        <v>187.13980395956389</v>
      </c>
      <c r="AB600" s="297">
        <f>(SUM($P600:$Q600)*VLOOKUP($B600,Lifetime_morbidity_array!$A$6:$Y$24,10))+(SUM($R600:$S600)*VLOOKUP($B600,Lifetime_morbidity_array!$A$6:$Y$24,9))</f>
        <v>8.2289238825539819</v>
      </c>
      <c r="AC600" s="297">
        <f>(SUM($P600:$Q600)*VLOOKUP($B600,Lifetime_morbidity_array!$A$6:$Y$24,13))+(SUM($R600:$S600)*VLOOKUP($B600,Lifetime_morbidity_array!$A$6:$Y$24,12))</f>
        <v>57.286181486398192</v>
      </c>
      <c r="AD600" s="294"/>
      <c r="AE600" s="294">
        <f t="shared" si="25"/>
        <v>72</v>
      </c>
      <c r="AF600" s="297">
        <f t="shared" si="42"/>
        <v>185.31484738396202</v>
      </c>
      <c r="AG600" s="297">
        <f t="shared" si="27"/>
        <v>22703.56496108765</v>
      </c>
      <c r="AH600" s="294"/>
      <c r="AI600" s="294">
        <f t="shared" si="28"/>
        <v>72</v>
      </c>
      <c r="AJ600" s="295">
        <f>((VLOOKUP($B600,'Mahawesran Tariff'!$A$21:$M$120,7)*$X600)+(VLOOKUP($B600,'Mahawesran Tariff'!$A$21:$M$120,6)*$Y600)+(DET_UTIL_chd*$Z600)+(DET_UTIL_copd*$AA600)+(DET_UTIL_lc*$AB600)+(DET_UTIL_stroke*$AC600))/((1+Discount_rate_QALYs)^$A600)</f>
        <v>152.06650703922722</v>
      </c>
      <c r="AK600" s="295">
        <f t="shared" si="29"/>
        <v>21153.915322717887</v>
      </c>
      <c r="AL600" s="294"/>
      <c r="AM600" s="294">
        <f t="shared" si="14"/>
        <v>72</v>
      </c>
      <c r="AN600" s="299">
        <f t="shared" si="40"/>
        <v>380283.96314020787</v>
      </c>
      <c r="AO600" s="299">
        <f t="shared" si="30"/>
        <v>12547732.540234523</v>
      </c>
      <c r="AP600" s="294"/>
      <c r="AQ600" s="294">
        <f t="shared" si="16"/>
        <v>72</v>
      </c>
      <c r="AR600" s="298">
        <f t="shared" si="37"/>
        <v>0.87141685728551188</v>
      </c>
      <c r="AS600" s="298">
        <f t="shared" si="38"/>
        <v>0.12858314271448801</v>
      </c>
      <c r="AT600" s="298">
        <f t="shared" si="39"/>
        <v>0.41972991483068528</v>
      </c>
      <c r="AU600" s="250"/>
      <c r="AV600" s="294">
        <f t="shared" si="17"/>
        <v>72</v>
      </c>
      <c r="AW600" s="299">
        <f t="shared" si="41"/>
        <v>380283.96314020787</v>
      </c>
      <c r="AX600" s="299">
        <f t="shared" si="31"/>
        <v>12547732.540234523</v>
      </c>
      <c r="AY600" s="335"/>
      <c r="AZ600" s="335"/>
      <c r="BA600" s="335"/>
      <c r="BB600" s="335"/>
      <c r="BC600" s="335"/>
      <c r="BD600" s="335"/>
      <c r="BE600" s="335"/>
      <c r="BF600" s="335"/>
      <c r="BG600" s="335"/>
      <c r="BH600" s="335"/>
      <c r="BI600" s="335"/>
      <c r="BJ600" s="335"/>
      <c r="BK600" s="364"/>
      <c r="BL600" s="364"/>
      <c r="BM600" s="364"/>
      <c r="BN600" s="364"/>
      <c r="BO600" s="364"/>
      <c r="BP600" s="364"/>
      <c r="BQ600" s="335"/>
      <c r="BR600" s="335"/>
      <c r="BS600" s="364"/>
      <c r="BT600" s="364"/>
      <c r="BU600" s="364"/>
      <c r="BV600" s="364"/>
      <c r="BW600" s="364"/>
      <c r="BX600" s="364"/>
      <c r="BY600" s="335"/>
      <c r="BZ600" s="335"/>
      <c r="CA600" s="364"/>
      <c r="CB600" s="364"/>
      <c r="CC600" s="335"/>
      <c r="CD600" s="335"/>
      <c r="CE600" s="335"/>
      <c r="CF600" s="335"/>
      <c r="CG600" s="335"/>
      <c r="CH600" s="335"/>
      <c r="CI600" s="365"/>
      <c r="CJ600" s="365"/>
      <c r="CK600" s="335"/>
      <c r="CL600" s="335"/>
      <c r="CM600" s="366"/>
      <c r="CN600" s="366"/>
      <c r="CO600" s="366"/>
      <c r="CP600" s="3"/>
    </row>
    <row r="601" spans="1:94" x14ac:dyDescent="0.25">
      <c r="A601" s="34">
        <v>46</v>
      </c>
      <c r="B601" s="33">
        <f t="shared" si="19"/>
        <v>73</v>
      </c>
      <c r="C601" s="294">
        <f>VLOOKUP($B601,'Mother mortality'!$A$23:$I$124,5)</f>
        <v>1.3352975819302986E-2</v>
      </c>
      <c r="D601" s="295">
        <f t="shared" si="32"/>
        <v>0.27</v>
      </c>
      <c r="E601" s="295">
        <f t="shared" si="9"/>
        <v>0.71664702418069703</v>
      </c>
      <c r="F601" s="295">
        <f>VLOOKUP($B601,'Mother mortality'!$A$23:$I$124,5)</f>
        <v>1.3352975819302986E-2</v>
      </c>
      <c r="G601" s="295">
        <f t="shared" si="33"/>
        <v>0.14000000000000001</v>
      </c>
      <c r="H601" s="295">
        <f t="shared" si="10"/>
        <v>0.84664702418069704</v>
      </c>
      <c r="I601" s="295">
        <f>VLOOKUP($B601,'Mother mortality'!$A$23:$I$124,4)</f>
        <v>8.9777454444675414E-3</v>
      </c>
      <c r="J601" s="295">
        <f t="shared" si="11"/>
        <v>0.4195936831269611</v>
      </c>
      <c r="K601" s="295">
        <f t="shared" si="34"/>
        <v>0.5714285714285714</v>
      </c>
      <c r="L601" s="295">
        <f>VLOOKUP($B601,'Mother mortality'!$A$23:$I$124,4)</f>
        <v>8.9777454444675414E-3</v>
      </c>
      <c r="M601" s="295">
        <f t="shared" si="35"/>
        <v>8.6261668788331098E-3</v>
      </c>
      <c r="N601" s="295">
        <f t="shared" si="12"/>
        <v>0.98239608767669939</v>
      </c>
      <c r="O601" s="294"/>
      <c r="P601" s="296">
        <f t="shared" si="20"/>
        <v>351.06392019441938</v>
      </c>
      <c r="Q601" s="297">
        <f t="shared" si="21"/>
        <v>97.054473679518978</v>
      </c>
      <c r="R601" s="297">
        <f t="shared" si="22"/>
        <v>13.89975356885633</v>
      </c>
      <c r="S601" s="297">
        <f t="shared" si="23"/>
        <v>399.56823620504497</v>
      </c>
      <c r="T601" s="297">
        <f t="shared" si="24"/>
        <v>138.41361635216029</v>
      </c>
      <c r="U601" s="294">
        <f t="shared" si="13"/>
        <v>1000</v>
      </c>
      <c r="V601" s="295" t="str">
        <f t="shared" si="36"/>
        <v>OKAY</v>
      </c>
      <c r="W601" s="295"/>
      <c r="X601" s="296">
        <f>SUM($P601:$Q601)-(SUM($P601:$Q601)*(VLOOKUP($B601,Lifetime_morbidity_array!$A$6:$Y$24,4)+VLOOKUP($B601,Lifetime_morbidity_array!$A$6:$Y$24,7)+VLOOKUP($B601,Lifetime_morbidity_array!$A$6:$Y$24,10)+VLOOKUP($B601,Lifetime_morbidity_array!$A$6:$Y$24,13)))</f>
        <v>155.74624582367221</v>
      </c>
      <c r="Y601" s="297">
        <f>SUM($R601:$S601)-(SUM($R601:$S601)*(VLOOKUP($B601,Lifetime_morbidity_array!$A$6:$Y$24,3)+VLOOKUP($B601,Lifetime_morbidity_array!$A$6:$Y$24,6)+VLOOKUP($B601,Lifetime_morbidity_array!$A$6:$Y$24,9)+VLOOKUP($B601,Lifetime_morbidity_array!$A$6:$Y$24,12)))</f>
        <v>292.81115182352602</v>
      </c>
      <c r="Z601" s="297">
        <f>(SUM($P601:$Q601)*VLOOKUP($B601,Lifetime_morbidity_array!$A$6:$Y$24,4))+(SUM($R601:$S601)*VLOOKUP($B601,Lifetime_morbidity_array!$A$6:$Y$24,3))</f>
        <v>164.45838437121967</v>
      </c>
      <c r="AA601" s="297">
        <f>(SUM($P601:$Q601)*VLOOKUP($B601,Lifetime_morbidity_array!$A$6:$Y$24,7))+(SUM($R601:$S601)*VLOOKUP($B601,Lifetime_morbidity_array!$A$6:$Y$24,6))</f>
        <v>184.05704218383622</v>
      </c>
      <c r="AB601" s="297">
        <f>(SUM($P601:$Q601)*VLOOKUP($B601,Lifetime_morbidity_array!$A$6:$Y$24,10))+(SUM($R601:$S601)*VLOOKUP($B601,Lifetime_morbidity_array!$A$6:$Y$24,9))</f>
        <v>8.0807392449991227</v>
      </c>
      <c r="AC601" s="297">
        <f>(SUM($P601:$Q601)*VLOOKUP($B601,Lifetime_morbidity_array!$A$6:$Y$24,13))+(SUM($R601:$S601)*VLOOKUP($B601,Lifetime_morbidity_array!$A$6:$Y$24,12))</f>
        <v>56.432820200586406</v>
      </c>
      <c r="AD601" s="294"/>
      <c r="AE601" s="294">
        <f t="shared" si="25"/>
        <v>73</v>
      </c>
      <c r="AF601" s="297">
        <f t="shared" si="42"/>
        <v>177.02831528736004</v>
      </c>
      <c r="AG601" s="297">
        <f t="shared" si="27"/>
        <v>22880.59327637501</v>
      </c>
      <c r="AH601" s="294"/>
      <c r="AI601" s="294">
        <f t="shared" si="28"/>
        <v>73</v>
      </c>
      <c r="AJ601" s="295">
        <f>((VLOOKUP($B601,'Mahawesran Tariff'!$A$21:$M$120,7)*$X601)+(VLOOKUP($B601,'Mahawesran Tariff'!$A$21:$M$120,6)*$Y601)+(DET_UTIL_chd*$Z601)+(DET_UTIL_copd*$AA601)+(DET_UTIL_lc*$AB601)+(DET_UTIL_stroke*$AC601))/((1+Discount_rate_QALYs)^$A601)</f>
        <v>145.34821834055651</v>
      </c>
      <c r="AK601" s="295">
        <f t="shared" si="29"/>
        <v>21299.263541058444</v>
      </c>
      <c r="AL601" s="294"/>
      <c r="AM601" s="294">
        <f t="shared" si="14"/>
        <v>73</v>
      </c>
      <c r="AN601" s="299">
        <f t="shared" si="40"/>
        <v>361801.11441865371</v>
      </c>
      <c r="AO601" s="299">
        <f t="shared" si="30"/>
        <v>12909533.654653177</v>
      </c>
      <c r="AP601" s="294"/>
      <c r="AQ601" s="294">
        <f t="shared" si="16"/>
        <v>73</v>
      </c>
      <c r="AR601" s="298">
        <f t="shared" si="37"/>
        <v>0.86158638364783979</v>
      </c>
      <c r="AS601" s="298">
        <f t="shared" si="38"/>
        <v>0.13841361635216029</v>
      </c>
      <c r="AT601" s="298">
        <f t="shared" si="39"/>
        <v>0.41302898600064147</v>
      </c>
      <c r="AU601" s="250"/>
      <c r="AV601" s="294">
        <f t="shared" si="17"/>
        <v>73</v>
      </c>
      <c r="AW601" s="299">
        <f t="shared" si="41"/>
        <v>361801.11441865371</v>
      </c>
      <c r="AX601" s="299">
        <f t="shared" si="31"/>
        <v>12909533.654653177</v>
      </c>
      <c r="AY601" s="335"/>
      <c r="AZ601" s="335"/>
      <c r="BA601" s="335"/>
      <c r="BB601" s="335"/>
      <c r="BC601" s="335"/>
      <c r="BD601" s="335"/>
      <c r="BE601" s="335"/>
      <c r="BF601" s="335"/>
      <c r="BG601" s="335"/>
      <c r="BH601" s="335"/>
      <c r="BI601" s="335"/>
      <c r="BJ601" s="335"/>
      <c r="BK601" s="364"/>
      <c r="BL601" s="364"/>
      <c r="BM601" s="364"/>
      <c r="BN601" s="364"/>
      <c r="BO601" s="364"/>
      <c r="BP601" s="364"/>
      <c r="BQ601" s="335"/>
      <c r="BR601" s="335"/>
      <c r="BS601" s="364"/>
      <c r="BT601" s="364"/>
      <c r="BU601" s="364"/>
      <c r="BV601" s="364"/>
      <c r="BW601" s="364"/>
      <c r="BX601" s="364"/>
      <c r="BY601" s="335"/>
      <c r="BZ601" s="335"/>
      <c r="CA601" s="364"/>
      <c r="CB601" s="364"/>
      <c r="CC601" s="335"/>
      <c r="CD601" s="335"/>
      <c r="CE601" s="335"/>
      <c r="CF601" s="335"/>
      <c r="CG601" s="335"/>
      <c r="CH601" s="335"/>
      <c r="CI601" s="365"/>
      <c r="CJ601" s="365"/>
      <c r="CK601" s="335"/>
      <c r="CL601" s="335"/>
      <c r="CM601" s="366"/>
      <c r="CN601" s="366"/>
      <c r="CO601" s="366"/>
      <c r="CP601" s="3"/>
    </row>
    <row r="602" spans="1:94" x14ac:dyDescent="0.25">
      <c r="A602" s="34">
        <v>47</v>
      </c>
      <c r="B602" s="33">
        <f t="shared" si="19"/>
        <v>74</v>
      </c>
      <c r="C602" s="294">
        <f>VLOOKUP($B602,'Mother mortality'!$A$23:$I$124,5)</f>
        <v>1.4538314972632162E-2</v>
      </c>
      <c r="D602" s="295">
        <f t="shared" si="32"/>
        <v>0.27</v>
      </c>
      <c r="E602" s="295">
        <f t="shared" si="9"/>
        <v>0.71546168502736784</v>
      </c>
      <c r="F602" s="295">
        <f>VLOOKUP($B602,'Mother mortality'!$A$23:$I$124,5)</f>
        <v>1.4538314972632162E-2</v>
      </c>
      <c r="G602" s="295">
        <f t="shared" si="33"/>
        <v>0.14000000000000001</v>
      </c>
      <c r="H602" s="295">
        <f t="shared" si="10"/>
        <v>0.84546168502736785</v>
      </c>
      <c r="I602" s="295">
        <f>VLOOKUP($B602,'Mother mortality'!$A$23:$I$124,4)</f>
        <v>9.7746968752165184E-3</v>
      </c>
      <c r="J602" s="295">
        <f t="shared" si="11"/>
        <v>0.41879673169621212</v>
      </c>
      <c r="K602" s="295">
        <f t="shared" si="34"/>
        <v>0.5714285714285714</v>
      </c>
      <c r="L602" s="295">
        <f>VLOOKUP($B602,'Mother mortality'!$A$23:$I$124,4)</f>
        <v>9.7746968752165184E-3</v>
      </c>
      <c r="M602" s="295">
        <f t="shared" si="35"/>
        <v>8.6261668788331098E-3</v>
      </c>
      <c r="N602" s="295">
        <f t="shared" si="12"/>
        <v>0.98159913624595041</v>
      </c>
      <c r="O602" s="294"/>
      <c r="P602" s="296">
        <f t="shared" si="20"/>
        <v>342.49653640214859</v>
      </c>
      <c r="Q602" s="297">
        <f t="shared" si="21"/>
        <v>94.787258452493234</v>
      </c>
      <c r="R602" s="297">
        <f t="shared" si="22"/>
        <v>13.587626315132658</v>
      </c>
      <c r="S602" s="297">
        <f t="shared" si="23"/>
        <v>400.15855185525078</v>
      </c>
      <c r="T602" s="297">
        <f t="shared" si="24"/>
        <v>148.97002697497464</v>
      </c>
      <c r="U602" s="294">
        <f t="shared" si="13"/>
        <v>999.99999999999989</v>
      </c>
      <c r="V602" s="295" t="str">
        <f t="shared" si="36"/>
        <v>OKAY</v>
      </c>
      <c r="W602" s="295"/>
      <c r="X602" s="296">
        <f>SUM($P602:$Q602)-(SUM($P602:$Q602)*(VLOOKUP($B602,Lifetime_morbidity_array!$A$6:$Y$24,4)+VLOOKUP($B602,Lifetime_morbidity_array!$A$6:$Y$24,7)+VLOOKUP($B602,Lifetime_morbidity_array!$A$6:$Y$24,10)+VLOOKUP($B602,Lifetime_morbidity_array!$A$6:$Y$24,13)))</f>
        <v>151.98061570152424</v>
      </c>
      <c r="Y602" s="297">
        <f>SUM($R602:$S602)-(SUM($R602:$S602)*(VLOOKUP($B602,Lifetime_morbidity_array!$A$6:$Y$24,3)+VLOOKUP($B602,Lifetime_morbidity_array!$A$6:$Y$24,6)+VLOOKUP($B602,Lifetime_morbidity_array!$A$6:$Y$24,9)+VLOOKUP($B602,Lifetime_morbidity_array!$A$6:$Y$24,12)))</f>
        <v>293.00816021791809</v>
      </c>
      <c r="Z602" s="297">
        <f>(SUM($P602:$Q602)*VLOOKUP($B602,Lifetime_morbidity_array!$A$6:$Y$24,4))+(SUM($R602:$S602)*VLOOKUP($B602,Lifetime_morbidity_array!$A$6:$Y$24,3))</f>
        <v>161.72595781917394</v>
      </c>
      <c r="AA602" s="297">
        <f>(SUM($P602:$Q602)*VLOOKUP($B602,Lifetime_morbidity_array!$A$6:$Y$24,7))+(SUM($R602:$S602)*VLOOKUP($B602,Lifetime_morbidity_array!$A$6:$Y$24,6))</f>
        <v>180.8494194289554</v>
      </c>
      <c r="AB602" s="297">
        <f>(SUM($P602:$Q602)*VLOOKUP($B602,Lifetime_morbidity_array!$A$6:$Y$24,10))+(SUM($R602:$S602)*VLOOKUP($B602,Lifetime_morbidity_array!$A$6:$Y$24,9))</f>
        <v>7.9274676229595364</v>
      </c>
      <c r="AC602" s="297">
        <f>(SUM($P602:$Q602)*VLOOKUP($B602,Lifetime_morbidity_array!$A$6:$Y$24,13))+(SUM($R602:$S602)*VLOOKUP($B602,Lifetime_morbidity_array!$A$6:$Y$24,12))</f>
        <v>55.538352234494049</v>
      </c>
      <c r="AD602" s="294"/>
      <c r="AE602" s="294">
        <f t="shared" si="25"/>
        <v>74</v>
      </c>
      <c r="AF602" s="297">
        <f t="shared" si="42"/>
        <v>168.94619529292785</v>
      </c>
      <c r="AG602" s="297">
        <f t="shared" si="27"/>
        <v>23049.539471667937</v>
      </c>
      <c r="AH602" s="294"/>
      <c r="AI602" s="294">
        <f t="shared" si="28"/>
        <v>74</v>
      </c>
      <c r="AJ602" s="295">
        <f>((VLOOKUP($B602,'Mahawesran Tariff'!$A$21:$M$120,7)*$X602)+(VLOOKUP($B602,'Mahawesran Tariff'!$A$21:$M$120,6)*$Y602)+(DET_UTIL_chd*$Z602)+(DET_UTIL_copd*$AA602)+(DET_UTIL_lc*$AB602)+(DET_UTIL_stroke*$AC602))/((1+Discount_rate_QALYs)^$A602)</f>
        <v>138.78963853386333</v>
      </c>
      <c r="AK602" s="295">
        <f t="shared" si="29"/>
        <v>21438.053179592309</v>
      </c>
      <c r="AL602" s="294"/>
      <c r="AM602" s="294">
        <f t="shared" si="14"/>
        <v>74</v>
      </c>
      <c r="AN602" s="299">
        <f t="shared" si="40"/>
        <v>343883.32343807013</v>
      </c>
      <c r="AO602" s="299">
        <f t="shared" si="30"/>
        <v>13253416.978091247</v>
      </c>
      <c r="AP602" s="294"/>
      <c r="AQ602" s="294">
        <f t="shared" si="16"/>
        <v>74</v>
      </c>
      <c r="AR602" s="298">
        <f t="shared" si="37"/>
        <v>0.85102997302502525</v>
      </c>
      <c r="AS602" s="298">
        <f t="shared" si="38"/>
        <v>0.14897002697497463</v>
      </c>
      <c r="AT602" s="298">
        <f t="shared" si="39"/>
        <v>0.4060411971055829</v>
      </c>
      <c r="AU602" s="250"/>
      <c r="AV602" s="294">
        <f t="shared" si="17"/>
        <v>74</v>
      </c>
      <c r="AW602" s="299">
        <f t="shared" si="41"/>
        <v>343883.32343807013</v>
      </c>
      <c r="AX602" s="299">
        <f t="shared" si="31"/>
        <v>13253416.978091247</v>
      </c>
      <c r="AY602" s="335"/>
      <c r="AZ602" s="335"/>
      <c r="BA602" s="335"/>
      <c r="BB602" s="335"/>
      <c r="BC602" s="335"/>
      <c r="BD602" s="335"/>
      <c r="BE602" s="335"/>
      <c r="BF602" s="335"/>
      <c r="BG602" s="335"/>
      <c r="BH602" s="335"/>
      <c r="BI602" s="335"/>
      <c r="BJ602" s="335"/>
      <c r="BK602" s="364"/>
      <c r="BL602" s="364"/>
      <c r="BM602" s="364"/>
      <c r="BN602" s="364"/>
      <c r="BO602" s="364"/>
      <c r="BP602" s="364"/>
      <c r="BQ602" s="335"/>
      <c r="BR602" s="335"/>
      <c r="BS602" s="364"/>
      <c r="BT602" s="364"/>
      <c r="BU602" s="364"/>
      <c r="BV602" s="364"/>
      <c r="BW602" s="364"/>
      <c r="BX602" s="364"/>
      <c r="BY602" s="335"/>
      <c r="BZ602" s="335"/>
      <c r="CA602" s="364"/>
      <c r="CB602" s="364"/>
      <c r="CC602" s="335"/>
      <c r="CD602" s="335"/>
      <c r="CE602" s="335"/>
      <c r="CF602" s="335"/>
      <c r="CG602" s="335"/>
      <c r="CH602" s="335"/>
      <c r="CI602" s="365"/>
      <c r="CJ602" s="365"/>
      <c r="CK602" s="335"/>
      <c r="CL602" s="335"/>
      <c r="CM602" s="366"/>
      <c r="CN602" s="366"/>
      <c r="CO602" s="366"/>
      <c r="CP602" s="3"/>
    </row>
    <row r="603" spans="1:94" x14ac:dyDescent="0.25">
      <c r="A603" s="34">
        <v>48</v>
      </c>
      <c r="B603" s="33">
        <f t="shared" si="19"/>
        <v>75</v>
      </c>
      <c r="C603" s="294">
        <f>VLOOKUP($B603,'Mother mortality'!$A$23:$I$124,5)</f>
        <v>1.3759563744966802E-2</v>
      </c>
      <c r="D603" s="295">
        <f t="shared" si="32"/>
        <v>0.27</v>
      </c>
      <c r="E603" s="295">
        <f t="shared" si="9"/>
        <v>0.7162404362550332</v>
      </c>
      <c r="F603" s="295">
        <f>VLOOKUP($B603,'Mother mortality'!$A$23:$I$124,5)</f>
        <v>1.3759563744966802E-2</v>
      </c>
      <c r="G603" s="295">
        <f t="shared" si="33"/>
        <v>0.14000000000000001</v>
      </c>
      <c r="H603" s="295">
        <f t="shared" si="10"/>
        <v>0.8462404362550332</v>
      </c>
      <c r="I603" s="295">
        <f>VLOOKUP($B603,'Mother mortality'!$A$23:$I$124,4)</f>
        <v>1.003409695741447E-2</v>
      </c>
      <c r="J603" s="295">
        <f t="shared" si="11"/>
        <v>0.41853733161401419</v>
      </c>
      <c r="K603" s="295">
        <f t="shared" si="34"/>
        <v>0.5714285714285714</v>
      </c>
      <c r="L603" s="295">
        <f>VLOOKUP($B603,'Mother mortality'!$A$23:$I$124,4)</f>
        <v>1.003409695741447E-2</v>
      </c>
      <c r="M603" s="295">
        <f t="shared" si="35"/>
        <v>8.6261668788331098E-3</v>
      </c>
      <c r="N603" s="295">
        <f t="shared" si="12"/>
        <v>0.98133973616375247</v>
      </c>
      <c r="O603" s="294"/>
      <c r="P603" s="296">
        <f t="shared" si="20"/>
        <v>334.66144289996885</v>
      </c>
      <c r="Q603" s="297">
        <f t="shared" si="21"/>
        <v>92.474064828580126</v>
      </c>
      <c r="R603" s="297">
        <f t="shared" si="22"/>
        <v>13.270216183349055</v>
      </c>
      <c r="S603" s="297">
        <f t="shared" si="23"/>
        <v>400.45584559566259</v>
      </c>
      <c r="T603" s="297">
        <f t="shared" si="24"/>
        <v>159.1384304924394</v>
      </c>
      <c r="U603" s="294">
        <f t="shared" si="13"/>
        <v>1000.0000000000001</v>
      </c>
      <c r="V603" s="295" t="str">
        <f t="shared" si="36"/>
        <v>OKAY</v>
      </c>
      <c r="W603" s="295"/>
      <c r="X603" s="296">
        <f>SUM($P603:$Q603)-(SUM($P603:$Q603)*(VLOOKUP($B603,Lifetime_morbidity_array!$A$6:$Y$24,4)+VLOOKUP($B603,Lifetime_morbidity_array!$A$6:$Y$24,7)+VLOOKUP($B603,Lifetime_morbidity_array!$A$6:$Y$24,10)+VLOOKUP($B603,Lifetime_morbidity_array!$A$6:$Y$24,13)))</f>
        <v>31.665030025053909</v>
      </c>
      <c r="Y603" s="297">
        <f>SUM($R603:$S603)-(SUM($R603:$S603)*(VLOOKUP($B603,Lifetime_morbidity_array!$A$6:$Y$24,3)+VLOOKUP($B603,Lifetime_morbidity_array!$A$6:$Y$24,6)+VLOOKUP($B603,Lifetime_morbidity_array!$A$6:$Y$24,9)+VLOOKUP($B603,Lifetime_morbidity_array!$A$6:$Y$24,12)))</f>
        <v>229.0237980651863</v>
      </c>
      <c r="Z603" s="297">
        <f>(SUM($P603:$Q603)*VLOOKUP($B603,Lifetime_morbidity_array!$A$6:$Y$24,4))+(SUM($R603:$S603)*VLOOKUP($B603,Lifetime_morbidity_array!$A$6:$Y$24,3))</f>
        <v>239.7735410578079</v>
      </c>
      <c r="AA603" s="297">
        <f>(SUM($P603:$Q603)*VLOOKUP($B603,Lifetime_morbidity_array!$A$6:$Y$24,7))+(SUM($R603:$S603)*VLOOKUP($B603,Lifetime_morbidity_array!$A$6:$Y$24,6))</f>
        <v>214.13159064629554</v>
      </c>
      <c r="AB603" s="297">
        <f>(SUM($P603:$Q603)*VLOOKUP($B603,Lifetime_morbidity_array!$A$6:$Y$24,10))+(SUM($R603:$S603)*VLOOKUP($B603,Lifetime_morbidity_array!$A$6:$Y$24,9))</f>
        <v>7.8987783776731106</v>
      </c>
      <c r="AC603" s="297">
        <f>(SUM($P603:$Q603)*VLOOKUP($B603,Lifetime_morbidity_array!$A$6:$Y$24,13))+(SUM($R603:$S603)*VLOOKUP($B603,Lifetime_morbidity_array!$A$6:$Y$24,12))</f>
        <v>118.36883133554385</v>
      </c>
      <c r="AD603" s="294"/>
      <c r="AE603" s="294">
        <f t="shared" si="25"/>
        <v>75</v>
      </c>
      <c r="AF603" s="297">
        <f t="shared" si="42"/>
        <v>161.28267353803227</v>
      </c>
      <c r="AG603" s="297">
        <f t="shared" si="27"/>
        <v>23210.82214520597</v>
      </c>
      <c r="AH603" s="294"/>
      <c r="AI603" s="294">
        <f t="shared" si="28"/>
        <v>75</v>
      </c>
      <c r="AJ603" s="295">
        <f>((VLOOKUP($B603,'Mahawesran Tariff'!$A$21:$M$120,7)*$X603)+(VLOOKUP($B603,'Mahawesran Tariff'!$A$21:$M$120,6)*$Y603)+(DET_UTIL_chd*$Z603)+(DET_UTIL_copd*$AA603)+(DET_UTIL_lc*$AB603)+(DET_UTIL_stroke*$AC603))/((1+Discount_rate_QALYs)^$A603)</f>
        <v>125.8675738863935</v>
      </c>
      <c r="AK603" s="295">
        <f t="shared" si="29"/>
        <v>21563.920753478702</v>
      </c>
      <c r="AL603" s="294"/>
      <c r="AM603" s="294">
        <f t="shared" si="14"/>
        <v>75</v>
      </c>
      <c r="AN603" s="299">
        <f t="shared" si="40"/>
        <v>626924.63511309342</v>
      </c>
      <c r="AO603" s="299">
        <f t="shared" si="30"/>
        <v>13880341.613204341</v>
      </c>
      <c r="AP603" s="294"/>
      <c r="AQ603" s="294">
        <f t="shared" si="16"/>
        <v>75</v>
      </c>
      <c r="AR603" s="298">
        <f t="shared" si="37"/>
        <v>0.84086156950756075</v>
      </c>
      <c r="AS603" s="298">
        <f t="shared" si="38"/>
        <v>0.15913843049243939</v>
      </c>
      <c r="AT603" s="298">
        <f t="shared" si="39"/>
        <v>0.58017274141732034</v>
      </c>
      <c r="AU603" s="250"/>
      <c r="AV603" s="294">
        <f t="shared" si="17"/>
        <v>75</v>
      </c>
      <c r="AW603" s="299">
        <f t="shared" si="41"/>
        <v>626924.63511309342</v>
      </c>
      <c r="AX603" s="299">
        <f t="shared" si="31"/>
        <v>13880341.613204341</v>
      </c>
      <c r="AY603" s="335"/>
      <c r="AZ603" s="335"/>
      <c r="BA603" s="335"/>
      <c r="BB603" s="335"/>
      <c r="BC603" s="335"/>
      <c r="BD603" s="335"/>
      <c r="BE603" s="335"/>
      <c r="BF603" s="335"/>
      <c r="BG603" s="335"/>
      <c r="BH603" s="335"/>
      <c r="BI603" s="335"/>
      <c r="BJ603" s="335"/>
      <c r="BK603" s="364"/>
      <c r="BL603" s="364"/>
      <c r="BM603" s="364"/>
      <c r="BN603" s="364"/>
      <c r="BO603" s="364"/>
      <c r="BP603" s="364"/>
      <c r="BQ603" s="335"/>
      <c r="BR603" s="335"/>
      <c r="BS603" s="364"/>
      <c r="BT603" s="364"/>
      <c r="BU603" s="364"/>
      <c r="BV603" s="364"/>
      <c r="BW603" s="364"/>
      <c r="BX603" s="364"/>
      <c r="BY603" s="335"/>
      <c r="BZ603" s="335"/>
      <c r="CA603" s="364"/>
      <c r="CB603" s="364"/>
      <c r="CC603" s="335"/>
      <c r="CD603" s="335"/>
      <c r="CE603" s="335"/>
      <c r="CF603" s="335"/>
      <c r="CG603" s="335"/>
      <c r="CH603" s="335"/>
      <c r="CI603" s="365"/>
      <c r="CJ603" s="365"/>
      <c r="CK603" s="335"/>
      <c r="CL603" s="335"/>
      <c r="CM603" s="366"/>
      <c r="CN603" s="366"/>
      <c r="CO603" s="366"/>
      <c r="CP603" s="3"/>
    </row>
    <row r="604" spans="1:94" x14ac:dyDescent="0.25">
      <c r="A604" s="34">
        <v>49</v>
      </c>
      <c r="B604" s="33">
        <f t="shared" si="19"/>
        <v>76</v>
      </c>
      <c r="C604" s="294">
        <f>VLOOKUP($B604,'Mother mortality'!$A$23:$I$124,5)</f>
        <v>1.5040574918002186E-2</v>
      </c>
      <c r="D604" s="295">
        <f t="shared" si="32"/>
        <v>0.27</v>
      </c>
      <c r="E604" s="295">
        <f t="shared" si="9"/>
        <v>0.71495942508199783</v>
      </c>
      <c r="F604" s="295">
        <f>VLOOKUP($B604,'Mother mortality'!$A$23:$I$124,5)</f>
        <v>1.5040574918002186E-2</v>
      </c>
      <c r="G604" s="295">
        <f t="shared" si="33"/>
        <v>0.14000000000000001</v>
      </c>
      <c r="H604" s="295">
        <f t="shared" si="10"/>
        <v>0.84495942508199784</v>
      </c>
      <c r="I604" s="295">
        <f>VLOOKUP($B604,'Mother mortality'!$A$23:$I$124,4)</f>
        <v>1.0968268312844991E-2</v>
      </c>
      <c r="J604" s="295">
        <f t="shared" si="11"/>
        <v>0.41760316025858357</v>
      </c>
      <c r="K604" s="295">
        <f t="shared" si="34"/>
        <v>0.5714285714285714</v>
      </c>
      <c r="L604" s="295">
        <f>VLOOKUP($B604,'Mother mortality'!$A$23:$I$124,4)</f>
        <v>1.0968268312844991E-2</v>
      </c>
      <c r="M604" s="295">
        <f t="shared" si="35"/>
        <v>8.6261668788331098E-3</v>
      </c>
      <c r="N604" s="295">
        <f t="shared" si="12"/>
        <v>0.98040556480832186</v>
      </c>
      <c r="O604" s="294"/>
      <c r="P604" s="296">
        <f t="shared" si="20"/>
        <v>326.40226863261955</v>
      </c>
      <c r="Q604" s="297">
        <f t="shared" si="21"/>
        <v>90.358589582991598</v>
      </c>
      <c r="R604" s="297">
        <f t="shared" si="22"/>
        <v>12.946369076001218</v>
      </c>
      <c r="S604" s="297">
        <f t="shared" si="23"/>
        <v>400.19212015820915</v>
      </c>
      <c r="T604" s="297">
        <f t="shared" si="24"/>
        <v>170.10065255017844</v>
      </c>
      <c r="U604" s="294">
        <f t="shared" si="13"/>
        <v>1000</v>
      </c>
      <c r="V604" s="295" t="str">
        <f t="shared" si="36"/>
        <v>OKAY</v>
      </c>
      <c r="W604" s="295"/>
      <c r="X604" s="296">
        <f>SUM($P604:$Q604)-(SUM($P604:$Q604)*(VLOOKUP($B604,Lifetime_morbidity_array!$A$6:$Y$24,4)+VLOOKUP($B604,Lifetime_morbidity_array!$A$6:$Y$24,7)+VLOOKUP($B604,Lifetime_morbidity_array!$A$6:$Y$24,10)+VLOOKUP($B604,Lifetime_morbidity_array!$A$6:$Y$24,13)))</f>
        <v>30.895921434495449</v>
      </c>
      <c r="Y604" s="297">
        <f>SUM($R604:$S604)-(SUM($R604:$S604)*(VLOOKUP($B604,Lifetime_morbidity_array!$A$6:$Y$24,3)+VLOOKUP($B604,Lifetime_morbidity_array!$A$6:$Y$24,6)+VLOOKUP($B604,Lifetime_morbidity_array!$A$6:$Y$24,9)+VLOOKUP($B604,Lifetime_morbidity_array!$A$6:$Y$24,12)))</f>
        <v>228.69853913595526</v>
      </c>
      <c r="Z604" s="297">
        <f>(SUM($P604:$Q604)*VLOOKUP($B604,Lifetime_morbidity_array!$A$6:$Y$24,4))+(SUM($R604:$S604)*VLOOKUP($B604,Lifetime_morbidity_array!$A$6:$Y$24,3))</f>
        <v>235.88790487376366</v>
      </c>
      <c r="AA604" s="297">
        <f>(SUM($P604:$Q604)*VLOOKUP($B604,Lifetime_morbidity_array!$A$6:$Y$24,7))+(SUM($R604:$S604)*VLOOKUP($B604,Lifetime_morbidity_array!$A$6:$Y$24,6))</f>
        <v>210.13520438522761</v>
      </c>
      <c r="AB604" s="297">
        <f>(SUM($P604:$Q604)*VLOOKUP($B604,Lifetime_morbidity_array!$A$6:$Y$24,10))+(SUM($R604:$S604)*VLOOKUP($B604,Lifetime_morbidity_array!$A$6:$Y$24,9))</f>
        <v>7.7450761946528317</v>
      </c>
      <c r="AC604" s="297">
        <f>(SUM($P604:$Q604)*VLOOKUP($B604,Lifetime_morbidity_array!$A$6:$Y$24,13))+(SUM($R604:$S604)*VLOOKUP($B604,Lifetime_morbidity_array!$A$6:$Y$24,12))</f>
        <v>116.53670142572676</v>
      </c>
      <c r="AD604" s="294"/>
      <c r="AE604" s="294">
        <f t="shared" si="25"/>
        <v>76</v>
      </c>
      <c r="AF604" s="297">
        <f t="shared" si="42"/>
        <v>153.79714843347725</v>
      </c>
      <c r="AG604" s="297">
        <f t="shared" si="27"/>
        <v>23364.619293639447</v>
      </c>
      <c r="AH604" s="294"/>
      <c r="AI604" s="294">
        <f t="shared" si="28"/>
        <v>76</v>
      </c>
      <c r="AJ604" s="295">
        <f>((VLOOKUP($B604,'Mahawesran Tariff'!$A$21:$M$120,7)*$X604)+(VLOOKUP($B604,'Mahawesran Tariff'!$A$21:$M$120,6)*$Y604)+(DET_UTIL_chd*$Z604)+(DET_UTIL_copd*$AA604)+(DET_UTIL_lc*$AB604)+(DET_UTIL_stroke*$AC604))/((1+Discount_rate_QALYs)^$A604)</f>
        <v>120.10096940662964</v>
      </c>
      <c r="AK604" s="295">
        <f t="shared" si="29"/>
        <v>21684.021722885333</v>
      </c>
      <c r="AL604" s="294"/>
      <c r="AM604" s="294">
        <f t="shared" si="14"/>
        <v>76</v>
      </c>
      <c r="AN604" s="299">
        <f t="shared" si="40"/>
        <v>596127.06723503803</v>
      </c>
      <c r="AO604" s="299">
        <f t="shared" si="30"/>
        <v>14476468.680439379</v>
      </c>
      <c r="AP604" s="294"/>
      <c r="AQ604" s="294">
        <f t="shared" si="16"/>
        <v>76</v>
      </c>
      <c r="AR604" s="298">
        <f t="shared" si="37"/>
        <v>0.82989934744982152</v>
      </c>
      <c r="AS604" s="298">
        <f t="shared" si="38"/>
        <v>0.17010065255017845</v>
      </c>
      <c r="AT604" s="298">
        <f t="shared" si="39"/>
        <v>0.57030488687937086</v>
      </c>
      <c r="AU604" s="250"/>
      <c r="AV604" s="294">
        <f t="shared" si="17"/>
        <v>76</v>
      </c>
      <c r="AW604" s="299">
        <f t="shared" si="41"/>
        <v>596127.06723503803</v>
      </c>
      <c r="AX604" s="299">
        <f t="shared" si="31"/>
        <v>14476468.680439379</v>
      </c>
      <c r="AY604" s="335"/>
      <c r="AZ604" s="335"/>
      <c r="BA604" s="335"/>
      <c r="BB604" s="335"/>
      <c r="BC604" s="335"/>
      <c r="BD604" s="335"/>
      <c r="BE604" s="335"/>
      <c r="BF604" s="335"/>
      <c r="BG604" s="335"/>
      <c r="BH604" s="335"/>
      <c r="BI604" s="335"/>
      <c r="BJ604" s="335"/>
      <c r="BK604" s="364"/>
      <c r="BL604" s="364"/>
      <c r="BM604" s="364"/>
      <c r="BN604" s="364"/>
      <c r="BO604" s="364"/>
      <c r="BP604" s="364"/>
      <c r="BQ604" s="335"/>
      <c r="BR604" s="335"/>
      <c r="BS604" s="364"/>
      <c r="BT604" s="364"/>
      <c r="BU604" s="364"/>
      <c r="BV604" s="364"/>
      <c r="BW604" s="364"/>
      <c r="BX604" s="364"/>
      <c r="BY604" s="335"/>
      <c r="BZ604" s="335"/>
      <c r="CA604" s="364"/>
      <c r="CB604" s="364"/>
      <c r="CC604" s="335"/>
      <c r="CD604" s="335"/>
      <c r="CE604" s="335"/>
      <c r="CF604" s="335"/>
      <c r="CG604" s="335"/>
      <c r="CH604" s="335"/>
      <c r="CI604" s="365"/>
      <c r="CJ604" s="365"/>
      <c r="CK604" s="335"/>
      <c r="CL604" s="335"/>
      <c r="CM604" s="366"/>
      <c r="CN604" s="366"/>
      <c r="CO604" s="366"/>
      <c r="CP604" s="3"/>
    </row>
    <row r="605" spans="1:94" x14ac:dyDescent="0.25">
      <c r="A605" s="34">
        <v>50</v>
      </c>
      <c r="B605" s="33">
        <f t="shared" si="19"/>
        <v>77</v>
      </c>
      <c r="C605" s="294">
        <f>VLOOKUP($B605,'Mother mortality'!$A$23:$I$124,5)</f>
        <v>1.6491605557185141E-2</v>
      </c>
      <c r="D605" s="295">
        <f t="shared" si="32"/>
        <v>0.27</v>
      </c>
      <c r="E605" s="295">
        <f t="shared" si="9"/>
        <v>0.71350839444281489</v>
      </c>
      <c r="F605" s="295">
        <f>VLOOKUP($B605,'Mother mortality'!$A$23:$I$124,5)</f>
        <v>1.6491605557185141E-2</v>
      </c>
      <c r="G605" s="295">
        <f t="shared" si="33"/>
        <v>0.14000000000000001</v>
      </c>
      <c r="H605" s="295">
        <f t="shared" si="10"/>
        <v>0.84350839444281489</v>
      </c>
      <c r="I605" s="295">
        <f>VLOOKUP($B605,'Mother mortality'!$A$23:$I$124,4)</f>
        <v>1.2026425561985014E-2</v>
      </c>
      <c r="J605" s="295">
        <f t="shared" si="11"/>
        <v>0.41654500300944364</v>
      </c>
      <c r="K605" s="295">
        <f t="shared" si="34"/>
        <v>0.5714285714285714</v>
      </c>
      <c r="L605" s="295">
        <f>VLOOKUP($B605,'Mother mortality'!$A$23:$I$124,4)</f>
        <v>1.2026425561985014E-2</v>
      </c>
      <c r="M605" s="295">
        <f t="shared" si="35"/>
        <v>8.6261668788331098E-3</v>
      </c>
      <c r="N605" s="295">
        <f t="shared" si="12"/>
        <v>0.97934740755918193</v>
      </c>
      <c r="O605" s="294"/>
      <c r="P605" s="296">
        <f t="shared" si="20"/>
        <v>317.95385681562226</v>
      </c>
      <c r="Q605" s="297">
        <f t="shared" si="21"/>
        <v>88.128612530807288</v>
      </c>
      <c r="R605" s="297">
        <f t="shared" si="22"/>
        <v>12.650202541618825</v>
      </c>
      <c r="S605" s="297">
        <f t="shared" si="23"/>
        <v>399.32504058884115</v>
      </c>
      <c r="T605" s="297">
        <f t="shared" si="24"/>
        <v>181.94228752311045</v>
      </c>
      <c r="U605" s="294">
        <f t="shared" si="13"/>
        <v>1000</v>
      </c>
      <c r="V605" s="295" t="str">
        <f t="shared" si="36"/>
        <v>OKAY</v>
      </c>
      <c r="W605" s="295"/>
      <c r="X605" s="296">
        <f>SUM($P605:$Q605)-(SUM($P605:$Q605)*(VLOOKUP($B605,Lifetime_morbidity_array!$A$6:$Y$24,4)+VLOOKUP($B605,Lifetime_morbidity_array!$A$6:$Y$24,7)+VLOOKUP($B605,Lifetime_morbidity_array!$A$6:$Y$24,10)+VLOOKUP($B605,Lifetime_morbidity_array!$A$6:$Y$24,13)))</f>
        <v>30.10429559669052</v>
      </c>
      <c r="Y605" s="297">
        <f>SUM($R605:$S605)-(SUM($R605:$S605)*(VLOOKUP($B605,Lifetime_morbidity_array!$A$6:$Y$24,3)+VLOOKUP($B605,Lifetime_morbidity_array!$A$6:$Y$24,6)+VLOOKUP($B605,Lifetime_morbidity_array!$A$6:$Y$24,9)+VLOOKUP($B605,Lifetime_morbidity_array!$A$6:$Y$24,12)))</f>
        <v>228.0546081260984</v>
      </c>
      <c r="Z605" s="297">
        <f>(SUM($P605:$Q605)*VLOOKUP($B605,Lifetime_morbidity_array!$A$6:$Y$24,4))+(SUM($R605:$S605)*VLOOKUP($B605,Lifetime_morbidity_array!$A$6:$Y$24,3))</f>
        <v>231.77410374461229</v>
      </c>
      <c r="AA605" s="297">
        <f>(SUM($P605:$Q605)*VLOOKUP($B605,Lifetime_morbidity_array!$A$6:$Y$24,7))+(SUM($R605:$S605)*VLOOKUP($B605,Lifetime_morbidity_array!$A$6:$Y$24,6))</f>
        <v>205.95071043890795</v>
      </c>
      <c r="AB605" s="297">
        <f>(SUM($P605:$Q605)*VLOOKUP($B605,Lifetime_morbidity_array!$A$6:$Y$24,10))+(SUM($R605:$S605)*VLOOKUP($B605,Lifetime_morbidity_array!$A$6:$Y$24,9))</f>
        <v>7.5846221794223876</v>
      </c>
      <c r="AC605" s="297">
        <f>(SUM($P605:$Q605)*VLOOKUP($B605,Lifetime_morbidity_array!$A$6:$Y$24,13))+(SUM($R605:$S605)*VLOOKUP($B605,Lifetime_morbidity_array!$A$6:$Y$24,12))</f>
        <v>114.58937239115792</v>
      </c>
      <c r="AD605" s="294"/>
      <c r="AE605" s="294">
        <f t="shared" si="25"/>
        <v>77</v>
      </c>
      <c r="AF605" s="297">
        <f t="shared" si="42"/>
        <v>146.47599397785288</v>
      </c>
      <c r="AG605" s="297">
        <f t="shared" si="27"/>
        <v>23511.0952876173</v>
      </c>
      <c r="AH605" s="294"/>
      <c r="AI605" s="294">
        <f t="shared" si="28"/>
        <v>77</v>
      </c>
      <c r="AJ605" s="295">
        <f>((VLOOKUP($B605,'Mahawesran Tariff'!$A$21:$M$120,7)*$X605)+(VLOOKUP($B605,'Mahawesran Tariff'!$A$21:$M$120,6)*$Y605)+(DET_UTIL_chd*$Z605)+(DET_UTIL_copd*$AA605)+(DET_UTIL_lc*$AB605)+(DET_UTIL_stroke*$AC605))/((1+Discount_rate_QALYs)^$A605)</f>
        <v>114.45539310108663</v>
      </c>
      <c r="AK605" s="295">
        <f t="shared" si="29"/>
        <v>21798.477115986418</v>
      </c>
      <c r="AL605" s="294"/>
      <c r="AM605" s="294">
        <f t="shared" si="14"/>
        <v>77</v>
      </c>
      <c r="AN605" s="299">
        <f t="shared" si="40"/>
        <v>566132.31070877542</v>
      </c>
      <c r="AO605" s="299">
        <f t="shared" si="30"/>
        <v>15042600.991148155</v>
      </c>
      <c r="AP605" s="294"/>
      <c r="AQ605" s="294">
        <f t="shared" si="16"/>
        <v>77</v>
      </c>
      <c r="AR605" s="298">
        <f t="shared" si="37"/>
        <v>0.81805771247688952</v>
      </c>
      <c r="AS605" s="298">
        <f t="shared" si="38"/>
        <v>0.18194228752311045</v>
      </c>
      <c r="AT605" s="298">
        <f t="shared" si="39"/>
        <v>0.55989880875410059</v>
      </c>
      <c r="AU605" s="250"/>
      <c r="AV605" s="294">
        <f t="shared" si="17"/>
        <v>77</v>
      </c>
      <c r="AW605" s="299">
        <f t="shared" si="41"/>
        <v>566132.31070877542</v>
      </c>
      <c r="AX605" s="299">
        <f t="shared" si="31"/>
        <v>15042600.991148155</v>
      </c>
      <c r="AY605" s="335"/>
      <c r="AZ605" s="335"/>
      <c r="BA605" s="335"/>
      <c r="BB605" s="335"/>
      <c r="BC605" s="335"/>
      <c r="BD605" s="335"/>
      <c r="BE605" s="335"/>
      <c r="BF605" s="335"/>
      <c r="BG605" s="335"/>
      <c r="BH605" s="335"/>
      <c r="BI605" s="335"/>
      <c r="BJ605" s="335"/>
      <c r="BK605" s="364"/>
      <c r="BL605" s="364"/>
      <c r="BM605" s="364"/>
      <c r="BN605" s="364"/>
      <c r="BO605" s="364"/>
      <c r="BP605" s="364"/>
      <c r="BQ605" s="335"/>
      <c r="BR605" s="335"/>
      <c r="BS605" s="364"/>
      <c r="BT605" s="364"/>
      <c r="BU605" s="364"/>
      <c r="BV605" s="364"/>
      <c r="BW605" s="364"/>
      <c r="BX605" s="364"/>
      <c r="BY605" s="335"/>
      <c r="BZ605" s="335"/>
      <c r="CA605" s="364"/>
      <c r="CB605" s="364"/>
      <c r="CC605" s="335"/>
      <c r="CD605" s="335"/>
      <c r="CE605" s="335"/>
      <c r="CF605" s="335"/>
      <c r="CG605" s="335"/>
      <c r="CH605" s="335"/>
      <c r="CI605" s="365"/>
      <c r="CJ605" s="365"/>
      <c r="CK605" s="335"/>
      <c r="CL605" s="335"/>
      <c r="CM605" s="366"/>
      <c r="CN605" s="366"/>
      <c r="CO605" s="366"/>
      <c r="CP605" s="3"/>
    </row>
    <row r="606" spans="1:94" x14ac:dyDescent="0.25">
      <c r="A606" s="34">
        <v>51</v>
      </c>
      <c r="B606" s="33">
        <f t="shared" si="19"/>
        <v>78</v>
      </c>
      <c r="C606" s="294">
        <f>VLOOKUP($B606,'Mother mortality'!$A$23:$I$124,5)</f>
        <v>1.814304151889283E-2</v>
      </c>
      <c r="D606" s="295">
        <f t="shared" si="32"/>
        <v>0.27</v>
      </c>
      <c r="E606" s="295">
        <f t="shared" si="9"/>
        <v>0.71185695848110719</v>
      </c>
      <c r="F606" s="295">
        <f>VLOOKUP($B606,'Mother mortality'!$A$23:$I$124,5)</f>
        <v>1.814304151889283E-2</v>
      </c>
      <c r="G606" s="295">
        <f t="shared" si="33"/>
        <v>0.14000000000000001</v>
      </c>
      <c r="H606" s="295">
        <f t="shared" si="10"/>
        <v>0.8418569584811072</v>
      </c>
      <c r="I606" s="295">
        <f>VLOOKUP($B606,'Mother mortality'!$A$23:$I$124,4)</f>
        <v>1.3230727447268073E-2</v>
      </c>
      <c r="J606" s="295">
        <f t="shared" si="11"/>
        <v>0.41534070112416055</v>
      </c>
      <c r="K606" s="295">
        <f t="shared" si="34"/>
        <v>0.5714285714285714</v>
      </c>
      <c r="L606" s="295">
        <f>VLOOKUP($B606,'Mother mortality'!$A$23:$I$124,4)</f>
        <v>1.3230727447268073E-2</v>
      </c>
      <c r="M606" s="295">
        <f t="shared" si="35"/>
        <v>8.6261668788331098E-3</v>
      </c>
      <c r="N606" s="295">
        <f t="shared" si="12"/>
        <v>0.97814310567389884</v>
      </c>
      <c r="O606" s="294"/>
      <c r="P606" s="296">
        <f t="shared" si="20"/>
        <v>309.2281395824665</v>
      </c>
      <c r="Q606" s="297">
        <f t="shared" si="21"/>
        <v>85.847541340218015</v>
      </c>
      <c r="R606" s="297">
        <f t="shared" si="22"/>
        <v>12.338005754313022</v>
      </c>
      <c r="S606" s="297">
        <f t="shared" si="23"/>
        <v>397.82572254156412</v>
      </c>
      <c r="T606" s="297">
        <f t="shared" si="24"/>
        <v>194.76059078143837</v>
      </c>
      <c r="U606" s="294">
        <f t="shared" si="13"/>
        <v>1000</v>
      </c>
      <c r="V606" s="295" t="str">
        <f t="shared" si="36"/>
        <v>OKAY</v>
      </c>
      <c r="W606" s="295"/>
      <c r="X606" s="296">
        <f>SUM($P606:$Q606)-(SUM($P606:$Q606)*(VLOOKUP($B606,Lifetime_morbidity_array!$A$6:$Y$24,4)+VLOOKUP($B606,Lifetime_morbidity_array!$A$6:$Y$24,7)+VLOOKUP($B606,Lifetime_morbidity_array!$A$6:$Y$24,10)+VLOOKUP($B606,Lifetime_morbidity_array!$A$6:$Y$24,13)))</f>
        <v>29.288324365989695</v>
      </c>
      <c r="Y606" s="297">
        <f>SUM($R606:$S606)-(SUM($R606:$S606)*(VLOOKUP($B606,Lifetime_morbidity_array!$A$6:$Y$24,3)+VLOOKUP($B606,Lifetime_morbidity_array!$A$6:$Y$24,6)+VLOOKUP($B606,Lifetime_morbidity_array!$A$6:$Y$24,9)+VLOOKUP($B606,Lifetime_morbidity_array!$A$6:$Y$24,12)))</f>
        <v>227.05181897164292</v>
      </c>
      <c r="Z606" s="297">
        <f>(SUM($P606:$Q606)*VLOOKUP($B606,Lifetime_morbidity_array!$A$6:$Y$24,4))+(SUM($R606:$S606)*VLOOKUP($B606,Lifetime_morbidity_array!$A$6:$Y$24,3))</f>
        <v>227.40831635745548</v>
      </c>
      <c r="AA606" s="297">
        <f>(SUM($P606:$Q606)*VLOOKUP($B606,Lifetime_morbidity_array!$A$6:$Y$24,7))+(SUM($R606:$S606)*VLOOKUP($B606,Lifetime_morbidity_array!$A$6:$Y$24,6))</f>
        <v>201.55954444950592</v>
      </c>
      <c r="AB606" s="297">
        <f>(SUM($P606:$Q606)*VLOOKUP($B606,Lifetime_morbidity_array!$A$6:$Y$24,10))+(SUM($R606:$S606)*VLOOKUP($B606,Lifetime_morbidity_array!$A$6:$Y$24,9))</f>
        <v>7.4167638983515305</v>
      </c>
      <c r="AC606" s="297">
        <f>(SUM($P606:$Q606)*VLOOKUP($B606,Lifetime_morbidity_array!$A$6:$Y$24,13))+(SUM($R606:$S606)*VLOOKUP($B606,Lifetime_morbidity_array!$A$6:$Y$24,12))</f>
        <v>112.51464117561612</v>
      </c>
      <c r="AD606" s="294"/>
      <c r="AE606" s="294">
        <f t="shared" si="25"/>
        <v>78</v>
      </c>
      <c r="AF606" s="297">
        <f t="shared" si="42"/>
        <v>139.30515316301714</v>
      </c>
      <c r="AG606" s="297">
        <f t="shared" si="27"/>
        <v>23650.400440780315</v>
      </c>
      <c r="AH606" s="294"/>
      <c r="AI606" s="294">
        <f t="shared" si="28"/>
        <v>78</v>
      </c>
      <c r="AJ606" s="295">
        <f>((VLOOKUP($B606,'Mahawesran Tariff'!$A$21:$M$120,7)*$X606)+(VLOOKUP($B606,'Mahawesran Tariff'!$A$21:$M$120,6)*$Y606)+(DET_UTIL_chd*$Z606)+(DET_UTIL_copd*$AA606)+(DET_UTIL_lc*$AB606)+(DET_UTIL_stroke*$AC606))/((1+Discount_rate_QALYs)^$A606)</f>
        <v>108.91999054826755</v>
      </c>
      <c r="AK606" s="295">
        <f t="shared" si="29"/>
        <v>21907.397106534685</v>
      </c>
      <c r="AL606" s="294"/>
      <c r="AM606" s="294">
        <f t="shared" si="14"/>
        <v>78</v>
      </c>
      <c r="AN606" s="299">
        <f t="shared" si="40"/>
        <v>536883.10435078596</v>
      </c>
      <c r="AO606" s="299">
        <f t="shared" si="30"/>
        <v>15579484.095498942</v>
      </c>
      <c r="AP606" s="294"/>
      <c r="AQ606" s="294">
        <f t="shared" si="16"/>
        <v>78</v>
      </c>
      <c r="AR606" s="298">
        <f t="shared" si="37"/>
        <v>0.80523940921856163</v>
      </c>
      <c r="AS606" s="298">
        <f t="shared" si="38"/>
        <v>0.19476059078143837</v>
      </c>
      <c r="AT606" s="298">
        <f t="shared" si="39"/>
        <v>0.54889926588092908</v>
      </c>
      <c r="AU606" s="250"/>
      <c r="AV606" s="294">
        <f t="shared" si="17"/>
        <v>78</v>
      </c>
      <c r="AW606" s="299">
        <f t="shared" si="41"/>
        <v>536883.10435078596</v>
      </c>
      <c r="AX606" s="299">
        <f t="shared" si="31"/>
        <v>15579484.095498942</v>
      </c>
      <c r="AY606" s="335"/>
      <c r="AZ606" s="335"/>
      <c r="BA606" s="335"/>
      <c r="BB606" s="335"/>
      <c r="BC606" s="335"/>
      <c r="BD606" s="335"/>
      <c r="BE606" s="335"/>
      <c r="BF606" s="335"/>
      <c r="BG606" s="335"/>
      <c r="BH606" s="335"/>
      <c r="BI606" s="335"/>
      <c r="BJ606" s="335"/>
      <c r="BK606" s="364"/>
      <c r="BL606" s="364"/>
      <c r="BM606" s="364"/>
      <c r="BN606" s="364"/>
      <c r="BO606" s="364"/>
      <c r="BP606" s="364"/>
      <c r="BQ606" s="335"/>
      <c r="BR606" s="335"/>
      <c r="BS606" s="364"/>
      <c r="BT606" s="364"/>
      <c r="BU606" s="364"/>
      <c r="BV606" s="364"/>
      <c r="BW606" s="364"/>
      <c r="BX606" s="364"/>
      <c r="BY606" s="335"/>
      <c r="BZ606" s="335"/>
      <c r="CA606" s="364"/>
      <c r="CB606" s="364"/>
      <c r="CC606" s="335"/>
      <c r="CD606" s="335"/>
      <c r="CE606" s="335"/>
      <c r="CF606" s="335"/>
      <c r="CG606" s="335"/>
      <c r="CH606" s="335"/>
      <c r="CI606" s="365"/>
      <c r="CJ606" s="365"/>
      <c r="CK606" s="335"/>
      <c r="CL606" s="335"/>
      <c r="CM606" s="366"/>
      <c r="CN606" s="366"/>
      <c r="CO606" s="366"/>
      <c r="CP606" s="3"/>
    </row>
    <row r="607" spans="1:94" x14ac:dyDescent="0.25">
      <c r="A607" s="34">
        <v>52</v>
      </c>
      <c r="B607" s="33">
        <f t="shared" si="19"/>
        <v>79</v>
      </c>
      <c r="C607" s="294">
        <f>VLOOKUP($B607,'Mother mortality'!$A$23:$I$124,5)</f>
        <v>2.0013255646516091E-2</v>
      </c>
      <c r="D607" s="295">
        <f t="shared" si="32"/>
        <v>0.27</v>
      </c>
      <c r="E607" s="295">
        <f t="shared" si="9"/>
        <v>0.70998674435348386</v>
      </c>
      <c r="F607" s="295">
        <f>VLOOKUP($B607,'Mother mortality'!$A$23:$I$124,5)</f>
        <v>2.0013255646516091E-2</v>
      </c>
      <c r="G607" s="295">
        <f t="shared" si="33"/>
        <v>0.14000000000000001</v>
      </c>
      <c r="H607" s="295">
        <f t="shared" si="10"/>
        <v>0.83998674435348386</v>
      </c>
      <c r="I607" s="295">
        <f>VLOOKUP($B607,'Mother mortality'!$A$23:$I$124,4)</f>
        <v>1.4594572278072584E-2</v>
      </c>
      <c r="J607" s="295">
        <f t="shared" si="11"/>
        <v>0.41397685629335601</v>
      </c>
      <c r="K607" s="295">
        <f t="shared" si="34"/>
        <v>0.5714285714285714</v>
      </c>
      <c r="L607" s="295">
        <f>VLOOKUP($B607,'Mother mortality'!$A$23:$I$124,4)</f>
        <v>1.4594572278072584E-2</v>
      </c>
      <c r="M607" s="295">
        <f t="shared" si="35"/>
        <v>8.6261668788331098E-3</v>
      </c>
      <c r="N607" s="295">
        <f t="shared" si="12"/>
        <v>0.9767792608430943</v>
      </c>
      <c r="O607" s="294"/>
      <c r="P607" s="296">
        <f t="shared" si="20"/>
        <v>300.19803675219663</v>
      </c>
      <c r="Q607" s="297">
        <f t="shared" si="21"/>
        <v>83.491597687265966</v>
      </c>
      <c r="R607" s="297">
        <f t="shared" si="22"/>
        <v>12.018655787630523</v>
      </c>
      <c r="S607" s="297">
        <f t="shared" si="23"/>
        <v>395.63820421098347</v>
      </c>
      <c r="T607" s="297">
        <f t="shared" si="24"/>
        <v>208.65350556192337</v>
      </c>
      <c r="U607" s="294">
        <f t="shared" si="13"/>
        <v>999.99999999999989</v>
      </c>
      <c r="V607" s="295" t="str">
        <f t="shared" si="36"/>
        <v>OKAY</v>
      </c>
      <c r="W607" s="295"/>
      <c r="X607" s="296">
        <f>SUM($P607:$Q607)-(SUM($P607:$Q607)*(VLOOKUP($B607,Lifetime_morbidity_array!$A$6:$Y$24,4)+VLOOKUP($B607,Lifetime_morbidity_array!$A$6:$Y$24,7)+VLOOKUP($B607,Lifetime_morbidity_array!$A$6:$Y$24,10)+VLOOKUP($B607,Lifetime_morbidity_array!$A$6:$Y$24,13)))</f>
        <v>28.444237425816539</v>
      </c>
      <c r="Y607" s="297">
        <f>SUM($R607:$S607)-(SUM($R607:$S607)*(VLOOKUP($B607,Lifetime_morbidity_array!$A$6:$Y$24,3)+VLOOKUP($B607,Lifetime_morbidity_array!$A$6:$Y$24,6)+VLOOKUP($B607,Lifetime_morbidity_array!$A$6:$Y$24,9)+VLOOKUP($B607,Lifetime_morbidity_array!$A$6:$Y$24,12)))</f>
        <v>225.66410726641539</v>
      </c>
      <c r="Z607" s="297">
        <f>(SUM($P607:$Q607)*VLOOKUP($B607,Lifetime_morbidity_array!$A$6:$Y$24,4))+(SUM($R607:$S607)*VLOOKUP($B607,Lifetime_morbidity_array!$A$6:$Y$24,3))</f>
        <v>222.76243916116422</v>
      </c>
      <c r="AA607" s="297">
        <f>(SUM($P607:$Q607)*VLOOKUP($B607,Lifetime_morbidity_array!$A$6:$Y$24,7))+(SUM($R607:$S607)*VLOOKUP($B607,Lifetime_morbidity_array!$A$6:$Y$24,6))</f>
        <v>196.93648722351054</v>
      </c>
      <c r="AB607" s="297">
        <f>(SUM($P607:$Q607)*VLOOKUP($B607,Lifetime_morbidity_array!$A$6:$Y$24,10))+(SUM($R607:$S607)*VLOOKUP($B607,Lifetime_morbidity_array!$A$6:$Y$24,9))</f>
        <v>7.2405696321833677</v>
      </c>
      <c r="AC607" s="297">
        <f>(SUM($P607:$Q607)*VLOOKUP($B607,Lifetime_morbidity_array!$A$6:$Y$24,13))+(SUM($R607:$S607)*VLOOKUP($B607,Lifetime_morbidity_array!$A$6:$Y$24,12))</f>
        <v>110.29865372898644</v>
      </c>
      <c r="AD607" s="294"/>
      <c r="AE607" s="294">
        <f t="shared" si="25"/>
        <v>79</v>
      </c>
      <c r="AF607" s="297">
        <f t="shared" si="42"/>
        <v>132.27217461340373</v>
      </c>
      <c r="AG607" s="297">
        <f t="shared" si="27"/>
        <v>23782.67261539372</v>
      </c>
      <c r="AH607" s="294"/>
      <c r="AI607" s="294">
        <f t="shared" si="28"/>
        <v>79</v>
      </c>
      <c r="AJ607" s="295">
        <f>((VLOOKUP($B607,'Mahawesran Tariff'!$A$21:$M$120,7)*$X607)+(VLOOKUP($B607,'Mahawesran Tariff'!$A$21:$M$120,6)*$Y607)+(DET_UTIL_chd*$Z607)+(DET_UTIL_copd*$AA607)+(DET_UTIL_lc*$AB607)+(DET_UTIL_stroke*$AC607))/((1+Discount_rate_QALYs)^$A607)</f>
        <v>103.48554769796749</v>
      </c>
      <c r="AK607" s="295">
        <f t="shared" si="29"/>
        <v>22010.882654232653</v>
      </c>
      <c r="AL607" s="294"/>
      <c r="AM607" s="294">
        <f t="shared" si="14"/>
        <v>79</v>
      </c>
      <c r="AN607" s="299">
        <f t="shared" si="40"/>
        <v>508319.67243017483</v>
      </c>
      <c r="AO607" s="299">
        <f t="shared" si="30"/>
        <v>16087803.767929116</v>
      </c>
      <c r="AP607" s="294"/>
      <c r="AQ607" s="294">
        <f t="shared" si="16"/>
        <v>79</v>
      </c>
      <c r="AR607" s="298">
        <f t="shared" si="37"/>
        <v>0.79134649443807659</v>
      </c>
      <c r="AS607" s="298">
        <f t="shared" si="38"/>
        <v>0.20865350556192336</v>
      </c>
      <c r="AT607" s="298">
        <f t="shared" si="39"/>
        <v>0.53723814974584461</v>
      </c>
      <c r="AU607" s="250"/>
      <c r="AV607" s="294">
        <f t="shared" si="17"/>
        <v>79</v>
      </c>
      <c r="AW607" s="299">
        <f t="shared" si="41"/>
        <v>508319.67243017483</v>
      </c>
      <c r="AX607" s="299">
        <f t="shared" si="31"/>
        <v>16087803.767929116</v>
      </c>
      <c r="AY607" s="335"/>
      <c r="AZ607" s="335"/>
      <c r="BA607" s="335"/>
      <c r="BB607" s="335"/>
      <c r="BC607" s="335"/>
      <c r="BD607" s="335"/>
      <c r="BE607" s="335"/>
      <c r="BF607" s="335"/>
      <c r="BG607" s="335"/>
      <c r="BH607" s="335"/>
      <c r="BI607" s="335"/>
      <c r="BJ607" s="335"/>
      <c r="BK607" s="364"/>
      <c r="BL607" s="364"/>
      <c r="BM607" s="364"/>
      <c r="BN607" s="364"/>
      <c r="BO607" s="364"/>
      <c r="BP607" s="364"/>
      <c r="BQ607" s="335"/>
      <c r="BR607" s="335"/>
      <c r="BS607" s="364"/>
      <c r="BT607" s="364"/>
      <c r="BU607" s="364"/>
      <c r="BV607" s="364"/>
      <c r="BW607" s="364"/>
      <c r="BX607" s="364"/>
      <c r="BY607" s="335"/>
      <c r="BZ607" s="335"/>
      <c r="CA607" s="364"/>
      <c r="CB607" s="364"/>
      <c r="CC607" s="335"/>
      <c r="CD607" s="335"/>
      <c r="CE607" s="335"/>
      <c r="CF607" s="335"/>
      <c r="CG607" s="335"/>
      <c r="CH607" s="335"/>
      <c r="CI607" s="365"/>
      <c r="CJ607" s="365"/>
      <c r="CK607" s="335"/>
      <c r="CL607" s="335"/>
      <c r="CM607" s="366"/>
      <c r="CN607" s="366"/>
      <c r="CO607" s="366"/>
      <c r="CP607" s="3"/>
    </row>
    <row r="608" spans="1:94" x14ac:dyDescent="0.25">
      <c r="A608" s="34">
        <v>53</v>
      </c>
      <c r="B608" s="33">
        <f t="shared" si="19"/>
        <v>80</v>
      </c>
      <c r="C608" s="294">
        <f>VLOOKUP($B608,'Mother mortality'!$A$23:$I$124,5)</f>
        <v>2.2115391589557606E-2</v>
      </c>
      <c r="D608" s="295">
        <f t="shared" si="32"/>
        <v>0.27</v>
      </c>
      <c r="E608" s="295">
        <f t="shared" si="9"/>
        <v>0.70788460841044243</v>
      </c>
      <c r="F608" s="295">
        <f>VLOOKUP($B608,'Mother mortality'!$A$23:$I$124,5)</f>
        <v>2.2115391589557606E-2</v>
      </c>
      <c r="G608" s="295">
        <f t="shared" si="33"/>
        <v>0.14000000000000001</v>
      </c>
      <c r="H608" s="295">
        <f t="shared" si="10"/>
        <v>0.83788460841044243</v>
      </c>
      <c r="I608" s="295">
        <f>VLOOKUP($B608,'Mother mortality'!$A$23:$I$124,4)</f>
        <v>1.6127544998800029E-2</v>
      </c>
      <c r="J608" s="295">
        <f t="shared" si="11"/>
        <v>0.41244388357262862</v>
      </c>
      <c r="K608" s="295">
        <f t="shared" si="34"/>
        <v>0.5714285714285714</v>
      </c>
      <c r="L608" s="295">
        <f>VLOOKUP($B608,'Mother mortality'!$A$23:$I$124,4)</f>
        <v>1.6127544998800029E-2</v>
      </c>
      <c r="M608" s="295">
        <f t="shared" si="35"/>
        <v>8.6261668788331098E-3</v>
      </c>
      <c r="N608" s="295">
        <f t="shared" si="12"/>
        <v>0.97524628812236691</v>
      </c>
      <c r="O608" s="294"/>
      <c r="P608" s="296">
        <f t="shared" si="20"/>
        <v>290.83175656720817</v>
      </c>
      <c r="Q608" s="297">
        <f t="shared" si="21"/>
        <v>81.05346992309309</v>
      </c>
      <c r="R608" s="297">
        <f t="shared" si="22"/>
        <v>11.688823676217236</v>
      </c>
      <c r="S608" s="297">
        <f t="shared" si="23"/>
        <v>392.71249340337806</v>
      </c>
      <c r="T608" s="297">
        <f t="shared" si="24"/>
        <v>223.71345643010349</v>
      </c>
      <c r="U608" s="294">
        <f t="shared" si="13"/>
        <v>1000.0000000000001</v>
      </c>
      <c r="V608" s="295" t="str">
        <f t="shared" si="36"/>
        <v>OKAY</v>
      </c>
      <c r="W608" s="295"/>
      <c r="X608" s="296">
        <f>SUM($P608:$Q608)-(SUM($P608:$Q608)*(VLOOKUP($B608,Lifetime_morbidity_array!$A$6:$Y$24,4)+VLOOKUP($B608,Lifetime_morbidity_array!$A$6:$Y$24,7)+VLOOKUP($B608,Lifetime_morbidity_array!$A$6:$Y$24,10)+VLOOKUP($B608,Lifetime_morbidity_array!$A$6:$Y$24,13)))</f>
        <v>28.322800639036188</v>
      </c>
      <c r="Y608" s="297">
        <f>SUM($R608:$S608)-(SUM($R608:$S608)*(VLOOKUP($B608,Lifetime_morbidity_array!$A$6:$Y$24,3)+VLOOKUP($B608,Lifetime_morbidity_array!$A$6:$Y$24,6)+VLOOKUP($B608,Lifetime_morbidity_array!$A$6:$Y$24,9)+VLOOKUP($B608,Lifetime_morbidity_array!$A$6:$Y$24,12)))</f>
        <v>224.13632395857584</v>
      </c>
      <c r="Z608" s="297">
        <f>(SUM($P608:$Q608)*VLOOKUP($B608,Lifetime_morbidity_array!$A$6:$Y$24,4))+(SUM($R608:$S608)*VLOOKUP($B608,Lifetime_morbidity_array!$A$6:$Y$24,3))</f>
        <v>217.46724977027552</v>
      </c>
      <c r="AA608" s="297">
        <f>(SUM($P608:$Q608)*VLOOKUP($B608,Lifetime_morbidity_array!$A$6:$Y$24,7))+(SUM($R608:$S608)*VLOOKUP($B608,Lifetime_morbidity_array!$A$6:$Y$24,6))</f>
        <v>191.10269723200378</v>
      </c>
      <c r="AB608" s="297">
        <f>(SUM($P608:$Q608)*VLOOKUP($B608,Lifetime_morbidity_array!$A$6:$Y$24,10))+(SUM($R608:$S608)*VLOOKUP($B608,Lifetime_morbidity_array!$A$6:$Y$24,9))</f>
        <v>7.0539005836793525</v>
      </c>
      <c r="AC608" s="297">
        <f>(SUM($P608:$Q608)*VLOOKUP($B608,Lifetime_morbidity_array!$A$6:$Y$24,13))+(SUM($R608:$S608)*VLOOKUP($B608,Lifetime_morbidity_array!$A$6:$Y$24,12))</f>
        <v>108.20357138632588</v>
      </c>
      <c r="AD608" s="294"/>
      <c r="AE608" s="294">
        <f t="shared" si="25"/>
        <v>80</v>
      </c>
      <c r="AF608" s="297">
        <f t="shared" si="42"/>
        <v>125.36708243029462</v>
      </c>
      <c r="AG608" s="297">
        <f t="shared" si="27"/>
        <v>23908.039697824013</v>
      </c>
      <c r="AH608" s="294"/>
      <c r="AI608" s="294">
        <f t="shared" si="28"/>
        <v>80</v>
      </c>
      <c r="AJ608" s="295">
        <f>((VLOOKUP($B608,'Mahawesran Tariff'!$A$21:$M$120,7)*$X608)+(VLOOKUP($B608,'Mahawesran Tariff'!$A$21:$M$120,6)*$Y608)+(DET_UTIL_chd*$Z608)+(DET_UTIL_copd*$AA608)+(DET_UTIL_lc*$AB608)+(DET_UTIL_stroke*$AC608))/((1+Discount_rate_QALYs)^$A608)</f>
        <v>98.170563071438522</v>
      </c>
      <c r="AK608" s="295">
        <f t="shared" si="29"/>
        <v>22109.053217304092</v>
      </c>
      <c r="AL608" s="294"/>
      <c r="AM608" s="294">
        <f t="shared" si="14"/>
        <v>80</v>
      </c>
      <c r="AN608" s="299">
        <f t="shared" si="40"/>
        <v>481124.38528466178</v>
      </c>
      <c r="AO608" s="299">
        <f t="shared" si="30"/>
        <v>16568928.153213779</v>
      </c>
      <c r="AP608" s="294"/>
      <c r="AQ608" s="294">
        <f t="shared" si="16"/>
        <v>80</v>
      </c>
      <c r="AR608" s="298">
        <f t="shared" si="37"/>
        <v>0.77628654356989657</v>
      </c>
      <c r="AS608" s="298">
        <f t="shared" si="38"/>
        <v>0.22371345643010349</v>
      </c>
      <c r="AT608" s="298">
        <f t="shared" si="39"/>
        <v>0.52382741897228446</v>
      </c>
      <c r="AU608" s="250"/>
      <c r="AV608" s="294">
        <f t="shared" si="17"/>
        <v>80</v>
      </c>
      <c r="AW608" s="299">
        <f t="shared" si="41"/>
        <v>481124.38528466178</v>
      </c>
      <c r="AX608" s="299">
        <f t="shared" si="31"/>
        <v>16568928.153213779</v>
      </c>
      <c r="AY608" s="335"/>
      <c r="AZ608" s="335"/>
      <c r="BA608" s="335"/>
      <c r="BB608" s="335"/>
      <c r="BC608" s="335"/>
      <c r="BD608" s="335"/>
      <c r="BE608" s="335"/>
      <c r="BF608" s="335"/>
      <c r="BG608" s="335"/>
      <c r="BH608" s="335"/>
      <c r="BI608" s="335"/>
      <c r="BJ608" s="335"/>
      <c r="BK608" s="364"/>
      <c r="BL608" s="364"/>
      <c r="BM608" s="364"/>
      <c r="BN608" s="364"/>
      <c r="BO608" s="364"/>
      <c r="BP608" s="364"/>
      <c r="BQ608" s="335"/>
      <c r="BR608" s="335"/>
      <c r="BS608" s="364"/>
      <c r="BT608" s="364"/>
      <c r="BU608" s="364"/>
      <c r="BV608" s="364"/>
      <c r="BW608" s="364"/>
      <c r="BX608" s="364"/>
      <c r="BY608" s="335"/>
      <c r="BZ608" s="335"/>
      <c r="CA608" s="364"/>
      <c r="CB608" s="364"/>
      <c r="CC608" s="335"/>
      <c r="CD608" s="335"/>
      <c r="CE608" s="335"/>
      <c r="CF608" s="335"/>
      <c r="CG608" s="335"/>
      <c r="CH608" s="335"/>
      <c r="CI608" s="365"/>
      <c r="CJ608" s="365"/>
      <c r="CK608" s="335"/>
      <c r="CL608" s="335"/>
      <c r="CM608" s="366"/>
      <c r="CN608" s="366"/>
      <c r="CO608" s="366"/>
      <c r="CP608" s="3"/>
    </row>
    <row r="609" spans="1:94" x14ac:dyDescent="0.25">
      <c r="A609" s="34">
        <v>54</v>
      </c>
      <c r="B609" s="33">
        <f t="shared" si="19"/>
        <v>81</v>
      </c>
      <c r="C609" s="294">
        <f>VLOOKUP($B609,'Mother mortality'!$A$23:$I$124,5)</f>
        <v>2.4461462361003702E-2</v>
      </c>
      <c r="D609" s="295">
        <f t="shared" si="32"/>
        <v>0.27</v>
      </c>
      <c r="E609" s="295">
        <f t="shared" si="9"/>
        <v>0.70553853763899632</v>
      </c>
      <c r="F609" s="295">
        <f>VLOOKUP($B609,'Mother mortality'!$A$23:$I$124,5)</f>
        <v>2.4461462361003702E-2</v>
      </c>
      <c r="G609" s="295">
        <f t="shared" si="33"/>
        <v>0.14000000000000001</v>
      </c>
      <c r="H609" s="295">
        <f t="shared" si="10"/>
        <v>0.83553853763899633</v>
      </c>
      <c r="I609" s="295">
        <f>VLOOKUP($B609,'Mother mortality'!$A$23:$I$124,4)</f>
        <v>1.7838406042505531E-2</v>
      </c>
      <c r="J609" s="295">
        <f t="shared" si="11"/>
        <v>0.41073302252892308</v>
      </c>
      <c r="K609" s="295">
        <f t="shared" si="34"/>
        <v>0.5714285714285714</v>
      </c>
      <c r="L609" s="295">
        <f>VLOOKUP($B609,'Mother mortality'!$A$23:$I$124,4)</f>
        <v>1.7838406042505531E-2</v>
      </c>
      <c r="M609" s="295">
        <f t="shared" si="35"/>
        <v>8.6261668788331098E-3</v>
      </c>
      <c r="N609" s="295">
        <f t="shared" si="12"/>
        <v>0.97353542707866136</v>
      </c>
      <c r="O609" s="294"/>
      <c r="P609" s="296">
        <f t="shared" si="20"/>
        <v>281.10489933935673</v>
      </c>
      <c r="Q609" s="297">
        <f t="shared" si="21"/>
        <v>78.524574273146214</v>
      </c>
      <c r="R609" s="297">
        <f t="shared" si="22"/>
        <v>11.347485789233033</v>
      </c>
      <c r="S609" s="297">
        <f t="shared" si="23"/>
        <v>388.99885279956493</v>
      </c>
      <c r="T609" s="297">
        <f t="shared" si="24"/>
        <v>240.02418779869916</v>
      </c>
      <c r="U609" s="294">
        <f t="shared" si="13"/>
        <v>1000</v>
      </c>
      <c r="V609" s="295" t="str">
        <f t="shared" si="36"/>
        <v>OKAY</v>
      </c>
      <c r="W609" s="295"/>
      <c r="X609" s="296">
        <f>SUM($P609:$Q609)-(SUM($P609:$Q609)*(VLOOKUP($B609,Lifetime_morbidity_array!$A$6:$Y$24,4)+VLOOKUP($B609,Lifetime_morbidity_array!$A$6:$Y$24,7)+VLOOKUP($B609,Lifetime_morbidity_array!$A$6:$Y$24,10)+VLOOKUP($B609,Lifetime_morbidity_array!$A$6:$Y$24,13)))</f>
        <v>27.38940178177279</v>
      </c>
      <c r="Y609" s="297">
        <f>SUM($R609:$S609)-(SUM($R609:$S609)*(VLOOKUP($B609,Lifetime_morbidity_array!$A$6:$Y$24,3)+VLOOKUP($B609,Lifetime_morbidity_array!$A$6:$Y$24,6)+VLOOKUP($B609,Lifetime_morbidity_array!$A$6:$Y$24,9)+VLOOKUP($B609,Lifetime_morbidity_array!$A$6:$Y$24,12)))</f>
        <v>221.88888327459921</v>
      </c>
      <c r="Z609" s="297">
        <f>(SUM($P609:$Q609)*VLOOKUP($B609,Lifetime_morbidity_array!$A$6:$Y$24,4))+(SUM($R609:$S609)*VLOOKUP($B609,Lifetime_morbidity_array!$A$6:$Y$24,3))</f>
        <v>212.19693348496125</v>
      </c>
      <c r="AA609" s="297">
        <f>(SUM($P609:$Q609)*VLOOKUP($B609,Lifetime_morbidity_array!$A$6:$Y$24,7))+(SUM($R609:$S609)*VLOOKUP($B609,Lifetime_morbidity_array!$A$6:$Y$24,6))</f>
        <v>185.9794506558984</v>
      </c>
      <c r="AB609" s="297">
        <f>(SUM($P609:$Q609)*VLOOKUP($B609,Lifetime_morbidity_array!$A$6:$Y$24,10))+(SUM($R609:$S609)*VLOOKUP($B609,Lifetime_morbidity_array!$A$6:$Y$24,9))</f>
        <v>6.8588151812758493</v>
      </c>
      <c r="AC609" s="297">
        <f>(SUM($P609:$Q609)*VLOOKUP($B609,Lifetime_morbidity_array!$A$6:$Y$24,13))+(SUM($R609:$S609)*VLOOKUP($B609,Lifetime_morbidity_array!$A$6:$Y$24,12))</f>
        <v>105.66232782279332</v>
      </c>
      <c r="AD609" s="294"/>
      <c r="AE609" s="294">
        <f t="shared" si="25"/>
        <v>81</v>
      </c>
      <c r="AF609" s="297">
        <f t="shared" si="42"/>
        <v>118.58257626242003</v>
      </c>
      <c r="AG609" s="297">
        <f t="shared" si="27"/>
        <v>24026.622274086432</v>
      </c>
      <c r="AH609" s="294"/>
      <c r="AI609" s="294">
        <f t="shared" si="28"/>
        <v>81</v>
      </c>
      <c r="AJ609" s="295">
        <f>((VLOOKUP($B609,'Mahawesran Tariff'!$A$21:$M$120,7)*$X609)+(VLOOKUP($B609,'Mahawesran Tariff'!$A$21:$M$120,6)*$Y609)+(DET_UTIL_chd*$Z609)+(DET_UTIL_copd*$AA609)+(DET_UTIL_lc*$AB609)+(DET_UTIL_stroke*$AC609))/((1+Discount_rate_QALYs)^$A609)</f>
        <v>92.916252766501373</v>
      </c>
      <c r="AK609" s="295">
        <f t="shared" si="29"/>
        <v>22201.969470070595</v>
      </c>
      <c r="AL609" s="294"/>
      <c r="AM609" s="294">
        <f t="shared" si="14"/>
        <v>81</v>
      </c>
      <c r="AN609" s="299">
        <f t="shared" si="40"/>
        <v>453762.81359329249</v>
      </c>
      <c r="AO609" s="299">
        <f t="shared" si="30"/>
        <v>17022690.966807071</v>
      </c>
      <c r="AP609" s="294"/>
      <c r="AQ609" s="294">
        <f t="shared" si="16"/>
        <v>81</v>
      </c>
      <c r="AR609" s="298">
        <f t="shared" si="37"/>
        <v>0.75997581220130084</v>
      </c>
      <c r="AS609" s="298">
        <f t="shared" si="38"/>
        <v>0.24002418779869916</v>
      </c>
      <c r="AT609" s="298">
        <f t="shared" si="39"/>
        <v>0.51069752714492889</v>
      </c>
      <c r="AU609" s="250"/>
      <c r="AV609" s="294">
        <f t="shared" si="17"/>
        <v>81</v>
      </c>
      <c r="AW609" s="299">
        <f t="shared" si="41"/>
        <v>453762.81359329249</v>
      </c>
      <c r="AX609" s="299">
        <f t="shared" si="31"/>
        <v>17022690.966807071</v>
      </c>
      <c r="AY609" s="335"/>
      <c r="AZ609" s="335"/>
      <c r="BA609" s="335"/>
      <c r="BB609" s="335"/>
      <c r="BC609" s="335"/>
      <c r="BD609" s="335"/>
      <c r="BE609" s="335"/>
      <c r="BF609" s="335"/>
      <c r="BG609" s="335"/>
      <c r="BH609" s="335"/>
      <c r="BI609" s="335"/>
      <c r="BJ609" s="335"/>
      <c r="BK609" s="364"/>
      <c r="BL609" s="364"/>
      <c r="BM609" s="364"/>
      <c r="BN609" s="364"/>
      <c r="BO609" s="364"/>
      <c r="BP609" s="364"/>
      <c r="BQ609" s="335"/>
      <c r="BR609" s="335"/>
      <c r="BS609" s="364"/>
      <c r="BT609" s="364"/>
      <c r="BU609" s="364"/>
      <c r="BV609" s="364"/>
      <c r="BW609" s="364"/>
      <c r="BX609" s="364"/>
      <c r="BY609" s="335"/>
      <c r="BZ609" s="335"/>
      <c r="CA609" s="364"/>
      <c r="CB609" s="364"/>
      <c r="CC609" s="335"/>
      <c r="CD609" s="335"/>
      <c r="CE609" s="335"/>
      <c r="CF609" s="335"/>
      <c r="CG609" s="335"/>
      <c r="CH609" s="335"/>
      <c r="CI609" s="365"/>
      <c r="CJ609" s="365"/>
      <c r="CK609" s="335"/>
      <c r="CL609" s="335"/>
      <c r="CM609" s="366"/>
      <c r="CN609" s="366"/>
      <c r="CO609" s="366"/>
      <c r="CP609" s="3"/>
    </row>
    <row r="610" spans="1:94" x14ac:dyDescent="0.25">
      <c r="A610" s="34">
        <v>55</v>
      </c>
      <c r="B610" s="33">
        <f t="shared" si="19"/>
        <v>82</v>
      </c>
      <c r="C610" s="294">
        <f>VLOOKUP($B610,'Mother mortality'!$A$23:$I$124,5)</f>
        <v>2.7081429828537902E-2</v>
      </c>
      <c r="D610" s="295">
        <f t="shared" si="32"/>
        <v>0.27</v>
      </c>
      <c r="E610" s="295">
        <f t="shared" si="9"/>
        <v>0.70291857017146209</v>
      </c>
      <c r="F610" s="295">
        <f>VLOOKUP($B610,'Mother mortality'!$A$23:$I$124,5)</f>
        <v>2.7081429828537902E-2</v>
      </c>
      <c r="G610" s="295">
        <f t="shared" si="33"/>
        <v>0.14000000000000001</v>
      </c>
      <c r="H610" s="295">
        <f t="shared" si="10"/>
        <v>0.83291857017146209</v>
      </c>
      <c r="I610" s="295">
        <f>VLOOKUP($B610,'Mother mortality'!$A$23:$I$124,4)</f>
        <v>1.9749004959867734E-2</v>
      </c>
      <c r="J610" s="295">
        <f t="shared" si="11"/>
        <v>0.40882242361156085</v>
      </c>
      <c r="K610" s="295">
        <f t="shared" si="34"/>
        <v>0.5714285714285714</v>
      </c>
      <c r="L610" s="295">
        <f>VLOOKUP($B610,'Mother mortality'!$A$23:$I$124,4)</f>
        <v>1.9749004959867734E-2</v>
      </c>
      <c r="M610" s="295">
        <f t="shared" si="35"/>
        <v>8.6261668788331098E-3</v>
      </c>
      <c r="N610" s="295">
        <f t="shared" si="12"/>
        <v>0.97162482816129914</v>
      </c>
      <c r="O610" s="294"/>
      <c r="P610" s="296">
        <f t="shared" si="20"/>
        <v>270.9931057009008</v>
      </c>
      <c r="Q610" s="297">
        <f t="shared" si="21"/>
        <v>75.898322821626323</v>
      </c>
      <c r="R610" s="297">
        <f t="shared" si="22"/>
        <v>10.993440398240471</v>
      </c>
      <c r="S610" s="297">
        <f t="shared" si="23"/>
        <v>384.4452211001672</v>
      </c>
      <c r="T610" s="297">
        <f t="shared" si="24"/>
        <v>257.66990997906521</v>
      </c>
      <c r="U610" s="294">
        <f t="shared" si="13"/>
        <v>1000</v>
      </c>
      <c r="V610" s="295" t="str">
        <f t="shared" si="36"/>
        <v>OKAY</v>
      </c>
      <c r="W610" s="295"/>
      <c r="X610" s="296">
        <f>SUM($P610:$Q610)-(SUM($P610:$Q610)*(VLOOKUP($B610,Lifetime_morbidity_array!$A$6:$Y$24,4)+VLOOKUP($B610,Lifetime_morbidity_array!$A$6:$Y$24,7)+VLOOKUP($B610,Lifetime_morbidity_array!$A$6:$Y$24,10)+VLOOKUP($B610,Lifetime_morbidity_array!$A$6:$Y$24,13)))</f>
        <v>26.419271521371513</v>
      </c>
      <c r="Y610" s="297">
        <f>SUM($R610:$S610)-(SUM($R610:$S610)*(VLOOKUP($B610,Lifetime_morbidity_array!$A$6:$Y$24,3)+VLOOKUP($B610,Lifetime_morbidity_array!$A$6:$Y$24,6)+VLOOKUP($B610,Lifetime_morbidity_array!$A$6:$Y$24,9)+VLOOKUP($B610,Lifetime_morbidity_array!$A$6:$Y$24,12)))</f>
        <v>219.16884094100985</v>
      </c>
      <c r="Z610" s="297">
        <f>(SUM($P610:$Q610)*VLOOKUP($B610,Lifetime_morbidity_array!$A$6:$Y$24,4))+(SUM($R610:$S610)*VLOOKUP($B610,Lifetime_morbidity_array!$A$6:$Y$24,3))</f>
        <v>206.57745298302655</v>
      </c>
      <c r="AA610" s="297">
        <f>(SUM($P610:$Q610)*VLOOKUP($B610,Lifetime_morbidity_array!$A$6:$Y$24,7))+(SUM($R610:$S610)*VLOOKUP($B610,Lifetime_morbidity_array!$A$6:$Y$24,6))</f>
        <v>180.56678275049313</v>
      </c>
      <c r="AB610" s="297">
        <f>(SUM($P610:$Q610)*VLOOKUP($B610,Lifetime_morbidity_array!$A$6:$Y$24,10))+(SUM($R610:$S610)*VLOOKUP($B610,Lifetime_morbidity_array!$A$6:$Y$24,9))</f>
        <v>6.6532584128066361</v>
      </c>
      <c r="AC610" s="297">
        <f>(SUM($P610:$Q610)*VLOOKUP($B610,Lifetime_morbidity_array!$A$6:$Y$24,13))+(SUM($R610:$S610)*VLOOKUP($B610,Lifetime_morbidity_array!$A$6:$Y$24,12))</f>
        <v>102.9444834122271</v>
      </c>
      <c r="AD610" s="294"/>
      <c r="AE610" s="294">
        <f t="shared" si="25"/>
        <v>82</v>
      </c>
      <c r="AF610" s="297">
        <f t="shared" si="42"/>
        <v>111.91230125341826</v>
      </c>
      <c r="AG610" s="297">
        <f t="shared" si="27"/>
        <v>24138.534575339851</v>
      </c>
      <c r="AH610" s="294"/>
      <c r="AI610" s="294">
        <f t="shared" si="28"/>
        <v>82</v>
      </c>
      <c r="AJ610" s="295">
        <f>((VLOOKUP($B610,'Mahawesran Tariff'!$A$21:$M$120,7)*$X610)+(VLOOKUP($B610,'Mahawesran Tariff'!$A$21:$M$120,6)*$Y610)+(DET_UTIL_chd*$Z610)+(DET_UTIL_copd*$AA610)+(DET_UTIL_lc*$AB610)+(DET_UTIL_stroke*$AC610))/((1+Discount_rate_QALYs)^$A610)</f>
        <v>87.745445858827793</v>
      </c>
      <c r="AK610" s="295">
        <f t="shared" si="29"/>
        <v>22289.714915929424</v>
      </c>
      <c r="AL610" s="294"/>
      <c r="AM610" s="294">
        <f t="shared" si="14"/>
        <v>82</v>
      </c>
      <c r="AN610" s="299">
        <f t="shared" si="40"/>
        <v>426974.51072240964</v>
      </c>
      <c r="AO610" s="299">
        <f t="shared" si="30"/>
        <v>17449665.477529481</v>
      </c>
      <c r="AP610" s="294"/>
      <c r="AQ610" s="294">
        <f t="shared" si="16"/>
        <v>82</v>
      </c>
      <c r="AR610" s="298">
        <f t="shared" si="37"/>
        <v>0.74233009002093475</v>
      </c>
      <c r="AS610" s="298">
        <f t="shared" si="38"/>
        <v>0.25766990997906519</v>
      </c>
      <c r="AT610" s="298">
        <f t="shared" si="39"/>
        <v>0.49674197755855343</v>
      </c>
      <c r="AU610" s="250"/>
      <c r="AV610" s="294">
        <f t="shared" si="17"/>
        <v>82</v>
      </c>
      <c r="AW610" s="299">
        <f t="shared" si="41"/>
        <v>426974.51072240964</v>
      </c>
      <c r="AX610" s="299">
        <f t="shared" si="31"/>
        <v>17449665.477529481</v>
      </c>
      <c r="AY610" s="335"/>
      <c r="AZ610" s="335"/>
      <c r="BA610" s="335"/>
      <c r="BB610" s="335"/>
      <c r="BC610" s="335"/>
      <c r="BD610" s="335"/>
      <c r="BE610" s="335"/>
      <c r="BF610" s="335"/>
      <c r="BG610" s="335"/>
      <c r="BH610" s="335"/>
      <c r="BI610" s="335"/>
      <c r="BJ610" s="335"/>
      <c r="BK610" s="364"/>
      <c r="BL610" s="364"/>
      <c r="BM610" s="364"/>
      <c r="BN610" s="364"/>
      <c r="BO610" s="364"/>
      <c r="BP610" s="364"/>
      <c r="BQ610" s="335"/>
      <c r="BR610" s="335"/>
      <c r="BS610" s="364"/>
      <c r="BT610" s="364"/>
      <c r="BU610" s="364"/>
      <c r="BV610" s="364"/>
      <c r="BW610" s="364"/>
      <c r="BX610" s="364"/>
      <c r="BY610" s="335"/>
      <c r="BZ610" s="335"/>
      <c r="CA610" s="364"/>
      <c r="CB610" s="364"/>
      <c r="CC610" s="335"/>
      <c r="CD610" s="335"/>
      <c r="CE610" s="335"/>
      <c r="CF610" s="335"/>
      <c r="CG610" s="335"/>
      <c r="CH610" s="335"/>
      <c r="CI610" s="365"/>
      <c r="CJ610" s="365"/>
      <c r="CK610" s="335"/>
      <c r="CL610" s="335"/>
      <c r="CM610" s="366"/>
      <c r="CN610" s="366"/>
      <c r="CO610" s="366"/>
      <c r="CP610" s="3"/>
    </row>
    <row r="611" spans="1:94" x14ac:dyDescent="0.25">
      <c r="A611" s="34">
        <v>56</v>
      </c>
      <c r="B611" s="33">
        <f t="shared" si="19"/>
        <v>83</v>
      </c>
      <c r="C611" s="294">
        <f>VLOOKUP($B611,'Mother mortality'!$A$23:$I$124,5)</f>
        <v>2.9997482733793764E-2</v>
      </c>
      <c r="D611" s="295">
        <f t="shared" si="32"/>
        <v>0.27</v>
      </c>
      <c r="E611" s="295">
        <f t="shared" si="9"/>
        <v>0.70000251726620621</v>
      </c>
      <c r="F611" s="295">
        <f>VLOOKUP($B611,'Mother mortality'!$A$23:$I$124,5)</f>
        <v>2.9997482733793764E-2</v>
      </c>
      <c r="G611" s="295">
        <f t="shared" si="33"/>
        <v>0.14000000000000001</v>
      </c>
      <c r="H611" s="295">
        <f t="shared" si="10"/>
        <v>0.83000251726620622</v>
      </c>
      <c r="I611" s="295">
        <f>VLOOKUP($B611,'Mother mortality'!$A$23:$I$124,4)</f>
        <v>2.1875522786059039E-2</v>
      </c>
      <c r="J611" s="295">
        <f t="shared" si="11"/>
        <v>0.40669590578536952</v>
      </c>
      <c r="K611" s="295">
        <f t="shared" si="34"/>
        <v>0.5714285714285714</v>
      </c>
      <c r="L611" s="295">
        <f>VLOOKUP($B611,'Mother mortality'!$A$23:$I$124,4)</f>
        <v>2.1875522786059039E-2</v>
      </c>
      <c r="M611" s="295">
        <f t="shared" si="35"/>
        <v>8.6261668788331098E-3</v>
      </c>
      <c r="N611" s="295">
        <f t="shared" si="12"/>
        <v>0.9694983103351078</v>
      </c>
      <c r="O611" s="294"/>
      <c r="P611" s="296">
        <f t="shared" si="20"/>
        <v>260.47893098409048</v>
      </c>
      <c r="Q611" s="297">
        <f t="shared" si="21"/>
        <v>73.168138539243216</v>
      </c>
      <c r="R611" s="297">
        <f t="shared" si="22"/>
        <v>10.625765195027686</v>
      </c>
      <c r="S611" s="297">
        <f t="shared" si="23"/>
        <v>379.00095821487071</v>
      </c>
      <c r="T611" s="297">
        <f t="shared" si="24"/>
        <v>276.72620706676787</v>
      </c>
      <c r="U611" s="294">
        <f t="shared" si="13"/>
        <v>999.99999999999989</v>
      </c>
      <c r="V611" s="295" t="str">
        <f t="shared" si="36"/>
        <v>OKAY</v>
      </c>
      <c r="W611" s="295"/>
      <c r="X611" s="296">
        <f>SUM($P611:$Q611)-(SUM($P611:$Q611)*(VLOOKUP($B611,Lifetime_morbidity_array!$A$6:$Y$24,4)+VLOOKUP($B611,Lifetime_morbidity_array!$A$6:$Y$24,7)+VLOOKUP($B611,Lifetime_morbidity_array!$A$6:$Y$24,10)+VLOOKUP($B611,Lifetime_morbidity_array!$A$6:$Y$24,13)))</f>
        <v>25.41058036397817</v>
      </c>
      <c r="Y611" s="297">
        <f>SUM($R611:$S611)-(SUM($R611:$S611)*(VLOOKUP($B611,Lifetime_morbidity_array!$A$6:$Y$24,3)+VLOOKUP($B611,Lifetime_morbidity_array!$A$6:$Y$24,6)+VLOOKUP($B611,Lifetime_morbidity_array!$A$6:$Y$24,9)+VLOOKUP($B611,Lifetime_morbidity_array!$A$6:$Y$24,12)))</f>
        <v>215.94761889445329</v>
      </c>
      <c r="Z611" s="297">
        <f>(SUM($P611:$Q611)*VLOOKUP($B611,Lifetime_morbidity_array!$A$6:$Y$24,4))+(SUM($R611:$S611)*VLOOKUP($B611,Lifetime_morbidity_array!$A$6:$Y$24,3))</f>
        <v>200.58955778554096</v>
      </c>
      <c r="AA611" s="297">
        <f>(SUM($P611:$Q611)*VLOOKUP($B611,Lifetime_morbidity_array!$A$6:$Y$24,7))+(SUM($R611:$S611)*VLOOKUP($B611,Lifetime_morbidity_array!$A$6:$Y$24,6))</f>
        <v>174.8491264048802</v>
      </c>
      <c r="AB611" s="297">
        <f>(SUM($P611:$Q611)*VLOOKUP($B611,Lifetime_morbidity_array!$A$6:$Y$24,10))+(SUM($R611:$S611)*VLOOKUP($B611,Lifetime_morbidity_array!$A$6:$Y$24,9))</f>
        <v>6.4366720743470927</v>
      </c>
      <c r="AC611" s="297">
        <f>(SUM($P611:$Q611)*VLOOKUP($B611,Lifetime_morbidity_array!$A$6:$Y$24,13))+(SUM($R611:$S611)*VLOOKUP($B611,Lifetime_morbidity_array!$A$6:$Y$24,12))</f>
        <v>100.04023741003238</v>
      </c>
      <c r="AD611" s="294"/>
      <c r="AE611" s="294">
        <f t="shared" si="25"/>
        <v>83</v>
      </c>
      <c r="AF611" s="297">
        <f t="shared" si="42"/>
        <v>105.35208638685282</v>
      </c>
      <c r="AG611" s="297">
        <f t="shared" si="27"/>
        <v>24243.886661726705</v>
      </c>
      <c r="AH611" s="294"/>
      <c r="AI611" s="294">
        <f t="shared" si="28"/>
        <v>83</v>
      </c>
      <c r="AJ611" s="295">
        <f>((VLOOKUP($B611,'Mahawesran Tariff'!$A$21:$M$120,7)*$X611)+(VLOOKUP($B611,'Mahawesran Tariff'!$A$21:$M$120,6)*$Y611)+(DET_UTIL_chd*$Z611)+(DET_UTIL_copd*$AA611)+(DET_UTIL_lc*$AB611)+(DET_UTIL_stroke*$AC611))/((1+Discount_rate_QALYs)^$A611)</f>
        <v>82.655129574738382</v>
      </c>
      <c r="AK611" s="295">
        <f t="shared" si="29"/>
        <v>22372.370045504162</v>
      </c>
      <c r="AL611" s="294"/>
      <c r="AM611" s="294">
        <f t="shared" si="14"/>
        <v>83</v>
      </c>
      <c r="AN611" s="299">
        <f t="shared" si="40"/>
        <v>400737.72216234292</v>
      </c>
      <c r="AO611" s="299">
        <f t="shared" si="30"/>
        <v>17850403.199691825</v>
      </c>
      <c r="AP611" s="294"/>
      <c r="AQ611" s="294">
        <f t="shared" si="16"/>
        <v>83</v>
      </c>
      <c r="AR611" s="298">
        <f t="shared" si="37"/>
        <v>0.72327379293323202</v>
      </c>
      <c r="AS611" s="298">
        <f t="shared" si="38"/>
        <v>0.27672620706676787</v>
      </c>
      <c r="AT611" s="298">
        <f t="shared" si="39"/>
        <v>0.48191559367480064</v>
      </c>
      <c r="AU611" s="250"/>
      <c r="AV611" s="294">
        <f t="shared" si="17"/>
        <v>83</v>
      </c>
      <c r="AW611" s="299">
        <f t="shared" si="41"/>
        <v>400737.72216234292</v>
      </c>
      <c r="AX611" s="299">
        <f t="shared" si="31"/>
        <v>17850403.199691825</v>
      </c>
      <c r="AY611" s="335"/>
      <c r="AZ611" s="335"/>
      <c r="BA611" s="335"/>
      <c r="BB611" s="335"/>
      <c r="BC611" s="335"/>
      <c r="BD611" s="335"/>
      <c r="BE611" s="335"/>
      <c r="BF611" s="335"/>
      <c r="BG611" s="335"/>
      <c r="BH611" s="335"/>
      <c r="BI611" s="335"/>
      <c r="BJ611" s="335"/>
      <c r="BK611" s="364"/>
      <c r="BL611" s="364"/>
      <c r="BM611" s="364"/>
      <c r="BN611" s="364"/>
      <c r="BO611" s="364"/>
      <c r="BP611" s="364"/>
      <c r="BQ611" s="335"/>
      <c r="BR611" s="335"/>
      <c r="BS611" s="364"/>
      <c r="BT611" s="364"/>
      <c r="BU611" s="364"/>
      <c r="BV611" s="364"/>
      <c r="BW611" s="364"/>
      <c r="BX611" s="364"/>
      <c r="BY611" s="335"/>
      <c r="BZ611" s="335"/>
      <c r="CA611" s="364"/>
      <c r="CB611" s="364"/>
      <c r="CC611" s="335"/>
      <c r="CD611" s="335"/>
      <c r="CE611" s="335"/>
      <c r="CF611" s="335"/>
      <c r="CG611" s="335"/>
      <c r="CH611" s="335"/>
      <c r="CI611" s="365"/>
      <c r="CJ611" s="365"/>
      <c r="CK611" s="335"/>
      <c r="CL611" s="335"/>
      <c r="CM611" s="366"/>
      <c r="CN611" s="366"/>
      <c r="CO611" s="366"/>
      <c r="CP611" s="3"/>
    </row>
    <row r="612" spans="1:94" x14ac:dyDescent="0.25">
      <c r="A612" s="34">
        <v>57</v>
      </c>
      <c r="B612" s="33">
        <f t="shared" si="19"/>
        <v>84</v>
      </c>
      <c r="C612" s="294">
        <f>VLOOKUP($B612,'Mother mortality'!$A$23:$I$124,5)</f>
        <v>3.3260641049572007E-2</v>
      </c>
      <c r="D612" s="295">
        <f t="shared" si="32"/>
        <v>0.27</v>
      </c>
      <c r="E612" s="295">
        <f t="shared" si="9"/>
        <v>0.69673935895042793</v>
      </c>
      <c r="F612" s="295">
        <f>VLOOKUP($B612,'Mother mortality'!$A$23:$I$124,5)</f>
        <v>3.3260641049572007E-2</v>
      </c>
      <c r="G612" s="295">
        <f t="shared" si="33"/>
        <v>0.14000000000000001</v>
      </c>
      <c r="H612" s="295">
        <f t="shared" si="10"/>
        <v>0.82673935895042794</v>
      </c>
      <c r="I612" s="295">
        <f>VLOOKUP($B612,'Mother mortality'!$A$23:$I$124,4)</f>
        <v>2.4255165595584115E-2</v>
      </c>
      <c r="J612" s="295">
        <f t="shared" si="11"/>
        <v>0.40431626297584444</v>
      </c>
      <c r="K612" s="295">
        <f t="shared" si="34"/>
        <v>0.5714285714285714</v>
      </c>
      <c r="L612" s="295">
        <f>VLOOKUP($B612,'Mother mortality'!$A$23:$I$124,4)</f>
        <v>2.4255165595584115E-2</v>
      </c>
      <c r="M612" s="295">
        <f t="shared" si="35"/>
        <v>8.6261668788331098E-3</v>
      </c>
      <c r="N612" s="295">
        <f t="shared" si="12"/>
        <v>0.96711866752558273</v>
      </c>
      <c r="O612" s="294"/>
      <c r="P612" s="296">
        <f t="shared" si="20"/>
        <v>249.5423985331895</v>
      </c>
      <c r="Q612" s="297">
        <f t="shared" si="21"/>
        <v>70.329311365704442</v>
      </c>
      <c r="R612" s="297">
        <f t="shared" si="22"/>
        <v>10.243539395494052</v>
      </c>
      <c r="S612" s="297">
        <f t="shared" si="23"/>
        <v>372.61076752541493</v>
      </c>
      <c r="T612" s="297">
        <f t="shared" si="24"/>
        <v>297.27398318019698</v>
      </c>
      <c r="U612" s="294">
        <f t="shared" si="13"/>
        <v>999.99999999999989</v>
      </c>
      <c r="V612" s="295" t="str">
        <f t="shared" si="36"/>
        <v>OKAY</v>
      </c>
      <c r="W612" s="295"/>
      <c r="X612" s="296">
        <f>SUM($P612:$Q612)-(SUM($P612:$Q612)*(VLOOKUP($B612,Lifetime_morbidity_array!$A$6:$Y$24,4)+VLOOKUP($B612,Lifetime_morbidity_array!$A$6:$Y$24,7)+VLOOKUP($B612,Lifetime_morbidity_array!$A$6:$Y$24,10)+VLOOKUP($B612,Lifetime_morbidity_array!$A$6:$Y$24,13)))</f>
        <v>24.361448167853666</v>
      </c>
      <c r="Y612" s="297">
        <f>SUM($R612:$S612)-(SUM($R612:$S612)*(VLOOKUP($B612,Lifetime_morbidity_array!$A$6:$Y$24,3)+VLOOKUP($B612,Lifetime_morbidity_array!$A$6:$Y$24,6)+VLOOKUP($B612,Lifetime_morbidity_array!$A$6:$Y$24,9)+VLOOKUP($B612,Lifetime_morbidity_array!$A$6:$Y$24,12)))</f>
        <v>212.19405907145261</v>
      </c>
      <c r="Z612" s="297">
        <f>(SUM($P612:$Q612)*VLOOKUP($B612,Lifetime_morbidity_array!$A$6:$Y$24,4))+(SUM($R612:$S612)*VLOOKUP($B612,Lifetime_morbidity_array!$A$6:$Y$24,3))</f>
        <v>194.21280435130433</v>
      </c>
      <c r="AA612" s="297">
        <f>(SUM($P612:$Q612)*VLOOKUP($B612,Lifetime_morbidity_array!$A$6:$Y$24,7))+(SUM($R612:$S612)*VLOOKUP($B612,Lifetime_morbidity_array!$A$6:$Y$24,6))</f>
        <v>168.81007466009677</v>
      </c>
      <c r="AB612" s="297">
        <f>(SUM($P612:$Q612)*VLOOKUP($B612,Lifetime_morbidity_array!$A$6:$Y$24,10))+(SUM($R612:$S612)*VLOOKUP($B612,Lifetime_morbidity_array!$A$6:$Y$24,9))</f>
        <v>6.2084694969022856</v>
      </c>
      <c r="AC612" s="297">
        <f>(SUM($P612:$Q612)*VLOOKUP($B612,Lifetime_morbidity_array!$A$6:$Y$24,13))+(SUM($R612:$S612)*VLOOKUP($B612,Lifetime_morbidity_array!$A$6:$Y$24,12))</f>
        <v>96.939161072193258</v>
      </c>
      <c r="AD612" s="294"/>
      <c r="AE612" s="294">
        <f t="shared" si="25"/>
        <v>84</v>
      </c>
      <c r="AF612" s="297">
        <f t="shared" si="42"/>
        <v>98.897677862624349</v>
      </c>
      <c r="AG612" s="297">
        <f t="shared" si="27"/>
        <v>24342.784339589329</v>
      </c>
      <c r="AH612" s="294"/>
      <c r="AI612" s="294">
        <f t="shared" si="28"/>
        <v>84</v>
      </c>
      <c r="AJ612" s="295">
        <f>((VLOOKUP($B612,'Mahawesran Tariff'!$A$21:$M$120,7)*$X612)+(VLOOKUP($B612,'Mahawesran Tariff'!$A$21:$M$120,6)*$Y612)+(DET_UTIL_chd*$Z612)+(DET_UTIL_copd*$AA612)+(DET_UTIL_lc*$AB612)+(DET_UTIL_stroke*$AC612))/((1+Discount_rate_QALYs)^$A612)</f>
        <v>77.642201474920142</v>
      </c>
      <c r="AK612" s="295">
        <f t="shared" si="29"/>
        <v>22450.01224697908</v>
      </c>
      <c r="AL612" s="294"/>
      <c r="AM612" s="294">
        <f t="shared" si="14"/>
        <v>84</v>
      </c>
      <c r="AN612" s="299">
        <f t="shared" si="40"/>
        <v>375030.93909996777</v>
      </c>
      <c r="AO612" s="299">
        <f t="shared" si="30"/>
        <v>18225434.138791792</v>
      </c>
      <c r="AP612" s="294"/>
      <c r="AQ612" s="294">
        <f t="shared" si="16"/>
        <v>84</v>
      </c>
      <c r="AR612" s="298">
        <f t="shared" si="37"/>
        <v>0.70272601681980296</v>
      </c>
      <c r="AS612" s="298">
        <f t="shared" si="38"/>
        <v>0.29727398318019699</v>
      </c>
      <c r="AT612" s="298">
        <f t="shared" si="39"/>
        <v>0.46617050958049661</v>
      </c>
      <c r="AU612" s="250"/>
      <c r="AV612" s="294">
        <f t="shared" si="17"/>
        <v>84</v>
      </c>
      <c r="AW612" s="299">
        <f t="shared" si="41"/>
        <v>375030.93909996777</v>
      </c>
      <c r="AX612" s="299">
        <f t="shared" si="31"/>
        <v>18225434.138791792</v>
      </c>
      <c r="AY612" s="335"/>
      <c r="AZ612" s="335"/>
      <c r="BA612" s="335"/>
      <c r="BB612" s="335"/>
      <c r="BC612" s="335"/>
      <c r="BD612" s="335"/>
      <c r="BE612" s="335"/>
      <c r="BF612" s="335"/>
      <c r="BG612" s="335"/>
      <c r="BH612" s="335"/>
      <c r="BI612" s="335"/>
      <c r="BJ612" s="335"/>
      <c r="BK612" s="364"/>
      <c r="BL612" s="364"/>
      <c r="BM612" s="364"/>
      <c r="BN612" s="364"/>
      <c r="BO612" s="364"/>
      <c r="BP612" s="364"/>
      <c r="BQ612" s="335"/>
      <c r="BR612" s="335"/>
      <c r="BS612" s="364"/>
      <c r="BT612" s="364"/>
      <c r="BU612" s="364"/>
      <c r="BV612" s="364"/>
      <c r="BW612" s="364"/>
      <c r="BX612" s="364"/>
      <c r="BY612" s="335"/>
      <c r="BZ612" s="335"/>
      <c r="CA612" s="364"/>
      <c r="CB612" s="364"/>
      <c r="CC612" s="335"/>
      <c r="CD612" s="335"/>
      <c r="CE612" s="335"/>
      <c r="CF612" s="335"/>
      <c r="CG612" s="335"/>
      <c r="CH612" s="335"/>
      <c r="CI612" s="365"/>
      <c r="CJ612" s="365"/>
      <c r="CK612" s="335"/>
      <c r="CL612" s="335"/>
      <c r="CM612" s="366"/>
      <c r="CN612" s="366"/>
      <c r="CO612" s="366"/>
      <c r="CP612" s="3"/>
    </row>
    <row r="613" spans="1:94" x14ac:dyDescent="0.25">
      <c r="A613" s="34">
        <v>58</v>
      </c>
      <c r="B613" s="33">
        <f t="shared" si="19"/>
        <v>85</v>
      </c>
      <c r="C613" s="294">
        <f>VLOOKUP($B613,'Mother mortality'!$A$23:$I$124,5)</f>
        <v>3.2106038034865295E-2</v>
      </c>
      <c r="D613" s="295">
        <f t="shared" si="32"/>
        <v>0.27</v>
      </c>
      <c r="E613" s="295">
        <f t="shared" si="9"/>
        <v>0.69789396196513465</v>
      </c>
      <c r="F613" s="295">
        <f>VLOOKUP($B613,'Mother mortality'!$A$23:$I$124,5)</f>
        <v>3.2106038034865295E-2</v>
      </c>
      <c r="G613" s="295">
        <f t="shared" si="33"/>
        <v>0.14000000000000001</v>
      </c>
      <c r="H613" s="295">
        <f t="shared" si="10"/>
        <v>0.82789396196513465</v>
      </c>
      <c r="I613" s="295">
        <f>VLOOKUP($B613,'Mother mortality'!$A$23:$I$124,4)</f>
        <v>2.6380681458003173E-2</v>
      </c>
      <c r="J613" s="295">
        <f t="shared" si="11"/>
        <v>0.4021907471134254</v>
      </c>
      <c r="K613" s="295">
        <f t="shared" si="34"/>
        <v>0.5714285714285714</v>
      </c>
      <c r="L613" s="295">
        <f>VLOOKUP($B613,'Mother mortality'!$A$23:$I$124,4)</f>
        <v>2.6380681458003173E-2</v>
      </c>
      <c r="M613" s="295">
        <f t="shared" si="35"/>
        <v>8.6261668788331098E-3</v>
      </c>
      <c r="N613" s="295">
        <f t="shared" si="12"/>
        <v>0.96499315166316368</v>
      </c>
      <c r="O613" s="294"/>
      <c r="P613" s="296">
        <f t="shared" si="20"/>
        <v>239.71340484352672</v>
      </c>
      <c r="Q613" s="297">
        <f t="shared" si="21"/>
        <v>67.376447603961168</v>
      </c>
      <c r="R613" s="297">
        <f t="shared" si="22"/>
        <v>9.8461035911986219</v>
      </c>
      <c r="S613" s="297">
        <f t="shared" si="23"/>
        <v>365.42028998112005</v>
      </c>
      <c r="T613" s="297">
        <f t="shared" si="24"/>
        <v>317.64375398019331</v>
      </c>
      <c r="U613" s="294">
        <f t="shared" si="13"/>
        <v>999.99999999999989</v>
      </c>
      <c r="V613" s="295" t="str">
        <f t="shared" si="36"/>
        <v>OKAY</v>
      </c>
      <c r="W613" s="295"/>
      <c r="X613" s="296">
        <f>SUM($P613:$Q613)-(SUM($P613:$Q613)*(VLOOKUP($B613,Lifetime_morbidity_array!$A$6:$Y$24,4)+VLOOKUP($B613,Lifetime_morbidity_array!$A$6:$Y$24,7)+VLOOKUP($B613,Lifetime_morbidity_array!$A$6:$Y$24,10)+VLOOKUP($B613,Lifetime_morbidity_array!$A$6:$Y$24,13)))</f>
        <v>48.687413215285972</v>
      </c>
      <c r="Y613" s="297">
        <f>SUM($R613:$S613)-(SUM($R613:$S613)*(VLOOKUP($B613,Lifetime_morbidity_array!$A$6:$Y$24,3)+VLOOKUP($B613,Lifetime_morbidity_array!$A$6:$Y$24,6)+VLOOKUP($B613,Lifetime_morbidity_array!$A$6:$Y$24,9)+VLOOKUP($B613,Lifetime_morbidity_array!$A$6:$Y$24,12)))</f>
        <v>218.39856855991829</v>
      </c>
      <c r="Z613" s="297">
        <f>(SUM($P613:$Q613)*VLOOKUP($B613,Lifetime_morbidity_array!$A$6:$Y$24,4))+(SUM($R613:$S613)*VLOOKUP($B613,Lifetime_morbidity_array!$A$6:$Y$24,3))</f>
        <v>188.13067839540628</v>
      </c>
      <c r="AA613" s="297">
        <f>(SUM($P613:$Q613)*VLOOKUP($B613,Lifetime_morbidity_array!$A$6:$Y$24,7))+(SUM($R613:$S613)*VLOOKUP($B613,Lifetime_morbidity_array!$A$6:$Y$24,6))</f>
        <v>127.28918512154951</v>
      </c>
      <c r="AB613" s="297">
        <f>(SUM($P613:$Q613)*VLOOKUP($B613,Lifetime_morbidity_array!$A$6:$Y$24,10))+(SUM($R613:$S613)*VLOOKUP($B613,Lifetime_morbidity_array!$A$6:$Y$24,9))</f>
        <v>5.9943798619182598</v>
      </c>
      <c r="AC613" s="297">
        <f>(SUM($P613:$Q613)*VLOOKUP($B613,Lifetime_morbidity_array!$A$6:$Y$24,13))+(SUM($R613:$S613)*VLOOKUP($B613,Lifetime_morbidity_array!$A$6:$Y$24,12))</f>
        <v>93.856020865728283</v>
      </c>
      <c r="AD613" s="294"/>
      <c r="AE613" s="294">
        <f t="shared" si="25"/>
        <v>85</v>
      </c>
      <c r="AF613" s="297">
        <f t="shared" si="42"/>
        <v>92.783528249491226</v>
      </c>
      <c r="AG613" s="297">
        <f t="shared" si="27"/>
        <v>24435.567867838821</v>
      </c>
      <c r="AH613" s="294"/>
      <c r="AI613" s="294">
        <f t="shared" si="28"/>
        <v>85</v>
      </c>
      <c r="AJ613" s="295">
        <f>((VLOOKUP($B613,'Mahawesran Tariff'!$A$21:$M$120,7)*$X613)+(VLOOKUP($B613,'Mahawesran Tariff'!$A$21:$M$120,6)*$Y613)+(DET_UTIL_chd*$Z613)+(DET_UTIL_copd*$AA613)+(DET_UTIL_lc*$AB613)+(DET_UTIL_stroke*$AC613))/((1+Discount_rate_QALYs)^$A613)</f>
        <v>73.655419636469063</v>
      </c>
      <c r="AK613" s="295">
        <f t="shared" si="29"/>
        <v>22523.667666615551</v>
      </c>
      <c r="AL613" s="294"/>
      <c r="AM613" s="294">
        <f t="shared" si="14"/>
        <v>85</v>
      </c>
      <c r="AN613" s="299">
        <f t="shared" si="40"/>
        <v>346679.17485233664</v>
      </c>
      <c r="AO613" s="299">
        <f t="shared" si="30"/>
        <v>18572113.31364413</v>
      </c>
      <c r="AP613" s="294"/>
      <c r="AQ613" s="294">
        <f t="shared" si="16"/>
        <v>85</v>
      </c>
      <c r="AR613" s="298">
        <f t="shared" si="37"/>
        <v>0.6823562460198066</v>
      </c>
      <c r="AS613" s="298">
        <f t="shared" si="38"/>
        <v>0.31764375398019329</v>
      </c>
      <c r="AT613" s="298">
        <f t="shared" si="39"/>
        <v>0.41527026424460234</v>
      </c>
      <c r="AU613" s="250"/>
      <c r="AV613" s="294">
        <f t="shared" si="17"/>
        <v>85</v>
      </c>
      <c r="AW613" s="299">
        <f t="shared" si="41"/>
        <v>346679.17485233664</v>
      </c>
      <c r="AX613" s="299">
        <f t="shared" si="31"/>
        <v>18572113.31364413</v>
      </c>
      <c r="AY613" s="335"/>
      <c r="AZ613" s="335"/>
      <c r="BA613" s="335"/>
      <c r="BB613" s="335"/>
      <c r="BC613" s="335"/>
      <c r="BD613" s="335"/>
      <c r="BE613" s="335"/>
      <c r="BF613" s="335"/>
      <c r="BG613" s="335"/>
      <c r="BH613" s="335"/>
      <c r="BI613" s="335"/>
      <c r="BJ613" s="335"/>
      <c r="BK613" s="364"/>
      <c r="BL613" s="364"/>
      <c r="BM613" s="364"/>
      <c r="BN613" s="364"/>
      <c r="BO613" s="364"/>
      <c r="BP613" s="364"/>
      <c r="BQ613" s="335"/>
      <c r="BR613" s="335"/>
      <c r="BS613" s="364"/>
      <c r="BT613" s="364"/>
      <c r="BU613" s="364"/>
      <c r="BV613" s="364"/>
      <c r="BW613" s="364"/>
      <c r="BX613" s="364"/>
      <c r="BY613" s="335"/>
      <c r="BZ613" s="335"/>
      <c r="CA613" s="364"/>
      <c r="CB613" s="364"/>
      <c r="CC613" s="335"/>
      <c r="CD613" s="335"/>
      <c r="CE613" s="335"/>
      <c r="CF613" s="335"/>
      <c r="CG613" s="335"/>
      <c r="CH613" s="335"/>
      <c r="CI613" s="365"/>
      <c r="CJ613" s="365"/>
      <c r="CK613" s="335"/>
      <c r="CL613" s="335"/>
      <c r="CM613" s="366"/>
      <c r="CN613" s="366"/>
      <c r="CO613" s="366"/>
      <c r="CP613" s="3"/>
    </row>
    <row r="614" spans="1:94" x14ac:dyDescent="0.25">
      <c r="A614" s="34">
        <v>59</v>
      </c>
      <c r="B614" s="33">
        <f t="shared" si="19"/>
        <v>86</v>
      </c>
      <c r="C614" s="294">
        <f>VLOOKUP($B614,'Mother mortality'!$A$23:$I$124,5)</f>
        <v>3.5650378662710321E-2</v>
      </c>
      <c r="D614" s="295">
        <f t="shared" si="32"/>
        <v>0.27</v>
      </c>
      <c r="E614" s="295">
        <f t="shared" si="9"/>
        <v>0.69434962133728961</v>
      </c>
      <c r="F614" s="295">
        <f>VLOOKUP($B614,'Mother mortality'!$A$23:$I$124,5)</f>
        <v>3.5650378662710321E-2</v>
      </c>
      <c r="G614" s="295">
        <f t="shared" si="33"/>
        <v>0.14000000000000001</v>
      </c>
      <c r="H614" s="295">
        <f t="shared" si="10"/>
        <v>0.82434962133728962</v>
      </c>
      <c r="I614" s="295">
        <f>VLOOKUP($B614,'Mother mortality'!$A$23:$I$124,4)</f>
        <v>2.929297231682234E-2</v>
      </c>
      <c r="J614" s="295">
        <f t="shared" si="11"/>
        <v>0.39927845625460623</v>
      </c>
      <c r="K614" s="295">
        <f t="shared" si="34"/>
        <v>0.5714285714285714</v>
      </c>
      <c r="L614" s="295">
        <f>VLOOKUP($B614,'Mother mortality'!$A$23:$I$124,4)</f>
        <v>2.929297231682234E-2</v>
      </c>
      <c r="M614" s="295">
        <f t="shared" si="35"/>
        <v>8.6261668788331098E-3</v>
      </c>
      <c r="N614" s="295">
        <f t="shared" si="12"/>
        <v>0.96208086080434452</v>
      </c>
      <c r="O614" s="294"/>
      <c r="P614" s="296">
        <f t="shared" si="20"/>
        <v>229.07017439625773</v>
      </c>
      <c r="Q614" s="297">
        <f t="shared" si="21"/>
        <v>64.722619307752211</v>
      </c>
      <c r="R614" s="297">
        <f t="shared" si="22"/>
        <v>9.4327026645545651</v>
      </c>
      <c r="S614" s="297">
        <f t="shared" si="23"/>
        <v>357.19021204966555</v>
      </c>
      <c r="T614" s="297">
        <f t="shared" si="24"/>
        <v>339.58429158176978</v>
      </c>
      <c r="U614" s="294">
        <f t="shared" si="13"/>
        <v>999.99999999999977</v>
      </c>
      <c r="V614" s="295" t="str">
        <f t="shared" si="36"/>
        <v>OKAY</v>
      </c>
      <c r="W614" s="295"/>
      <c r="X614" s="296">
        <f>SUM($P614:$Q614)-(SUM($P614:$Q614)*(VLOOKUP($B614,Lifetime_morbidity_array!$A$6:$Y$24,4)+VLOOKUP($B614,Lifetime_morbidity_array!$A$6:$Y$24,7)+VLOOKUP($B614,Lifetime_morbidity_array!$A$6:$Y$24,10)+VLOOKUP($B614,Lifetime_morbidity_array!$A$6:$Y$24,13)))</f>
        <v>46.579237421029291</v>
      </c>
      <c r="Y614" s="297">
        <f>SUM($R614:$S614)-(SUM($R614:$S614)*(VLOOKUP($B614,Lifetime_morbidity_array!$A$6:$Y$24,3)+VLOOKUP($B614,Lifetime_morbidity_array!$A$6:$Y$24,6)+VLOOKUP($B614,Lifetime_morbidity_array!$A$6:$Y$24,9)+VLOOKUP($B614,Lifetime_morbidity_array!$A$6:$Y$24,12)))</f>
        <v>213.36821294502664</v>
      </c>
      <c r="Z614" s="297">
        <f>(SUM($P614:$Q614)*VLOOKUP($B614,Lifetime_morbidity_array!$A$6:$Y$24,4))+(SUM($R614:$S614)*VLOOKUP($B614,Lifetime_morbidity_array!$A$6:$Y$24,3))</f>
        <v>181.54099939738754</v>
      </c>
      <c r="AA614" s="297">
        <f>(SUM($P614:$Q614)*VLOOKUP($B614,Lifetime_morbidity_array!$A$6:$Y$24,7))+(SUM($R614:$S614)*VLOOKUP($B614,Lifetime_morbidity_array!$A$6:$Y$24,6))</f>
        <v>122.52978128944713</v>
      </c>
      <c r="AB614" s="297">
        <f>(SUM($P614:$Q614)*VLOOKUP($B614,Lifetime_morbidity_array!$A$6:$Y$24,10))+(SUM($R614:$S614)*VLOOKUP($B614,Lifetime_morbidity_array!$A$6:$Y$24,9))</f>
        <v>5.7654985629148747</v>
      </c>
      <c r="AC614" s="297">
        <f>(SUM($P614:$Q614)*VLOOKUP($B614,Lifetime_morbidity_array!$A$6:$Y$24,13))+(SUM($R614:$S614)*VLOOKUP($B614,Lifetime_morbidity_array!$A$6:$Y$24,12))</f>
        <v>90.631978802424527</v>
      </c>
      <c r="AD614" s="294"/>
      <c r="AE614" s="294">
        <f t="shared" si="25"/>
        <v>86</v>
      </c>
      <c r="AF614" s="297">
        <f t="shared" si="42"/>
        <v>86.763438861447455</v>
      </c>
      <c r="AG614" s="297">
        <f t="shared" si="27"/>
        <v>24522.331306700267</v>
      </c>
      <c r="AH614" s="294"/>
      <c r="AI614" s="294">
        <f t="shared" si="28"/>
        <v>86</v>
      </c>
      <c r="AJ614" s="295">
        <f>((VLOOKUP($B614,'Mahawesran Tariff'!$A$21:$M$120,7)*$X614)+(VLOOKUP($B614,'Mahawesran Tariff'!$A$21:$M$120,6)*$Y614)+(DET_UTIL_chd*$Z614)+(DET_UTIL_copd*$AA614)+(DET_UTIL_lc*$AB614)+(DET_UTIL_stroke*$AC614))/((1+Discount_rate_QALYs)^$A614)</f>
        <v>68.91072643430644</v>
      </c>
      <c r="AK614" s="295">
        <f t="shared" si="29"/>
        <v>22592.578393049858</v>
      </c>
      <c r="AL614" s="294"/>
      <c r="AM614" s="294">
        <f t="shared" si="14"/>
        <v>86</v>
      </c>
      <c r="AN614" s="299">
        <f t="shared" si="40"/>
        <v>323347.2377373263</v>
      </c>
      <c r="AO614" s="299">
        <f t="shared" si="30"/>
        <v>18895460.551381458</v>
      </c>
      <c r="AP614" s="294"/>
      <c r="AQ614" s="294">
        <f t="shared" si="16"/>
        <v>86</v>
      </c>
      <c r="AR614" s="298">
        <f t="shared" si="37"/>
        <v>0.66041570841823005</v>
      </c>
      <c r="AS614" s="298">
        <f t="shared" si="38"/>
        <v>0.33958429158176978</v>
      </c>
      <c r="AT614" s="298">
        <f t="shared" si="39"/>
        <v>0.40046825805217406</v>
      </c>
      <c r="AU614" s="250"/>
      <c r="AV614" s="294">
        <f t="shared" si="17"/>
        <v>86</v>
      </c>
      <c r="AW614" s="299">
        <f t="shared" si="41"/>
        <v>323347.2377373263</v>
      </c>
      <c r="AX614" s="299">
        <f t="shared" si="31"/>
        <v>18895460.551381458</v>
      </c>
      <c r="AY614" s="335"/>
      <c r="AZ614" s="335"/>
      <c r="BA614" s="335"/>
      <c r="BB614" s="335"/>
      <c r="BC614" s="335"/>
      <c r="BD614" s="335"/>
      <c r="BE614" s="335"/>
      <c r="BF614" s="335"/>
      <c r="BG614" s="335"/>
      <c r="BH614" s="335"/>
      <c r="BI614" s="335"/>
      <c r="BJ614" s="335"/>
      <c r="BK614" s="364"/>
      <c r="BL614" s="364"/>
      <c r="BM614" s="364"/>
      <c r="BN614" s="364"/>
      <c r="BO614" s="364"/>
      <c r="BP614" s="364"/>
      <c r="BQ614" s="335"/>
      <c r="BR614" s="335"/>
      <c r="BS614" s="364"/>
      <c r="BT614" s="364"/>
      <c r="BU614" s="364"/>
      <c r="BV614" s="364"/>
      <c r="BW614" s="364"/>
      <c r="BX614" s="364"/>
      <c r="BY614" s="335"/>
      <c r="BZ614" s="335"/>
      <c r="CA614" s="364"/>
      <c r="CB614" s="364"/>
      <c r="CC614" s="335"/>
      <c r="CD614" s="335"/>
      <c r="CE614" s="335"/>
      <c r="CF614" s="335"/>
      <c r="CG614" s="335"/>
      <c r="CH614" s="335"/>
      <c r="CI614" s="365"/>
      <c r="CJ614" s="365"/>
      <c r="CK614" s="335"/>
      <c r="CL614" s="335"/>
      <c r="CM614" s="366"/>
      <c r="CN614" s="366"/>
      <c r="CO614" s="366"/>
      <c r="CP614" s="3"/>
    </row>
    <row r="615" spans="1:94" x14ac:dyDescent="0.25">
      <c r="A615" s="34">
        <v>60</v>
      </c>
      <c r="B615" s="33">
        <f t="shared" si="19"/>
        <v>87</v>
      </c>
      <c r="C615" s="294">
        <f>VLOOKUP($B615,'Mother mortality'!$A$23:$I$124,5)</f>
        <v>3.9588384698384868E-2</v>
      </c>
      <c r="D615" s="295">
        <f t="shared" si="32"/>
        <v>0.27</v>
      </c>
      <c r="E615" s="295">
        <f t="shared" si="9"/>
        <v>0.6904116153016151</v>
      </c>
      <c r="F615" s="295">
        <f>VLOOKUP($B615,'Mother mortality'!$A$23:$I$124,5)</f>
        <v>3.9588384698384868E-2</v>
      </c>
      <c r="G615" s="295">
        <f t="shared" si="33"/>
        <v>0.14000000000000001</v>
      </c>
      <c r="H615" s="295">
        <f t="shared" si="10"/>
        <v>0.8204116153016151</v>
      </c>
      <c r="I615" s="295">
        <f>VLOOKUP($B615,'Mother mortality'!$A$23:$I$124,4)</f>
        <v>3.2528727619111852E-2</v>
      </c>
      <c r="J615" s="295">
        <f t="shared" si="11"/>
        <v>0.39604270095231675</v>
      </c>
      <c r="K615" s="295">
        <f t="shared" si="34"/>
        <v>0.5714285714285714</v>
      </c>
      <c r="L615" s="295">
        <f>VLOOKUP($B615,'Mother mortality'!$A$23:$I$124,4)</f>
        <v>3.2528727619111852E-2</v>
      </c>
      <c r="M615" s="295">
        <f t="shared" si="35"/>
        <v>8.6261668788331098E-3</v>
      </c>
      <c r="N615" s="295">
        <f t="shared" si="12"/>
        <v>0.95884510550205504</v>
      </c>
      <c r="O615" s="294"/>
      <c r="P615" s="296">
        <f t="shared" si="20"/>
        <v>218.06883319234396</v>
      </c>
      <c r="Q615" s="297">
        <f t="shared" si="21"/>
        <v>61.84894708698959</v>
      </c>
      <c r="R615" s="297">
        <f t="shared" si="22"/>
        <v>9.0611667030853109</v>
      </c>
      <c r="S615" s="297">
        <f t="shared" si="23"/>
        <v>347.88020236537989</v>
      </c>
      <c r="T615" s="297">
        <f t="shared" si="24"/>
        <v>363.1408506522011</v>
      </c>
      <c r="U615" s="294">
        <f t="shared" si="13"/>
        <v>999.99999999999977</v>
      </c>
      <c r="V615" s="295" t="str">
        <f t="shared" si="36"/>
        <v>OKAY</v>
      </c>
      <c r="W615" s="295"/>
      <c r="X615" s="296">
        <f>SUM($P615:$Q615)-(SUM($P615:$Q615)*(VLOOKUP($B615,Lifetime_morbidity_array!$A$6:$Y$24,4)+VLOOKUP($B615,Lifetime_morbidity_array!$A$6:$Y$24,7)+VLOOKUP($B615,Lifetime_morbidity_array!$A$6:$Y$24,10)+VLOOKUP($B615,Lifetime_morbidity_array!$A$6:$Y$24,13)))</f>
        <v>44.37943007933157</v>
      </c>
      <c r="Y615" s="297">
        <f>SUM($R615:$S615)-(SUM($R615:$S615)*(VLOOKUP($B615,Lifetime_morbidity_array!$A$6:$Y$24,3)+VLOOKUP($B615,Lifetime_morbidity_array!$A$6:$Y$24,6)+VLOOKUP($B615,Lifetime_morbidity_array!$A$6:$Y$24,9)+VLOOKUP($B615,Lifetime_morbidity_array!$A$6:$Y$24,12)))</f>
        <v>207.73372036403055</v>
      </c>
      <c r="Z615" s="297">
        <f>(SUM($P615:$Q615)*VLOOKUP($B615,Lifetime_morbidity_array!$A$6:$Y$24,4))+(SUM($R615:$S615)*VLOOKUP($B615,Lifetime_morbidity_array!$A$6:$Y$24,3))</f>
        <v>174.52935141875412</v>
      </c>
      <c r="AA615" s="297">
        <f>(SUM($P615:$Q615)*VLOOKUP($B615,Lifetime_morbidity_array!$A$6:$Y$24,7))+(SUM($R615:$S615)*VLOOKUP($B615,Lifetime_morbidity_array!$A$6:$Y$24,6))</f>
        <v>117.49799715270528</v>
      </c>
      <c r="AB615" s="297">
        <f>(SUM($P615:$Q615)*VLOOKUP($B615,Lifetime_morbidity_array!$A$6:$Y$24,10))+(SUM($R615:$S615)*VLOOKUP($B615,Lifetime_morbidity_array!$A$6:$Y$24,9))</f>
        <v>5.5239973236019866</v>
      </c>
      <c r="AC615" s="297">
        <f>(SUM($P615:$Q615)*VLOOKUP($B615,Lifetime_morbidity_array!$A$6:$Y$24,13))+(SUM($R615:$S615)*VLOOKUP($B615,Lifetime_morbidity_array!$A$6:$Y$24,12))</f>
        <v>87.194653009375202</v>
      </c>
      <c r="AD615" s="294"/>
      <c r="AE615" s="294">
        <f t="shared" si="25"/>
        <v>87</v>
      </c>
      <c r="AF615" s="297">
        <f t="shared" si="42"/>
        <v>80.83927405388259</v>
      </c>
      <c r="AG615" s="297">
        <f t="shared" si="27"/>
        <v>24603.170580754151</v>
      </c>
      <c r="AH615" s="294"/>
      <c r="AI615" s="294">
        <f t="shared" si="28"/>
        <v>87</v>
      </c>
      <c r="AJ615" s="295">
        <f>((VLOOKUP($B615,'Mahawesran Tariff'!$A$21:$M$120,7)*$X615)+(VLOOKUP($B615,'Mahawesran Tariff'!$A$21:$M$120,6)*$Y615)+(DET_UTIL_chd*$Z615)+(DET_UTIL_copd*$AA615)+(DET_UTIL_lc*$AB615)+(DET_UTIL_stroke*$AC615))/((1+Discount_rate_QALYs)^$A615)</f>
        <v>64.238416157897873</v>
      </c>
      <c r="AK615" s="295">
        <f t="shared" si="29"/>
        <v>22656.816809207758</v>
      </c>
      <c r="AL615" s="294"/>
      <c r="AM615" s="294">
        <f t="shared" si="14"/>
        <v>87</v>
      </c>
      <c r="AN615" s="299">
        <f t="shared" si="40"/>
        <v>300465.74672388571</v>
      </c>
      <c r="AO615" s="299">
        <f t="shared" si="30"/>
        <v>19195926.298105344</v>
      </c>
      <c r="AP615" s="294"/>
      <c r="AQ615" s="294">
        <f t="shared" si="16"/>
        <v>87</v>
      </c>
      <c r="AR615" s="298">
        <f t="shared" si="37"/>
        <v>0.63685914934779875</v>
      </c>
      <c r="AS615" s="298">
        <f t="shared" si="38"/>
        <v>0.36314085065220109</v>
      </c>
      <c r="AT615" s="298">
        <f t="shared" si="39"/>
        <v>0.38474599890443661</v>
      </c>
      <c r="AU615" s="250"/>
      <c r="AV615" s="294">
        <f t="shared" si="17"/>
        <v>87</v>
      </c>
      <c r="AW615" s="299">
        <f t="shared" si="41"/>
        <v>300465.74672388571</v>
      </c>
      <c r="AX615" s="299">
        <f t="shared" si="31"/>
        <v>19195926.298105344</v>
      </c>
      <c r="AY615" s="335"/>
      <c r="AZ615" s="335"/>
      <c r="BA615" s="335"/>
      <c r="BB615" s="335"/>
      <c r="BC615" s="335"/>
      <c r="BD615" s="335"/>
      <c r="BE615" s="335"/>
      <c r="BF615" s="335"/>
      <c r="BG615" s="335"/>
      <c r="BH615" s="335"/>
      <c r="BI615" s="335"/>
      <c r="BJ615" s="335"/>
      <c r="BK615" s="364"/>
      <c r="BL615" s="364"/>
      <c r="BM615" s="364"/>
      <c r="BN615" s="364"/>
      <c r="BO615" s="364"/>
      <c r="BP615" s="364"/>
      <c r="BQ615" s="335"/>
      <c r="BR615" s="335"/>
      <c r="BS615" s="364"/>
      <c r="BT615" s="364"/>
      <c r="BU615" s="364"/>
      <c r="BV615" s="364"/>
      <c r="BW615" s="364"/>
      <c r="BX615" s="364"/>
      <c r="BY615" s="335"/>
      <c r="BZ615" s="335"/>
      <c r="CA615" s="364"/>
      <c r="CB615" s="364"/>
      <c r="CC615" s="335"/>
      <c r="CD615" s="335"/>
      <c r="CE615" s="335"/>
      <c r="CF615" s="335"/>
      <c r="CG615" s="335"/>
      <c r="CH615" s="335"/>
      <c r="CI615" s="365"/>
      <c r="CJ615" s="365"/>
      <c r="CK615" s="335"/>
      <c r="CL615" s="335"/>
      <c r="CM615" s="366"/>
      <c r="CN615" s="366"/>
      <c r="CO615" s="366"/>
      <c r="CP615" s="3"/>
    </row>
    <row r="616" spans="1:94" x14ac:dyDescent="0.25">
      <c r="A616" s="34">
        <v>61</v>
      </c>
      <c r="B616" s="33">
        <f t="shared" si="19"/>
        <v>88</v>
      </c>
      <c r="C616" s="294">
        <f>VLOOKUP($B616,'Mother mortality'!$A$23:$I$124,5)</f>
        <v>4.395029082510031E-2</v>
      </c>
      <c r="D616" s="295">
        <f t="shared" si="32"/>
        <v>0.27</v>
      </c>
      <c r="E616" s="295">
        <f t="shared" si="9"/>
        <v>0.68604970917489971</v>
      </c>
      <c r="F616" s="295">
        <f>VLOOKUP($B616,'Mother mortality'!$A$23:$I$124,5)</f>
        <v>4.395029082510031E-2</v>
      </c>
      <c r="G616" s="295">
        <f t="shared" si="33"/>
        <v>0.14000000000000001</v>
      </c>
      <c r="H616" s="295">
        <f t="shared" si="10"/>
        <v>0.81604970917489972</v>
      </c>
      <c r="I616" s="295">
        <f>VLOOKUP($B616,'Mother mortality'!$A$23:$I$124,4)</f>
        <v>3.6112790403614661E-2</v>
      </c>
      <c r="J616" s="295">
        <f t="shared" si="11"/>
        <v>0.3924586381678139</v>
      </c>
      <c r="K616" s="295">
        <f t="shared" si="34"/>
        <v>0.5714285714285714</v>
      </c>
      <c r="L616" s="295">
        <f>VLOOKUP($B616,'Mother mortality'!$A$23:$I$124,4)</f>
        <v>3.6112790403614661E-2</v>
      </c>
      <c r="M616" s="295">
        <f t="shared" si="35"/>
        <v>8.6261668788331098E-3</v>
      </c>
      <c r="N616" s="295">
        <f t="shared" si="12"/>
        <v>0.95526104271755219</v>
      </c>
      <c r="O616" s="294"/>
      <c r="P616" s="296">
        <f t="shared" si="20"/>
        <v>206.63488069877931</v>
      </c>
      <c r="Q616" s="297">
        <f t="shared" si="21"/>
        <v>58.878584961932873</v>
      </c>
      <c r="R616" s="297">
        <f t="shared" si="22"/>
        <v>8.658852592178544</v>
      </c>
      <c r="S616" s="297">
        <f t="shared" si="23"/>
        <v>337.49421439696602</v>
      </c>
      <c r="T616" s="297">
        <f t="shared" si="24"/>
        <v>388.33346735014311</v>
      </c>
      <c r="U616" s="294">
        <f t="shared" si="13"/>
        <v>999.99999999999989</v>
      </c>
      <c r="V616" s="295" t="str">
        <f t="shared" si="36"/>
        <v>OKAY</v>
      </c>
      <c r="W616" s="295"/>
      <c r="X616" s="296">
        <f>SUM($P616:$Q616)-(SUM($P616:$Q616)*(VLOOKUP($B616,Lifetime_morbidity_array!$A$6:$Y$24,4)+VLOOKUP($B616,Lifetime_morbidity_array!$A$6:$Y$24,7)+VLOOKUP($B616,Lifetime_morbidity_array!$A$6:$Y$24,10)+VLOOKUP($B616,Lifetime_morbidity_array!$A$6:$Y$24,13)))</f>
        <v>42.095704933969671</v>
      </c>
      <c r="Y616" s="297">
        <f>SUM($R616:$S616)-(SUM($R616:$S616)*(VLOOKUP($B616,Lifetime_morbidity_array!$A$6:$Y$24,3)+VLOOKUP($B616,Lifetime_morbidity_array!$A$6:$Y$24,6)+VLOOKUP($B616,Lifetime_morbidity_array!$A$6:$Y$24,9)+VLOOKUP($B616,Lifetime_morbidity_array!$A$6:$Y$24,12)))</f>
        <v>201.45511462775232</v>
      </c>
      <c r="Z616" s="297">
        <f>(SUM($P616:$Q616)*VLOOKUP($B616,Lifetime_morbidity_array!$A$6:$Y$24,4))+(SUM($R616:$S616)*VLOOKUP($B616,Lifetime_morbidity_array!$A$6:$Y$24,3))</f>
        <v>167.09931719677527</v>
      </c>
      <c r="AA616" s="297">
        <f>(SUM($P616:$Q616)*VLOOKUP($B616,Lifetime_morbidity_array!$A$6:$Y$24,7))+(SUM($R616:$S616)*VLOOKUP($B616,Lifetime_morbidity_array!$A$6:$Y$24,6))</f>
        <v>112.2013253334204</v>
      </c>
      <c r="AB616" s="297">
        <f>(SUM($P616:$Q616)*VLOOKUP($B616,Lifetime_morbidity_array!$A$6:$Y$24,10))+(SUM($R616:$S616)*VLOOKUP($B616,Lifetime_morbidity_array!$A$6:$Y$24,9))</f>
        <v>5.2703089977423785</v>
      </c>
      <c r="AC616" s="297">
        <f>(SUM($P616:$Q616)*VLOOKUP($B616,Lifetime_morbidity_array!$A$6:$Y$24,13))+(SUM($R616:$S616)*VLOOKUP($B616,Lifetime_morbidity_array!$A$6:$Y$24,12))</f>
        <v>83.544761560196733</v>
      </c>
      <c r="AD616" s="294"/>
      <c r="AE616" s="294">
        <f t="shared" si="25"/>
        <v>88</v>
      </c>
      <c r="AF616" s="297">
        <f t="shared" si="42"/>
        <v>75.015909894202395</v>
      </c>
      <c r="AG616" s="297">
        <f t="shared" si="27"/>
        <v>24678.186490648353</v>
      </c>
      <c r="AH616" s="294"/>
      <c r="AI616" s="294">
        <f t="shared" si="28"/>
        <v>88</v>
      </c>
      <c r="AJ616" s="295">
        <f>((VLOOKUP($B616,'Mahawesran Tariff'!$A$21:$M$120,7)*$X616)+(VLOOKUP($B616,'Mahawesran Tariff'!$A$21:$M$120,6)*$Y616)+(DET_UTIL_chd*$Z616)+(DET_UTIL_copd*$AA616)+(DET_UTIL_lc*$AB616)+(DET_UTIL_stroke*$AC616))/((1+Discount_rate_QALYs)^$A616)</f>
        <v>59.642084460320213</v>
      </c>
      <c r="AK616" s="295">
        <f t="shared" si="29"/>
        <v>22716.458893668078</v>
      </c>
      <c r="AL616" s="294"/>
      <c r="AM616" s="294">
        <f t="shared" si="14"/>
        <v>88</v>
      </c>
      <c r="AN616" s="299">
        <f t="shared" si="40"/>
        <v>278059.64534905046</v>
      </c>
      <c r="AO616" s="299">
        <f t="shared" si="30"/>
        <v>19473985.943454396</v>
      </c>
      <c r="AP616" s="294"/>
      <c r="AQ616" s="294">
        <f t="shared" si="16"/>
        <v>88</v>
      </c>
      <c r="AR616" s="298">
        <f t="shared" si="37"/>
        <v>0.61166653264985682</v>
      </c>
      <c r="AS616" s="298">
        <f t="shared" si="38"/>
        <v>0.38833346735014312</v>
      </c>
      <c r="AT616" s="298">
        <f t="shared" si="39"/>
        <v>0.36811571308813479</v>
      </c>
      <c r="AU616" s="250"/>
      <c r="AV616" s="294">
        <f t="shared" si="17"/>
        <v>88</v>
      </c>
      <c r="AW616" s="299">
        <f t="shared" si="41"/>
        <v>278059.64534905046</v>
      </c>
      <c r="AX616" s="299">
        <f t="shared" si="31"/>
        <v>19473985.943454396</v>
      </c>
      <c r="AY616" s="335"/>
      <c r="AZ616" s="335"/>
      <c r="BA616" s="335"/>
      <c r="BB616" s="335"/>
      <c r="BC616" s="335"/>
      <c r="BD616" s="335"/>
      <c r="BE616" s="335"/>
      <c r="BF616" s="335"/>
      <c r="BG616" s="335"/>
      <c r="BH616" s="335"/>
      <c r="BI616" s="335"/>
      <c r="BJ616" s="335"/>
      <c r="BK616" s="364"/>
      <c r="BL616" s="364"/>
      <c r="BM616" s="364"/>
      <c r="BN616" s="364"/>
      <c r="BO616" s="364"/>
      <c r="BP616" s="364"/>
      <c r="BQ616" s="335"/>
      <c r="BR616" s="335"/>
      <c r="BS616" s="364"/>
      <c r="BT616" s="364"/>
      <c r="BU616" s="364"/>
      <c r="BV616" s="364"/>
      <c r="BW616" s="364"/>
      <c r="BX616" s="364"/>
      <c r="BY616" s="335"/>
      <c r="BZ616" s="335"/>
      <c r="CA616" s="364"/>
      <c r="CB616" s="364"/>
      <c r="CC616" s="335"/>
      <c r="CD616" s="335"/>
      <c r="CE616" s="335"/>
      <c r="CF616" s="335"/>
      <c r="CG616" s="335"/>
      <c r="CH616" s="335"/>
      <c r="CI616" s="365"/>
      <c r="CJ616" s="365"/>
      <c r="CK616" s="335"/>
      <c r="CL616" s="335"/>
      <c r="CM616" s="366"/>
      <c r="CN616" s="366"/>
      <c r="CO616" s="366"/>
      <c r="CP616" s="3"/>
    </row>
    <row r="617" spans="1:94" x14ac:dyDescent="0.25">
      <c r="A617" s="34">
        <v>62</v>
      </c>
      <c r="B617" s="33">
        <f t="shared" si="19"/>
        <v>89</v>
      </c>
      <c r="C617" s="294">
        <f>VLOOKUP($B617,'Mother mortality'!$A$23:$I$124,5)</f>
        <v>4.8770510503422466E-2</v>
      </c>
      <c r="D617" s="295">
        <f t="shared" si="32"/>
        <v>0.27</v>
      </c>
      <c r="E617" s="295">
        <f t="shared" si="9"/>
        <v>0.68122948949657747</v>
      </c>
      <c r="F617" s="295">
        <f>VLOOKUP($B617,'Mother mortality'!$A$23:$I$124,5)</f>
        <v>4.8770510503422466E-2</v>
      </c>
      <c r="G617" s="295">
        <f t="shared" si="33"/>
        <v>0.14000000000000001</v>
      </c>
      <c r="H617" s="295">
        <f t="shared" si="10"/>
        <v>0.81122948949657747</v>
      </c>
      <c r="I617" s="295">
        <f>VLOOKUP($B617,'Mother mortality'!$A$23:$I$124,4)</f>
        <v>4.0073437299794318E-2</v>
      </c>
      <c r="J617" s="295">
        <f t="shared" si="11"/>
        <v>0.38849799127163431</v>
      </c>
      <c r="K617" s="295">
        <f t="shared" si="34"/>
        <v>0.5714285714285714</v>
      </c>
      <c r="L617" s="295">
        <f>VLOOKUP($B617,'Mother mortality'!$A$23:$I$124,4)</f>
        <v>4.0073437299794318E-2</v>
      </c>
      <c r="M617" s="295">
        <f t="shared" si="35"/>
        <v>8.6261668788331098E-3</v>
      </c>
      <c r="N617" s="295">
        <f t="shared" si="12"/>
        <v>0.9513003958213726</v>
      </c>
      <c r="O617" s="294"/>
      <c r="P617" s="296">
        <f t="shared" si="20"/>
        <v>194.80504696437274</v>
      </c>
      <c r="Q617" s="297">
        <f t="shared" si="21"/>
        <v>55.791417788670415</v>
      </c>
      <c r="R617" s="297">
        <f t="shared" si="22"/>
        <v>8.2430018946706038</v>
      </c>
      <c r="S617" s="297">
        <f t="shared" si="23"/>
        <v>326.00629551021615</v>
      </c>
      <c r="T617" s="297">
        <f t="shared" si="24"/>
        <v>415.1542378420699</v>
      </c>
      <c r="U617" s="294">
        <f t="shared" si="13"/>
        <v>999.99999999999977</v>
      </c>
      <c r="V617" s="295" t="str">
        <f t="shared" si="36"/>
        <v>OKAY</v>
      </c>
      <c r="W617" s="295"/>
      <c r="X617" s="296">
        <f>SUM($P617:$Q617)-(SUM($P617:$Q617)*(VLOOKUP($B617,Lifetime_morbidity_array!$A$6:$Y$24,4)+VLOOKUP($B617,Lifetime_morbidity_array!$A$6:$Y$24,7)+VLOOKUP($B617,Lifetime_morbidity_array!$A$6:$Y$24,10)+VLOOKUP($B617,Lifetime_morbidity_array!$A$6:$Y$24,13)))</f>
        <v>39.730696187063359</v>
      </c>
      <c r="Y617" s="297">
        <f>SUM($R617:$S617)-(SUM($R617:$S617)*(VLOOKUP($B617,Lifetime_morbidity_array!$A$6:$Y$24,3)+VLOOKUP($B617,Lifetime_morbidity_array!$A$6:$Y$24,6)+VLOOKUP($B617,Lifetime_morbidity_array!$A$6:$Y$24,9)+VLOOKUP($B617,Lifetime_morbidity_array!$A$6:$Y$24,12)))</f>
        <v>194.5273260429</v>
      </c>
      <c r="Z617" s="297">
        <f>(SUM($P617:$Q617)*VLOOKUP($B617,Lifetime_morbidity_array!$A$6:$Y$24,4))+(SUM($R617:$S617)*VLOOKUP($B617,Lifetime_morbidity_array!$A$6:$Y$24,3))</f>
        <v>159.25513785965163</v>
      </c>
      <c r="AA617" s="297">
        <f>(SUM($P617:$Q617)*VLOOKUP($B617,Lifetime_morbidity_array!$A$6:$Y$24,7))+(SUM($R617:$S617)*VLOOKUP($B617,Lifetime_morbidity_array!$A$6:$Y$24,6))</f>
        <v>106.64378300243187</v>
      </c>
      <c r="AB617" s="297">
        <f>(SUM($P617:$Q617)*VLOOKUP($B617,Lifetime_morbidity_array!$A$6:$Y$24,10))+(SUM($R617:$S617)*VLOOKUP($B617,Lifetime_morbidity_array!$A$6:$Y$24,9))</f>
        <v>5.004640879571344</v>
      </c>
      <c r="AC617" s="297">
        <f>(SUM($P617:$Q617)*VLOOKUP($B617,Lifetime_morbidity_array!$A$6:$Y$24,13))+(SUM($R617:$S617)*VLOOKUP($B617,Lifetime_morbidity_array!$A$6:$Y$24,12))</f>
        <v>79.684178186311712</v>
      </c>
      <c r="AD617" s="294"/>
      <c r="AE617" s="294">
        <f t="shared" si="25"/>
        <v>89</v>
      </c>
      <c r="AF617" s="297">
        <f t="shared" si="42"/>
        <v>69.301025326557379</v>
      </c>
      <c r="AG617" s="297">
        <f t="shared" si="27"/>
        <v>24747.48751597491</v>
      </c>
      <c r="AH617" s="294"/>
      <c r="AI617" s="294">
        <f t="shared" si="28"/>
        <v>89</v>
      </c>
      <c r="AJ617" s="295">
        <f>((VLOOKUP($B617,'Mahawesran Tariff'!$A$21:$M$120,7)*$X617)+(VLOOKUP($B617,'Mahawesran Tariff'!$A$21:$M$120,6)*$Y617)+(DET_UTIL_chd*$Z617)+(DET_UTIL_copd*$AA617)+(DET_UTIL_lc*$AB617)+(DET_UTIL_stroke*$AC617))/((1+Discount_rate_QALYs)^$A617)</f>
        <v>55.128013055213643</v>
      </c>
      <c r="AK617" s="295">
        <f t="shared" si="29"/>
        <v>22771.586906723292</v>
      </c>
      <c r="AL617" s="294"/>
      <c r="AM617" s="294">
        <f t="shared" si="14"/>
        <v>89</v>
      </c>
      <c r="AN617" s="299">
        <f t="shared" si="40"/>
        <v>256153.08381333455</v>
      </c>
      <c r="AO617" s="299">
        <f t="shared" si="30"/>
        <v>19730139.027267732</v>
      </c>
      <c r="AP617" s="294"/>
      <c r="AQ617" s="294">
        <f t="shared" si="16"/>
        <v>89</v>
      </c>
      <c r="AR617" s="298">
        <f t="shared" si="37"/>
        <v>0.58484576215792994</v>
      </c>
      <c r="AS617" s="298">
        <f t="shared" si="38"/>
        <v>0.4151542378420699</v>
      </c>
      <c r="AT617" s="298">
        <f t="shared" si="39"/>
        <v>0.3505877399279666</v>
      </c>
      <c r="AU617" s="250"/>
      <c r="AV617" s="294">
        <f t="shared" si="17"/>
        <v>89</v>
      </c>
      <c r="AW617" s="299">
        <f t="shared" si="41"/>
        <v>256153.08381333455</v>
      </c>
      <c r="AX617" s="299">
        <f t="shared" si="31"/>
        <v>19730139.027267732</v>
      </c>
      <c r="AY617" s="335"/>
      <c r="AZ617" s="335"/>
      <c r="BA617" s="335"/>
      <c r="BB617" s="335"/>
      <c r="BC617" s="335"/>
      <c r="BD617" s="335"/>
      <c r="BE617" s="335"/>
      <c r="BF617" s="335"/>
      <c r="BG617" s="335"/>
      <c r="BH617" s="335"/>
      <c r="BI617" s="335"/>
      <c r="BJ617" s="335"/>
      <c r="BK617" s="364"/>
      <c r="BL617" s="364"/>
      <c r="BM617" s="364"/>
      <c r="BN617" s="364"/>
      <c r="BO617" s="364"/>
      <c r="BP617" s="364"/>
      <c r="BQ617" s="335"/>
      <c r="BR617" s="335"/>
      <c r="BS617" s="364"/>
      <c r="BT617" s="364"/>
      <c r="BU617" s="364"/>
      <c r="BV617" s="364"/>
      <c r="BW617" s="364"/>
      <c r="BX617" s="364"/>
      <c r="BY617" s="335"/>
      <c r="BZ617" s="335"/>
      <c r="CA617" s="364"/>
      <c r="CB617" s="364"/>
      <c r="CC617" s="335"/>
      <c r="CD617" s="335"/>
      <c r="CE617" s="335"/>
      <c r="CF617" s="335"/>
      <c r="CG617" s="335"/>
      <c r="CH617" s="335"/>
      <c r="CI617" s="365"/>
      <c r="CJ617" s="365"/>
      <c r="CK617" s="335"/>
      <c r="CL617" s="335"/>
      <c r="CM617" s="366"/>
      <c r="CN617" s="366"/>
      <c r="CO617" s="366"/>
      <c r="CP617" s="3"/>
    </row>
    <row r="618" spans="1:94" x14ac:dyDescent="0.25">
      <c r="A618" s="34">
        <v>63</v>
      </c>
      <c r="B618" s="33">
        <f t="shared" si="19"/>
        <v>90</v>
      </c>
      <c r="C618" s="294">
        <f>VLOOKUP($B618,'Mother mortality'!$A$23:$I$124,5)</f>
        <v>5.407866389048116E-2</v>
      </c>
      <c r="D618" s="295">
        <f t="shared" si="32"/>
        <v>0.27</v>
      </c>
      <c r="E618" s="295">
        <f t="shared" si="9"/>
        <v>0.67592133610951888</v>
      </c>
      <c r="F618" s="295">
        <f>VLOOKUP($B618,'Mother mortality'!$A$23:$I$124,5)</f>
        <v>5.407866389048116E-2</v>
      </c>
      <c r="G618" s="295">
        <f t="shared" si="33"/>
        <v>0.14000000000000001</v>
      </c>
      <c r="H618" s="295">
        <f t="shared" si="10"/>
        <v>0.80592133610951877</v>
      </c>
      <c r="I618" s="295">
        <f>VLOOKUP($B618,'Mother mortality'!$A$23:$I$124,4)</f>
        <v>4.443500640658192E-2</v>
      </c>
      <c r="J618" s="295">
        <f t="shared" si="11"/>
        <v>0.38413642216484667</v>
      </c>
      <c r="K618" s="295">
        <f t="shared" si="34"/>
        <v>0.5714285714285714</v>
      </c>
      <c r="L618" s="295">
        <f>VLOOKUP($B618,'Mother mortality'!$A$23:$I$124,4)</f>
        <v>4.443500640658192E-2</v>
      </c>
      <c r="M618" s="295">
        <f t="shared" si="35"/>
        <v>8.6261668788331098E-3</v>
      </c>
      <c r="N618" s="295">
        <f t="shared" si="12"/>
        <v>0.94693882671458496</v>
      </c>
      <c r="O618" s="294"/>
      <c r="P618" s="296">
        <f t="shared" si="20"/>
        <v>182.61500355706417</v>
      </c>
      <c r="Q618" s="297">
        <f t="shared" si="21"/>
        <v>52.597362680380641</v>
      </c>
      <c r="R618" s="297">
        <f t="shared" si="22"/>
        <v>7.810798490413859</v>
      </c>
      <c r="S618" s="297">
        <f t="shared" si="23"/>
        <v>313.41830576896695</v>
      </c>
      <c r="T618" s="297">
        <f t="shared" si="24"/>
        <v>443.55852950317416</v>
      </c>
      <c r="U618" s="294">
        <f t="shared" si="13"/>
        <v>999.99999999999977</v>
      </c>
      <c r="V618" s="295" t="str">
        <f t="shared" si="36"/>
        <v>OKAY</v>
      </c>
      <c r="W618" s="295"/>
      <c r="X618" s="296">
        <f>SUM($P618:$Q618)-(SUM($P618:$Q618)*(VLOOKUP($B618,Lifetime_morbidity_array!$A$6:$Y$24,4)+VLOOKUP($B618,Lifetime_morbidity_array!$A$6:$Y$24,7)+VLOOKUP($B618,Lifetime_morbidity_array!$A$6:$Y$24,10)+VLOOKUP($B618,Lifetime_morbidity_array!$A$6:$Y$24,13)))</f>
        <v>37.291631674172351</v>
      </c>
      <c r="Y618" s="297">
        <f>SUM($R618:$S618)-(SUM($R618:$S618)*(VLOOKUP($B618,Lifetime_morbidity_array!$A$6:$Y$24,3)+VLOOKUP($B618,Lifetime_morbidity_array!$A$6:$Y$24,6)+VLOOKUP($B618,Lifetime_morbidity_array!$A$6:$Y$24,9)+VLOOKUP($B618,Lifetime_morbidity_array!$A$6:$Y$24,12)))</f>
        <v>186.9497982011905</v>
      </c>
      <c r="Z618" s="297">
        <f>(SUM($P618:$Q618)*VLOOKUP($B618,Lifetime_morbidity_array!$A$6:$Y$24,4))+(SUM($R618:$S618)*VLOOKUP($B618,Lifetime_morbidity_array!$A$6:$Y$24,3))</f>
        <v>151.01314602275158</v>
      </c>
      <c r="AA618" s="297">
        <f>(SUM($P618:$Q618)*VLOOKUP($B618,Lifetime_morbidity_array!$A$6:$Y$24,7))+(SUM($R618:$S618)*VLOOKUP($B618,Lifetime_morbidity_array!$A$6:$Y$24,6))</f>
        <v>100.83866212436179</v>
      </c>
      <c r="AB618" s="297">
        <f>(SUM($P618:$Q618)*VLOOKUP($B618,Lifetime_morbidity_array!$A$6:$Y$24,10))+(SUM($R618:$S618)*VLOOKUP($B618,Lifetime_morbidity_array!$A$6:$Y$24,9))</f>
        <v>4.7276543014828079</v>
      </c>
      <c r="AC618" s="297">
        <f>(SUM($P618:$Q618)*VLOOKUP($B618,Lifetime_morbidity_array!$A$6:$Y$24,13))+(SUM($R618:$S618)*VLOOKUP($B618,Lifetime_morbidity_array!$A$6:$Y$24,12))</f>
        <v>75.620578172866587</v>
      </c>
      <c r="AD618" s="294"/>
      <c r="AE618" s="294">
        <f t="shared" si="25"/>
        <v>90</v>
      </c>
      <c r="AF618" s="297">
        <f t="shared" si="42"/>
        <v>63.705576867295626</v>
      </c>
      <c r="AG618" s="297">
        <f t="shared" si="27"/>
        <v>24811.193092842204</v>
      </c>
      <c r="AH618" s="294"/>
      <c r="AI618" s="294">
        <f t="shared" si="28"/>
        <v>90</v>
      </c>
      <c r="AJ618" s="295">
        <f>((VLOOKUP($B618,'Mahawesran Tariff'!$A$21:$M$120,7)*$X618)+(VLOOKUP($B618,'Mahawesran Tariff'!$A$21:$M$120,6)*$Y618)+(DET_UTIL_chd*$Z618)+(DET_UTIL_copd*$AA618)+(DET_UTIL_lc*$AB618)+(DET_UTIL_stroke*$AC618))/((1+Discount_rate_QALYs)^$A618)</f>
        <v>50.704974666800318</v>
      </c>
      <c r="AK618" s="295">
        <f t="shared" si="29"/>
        <v>22822.291881390094</v>
      </c>
      <c r="AL618" s="294"/>
      <c r="AM618" s="294">
        <f t="shared" si="14"/>
        <v>90</v>
      </c>
      <c r="AN618" s="299">
        <f t="shared" si="40"/>
        <v>234785.16791285656</v>
      </c>
      <c r="AO618" s="299">
        <f t="shared" si="30"/>
        <v>19964924.195180587</v>
      </c>
      <c r="AP618" s="294"/>
      <c r="AQ618" s="294">
        <f t="shared" si="16"/>
        <v>90</v>
      </c>
      <c r="AR618" s="298">
        <f t="shared" si="37"/>
        <v>0.55644147049682557</v>
      </c>
      <c r="AS618" s="298">
        <f t="shared" si="38"/>
        <v>0.44355852950317415</v>
      </c>
      <c r="AT618" s="298">
        <f t="shared" si="39"/>
        <v>0.3322000406214628</v>
      </c>
      <c r="AU618" s="250"/>
      <c r="AV618" s="294">
        <f t="shared" si="17"/>
        <v>90</v>
      </c>
      <c r="AW618" s="299">
        <f t="shared" si="41"/>
        <v>234785.16791285656</v>
      </c>
      <c r="AX618" s="299">
        <f t="shared" si="31"/>
        <v>19964924.195180587</v>
      </c>
      <c r="AY618" s="335"/>
      <c r="AZ618" s="335"/>
      <c r="BA618" s="335"/>
      <c r="BB618" s="335"/>
      <c r="BC618" s="335"/>
      <c r="BD618" s="335"/>
      <c r="BE618" s="335"/>
      <c r="BF618" s="335"/>
      <c r="BG618" s="335"/>
      <c r="BH618" s="335"/>
      <c r="BI618" s="335"/>
      <c r="BJ618" s="335"/>
      <c r="BK618" s="364"/>
      <c r="BL618" s="364"/>
      <c r="BM618" s="364"/>
      <c r="BN618" s="364"/>
      <c r="BO618" s="364"/>
      <c r="BP618" s="364"/>
      <c r="BQ618" s="335"/>
      <c r="BR618" s="335"/>
      <c r="BS618" s="364"/>
      <c r="BT618" s="364"/>
      <c r="BU618" s="364"/>
      <c r="BV618" s="364"/>
      <c r="BW618" s="364"/>
      <c r="BX618" s="364"/>
      <c r="BY618" s="335"/>
      <c r="BZ618" s="335"/>
      <c r="CA618" s="364"/>
      <c r="CB618" s="364"/>
      <c r="CC618" s="335"/>
      <c r="CD618" s="335"/>
      <c r="CE618" s="335"/>
      <c r="CF618" s="335"/>
      <c r="CG618" s="335"/>
      <c r="CH618" s="335"/>
      <c r="CI618" s="365"/>
      <c r="CJ618" s="365"/>
      <c r="CK618" s="335"/>
      <c r="CL618" s="335"/>
      <c r="CM618" s="366"/>
      <c r="CN618" s="366"/>
      <c r="CO618" s="366"/>
      <c r="CP618" s="3"/>
    </row>
    <row r="619" spans="1:94" x14ac:dyDescent="0.25">
      <c r="A619" s="34">
        <v>64</v>
      </c>
      <c r="B619" s="33">
        <f t="shared" si="19"/>
        <v>91</v>
      </c>
      <c r="C619" s="294">
        <f>VLOOKUP($B619,'Mother mortality'!$A$23:$I$124,5)</f>
        <v>5.9920963347607645E-2</v>
      </c>
      <c r="D619" s="295">
        <f t="shared" ref="D619:D655" si="43">IF(A619=1,DET_P_01Q_CSP,DET_P_01Q_CS_FEMALE)</f>
        <v>0.27</v>
      </c>
      <c r="E619" s="295">
        <f t="shared" si="9"/>
        <v>0.67007903665239232</v>
      </c>
      <c r="F619" s="295">
        <f>VLOOKUP($B619,'Mother mortality'!$A$23:$I$124,5)</f>
        <v>5.9920963347607645E-2</v>
      </c>
      <c r="G619" s="295">
        <f t="shared" ref="G619:G655" si="44">IF(A619=1,DET_P_12Q_QP,DET_P_12Q_01Q)</f>
        <v>0.14000000000000001</v>
      </c>
      <c r="H619" s="295">
        <f t="shared" si="10"/>
        <v>0.80007903665239233</v>
      </c>
      <c r="I619" s="295">
        <f>VLOOKUP($B619,'Mother mortality'!$A$23:$I$124,4)</f>
        <v>4.9235469197828514E-2</v>
      </c>
      <c r="J619" s="295">
        <f t="shared" si="11"/>
        <v>0.3793359593736001</v>
      </c>
      <c r="K619" s="295">
        <f t="shared" ref="K619:K655" si="45">IF(A619=2,DET_P_LTQ_12Q_QP,DET_P_LTQ_12Q)</f>
        <v>0.5714285714285714</v>
      </c>
      <c r="L619" s="295">
        <f>VLOOKUP($B619,'Mother mortality'!$A$23:$I$124,4)</f>
        <v>4.9235469197828514E-2</v>
      </c>
      <c r="M619" s="295">
        <f t="shared" ref="M619:M655" si="46">DET_P_CS_LTQ</f>
        <v>8.6261668788331098E-3</v>
      </c>
      <c r="N619" s="295">
        <f t="shared" si="12"/>
        <v>0.94213836392333838</v>
      </c>
      <c r="O619" s="294"/>
      <c r="P619" s="296">
        <f t="shared" si="20"/>
        <v>170.11504827284548</v>
      </c>
      <c r="Q619" s="297">
        <f t="shared" si="21"/>
        <v>49.306050960407326</v>
      </c>
      <c r="R619" s="297">
        <f t="shared" si="22"/>
        <v>7.3636307752532906</v>
      </c>
      <c r="S619" s="297">
        <f t="shared" si="23"/>
        <v>299.74672324389275</v>
      </c>
      <c r="T619" s="297">
        <f t="shared" si="24"/>
        <v>473.46854674760095</v>
      </c>
      <c r="U619" s="294">
        <f t="shared" si="13"/>
        <v>999.99999999999977</v>
      </c>
      <c r="V619" s="295" t="str">
        <f t="shared" ref="V619:V650" si="47">IF(U619=Cohort,"OKAY",IF(U619&gt;Cohort,"Too many","Too Few"))</f>
        <v>OKAY</v>
      </c>
      <c r="W619" s="295"/>
      <c r="X619" s="296">
        <f>SUM($P619:$Q619)-(SUM($P619:$Q619)*(VLOOKUP($B619,Lifetime_morbidity_array!$A$6:$Y$24,4)+VLOOKUP($B619,Lifetime_morbidity_array!$A$6:$Y$24,7)+VLOOKUP($B619,Lifetime_morbidity_array!$A$6:$Y$24,10)+VLOOKUP($B619,Lifetime_morbidity_array!$A$6:$Y$24,13)))</f>
        <v>34.78801282874835</v>
      </c>
      <c r="Y619" s="297">
        <f>SUM($R619:$S619)-(SUM($R619:$S619)*(VLOOKUP($B619,Lifetime_morbidity_array!$A$6:$Y$24,3)+VLOOKUP($B619,Lifetime_morbidity_array!$A$6:$Y$24,6)+VLOOKUP($B619,Lifetime_morbidity_array!$A$6:$Y$24,9)+VLOOKUP($B619,Lifetime_morbidity_array!$A$6:$Y$24,12)))</f>
        <v>178.73292907798179</v>
      </c>
      <c r="Z619" s="297">
        <f>(SUM($P619:$Q619)*VLOOKUP($B619,Lifetime_morbidity_array!$A$6:$Y$24,4))+(SUM($R619:$S619)*VLOOKUP($B619,Lifetime_morbidity_array!$A$6:$Y$24,3))</f>
        <v>142.3987253033655</v>
      </c>
      <c r="AA619" s="297">
        <f>(SUM($P619:$Q619)*VLOOKUP($B619,Lifetime_morbidity_array!$A$6:$Y$24,7))+(SUM($R619:$S619)*VLOOKUP($B619,Lifetime_morbidity_array!$A$6:$Y$24,6))</f>
        <v>94.805327214738526</v>
      </c>
      <c r="AB619" s="297">
        <f>(SUM($P619:$Q619)*VLOOKUP($B619,Lifetime_morbidity_array!$A$6:$Y$24,10))+(SUM($R619:$S619)*VLOOKUP($B619,Lifetime_morbidity_array!$A$6:$Y$24,9))</f>
        <v>4.440295757495111</v>
      </c>
      <c r="AC619" s="297">
        <f>(SUM($P619:$Q619)*VLOOKUP($B619,Lifetime_morbidity_array!$A$6:$Y$24,13))+(SUM($R619:$S619)*VLOOKUP($B619,Lifetime_morbidity_array!$A$6:$Y$24,12))</f>
        <v>71.366163070069575</v>
      </c>
      <c r="AD619" s="294"/>
      <c r="AE619" s="294">
        <f t="shared" si="25"/>
        <v>91</v>
      </c>
      <c r="AF619" s="297">
        <f t="shared" si="42"/>
        <v>58.242758094029092</v>
      </c>
      <c r="AG619" s="297">
        <f t="shared" si="27"/>
        <v>24869.435850936232</v>
      </c>
      <c r="AH619" s="294"/>
      <c r="AI619" s="294">
        <f t="shared" si="28"/>
        <v>91</v>
      </c>
      <c r="AJ619" s="295">
        <f>((VLOOKUP($B619,'Mahawesran Tariff'!$A$21:$M$120,7)*$X619)+(VLOOKUP($B619,'Mahawesran Tariff'!$A$21:$M$120,6)*$Y619)+(DET_UTIL_chd*$Z619)+(DET_UTIL_copd*$AA619)+(DET_UTIL_lc*$AB619)+(DET_UTIL_stroke*$AC619))/((1+Discount_rate_QALYs)^$A619)</f>
        <v>46.383534948204932</v>
      </c>
      <c r="AK619" s="295">
        <f t="shared" si="29"/>
        <v>22868.675416338298</v>
      </c>
      <c r="AL619" s="294"/>
      <c r="AM619" s="294">
        <f t="shared" si="14"/>
        <v>91</v>
      </c>
      <c r="AN619" s="299">
        <f t="shared" si="40"/>
        <v>214002.94524687302</v>
      </c>
      <c r="AO619" s="299">
        <f t="shared" si="30"/>
        <v>20178927.140427459</v>
      </c>
      <c r="AP619" s="294"/>
      <c r="AQ619" s="294">
        <f t="shared" si="16"/>
        <v>91</v>
      </c>
      <c r="AR619" s="298">
        <f t="shared" ref="AR619:AR655" si="48">(SUM(P619:S619))/Cohort</f>
        <v>0.52653145325239881</v>
      </c>
      <c r="AS619" s="298">
        <f t="shared" ref="AS619:AS655" si="49">T619/Cohort</f>
        <v>0.47346854674760097</v>
      </c>
      <c r="AT619" s="298">
        <f t="shared" ref="AT619:AT655" si="50">SUM(Z619:AC619)/Cohort</f>
        <v>0.31301051134566871</v>
      </c>
      <c r="AU619" s="250"/>
      <c r="AV619" s="294">
        <f t="shared" si="17"/>
        <v>91</v>
      </c>
      <c r="AW619" s="299">
        <f t="shared" si="41"/>
        <v>214002.94524687302</v>
      </c>
      <c r="AX619" s="299">
        <f t="shared" si="31"/>
        <v>20178927.140427459</v>
      </c>
      <c r="AY619" s="335"/>
      <c r="AZ619" s="335"/>
      <c r="BA619" s="335"/>
      <c r="BB619" s="335"/>
      <c r="BC619" s="335"/>
      <c r="BD619" s="335"/>
      <c r="BE619" s="335"/>
      <c r="BF619" s="335"/>
      <c r="BG619" s="335"/>
      <c r="BH619" s="335"/>
      <c r="BI619" s="335"/>
      <c r="BJ619" s="335"/>
      <c r="BK619" s="364"/>
      <c r="BL619" s="364"/>
      <c r="BM619" s="364"/>
      <c r="BN619" s="364"/>
      <c r="BO619" s="364"/>
      <c r="BP619" s="364"/>
      <c r="BQ619" s="335"/>
      <c r="BR619" s="335"/>
      <c r="BS619" s="364"/>
      <c r="BT619" s="364"/>
      <c r="BU619" s="364"/>
      <c r="BV619" s="364"/>
      <c r="BW619" s="364"/>
      <c r="BX619" s="364"/>
      <c r="BY619" s="335"/>
      <c r="BZ619" s="335"/>
      <c r="CA619" s="364"/>
      <c r="CB619" s="364"/>
      <c r="CC619" s="335"/>
      <c r="CD619" s="335"/>
      <c r="CE619" s="335"/>
      <c r="CF619" s="335"/>
      <c r="CG619" s="335"/>
      <c r="CH619" s="335"/>
      <c r="CI619" s="365"/>
      <c r="CJ619" s="365"/>
      <c r="CK619" s="335"/>
      <c r="CL619" s="335"/>
      <c r="CM619" s="366"/>
      <c r="CN619" s="366"/>
      <c r="CO619" s="366"/>
      <c r="CP619" s="3"/>
    </row>
    <row r="620" spans="1:94" x14ac:dyDescent="0.25">
      <c r="A620" s="34">
        <v>65</v>
      </c>
      <c r="B620" s="33">
        <f t="shared" si="19"/>
        <v>92</v>
      </c>
      <c r="C620" s="294">
        <f>VLOOKUP($B620,'Mother mortality'!$A$23:$I$124,5)</f>
        <v>6.636574417506827E-2</v>
      </c>
      <c r="D620" s="295">
        <f t="shared" si="43"/>
        <v>0.27</v>
      </c>
      <c r="E620" s="295">
        <f t="shared" ref="E620:E655" si="51">1-D620-C620</f>
        <v>0.66363425582493174</v>
      </c>
      <c r="F620" s="295">
        <f>VLOOKUP($B620,'Mother mortality'!$A$23:$I$124,5)</f>
        <v>6.636574417506827E-2</v>
      </c>
      <c r="G620" s="295">
        <f t="shared" si="44"/>
        <v>0.14000000000000001</v>
      </c>
      <c r="H620" s="295">
        <f t="shared" ref="H620:H655" si="52">1-G620-F620</f>
        <v>0.79363425582493174</v>
      </c>
      <c r="I620" s="295">
        <f>VLOOKUP($B620,'Mother mortality'!$A$23:$I$124,4)</f>
        <v>5.4530974980611664E-2</v>
      </c>
      <c r="J620" s="295">
        <f t="shared" ref="J620:J655" si="53">1-I620-K620</f>
        <v>0.37404045359081695</v>
      </c>
      <c r="K620" s="295">
        <f t="shared" si="45"/>
        <v>0.5714285714285714</v>
      </c>
      <c r="L620" s="295">
        <f>VLOOKUP($B620,'Mother mortality'!$A$23:$I$124,4)</f>
        <v>5.4530974980611664E-2</v>
      </c>
      <c r="M620" s="295">
        <f t="shared" si="46"/>
        <v>8.6261668788331098E-3</v>
      </c>
      <c r="N620" s="295">
        <f t="shared" ref="N620:N655" si="54">1-M620-L620</f>
        <v>0.93684285814055523</v>
      </c>
      <c r="O620" s="294"/>
      <c r="P620" s="296">
        <f t="shared" si="20"/>
        <v>157.36510557813745</v>
      </c>
      <c r="Q620" s="297">
        <f t="shared" si="21"/>
        <v>45.931063033668281</v>
      </c>
      <c r="R620" s="297">
        <f t="shared" si="22"/>
        <v>6.9028471344570264</v>
      </c>
      <c r="S620" s="297">
        <f t="shared" si="23"/>
        <v>285.02336593650489</v>
      </c>
      <c r="T620" s="297">
        <f t="shared" si="24"/>
        <v>504.77761831723211</v>
      </c>
      <c r="U620" s="294">
        <f t="shared" ref="U620:U655" si="55">SUM(P620:T620)</f>
        <v>999.99999999999977</v>
      </c>
      <c r="V620" s="295" t="str">
        <f t="shared" si="47"/>
        <v>OKAY</v>
      </c>
      <c r="W620" s="295"/>
      <c r="X620" s="296">
        <f>SUM($P620:$Q620)-(SUM($P620:$Q620)*(VLOOKUP($B620,Lifetime_morbidity_array!$A$6:$Y$24,4)+VLOOKUP($B620,Lifetime_morbidity_array!$A$6:$Y$24,7)+VLOOKUP($B620,Lifetime_morbidity_array!$A$6:$Y$24,10)+VLOOKUP($B620,Lifetime_morbidity_array!$A$6:$Y$24,13)))</f>
        <v>32.231493445326322</v>
      </c>
      <c r="Y620" s="297">
        <f>SUM($R620:$S620)-(SUM($R620:$S620)*(VLOOKUP($B620,Lifetime_morbidity_array!$A$6:$Y$24,3)+VLOOKUP($B620,Lifetime_morbidity_array!$A$6:$Y$24,6)+VLOOKUP($B620,Lifetime_morbidity_array!$A$6:$Y$24,9)+VLOOKUP($B620,Lifetime_morbidity_array!$A$6:$Y$24,12)))</f>
        <v>169.89602093833412</v>
      </c>
      <c r="Z620" s="297">
        <f>(SUM($P620:$Q620)*VLOOKUP($B620,Lifetime_morbidity_array!$A$6:$Y$24,4))+(SUM($R620:$S620)*VLOOKUP($B620,Lifetime_morbidity_array!$A$6:$Y$24,3))</f>
        <v>133.44531221543656</v>
      </c>
      <c r="AA620" s="297">
        <f>(SUM($P620:$Q620)*VLOOKUP($B620,Lifetime_morbidity_array!$A$6:$Y$24,7))+(SUM($R620:$S620)*VLOOKUP($B620,Lifetime_morbidity_array!$A$6:$Y$24,6))</f>
        <v>88.568642391999489</v>
      </c>
      <c r="AB620" s="297">
        <f>(SUM($P620:$Q620)*VLOOKUP($B620,Lifetime_morbidity_array!$A$6:$Y$24,10))+(SUM($R620:$S620)*VLOOKUP($B620,Lifetime_morbidity_array!$A$6:$Y$24,9))</f>
        <v>4.1437715375368223</v>
      </c>
      <c r="AC620" s="297">
        <f>(SUM($P620:$Q620)*VLOOKUP($B620,Lifetime_morbidity_array!$A$6:$Y$24,13))+(SUM($R620:$S620)*VLOOKUP($B620,Lifetime_morbidity_array!$A$6:$Y$24,12))</f>
        <v>66.937141154134366</v>
      </c>
      <c r="AD620" s="294"/>
      <c r="AE620" s="294">
        <f t="shared" si="25"/>
        <v>92</v>
      </c>
      <c r="AF620" s="297">
        <f t="shared" si="42"/>
        <v>52.927030451568712</v>
      </c>
      <c r="AG620" s="297">
        <f t="shared" si="27"/>
        <v>24922.362881387802</v>
      </c>
      <c r="AH620" s="294"/>
      <c r="AI620" s="294">
        <f t="shared" si="28"/>
        <v>92</v>
      </c>
      <c r="AJ620" s="295">
        <f>((VLOOKUP($B620,'Mahawesran Tariff'!$A$21:$M$120,7)*$X620)+(VLOOKUP($B620,'Mahawesran Tariff'!$A$21:$M$120,6)*$Y620)+(DET_UTIL_chd*$Z620)+(DET_UTIL_copd*$AA620)+(DET_UTIL_lc*$AB620)+(DET_UTIL_stroke*$AC620))/((1+Discount_rate_QALYs)^$A620)</f>
        <v>42.175271171901699</v>
      </c>
      <c r="AK620" s="295">
        <f t="shared" si="29"/>
        <v>22910.850687510199</v>
      </c>
      <c r="AL620" s="294"/>
      <c r="AM620" s="294">
        <f t="shared" ref="AM620:AM655" si="56">B620</f>
        <v>92</v>
      </c>
      <c r="AN620" s="299">
        <f t="shared" ref="AN620:AN655" si="57">(($Z620*DET_COST_chd)+($AA620*DET_COST_copd)+($AB620*DET_cost_lc)+($AC620*DET_COST_stroke))/((1+Discount_rate_costs)^$A620)</f>
        <v>193858.07525845675</v>
      </c>
      <c r="AO620" s="299">
        <f t="shared" si="30"/>
        <v>20372785.215685915</v>
      </c>
      <c r="AP620" s="294"/>
      <c r="AQ620" s="294">
        <f t="shared" ref="AQ620:AQ655" si="58">B620</f>
        <v>92</v>
      </c>
      <c r="AR620" s="298">
        <f t="shared" si="48"/>
        <v>0.49522238168276767</v>
      </c>
      <c r="AS620" s="298">
        <f t="shared" si="49"/>
        <v>0.50477761831723211</v>
      </c>
      <c r="AT620" s="298">
        <f t="shared" si="50"/>
        <v>0.29309486729910728</v>
      </c>
      <c r="AU620" s="250"/>
      <c r="AV620" s="294">
        <f t="shared" ref="AV620:AV655" si="59">B620</f>
        <v>92</v>
      </c>
      <c r="AW620" s="299">
        <f t="shared" ref="AW620:AW655" si="60">(($Z620*DET_COST_chd)+($AA620*DET_COST_copd)+($AB620*DET_cost_lc)+($AC620*DET_COST_stroke))/((1+Discount_rate_costs)^$A620)</f>
        <v>193858.07525845675</v>
      </c>
      <c r="AX620" s="299">
        <f t="shared" si="31"/>
        <v>20372785.215685915</v>
      </c>
      <c r="AY620" s="335"/>
      <c r="AZ620" s="335"/>
      <c r="BA620" s="335"/>
      <c r="BB620" s="335"/>
      <c r="BC620" s="335"/>
      <c r="BD620" s="335"/>
      <c r="BE620" s="335"/>
      <c r="BF620" s="335"/>
      <c r="BG620" s="335"/>
      <c r="BH620" s="335"/>
      <c r="BI620" s="335"/>
      <c r="BJ620" s="335"/>
      <c r="BK620" s="364"/>
      <c r="BL620" s="364"/>
      <c r="BM620" s="364"/>
      <c r="BN620" s="364"/>
      <c r="BO620" s="364"/>
      <c r="BP620" s="364"/>
      <c r="BQ620" s="335"/>
      <c r="BR620" s="335"/>
      <c r="BS620" s="364"/>
      <c r="BT620" s="364"/>
      <c r="BU620" s="364"/>
      <c r="BV620" s="364"/>
      <c r="BW620" s="364"/>
      <c r="BX620" s="364"/>
      <c r="BY620" s="335"/>
      <c r="BZ620" s="335"/>
      <c r="CA620" s="364"/>
      <c r="CB620" s="364"/>
      <c r="CC620" s="335"/>
      <c r="CD620" s="335"/>
      <c r="CE620" s="335"/>
      <c r="CF620" s="335"/>
      <c r="CG620" s="335"/>
      <c r="CH620" s="335"/>
      <c r="CI620" s="365"/>
      <c r="CJ620" s="365"/>
      <c r="CK620" s="335"/>
      <c r="CL620" s="335"/>
      <c r="CM620" s="366"/>
      <c r="CN620" s="366"/>
      <c r="CO620" s="366"/>
      <c r="CP620" s="3"/>
    </row>
    <row r="621" spans="1:94" x14ac:dyDescent="0.25">
      <c r="A621" s="34">
        <v>66</v>
      </c>
      <c r="B621" s="33">
        <f t="shared" ref="B621:B655" si="61">B620+1</f>
        <v>93</v>
      </c>
      <c r="C621" s="294">
        <f>VLOOKUP($B621,'Mother mortality'!$A$23:$I$124,5)</f>
        <v>7.3463397511548706E-2</v>
      </c>
      <c r="D621" s="295">
        <f t="shared" si="43"/>
        <v>0.27</v>
      </c>
      <c r="E621" s="295">
        <f t="shared" si="51"/>
        <v>0.65653660248845125</v>
      </c>
      <c r="F621" s="295">
        <f>VLOOKUP($B621,'Mother mortality'!$A$23:$I$124,5)</f>
        <v>7.3463397511548706E-2</v>
      </c>
      <c r="G621" s="295">
        <f t="shared" si="44"/>
        <v>0.14000000000000001</v>
      </c>
      <c r="H621" s="295">
        <f t="shared" si="52"/>
        <v>0.78653660248845125</v>
      </c>
      <c r="I621" s="295">
        <f>VLOOKUP($B621,'Mother mortality'!$A$23:$I$124,4)</f>
        <v>6.0362928819502989E-2</v>
      </c>
      <c r="J621" s="295">
        <f t="shared" si="53"/>
        <v>0.3682084997519256</v>
      </c>
      <c r="K621" s="295">
        <f t="shared" si="45"/>
        <v>0.5714285714285714</v>
      </c>
      <c r="L621" s="295">
        <f>VLOOKUP($B621,'Mother mortality'!$A$23:$I$124,4)</f>
        <v>6.0362928819502989E-2</v>
      </c>
      <c r="M621" s="295">
        <f t="shared" si="46"/>
        <v>8.6261668788331098E-3</v>
      </c>
      <c r="N621" s="295">
        <f t="shared" si="54"/>
        <v>0.93101090430166389</v>
      </c>
      <c r="O621" s="294"/>
      <c r="P621" s="296">
        <f t="shared" ref="P621:P655" si="62">(P620*E621)+(Q620*H621)+(R620*J621)+(S620*M621)</f>
        <v>144.44276014002145</v>
      </c>
      <c r="Q621" s="297">
        <f t="shared" ref="Q621:Q655" si="63">P620*D621</f>
        <v>42.488578506097113</v>
      </c>
      <c r="R621" s="297">
        <f t="shared" ref="R621:R655" si="64">Q620*G621</f>
        <v>6.4303488247135601</v>
      </c>
      <c r="S621" s="297">
        <f t="shared" ref="S621:S655" si="65">(R620*K621)+(S620*N621)</f>
        <v>269.30434574448202</v>
      </c>
      <c r="T621" s="297">
        <f t="shared" ref="T621:T655" si="66">T620+(P620*C621)+(Q620*F621)+(R620*I621)+(S620*L621)</f>
        <v>537.33396678468557</v>
      </c>
      <c r="U621" s="294">
        <f t="shared" si="55"/>
        <v>999.99999999999966</v>
      </c>
      <c r="V621" s="295" t="str">
        <f t="shared" si="47"/>
        <v>OKAY</v>
      </c>
      <c r="W621" s="295"/>
      <c r="X621" s="296">
        <f>SUM($P621:$Q621)-(SUM($P621:$Q621)*(VLOOKUP($B621,Lifetime_morbidity_array!$A$6:$Y$24,4)+VLOOKUP($B621,Lifetime_morbidity_array!$A$6:$Y$24,7)+VLOOKUP($B621,Lifetime_morbidity_array!$A$6:$Y$24,10)+VLOOKUP($B621,Lifetime_morbidity_array!$A$6:$Y$24,13)))</f>
        <v>29.636939335553024</v>
      </c>
      <c r="Y621" s="297">
        <f>SUM($R621:$S621)-(SUM($R621:$S621)*(VLOOKUP($B621,Lifetime_morbidity_array!$A$6:$Y$24,3)+VLOOKUP($B621,Lifetime_morbidity_array!$A$6:$Y$24,6)+VLOOKUP($B621,Lifetime_morbidity_array!$A$6:$Y$24,9)+VLOOKUP($B621,Lifetime_morbidity_array!$A$6:$Y$24,12)))</f>
        <v>160.47283643749304</v>
      </c>
      <c r="Z621" s="297">
        <f>(SUM($P621:$Q621)*VLOOKUP($B621,Lifetime_morbidity_array!$A$6:$Y$24,4))+(SUM($R621:$S621)*VLOOKUP($B621,Lifetime_morbidity_array!$A$6:$Y$24,3))</f>
        <v>124.1987730102031</v>
      </c>
      <c r="AA621" s="297">
        <f>(SUM($P621:$Q621)*VLOOKUP($B621,Lifetime_morbidity_array!$A$6:$Y$24,7))+(SUM($R621:$S621)*VLOOKUP($B621,Lifetime_morbidity_array!$A$6:$Y$24,6))</f>
        <v>82.161878188452704</v>
      </c>
      <c r="AB621" s="297">
        <f>(SUM($P621:$Q621)*VLOOKUP($B621,Lifetime_morbidity_array!$A$6:$Y$24,10))+(SUM($R621:$S621)*VLOOKUP($B621,Lifetime_morbidity_array!$A$6:$Y$24,9))</f>
        <v>3.8396837555542591</v>
      </c>
      <c r="AC621" s="297">
        <f>(SUM($P621:$Q621)*VLOOKUP($B621,Lifetime_morbidity_array!$A$6:$Y$24,13))+(SUM($R621:$S621)*VLOOKUP($B621,Lifetime_morbidity_array!$A$6:$Y$24,12))</f>
        <v>62.355922488058006</v>
      </c>
      <c r="AD621" s="294"/>
      <c r="AE621" s="294">
        <f t="shared" ref="AE621:AE655" si="67">B621</f>
        <v>93</v>
      </c>
      <c r="AF621" s="297">
        <f t="shared" ref="AF621:AF655" si="68">(SUM(P621:S621))/((1+Discount_rate_QALYs)^$A621)</f>
        <v>47.7754218453791</v>
      </c>
      <c r="AG621" s="297">
        <f t="shared" ref="AG621:AG655" si="69">AF621+AG620</f>
        <v>24970.13830323318</v>
      </c>
      <c r="AH621" s="294"/>
      <c r="AI621" s="294">
        <f t="shared" ref="AI621:AI655" si="70">B621</f>
        <v>93</v>
      </c>
      <c r="AJ621" s="295">
        <f>((VLOOKUP($B621,'Mahawesran Tariff'!$A$21:$M$120,7)*$X621)+(VLOOKUP($B621,'Mahawesran Tariff'!$A$21:$M$120,6)*$Y621)+(DET_UTIL_chd*$Z621)+(DET_UTIL_copd*$AA621)+(DET_UTIL_lc*$AB621)+(DET_UTIL_stroke*$AC621))/((1+Discount_rate_QALYs)^$A621)</f>
        <v>38.093807386348246</v>
      </c>
      <c r="AK621" s="295">
        <f t="shared" ref="AK621:AK655" si="71">AJ621+AK620</f>
        <v>22948.944494896547</v>
      </c>
      <c r="AL621" s="294"/>
      <c r="AM621" s="294">
        <f t="shared" si="56"/>
        <v>93</v>
      </c>
      <c r="AN621" s="299">
        <f t="shared" si="57"/>
        <v>174411.57676633279</v>
      </c>
      <c r="AO621" s="299">
        <f t="shared" ref="AO621:AO655" si="72">AN621+AO620</f>
        <v>20547196.79245225</v>
      </c>
      <c r="AP621" s="294"/>
      <c r="AQ621" s="294">
        <f t="shared" si="58"/>
        <v>93</v>
      </c>
      <c r="AR621" s="298">
        <f t="shared" si="48"/>
        <v>0.46266603321531408</v>
      </c>
      <c r="AS621" s="298">
        <f t="shared" si="49"/>
        <v>0.53733396678468559</v>
      </c>
      <c r="AT621" s="298">
        <f t="shared" si="50"/>
        <v>0.27255625744226808</v>
      </c>
      <c r="AU621" s="250"/>
      <c r="AV621" s="294">
        <f t="shared" si="59"/>
        <v>93</v>
      </c>
      <c r="AW621" s="299">
        <f t="shared" si="60"/>
        <v>174411.57676633279</v>
      </c>
      <c r="AX621" s="299">
        <f t="shared" ref="AX621:AX655" si="73">AW621+AX620</f>
        <v>20547196.79245225</v>
      </c>
      <c r="AY621" s="335"/>
      <c r="AZ621" s="335"/>
      <c r="BA621" s="335"/>
      <c r="BB621" s="335"/>
      <c r="BC621" s="335"/>
      <c r="BD621" s="335"/>
      <c r="BE621" s="335"/>
      <c r="BF621" s="335"/>
      <c r="BG621" s="335"/>
      <c r="BH621" s="335"/>
      <c r="BI621" s="335"/>
      <c r="BJ621" s="335"/>
      <c r="BK621" s="364"/>
      <c r="BL621" s="364"/>
      <c r="BM621" s="364"/>
      <c r="BN621" s="364"/>
      <c r="BO621" s="364"/>
      <c r="BP621" s="364"/>
      <c r="BQ621" s="335"/>
      <c r="BR621" s="335"/>
      <c r="BS621" s="364"/>
      <c r="BT621" s="364"/>
      <c r="BU621" s="364"/>
      <c r="BV621" s="364"/>
      <c r="BW621" s="364"/>
      <c r="BX621" s="364"/>
      <c r="BY621" s="335"/>
      <c r="BZ621" s="335"/>
      <c r="CA621" s="364"/>
      <c r="CB621" s="364"/>
      <c r="CC621" s="335"/>
      <c r="CD621" s="335"/>
      <c r="CE621" s="335"/>
      <c r="CF621" s="335"/>
      <c r="CG621" s="335"/>
      <c r="CH621" s="335"/>
      <c r="CI621" s="365"/>
      <c r="CJ621" s="365"/>
      <c r="CK621" s="335"/>
      <c r="CL621" s="335"/>
      <c r="CM621" s="366"/>
      <c r="CN621" s="366"/>
      <c r="CO621" s="366"/>
      <c r="CP621" s="3"/>
    </row>
    <row r="622" spans="1:94" x14ac:dyDescent="0.25">
      <c r="A622" s="34">
        <v>67</v>
      </c>
      <c r="B622" s="33">
        <f t="shared" si="61"/>
        <v>94</v>
      </c>
      <c r="C622" s="294">
        <f>VLOOKUP($B622,'Mother mortality'!$A$23:$I$124,5)</f>
        <v>8.1197699868496467E-2</v>
      </c>
      <c r="D622" s="295">
        <f t="shared" si="43"/>
        <v>0.27</v>
      </c>
      <c r="E622" s="295">
        <f t="shared" si="51"/>
        <v>0.64880230013150353</v>
      </c>
      <c r="F622" s="295">
        <f>VLOOKUP($B622,'Mother mortality'!$A$23:$I$124,5)</f>
        <v>8.1197699868496467E-2</v>
      </c>
      <c r="G622" s="295">
        <f t="shared" si="44"/>
        <v>0.14000000000000001</v>
      </c>
      <c r="H622" s="295">
        <f t="shared" si="52"/>
        <v>0.77880230013150353</v>
      </c>
      <c r="I622" s="295">
        <f>VLOOKUP($B622,'Mother mortality'!$A$23:$I$124,4)</f>
        <v>6.6718000303469666E-2</v>
      </c>
      <c r="J622" s="295">
        <f t="shared" si="53"/>
        <v>0.36185342826795897</v>
      </c>
      <c r="K622" s="295">
        <f t="shared" si="45"/>
        <v>0.5714285714285714</v>
      </c>
      <c r="L622" s="295">
        <f>VLOOKUP($B622,'Mother mortality'!$A$23:$I$124,4)</f>
        <v>6.6718000303469666E-2</v>
      </c>
      <c r="M622" s="295">
        <f t="shared" si="46"/>
        <v>8.6261668788331098E-3</v>
      </c>
      <c r="N622" s="295">
        <f t="shared" si="54"/>
        <v>0.92465583281769725</v>
      </c>
      <c r="O622" s="294"/>
      <c r="P622" s="296">
        <f t="shared" si="62"/>
        <v>131.45490568082369</v>
      </c>
      <c r="Q622" s="297">
        <f t="shared" si="63"/>
        <v>38.999545237805791</v>
      </c>
      <c r="R622" s="297">
        <f t="shared" si="64"/>
        <v>5.948400990853596</v>
      </c>
      <c r="S622" s="297">
        <f t="shared" si="65"/>
        <v>252.68831913848257</v>
      </c>
      <c r="T622" s="297">
        <f t="shared" si="66"/>
        <v>570.90882895203413</v>
      </c>
      <c r="U622" s="294">
        <f t="shared" si="55"/>
        <v>999.99999999999977</v>
      </c>
      <c r="V622" s="295" t="str">
        <f t="shared" si="47"/>
        <v>OKAY</v>
      </c>
      <c r="W622" s="295"/>
      <c r="X622" s="296">
        <f>SUM($P622:$Q622)-(SUM($P622:$Q622)*(VLOOKUP($B622,Lifetime_morbidity_array!$A$6:$Y$24,4)+VLOOKUP($B622,Lifetime_morbidity_array!$A$6:$Y$24,7)+VLOOKUP($B622,Lifetime_morbidity_array!$A$6:$Y$24,10)+VLOOKUP($B622,Lifetime_morbidity_array!$A$6:$Y$24,13)))</f>
        <v>27.024619081736375</v>
      </c>
      <c r="Y622" s="297">
        <f>SUM($R622:$S622)-(SUM($R622:$S622)*(VLOOKUP($B622,Lifetime_morbidity_array!$A$6:$Y$24,3)+VLOOKUP($B622,Lifetime_morbidity_array!$A$6:$Y$24,6)+VLOOKUP($B622,Lifetime_morbidity_array!$A$6:$Y$24,9)+VLOOKUP($B622,Lifetime_morbidity_array!$A$6:$Y$24,12)))</f>
        <v>150.5221102150029</v>
      </c>
      <c r="Z622" s="297">
        <f>(SUM($P622:$Q622)*VLOOKUP($B622,Lifetime_morbidity_array!$A$6:$Y$24,4))+(SUM($R622:$S622)*VLOOKUP($B622,Lifetime_morbidity_array!$A$6:$Y$24,3))</f>
        <v>114.7261095372866</v>
      </c>
      <c r="AA622" s="297">
        <f>(SUM($P622:$Q622)*VLOOKUP($B622,Lifetime_morbidity_array!$A$6:$Y$24,7))+(SUM($R622:$S622)*VLOOKUP($B622,Lifetime_morbidity_array!$A$6:$Y$24,6))</f>
        <v>75.632555416031181</v>
      </c>
      <c r="AB622" s="297">
        <f>(SUM($P622:$Q622)*VLOOKUP($B622,Lifetime_morbidity_array!$A$6:$Y$24,10))+(SUM($R622:$S622)*VLOOKUP($B622,Lifetime_morbidity_array!$A$6:$Y$24,9))</f>
        <v>3.5303048181083767</v>
      </c>
      <c r="AC622" s="297">
        <f>(SUM($P622:$Q622)*VLOOKUP($B622,Lifetime_morbidity_array!$A$6:$Y$24,13))+(SUM($R622:$S622)*VLOOKUP($B622,Lifetime_morbidity_array!$A$6:$Y$24,12))</f>
        <v>57.655471979800154</v>
      </c>
      <c r="AD622" s="294"/>
      <c r="AE622" s="294">
        <f t="shared" si="67"/>
        <v>94</v>
      </c>
      <c r="AF622" s="297">
        <f t="shared" si="68"/>
        <v>42.810090160355074</v>
      </c>
      <c r="AG622" s="297">
        <f t="shared" si="69"/>
        <v>25012.948393393533</v>
      </c>
      <c r="AH622" s="294"/>
      <c r="AI622" s="294">
        <f t="shared" si="70"/>
        <v>94</v>
      </c>
      <c r="AJ622" s="295">
        <f>((VLOOKUP($B622,'Mahawesran Tariff'!$A$21:$M$120,7)*$X622)+(VLOOKUP($B622,'Mahawesran Tariff'!$A$21:$M$120,6)*$Y622)+(DET_UTIL_chd*$Z622)+(DET_UTIL_copd*$AA622)+(DET_UTIL_lc*$AB622)+(DET_UTIL_stroke*$AC622))/((1+Discount_rate_QALYs)^$A622)</f>
        <v>34.156852067150162</v>
      </c>
      <c r="AK622" s="295">
        <f t="shared" si="71"/>
        <v>22983.101346963696</v>
      </c>
      <c r="AL622" s="294"/>
      <c r="AM622" s="294">
        <f t="shared" si="56"/>
        <v>94</v>
      </c>
      <c r="AN622" s="299">
        <f t="shared" si="57"/>
        <v>155743.34226374782</v>
      </c>
      <c r="AO622" s="299">
        <f t="shared" si="72"/>
        <v>20702940.134715997</v>
      </c>
      <c r="AP622" s="294"/>
      <c r="AQ622" s="294">
        <f t="shared" si="58"/>
        <v>94</v>
      </c>
      <c r="AR622" s="298">
        <f t="shared" si="48"/>
        <v>0.42909117104796562</v>
      </c>
      <c r="AS622" s="298">
        <f t="shared" si="49"/>
        <v>0.5709088289520341</v>
      </c>
      <c r="AT622" s="298">
        <f t="shared" si="50"/>
        <v>0.25154444175122631</v>
      </c>
      <c r="AU622" s="250"/>
      <c r="AV622" s="294">
        <f t="shared" si="59"/>
        <v>94</v>
      </c>
      <c r="AW622" s="299">
        <f t="shared" si="60"/>
        <v>155743.34226374782</v>
      </c>
      <c r="AX622" s="299">
        <f t="shared" si="73"/>
        <v>20702940.134715997</v>
      </c>
      <c r="AY622" s="335"/>
      <c r="AZ622" s="335"/>
      <c r="BA622" s="335"/>
      <c r="BB622" s="335"/>
      <c r="BC622" s="335"/>
      <c r="BD622" s="335"/>
      <c r="BE622" s="335"/>
      <c r="BF622" s="335"/>
      <c r="BG622" s="335"/>
      <c r="BH622" s="335"/>
      <c r="BI622" s="335"/>
      <c r="BJ622" s="335"/>
      <c r="BK622" s="364"/>
      <c r="BL622" s="364"/>
      <c r="BM622" s="364"/>
      <c r="BN622" s="364"/>
      <c r="BO622" s="364"/>
      <c r="BP622" s="364"/>
      <c r="BQ622" s="335"/>
      <c r="BR622" s="335"/>
      <c r="BS622" s="364"/>
      <c r="BT622" s="364"/>
      <c r="BU622" s="364"/>
      <c r="BV622" s="364"/>
      <c r="BW622" s="364"/>
      <c r="BX622" s="364"/>
      <c r="BY622" s="335"/>
      <c r="BZ622" s="335"/>
      <c r="CA622" s="364"/>
      <c r="CB622" s="364"/>
      <c r="CC622" s="335"/>
      <c r="CD622" s="335"/>
      <c r="CE622" s="335"/>
      <c r="CF622" s="335"/>
      <c r="CG622" s="335"/>
      <c r="CH622" s="335"/>
      <c r="CI622" s="365"/>
      <c r="CJ622" s="365"/>
      <c r="CK622" s="335"/>
      <c r="CL622" s="335"/>
      <c r="CM622" s="366"/>
      <c r="CN622" s="366"/>
      <c r="CO622" s="366"/>
      <c r="CP622" s="3"/>
    </row>
    <row r="623" spans="1:94" x14ac:dyDescent="0.25">
      <c r="A623" s="34">
        <v>68</v>
      </c>
      <c r="B623" s="33">
        <f t="shared" si="61"/>
        <v>95</v>
      </c>
      <c r="C623" s="294">
        <f>VLOOKUP($B623,'Mother mortality'!$A$23:$I$124,5)</f>
        <v>8.9474751660653468E-2</v>
      </c>
      <c r="D623" s="295">
        <f t="shared" si="43"/>
        <v>0.27</v>
      </c>
      <c r="E623" s="295">
        <f t="shared" si="51"/>
        <v>0.64052524833934654</v>
      </c>
      <c r="F623" s="295">
        <f>VLOOKUP($B623,'Mother mortality'!$A$23:$I$124,5)</f>
        <v>8.9474751660653468E-2</v>
      </c>
      <c r="G623" s="295">
        <f t="shared" si="44"/>
        <v>0.14000000000000001</v>
      </c>
      <c r="H623" s="295">
        <f t="shared" si="52"/>
        <v>0.77052524833934655</v>
      </c>
      <c r="I623" s="295">
        <f>VLOOKUP($B623,'Mother mortality'!$A$23:$I$124,4)</f>
        <v>7.3519034629261223E-2</v>
      </c>
      <c r="J623" s="295">
        <f t="shared" si="53"/>
        <v>0.35505239394216737</v>
      </c>
      <c r="K623" s="295">
        <f t="shared" si="45"/>
        <v>0.5714285714285714</v>
      </c>
      <c r="L623" s="295">
        <f>VLOOKUP($B623,'Mother mortality'!$A$23:$I$124,4)</f>
        <v>7.3519034629261223E-2</v>
      </c>
      <c r="M623" s="295">
        <f t="shared" si="46"/>
        <v>8.6261668788331098E-3</v>
      </c>
      <c r="N623" s="295">
        <f t="shared" si="54"/>
        <v>0.91785479849190565</v>
      </c>
      <c r="O623" s="294"/>
      <c r="P623" s="296">
        <f t="shared" si="62"/>
        <v>118.54204600726779</v>
      </c>
      <c r="Q623" s="297">
        <f t="shared" si="63"/>
        <v>35.4928245338224</v>
      </c>
      <c r="R623" s="297">
        <f t="shared" si="64"/>
        <v>5.459936333292811</v>
      </c>
      <c r="S623" s="297">
        <f t="shared" si="65"/>
        <v>235.33027252459806</v>
      </c>
      <c r="T623" s="297">
        <f t="shared" si="66"/>
        <v>605.17492060101881</v>
      </c>
      <c r="U623" s="294">
        <f t="shared" si="55"/>
        <v>999.99999999999989</v>
      </c>
      <c r="V623" s="295" t="str">
        <f t="shared" si="47"/>
        <v>OKAY</v>
      </c>
      <c r="W623" s="295"/>
      <c r="X623" s="296">
        <f>SUM($P623:$Q623)-(SUM($P623:$Q623)*(VLOOKUP($B623,Lifetime_morbidity_array!$A$6:$Y$24,4)+VLOOKUP($B623,Lifetime_morbidity_array!$A$6:$Y$24,7)+VLOOKUP($B623,Lifetime_morbidity_array!$A$6:$Y$24,10)+VLOOKUP($B623,Lifetime_morbidity_array!$A$6:$Y$24,13)))</f>
        <v>24.421384594202948</v>
      </c>
      <c r="Y623" s="297">
        <f>SUM($R623:$S623)-(SUM($R623:$S623)*(VLOOKUP($B623,Lifetime_morbidity_array!$A$6:$Y$24,3)+VLOOKUP($B623,Lifetime_morbidity_array!$A$6:$Y$24,6)+VLOOKUP($B623,Lifetime_morbidity_array!$A$6:$Y$24,9)+VLOOKUP($B623,Lifetime_morbidity_array!$A$6:$Y$24,12)))</f>
        <v>140.13574846710242</v>
      </c>
      <c r="Z623" s="297">
        <f>(SUM($P623:$Q623)*VLOOKUP($B623,Lifetime_morbidity_array!$A$6:$Y$24,4))+(SUM($R623:$S623)*VLOOKUP($B623,Lifetime_morbidity_array!$A$6:$Y$24,3))</f>
        <v>105.12104207071086</v>
      </c>
      <c r="AA623" s="297">
        <f>(SUM($P623:$Q623)*VLOOKUP($B623,Lifetime_morbidity_array!$A$6:$Y$24,7))+(SUM($R623:$S623)*VLOOKUP($B623,Lifetime_morbidity_array!$A$6:$Y$24,6))</f>
        <v>69.046025146867237</v>
      </c>
      <c r="AB623" s="297">
        <f>(SUM($P623:$Q623)*VLOOKUP($B623,Lifetime_morbidity_array!$A$6:$Y$24,10))+(SUM($R623:$S623)*VLOOKUP($B623,Lifetime_morbidity_array!$A$6:$Y$24,9))</f>
        <v>3.2187428997082859</v>
      </c>
      <c r="AC623" s="297">
        <f>(SUM($P623:$Q623)*VLOOKUP($B623,Lifetime_morbidity_array!$A$6:$Y$24,13))+(SUM($R623:$S623)*VLOOKUP($B623,Lifetime_morbidity_array!$A$6:$Y$24,12))</f>
        <v>52.882136220389285</v>
      </c>
      <c r="AD623" s="294"/>
      <c r="AE623" s="294">
        <f t="shared" si="67"/>
        <v>95</v>
      </c>
      <c r="AF623" s="297">
        <f t="shared" si="68"/>
        <v>38.059313069201153</v>
      </c>
      <c r="AG623" s="297">
        <f t="shared" si="69"/>
        <v>25051.007706462733</v>
      </c>
      <c r="AH623" s="294"/>
      <c r="AI623" s="294">
        <f t="shared" si="70"/>
        <v>95</v>
      </c>
      <c r="AJ623" s="295">
        <f>((VLOOKUP($B623,'Mahawesran Tariff'!$A$21:$M$120,7)*$X623)+(VLOOKUP($B623,'Mahawesran Tariff'!$A$21:$M$120,6)*$Y623)+(DET_UTIL_chd*$Z623)+(DET_UTIL_copd*$AA623)+(DET_UTIL_lc*$AB623)+(DET_UTIL_stroke*$AC623))/((1+Discount_rate_QALYs)^$A623)</f>
        <v>30.38699841034683</v>
      </c>
      <c r="AK623" s="295">
        <f t="shared" si="71"/>
        <v>23013.488345374044</v>
      </c>
      <c r="AL623" s="294"/>
      <c r="AM623" s="294">
        <f t="shared" si="56"/>
        <v>95</v>
      </c>
      <c r="AN623" s="299">
        <f t="shared" si="57"/>
        <v>137955.48089479352</v>
      </c>
      <c r="AO623" s="299">
        <f t="shared" si="72"/>
        <v>20840895.61561079</v>
      </c>
      <c r="AP623" s="294"/>
      <c r="AQ623" s="294">
        <f t="shared" si="58"/>
        <v>95</v>
      </c>
      <c r="AR623" s="298">
        <f t="shared" si="48"/>
        <v>0.39482507939898109</v>
      </c>
      <c r="AS623" s="298">
        <f t="shared" si="49"/>
        <v>0.60517492060101885</v>
      </c>
      <c r="AT623" s="298">
        <f t="shared" si="50"/>
        <v>0.23026794633767567</v>
      </c>
      <c r="AU623" s="250"/>
      <c r="AV623" s="294">
        <f t="shared" si="59"/>
        <v>95</v>
      </c>
      <c r="AW623" s="299">
        <f t="shared" si="60"/>
        <v>137955.48089479352</v>
      </c>
      <c r="AX623" s="299">
        <f t="shared" si="73"/>
        <v>20840895.61561079</v>
      </c>
      <c r="AY623" s="335"/>
      <c r="AZ623" s="335"/>
      <c r="BA623" s="335"/>
      <c r="BB623" s="335"/>
      <c r="BC623" s="335"/>
      <c r="BD623" s="335"/>
      <c r="BE623" s="335"/>
      <c r="BF623" s="335"/>
      <c r="BG623" s="335"/>
      <c r="BH623" s="335"/>
      <c r="BI623" s="335"/>
      <c r="BJ623" s="335"/>
      <c r="BK623" s="364"/>
      <c r="BL623" s="364"/>
      <c r="BM623" s="364"/>
      <c r="BN623" s="364"/>
      <c r="BO623" s="364"/>
      <c r="BP623" s="364"/>
      <c r="BQ623" s="335"/>
      <c r="BR623" s="335"/>
      <c r="BS623" s="364"/>
      <c r="BT623" s="364"/>
      <c r="BU623" s="364"/>
      <c r="BV623" s="364"/>
      <c r="BW623" s="364"/>
      <c r="BX623" s="364"/>
      <c r="BY623" s="335"/>
      <c r="BZ623" s="335"/>
      <c r="CA623" s="364"/>
      <c r="CB623" s="364"/>
      <c r="CC623" s="335"/>
      <c r="CD623" s="335"/>
      <c r="CE623" s="335"/>
      <c r="CF623" s="335"/>
      <c r="CG623" s="335"/>
      <c r="CH623" s="335"/>
      <c r="CI623" s="365"/>
      <c r="CJ623" s="365"/>
      <c r="CK623" s="335"/>
      <c r="CL623" s="335"/>
      <c r="CM623" s="366"/>
      <c r="CN623" s="366"/>
      <c r="CO623" s="366"/>
      <c r="CP623" s="3"/>
    </row>
    <row r="624" spans="1:94" x14ac:dyDescent="0.25">
      <c r="A624" s="34">
        <v>69</v>
      </c>
      <c r="B624" s="33">
        <f t="shared" si="61"/>
        <v>96</v>
      </c>
      <c r="C624" s="294">
        <f>VLOOKUP($B624,'Mother mortality'!$A$23:$I$124,5)</f>
        <v>9.8124452068651585E-2</v>
      </c>
      <c r="D624" s="295">
        <f t="shared" si="43"/>
        <v>0.27</v>
      </c>
      <c r="E624" s="295">
        <f t="shared" si="51"/>
        <v>0.63187554793134837</v>
      </c>
      <c r="F624" s="295">
        <f>VLOOKUP($B624,'Mother mortality'!$A$23:$I$124,5)</f>
        <v>9.8124452068651585E-2</v>
      </c>
      <c r="G624" s="295">
        <f t="shared" si="44"/>
        <v>0.14000000000000001</v>
      </c>
      <c r="H624" s="295">
        <f t="shared" si="52"/>
        <v>0.76187554793134837</v>
      </c>
      <c r="I624" s="295">
        <f>VLOOKUP($B624,'Mother mortality'!$A$23:$I$124,4)</f>
        <v>8.0626264456957905E-2</v>
      </c>
      <c r="J624" s="295">
        <f t="shared" si="53"/>
        <v>0.34794516411447074</v>
      </c>
      <c r="K624" s="295">
        <f t="shared" si="45"/>
        <v>0.5714285714285714</v>
      </c>
      <c r="L624" s="295">
        <f>VLOOKUP($B624,'Mother mortality'!$A$23:$I$124,4)</f>
        <v>8.0626264456957905E-2</v>
      </c>
      <c r="M624" s="295">
        <f t="shared" si="46"/>
        <v>8.6261668788331098E-3</v>
      </c>
      <c r="N624" s="295">
        <f t="shared" si="54"/>
        <v>0.91074756866420903</v>
      </c>
      <c r="O624" s="294"/>
      <c r="P624" s="296">
        <f t="shared" si="62"/>
        <v>105.87469205906318</v>
      </c>
      <c r="Q624" s="297">
        <f t="shared" si="63"/>
        <v>32.006352421962305</v>
      </c>
      <c r="R624" s="297">
        <f t="shared" si="64"/>
        <v>4.9689954347351364</v>
      </c>
      <c r="S624" s="297">
        <f t="shared" si="65"/>
        <v>217.44643715388787</v>
      </c>
      <c r="T624" s="297">
        <f t="shared" si="66"/>
        <v>639.70352293035137</v>
      </c>
      <c r="U624" s="294">
        <f t="shared" si="55"/>
        <v>999.99999999999989</v>
      </c>
      <c r="V624" s="295" t="str">
        <f t="shared" si="47"/>
        <v>OKAY</v>
      </c>
      <c r="W624" s="295"/>
      <c r="X624" s="296">
        <f>SUM($P624:$Q624)-(SUM($P624:$Q624)*(VLOOKUP($B624,Lifetime_morbidity_array!$A$6:$Y$24,4)+VLOOKUP($B624,Lifetime_morbidity_array!$A$6:$Y$24,7)+VLOOKUP($B624,Lifetime_morbidity_array!$A$6:$Y$24,10)+VLOOKUP($B624,Lifetime_morbidity_array!$A$6:$Y$24,13)))</f>
        <v>21.860283997338655</v>
      </c>
      <c r="Y624" s="297">
        <f>SUM($R624:$S624)-(SUM($R624:$S624)*(VLOOKUP($B624,Lifetime_morbidity_array!$A$6:$Y$24,3)+VLOOKUP($B624,Lifetime_morbidity_array!$A$6:$Y$24,6)+VLOOKUP($B624,Lifetime_morbidity_array!$A$6:$Y$24,9)+VLOOKUP($B624,Lifetime_morbidity_array!$A$6:$Y$24,12)))</f>
        <v>129.44194560184934</v>
      </c>
      <c r="Z624" s="297">
        <f>(SUM($P624:$Q624)*VLOOKUP($B624,Lifetime_morbidity_array!$A$6:$Y$24,4))+(SUM($R624:$S624)*VLOOKUP($B624,Lifetime_morbidity_array!$A$6:$Y$24,3))</f>
        <v>95.504219973239628</v>
      </c>
      <c r="AA624" s="297">
        <f>(SUM($P624:$Q624)*VLOOKUP($B624,Lifetime_morbidity_array!$A$6:$Y$24,7))+(SUM($R624:$S624)*VLOOKUP($B624,Lifetime_morbidity_array!$A$6:$Y$24,6))</f>
        <v>62.485281414484888</v>
      </c>
      <c r="AB624" s="297">
        <f>(SUM($P624:$Q624)*VLOOKUP($B624,Lifetime_morbidity_array!$A$6:$Y$24,10))+(SUM($R624:$S624)*VLOOKUP($B624,Lifetime_morbidity_array!$A$6:$Y$24,9))</f>
        <v>2.9089279160078991</v>
      </c>
      <c r="AC624" s="297">
        <f>(SUM($P624:$Q624)*VLOOKUP($B624,Lifetime_morbidity_array!$A$6:$Y$24,13))+(SUM($R624:$S624)*VLOOKUP($B624,Lifetime_morbidity_array!$A$6:$Y$24,12))</f>
        <v>48.095818166728044</v>
      </c>
      <c r="AD624" s="294"/>
      <c r="AE624" s="294">
        <f t="shared" si="67"/>
        <v>96</v>
      </c>
      <c r="AF624" s="297">
        <f t="shared" si="68"/>
        <v>33.556439970927542</v>
      </c>
      <c r="AG624" s="297">
        <f t="shared" si="69"/>
        <v>25084.564146433662</v>
      </c>
      <c r="AH624" s="294"/>
      <c r="AI624" s="294">
        <f t="shared" si="70"/>
        <v>96</v>
      </c>
      <c r="AJ624" s="295">
        <f>((VLOOKUP($B624,'Mahawesran Tariff'!$A$21:$M$120,7)*$X624)+(VLOOKUP($B624,'Mahawesran Tariff'!$A$21:$M$120,6)*$Y624)+(DET_UTIL_chd*$Z624)+(DET_UTIL_copd*$AA624)+(DET_UTIL_lc*$AB624)+(DET_UTIL_stroke*$AC624))/((1+Discount_rate_QALYs)^$A624)</f>
        <v>26.810914415836255</v>
      </c>
      <c r="AK624" s="295">
        <f t="shared" si="71"/>
        <v>23040.299259789881</v>
      </c>
      <c r="AL624" s="294"/>
      <c r="AM624" s="294">
        <f t="shared" si="56"/>
        <v>96</v>
      </c>
      <c r="AN624" s="299">
        <f t="shared" si="57"/>
        <v>121167.86291476872</v>
      </c>
      <c r="AO624" s="299">
        <f t="shared" si="72"/>
        <v>20962063.478525557</v>
      </c>
      <c r="AP624" s="294"/>
      <c r="AQ624" s="294">
        <f t="shared" si="58"/>
        <v>96</v>
      </c>
      <c r="AR624" s="298">
        <f t="shared" si="48"/>
        <v>0.36029647706964851</v>
      </c>
      <c r="AS624" s="298">
        <f t="shared" si="49"/>
        <v>0.63970352293035138</v>
      </c>
      <c r="AT624" s="298">
        <f t="shared" si="50"/>
        <v>0.20899424747046047</v>
      </c>
      <c r="AU624" s="250"/>
      <c r="AV624" s="294">
        <f t="shared" si="59"/>
        <v>96</v>
      </c>
      <c r="AW624" s="299">
        <f t="shared" si="60"/>
        <v>121167.86291476872</v>
      </c>
      <c r="AX624" s="299">
        <f t="shared" si="73"/>
        <v>20962063.478525557</v>
      </c>
      <c r="AY624" s="335"/>
      <c r="AZ624" s="335"/>
      <c r="BA624" s="335"/>
      <c r="BB624" s="335"/>
      <c r="BC624" s="335"/>
      <c r="BD624" s="335"/>
      <c r="BE624" s="335"/>
      <c r="BF624" s="335"/>
      <c r="BG624" s="335"/>
      <c r="BH624" s="335"/>
      <c r="BI624" s="335"/>
      <c r="BJ624" s="335"/>
      <c r="BK624" s="364"/>
      <c r="BL624" s="364"/>
      <c r="BM624" s="364"/>
      <c r="BN624" s="364"/>
      <c r="BO624" s="364"/>
      <c r="BP624" s="364"/>
      <c r="BQ624" s="335"/>
      <c r="BR624" s="335"/>
      <c r="BS624" s="364"/>
      <c r="BT624" s="364"/>
      <c r="BU624" s="364"/>
      <c r="BV624" s="364"/>
      <c r="BW624" s="364"/>
      <c r="BX624" s="364"/>
      <c r="BY624" s="335"/>
      <c r="BZ624" s="335"/>
      <c r="CA624" s="364"/>
      <c r="CB624" s="364"/>
      <c r="CC624" s="335"/>
      <c r="CD624" s="335"/>
      <c r="CE624" s="335"/>
      <c r="CF624" s="335"/>
      <c r="CG624" s="335"/>
      <c r="CH624" s="335"/>
      <c r="CI624" s="365"/>
      <c r="CJ624" s="365"/>
      <c r="CK624" s="335"/>
      <c r="CL624" s="335"/>
      <c r="CM624" s="366"/>
      <c r="CN624" s="366"/>
      <c r="CO624" s="366"/>
      <c r="CP624" s="3"/>
    </row>
    <row r="625" spans="1:94" x14ac:dyDescent="0.25">
      <c r="A625" s="34">
        <v>70</v>
      </c>
      <c r="B625" s="33">
        <f t="shared" si="61"/>
        <v>97</v>
      </c>
      <c r="C625" s="294">
        <f>VLOOKUP($B625,'Mother mortality'!$A$23:$I$124,5)</f>
        <v>0.10693712479347205</v>
      </c>
      <c r="D625" s="295">
        <f t="shared" si="43"/>
        <v>0.27</v>
      </c>
      <c r="E625" s="295">
        <f t="shared" si="51"/>
        <v>0.62306287520652792</v>
      </c>
      <c r="F625" s="295">
        <f>VLOOKUP($B625,'Mother mortality'!$A$23:$I$124,5)</f>
        <v>0.10693712479347205</v>
      </c>
      <c r="G625" s="295">
        <f t="shared" si="44"/>
        <v>0.14000000000000001</v>
      </c>
      <c r="H625" s="295">
        <f t="shared" si="52"/>
        <v>0.75306287520652793</v>
      </c>
      <c r="I625" s="295">
        <f>VLOOKUP($B625,'Mother mortality'!$A$23:$I$124,4)</f>
        <v>8.7867404322756887E-2</v>
      </c>
      <c r="J625" s="295">
        <f t="shared" si="53"/>
        <v>0.34070402424867174</v>
      </c>
      <c r="K625" s="295">
        <f t="shared" si="45"/>
        <v>0.5714285714285714</v>
      </c>
      <c r="L625" s="295">
        <f>VLOOKUP($B625,'Mother mortality'!$A$23:$I$124,4)</f>
        <v>8.7867404322756887E-2</v>
      </c>
      <c r="M625" s="295">
        <f t="shared" si="46"/>
        <v>8.6261668788331098E-3</v>
      </c>
      <c r="N625" s="295">
        <f t="shared" si="54"/>
        <v>0.90350642879841003</v>
      </c>
      <c r="O625" s="294"/>
      <c r="P625" s="296">
        <f t="shared" si="62"/>
        <v>93.638071820866685</v>
      </c>
      <c r="Q625" s="297">
        <f t="shared" si="63"/>
        <v>28.586166855947059</v>
      </c>
      <c r="R625" s="297">
        <f t="shared" si="64"/>
        <v>4.4808893390747233</v>
      </c>
      <c r="S625" s="297">
        <f t="shared" si="65"/>
        <v>199.30367985055292</v>
      </c>
      <c r="T625" s="297">
        <f t="shared" si="66"/>
        <v>673.99119213355834</v>
      </c>
      <c r="U625" s="294">
        <f t="shared" si="55"/>
        <v>999.99999999999977</v>
      </c>
      <c r="V625" s="295" t="str">
        <f t="shared" si="47"/>
        <v>OKAY</v>
      </c>
      <c r="W625" s="295"/>
      <c r="X625" s="296">
        <f>SUM($P625:$Q625)-(SUM($P625:$Q625)*(VLOOKUP($B625,Lifetime_morbidity_array!$A$6:$Y$24,4)+VLOOKUP($B625,Lifetime_morbidity_array!$A$6:$Y$24,7)+VLOOKUP($B625,Lifetime_morbidity_array!$A$6:$Y$24,10)+VLOOKUP($B625,Lifetime_morbidity_array!$A$6:$Y$24,13)))</f>
        <v>19.377983238307579</v>
      </c>
      <c r="Y625" s="297">
        <f>SUM($R625:$S625)-(SUM($R625:$S625)*(VLOOKUP($B625,Lifetime_morbidity_array!$A$6:$Y$24,3)+VLOOKUP($B625,Lifetime_morbidity_array!$A$6:$Y$24,6)+VLOOKUP($B625,Lifetime_morbidity_array!$A$6:$Y$24,9)+VLOOKUP($B625,Lifetime_morbidity_array!$A$6:$Y$24,12)))</f>
        <v>118.59910444402044</v>
      </c>
      <c r="Z625" s="297">
        <f>(SUM($P625:$Q625)*VLOOKUP($B625,Lifetime_morbidity_array!$A$6:$Y$24,4))+(SUM($R625:$S625)*VLOOKUP($B625,Lifetime_morbidity_array!$A$6:$Y$24,3))</f>
        <v>86.01518774099091</v>
      </c>
      <c r="AA625" s="297">
        <f>(SUM($P625:$Q625)*VLOOKUP($B625,Lifetime_morbidity_array!$A$6:$Y$24,7))+(SUM($R625:$S625)*VLOOKUP($B625,Lifetime_morbidity_array!$A$6:$Y$24,6))</f>
        <v>56.045152584247056</v>
      </c>
      <c r="AB625" s="297">
        <f>(SUM($P625:$Q625)*VLOOKUP($B625,Lifetime_morbidity_array!$A$6:$Y$24,10))+(SUM($R625:$S625)*VLOOKUP($B625,Lifetime_morbidity_array!$A$6:$Y$24,9))</f>
        <v>2.6053320947635421</v>
      </c>
      <c r="AC625" s="297">
        <f>(SUM($P625:$Q625)*VLOOKUP($B625,Lifetime_morbidity_array!$A$6:$Y$24,13))+(SUM($R625:$S625)*VLOOKUP($B625,Lifetime_morbidity_array!$A$6:$Y$24,12))</f>
        <v>43.366047764111862</v>
      </c>
      <c r="AD625" s="294"/>
      <c r="AE625" s="294">
        <f t="shared" si="67"/>
        <v>97</v>
      </c>
      <c r="AF625" s="297">
        <f t="shared" si="68"/>
        <v>29.336266900572198</v>
      </c>
      <c r="AG625" s="297">
        <f t="shared" si="69"/>
        <v>25113.900413334235</v>
      </c>
      <c r="AH625" s="294"/>
      <c r="AI625" s="294">
        <f t="shared" si="70"/>
        <v>97</v>
      </c>
      <c r="AJ625" s="295">
        <f>((VLOOKUP($B625,'Mahawesran Tariff'!$A$21:$M$120,7)*$X625)+(VLOOKUP($B625,'Mahawesran Tariff'!$A$21:$M$120,6)*$Y625)+(DET_UTIL_chd*$Z625)+(DET_UTIL_copd*$AA625)+(DET_UTIL_lc*$AB625)+(DET_UTIL_stroke*$AC625))/((1+Discount_rate_QALYs)^$A625)</f>
        <v>23.456485616340352</v>
      </c>
      <c r="AK625" s="295">
        <f t="shared" si="71"/>
        <v>23063.755745406223</v>
      </c>
      <c r="AL625" s="294"/>
      <c r="AM625" s="294">
        <f t="shared" si="56"/>
        <v>97</v>
      </c>
      <c r="AN625" s="299">
        <f t="shared" si="57"/>
        <v>105504.07440977635</v>
      </c>
      <c r="AO625" s="299">
        <f t="shared" si="72"/>
        <v>21067567.552935332</v>
      </c>
      <c r="AP625" s="294"/>
      <c r="AQ625" s="294">
        <f t="shared" si="58"/>
        <v>97</v>
      </c>
      <c r="AR625" s="298">
        <f t="shared" si="48"/>
        <v>0.32600880786644137</v>
      </c>
      <c r="AS625" s="298">
        <f t="shared" si="49"/>
        <v>0.67399119213355829</v>
      </c>
      <c r="AT625" s="298">
        <f t="shared" si="50"/>
        <v>0.1880317201841134</v>
      </c>
      <c r="AU625" s="250"/>
      <c r="AV625" s="294">
        <f t="shared" si="59"/>
        <v>97</v>
      </c>
      <c r="AW625" s="299">
        <f t="shared" si="60"/>
        <v>105504.07440977635</v>
      </c>
      <c r="AX625" s="299">
        <f t="shared" si="73"/>
        <v>21067567.552935332</v>
      </c>
      <c r="AY625" s="335"/>
      <c r="AZ625" s="335"/>
      <c r="BA625" s="335"/>
      <c r="BB625" s="335"/>
      <c r="BC625" s="335"/>
      <c r="BD625" s="335"/>
      <c r="BE625" s="335"/>
      <c r="BF625" s="335"/>
      <c r="BG625" s="335"/>
      <c r="BH625" s="335"/>
      <c r="BI625" s="335"/>
      <c r="BJ625" s="335"/>
      <c r="BK625" s="364"/>
      <c r="BL625" s="364"/>
      <c r="BM625" s="364"/>
      <c r="BN625" s="364"/>
      <c r="BO625" s="364"/>
      <c r="BP625" s="364"/>
      <c r="BQ625" s="335"/>
      <c r="BR625" s="335"/>
      <c r="BS625" s="364"/>
      <c r="BT625" s="364"/>
      <c r="BU625" s="364"/>
      <c r="BV625" s="364"/>
      <c r="BW625" s="364"/>
      <c r="BX625" s="364"/>
      <c r="BY625" s="335"/>
      <c r="BZ625" s="335"/>
      <c r="CA625" s="364"/>
      <c r="CB625" s="364"/>
      <c r="CC625" s="335"/>
      <c r="CD625" s="335"/>
      <c r="CE625" s="335"/>
      <c r="CF625" s="335"/>
      <c r="CG625" s="335"/>
      <c r="CH625" s="335"/>
      <c r="CI625" s="365"/>
      <c r="CJ625" s="365"/>
      <c r="CK625" s="335"/>
      <c r="CL625" s="335"/>
      <c r="CM625" s="366"/>
      <c r="CN625" s="366"/>
      <c r="CO625" s="366"/>
      <c r="CP625" s="3"/>
    </row>
    <row r="626" spans="1:94" x14ac:dyDescent="0.25">
      <c r="A626" s="34">
        <v>71</v>
      </c>
      <c r="B626" s="33">
        <f t="shared" si="61"/>
        <v>98</v>
      </c>
      <c r="C626" s="294">
        <f>VLOOKUP($B626,'Mother mortality'!$A$23:$I$124,5)</f>
        <v>0.1158972837778602</v>
      </c>
      <c r="D626" s="295">
        <f t="shared" si="43"/>
        <v>0.27</v>
      </c>
      <c r="E626" s="295">
        <f t="shared" si="51"/>
        <v>0.61410271622213974</v>
      </c>
      <c r="F626" s="295">
        <f>VLOOKUP($B626,'Mother mortality'!$A$23:$I$124,5)</f>
        <v>0.1158972837778602</v>
      </c>
      <c r="G626" s="295">
        <f t="shared" si="44"/>
        <v>0.14000000000000001</v>
      </c>
      <c r="H626" s="295">
        <f t="shared" si="52"/>
        <v>0.74410271622213975</v>
      </c>
      <c r="I626" s="295">
        <f>VLOOKUP($B626,'Mother mortality'!$A$23:$I$124,4)</f>
        <v>9.5229729743399535E-2</v>
      </c>
      <c r="J626" s="295">
        <f t="shared" si="53"/>
        <v>0.33334169882802911</v>
      </c>
      <c r="K626" s="295">
        <f t="shared" si="45"/>
        <v>0.5714285714285714</v>
      </c>
      <c r="L626" s="295">
        <f>VLOOKUP($B626,'Mother mortality'!$A$23:$I$124,4)</f>
        <v>9.5229729743399535E-2</v>
      </c>
      <c r="M626" s="295">
        <f t="shared" si="46"/>
        <v>8.6261668788331098E-3</v>
      </c>
      <c r="N626" s="295">
        <f t="shared" si="54"/>
        <v>0.8961441033777674</v>
      </c>
      <c r="O626" s="294"/>
      <c r="P626" s="296">
        <f t="shared" si="62"/>
        <v>81.98733271739151</v>
      </c>
      <c r="Q626" s="297">
        <f t="shared" si="63"/>
        <v>25.282279391634006</v>
      </c>
      <c r="R626" s="297">
        <f t="shared" si="64"/>
        <v>4.0020633598325883</v>
      </c>
      <c r="S626" s="297">
        <f t="shared" si="65"/>
        <v>181.16532567332035</v>
      </c>
      <c r="T626" s="297">
        <f t="shared" si="66"/>
        <v>707.56299885782141</v>
      </c>
      <c r="U626" s="294">
        <f t="shared" si="55"/>
        <v>999.99999999999989</v>
      </c>
      <c r="V626" s="295" t="str">
        <f t="shared" si="47"/>
        <v>OKAY</v>
      </c>
      <c r="W626" s="295"/>
      <c r="X626" s="296">
        <f>SUM($P626:$Q626)-(SUM($P626:$Q626)*(VLOOKUP($B626,Lifetime_morbidity_array!$A$6:$Y$24,4)+VLOOKUP($B626,Lifetime_morbidity_array!$A$6:$Y$24,7)+VLOOKUP($B626,Lifetime_morbidity_array!$A$6:$Y$24,10)+VLOOKUP($B626,Lifetime_morbidity_array!$A$6:$Y$24,13)))</f>
        <v>17.007009149182622</v>
      </c>
      <c r="Y626" s="297">
        <f>SUM($R626:$S626)-(SUM($R626:$S626)*(VLOOKUP($B626,Lifetime_morbidity_array!$A$6:$Y$24,3)+VLOOKUP($B626,Lifetime_morbidity_array!$A$6:$Y$24,6)+VLOOKUP($B626,Lifetime_morbidity_array!$A$6:$Y$24,9)+VLOOKUP($B626,Lifetime_morbidity_array!$A$6:$Y$24,12)))</f>
        <v>107.76422669733347</v>
      </c>
      <c r="Z626" s="297">
        <f>(SUM($P626:$Q626)*VLOOKUP($B626,Lifetime_morbidity_array!$A$6:$Y$24,4))+(SUM($R626:$S626)*VLOOKUP($B626,Lifetime_morbidity_array!$A$6:$Y$24,3))</f>
        <v>76.783532071900595</v>
      </c>
      <c r="AA626" s="297">
        <f>(SUM($P626:$Q626)*VLOOKUP($B626,Lifetime_morbidity_array!$A$6:$Y$24,7))+(SUM($R626:$S626)*VLOOKUP($B626,Lifetime_morbidity_array!$A$6:$Y$24,6))</f>
        <v>49.812562935445435</v>
      </c>
      <c r="AB626" s="297">
        <f>(SUM($P626:$Q626)*VLOOKUP($B626,Lifetime_morbidity_array!$A$6:$Y$24,10))+(SUM($R626:$S626)*VLOOKUP($B626,Lifetime_morbidity_array!$A$6:$Y$24,9))</f>
        <v>2.312037024329106</v>
      </c>
      <c r="AC626" s="297">
        <f>(SUM($P626:$Q626)*VLOOKUP($B626,Lifetime_morbidity_array!$A$6:$Y$24,13))+(SUM($R626:$S626)*VLOOKUP($B626,Lifetime_morbidity_array!$A$6:$Y$24,12))</f>
        <v>38.757633263987245</v>
      </c>
      <c r="AD626" s="294"/>
      <c r="AE626" s="294">
        <f t="shared" si="67"/>
        <v>98</v>
      </c>
      <c r="AF626" s="297">
        <f t="shared" si="68"/>
        <v>25.425381985487185</v>
      </c>
      <c r="AG626" s="297">
        <f t="shared" si="69"/>
        <v>25139.325795319721</v>
      </c>
      <c r="AH626" s="294"/>
      <c r="AI626" s="294">
        <f t="shared" si="70"/>
        <v>98</v>
      </c>
      <c r="AJ626" s="295">
        <f>((VLOOKUP($B626,'Mahawesran Tariff'!$A$21:$M$120,7)*$X626)+(VLOOKUP($B626,'Mahawesran Tariff'!$A$21:$M$120,6)*$Y626)+(DET_UTIL_chd*$Z626)+(DET_UTIL_copd*$AA626)+(DET_UTIL_lc*$AB626)+(DET_UTIL_stroke*$AC626))/((1+Discount_rate_QALYs)^$A626)</f>
        <v>20.345154540728259</v>
      </c>
      <c r="AK626" s="295">
        <f t="shared" si="71"/>
        <v>23084.100899946952</v>
      </c>
      <c r="AL626" s="294"/>
      <c r="AM626" s="294">
        <f t="shared" si="56"/>
        <v>98</v>
      </c>
      <c r="AN626" s="299">
        <f t="shared" si="57"/>
        <v>91055.254786132748</v>
      </c>
      <c r="AO626" s="299">
        <f t="shared" si="72"/>
        <v>21158622.807721466</v>
      </c>
      <c r="AP626" s="294"/>
      <c r="AQ626" s="294">
        <f t="shared" si="58"/>
        <v>98</v>
      </c>
      <c r="AR626" s="298">
        <f t="shared" si="48"/>
        <v>0.29243700114217847</v>
      </c>
      <c r="AS626" s="298">
        <f t="shared" si="49"/>
        <v>0.70756299885782137</v>
      </c>
      <c r="AT626" s="298">
        <f t="shared" si="50"/>
        <v>0.16766576529566238</v>
      </c>
      <c r="AU626" s="250"/>
      <c r="AV626" s="294">
        <f t="shared" si="59"/>
        <v>98</v>
      </c>
      <c r="AW626" s="299">
        <f t="shared" si="60"/>
        <v>91055.254786132748</v>
      </c>
      <c r="AX626" s="299">
        <f t="shared" si="73"/>
        <v>21158622.807721466</v>
      </c>
      <c r="AY626" s="335"/>
      <c r="AZ626" s="335"/>
      <c r="BA626" s="335"/>
      <c r="BB626" s="335"/>
      <c r="BC626" s="335"/>
      <c r="BD626" s="335"/>
      <c r="BE626" s="335"/>
      <c r="BF626" s="335"/>
      <c r="BG626" s="335"/>
      <c r="BH626" s="335"/>
      <c r="BI626" s="335"/>
      <c r="BJ626" s="335"/>
      <c r="BK626" s="364"/>
      <c r="BL626" s="364"/>
      <c r="BM626" s="364"/>
      <c r="BN626" s="364"/>
      <c r="BO626" s="364"/>
      <c r="BP626" s="364"/>
      <c r="BQ626" s="335"/>
      <c r="BR626" s="335"/>
      <c r="BS626" s="364"/>
      <c r="BT626" s="364"/>
      <c r="BU626" s="364"/>
      <c r="BV626" s="364"/>
      <c r="BW626" s="364"/>
      <c r="BX626" s="364"/>
      <c r="BY626" s="335"/>
      <c r="BZ626" s="335"/>
      <c r="CA626" s="364"/>
      <c r="CB626" s="364"/>
      <c r="CC626" s="335"/>
      <c r="CD626" s="335"/>
      <c r="CE626" s="335"/>
      <c r="CF626" s="335"/>
      <c r="CG626" s="335"/>
      <c r="CH626" s="335"/>
      <c r="CI626" s="365"/>
      <c r="CJ626" s="365"/>
      <c r="CK626" s="335"/>
      <c r="CL626" s="335"/>
      <c r="CM626" s="366"/>
      <c r="CN626" s="366"/>
      <c r="CO626" s="366"/>
      <c r="CP626" s="3"/>
    </row>
    <row r="627" spans="1:94" x14ac:dyDescent="0.25">
      <c r="A627" s="34">
        <v>72</v>
      </c>
      <c r="B627" s="33">
        <f t="shared" si="61"/>
        <v>99</v>
      </c>
      <c r="C627" s="294">
        <f>VLOOKUP($B627,'Mother mortality'!$A$23:$I$124,5)</f>
        <v>0.12520735391307281</v>
      </c>
      <c r="D627" s="295">
        <f t="shared" si="43"/>
        <v>0.27</v>
      </c>
      <c r="E627" s="295">
        <f t="shared" si="51"/>
        <v>0.60479264608692718</v>
      </c>
      <c r="F627" s="295">
        <f>VLOOKUP($B627,'Mother mortality'!$A$23:$I$124,5)</f>
        <v>0.12520735391307281</v>
      </c>
      <c r="G627" s="295">
        <f t="shared" si="44"/>
        <v>0.14000000000000001</v>
      </c>
      <c r="H627" s="295">
        <f t="shared" si="52"/>
        <v>0.73479264608692718</v>
      </c>
      <c r="I627" s="295">
        <f>VLOOKUP($B627,'Mother mortality'!$A$23:$I$124,4)</f>
        <v>0.10287956789290895</v>
      </c>
      <c r="J627" s="295">
        <f t="shared" si="53"/>
        <v>0.32569186067851963</v>
      </c>
      <c r="K627" s="295">
        <f t="shared" si="45"/>
        <v>0.5714285714285714</v>
      </c>
      <c r="L627" s="295">
        <f>VLOOKUP($B627,'Mother mortality'!$A$23:$I$124,4)</f>
        <v>0.10287956789290895</v>
      </c>
      <c r="M627" s="295">
        <f t="shared" si="46"/>
        <v>8.6261668788331098E-3</v>
      </c>
      <c r="N627" s="295">
        <f t="shared" si="54"/>
        <v>0.88849426522825792</v>
      </c>
      <c r="O627" s="294"/>
      <c r="P627" s="296">
        <f t="shared" si="62"/>
        <v>71.028770667181647</v>
      </c>
      <c r="Q627" s="297">
        <f t="shared" si="63"/>
        <v>22.136579833695709</v>
      </c>
      <c r="R627" s="297">
        <f t="shared" si="64"/>
        <v>3.539519114828761</v>
      </c>
      <c r="S627" s="297">
        <f t="shared" si="65"/>
        <v>163.25124626743059</v>
      </c>
      <c r="T627" s="297">
        <f t="shared" si="66"/>
        <v>740.04388411686318</v>
      </c>
      <c r="U627" s="294">
        <f t="shared" si="55"/>
        <v>999.99999999999989</v>
      </c>
      <c r="V627" s="295" t="str">
        <f t="shared" si="47"/>
        <v>OKAY</v>
      </c>
      <c r="W627" s="295"/>
      <c r="X627" s="296">
        <f>SUM($P627:$Q627)-(SUM($P627:$Q627)*(VLOOKUP($B627,Lifetime_morbidity_array!$A$6:$Y$24,4)+VLOOKUP($B627,Lifetime_morbidity_array!$A$6:$Y$24,7)+VLOOKUP($B627,Lifetime_morbidity_array!$A$6:$Y$24,10)+VLOOKUP($B627,Lifetime_morbidity_array!$A$6:$Y$24,13)))</f>
        <v>14.770855764303747</v>
      </c>
      <c r="Y627" s="297">
        <f>SUM($R627:$S627)-(SUM($R627:$S627)*(VLOOKUP($B627,Lifetime_morbidity_array!$A$6:$Y$24,3)+VLOOKUP($B627,Lifetime_morbidity_array!$A$6:$Y$24,6)+VLOOKUP($B627,Lifetime_morbidity_array!$A$6:$Y$24,9)+VLOOKUP($B627,Lifetime_morbidity_array!$A$6:$Y$24,12)))</f>
        <v>97.069348687837348</v>
      </c>
      <c r="Z627" s="297">
        <f>(SUM($P627:$Q627)*VLOOKUP($B627,Lifetime_morbidity_array!$A$6:$Y$24,4))+(SUM($R627:$S627)*VLOOKUP($B627,Lifetime_morbidity_array!$A$6:$Y$24,3))</f>
        <v>67.909405419079036</v>
      </c>
      <c r="AA627" s="297">
        <f>(SUM($P627:$Q627)*VLOOKUP($B627,Lifetime_morbidity_array!$A$6:$Y$24,7))+(SUM($R627:$S627)*VLOOKUP($B627,Lifetime_morbidity_array!$A$6:$Y$24,6))</f>
        <v>43.853464492501224</v>
      </c>
      <c r="AB627" s="297">
        <f>(SUM($P627:$Q627)*VLOOKUP($B627,Lifetime_morbidity_array!$A$6:$Y$24,10))+(SUM($R627:$S627)*VLOOKUP($B627,Lifetime_morbidity_array!$A$6:$Y$24,9))</f>
        <v>2.0321199693869345</v>
      </c>
      <c r="AC627" s="297">
        <f>(SUM($P627:$Q627)*VLOOKUP($B627,Lifetime_morbidity_array!$A$6:$Y$24,13))+(SUM($R627:$S627)*VLOOKUP($B627,Lifetime_morbidity_array!$A$6:$Y$24,12))</f>
        <v>34.320921550028388</v>
      </c>
      <c r="AD627" s="294"/>
      <c r="AE627" s="294">
        <f t="shared" si="67"/>
        <v>99</v>
      </c>
      <c r="AF627" s="297">
        <f t="shared" si="68"/>
        <v>21.837094538096061</v>
      </c>
      <c r="AG627" s="297">
        <f t="shared" si="69"/>
        <v>25161.162889857816</v>
      </c>
      <c r="AH627" s="294"/>
      <c r="AI627" s="294">
        <f t="shared" si="70"/>
        <v>99</v>
      </c>
      <c r="AJ627" s="295">
        <f>((VLOOKUP($B627,'Mahawesran Tariff'!$A$21:$M$120,7)*$X627)+(VLOOKUP($B627,'Mahawesran Tariff'!$A$21:$M$120,6)*$Y627)+(DET_UTIL_chd*$Z627)+(DET_UTIL_copd*$AA627)+(DET_UTIL_lc*$AB627)+(DET_UTIL_stroke*$AC627))/((1+Discount_rate_QALYs)^$A627)</f>
        <v>17.487873067284333</v>
      </c>
      <c r="AK627" s="295">
        <f t="shared" si="71"/>
        <v>23101.588773014235</v>
      </c>
      <c r="AL627" s="294"/>
      <c r="AM627" s="294">
        <f t="shared" si="56"/>
        <v>99</v>
      </c>
      <c r="AN627" s="299">
        <f t="shared" si="57"/>
        <v>77861.690962414636</v>
      </c>
      <c r="AO627" s="299">
        <f t="shared" si="72"/>
        <v>21236484.498683881</v>
      </c>
      <c r="AP627" s="294"/>
      <c r="AQ627" s="294">
        <f t="shared" si="58"/>
        <v>99</v>
      </c>
      <c r="AR627" s="298">
        <f t="shared" si="48"/>
        <v>0.25995611588313672</v>
      </c>
      <c r="AS627" s="298">
        <f t="shared" si="49"/>
        <v>0.74004388411686317</v>
      </c>
      <c r="AT627" s="298">
        <f t="shared" si="50"/>
        <v>0.14811591143099559</v>
      </c>
      <c r="AU627" s="250"/>
      <c r="AV627" s="294">
        <f t="shared" si="59"/>
        <v>99</v>
      </c>
      <c r="AW627" s="299">
        <f t="shared" si="60"/>
        <v>77861.690962414636</v>
      </c>
      <c r="AX627" s="299">
        <f t="shared" si="73"/>
        <v>21236484.498683881</v>
      </c>
      <c r="AY627" s="335"/>
      <c r="AZ627" s="335"/>
      <c r="BA627" s="335"/>
      <c r="BB627" s="335"/>
      <c r="BC627" s="335"/>
      <c r="BD627" s="335"/>
      <c r="BE627" s="335"/>
      <c r="BF627" s="335"/>
      <c r="BG627" s="335"/>
      <c r="BH627" s="335"/>
      <c r="BI627" s="335"/>
      <c r="BJ627" s="335"/>
      <c r="BK627" s="364"/>
      <c r="BL627" s="364"/>
      <c r="BM627" s="364"/>
      <c r="BN627" s="364"/>
      <c r="BO627" s="364"/>
      <c r="BP627" s="364"/>
      <c r="BQ627" s="335"/>
      <c r="BR627" s="335"/>
      <c r="BS627" s="364"/>
      <c r="BT627" s="364"/>
      <c r="BU627" s="364"/>
      <c r="BV627" s="364"/>
      <c r="BW627" s="364"/>
      <c r="BX627" s="364"/>
      <c r="BY627" s="335"/>
      <c r="BZ627" s="335"/>
      <c r="CA627" s="364"/>
      <c r="CB627" s="364"/>
      <c r="CC627" s="335"/>
      <c r="CD627" s="335"/>
      <c r="CE627" s="335"/>
      <c r="CF627" s="335"/>
      <c r="CG627" s="335"/>
      <c r="CH627" s="335"/>
      <c r="CI627" s="365"/>
      <c r="CJ627" s="365"/>
      <c r="CK627" s="335"/>
      <c r="CL627" s="335"/>
      <c r="CM627" s="366"/>
      <c r="CN627" s="366"/>
      <c r="CO627" s="366"/>
      <c r="CP627" s="3"/>
    </row>
    <row r="628" spans="1:94" x14ac:dyDescent="0.25">
      <c r="A628" s="34">
        <v>73</v>
      </c>
      <c r="B628" s="33">
        <f t="shared" si="61"/>
        <v>100</v>
      </c>
      <c r="C628" s="294">
        <f>VLOOKUP($B628,'Mother mortality'!$A$23:$I$124,5)</f>
        <v>0.13518062059547492</v>
      </c>
      <c r="D628" s="295">
        <f t="shared" si="43"/>
        <v>0.27</v>
      </c>
      <c r="E628" s="295">
        <f t="shared" si="51"/>
        <v>0.59481937940452512</v>
      </c>
      <c r="F628" s="295">
        <f>VLOOKUP($B628,'Mother mortality'!$A$23:$I$124,5)</f>
        <v>0.13518062059547492</v>
      </c>
      <c r="G628" s="295">
        <f t="shared" si="44"/>
        <v>0.14000000000000001</v>
      </c>
      <c r="H628" s="295">
        <f t="shared" si="52"/>
        <v>0.72481937940452501</v>
      </c>
      <c r="I628" s="295">
        <f>VLOOKUP($B628,'Mother mortality'!$A$23:$I$124,4)</f>
        <v>0.11107433708736557</v>
      </c>
      <c r="J628" s="295">
        <f t="shared" si="53"/>
        <v>0.31749709148406302</v>
      </c>
      <c r="K628" s="295">
        <f t="shared" si="45"/>
        <v>0.5714285714285714</v>
      </c>
      <c r="L628" s="295">
        <f>VLOOKUP($B628,'Mother mortality'!$A$23:$I$124,4)</f>
        <v>0.11107433708736557</v>
      </c>
      <c r="M628" s="295">
        <f t="shared" si="46"/>
        <v>8.6261668788331098E-3</v>
      </c>
      <c r="N628" s="295">
        <f t="shared" si="54"/>
        <v>0.88029949603380131</v>
      </c>
      <c r="O628" s="294"/>
      <c r="P628" s="296">
        <f t="shared" si="62"/>
        <v>60.826330863008081</v>
      </c>
      <c r="Q628" s="297">
        <f t="shared" si="63"/>
        <v>19.177768080139046</v>
      </c>
      <c r="R628" s="297">
        <f t="shared" si="64"/>
        <v>3.0991211767173996</v>
      </c>
      <c r="S628" s="297">
        <f t="shared" si="65"/>
        <v>145.73257216743986</v>
      </c>
      <c r="T628" s="297">
        <f t="shared" si="66"/>
        <v>771.16420771269554</v>
      </c>
      <c r="U628" s="294">
        <f t="shared" si="55"/>
        <v>1000</v>
      </c>
      <c r="V628" s="295" t="str">
        <f t="shared" si="47"/>
        <v>OKAY</v>
      </c>
      <c r="W628" s="295"/>
      <c r="X628" s="296">
        <f>SUM($P628:$Q628)-(SUM($P628:$Q628)*(VLOOKUP($B628,Lifetime_morbidity_array!$A$6:$Y$24,4)+VLOOKUP($B628,Lifetime_morbidity_array!$A$6:$Y$24,7)+VLOOKUP($B628,Lifetime_morbidity_array!$A$6:$Y$24,10)+VLOOKUP($B628,Lifetime_morbidity_array!$A$6:$Y$24,13)))</f>
        <v>12.684211455107274</v>
      </c>
      <c r="Y628" s="297">
        <f>SUM($R628:$S628)-(SUM($R628:$S628)*(VLOOKUP($B628,Lifetime_morbidity_array!$A$6:$Y$24,3)+VLOOKUP($B628,Lifetime_morbidity_array!$A$6:$Y$24,6)+VLOOKUP($B628,Lifetime_morbidity_array!$A$6:$Y$24,9)+VLOOKUP($B628,Lifetime_morbidity_array!$A$6:$Y$24,12)))</f>
        <v>86.617478515162048</v>
      </c>
      <c r="Z628" s="297">
        <f>(SUM($P628:$Q628)*VLOOKUP($B628,Lifetime_morbidity_array!$A$6:$Y$24,4))+(SUM($R628:$S628)*VLOOKUP($B628,Lifetime_morbidity_array!$A$6:$Y$24,3))</f>
        <v>59.462616787465507</v>
      </c>
      <c r="AA628" s="297">
        <f>(SUM($P628:$Q628)*VLOOKUP($B628,Lifetime_morbidity_array!$A$6:$Y$24,7))+(SUM($R628:$S628)*VLOOKUP($B628,Lifetime_morbidity_array!$A$6:$Y$24,6))</f>
        <v>38.212567226738933</v>
      </c>
      <c r="AB628" s="297">
        <f>(SUM($P628:$Q628)*VLOOKUP($B628,Lifetime_morbidity_array!$A$6:$Y$24,10))+(SUM($R628:$S628)*VLOOKUP($B628,Lifetime_morbidity_array!$A$6:$Y$24,9))</f>
        <v>1.7676466170677805</v>
      </c>
      <c r="AC628" s="297">
        <f>(SUM($P628:$Q628)*VLOOKUP($B628,Lifetime_morbidity_array!$A$6:$Y$24,13))+(SUM($R628:$S628)*VLOOKUP($B628,Lifetime_morbidity_array!$A$6:$Y$24,12))</f>
        <v>30.091271685762841</v>
      </c>
      <c r="AD628" s="294"/>
      <c r="AE628" s="294">
        <f t="shared" si="67"/>
        <v>100</v>
      </c>
      <c r="AF628" s="297">
        <f t="shared" si="68"/>
        <v>18.572844331473785</v>
      </c>
      <c r="AG628" s="297">
        <f t="shared" si="69"/>
        <v>25179.735734189289</v>
      </c>
      <c r="AH628" s="294"/>
      <c r="AI628" s="294">
        <f t="shared" si="70"/>
        <v>100</v>
      </c>
      <c r="AJ628" s="295">
        <f>((VLOOKUP($B628,'Mahawesran Tariff'!$A$21:$M$120,7)*$X628)+(VLOOKUP($B628,'Mahawesran Tariff'!$A$21:$M$120,6)*$Y628)+(DET_UTIL_chd*$Z628)+(DET_UTIL_copd*$AA628)+(DET_UTIL_lc*$AB628)+(DET_UTIL_stroke*$AC628))/((1+Discount_rate_QALYs)^$A628)</f>
        <v>14.886185506835561</v>
      </c>
      <c r="AK628" s="295">
        <f t="shared" si="71"/>
        <v>23116.47495852107</v>
      </c>
      <c r="AL628" s="294"/>
      <c r="AM628" s="294">
        <f t="shared" si="56"/>
        <v>100</v>
      </c>
      <c r="AN628" s="299">
        <f t="shared" si="57"/>
        <v>65918.954423182877</v>
      </c>
      <c r="AO628" s="299">
        <f t="shared" si="72"/>
        <v>21302403.453107063</v>
      </c>
      <c r="AP628" s="294"/>
      <c r="AQ628" s="294">
        <f t="shared" si="58"/>
        <v>100</v>
      </c>
      <c r="AR628" s="298">
        <f t="shared" si="48"/>
        <v>0.22883579228730441</v>
      </c>
      <c r="AS628" s="298">
        <f t="shared" si="49"/>
        <v>0.77116420771269556</v>
      </c>
      <c r="AT628" s="298">
        <f t="shared" si="50"/>
        <v>0.12953410231703508</v>
      </c>
      <c r="AU628" s="250"/>
      <c r="AV628" s="294">
        <f t="shared" si="59"/>
        <v>100</v>
      </c>
      <c r="AW628" s="299">
        <f t="shared" si="60"/>
        <v>65918.954423182877</v>
      </c>
      <c r="AX628" s="299">
        <f t="shared" si="73"/>
        <v>21302403.453107063</v>
      </c>
      <c r="AY628" s="335"/>
      <c r="AZ628" s="335"/>
      <c r="BA628" s="335"/>
      <c r="BB628" s="335"/>
      <c r="BC628" s="335"/>
      <c r="BD628" s="335"/>
      <c r="BE628" s="335"/>
      <c r="BF628" s="335"/>
      <c r="BG628" s="335"/>
      <c r="BH628" s="335"/>
      <c r="BI628" s="335"/>
      <c r="BJ628" s="335"/>
      <c r="BK628" s="364"/>
      <c r="BL628" s="364"/>
      <c r="BM628" s="364"/>
      <c r="BN628" s="364"/>
      <c r="BO628" s="364"/>
      <c r="BP628" s="364"/>
      <c r="BQ628" s="335"/>
      <c r="BR628" s="335"/>
      <c r="BS628" s="364"/>
      <c r="BT628" s="364"/>
      <c r="BU628" s="364"/>
      <c r="BV628" s="364"/>
      <c r="BW628" s="364"/>
      <c r="BX628" s="364"/>
      <c r="BY628" s="335"/>
      <c r="BZ628" s="335"/>
      <c r="CA628" s="364"/>
      <c r="CB628" s="364"/>
      <c r="CC628" s="335"/>
      <c r="CD628" s="335"/>
      <c r="CE628" s="335"/>
      <c r="CF628" s="335"/>
      <c r="CG628" s="335"/>
      <c r="CH628" s="335"/>
      <c r="CI628" s="365"/>
      <c r="CJ628" s="365"/>
      <c r="CK628" s="335"/>
      <c r="CL628" s="335"/>
      <c r="CM628" s="366"/>
      <c r="CN628" s="366"/>
      <c r="CO628" s="366"/>
      <c r="CP628" s="3"/>
    </row>
    <row r="629" spans="1:94" x14ac:dyDescent="0.25">
      <c r="A629" s="34">
        <v>74</v>
      </c>
      <c r="B629" s="33">
        <f t="shared" si="61"/>
        <v>101</v>
      </c>
      <c r="C629" s="294">
        <f>VLOOKUP($B629,'Mother mortality'!$A$23:$I$124,5)</f>
        <v>0.14624098391610749</v>
      </c>
      <c r="D629" s="295">
        <f t="shared" si="43"/>
        <v>0.27</v>
      </c>
      <c r="E629" s="295">
        <f t="shared" si="51"/>
        <v>0.58375901608389247</v>
      </c>
      <c r="F629" s="295">
        <f>VLOOKUP($B629,'Mother mortality'!$A$23:$I$124,5)</f>
        <v>0.14624098391610749</v>
      </c>
      <c r="G629" s="295">
        <f t="shared" si="44"/>
        <v>0.14000000000000001</v>
      </c>
      <c r="H629" s="295">
        <f t="shared" si="52"/>
        <v>0.71375901608389247</v>
      </c>
      <c r="I629" s="295">
        <f>VLOOKUP($B629,'Mother mortality'!$A$23:$I$124,4)</f>
        <v>0.12016234480898272</v>
      </c>
      <c r="J629" s="295">
        <f t="shared" si="53"/>
        <v>0.30840908376244591</v>
      </c>
      <c r="K629" s="295">
        <f t="shared" si="45"/>
        <v>0.5714285714285714</v>
      </c>
      <c r="L629" s="295">
        <f>VLOOKUP($B629,'Mother mortality'!$A$23:$I$124,4)</f>
        <v>0.12016234480898272</v>
      </c>
      <c r="M629" s="295">
        <f t="shared" si="46"/>
        <v>8.6261668788331098E-3</v>
      </c>
      <c r="N629" s="295">
        <f t="shared" si="54"/>
        <v>0.8712114883121842</v>
      </c>
      <c r="O629" s="294"/>
      <c r="P629" s="296">
        <f t="shared" si="62"/>
        <v>51.409134541926157</v>
      </c>
      <c r="Q629" s="297">
        <f t="shared" si="63"/>
        <v>16.423109333012182</v>
      </c>
      <c r="R629" s="297">
        <f t="shared" si="64"/>
        <v>2.6848875312194669</v>
      </c>
      <c r="S629" s="297">
        <f t="shared" si="65"/>
        <v>128.73481748025372</v>
      </c>
      <c r="T629" s="297">
        <f t="shared" si="66"/>
        <v>800.74805111358842</v>
      </c>
      <c r="U629" s="294">
        <f t="shared" si="55"/>
        <v>1000</v>
      </c>
      <c r="V629" s="295" t="str">
        <f t="shared" si="47"/>
        <v>OKAY</v>
      </c>
      <c r="W629" s="295"/>
      <c r="X629" s="296">
        <f>SUM($P629:$Q629)-(SUM($P629:$Q629)*(VLOOKUP($B629,Lifetime_morbidity_array!$A$6:$Y$24,4)+VLOOKUP($B629,Lifetime_morbidity_array!$A$6:$Y$24,7)+VLOOKUP($B629,Lifetime_morbidity_array!$A$6:$Y$24,10)+VLOOKUP($B629,Lifetime_morbidity_array!$A$6:$Y$24,13)))</f>
        <v>10.754430537309631</v>
      </c>
      <c r="Y629" s="297">
        <f>SUM($R629:$S629)-(SUM($R629:$S629)*(VLOOKUP($B629,Lifetime_morbidity_array!$A$6:$Y$24,3)+VLOOKUP($B629,Lifetime_morbidity_array!$A$6:$Y$24,6)+VLOOKUP($B629,Lifetime_morbidity_array!$A$6:$Y$24,9)+VLOOKUP($B629,Lifetime_morbidity_array!$A$6:$Y$24,12)))</f>
        <v>76.484001623079621</v>
      </c>
      <c r="Z629" s="297">
        <f>(SUM($P629:$Q629)*VLOOKUP($B629,Lifetime_morbidity_array!$A$6:$Y$24,4))+(SUM($R629:$S629)*VLOOKUP($B629,Lifetime_morbidity_array!$A$6:$Y$24,3))</f>
        <v>51.486491169116903</v>
      </c>
      <c r="AA629" s="297">
        <f>(SUM($P629:$Q629)*VLOOKUP($B629,Lifetime_morbidity_array!$A$6:$Y$24,7))+(SUM($R629:$S629)*VLOOKUP($B629,Lifetime_morbidity_array!$A$6:$Y$24,6))</f>
        <v>32.916303462441348</v>
      </c>
      <c r="AB629" s="297">
        <f>(SUM($P629:$Q629)*VLOOKUP($B629,Lifetime_morbidity_array!$A$6:$Y$24,10))+(SUM($R629:$S629)*VLOOKUP($B629,Lifetime_morbidity_array!$A$6:$Y$24,9))</f>
        <v>1.5198162524308922</v>
      </c>
      <c r="AC629" s="297">
        <f>(SUM($P629:$Q629)*VLOOKUP($B629,Lifetime_morbidity_array!$A$6:$Y$24,13))+(SUM($R629:$S629)*VLOOKUP($B629,Lifetime_morbidity_array!$A$6:$Y$24,12))</f>
        <v>26.090905842033116</v>
      </c>
      <c r="AD629" s="294"/>
      <c r="AE629" s="294">
        <f t="shared" si="67"/>
        <v>101</v>
      </c>
      <c r="AF629" s="297">
        <f t="shared" si="68"/>
        <v>15.624880094657858</v>
      </c>
      <c r="AG629" s="297">
        <f t="shared" si="69"/>
        <v>25195.360614283949</v>
      </c>
      <c r="AH629" s="294"/>
      <c r="AI629" s="294">
        <f t="shared" si="70"/>
        <v>101</v>
      </c>
      <c r="AJ629" s="295">
        <f>((VLOOKUP($B629,'Mahawesran Tariff'!$A$21:$M$120,7)*$X629)+(VLOOKUP($B629,'Mahawesran Tariff'!$A$21:$M$120,6)*$Y629)+(DET_UTIL_chd*$Z629)+(DET_UTIL_copd*$AA629)+(DET_UTIL_lc*$AB629)+(DET_UTIL_stroke*$AC629))/((1+Discount_rate_QALYs)^$A629)</f>
        <v>12.534324879459193</v>
      </c>
      <c r="AK629" s="295">
        <f t="shared" si="71"/>
        <v>23129.00928340053</v>
      </c>
      <c r="AL629" s="294"/>
      <c r="AM629" s="294">
        <f t="shared" si="56"/>
        <v>101</v>
      </c>
      <c r="AN629" s="299">
        <f t="shared" si="57"/>
        <v>55188.642938465171</v>
      </c>
      <c r="AO629" s="299">
        <f t="shared" si="72"/>
        <v>21357592.096045528</v>
      </c>
      <c r="AP629" s="294"/>
      <c r="AQ629" s="294">
        <f t="shared" si="58"/>
        <v>101</v>
      </c>
      <c r="AR629" s="298">
        <f t="shared" si="48"/>
        <v>0.19925194888641154</v>
      </c>
      <c r="AS629" s="298">
        <f t="shared" si="49"/>
        <v>0.80074805111358838</v>
      </c>
      <c r="AT629" s="298">
        <f t="shared" si="50"/>
        <v>0.11201351672602226</v>
      </c>
      <c r="AU629" s="250"/>
      <c r="AV629" s="294">
        <f t="shared" si="59"/>
        <v>101</v>
      </c>
      <c r="AW629" s="299">
        <f t="shared" si="60"/>
        <v>55188.642938465171</v>
      </c>
      <c r="AX629" s="299">
        <f t="shared" si="73"/>
        <v>21357592.096045528</v>
      </c>
      <c r="AY629" s="335"/>
      <c r="AZ629" s="335"/>
      <c r="BA629" s="335"/>
      <c r="BB629" s="335"/>
      <c r="BC629" s="335"/>
      <c r="BD629" s="335"/>
      <c r="BE629" s="335"/>
      <c r="BF629" s="335"/>
      <c r="BG629" s="335"/>
      <c r="BH629" s="335"/>
      <c r="BI629" s="335"/>
      <c r="BJ629" s="335"/>
      <c r="BK629" s="364"/>
      <c r="BL629" s="364"/>
      <c r="BM629" s="364"/>
      <c r="BN629" s="364"/>
      <c r="BO629" s="364"/>
      <c r="BP629" s="364"/>
      <c r="BQ629" s="335"/>
      <c r="BR629" s="335"/>
      <c r="BS629" s="364"/>
      <c r="BT629" s="364"/>
      <c r="BU629" s="364"/>
      <c r="BV629" s="364"/>
      <c r="BW629" s="364"/>
      <c r="BX629" s="364"/>
      <c r="BY629" s="335"/>
      <c r="BZ629" s="335"/>
      <c r="CA629" s="364"/>
      <c r="CB629" s="364"/>
      <c r="CC629" s="335"/>
      <c r="CD629" s="335"/>
      <c r="CE629" s="335"/>
      <c r="CF629" s="335"/>
      <c r="CG629" s="335"/>
      <c r="CH629" s="335"/>
      <c r="CI629" s="365"/>
      <c r="CJ629" s="365"/>
      <c r="CK629" s="335"/>
      <c r="CL629" s="335"/>
      <c r="CM629" s="366"/>
      <c r="CN629" s="366"/>
      <c r="CO629" s="366"/>
      <c r="CP629" s="3"/>
    </row>
    <row r="630" spans="1:94" x14ac:dyDescent="0.25">
      <c r="A630" s="34">
        <v>75</v>
      </c>
      <c r="B630" s="33">
        <f t="shared" si="61"/>
        <v>102</v>
      </c>
      <c r="C630" s="294">
        <f>VLOOKUP($B630,'Mother mortality'!$A$23:$I$124,5)</f>
        <v>0.14624098391610749</v>
      </c>
      <c r="D630" s="295">
        <f t="shared" si="43"/>
        <v>0.27</v>
      </c>
      <c r="E630" s="295">
        <f t="shared" si="51"/>
        <v>0.58375901608389247</v>
      </c>
      <c r="F630" s="295">
        <f>VLOOKUP($B630,'Mother mortality'!$A$23:$I$124,5)</f>
        <v>0.14624098391610749</v>
      </c>
      <c r="G630" s="295">
        <f t="shared" si="44"/>
        <v>0.14000000000000001</v>
      </c>
      <c r="H630" s="295">
        <f t="shared" si="52"/>
        <v>0.71375901608389247</v>
      </c>
      <c r="I630" s="295">
        <f>VLOOKUP($B630,'Mother mortality'!$A$23:$I$124,4)</f>
        <v>0.12016234480898272</v>
      </c>
      <c r="J630" s="295">
        <f t="shared" si="53"/>
        <v>0.30840908376244591</v>
      </c>
      <c r="K630" s="295">
        <f t="shared" si="45"/>
        <v>0.5714285714285714</v>
      </c>
      <c r="L630" s="295">
        <f>VLOOKUP($B630,'Mother mortality'!$A$23:$I$124,4)</f>
        <v>0.12016234480898272</v>
      </c>
      <c r="M630" s="295">
        <f t="shared" si="46"/>
        <v>8.6261668788331098E-3</v>
      </c>
      <c r="N630" s="295">
        <f t="shared" si="54"/>
        <v>0.8712114883121842</v>
      </c>
      <c r="O630" s="294"/>
      <c r="P630" s="296">
        <f t="shared" si="62"/>
        <v>43.671219878697634</v>
      </c>
      <c r="Q630" s="297">
        <f t="shared" si="63"/>
        <v>13.880466326320063</v>
      </c>
      <c r="R630" s="297">
        <f t="shared" si="64"/>
        <v>2.2992353066217057</v>
      </c>
      <c r="S630" s="297">
        <f t="shared" si="65"/>
        <v>113.68947338098036</v>
      </c>
      <c r="T630" s="297">
        <f t="shared" si="66"/>
        <v>826.4596051073803</v>
      </c>
      <c r="U630" s="294">
        <f t="shared" si="55"/>
        <v>1000</v>
      </c>
      <c r="V630" s="295" t="str">
        <f t="shared" si="47"/>
        <v>OKAY</v>
      </c>
      <c r="W630" s="295"/>
      <c r="X630" s="296">
        <f>SUM($P630:$Q630)-(SUM($P630:$Q630)*(VLOOKUP($B630,Lifetime_morbidity_array!$A$6:$Y$24,4)+VLOOKUP($B630,Lifetime_morbidity_array!$A$6:$Y$24,7)+VLOOKUP($B630,Lifetime_morbidity_array!$A$6:$Y$24,10)+VLOOKUP($B630,Lifetime_morbidity_array!$A$6:$Y$24,13)))</f>
        <v>9.1245044574675944</v>
      </c>
      <c r="Y630" s="297">
        <f>SUM($R630:$S630)-(SUM($R630:$S630)*(VLOOKUP($B630,Lifetime_morbidity_array!$A$6:$Y$24,3)+VLOOKUP($B630,Lifetime_morbidity_array!$A$6:$Y$24,6)+VLOOKUP($B630,Lifetime_morbidity_array!$A$6:$Y$24,9)+VLOOKUP($B630,Lifetime_morbidity_array!$A$6:$Y$24,12)))</f>
        <v>67.50342791248076</v>
      </c>
      <c r="Z630" s="297">
        <f>(SUM($P630:$Q630)*VLOOKUP($B630,Lifetime_morbidity_array!$A$6:$Y$24,4))+(SUM($R630:$S630)*VLOOKUP($B630,Lifetime_morbidity_array!$A$6:$Y$24,3))</f>
        <v>44.601450035321818</v>
      </c>
      <c r="AA630" s="297">
        <f>(SUM($P630:$Q630)*VLOOKUP($B630,Lifetime_morbidity_array!$A$6:$Y$24,7))+(SUM($R630:$S630)*VLOOKUP($B630,Lifetime_morbidity_array!$A$6:$Y$24,6))</f>
        <v>28.371327355730251</v>
      </c>
      <c r="AB630" s="297">
        <f>(SUM($P630:$Q630)*VLOOKUP($B630,Lifetime_morbidity_array!$A$6:$Y$24,10))+(SUM($R630:$S630)*VLOOKUP($B630,Lifetime_morbidity_array!$A$6:$Y$24,9))</f>
        <v>1.3075721364904163</v>
      </c>
      <c r="AC630" s="297">
        <f>(SUM($P630:$Q630)*VLOOKUP($B630,Lifetime_morbidity_array!$A$6:$Y$24,13))+(SUM($R630:$S630)*VLOOKUP($B630,Lifetime_morbidity_array!$A$6:$Y$24,12))</f>
        <v>22.632112995128921</v>
      </c>
      <c r="AD630" s="294"/>
      <c r="AE630" s="294">
        <f t="shared" si="67"/>
        <v>102</v>
      </c>
      <c r="AF630" s="297">
        <f t="shared" si="68"/>
        <v>13.14844357201798</v>
      </c>
      <c r="AG630" s="297">
        <f t="shared" si="69"/>
        <v>25208.509057855968</v>
      </c>
      <c r="AH630" s="294"/>
      <c r="AI630" s="294">
        <f t="shared" si="70"/>
        <v>102</v>
      </c>
      <c r="AJ630" s="295">
        <f>((VLOOKUP($B630,'Mahawesran Tariff'!$A$21:$M$120,7)*$X630)+(VLOOKUP($B630,'Mahawesran Tariff'!$A$21:$M$120,6)*$Y630)+(DET_UTIL_chd*$Z630)+(DET_UTIL_copd*$AA630)+(DET_UTIL_lc*$AB630)+(DET_UTIL_stroke*$AC630))/((1+Discount_rate_QALYs)^$A630)</f>
        <v>10.556548487515409</v>
      </c>
      <c r="AK630" s="295">
        <f t="shared" si="71"/>
        <v>23139.565831888045</v>
      </c>
      <c r="AL630" s="294"/>
      <c r="AM630" s="294">
        <f t="shared" si="56"/>
        <v>102</v>
      </c>
      <c r="AN630" s="299">
        <f t="shared" si="57"/>
        <v>46225.881498045543</v>
      </c>
      <c r="AO630" s="299">
        <f t="shared" si="72"/>
        <v>21403817.977543574</v>
      </c>
      <c r="AP630" s="294"/>
      <c r="AQ630" s="294">
        <f t="shared" si="58"/>
        <v>102</v>
      </c>
      <c r="AR630" s="298">
        <f t="shared" si="48"/>
        <v>0.17354039489261977</v>
      </c>
      <c r="AS630" s="298">
        <f t="shared" si="49"/>
        <v>0.82645960510738026</v>
      </c>
      <c r="AT630" s="298">
        <f t="shared" si="50"/>
        <v>9.6912462522671411E-2</v>
      </c>
      <c r="AU630" s="250"/>
      <c r="AV630" s="294">
        <f t="shared" si="59"/>
        <v>102</v>
      </c>
      <c r="AW630" s="299">
        <f t="shared" si="60"/>
        <v>46225.881498045543</v>
      </c>
      <c r="AX630" s="299">
        <f t="shared" si="73"/>
        <v>21403817.977543574</v>
      </c>
      <c r="AY630" s="335"/>
      <c r="AZ630" s="335"/>
      <c r="BA630" s="335"/>
      <c r="BB630" s="335"/>
      <c r="BC630" s="335"/>
      <c r="BD630" s="335"/>
      <c r="BE630" s="335"/>
      <c r="BF630" s="335"/>
      <c r="BG630" s="335"/>
      <c r="BH630" s="335"/>
      <c r="BI630" s="335"/>
      <c r="BJ630" s="335"/>
      <c r="BK630" s="364"/>
      <c r="BL630" s="364"/>
      <c r="BM630" s="364"/>
      <c r="BN630" s="364"/>
      <c r="BO630" s="364"/>
      <c r="BP630" s="364"/>
      <c r="BQ630" s="335"/>
      <c r="BR630" s="335"/>
      <c r="BS630" s="364"/>
      <c r="BT630" s="364"/>
      <c r="BU630" s="364"/>
      <c r="BV630" s="364"/>
      <c r="BW630" s="364"/>
      <c r="BX630" s="364"/>
      <c r="BY630" s="335"/>
      <c r="BZ630" s="335"/>
      <c r="CA630" s="364"/>
      <c r="CB630" s="364"/>
      <c r="CC630" s="335"/>
      <c r="CD630" s="335"/>
      <c r="CE630" s="335"/>
      <c r="CF630" s="335"/>
      <c r="CG630" s="335"/>
      <c r="CH630" s="335"/>
      <c r="CI630" s="365"/>
      <c r="CJ630" s="365"/>
      <c r="CK630" s="335"/>
      <c r="CL630" s="335"/>
      <c r="CM630" s="366"/>
      <c r="CN630" s="366"/>
      <c r="CO630" s="366"/>
      <c r="CP630" s="3"/>
    </row>
    <row r="631" spans="1:94" x14ac:dyDescent="0.25">
      <c r="A631" s="34">
        <v>76</v>
      </c>
      <c r="B631" s="33">
        <f t="shared" si="61"/>
        <v>103</v>
      </c>
      <c r="C631" s="294">
        <f>VLOOKUP($B631,'Mother mortality'!$A$23:$I$124,5)</f>
        <v>0.14624098391610749</v>
      </c>
      <c r="D631" s="295">
        <f t="shared" si="43"/>
        <v>0.27</v>
      </c>
      <c r="E631" s="295">
        <f t="shared" si="51"/>
        <v>0.58375901608389247</v>
      </c>
      <c r="F631" s="295">
        <f>VLOOKUP($B631,'Mother mortality'!$A$23:$I$124,5)</f>
        <v>0.14624098391610749</v>
      </c>
      <c r="G631" s="295">
        <f t="shared" si="44"/>
        <v>0.14000000000000001</v>
      </c>
      <c r="H631" s="295">
        <f t="shared" si="52"/>
        <v>0.71375901608389247</v>
      </c>
      <c r="I631" s="295">
        <f>VLOOKUP($B631,'Mother mortality'!$A$23:$I$124,4)</f>
        <v>0.12016234480898272</v>
      </c>
      <c r="J631" s="295">
        <f t="shared" si="53"/>
        <v>0.30840908376244591</v>
      </c>
      <c r="K631" s="295">
        <f t="shared" si="45"/>
        <v>0.5714285714285714</v>
      </c>
      <c r="L631" s="295">
        <f>VLOOKUP($B631,'Mother mortality'!$A$23:$I$124,4)</f>
        <v>0.12016234480898272</v>
      </c>
      <c r="M631" s="295">
        <f t="shared" si="46"/>
        <v>8.6261668788331098E-3</v>
      </c>
      <c r="N631" s="295">
        <f t="shared" si="54"/>
        <v>0.8712114883121842</v>
      </c>
      <c r="O631" s="294"/>
      <c r="P631" s="296">
        <f t="shared" si="62"/>
        <v>37.090585759452118</v>
      </c>
      <c r="Q631" s="297">
        <f t="shared" si="63"/>
        <v>11.791229367248363</v>
      </c>
      <c r="R631" s="297">
        <f t="shared" si="64"/>
        <v>1.9432652856848089</v>
      </c>
      <c r="S631" s="297">
        <f t="shared" si="65"/>
        <v>100.36142405631333</v>
      </c>
      <c r="T631" s="297">
        <f t="shared" si="66"/>
        <v>848.81349553130156</v>
      </c>
      <c r="U631" s="294">
        <f t="shared" si="55"/>
        <v>1000.0000000000002</v>
      </c>
      <c r="V631" s="295" t="str">
        <f t="shared" si="47"/>
        <v>OKAY</v>
      </c>
      <c r="W631" s="295"/>
      <c r="X631" s="296">
        <f>SUM($P631:$Q631)-(SUM($P631:$Q631)*(VLOOKUP($B631,Lifetime_morbidity_array!$A$6:$Y$24,4)+VLOOKUP($B631,Lifetime_morbidity_array!$A$6:$Y$24,7)+VLOOKUP($B631,Lifetime_morbidity_array!$A$6:$Y$24,10)+VLOOKUP($B631,Lifetime_morbidity_array!$A$6:$Y$24,13)))</f>
        <v>7.7499439099631218</v>
      </c>
      <c r="Y631" s="297">
        <f>SUM($R631:$S631)-(SUM($R631:$S631)*(VLOOKUP($B631,Lifetime_morbidity_array!$A$6:$Y$24,3)+VLOOKUP($B631,Lifetime_morbidity_array!$A$6:$Y$24,6)+VLOOKUP($B631,Lifetime_morbidity_array!$A$6:$Y$24,9)+VLOOKUP($B631,Lifetime_morbidity_array!$A$6:$Y$24,12)))</f>
        <v>59.539564671819448</v>
      </c>
      <c r="Z631" s="297">
        <f>(SUM($P631:$Q631)*VLOOKUP($B631,Lifetime_morbidity_array!$A$6:$Y$24,4))+(SUM($R631:$S631)*VLOOKUP($B631,Lifetime_morbidity_array!$A$6:$Y$24,3))</f>
        <v>38.657868472664333</v>
      </c>
      <c r="AA631" s="297">
        <f>(SUM($P631:$Q631)*VLOOKUP($B631,Lifetime_morbidity_array!$A$6:$Y$24,7))+(SUM($R631:$S631)*VLOOKUP($B631,Lifetime_morbidity_array!$A$6:$Y$24,6))</f>
        <v>24.472095608446303</v>
      </c>
      <c r="AB631" s="297">
        <f>(SUM($P631:$Q631)*VLOOKUP($B631,Lifetime_morbidity_array!$A$6:$Y$24,10))+(SUM($R631:$S631)*VLOOKUP($B631,Lifetime_morbidity_array!$A$6:$Y$24,9))</f>
        <v>1.1258759725191725</v>
      </c>
      <c r="AC631" s="297">
        <f>(SUM($P631:$Q631)*VLOOKUP($B631,Lifetime_morbidity_array!$A$6:$Y$24,13))+(SUM($R631:$S631)*VLOOKUP($B631,Lifetime_morbidity_array!$A$6:$Y$24,12))</f>
        <v>19.641155833286234</v>
      </c>
      <c r="AD631" s="294"/>
      <c r="AE631" s="294">
        <f t="shared" si="67"/>
        <v>103</v>
      </c>
      <c r="AF631" s="297">
        <f t="shared" si="68"/>
        <v>11.067421282255101</v>
      </c>
      <c r="AG631" s="297">
        <f t="shared" si="69"/>
        <v>25219.576479138224</v>
      </c>
      <c r="AH631" s="294"/>
      <c r="AI631" s="294">
        <f t="shared" si="70"/>
        <v>103</v>
      </c>
      <c r="AJ631" s="295">
        <f>((VLOOKUP($B631,'Mahawesran Tariff'!$A$21:$M$120,7)*$X631)+(VLOOKUP($B631,'Mahawesran Tariff'!$A$21:$M$120,6)*$Y631)+(DET_UTIL_chd*$Z631)+(DET_UTIL_copd*$AA631)+(DET_UTIL_lc*$AB631)+(DET_UTIL_stroke*$AC631))/((1+Discount_rate_QALYs)^$A631)</f>
        <v>8.8927661446889186</v>
      </c>
      <c r="AK631" s="295">
        <f t="shared" si="71"/>
        <v>23148.458598032736</v>
      </c>
      <c r="AL631" s="294"/>
      <c r="AM631" s="294">
        <f t="shared" si="56"/>
        <v>103</v>
      </c>
      <c r="AN631" s="299">
        <f t="shared" si="57"/>
        <v>38738.167698925885</v>
      </c>
      <c r="AO631" s="299">
        <f t="shared" si="72"/>
        <v>21442556.145242501</v>
      </c>
      <c r="AP631" s="294"/>
      <c r="AQ631" s="294">
        <f t="shared" si="58"/>
        <v>103</v>
      </c>
      <c r="AR631" s="298">
        <f t="shared" si="48"/>
        <v>0.15118650446869861</v>
      </c>
      <c r="AS631" s="298">
        <f t="shared" si="49"/>
        <v>0.84881349553130159</v>
      </c>
      <c r="AT631" s="298">
        <f t="shared" si="50"/>
        <v>8.3896995886916043E-2</v>
      </c>
      <c r="AU631" s="250"/>
      <c r="AV631" s="294">
        <f t="shared" si="59"/>
        <v>103</v>
      </c>
      <c r="AW631" s="299">
        <f t="shared" si="60"/>
        <v>38738.167698925885</v>
      </c>
      <c r="AX631" s="299">
        <f t="shared" si="73"/>
        <v>21442556.145242501</v>
      </c>
      <c r="AY631" s="335"/>
      <c r="AZ631" s="335"/>
      <c r="BA631" s="335"/>
      <c r="BB631" s="335"/>
      <c r="BC631" s="335"/>
      <c r="BD631" s="335"/>
      <c r="BE631" s="335"/>
      <c r="BF631" s="335"/>
      <c r="BG631" s="335"/>
      <c r="BH631" s="335"/>
      <c r="BI631" s="335"/>
      <c r="BJ631" s="335"/>
      <c r="BK631" s="364"/>
      <c r="BL631" s="364"/>
      <c r="BM631" s="364"/>
      <c r="BN631" s="364"/>
      <c r="BO631" s="364"/>
      <c r="BP631" s="364"/>
      <c r="BQ631" s="335"/>
      <c r="BR631" s="335"/>
      <c r="BS631" s="364"/>
      <c r="BT631" s="364"/>
      <c r="BU631" s="364"/>
      <c r="BV631" s="364"/>
      <c r="BW631" s="364"/>
      <c r="BX631" s="364"/>
      <c r="BY631" s="335"/>
      <c r="BZ631" s="335"/>
      <c r="CA631" s="364"/>
      <c r="CB631" s="364"/>
      <c r="CC631" s="335"/>
      <c r="CD631" s="335"/>
      <c r="CE631" s="335"/>
      <c r="CF631" s="335"/>
      <c r="CG631" s="335"/>
      <c r="CH631" s="335"/>
      <c r="CI631" s="365"/>
      <c r="CJ631" s="365"/>
      <c r="CK631" s="335"/>
      <c r="CL631" s="335"/>
      <c r="CM631" s="366"/>
      <c r="CN631" s="366"/>
      <c r="CO631" s="366"/>
      <c r="CP631" s="3"/>
    </row>
    <row r="632" spans="1:94" x14ac:dyDescent="0.25">
      <c r="A632" s="34">
        <v>77</v>
      </c>
      <c r="B632" s="33">
        <f t="shared" si="61"/>
        <v>104</v>
      </c>
      <c r="C632" s="294">
        <f>VLOOKUP($B632,'Mother mortality'!$A$23:$I$124,5)</f>
        <v>0.14624098391610749</v>
      </c>
      <c r="D632" s="295">
        <f t="shared" si="43"/>
        <v>0.27</v>
      </c>
      <c r="E632" s="295">
        <f t="shared" si="51"/>
        <v>0.58375901608389247</v>
      </c>
      <c r="F632" s="295">
        <f>VLOOKUP($B632,'Mother mortality'!$A$23:$I$124,5)</f>
        <v>0.14624098391610749</v>
      </c>
      <c r="G632" s="295">
        <f t="shared" si="44"/>
        <v>0.14000000000000001</v>
      </c>
      <c r="H632" s="295">
        <f t="shared" si="52"/>
        <v>0.71375901608389247</v>
      </c>
      <c r="I632" s="295">
        <f>VLOOKUP($B632,'Mother mortality'!$A$23:$I$124,4)</f>
        <v>0.12016234480898272</v>
      </c>
      <c r="J632" s="295">
        <f t="shared" si="53"/>
        <v>0.30840908376244591</v>
      </c>
      <c r="K632" s="295">
        <f t="shared" si="45"/>
        <v>0.5714285714285714</v>
      </c>
      <c r="L632" s="295">
        <f>VLOOKUP($B632,'Mother mortality'!$A$23:$I$124,4)</f>
        <v>0.12016234480898272</v>
      </c>
      <c r="M632" s="295">
        <f t="shared" si="46"/>
        <v>8.6261668788331098E-3</v>
      </c>
      <c r="N632" s="295">
        <f t="shared" si="54"/>
        <v>0.8712114883121842</v>
      </c>
      <c r="O632" s="294"/>
      <c r="P632" s="296">
        <f t="shared" si="62"/>
        <v>31.533115178872205</v>
      </c>
      <c r="Q632" s="297">
        <f t="shared" si="63"/>
        <v>10.014458155052072</v>
      </c>
      <c r="R632" s="297">
        <f t="shared" si="64"/>
        <v>1.6507721114147709</v>
      </c>
      <c r="S632" s="297">
        <f t="shared" si="65"/>
        <v>88.546462927336592</v>
      </c>
      <c r="T632" s="297">
        <f t="shared" si="66"/>
        <v>868.25519162732451</v>
      </c>
      <c r="U632" s="294">
        <f t="shared" si="55"/>
        <v>1000.0000000000001</v>
      </c>
      <c r="V632" s="295" t="str">
        <f t="shared" si="47"/>
        <v>OKAY</v>
      </c>
      <c r="W632" s="295"/>
      <c r="X632" s="296">
        <f>SUM($P632:$Q632)-(SUM($P632:$Q632)*(VLOOKUP($B632,Lifetime_morbidity_array!$A$6:$Y$24,4)+VLOOKUP($B632,Lifetime_morbidity_array!$A$6:$Y$24,7)+VLOOKUP($B632,Lifetime_morbidity_array!$A$6:$Y$24,10)+VLOOKUP($B632,Lifetime_morbidity_array!$A$6:$Y$24,13)))</f>
        <v>6.5871400662679704</v>
      </c>
      <c r="Y632" s="297">
        <f>SUM($R632:$S632)-(SUM($R632:$S632)*(VLOOKUP($B632,Lifetime_morbidity_array!$A$6:$Y$24,3)+VLOOKUP($B632,Lifetime_morbidity_array!$A$6:$Y$24,6)+VLOOKUP($B632,Lifetime_morbidity_array!$A$6:$Y$24,9)+VLOOKUP($B632,Lifetime_morbidity_array!$A$6:$Y$24,12)))</f>
        <v>52.493235093617727</v>
      </c>
      <c r="Z632" s="297">
        <f>(SUM($P632:$Q632)*VLOOKUP($B632,Lifetime_morbidity_array!$A$6:$Y$24,4))+(SUM($R632:$S632)*VLOOKUP($B632,Lifetime_morbidity_array!$A$6:$Y$24,3))</f>
        <v>33.521150763174745</v>
      </c>
      <c r="AA632" s="297">
        <f>(SUM($P632:$Q632)*VLOOKUP($B632,Lifetime_morbidity_array!$A$6:$Y$24,7))+(SUM($R632:$S632)*VLOOKUP($B632,Lifetime_morbidity_array!$A$6:$Y$24,6))</f>
        <v>21.120986386669458</v>
      </c>
      <c r="AB632" s="297">
        <f>(SUM($P632:$Q632)*VLOOKUP($B632,Lifetime_morbidity_array!$A$6:$Y$24,10))+(SUM($R632:$S632)*VLOOKUP($B632,Lifetime_morbidity_array!$A$6:$Y$24,9))</f>
        <v>0.97002703292408299</v>
      </c>
      <c r="AC632" s="297">
        <f>(SUM($P632:$Q632)*VLOOKUP($B632,Lifetime_morbidity_array!$A$6:$Y$24,13))+(SUM($R632:$S632)*VLOOKUP($B632,Lifetime_morbidity_array!$A$6:$Y$24,12))</f>
        <v>17.052269030021648</v>
      </c>
      <c r="AD632" s="294"/>
      <c r="AE632" s="294">
        <f t="shared" si="67"/>
        <v>104</v>
      </c>
      <c r="AF632" s="297">
        <f t="shared" si="68"/>
        <v>9.3180830319022014</v>
      </c>
      <c r="AG632" s="297">
        <f t="shared" si="69"/>
        <v>25228.894562170128</v>
      </c>
      <c r="AH632" s="294"/>
      <c r="AI632" s="294">
        <f t="shared" si="70"/>
        <v>104</v>
      </c>
      <c r="AJ632" s="295">
        <f>((VLOOKUP($B632,'Mahawesran Tariff'!$A$21:$M$120,7)*$X632)+(VLOOKUP($B632,'Mahawesran Tariff'!$A$21:$M$120,6)*$Y632)+(DET_UTIL_chd*$Z632)+(DET_UTIL_copd*$AA632)+(DET_UTIL_lc*$AB632)+(DET_UTIL_stroke*$AC632))/((1+Discount_rate_QALYs)^$A632)</f>
        <v>7.4928143262910014</v>
      </c>
      <c r="AK632" s="295">
        <f t="shared" si="71"/>
        <v>23155.951412359027</v>
      </c>
      <c r="AL632" s="294"/>
      <c r="AM632" s="294">
        <f t="shared" si="56"/>
        <v>104</v>
      </c>
      <c r="AN632" s="299">
        <f t="shared" si="57"/>
        <v>32476.915282970578</v>
      </c>
      <c r="AO632" s="299">
        <f t="shared" si="72"/>
        <v>21475033.060525473</v>
      </c>
      <c r="AP632" s="294"/>
      <c r="AQ632" s="294">
        <f t="shared" si="58"/>
        <v>104</v>
      </c>
      <c r="AR632" s="298">
        <f t="shared" si="48"/>
        <v>0.13174480837267563</v>
      </c>
      <c r="AS632" s="298">
        <f t="shared" si="49"/>
        <v>0.86825519162732445</v>
      </c>
      <c r="AT632" s="298">
        <f t="shared" si="50"/>
        <v>7.2664433212789925E-2</v>
      </c>
      <c r="AU632" s="250"/>
      <c r="AV632" s="294">
        <f t="shared" si="59"/>
        <v>104</v>
      </c>
      <c r="AW632" s="299">
        <f t="shared" si="60"/>
        <v>32476.915282970578</v>
      </c>
      <c r="AX632" s="299">
        <f t="shared" si="73"/>
        <v>21475033.060525473</v>
      </c>
      <c r="AY632" s="335"/>
      <c r="AZ632" s="335"/>
      <c r="BA632" s="335"/>
      <c r="BB632" s="335"/>
      <c r="BC632" s="335"/>
      <c r="BD632" s="335"/>
      <c r="BE632" s="335"/>
      <c r="BF632" s="335"/>
      <c r="BG632" s="335"/>
      <c r="BH632" s="335"/>
      <c r="BI632" s="335"/>
      <c r="BJ632" s="335"/>
      <c r="BK632" s="364"/>
      <c r="BL632" s="364"/>
      <c r="BM632" s="364"/>
      <c r="BN632" s="364"/>
      <c r="BO632" s="364"/>
      <c r="BP632" s="364"/>
      <c r="BQ632" s="335"/>
      <c r="BR632" s="335"/>
      <c r="BS632" s="364"/>
      <c r="BT632" s="364"/>
      <c r="BU632" s="364"/>
      <c r="BV632" s="364"/>
      <c r="BW632" s="364"/>
      <c r="BX632" s="364"/>
      <c r="BY632" s="335"/>
      <c r="BZ632" s="335"/>
      <c r="CA632" s="364"/>
      <c r="CB632" s="364"/>
      <c r="CC632" s="335"/>
      <c r="CD632" s="335"/>
      <c r="CE632" s="335"/>
      <c r="CF632" s="335"/>
      <c r="CG632" s="335"/>
      <c r="CH632" s="335"/>
      <c r="CI632" s="365"/>
      <c r="CJ632" s="365"/>
      <c r="CK632" s="335"/>
      <c r="CL632" s="335"/>
      <c r="CM632" s="366"/>
      <c r="CN632" s="366"/>
      <c r="CO632" s="366"/>
      <c r="CP632" s="3"/>
    </row>
    <row r="633" spans="1:94" x14ac:dyDescent="0.25">
      <c r="A633" s="34">
        <v>78</v>
      </c>
      <c r="B633" s="33">
        <f t="shared" si="61"/>
        <v>105</v>
      </c>
      <c r="C633" s="294">
        <f>VLOOKUP($B633,'Mother mortality'!$A$23:$I$124,5)</f>
        <v>0.14624098391610749</v>
      </c>
      <c r="D633" s="295">
        <f t="shared" si="43"/>
        <v>0.27</v>
      </c>
      <c r="E633" s="295">
        <f t="shared" si="51"/>
        <v>0.58375901608389247</v>
      </c>
      <c r="F633" s="295">
        <f>VLOOKUP($B633,'Mother mortality'!$A$23:$I$124,5)</f>
        <v>0.14624098391610749</v>
      </c>
      <c r="G633" s="295">
        <f t="shared" si="44"/>
        <v>0.14000000000000001</v>
      </c>
      <c r="H633" s="295">
        <f t="shared" si="52"/>
        <v>0.71375901608389247</v>
      </c>
      <c r="I633" s="295">
        <f>VLOOKUP($B633,'Mother mortality'!$A$23:$I$124,4)</f>
        <v>0.12016234480898272</v>
      </c>
      <c r="J633" s="295">
        <f t="shared" si="53"/>
        <v>0.30840908376244591</v>
      </c>
      <c r="K633" s="295">
        <f t="shared" si="45"/>
        <v>0.5714285714285714</v>
      </c>
      <c r="L633" s="295">
        <f>VLOOKUP($B633,'Mother mortality'!$A$23:$I$124,4)</f>
        <v>0.12016234480898272</v>
      </c>
      <c r="M633" s="295">
        <f t="shared" si="46"/>
        <v>8.6261668788331098E-3</v>
      </c>
      <c r="N633" s="295">
        <f t="shared" si="54"/>
        <v>0.8712114883121842</v>
      </c>
      <c r="O633" s="294"/>
      <c r="P633" s="296">
        <f t="shared" si="62"/>
        <v>26.828579770365415</v>
      </c>
      <c r="Q633" s="297">
        <f t="shared" si="63"/>
        <v>8.5139410982954953</v>
      </c>
      <c r="R633" s="297">
        <f t="shared" si="64"/>
        <v>1.4020241417072903</v>
      </c>
      <c r="S633" s="297">
        <f t="shared" si="65"/>
        <v>78.085994101084424</v>
      </c>
      <c r="T633" s="297">
        <f t="shared" si="66"/>
        <v>885.16946088854752</v>
      </c>
      <c r="U633" s="294">
        <f t="shared" si="55"/>
        <v>1000.0000000000001</v>
      </c>
      <c r="V633" s="295" t="str">
        <f t="shared" si="47"/>
        <v>OKAY</v>
      </c>
      <c r="W633" s="295"/>
      <c r="X633" s="296">
        <f>SUM($P633:$Q633)-(SUM($P633:$Q633)*(VLOOKUP($B633,Lifetime_morbidity_array!$A$6:$Y$24,4)+VLOOKUP($B633,Lifetime_morbidity_array!$A$6:$Y$24,7)+VLOOKUP($B633,Lifetime_morbidity_array!$A$6:$Y$24,10)+VLOOKUP($B633,Lifetime_morbidity_array!$A$6:$Y$24,13)))</f>
        <v>5.6033630023532126</v>
      </c>
      <c r="Y633" s="297">
        <f>SUM($R633:$S633)-(SUM($R633:$S633)*(VLOOKUP($B633,Lifetime_morbidity_array!$A$6:$Y$24,3)+VLOOKUP($B633,Lifetime_morbidity_array!$A$6:$Y$24,6)+VLOOKUP($B633,Lifetime_morbidity_array!$A$6:$Y$24,9)+VLOOKUP($B633,Lifetime_morbidity_array!$A$6:$Y$24,12)))</f>
        <v>46.260655628212739</v>
      </c>
      <c r="Z633" s="297">
        <f>(SUM($P633:$Q633)*VLOOKUP($B633,Lifetime_morbidity_array!$A$6:$Y$24,4))+(SUM($R633:$S633)*VLOOKUP($B633,Lifetime_morbidity_array!$A$6:$Y$24,3))</f>
        <v>29.07995868759253</v>
      </c>
      <c r="AA633" s="297">
        <f>(SUM($P633:$Q633)*VLOOKUP($B633,Lifetime_morbidity_array!$A$6:$Y$24,7))+(SUM($R633:$S633)*VLOOKUP($B633,Lifetime_morbidity_array!$A$6:$Y$24,6))</f>
        <v>18.239743547254225</v>
      </c>
      <c r="AB633" s="297">
        <f>(SUM($P633:$Q633)*VLOOKUP($B633,Lifetime_morbidity_array!$A$6:$Y$24,10))+(SUM($R633:$S633)*VLOOKUP($B633,Lifetime_morbidity_array!$A$6:$Y$24,9))</f>
        <v>0.83629386515882387</v>
      </c>
      <c r="AC633" s="297">
        <f>(SUM($P633:$Q633)*VLOOKUP($B633,Lifetime_morbidity_array!$A$6:$Y$24,13))+(SUM($R633:$S633)*VLOOKUP($B633,Lifetime_morbidity_array!$A$6:$Y$24,12))</f>
        <v>14.810524380881091</v>
      </c>
      <c r="AD633" s="294"/>
      <c r="AE633" s="294">
        <f t="shared" si="67"/>
        <v>105</v>
      </c>
      <c r="AF633" s="297">
        <f t="shared" si="68"/>
        <v>7.8471168548294301</v>
      </c>
      <c r="AG633" s="297">
        <f t="shared" si="69"/>
        <v>25236.741679024955</v>
      </c>
      <c r="AH633" s="294"/>
      <c r="AI633" s="294">
        <f t="shared" si="70"/>
        <v>105</v>
      </c>
      <c r="AJ633" s="295">
        <f>((VLOOKUP($B633,'Mahawesran Tariff'!$A$21:$M$120,7)*$X633)+(VLOOKUP($B633,'Mahawesran Tariff'!$A$21:$M$120,6)*$Y633)+(DET_UTIL_chd*$Z633)+(DET_UTIL_copd*$AA633)+(DET_UTIL_lc*$AB633)+(DET_UTIL_stroke*$AC633))/((1+Discount_rate_QALYs)^$A633)</f>
        <v>6.3145277199664367</v>
      </c>
      <c r="AK633" s="295">
        <f t="shared" si="71"/>
        <v>23162.265940078993</v>
      </c>
      <c r="AL633" s="294"/>
      <c r="AM633" s="294">
        <f t="shared" si="56"/>
        <v>105</v>
      </c>
      <c r="AN633" s="299">
        <f t="shared" si="57"/>
        <v>27239.117028685778</v>
      </c>
      <c r="AO633" s="299">
        <f t="shared" si="72"/>
        <v>21502272.17755416</v>
      </c>
      <c r="AP633" s="294"/>
      <c r="AQ633" s="294">
        <f t="shared" si="58"/>
        <v>105</v>
      </c>
      <c r="AR633" s="298">
        <f t="shared" si="48"/>
        <v>0.11483053911145262</v>
      </c>
      <c r="AS633" s="298">
        <f t="shared" si="49"/>
        <v>0.88516946088854753</v>
      </c>
      <c r="AT633" s="298">
        <f t="shared" si="50"/>
        <v>6.2966520480886676E-2</v>
      </c>
      <c r="AU633" s="250"/>
      <c r="AV633" s="294">
        <f t="shared" si="59"/>
        <v>105</v>
      </c>
      <c r="AW633" s="299">
        <f t="shared" si="60"/>
        <v>27239.117028685778</v>
      </c>
      <c r="AX633" s="299">
        <f t="shared" si="73"/>
        <v>21502272.17755416</v>
      </c>
      <c r="AY633" s="335"/>
      <c r="AZ633" s="335"/>
      <c r="BA633" s="335"/>
      <c r="BB633" s="335"/>
      <c r="BC633" s="335"/>
      <c r="BD633" s="335"/>
      <c r="BE633" s="335"/>
      <c r="BF633" s="335"/>
      <c r="BG633" s="335"/>
      <c r="BH633" s="335"/>
      <c r="BI633" s="335"/>
      <c r="BJ633" s="335"/>
      <c r="BK633" s="364"/>
      <c r="BL633" s="364"/>
      <c r="BM633" s="364"/>
      <c r="BN633" s="364"/>
      <c r="BO633" s="364"/>
      <c r="BP633" s="364"/>
      <c r="BQ633" s="335"/>
      <c r="BR633" s="335"/>
      <c r="BS633" s="364"/>
      <c r="BT633" s="364"/>
      <c r="BU633" s="364"/>
      <c r="BV633" s="364"/>
      <c r="BW633" s="364"/>
      <c r="BX633" s="364"/>
      <c r="BY633" s="335"/>
      <c r="BZ633" s="335"/>
      <c r="CA633" s="364"/>
      <c r="CB633" s="364"/>
      <c r="CC633" s="335"/>
      <c r="CD633" s="335"/>
      <c r="CE633" s="335"/>
      <c r="CF633" s="335"/>
      <c r="CG633" s="335"/>
      <c r="CH633" s="335"/>
      <c r="CI633" s="365"/>
      <c r="CJ633" s="365"/>
      <c r="CK633" s="335"/>
      <c r="CL633" s="335"/>
      <c r="CM633" s="366"/>
      <c r="CN633" s="366"/>
      <c r="CO633" s="366"/>
      <c r="CP633" s="3"/>
    </row>
    <row r="634" spans="1:94" x14ac:dyDescent="0.25">
      <c r="A634" s="34">
        <v>79</v>
      </c>
      <c r="B634" s="33">
        <f t="shared" si="61"/>
        <v>106</v>
      </c>
      <c r="C634" s="294">
        <f>VLOOKUP($B634,'Mother mortality'!$A$23:$I$124,5)</f>
        <v>0.14624098391610749</v>
      </c>
      <c r="D634" s="295">
        <f t="shared" si="43"/>
        <v>0.27</v>
      </c>
      <c r="E634" s="295">
        <f t="shared" si="51"/>
        <v>0.58375901608389247</v>
      </c>
      <c r="F634" s="295">
        <f>VLOOKUP($B634,'Mother mortality'!$A$23:$I$124,5)</f>
        <v>0.14624098391610749</v>
      </c>
      <c r="G634" s="295">
        <f t="shared" si="44"/>
        <v>0.14000000000000001</v>
      </c>
      <c r="H634" s="295">
        <f t="shared" si="52"/>
        <v>0.71375901608389247</v>
      </c>
      <c r="I634" s="295">
        <f>VLOOKUP($B634,'Mother mortality'!$A$23:$I$124,4)</f>
        <v>0.12016234480898272</v>
      </c>
      <c r="J634" s="295">
        <f t="shared" si="53"/>
        <v>0.30840908376244591</v>
      </c>
      <c r="K634" s="295">
        <f t="shared" si="45"/>
        <v>0.5714285714285714</v>
      </c>
      <c r="L634" s="295">
        <f>VLOOKUP($B634,'Mother mortality'!$A$23:$I$124,4)</f>
        <v>0.12016234480898272</v>
      </c>
      <c r="M634" s="295">
        <f t="shared" si="46"/>
        <v>8.6261668788331098E-3</v>
      </c>
      <c r="N634" s="295">
        <f t="shared" si="54"/>
        <v>0.8712114883121842</v>
      </c>
      <c r="O634" s="294"/>
      <c r="P634" s="296">
        <f t="shared" si="62"/>
        <v>22.844307347964651</v>
      </c>
      <c r="Q634" s="297">
        <f t="shared" si="63"/>
        <v>7.2437165379986626</v>
      </c>
      <c r="R634" s="297">
        <f t="shared" si="64"/>
        <v>1.1919517537613695</v>
      </c>
      <c r="S634" s="297">
        <f t="shared" si="65"/>
        <v>68.830571789546354</v>
      </c>
      <c r="T634" s="297">
        <f t="shared" si="66"/>
        <v>899.88945257072908</v>
      </c>
      <c r="U634" s="294">
        <f t="shared" si="55"/>
        <v>1000.0000000000001</v>
      </c>
      <c r="V634" s="295" t="str">
        <f t="shared" si="47"/>
        <v>OKAY</v>
      </c>
      <c r="W634" s="295"/>
      <c r="X634" s="296">
        <f>SUM($P634:$Q634)-(SUM($P634:$Q634)*(VLOOKUP($B634,Lifetime_morbidity_array!$A$6:$Y$24,4)+VLOOKUP($B634,Lifetime_morbidity_array!$A$6:$Y$24,7)+VLOOKUP($B634,Lifetime_morbidity_array!$A$6:$Y$24,10)+VLOOKUP($B634,Lifetime_morbidity_array!$A$6:$Y$24,13)))</f>
        <v>4.7702913010379859</v>
      </c>
      <c r="Y634" s="297">
        <f>SUM($R634:$S634)-(SUM($R634:$S634)*(VLOOKUP($B634,Lifetime_morbidity_array!$A$6:$Y$24,3)+VLOOKUP($B634,Lifetime_morbidity_array!$A$6:$Y$24,6)+VLOOKUP($B634,Lifetime_morbidity_array!$A$6:$Y$24,9)+VLOOKUP($B634,Lifetime_morbidity_array!$A$6:$Y$24,12)))</f>
        <v>40.751900971554647</v>
      </c>
      <c r="Z634" s="297">
        <f>(SUM($P634:$Q634)*VLOOKUP($B634,Lifetime_morbidity_array!$A$6:$Y$24,4))+(SUM($R634:$S634)*VLOOKUP($B634,Lifetime_morbidity_array!$A$6:$Y$24,3))</f>
        <v>25.237908108705245</v>
      </c>
      <c r="AA634" s="297">
        <f>(SUM($P634:$Q634)*VLOOKUP($B634,Lifetime_morbidity_array!$A$6:$Y$24,7))+(SUM($R634:$S634)*VLOOKUP($B634,Lifetime_morbidity_array!$A$6:$Y$24,6))</f>
        <v>15.760631021997664</v>
      </c>
      <c r="AB634" s="297">
        <f>(SUM($P634:$Q634)*VLOOKUP($B634,Lifetime_morbidity_array!$A$6:$Y$24,10))+(SUM($R634:$S634)*VLOOKUP($B634,Lifetime_morbidity_array!$A$6:$Y$24,9))</f>
        <v>0.7214467822993158</v>
      </c>
      <c r="AC634" s="297">
        <f>(SUM($P634:$Q634)*VLOOKUP($B634,Lifetime_morbidity_array!$A$6:$Y$24,13))+(SUM($R634:$S634)*VLOOKUP($B634,Lifetime_morbidity_array!$A$6:$Y$24,12))</f>
        <v>12.868369243676177</v>
      </c>
      <c r="AD634" s="294"/>
      <c r="AE634" s="294">
        <f t="shared" si="67"/>
        <v>106</v>
      </c>
      <c r="AF634" s="297">
        <f t="shared" si="68"/>
        <v>6.6098591104170472</v>
      </c>
      <c r="AG634" s="297">
        <f t="shared" si="69"/>
        <v>25243.351538135372</v>
      </c>
      <c r="AH634" s="294"/>
      <c r="AI634" s="294">
        <f t="shared" si="70"/>
        <v>106</v>
      </c>
      <c r="AJ634" s="295">
        <f>((VLOOKUP($B634,'Mahawesran Tariff'!$A$21:$M$120,7)*$X634)+(VLOOKUP($B634,'Mahawesran Tariff'!$A$21:$M$120,6)*$Y634)+(DET_UTIL_chd*$Z634)+(DET_UTIL_copd*$AA634)+(DET_UTIL_lc*$AB634)+(DET_UTIL_stroke*$AC634))/((1+Discount_rate_QALYs)^$A634)</f>
        <v>5.3225603318525962</v>
      </c>
      <c r="AK634" s="295">
        <f t="shared" si="71"/>
        <v>23167.588500410846</v>
      </c>
      <c r="AL634" s="294"/>
      <c r="AM634" s="294">
        <f t="shared" si="56"/>
        <v>106</v>
      </c>
      <c r="AN634" s="299">
        <f t="shared" si="57"/>
        <v>22855.205688408372</v>
      </c>
      <c r="AO634" s="299">
        <f t="shared" si="72"/>
        <v>21525127.38324257</v>
      </c>
      <c r="AP634" s="294"/>
      <c r="AQ634" s="294">
        <f t="shared" si="58"/>
        <v>106</v>
      </c>
      <c r="AR634" s="298">
        <f t="shared" si="48"/>
        <v>0.10011054742927104</v>
      </c>
      <c r="AS634" s="298">
        <f t="shared" si="49"/>
        <v>0.89988945257072905</v>
      </c>
      <c r="AT634" s="298">
        <f t="shared" si="50"/>
        <v>5.4588355156678404E-2</v>
      </c>
      <c r="AU634" s="250"/>
      <c r="AV634" s="294">
        <f t="shared" si="59"/>
        <v>106</v>
      </c>
      <c r="AW634" s="299">
        <f t="shared" si="60"/>
        <v>22855.205688408372</v>
      </c>
      <c r="AX634" s="299">
        <f t="shared" si="73"/>
        <v>21525127.38324257</v>
      </c>
      <c r="AY634" s="335"/>
      <c r="AZ634" s="335"/>
      <c r="BA634" s="335"/>
      <c r="BB634" s="335"/>
      <c r="BC634" s="335"/>
      <c r="BD634" s="335"/>
      <c r="BE634" s="335"/>
      <c r="BF634" s="335"/>
      <c r="BG634" s="335"/>
      <c r="BH634" s="335"/>
      <c r="BI634" s="335"/>
      <c r="BJ634" s="335"/>
      <c r="BK634" s="364"/>
      <c r="BL634" s="364"/>
      <c r="BM634" s="364"/>
      <c r="BN634" s="364"/>
      <c r="BO634" s="364"/>
      <c r="BP634" s="364"/>
      <c r="BQ634" s="335"/>
      <c r="BR634" s="335"/>
      <c r="BS634" s="364"/>
      <c r="BT634" s="364"/>
      <c r="BU634" s="364"/>
      <c r="BV634" s="364"/>
      <c r="BW634" s="364"/>
      <c r="BX634" s="364"/>
      <c r="BY634" s="335"/>
      <c r="BZ634" s="335"/>
      <c r="CA634" s="364"/>
      <c r="CB634" s="364"/>
      <c r="CC634" s="335"/>
      <c r="CD634" s="335"/>
      <c r="CE634" s="335"/>
      <c r="CF634" s="335"/>
      <c r="CG634" s="335"/>
      <c r="CH634" s="335"/>
      <c r="CI634" s="365"/>
      <c r="CJ634" s="365"/>
      <c r="CK634" s="335"/>
      <c r="CL634" s="335"/>
      <c r="CM634" s="366"/>
      <c r="CN634" s="366"/>
      <c r="CO634" s="366"/>
      <c r="CP634" s="3"/>
    </row>
    <row r="635" spans="1:94" x14ac:dyDescent="0.25">
      <c r="A635" s="34">
        <v>80</v>
      </c>
      <c r="B635" s="33">
        <f t="shared" si="61"/>
        <v>107</v>
      </c>
      <c r="C635" s="294">
        <f>VLOOKUP($B635,'Mother mortality'!$A$23:$I$124,5)</f>
        <v>0.14624098391610749</v>
      </c>
      <c r="D635" s="295">
        <f t="shared" si="43"/>
        <v>0.27</v>
      </c>
      <c r="E635" s="295">
        <f t="shared" si="51"/>
        <v>0.58375901608389247</v>
      </c>
      <c r="F635" s="295">
        <f>VLOOKUP($B635,'Mother mortality'!$A$23:$I$124,5)</f>
        <v>0.14624098391610749</v>
      </c>
      <c r="G635" s="295">
        <f t="shared" si="44"/>
        <v>0.14000000000000001</v>
      </c>
      <c r="H635" s="295">
        <f t="shared" si="52"/>
        <v>0.71375901608389247</v>
      </c>
      <c r="I635" s="295">
        <f>VLOOKUP($B635,'Mother mortality'!$A$23:$I$124,4)</f>
        <v>0.12016234480898272</v>
      </c>
      <c r="J635" s="295">
        <f t="shared" si="53"/>
        <v>0.30840908376244591</v>
      </c>
      <c r="K635" s="295">
        <f t="shared" si="45"/>
        <v>0.5714285714285714</v>
      </c>
      <c r="L635" s="295">
        <f>VLOOKUP($B635,'Mother mortality'!$A$23:$I$124,4)</f>
        <v>0.12016234480898272</v>
      </c>
      <c r="M635" s="295">
        <f t="shared" si="46"/>
        <v>8.6261668788331098E-3</v>
      </c>
      <c r="N635" s="295">
        <f t="shared" si="54"/>
        <v>0.8712114883121842</v>
      </c>
      <c r="O635" s="294"/>
      <c r="P635" s="296">
        <f t="shared" si="62"/>
        <v>19.46719111640714</v>
      </c>
      <c r="Q635" s="297">
        <f t="shared" si="63"/>
        <v>6.1679629839504564</v>
      </c>
      <c r="R635" s="297">
        <f t="shared" si="64"/>
        <v>1.0141203153198128</v>
      </c>
      <c r="S635" s="297">
        <f t="shared" si="65"/>
        <v>60.647100178012963</v>
      </c>
      <c r="T635" s="297">
        <f t="shared" si="66"/>
        <v>912.70362540630981</v>
      </c>
      <c r="U635" s="294">
        <f t="shared" si="55"/>
        <v>1000.0000000000002</v>
      </c>
      <c r="V635" s="295" t="str">
        <f t="shared" si="47"/>
        <v>OKAY</v>
      </c>
      <c r="W635" s="295"/>
      <c r="X635" s="296">
        <f>SUM($P635:$Q635)-(SUM($P635:$Q635)*(VLOOKUP($B635,Lifetime_morbidity_array!$A$6:$Y$24,4)+VLOOKUP($B635,Lifetime_morbidity_array!$A$6:$Y$24,7)+VLOOKUP($B635,Lifetime_morbidity_array!$A$6:$Y$24,10)+VLOOKUP($B635,Lifetime_morbidity_array!$A$6:$Y$24,13)))</f>
        <v>4.0643131988057739</v>
      </c>
      <c r="Y635" s="297">
        <f>SUM($R635:$S635)-(SUM($R635:$S635)*(VLOOKUP($B635,Lifetime_morbidity_array!$A$6:$Y$24,3)+VLOOKUP($B635,Lifetime_morbidity_array!$A$6:$Y$24,6)+VLOOKUP($B635,Lifetime_morbidity_array!$A$6:$Y$24,9)+VLOOKUP($B635,Lifetime_morbidity_array!$A$6:$Y$24,12)))</f>
        <v>35.885766810094509</v>
      </c>
      <c r="Z635" s="297">
        <f>(SUM($P635:$Q635)*VLOOKUP($B635,Lifetime_morbidity_array!$A$6:$Y$24,4))+(SUM($R635:$S635)*VLOOKUP($B635,Lifetime_morbidity_array!$A$6:$Y$24,3))</f>
        <v>21.912451225546899</v>
      </c>
      <c r="AA635" s="297">
        <f>(SUM($P635:$Q635)*VLOOKUP($B635,Lifetime_morbidity_array!$A$6:$Y$24,7))+(SUM($R635:$S635)*VLOOKUP($B635,Lifetime_morbidity_array!$A$6:$Y$24,6))</f>
        <v>13.626117503083702</v>
      </c>
      <c r="AB635" s="297">
        <f>(SUM($P635:$Q635)*VLOOKUP($B635,Lifetime_morbidity_array!$A$6:$Y$24,10))+(SUM($R635:$S635)*VLOOKUP($B635,Lifetime_morbidity_array!$A$6:$Y$24,9))</f>
        <v>0.62274997446007241</v>
      </c>
      <c r="AC635" s="297">
        <f>(SUM($P635:$Q635)*VLOOKUP($B635,Lifetime_morbidity_array!$A$6:$Y$24,13))+(SUM($R635:$S635)*VLOOKUP($B635,Lifetime_morbidity_array!$A$6:$Y$24,12))</f>
        <v>11.184975881699421</v>
      </c>
      <c r="AD635" s="294"/>
      <c r="AE635" s="294">
        <f t="shared" si="67"/>
        <v>107</v>
      </c>
      <c r="AF635" s="297">
        <f t="shared" si="68"/>
        <v>5.568884677521754</v>
      </c>
      <c r="AG635" s="297">
        <f t="shared" si="69"/>
        <v>25248.920422812895</v>
      </c>
      <c r="AH635" s="294"/>
      <c r="AI635" s="294">
        <f t="shared" si="70"/>
        <v>107</v>
      </c>
      <c r="AJ635" s="295">
        <f>((VLOOKUP($B635,'Mahawesran Tariff'!$A$21:$M$120,7)*$X635)+(VLOOKUP($B635,'Mahawesran Tariff'!$A$21:$M$120,6)*$Y635)+(DET_UTIL_chd*$Z635)+(DET_UTIL_copd*$AA635)+(DET_UTIL_lc*$AB635)+(DET_UTIL_stroke*$AC635))/((1+Discount_rate_QALYs)^$A635)</f>
        <v>4.4872477849943122</v>
      </c>
      <c r="AK635" s="295">
        <f t="shared" si="71"/>
        <v>23172.075748195839</v>
      </c>
      <c r="AL635" s="294"/>
      <c r="AM635" s="294">
        <f t="shared" si="56"/>
        <v>107</v>
      </c>
      <c r="AN635" s="299">
        <f t="shared" si="57"/>
        <v>19184.239388848415</v>
      </c>
      <c r="AO635" s="299">
        <f t="shared" si="72"/>
        <v>21544311.622631419</v>
      </c>
      <c r="AP635" s="294"/>
      <c r="AQ635" s="294">
        <f t="shared" si="58"/>
        <v>107</v>
      </c>
      <c r="AR635" s="298">
        <f t="shared" si="48"/>
        <v>8.7296374593690371E-2</v>
      </c>
      <c r="AS635" s="298">
        <f t="shared" si="49"/>
        <v>0.91270362540630978</v>
      </c>
      <c r="AT635" s="298">
        <f t="shared" si="50"/>
        <v>4.7346294584790095E-2</v>
      </c>
      <c r="AU635" s="250"/>
      <c r="AV635" s="294">
        <f t="shared" si="59"/>
        <v>107</v>
      </c>
      <c r="AW635" s="299">
        <f t="shared" si="60"/>
        <v>19184.239388848415</v>
      </c>
      <c r="AX635" s="299">
        <f t="shared" si="73"/>
        <v>21544311.622631419</v>
      </c>
      <c r="AY635" s="335"/>
      <c r="AZ635" s="335"/>
      <c r="BA635" s="335"/>
      <c r="BB635" s="335"/>
      <c r="BC635" s="335"/>
      <c r="BD635" s="335"/>
      <c r="BE635" s="335"/>
      <c r="BF635" s="335"/>
      <c r="BG635" s="335"/>
      <c r="BH635" s="335"/>
      <c r="BI635" s="335"/>
      <c r="BJ635" s="335"/>
      <c r="BK635" s="364"/>
      <c r="BL635" s="364"/>
      <c r="BM635" s="364"/>
      <c r="BN635" s="364"/>
      <c r="BO635" s="364"/>
      <c r="BP635" s="364"/>
      <c r="BQ635" s="335"/>
      <c r="BR635" s="335"/>
      <c r="BS635" s="364"/>
      <c r="BT635" s="364"/>
      <c r="BU635" s="364"/>
      <c r="BV635" s="364"/>
      <c r="BW635" s="364"/>
      <c r="BX635" s="364"/>
      <c r="BY635" s="335"/>
      <c r="BZ635" s="335"/>
      <c r="CA635" s="364"/>
      <c r="CB635" s="364"/>
      <c r="CC635" s="335"/>
      <c r="CD635" s="335"/>
      <c r="CE635" s="335"/>
      <c r="CF635" s="335"/>
      <c r="CG635" s="335"/>
      <c r="CH635" s="335"/>
      <c r="CI635" s="365"/>
      <c r="CJ635" s="365"/>
      <c r="CK635" s="335"/>
      <c r="CL635" s="335"/>
      <c r="CM635" s="366"/>
      <c r="CN635" s="366"/>
      <c r="CO635" s="366"/>
      <c r="CP635" s="3"/>
    </row>
    <row r="636" spans="1:94" x14ac:dyDescent="0.25">
      <c r="A636" s="34">
        <v>81</v>
      </c>
      <c r="B636" s="33">
        <f t="shared" si="61"/>
        <v>108</v>
      </c>
      <c r="C636" s="294">
        <f>VLOOKUP($B636,'Mother mortality'!$A$23:$I$124,5)</f>
        <v>0.14624098391610749</v>
      </c>
      <c r="D636" s="295">
        <f t="shared" si="43"/>
        <v>0.27</v>
      </c>
      <c r="E636" s="295">
        <f t="shared" si="51"/>
        <v>0.58375901608389247</v>
      </c>
      <c r="F636" s="295">
        <f>VLOOKUP($B636,'Mother mortality'!$A$23:$I$124,5)</f>
        <v>0.14624098391610749</v>
      </c>
      <c r="G636" s="295">
        <f t="shared" si="44"/>
        <v>0.14000000000000001</v>
      </c>
      <c r="H636" s="295">
        <f t="shared" si="52"/>
        <v>0.71375901608389247</v>
      </c>
      <c r="I636" s="295">
        <f>VLOOKUP($B636,'Mother mortality'!$A$23:$I$124,4)</f>
        <v>0.12016234480898272</v>
      </c>
      <c r="J636" s="295">
        <f t="shared" si="53"/>
        <v>0.30840908376244591</v>
      </c>
      <c r="K636" s="295">
        <f t="shared" si="45"/>
        <v>0.5714285714285714</v>
      </c>
      <c r="L636" s="295">
        <f>VLOOKUP($B636,'Mother mortality'!$A$23:$I$124,4)</f>
        <v>0.12016234480898272</v>
      </c>
      <c r="M636" s="295">
        <f t="shared" si="46"/>
        <v>8.6261668788331098E-3</v>
      </c>
      <c r="N636" s="295">
        <f t="shared" si="54"/>
        <v>0.8712114883121842</v>
      </c>
      <c r="O636" s="294"/>
      <c r="P636" s="296">
        <f t="shared" si="62"/>
        <v>16.602503446822787</v>
      </c>
      <c r="Q636" s="297">
        <f t="shared" si="63"/>
        <v>5.2561416014299285</v>
      </c>
      <c r="R636" s="297">
        <f t="shared" si="64"/>
        <v>0.86351481775306393</v>
      </c>
      <c r="S636" s="297">
        <f t="shared" si="65"/>
        <v>53.415947730944701</v>
      </c>
      <c r="T636" s="297">
        <f t="shared" si="66"/>
        <v>923.86189240304975</v>
      </c>
      <c r="U636" s="294">
        <f t="shared" si="55"/>
        <v>1000.0000000000002</v>
      </c>
      <c r="V636" s="295" t="str">
        <f t="shared" si="47"/>
        <v>OKAY</v>
      </c>
      <c r="W636" s="295"/>
      <c r="X636" s="296">
        <f>SUM($P636:$Q636)-(SUM($P636:$Q636)*(VLOOKUP($B636,Lifetime_morbidity_array!$A$6:$Y$24,4)+VLOOKUP($B636,Lifetime_morbidity_array!$A$6:$Y$24,7)+VLOOKUP($B636,Lifetime_morbidity_array!$A$6:$Y$24,10)+VLOOKUP($B636,Lifetime_morbidity_array!$A$6:$Y$24,13)))</f>
        <v>3.4655683843298881</v>
      </c>
      <c r="Y636" s="297">
        <f>SUM($R636:$S636)-(SUM($R636:$S636)*(VLOOKUP($B636,Lifetime_morbidity_array!$A$6:$Y$24,3)+VLOOKUP($B636,Lifetime_morbidity_array!$A$6:$Y$24,6)+VLOOKUP($B636,Lifetime_morbidity_array!$A$6:$Y$24,9)+VLOOKUP($B636,Lifetime_morbidity_array!$A$6:$Y$24,12)))</f>
        <v>31.589711004997731</v>
      </c>
      <c r="Z636" s="297">
        <f>(SUM($P636:$Q636)*VLOOKUP($B636,Lifetime_morbidity_array!$A$6:$Y$24,4))+(SUM($R636:$S636)*VLOOKUP($B636,Lifetime_morbidity_array!$A$6:$Y$24,3))</f>
        <v>19.032664723655841</v>
      </c>
      <c r="AA636" s="297">
        <f>(SUM($P636:$Q636)*VLOOKUP($B636,Lifetime_morbidity_array!$A$6:$Y$24,7))+(SUM($R636:$S636)*VLOOKUP($B636,Lifetime_morbidity_array!$A$6:$Y$24,6))</f>
        <v>11.78709178237931</v>
      </c>
      <c r="AB636" s="297">
        <f>(SUM($P636:$Q636)*VLOOKUP($B636,Lifetime_morbidity_array!$A$6:$Y$24,10))+(SUM($R636:$S636)*VLOOKUP($B636,Lifetime_morbidity_array!$A$6:$Y$24,9))</f>
        <v>0.5378729164523488</v>
      </c>
      <c r="AC636" s="297">
        <f>(SUM($P636:$Q636)*VLOOKUP($B636,Lifetime_morbidity_array!$A$6:$Y$24,13))+(SUM($R636:$S636)*VLOOKUP($B636,Lifetime_morbidity_array!$A$6:$Y$24,12))</f>
        <v>9.7251987851353618</v>
      </c>
      <c r="AD636" s="294"/>
      <c r="AE636" s="294">
        <f t="shared" si="67"/>
        <v>108</v>
      </c>
      <c r="AF636" s="297">
        <f t="shared" si="68"/>
        <v>4.6928183631713569</v>
      </c>
      <c r="AG636" s="297">
        <f t="shared" si="69"/>
        <v>25253.613241176066</v>
      </c>
      <c r="AH636" s="294"/>
      <c r="AI636" s="294">
        <f t="shared" si="70"/>
        <v>108</v>
      </c>
      <c r="AJ636" s="295">
        <f>((VLOOKUP($B636,'Mahawesran Tariff'!$A$21:$M$120,7)*$X636)+(VLOOKUP($B636,'Mahawesran Tariff'!$A$21:$M$120,6)*$Y636)+(DET_UTIL_chd*$Z636)+(DET_UTIL_copd*$AA636)+(DET_UTIL_lc*$AB636)+(DET_UTIL_stroke*$AC636))/((1+Discount_rate_QALYs)^$A636)</f>
        <v>3.7836886552451845</v>
      </c>
      <c r="AK636" s="295">
        <f t="shared" si="71"/>
        <v>23175.859436851086</v>
      </c>
      <c r="AL636" s="294"/>
      <c r="AM636" s="294">
        <f t="shared" si="56"/>
        <v>108</v>
      </c>
      <c r="AN636" s="299">
        <f t="shared" si="57"/>
        <v>16108.852321603448</v>
      </c>
      <c r="AO636" s="299">
        <f t="shared" si="72"/>
        <v>21560420.474953022</v>
      </c>
      <c r="AP636" s="294"/>
      <c r="AQ636" s="294">
        <f t="shared" si="58"/>
        <v>108</v>
      </c>
      <c r="AR636" s="298">
        <f t="shared" si="48"/>
        <v>7.6138107596950472E-2</v>
      </c>
      <c r="AS636" s="298">
        <f t="shared" si="49"/>
        <v>0.92386189240304972</v>
      </c>
      <c r="AT636" s="298">
        <f t="shared" si="50"/>
        <v>4.1082828207622858E-2</v>
      </c>
      <c r="AU636" s="250"/>
      <c r="AV636" s="294">
        <f t="shared" si="59"/>
        <v>108</v>
      </c>
      <c r="AW636" s="299">
        <f t="shared" si="60"/>
        <v>16108.852321603448</v>
      </c>
      <c r="AX636" s="299">
        <f t="shared" si="73"/>
        <v>21560420.474953022</v>
      </c>
      <c r="AY636" s="335"/>
      <c r="AZ636" s="335"/>
      <c r="BA636" s="335"/>
      <c r="BB636" s="335"/>
      <c r="BC636" s="335"/>
      <c r="BD636" s="335"/>
      <c r="BE636" s="335"/>
      <c r="BF636" s="335"/>
      <c r="BG636" s="335"/>
      <c r="BH636" s="335"/>
      <c r="BI636" s="335"/>
      <c r="BJ636" s="335"/>
      <c r="BK636" s="364"/>
      <c r="BL636" s="364"/>
      <c r="BM636" s="364"/>
      <c r="BN636" s="364"/>
      <c r="BO636" s="364"/>
      <c r="BP636" s="364"/>
      <c r="BQ636" s="335"/>
      <c r="BR636" s="335"/>
      <c r="BS636" s="364"/>
      <c r="BT636" s="364"/>
      <c r="BU636" s="364"/>
      <c r="BV636" s="364"/>
      <c r="BW636" s="364"/>
      <c r="BX636" s="364"/>
      <c r="BY636" s="335"/>
      <c r="BZ636" s="335"/>
      <c r="CA636" s="364"/>
      <c r="CB636" s="364"/>
      <c r="CC636" s="335"/>
      <c r="CD636" s="335"/>
      <c r="CE636" s="335"/>
      <c r="CF636" s="335"/>
      <c r="CG636" s="335"/>
      <c r="CH636" s="335"/>
      <c r="CI636" s="365"/>
      <c r="CJ636" s="365"/>
      <c r="CK636" s="335"/>
      <c r="CL636" s="335"/>
      <c r="CM636" s="366"/>
      <c r="CN636" s="366"/>
      <c r="CO636" s="366"/>
      <c r="CP636" s="3"/>
    </row>
    <row r="637" spans="1:94" x14ac:dyDescent="0.25">
      <c r="A637" s="34">
        <v>82</v>
      </c>
      <c r="B637" s="33">
        <f t="shared" si="61"/>
        <v>109</v>
      </c>
      <c r="C637" s="294">
        <f>VLOOKUP($B637,'Mother mortality'!$A$23:$I$124,5)</f>
        <v>0.14624098391610749</v>
      </c>
      <c r="D637" s="295">
        <f t="shared" si="43"/>
        <v>0.27</v>
      </c>
      <c r="E637" s="295">
        <f t="shared" si="51"/>
        <v>0.58375901608389247</v>
      </c>
      <c r="F637" s="295">
        <f>VLOOKUP($B637,'Mother mortality'!$A$23:$I$124,5)</f>
        <v>0.14624098391610749</v>
      </c>
      <c r="G637" s="295">
        <f t="shared" si="44"/>
        <v>0.14000000000000001</v>
      </c>
      <c r="H637" s="295">
        <f t="shared" si="52"/>
        <v>0.71375901608389247</v>
      </c>
      <c r="I637" s="295">
        <f>VLOOKUP($B637,'Mother mortality'!$A$23:$I$124,4)</f>
        <v>0.12016234480898272</v>
      </c>
      <c r="J637" s="295">
        <f t="shared" si="53"/>
        <v>0.30840908376244591</v>
      </c>
      <c r="K637" s="295">
        <f t="shared" si="45"/>
        <v>0.5714285714285714</v>
      </c>
      <c r="L637" s="295">
        <f>VLOOKUP($B637,'Mother mortality'!$A$23:$I$124,4)</f>
        <v>0.12016234480898272</v>
      </c>
      <c r="M637" s="295">
        <f t="shared" si="46"/>
        <v>8.6261668788331098E-3</v>
      </c>
      <c r="N637" s="295">
        <f t="shared" si="54"/>
        <v>0.8712114883121842</v>
      </c>
      <c r="O637" s="294"/>
      <c r="P637" s="296">
        <f t="shared" si="62"/>
        <v>14.170570227357617</v>
      </c>
      <c r="Q637" s="297">
        <f t="shared" si="63"/>
        <v>4.4826759306421531</v>
      </c>
      <c r="R637" s="297">
        <f t="shared" si="64"/>
        <v>0.73585982420019003</v>
      </c>
      <c r="S637" s="297">
        <f t="shared" si="65"/>
        <v>47.030024360998212</v>
      </c>
      <c r="T637" s="297">
        <f t="shared" si="66"/>
        <v>933.58086965680218</v>
      </c>
      <c r="U637" s="294">
        <f t="shared" si="55"/>
        <v>1000.0000000000003</v>
      </c>
      <c r="V637" s="295" t="str">
        <f t="shared" si="47"/>
        <v>OKAY</v>
      </c>
      <c r="W637" s="295"/>
      <c r="X637" s="296">
        <f>SUM($P637:$Q637)-(SUM($P637:$Q637)*(VLOOKUP($B637,Lifetime_morbidity_array!$A$6:$Y$24,4)+VLOOKUP($B637,Lifetime_morbidity_array!$A$6:$Y$24,7)+VLOOKUP($B637,Lifetime_morbidity_array!$A$6:$Y$24,10)+VLOOKUP($B637,Lifetime_morbidity_array!$A$6:$Y$24,13)))</f>
        <v>2.9573699562615072</v>
      </c>
      <c r="Y637" s="297">
        <f>SUM($R637:$S637)-(SUM($R637:$S637)*(VLOOKUP($B637,Lifetime_morbidity_array!$A$6:$Y$24,3)+VLOOKUP($B637,Lifetime_morbidity_array!$A$6:$Y$24,6)+VLOOKUP($B637,Lifetime_morbidity_array!$A$6:$Y$24,9)+VLOOKUP($B637,Lifetime_morbidity_array!$A$6:$Y$24,12)))</f>
        <v>27.798920741981622</v>
      </c>
      <c r="Z637" s="297">
        <f>(SUM($P637:$Q637)*VLOOKUP($B637,Lifetime_morbidity_array!$A$6:$Y$24,4))+(SUM($R637:$S637)*VLOOKUP($B637,Lifetime_morbidity_array!$A$6:$Y$24,3))</f>
        <v>16.537599921637828</v>
      </c>
      <c r="AA637" s="297">
        <f>(SUM($P637:$Q637)*VLOOKUP($B637,Lifetime_morbidity_array!$A$6:$Y$24,7))+(SUM($R637:$S637)*VLOOKUP($B637,Lifetime_morbidity_array!$A$6:$Y$24,6))</f>
        <v>10.201633636101914</v>
      </c>
      <c r="AB637" s="297">
        <f>(SUM($P637:$Q637)*VLOOKUP($B637,Lifetime_morbidity_array!$A$6:$Y$24,10))+(SUM($R637:$S637)*VLOOKUP($B637,Lifetime_morbidity_array!$A$6:$Y$24,9))</f>
        <v>0.46483070460376785</v>
      </c>
      <c r="AC637" s="297">
        <f>(SUM($P637:$Q637)*VLOOKUP($B637,Lifetime_morbidity_array!$A$6:$Y$24,13))+(SUM($R637:$S637)*VLOOKUP($B637,Lifetime_morbidity_array!$A$6:$Y$24,12))</f>
        <v>8.4587753826115311</v>
      </c>
      <c r="AD637" s="294"/>
      <c r="AE637" s="294">
        <f t="shared" si="67"/>
        <v>109</v>
      </c>
      <c r="AF637" s="297">
        <f t="shared" si="68"/>
        <v>3.9553461983767799</v>
      </c>
      <c r="AG637" s="297">
        <f t="shared" si="69"/>
        <v>25257.568587374444</v>
      </c>
      <c r="AH637" s="294"/>
      <c r="AI637" s="294">
        <f t="shared" si="70"/>
        <v>109</v>
      </c>
      <c r="AJ637" s="295">
        <f>((VLOOKUP($B637,'Mahawesran Tariff'!$A$21:$M$120,7)*$X637)+(VLOOKUP($B637,'Mahawesran Tariff'!$A$21:$M$120,6)*$Y637)+(DET_UTIL_chd*$Z637)+(DET_UTIL_copd*$AA637)+(DET_UTIL_lc*$AB637)+(DET_UTIL_stroke*$AC637))/((1+Discount_rate_QALYs)^$A637)</f>
        <v>3.1909713878625383</v>
      </c>
      <c r="AK637" s="295">
        <f t="shared" si="71"/>
        <v>23179.050408238949</v>
      </c>
      <c r="AL637" s="294"/>
      <c r="AM637" s="294">
        <f t="shared" si="56"/>
        <v>109</v>
      </c>
      <c r="AN637" s="299">
        <f t="shared" si="57"/>
        <v>13531.272377584377</v>
      </c>
      <c r="AO637" s="299">
        <f t="shared" si="72"/>
        <v>21573951.747330606</v>
      </c>
      <c r="AP637" s="294"/>
      <c r="AQ637" s="294">
        <f t="shared" si="58"/>
        <v>109</v>
      </c>
      <c r="AR637" s="298">
        <f t="shared" si="48"/>
        <v>6.6419130343198171E-2</v>
      </c>
      <c r="AS637" s="298">
        <f t="shared" si="49"/>
        <v>0.9335808696568022</v>
      </c>
      <c r="AT637" s="298">
        <f t="shared" si="50"/>
        <v>3.5662839644955042E-2</v>
      </c>
      <c r="AU637" s="250"/>
      <c r="AV637" s="294">
        <f t="shared" si="59"/>
        <v>109</v>
      </c>
      <c r="AW637" s="299">
        <f t="shared" si="60"/>
        <v>13531.272377584377</v>
      </c>
      <c r="AX637" s="299">
        <f t="shared" si="73"/>
        <v>21573951.747330606</v>
      </c>
      <c r="AY637" s="335"/>
      <c r="AZ637" s="335"/>
      <c r="BA637" s="335"/>
      <c r="BB637" s="335"/>
      <c r="BC637" s="335"/>
      <c r="BD637" s="335"/>
      <c r="BE637" s="335"/>
      <c r="BF637" s="335"/>
      <c r="BG637" s="335"/>
      <c r="BH637" s="335"/>
      <c r="BI637" s="335"/>
      <c r="BJ637" s="335"/>
      <c r="BK637" s="364"/>
      <c r="BL637" s="364"/>
      <c r="BM637" s="364"/>
      <c r="BN637" s="364"/>
      <c r="BO637" s="364"/>
      <c r="BP637" s="364"/>
      <c r="BQ637" s="335"/>
      <c r="BR637" s="335"/>
      <c r="BS637" s="364"/>
      <c r="BT637" s="364"/>
      <c r="BU637" s="364"/>
      <c r="BV637" s="364"/>
      <c r="BW637" s="364"/>
      <c r="BX637" s="364"/>
      <c r="BY637" s="335"/>
      <c r="BZ637" s="335"/>
      <c r="CA637" s="364"/>
      <c r="CB637" s="364"/>
      <c r="CC637" s="335"/>
      <c r="CD637" s="335"/>
      <c r="CE637" s="335"/>
      <c r="CF637" s="335"/>
      <c r="CG637" s="335"/>
      <c r="CH637" s="335"/>
      <c r="CI637" s="365"/>
      <c r="CJ637" s="365"/>
      <c r="CK637" s="335"/>
      <c r="CL637" s="335"/>
      <c r="CM637" s="366"/>
      <c r="CN637" s="366"/>
      <c r="CO637" s="366"/>
      <c r="CP637" s="3"/>
    </row>
    <row r="638" spans="1:94" x14ac:dyDescent="0.25">
      <c r="A638" s="34">
        <v>83</v>
      </c>
      <c r="B638" s="33">
        <f t="shared" si="61"/>
        <v>110</v>
      </c>
      <c r="C638" s="294">
        <f>VLOOKUP($B638,'Mother mortality'!$A$23:$I$124,5)</f>
        <v>0.14624098391610749</v>
      </c>
      <c r="D638" s="295">
        <f t="shared" si="43"/>
        <v>0.27</v>
      </c>
      <c r="E638" s="295">
        <f t="shared" si="51"/>
        <v>0.58375901608389247</v>
      </c>
      <c r="F638" s="295">
        <f>VLOOKUP($B638,'Mother mortality'!$A$23:$I$124,5)</f>
        <v>0.14624098391610749</v>
      </c>
      <c r="G638" s="295">
        <f t="shared" si="44"/>
        <v>0.14000000000000001</v>
      </c>
      <c r="H638" s="295">
        <f t="shared" si="52"/>
        <v>0.71375901608389247</v>
      </c>
      <c r="I638" s="295">
        <f>VLOOKUP($B638,'Mother mortality'!$A$23:$I$124,4)</f>
        <v>0.12016234480898272</v>
      </c>
      <c r="J638" s="295">
        <f t="shared" si="53"/>
        <v>0.30840908376244591</v>
      </c>
      <c r="K638" s="295">
        <f t="shared" si="45"/>
        <v>0.5714285714285714</v>
      </c>
      <c r="L638" s="295">
        <f>VLOOKUP($B638,'Mother mortality'!$A$23:$I$124,4)</f>
        <v>0.12016234480898272</v>
      </c>
      <c r="M638" s="295">
        <f t="shared" si="46"/>
        <v>8.6261668788331098E-3</v>
      </c>
      <c r="N638" s="295">
        <f t="shared" si="54"/>
        <v>0.8712114883121842</v>
      </c>
      <c r="O638" s="294"/>
      <c r="P638" s="296">
        <f t="shared" si="62"/>
        <v>12.104383187560806</v>
      </c>
      <c r="Q638" s="297">
        <f t="shared" si="63"/>
        <v>3.826053961386557</v>
      </c>
      <c r="R638" s="297">
        <f t="shared" si="64"/>
        <v>0.62757463028990146</v>
      </c>
      <c r="S638" s="297">
        <f t="shared" si="65"/>
        <v>41.393588847017924</v>
      </c>
      <c r="T638" s="297">
        <f t="shared" si="66"/>
        <v>942.04839937374516</v>
      </c>
      <c r="U638" s="294">
        <f t="shared" si="55"/>
        <v>1000.0000000000003</v>
      </c>
      <c r="V638" s="295" t="str">
        <f t="shared" si="47"/>
        <v>OKAY</v>
      </c>
      <c r="W638" s="295"/>
      <c r="X638" s="296">
        <f>SUM($P638:$Q638)-(SUM($P638:$Q638)*(VLOOKUP($B638,Lifetime_morbidity_array!$A$6:$Y$24,4)+VLOOKUP($B638,Lifetime_morbidity_array!$A$6:$Y$24,7)+VLOOKUP($B638,Lifetime_morbidity_array!$A$6:$Y$24,10)+VLOOKUP($B638,Lifetime_morbidity_array!$A$6:$Y$24,13)))</f>
        <v>2.5256835092054075</v>
      </c>
      <c r="Y638" s="297">
        <f>SUM($R638:$S638)-(SUM($R638:$S638)*(VLOOKUP($B638,Lifetime_morbidity_array!$A$6:$Y$24,3)+VLOOKUP($B638,Lifetime_morbidity_array!$A$6:$Y$24,6)+VLOOKUP($B638,Lifetime_morbidity_array!$A$6:$Y$24,9)+VLOOKUP($B638,Lifetime_morbidity_array!$A$6:$Y$24,12)))</f>
        <v>24.455592373468821</v>
      </c>
      <c r="Z638" s="297">
        <f>(SUM($P638:$Q638)*VLOOKUP($B638,Lifetime_morbidity_array!$A$6:$Y$24,4))+(SUM($R638:$S638)*VLOOKUP($B638,Lifetime_morbidity_array!$A$6:$Y$24,3))</f>
        <v>14.374838343892232</v>
      </c>
      <c r="AA638" s="297">
        <f>(SUM($P638:$Q638)*VLOOKUP($B638,Lifetime_morbidity_array!$A$6:$Y$24,7))+(SUM($R638:$S638)*VLOOKUP($B638,Lifetime_morbidity_array!$A$6:$Y$24,6))</f>
        <v>8.8339266618937131</v>
      </c>
      <c r="AB638" s="297">
        <f>(SUM($P638:$Q638)*VLOOKUP($B638,Lifetime_morbidity_array!$A$6:$Y$24,10))+(SUM($R638:$S638)*VLOOKUP($B638,Lifetime_morbidity_array!$A$6:$Y$24,9))</f>
        <v>0.40193112522796454</v>
      </c>
      <c r="AC638" s="297">
        <f>(SUM($P638:$Q638)*VLOOKUP($B638,Lifetime_morbidity_array!$A$6:$Y$24,13))+(SUM($R638:$S638)*VLOOKUP($B638,Lifetime_morbidity_array!$A$6:$Y$24,12))</f>
        <v>7.3596286125670449</v>
      </c>
      <c r="AD638" s="294"/>
      <c r="AE638" s="294">
        <f t="shared" si="67"/>
        <v>110</v>
      </c>
      <c r="AF638" s="297">
        <f t="shared" si="68"/>
        <v>3.3343900619833988</v>
      </c>
      <c r="AG638" s="297">
        <f t="shared" si="69"/>
        <v>25260.902977436428</v>
      </c>
      <c r="AH638" s="294"/>
      <c r="AI638" s="294">
        <f t="shared" si="70"/>
        <v>110</v>
      </c>
      <c r="AJ638" s="295">
        <f>((VLOOKUP($B638,'Mahawesran Tariff'!$A$21:$M$120,7)*$X638)+(VLOOKUP($B638,'Mahawesran Tariff'!$A$21:$M$120,6)*$Y638)+(DET_UTIL_chd*$Z638)+(DET_UTIL_copd*$AA638)+(DET_UTIL_lc*$AB638)+(DET_UTIL_stroke*$AC638))/((1+Discount_rate_QALYs)^$A638)</f>
        <v>2.6915289640853475</v>
      </c>
      <c r="AK638" s="295">
        <f t="shared" si="71"/>
        <v>23181.741937203034</v>
      </c>
      <c r="AL638" s="294"/>
      <c r="AM638" s="294">
        <f t="shared" si="56"/>
        <v>110</v>
      </c>
      <c r="AN638" s="299">
        <f t="shared" si="57"/>
        <v>11369.995637392793</v>
      </c>
      <c r="AO638" s="299">
        <f t="shared" si="72"/>
        <v>21585321.742968</v>
      </c>
      <c r="AP638" s="294"/>
      <c r="AQ638" s="294">
        <f t="shared" si="58"/>
        <v>110</v>
      </c>
      <c r="AR638" s="298">
        <f t="shared" si="48"/>
        <v>5.7951600626255186E-2</v>
      </c>
      <c r="AS638" s="298">
        <f t="shared" si="49"/>
        <v>0.94204839937374518</v>
      </c>
      <c r="AT638" s="298">
        <f t="shared" si="50"/>
        <v>3.0970324743580954E-2</v>
      </c>
      <c r="AU638" s="250"/>
      <c r="AV638" s="294">
        <f t="shared" si="59"/>
        <v>110</v>
      </c>
      <c r="AW638" s="299">
        <f t="shared" si="60"/>
        <v>11369.995637392793</v>
      </c>
      <c r="AX638" s="299">
        <f t="shared" si="73"/>
        <v>21585321.742968</v>
      </c>
      <c r="AY638" s="335"/>
      <c r="AZ638" s="335"/>
      <c r="BA638" s="335"/>
      <c r="BB638" s="335"/>
      <c r="BC638" s="335"/>
      <c r="BD638" s="335"/>
      <c r="BE638" s="335"/>
      <c r="BF638" s="335"/>
      <c r="BG638" s="335"/>
      <c r="BH638" s="335"/>
      <c r="BI638" s="335"/>
      <c r="BJ638" s="335"/>
      <c r="BK638" s="364"/>
      <c r="BL638" s="364"/>
      <c r="BM638" s="364"/>
      <c r="BN638" s="364"/>
      <c r="BO638" s="364"/>
      <c r="BP638" s="364"/>
      <c r="BQ638" s="335"/>
      <c r="BR638" s="335"/>
      <c r="BS638" s="364"/>
      <c r="BT638" s="364"/>
      <c r="BU638" s="364"/>
      <c r="BV638" s="364"/>
      <c r="BW638" s="364"/>
      <c r="BX638" s="364"/>
      <c r="BY638" s="335"/>
      <c r="BZ638" s="335"/>
      <c r="CA638" s="364"/>
      <c r="CB638" s="364"/>
      <c r="CC638" s="335"/>
      <c r="CD638" s="335"/>
      <c r="CE638" s="335"/>
      <c r="CF638" s="335"/>
      <c r="CG638" s="335"/>
      <c r="CH638" s="335"/>
      <c r="CI638" s="365"/>
      <c r="CJ638" s="365"/>
      <c r="CK638" s="335"/>
      <c r="CL638" s="335"/>
      <c r="CM638" s="366"/>
      <c r="CN638" s="366"/>
      <c r="CO638" s="366"/>
      <c r="CP638" s="3"/>
    </row>
    <row r="639" spans="1:94" x14ac:dyDescent="0.25">
      <c r="A639" s="34">
        <v>84</v>
      </c>
      <c r="B639" s="33">
        <f t="shared" si="61"/>
        <v>111</v>
      </c>
      <c r="C639" s="294">
        <f>VLOOKUP($B639,'Mother mortality'!$A$23:$I$124,5)</f>
        <v>0.14624098391610749</v>
      </c>
      <c r="D639" s="295">
        <f t="shared" si="43"/>
        <v>0.27</v>
      </c>
      <c r="E639" s="295">
        <f t="shared" si="51"/>
        <v>0.58375901608389247</v>
      </c>
      <c r="F639" s="295">
        <f>VLOOKUP($B639,'Mother mortality'!$A$23:$I$124,5)</f>
        <v>0.14624098391610749</v>
      </c>
      <c r="G639" s="295">
        <f t="shared" si="44"/>
        <v>0.14000000000000001</v>
      </c>
      <c r="H639" s="295">
        <f t="shared" si="52"/>
        <v>0.71375901608389247</v>
      </c>
      <c r="I639" s="295">
        <f>VLOOKUP($B639,'Mother mortality'!$A$23:$I$124,4)</f>
        <v>0.12016234480898272</v>
      </c>
      <c r="J639" s="295">
        <f t="shared" si="53"/>
        <v>0.30840908376244591</v>
      </c>
      <c r="K639" s="295">
        <f t="shared" si="45"/>
        <v>0.5714285714285714</v>
      </c>
      <c r="L639" s="295">
        <f>VLOOKUP($B639,'Mother mortality'!$A$23:$I$124,4)</f>
        <v>0.12016234480898272</v>
      </c>
      <c r="M639" s="295">
        <f t="shared" si="46"/>
        <v>8.6261668788331098E-3</v>
      </c>
      <c r="N639" s="295">
        <f t="shared" si="54"/>
        <v>0.8712114883121842</v>
      </c>
      <c r="O639" s="294"/>
      <c r="P639" s="296">
        <f t="shared" si="62"/>
        <v>10.347541052664502</v>
      </c>
      <c r="Q639" s="297">
        <f t="shared" si="63"/>
        <v>3.268183460641418</v>
      </c>
      <c r="R639" s="297">
        <f t="shared" si="64"/>
        <v>0.53564755459411806</v>
      </c>
      <c r="S639" s="297">
        <f t="shared" si="65"/>
        <v>36.421184220444488</v>
      </c>
      <c r="T639" s="297">
        <f t="shared" si="66"/>
        <v>949.42744371165588</v>
      </c>
      <c r="U639" s="294">
        <f t="shared" si="55"/>
        <v>1000.0000000000005</v>
      </c>
      <c r="V639" s="295" t="str">
        <f t="shared" si="47"/>
        <v>OKAY</v>
      </c>
      <c r="W639" s="295"/>
      <c r="X639" s="296">
        <f>SUM($P639:$Q639)-(SUM($P639:$Q639)*(VLOOKUP($B639,Lifetime_morbidity_array!$A$6:$Y$24,4)+VLOOKUP($B639,Lifetime_morbidity_array!$A$6:$Y$24,7)+VLOOKUP($B639,Lifetime_morbidity_array!$A$6:$Y$24,10)+VLOOKUP($B639,Lifetime_morbidity_array!$A$6:$Y$24,13)))</f>
        <v>2.1586985057351615</v>
      </c>
      <c r="Y639" s="297">
        <f>SUM($R639:$S639)-(SUM($R639:$S639)*(VLOOKUP($B639,Lifetime_morbidity_array!$A$6:$Y$24,3)+VLOOKUP($B639,Lifetime_morbidity_array!$A$6:$Y$24,6)+VLOOKUP($B639,Lifetime_morbidity_array!$A$6:$Y$24,9)+VLOOKUP($B639,Lifetime_morbidity_array!$A$6:$Y$24,12)))</f>
        <v>21.508238671051391</v>
      </c>
      <c r="Z639" s="297">
        <f>(SUM($P639:$Q639)*VLOOKUP($B639,Lifetime_morbidity_array!$A$6:$Y$24,4))+(SUM($R639:$S639)*VLOOKUP($B639,Lifetime_morbidity_array!$A$6:$Y$24,3))</f>
        <v>12.499267966753159</v>
      </c>
      <c r="AA639" s="297">
        <f>(SUM($P639:$Q639)*VLOOKUP($B639,Lifetime_morbidity_array!$A$6:$Y$24,7))+(SUM($R639:$S639)*VLOOKUP($B639,Lifetime_morbidity_array!$A$6:$Y$24,6))</f>
        <v>7.6533466952668068</v>
      </c>
      <c r="AB639" s="297">
        <f>(SUM($P639:$Q639)*VLOOKUP($B639,Lifetime_morbidity_array!$A$6:$Y$24,10))+(SUM($R639:$S639)*VLOOKUP($B639,Lifetime_morbidity_array!$A$6:$Y$24,9))</f>
        <v>0.34773040628331925</v>
      </c>
      <c r="AC639" s="297">
        <f>(SUM($P639:$Q639)*VLOOKUP($B639,Lifetime_morbidity_array!$A$6:$Y$24,13))+(SUM($R639:$S639)*VLOOKUP($B639,Lifetime_morbidity_array!$A$6:$Y$24,12))</f>
        <v>6.4052740432546891</v>
      </c>
      <c r="AD639" s="294"/>
      <c r="AE639" s="294">
        <f t="shared" si="67"/>
        <v>111</v>
      </c>
      <c r="AF639" s="297">
        <f t="shared" si="68"/>
        <v>2.811418665355415</v>
      </c>
      <c r="AG639" s="297">
        <f t="shared" si="69"/>
        <v>25263.714396101783</v>
      </c>
      <c r="AH639" s="294"/>
      <c r="AI639" s="294">
        <f t="shared" si="70"/>
        <v>111</v>
      </c>
      <c r="AJ639" s="295">
        <f>((VLOOKUP($B639,'Mahawesran Tariff'!$A$21:$M$120,7)*$X639)+(VLOOKUP($B639,'Mahawesran Tariff'!$A$21:$M$120,6)*$Y639)+(DET_UTIL_chd*$Z639)+(DET_UTIL_copd*$AA639)+(DET_UTIL_lc*$AB639)+(DET_UTIL_stroke*$AC639))/((1+Discount_rate_QALYs)^$A639)</f>
        <v>2.2705990044574946</v>
      </c>
      <c r="AK639" s="295">
        <f t="shared" si="71"/>
        <v>23184.01253620749</v>
      </c>
      <c r="AL639" s="294"/>
      <c r="AM639" s="294">
        <f t="shared" si="56"/>
        <v>111</v>
      </c>
      <c r="AN639" s="299">
        <f t="shared" si="57"/>
        <v>9557.0390857200346</v>
      </c>
      <c r="AO639" s="299">
        <f t="shared" si="72"/>
        <v>21594878.78205372</v>
      </c>
      <c r="AP639" s="294"/>
      <c r="AQ639" s="294">
        <f t="shared" si="58"/>
        <v>111</v>
      </c>
      <c r="AR639" s="298">
        <f t="shared" si="48"/>
        <v>5.0572556288344526E-2</v>
      </c>
      <c r="AS639" s="298">
        <f t="shared" si="49"/>
        <v>0.94942744371165588</v>
      </c>
      <c r="AT639" s="298">
        <f t="shared" si="50"/>
        <v>2.690561911155797E-2</v>
      </c>
      <c r="AU639" s="250"/>
      <c r="AV639" s="294">
        <f t="shared" si="59"/>
        <v>111</v>
      </c>
      <c r="AW639" s="299">
        <f t="shared" si="60"/>
        <v>9557.0390857200346</v>
      </c>
      <c r="AX639" s="299">
        <f t="shared" si="73"/>
        <v>21594878.78205372</v>
      </c>
      <c r="AY639" s="335"/>
      <c r="AZ639" s="335"/>
      <c r="BA639" s="335"/>
      <c r="BB639" s="335"/>
      <c r="BC639" s="335"/>
      <c r="BD639" s="335"/>
      <c r="BE639" s="335"/>
      <c r="BF639" s="335"/>
      <c r="BG639" s="335"/>
      <c r="BH639" s="335"/>
      <c r="BI639" s="335"/>
      <c r="BJ639" s="335"/>
      <c r="BK639" s="364"/>
      <c r="BL639" s="364"/>
      <c r="BM639" s="364"/>
      <c r="BN639" s="364"/>
      <c r="BO639" s="364"/>
      <c r="BP639" s="364"/>
      <c r="BQ639" s="335"/>
      <c r="BR639" s="335"/>
      <c r="BS639" s="364"/>
      <c r="BT639" s="364"/>
      <c r="BU639" s="364"/>
      <c r="BV639" s="364"/>
      <c r="BW639" s="364"/>
      <c r="BX639" s="364"/>
      <c r="BY639" s="335"/>
      <c r="BZ639" s="335"/>
      <c r="CA639" s="364"/>
      <c r="CB639" s="364"/>
      <c r="CC639" s="335"/>
      <c r="CD639" s="335"/>
      <c r="CE639" s="335"/>
      <c r="CF639" s="335"/>
      <c r="CG639" s="335"/>
      <c r="CH639" s="335"/>
      <c r="CI639" s="365"/>
      <c r="CJ639" s="365"/>
      <c r="CK639" s="335"/>
      <c r="CL639" s="335"/>
      <c r="CM639" s="366"/>
      <c r="CN639" s="366"/>
      <c r="CO639" s="366"/>
      <c r="CP639" s="3"/>
    </row>
    <row r="640" spans="1:94" x14ac:dyDescent="0.25">
      <c r="A640" s="34">
        <v>85</v>
      </c>
      <c r="B640" s="33">
        <f t="shared" si="61"/>
        <v>112</v>
      </c>
      <c r="C640" s="294">
        <f>VLOOKUP($B640,'Mother mortality'!$A$23:$I$124,5)</f>
        <v>0.14624098391610749</v>
      </c>
      <c r="D640" s="295">
        <f t="shared" si="43"/>
        <v>0.27</v>
      </c>
      <c r="E640" s="295">
        <f t="shared" si="51"/>
        <v>0.58375901608389247</v>
      </c>
      <c r="F640" s="295">
        <f>VLOOKUP($B640,'Mother mortality'!$A$23:$I$124,5)</f>
        <v>0.14624098391610749</v>
      </c>
      <c r="G640" s="295">
        <f t="shared" si="44"/>
        <v>0.14000000000000001</v>
      </c>
      <c r="H640" s="295">
        <f t="shared" si="52"/>
        <v>0.71375901608389247</v>
      </c>
      <c r="I640" s="295">
        <f>VLOOKUP($B640,'Mother mortality'!$A$23:$I$124,4)</f>
        <v>0.12016234480898272</v>
      </c>
      <c r="J640" s="295">
        <f t="shared" si="53"/>
        <v>0.30840908376244591</v>
      </c>
      <c r="K640" s="295">
        <f t="shared" si="45"/>
        <v>0.5714285714285714</v>
      </c>
      <c r="L640" s="295">
        <f>VLOOKUP($B640,'Mother mortality'!$A$23:$I$124,4)</f>
        <v>0.12016234480898272</v>
      </c>
      <c r="M640" s="295">
        <f t="shared" si="46"/>
        <v>8.6261668788331098E-3</v>
      </c>
      <c r="N640" s="295">
        <f t="shared" si="54"/>
        <v>0.8712114883121842</v>
      </c>
      <c r="O640" s="294"/>
      <c r="P640" s="296">
        <f t="shared" si="62"/>
        <v>8.8525395795824267</v>
      </c>
      <c r="Q640" s="297">
        <f t="shared" si="63"/>
        <v>2.7938360842194156</v>
      </c>
      <c r="R640" s="297">
        <f t="shared" si="64"/>
        <v>0.45754568448979854</v>
      </c>
      <c r="S640" s="297">
        <f t="shared" si="65"/>
        <v>32.036638427696602</v>
      </c>
      <c r="T640" s="297">
        <f t="shared" si="66"/>
        <v>955.85944022401225</v>
      </c>
      <c r="U640" s="294">
        <f t="shared" si="55"/>
        <v>1000.0000000000005</v>
      </c>
      <c r="V640" s="295" t="str">
        <f t="shared" si="47"/>
        <v>OKAY</v>
      </c>
      <c r="W640" s="295"/>
      <c r="X640" s="296">
        <f>SUM($P640:$Q640)-(SUM($P640:$Q640)*(VLOOKUP($B640,Lifetime_morbidity_array!$A$6:$Y$24,4)+VLOOKUP($B640,Lifetime_morbidity_array!$A$6:$Y$24,7)+VLOOKUP($B640,Lifetime_morbidity_array!$A$6:$Y$24,10)+VLOOKUP($B640,Lifetime_morbidity_array!$A$6:$Y$24,13)))</f>
        <v>1.8464690379208566</v>
      </c>
      <c r="Y640" s="297">
        <f>SUM($R640:$S640)-(SUM($R640:$S640)*(VLOOKUP($B640,Lifetime_morbidity_array!$A$6:$Y$24,3)+VLOOKUP($B640,Lifetime_morbidity_array!$A$6:$Y$24,6)+VLOOKUP($B640,Lifetime_morbidity_array!$A$6:$Y$24,9)+VLOOKUP($B640,Lifetime_morbidity_array!$A$6:$Y$24,12)))</f>
        <v>18.911054701881604</v>
      </c>
      <c r="Z640" s="297">
        <f>(SUM($P640:$Q640)*VLOOKUP($B640,Lifetime_morbidity_array!$A$6:$Y$24,4))+(SUM($R640:$S640)*VLOOKUP($B640,Lifetime_morbidity_array!$A$6:$Y$24,3))</f>
        <v>10.872038754906848</v>
      </c>
      <c r="AA640" s="297">
        <f>(SUM($P640:$Q640)*VLOOKUP($B640,Lifetime_morbidity_array!$A$6:$Y$24,7))+(SUM($R640:$S640)*VLOOKUP($B640,Lifetime_morbidity_array!$A$6:$Y$24,6))</f>
        <v>6.6336887039032693</v>
      </c>
      <c r="AB640" s="297">
        <f>(SUM($P640:$Q640)*VLOOKUP($B640,Lifetime_morbidity_array!$A$6:$Y$24,10))+(SUM($R640:$S640)*VLOOKUP($B640,Lifetime_morbidity_array!$A$6:$Y$24,9))</f>
        <v>0.30099576134394912</v>
      </c>
      <c r="AC640" s="297">
        <f>(SUM($P640:$Q640)*VLOOKUP($B640,Lifetime_morbidity_array!$A$6:$Y$24,13))+(SUM($R640:$S640)*VLOOKUP($B640,Lifetime_morbidity_array!$A$6:$Y$24,12))</f>
        <v>5.5763128160317201</v>
      </c>
      <c r="AD640" s="294"/>
      <c r="AE640" s="294">
        <f t="shared" si="67"/>
        <v>112</v>
      </c>
      <c r="AF640" s="297">
        <f t="shared" si="68"/>
        <v>2.3708719801777836</v>
      </c>
      <c r="AG640" s="297">
        <f t="shared" si="69"/>
        <v>25266.085268081959</v>
      </c>
      <c r="AH640" s="294"/>
      <c r="AI640" s="294">
        <f t="shared" si="70"/>
        <v>112</v>
      </c>
      <c r="AJ640" s="295">
        <f>((VLOOKUP($B640,'Mahawesran Tariff'!$A$21:$M$120,7)*$X640)+(VLOOKUP($B640,'Mahawesran Tariff'!$A$21:$M$120,6)*$Y640)+(DET_UTIL_chd*$Z640)+(DET_UTIL_copd*$AA640)+(DET_UTIL_lc*$AB640)+(DET_UTIL_stroke*$AC640))/((1+Discount_rate_QALYs)^$A640)</f>
        <v>1.9157720053782379</v>
      </c>
      <c r="AK640" s="295">
        <f t="shared" si="71"/>
        <v>23185.928308212868</v>
      </c>
      <c r="AL640" s="294"/>
      <c r="AM640" s="294">
        <f t="shared" si="56"/>
        <v>112</v>
      </c>
      <c r="AN640" s="299">
        <f t="shared" si="57"/>
        <v>8035.6641819557462</v>
      </c>
      <c r="AO640" s="299">
        <f t="shared" si="72"/>
        <v>21602914.446235675</v>
      </c>
      <c r="AP640" s="294"/>
      <c r="AQ640" s="294">
        <f t="shared" si="58"/>
        <v>112</v>
      </c>
      <c r="AR640" s="298">
        <f t="shared" si="48"/>
        <v>4.4140559775988242E-2</v>
      </c>
      <c r="AS640" s="298">
        <f t="shared" si="49"/>
        <v>0.95585944022401226</v>
      </c>
      <c r="AT640" s="298">
        <f t="shared" si="50"/>
        <v>2.3383036036185786E-2</v>
      </c>
      <c r="AU640" s="250"/>
      <c r="AV640" s="294">
        <f t="shared" si="59"/>
        <v>112</v>
      </c>
      <c r="AW640" s="299">
        <f t="shared" si="60"/>
        <v>8035.6641819557462</v>
      </c>
      <c r="AX640" s="299">
        <f t="shared" si="73"/>
        <v>21602914.446235675</v>
      </c>
      <c r="AY640" s="335"/>
      <c r="AZ640" s="335"/>
      <c r="BA640" s="335"/>
      <c r="BB640" s="335"/>
      <c r="BC640" s="335"/>
      <c r="BD640" s="335"/>
      <c r="BE640" s="335"/>
      <c r="BF640" s="335"/>
      <c r="BG640" s="335"/>
      <c r="BH640" s="335"/>
      <c r="BI640" s="335"/>
      <c r="BJ640" s="335"/>
      <c r="BK640" s="364"/>
      <c r="BL640" s="364"/>
      <c r="BM640" s="364"/>
      <c r="BN640" s="364"/>
      <c r="BO640" s="364"/>
      <c r="BP640" s="364"/>
      <c r="BQ640" s="335"/>
      <c r="BR640" s="335"/>
      <c r="BS640" s="364"/>
      <c r="BT640" s="364"/>
      <c r="BU640" s="364"/>
      <c r="BV640" s="364"/>
      <c r="BW640" s="364"/>
      <c r="BX640" s="364"/>
      <c r="BY640" s="335"/>
      <c r="BZ640" s="335"/>
      <c r="CA640" s="364"/>
      <c r="CB640" s="364"/>
      <c r="CC640" s="335"/>
      <c r="CD640" s="335"/>
      <c r="CE640" s="335"/>
      <c r="CF640" s="335"/>
      <c r="CG640" s="335"/>
      <c r="CH640" s="335"/>
      <c r="CI640" s="365"/>
      <c r="CJ640" s="365"/>
      <c r="CK640" s="335"/>
      <c r="CL640" s="335"/>
      <c r="CM640" s="366"/>
      <c r="CN640" s="366"/>
      <c r="CO640" s="366"/>
      <c r="CP640" s="3"/>
    </row>
    <row r="641" spans="1:94" x14ac:dyDescent="0.25">
      <c r="A641" s="34">
        <v>86</v>
      </c>
      <c r="B641" s="33">
        <f t="shared" si="61"/>
        <v>113</v>
      </c>
      <c r="C641" s="294">
        <f>VLOOKUP($B641,'Mother mortality'!$A$23:$I$124,5)</f>
        <v>0.14624098391610749</v>
      </c>
      <c r="D641" s="295">
        <f t="shared" si="43"/>
        <v>0.27</v>
      </c>
      <c r="E641" s="295">
        <f t="shared" si="51"/>
        <v>0.58375901608389247</v>
      </c>
      <c r="F641" s="295">
        <f>VLOOKUP($B641,'Mother mortality'!$A$23:$I$124,5)</f>
        <v>0.14624098391610749</v>
      </c>
      <c r="G641" s="295">
        <f t="shared" si="44"/>
        <v>0.14000000000000001</v>
      </c>
      <c r="H641" s="295">
        <f t="shared" si="52"/>
        <v>0.71375901608389247</v>
      </c>
      <c r="I641" s="295">
        <f>VLOOKUP($B641,'Mother mortality'!$A$23:$I$124,4)</f>
        <v>0.12016234480898272</v>
      </c>
      <c r="J641" s="295">
        <f t="shared" si="53"/>
        <v>0.30840908376244591</v>
      </c>
      <c r="K641" s="295">
        <f t="shared" si="45"/>
        <v>0.5714285714285714</v>
      </c>
      <c r="L641" s="295">
        <f>VLOOKUP($B641,'Mother mortality'!$A$23:$I$124,4)</f>
        <v>0.12016234480898272</v>
      </c>
      <c r="M641" s="295">
        <f t="shared" si="46"/>
        <v>8.6261668788331098E-3</v>
      </c>
      <c r="N641" s="295">
        <f t="shared" si="54"/>
        <v>0.8712114883121842</v>
      </c>
      <c r="O641" s="294"/>
      <c r="P641" s="296">
        <f t="shared" si="62"/>
        <v>7.5793401240399847</v>
      </c>
      <c r="Q641" s="297">
        <f t="shared" si="63"/>
        <v>2.3901856864872553</v>
      </c>
      <c r="R641" s="297">
        <f t="shared" si="64"/>
        <v>0.39113705179071823</v>
      </c>
      <c r="S641" s="297">
        <f t="shared" si="65"/>
        <v>28.172142121964185</v>
      </c>
      <c r="T641" s="297">
        <f t="shared" si="66"/>
        <v>961.46719501571818</v>
      </c>
      <c r="U641" s="294">
        <f t="shared" si="55"/>
        <v>1000.0000000000003</v>
      </c>
      <c r="V641" s="295" t="str">
        <f t="shared" si="47"/>
        <v>OKAY</v>
      </c>
      <c r="W641" s="295"/>
      <c r="X641" s="296">
        <f>SUM($P641:$Q641)-(SUM($P641:$Q641)*(VLOOKUP($B641,Lifetime_morbidity_array!$A$6:$Y$24,4)+VLOOKUP($B641,Lifetime_morbidity_array!$A$6:$Y$24,7)+VLOOKUP($B641,Lifetime_morbidity_array!$A$6:$Y$24,10)+VLOOKUP($B641,Lifetime_morbidity_array!$A$6:$Y$24,13)))</f>
        <v>1.5806136830281616</v>
      </c>
      <c r="Y641" s="297">
        <f>SUM($R641:$S641)-(SUM($R641:$S641)*(VLOOKUP($B641,Lifetime_morbidity_array!$A$6:$Y$24,3)+VLOOKUP($B641,Lifetime_morbidity_array!$A$6:$Y$24,6)+VLOOKUP($B641,Lifetime_morbidity_array!$A$6:$Y$24,9)+VLOOKUP($B641,Lifetime_morbidity_array!$A$6:$Y$24,12)))</f>
        <v>16.623335826961597</v>
      </c>
      <c r="Z641" s="297">
        <f>(SUM($P641:$Q641)*VLOOKUP($B641,Lifetime_morbidity_array!$A$6:$Y$24,4))+(SUM($R641:$S641)*VLOOKUP($B641,Lifetime_morbidity_array!$A$6:$Y$24,3))</f>
        <v>9.459671658915827</v>
      </c>
      <c r="AA641" s="297">
        <f>(SUM($P641:$Q641)*VLOOKUP($B641,Lifetime_morbidity_array!$A$6:$Y$24,7))+(SUM($R641:$S641)*VLOOKUP($B641,Lifetime_morbidity_array!$A$6:$Y$24,6))</f>
        <v>5.7525119870201902</v>
      </c>
      <c r="AB641" s="297">
        <f>(SUM($P641:$Q641)*VLOOKUP($B641,Lifetime_morbidity_array!$A$6:$Y$24,10))+(SUM($R641:$S641)*VLOOKUP($B641,Lifetime_morbidity_array!$A$6:$Y$24,9))</f>
        <v>0.2606737333251577</v>
      </c>
      <c r="AC641" s="297">
        <f>(SUM($P641:$Q641)*VLOOKUP($B641,Lifetime_morbidity_array!$A$6:$Y$24,13))+(SUM($R641:$S641)*VLOOKUP($B641,Lifetime_morbidity_array!$A$6:$Y$24,12))</f>
        <v>4.8559980950312127</v>
      </c>
      <c r="AD641" s="294"/>
      <c r="AE641" s="294">
        <f t="shared" si="67"/>
        <v>113</v>
      </c>
      <c r="AF641" s="297">
        <f t="shared" si="68"/>
        <v>1.9996801810639098</v>
      </c>
      <c r="AG641" s="297">
        <f t="shared" si="69"/>
        <v>25268.084948263022</v>
      </c>
      <c r="AH641" s="294"/>
      <c r="AI641" s="294">
        <f t="shared" si="70"/>
        <v>113</v>
      </c>
      <c r="AJ641" s="295">
        <f>((VLOOKUP($B641,'Mahawesran Tariff'!$A$21:$M$120,7)*$X641)+(VLOOKUP($B641,'Mahawesran Tariff'!$A$21:$M$120,6)*$Y641)+(DET_UTIL_chd*$Z641)+(DET_UTIL_copd*$AA641)+(DET_UTIL_lc*$AB641)+(DET_UTIL_stroke*$AC641))/((1+Discount_rate_QALYs)^$A641)</f>
        <v>1.6166131143229467</v>
      </c>
      <c r="AK641" s="295">
        <f t="shared" si="71"/>
        <v>23187.54492132719</v>
      </c>
      <c r="AL641" s="294"/>
      <c r="AM641" s="294">
        <f t="shared" si="56"/>
        <v>113</v>
      </c>
      <c r="AN641" s="299">
        <f t="shared" si="57"/>
        <v>6758.4900174313152</v>
      </c>
      <c r="AO641" s="299">
        <f t="shared" si="72"/>
        <v>21609672.936253108</v>
      </c>
      <c r="AP641" s="294"/>
      <c r="AQ641" s="294">
        <f t="shared" si="58"/>
        <v>113</v>
      </c>
      <c r="AR641" s="298">
        <f t="shared" si="48"/>
        <v>3.8532804984282146E-2</v>
      </c>
      <c r="AS641" s="298">
        <f t="shared" si="49"/>
        <v>0.9614671950157182</v>
      </c>
      <c r="AT641" s="298">
        <f t="shared" si="50"/>
        <v>2.032885547429239E-2</v>
      </c>
      <c r="AU641" s="250"/>
      <c r="AV641" s="294">
        <f t="shared" si="59"/>
        <v>113</v>
      </c>
      <c r="AW641" s="299">
        <f t="shared" si="60"/>
        <v>6758.4900174313152</v>
      </c>
      <c r="AX641" s="299">
        <f t="shared" si="73"/>
        <v>21609672.936253108</v>
      </c>
      <c r="AY641" s="335"/>
      <c r="AZ641" s="335"/>
      <c r="BA641" s="335"/>
      <c r="BB641" s="335"/>
      <c r="BC641" s="335"/>
      <c r="BD641" s="335"/>
      <c r="BE641" s="335"/>
      <c r="BF641" s="335"/>
      <c r="BG641" s="335"/>
      <c r="BH641" s="335"/>
      <c r="BI641" s="335"/>
      <c r="BJ641" s="335"/>
      <c r="BK641" s="364"/>
      <c r="BL641" s="364"/>
      <c r="BM641" s="364"/>
      <c r="BN641" s="364"/>
      <c r="BO641" s="364"/>
      <c r="BP641" s="364"/>
      <c r="BQ641" s="335"/>
      <c r="BR641" s="335"/>
      <c r="BS641" s="364"/>
      <c r="BT641" s="364"/>
      <c r="BU641" s="364"/>
      <c r="BV641" s="364"/>
      <c r="BW641" s="364"/>
      <c r="BX641" s="364"/>
      <c r="BY641" s="335"/>
      <c r="BZ641" s="335"/>
      <c r="CA641" s="364"/>
      <c r="CB641" s="364"/>
      <c r="CC641" s="335"/>
      <c r="CD641" s="335"/>
      <c r="CE641" s="335"/>
      <c r="CF641" s="335"/>
      <c r="CG641" s="335"/>
      <c r="CH641" s="335"/>
      <c r="CI641" s="365"/>
      <c r="CJ641" s="365"/>
      <c r="CK641" s="335"/>
      <c r="CL641" s="335"/>
      <c r="CM641" s="366"/>
      <c r="CN641" s="366"/>
      <c r="CO641" s="366"/>
      <c r="CP641" s="3"/>
    </row>
    <row r="642" spans="1:94" x14ac:dyDescent="0.25">
      <c r="A642" s="34">
        <v>87</v>
      </c>
      <c r="B642" s="33">
        <f t="shared" si="61"/>
        <v>114</v>
      </c>
      <c r="C642" s="294">
        <f>VLOOKUP($B642,'Mother mortality'!$A$23:$I$124,5)</f>
        <v>0.14624098391610749</v>
      </c>
      <c r="D642" s="295">
        <f t="shared" si="43"/>
        <v>0.27</v>
      </c>
      <c r="E642" s="295">
        <f t="shared" si="51"/>
        <v>0.58375901608389247</v>
      </c>
      <c r="F642" s="295">
        <f>VLOOKUP($B642,'Mother mortality'!$A$23:$I$124,5)</f>
        <v>0.14624098391610749</v>
      </c>
      <c r="G642" s="295">
        <f t="shared" si="44"/>
        <v>0.14000000000000001</v>
      </c>
      <c r="H642" s="295">
        <f t="shared" si="52"/>
        <v>0.71375901608389247</v>
      </c>
      <c r="I642" s="295">
        <f>VLOOKUP($B642,'Mother mortality'!$A$23:$I$124,4)</f>
        <v>0.12016234480898272</v>
      </c>
      <c r="J642" s="295">
        <f t="shared" si="53"/>
        <v>0.30840908376244591</v>
      </c>
      <c r="K642" s="295">
        <f t="shared" si="45"/>
        <v>0.5714285714285714</v>
      </c>
      <c r="L642" s="295">
        <f>VLOOKUP($B642,'Mother mortality'!$A$23:$I$124,4)</f>
        <v>0.12016234480898272</v>
      </c>
      <c r="M642" s="295">
        <f t="shared" si="46"/>
        <v>8.6261668788331098E-3</v>
      </c>
      <c r="N642" s="295">
        <f t="shared" si="54"/>
        <v>0.8712114883121842</v>
      </c>
      <c r="O642" s="294"/>
      <c r="P642" s="296">
        <f t="shared" si="62"/>
        <v>6.494172536266281</v>
      </c>
      <c r="Q642" s="297">
        <f t="shared" si="63"/>
        <v>2.046421833490796</v>
      </c>
      <c r="R642" s="297">
        <f t="shared" si="64"/>
        <v>0.33462599610821575</v>
      </c>
      <c r="S642" s="297">
        <f t="shared" si="65"/>
        <v>24.767400753756345</v>
      </c>
      <c r="T642" s="297">
        <f t="shared" si="66"/>
        <v>966.35737888037863</v>
      </c>
      <c r="U642" s="294">
        <f t="shared" si="55"/>
        <v>1000.0000000000002</v>
      </c>
      <c r="V642" s="295" t="str">
        <f t="shared" si="47"/>
        <v>OKAY</v>
      </c>
      <c r="W642" s="295"/>
      <c r="X642" s="296">
        <f>SUM($P642:$Q642)-(SUM($P642:$Q642)*(VLOOKUP($B642,Lifetime_morbidity_array!$A$6:$Y$24,4)+VLOOKUP($B642,Lifetime_morbidity_array!$A$6:$Y$24,7)+VLOOKUP($B642,Lifetime_morbidity_array!$A$6:$Y$24,10)+VLOOKUP($B642,Lifetime_morbidity_array!$A$6:$Y$24,13)))</f>
        <v>1.3540644338145702</v>
      </c>
      <c r="Y642" s="297">
        <f>SUM($R642:$S642)-(SUM($R642:$S642)*(VLOOKUP($B642,Lifetime_morbidity_array!$A$6:$Y$24,3)+VLOOKUP($B642,Lifetime_morbidity_array!$A$6:$Y$24,6)+VLOOKUP($B642,Lifetime_morbidity_array!$A$6:$Y$24,9)+VLOOKUP($B642,Lifetime_morbidity_array!$A$6:$Y$24,12)))</f>
        <v>14.608946615057599</v>
      </c>
      <c r="Z642" s="297">
        <f>(SUM($P642:$Q642)*VLOOKUP($B642,Lifetime_morbidity_array!$A$6:$Y$24,4))+(SUM($R642:$S642)*VLOOKUP($B642,Lifetime_morbidity_array!$A$6:$Y$24,3))</f>
        <v>8.2332977374167928</v>
      </c>
      <c r="AA642" s="297">
        <f>(SUM($P642:$Q642)*VLOOKUP($B642,Lifetime_morbidity_array!$A$6:$Y$24,7))+(SUM($R642:$S642)*VLOOKUP($B642,Lifetime_morbidity_array!$A$6:$Y$24,6))</f>
        <v>4.9905849177506401</v>
      </c>
      <c r="AB642" s="297">
        <f>(SUM($P642:$Q642)*VLOOKUP($B642,Lifetime_morbidity_array!$A$6:$Y$24,10))+(SUM($R642:$S642)*VLOOKUP($B642,Lifetime_morbidity_array!$A$6:$Y$24,9))</f>
        <v>0.22586340748683498</v>
      </c>
      <c r="AC642" s="297">
        <f>(SUM($P642:$Q642)*VLOOKUP($B642,Lifetime_morbidity_array!$A$6:$Y$24,13))+(SUM($R642:$S642)*VLOOKUP($B642,Lifetime_morbidity_array!$A$6:$Y$24,12))</f>
        <v>4.229864008095201</v>
      </c>
      <c r="AD642" s="294"/>
      <c r="AE642" s="294">
        <f t="shared" si="67"/>
        <v>114</v>
      </c>
      <c r="AF642" s="297">
        <f t="shared" si="68"/>
        <v>1.6868613694739407</v>
      </c>
      <c r="AG642" s="297">
        <f t="shared" si="69"/>
        <v>25269.771809632497</v>
      </c>
      <c r="AH642" s="294"/>
      <c r="AI642" s="294">
        <f t="shared" si="70"/>
        <v>114</v>
      </c>
      <c r="AJ642" s="295">
        <f>((VLOOKUP($B642,'Mahawesran Tariff'!$A$21:$M$120,7)*$X642)+(VLOOKUP($B642,'Mahawesran Tariff'!$A$21:$M$120,6)*$Y642)+(DET_UTIL_chd*$Z642)+(DET_UTIL_copd*$AA642)+(DET_UTIL_lc*$AB642)+(DET_UTIL_stroke*$AC642))/((1+Discount_rate_QALYs)^$A642)</f>
        <v>1.3643453285422575</v>
      </c>
      <c r="AK642" s="295">
        <f t="shared" si="71"/>
        <v>23188.909266655734</v>
      </c>
      <c r="AL642" s="294"/>
      <c r="AM642" s="294">
        <f t="shared" si="56"/>
        <v>114</v>
      </c>
      <c r="AN642" s="299">
        <f t="shared" si="57"/>
        <v>5685.9281152901785</v>
      </c>
      <c r="AO642" s="299">
        <f t="shared" si="72"/>
        <v>21615358.864368398</v>
      </c>
      <c r="AP642" s="294"/>
      <c r="AQ642" s="294">
        <f t="shared" si="58"/>
        <v>114</v>
      </c>
      <c r="AR642" s="298">
        <f t="shared" si="48"/>
        <v>3.3642621119621637E-2</v>
      </c>
      <c r="AS642" s="298">
        <f t="shared" si="49"/>
        <v>0.96635737888037865</v>
      </c>
      <c r="AT642" s="298">
        <f t="shared" si="50"/>
        <v>1.7679610070749467E-2</v>
      </c>
      <c r="AU642" s="250"/>
      <c r="AV642" s="294">
        <f t="shared" si="59"/>
        <v>114</v>
      </c>
      <c r="AW642" s="299">
        <f t="shared" si="60"/>
        <v>5685.9281152901785</v>
      </c>
      <c r="AX642" s="299">
        <f t="shared" si="73"/>
        <v>21615358.864368398</v>
      </c>
      <c r="AY642" s="335"/>
      <c r="AZ642" s="335"/>
      <c r="BA642" s="335"/>
      <c r="BB642" s="335"/>
      <c r="BC642" s="335"/>
      <c r="BD642" s="335"/>
      <c r="BE642" s="335"/>
      <c r="BF642" s="335"/>
      <c r="BG642" s="335"/>
      <c r="BH642" s="335"/>
      <c r="BI642" s="335"/>
      <c r="BJ642" s="335"/>
      <c r="BK642" s="364"/>
      <c r="BL642" s="364"/>
      <c r="BM642" s="364"/>
      <c r="BN642" s="364"/>
      <c r="BO642" s="364"/>
      <c r="BP642" s="364"/>
      <c r="BQ642" s="335"/>
      <c r="BR642" s="335"/>
      <c r="BS642" s="364"/>
      <c r="BT642" s="364"/>
      <c r="BU642" s="364"/>
      <c r="BV642" s="364"/>
      <c r="BW642" s="364"/>
      <c r="BX642" s="364"/>
      <c r="BY642" s="335"/>
      <c r="BZ642" s="335"/>
      <c r="CA642" s="364"/>
      <c r="CB642" s="364"/>
      <c r="CC642" s="335"/>
      <c r="CD642" s="335"/>
      <c r="CE642" s="335"/>
      <c r="CF642" s="335"/>
      <c r="CG642" s="335"/>
      <c r="CH642" s="335"/>
      <c r="CI642" s="365"/>
      <c r="CJ642" s="365"/>
      <c r="CK642" s="335"/>
      <c r="CL642" s="335"/>
      <c r="CM642" s="366"/>
      <c r="CN642" s="366"/>
      <c r="CO642" s="366"/>
      <c r="CP642" s="3"/>
    </row>
    <row r="643" spans="1:94" x14ac:dyDescent="0.25">
      <c r="A643" s="34">
        <v>88</v>
      </c>
      <c r="B643" s="33">
        <f t="shared" si="61"/>
        <v>115</v>
      </c>
      <c r="C643" s="294">
        <f>VLOOKUP($B643,'Mother mortality'!$A$23:$I$124,5)</f>
        <v>0.14624098391610749</v>
      </c>
      <c r="D643" s="295">
        <f t="shared" si="43"/>
        <v>0.27</v>
      </c>
      <c r="E643" s="295">
        <f t="shared" si="51"/>
        <v>0.58375901608389247</v>
      </c>
      <c r="F643" s="295">
        <f>VLOOKUP($B643,'Mother mortality'!$A$23:$I$124,5)</f>
        <v>0.14624098391610749</v>
      </c>
      <c r="G643" s="295">
        <f t="shared" si="44"/>
        <v>0.14000000000000001</v>
      </c>
      <c r="H643" s="295">
        <f t="shared" si="52"/>
        <v>0.71375901608389247</v>
      </c>
      <c r="I643" s="295">
        <f>VLOOKUP($B643,'Mother mortality'!$A$23:$I$124,4)</f>
        <v>0.12016234480898272</v>
      </c>
      <c r="J643" s="295">
        <f t="shared" si="53"/>
        <v>0.30840908376244591</v>
      </c>
      <c r="K643" s="295">
        <f t="shared" si="45"/>
        <v>0.5714285714285714</v>
      </c>
      <c r="L643" s="295">
        <f>VLOOKUP($B643,'Mother mortality'!$A$23:$I$124,4)</f>
        <v>0.12016234480898272</v>
      </c>
      <c r="M643" s="295">
        <f t="shared" si="46"/>
        <v>8.6261668788331098E-3</v>
      </c>
      <c r="N643" s="295">
        <f t="shared" si="54"/>
        <v>0.8712114883121842</v>
      </c>
      <c r="O643" s="294"/>
      <c r="P643" s="296">
        <f t="shared" si="62"/>
        <v>5.5685332333344961</v>
      </c>
      <c r="Q643" s="297">
        <f t="shared" si="63"/>
        <v>1.7534265847918959</v>
      </c>
      <c r="R643" s="297">
        <f t="shared" si="64"/>
        <v>0.28649905668871145</v>
      </c>
      <c r="S643" s="297">
        <f t="shared" si="65"/>
        <v>21.768858927223356</v>
      </c>
      <c r="T643" s="297">
        <f t="shared" si="66"/>
        <v>970.62268219796169</v>
      </c>
      <c r="U643" s="294">
        <f t="shared" si="55"/>
        <v>1000.0000000000001</v>
      </c>
      <c r="V643" s="295" t="str">
        <f t="shared" si="47"/>
        <v>OKAY</v>
      </c>
      <c r="W643" s="295"/>
      <c r="X643" s="296">
        <f>SUM($P643:$Q643)-(SUM($P643:$Q643)*(VLOOKUP($B643,Lifetime_morbidity_array!$A$6:$Y$24,4)+VLOOKUP($B643,Lifetime_morbidity_array!$A$6:$Y$24,7)+VLOOKUP($B643,Lifetime_morbidity_array!$A$6:$Y$24,10)+VLOOKUP($B643,Lifetime_morbidity_array!$A$6:$Y$24,13)))</f>
        <v>1.1608566039211556</v>
      </c>
      <c r="Y643" s="297">
        <f>SUM($R643:$S643)-(SUM($R643:$S643)*(VLOOKUP($B643,Lifetime_morbidity_array!$A$6:$Y$24,3)+VLOOKUP($B643,Lifetime_morbidity_array!$A$6:$Y$24,6)+VLOOKUP($B643,Lifetime_morbidity_array!$A$6:$Y$24,9)+VLOOKUP($B643,Lifetime_morbidity_array!$A$6:$Y$24,12)))</f>
        <v>12.835837941440097</v>
      </c>
      <c r="Z643" s="297">
        <f>(SUM($P643:$Q643)*VLOOKUP($B643,Lifetime_morbidity_array!$A$6:$Y$24,4))+(SUM($R643:$S643)*VLOOKUP($B643,Lifetime_morbidity_array!$A$6:$Y$24,3))</f>
        <v>7.1680079222250077</v>
      </c>
      <c r="AA643" s="297">
        <f>(SUM($P643:$Q643)*VLOOKUP($B643,Lifetime_morbidity_array!$A$6:$Y$24,7))+(SUM($R643:$S643)*VLOOKUP($B643,Lifetime_morbidity_array!$A$6:$Y$24,6))</f>
        <v>4.331413763529488</v>
      </c>
      <c r="AB643" s="297">
        <f>(SUM($P643:$Q643)*VLOOKUP($B643,Lifetime_morbidity_array!$A$6:$Y$24,10))+(SUM($R643:$S643)*VLOOKUP($B643,Lifetime_morbidity_array!$A$6:$Y$24,9))</f>
        <v>0.19579372937979628</v>
      </c>
      <c r="AC643" s="297">
        <f>(SUM($P643:$Q643)*VLOOKUP($B643,Lifetime_morbidity_array!$A$6:$Y$24,13))+(SUM($R643:$S643)*VLOOKUP($B643,Lifetime_morbidity_array!$A$6:$Y$24,12))</f>
        <v>3.6854078415429132</v>
      </c>
      <c r="AD643" s="294"/>
      <c r="AE643" s="294">
        <f t="shared" si="67"/>
        <v>115</v>
      </c>
      <c r="AF643" s="297">
        <f t="shared" si="68"/>
        <v>1.4231850063197544</v>
      </c>
      <c r="AG643" s="297">
        <f t="shared" si="69"/>
        <v>25271.194994638816</v>
      </c>
      <c r="AH643" s="294"/>
      <c r="AI643" s="294">
        <f t="shared" si="70"/>
        <v>115</v>
      </c>
      <c r="AJ643" s="295">
        <f>((VLOOKUP($B643,'Mahawesran Tariff'!$A$21:$M$120,7)*$X643)+(VLOOKUP($B643,'Mahawesran Tariff'!$A$21:$M$120,6)*$Y643)+(DET_UTIL_chd*$Z643)+(DET_UTIL_copd*$AA643)+(DET_UTIL_lc*$AB643)+(DET_UTIL_stroke*$AC643))/((1+Discount_rate_QALYs)^$A643)</f>
        <v>1.151584021683614</v>
      </c>
      <c r="AK643" s="295">
        <f t="shared" si="71"/>
        <v>23190.060850677419</v>
      </c>
      <c r="AL643" s="294"/>
      <c r="AM643" s="294">
        <f t="shared" si="56"/>
        <v>115</v>
      </c>
      <c r="AN643" s="299">
        <f t="shared" si="57"/>
        <v>4784.8831358463367</v>
      </c>
      <c r="AO643" s="299">
        <f t="shared" si="72"/>
        <v>21620143.747504245</v>
      </c>
      <c r="AP643" s="294"/>
      <c r="AQ643" s="294">
        <f t="shared" si="58"/>
        <v>115</v>
      </c>
      <c r="AR643" s="298">
        <f t="shared" si="48"/>
        <v>2.937731780203846E-2</v>
      </c>
      <c r="AS643" s="298">
        <f t="shared" si="49"/>
        <v>0.97062268219796166</v>
      </c>
      <c r="AT643" s="298">
        <f t="shared" si="50"/>
        <v>1.5380623256677203E-2</v>
      </c>
      <c r="AU643" s="250"/>
      <c r="AV643" s="294">
        <f t="shared" si="59"/>
        <v>115</v>
      </c>
      <c r="AW643" s="299">
        <f t="shared" si="60"/>
        <v>4784.8831358463367</v>
      </c>
      <c r="AX643" s="299">
        <f t="shared" si="73"/>
        <v>21620143.747504245</v>
      </c>
      <c r="AY643" s="335"/>
      <c r="AZ643" s="335"/>
      <c r="BA643" s="335"/>
      <c r="BB643" s="335"/>
      <c r="BC643" s="335"/>
      <c r="BD643" s="335"/>
      <c r="BE643" s="335"/>
      <c r="BF643" s="335"/>
      <c r="BG643" s="335"/>
      <c r="BH643" s="335"/>
      <c r="BI643" s="335"/>
      <c r="BJ643" s="335"/>
      <c r="BK643" s="364"/>
      <c r="BL643" s="364"/>
      <c r="BM643" s="364"/>
      <c r="BN643" s="364"/>
      <c r="BO643" s="364"/>
      <c r="BP643" s="364"/>
      <c r="BQ643" s="335"/>
      <c r="BR643" s="335"/>
      <c r="BS643" s="364"/>
      <c r="BT643" s="364"/>
      <c r="BU643" s="364"/>
      <c r="BV643" s="364"/>
      <c r="BW643" s="364"/>
      <c r="BX643" s="364"/>
      <c r="BY643" s="335"/>
      <c r="BZ643" s="335"/>
      <c r="CA643" s="364"/>
      <c r="CB643" s="364"/>
      <c r="CC643" s="335"/>
      <c r="CD643" s="335"/>
      <c r="CE643" s="335"/>
      <c r="CF643" s="335"/>
      <c r="CG643" s="335"/>
      <c r="CH643" s="335"/>
      <c r="CI643" s="365"/>
      <c r="CJ643" s="365"/>
      <c r="CK643" s="335"/>
      <c r="CL643" s="335"/>
      <c r="CM643" s="366"/>
      <c r="CN643" s="366"/>
      <c r="CO643" s="366"/>
      <c r="CP643" s="3"/>
    </row>
    <row r="644" spans="1:94" x14ac:dyDescent="0.25">
      <c r="A644" s="34">
        <v>89</v>
      </c>
      <c r="B644" s="33">
        <f t="shared" si="61"/>
        <v>116</v>
      </c>
      <c r="C644" s="294">
        <f>VLOOKUP($B644,'Mother mortality'!$A$23:$I$124,5)</f>
        <v>0.14624098391610749</v>
      </c>
      <c r="D644" s="295">
        <f t="shared" si="43"/>
        <v>0.27</v>
      </c>
      <c r="E644" s="295">
        <f t="shared" si="51"/>
        <v>0.58375901608389247</v>
      </c>
      <c r="F644" s="295">
        <f>VLOOKUP($B644,'Mother mortality'!$A$23:$I$124,5)</f>
        <v>0.14624098391610749</v>
      </c>
      <c r="G644" s="295">
        <f t="shared" si="44"/>
        <v>0.14000000000000001</v>
      </c>
      <c r="H644" s="295">
        <f t="shared" si="52"/>
        <v>0.71375901608389247</v>
      </c>
      <c r="I644" s="295">
        <f>VLOOKUP($B644,'Mother mortality'!$A$23:$I$124,4)</f>
        <v>0.12016234480898272</v>
      </c>
      <c r="J644" s="295">
        <f t="shared" si="53"/>
        <v>0.30840908376244591</v>
      </c>
      <c r="K644" s="295">
        <f t="shared" si="45"/>
        <v>0.5714285714285714</v>
      </c>
      <c r="L644" s="295">
        <f>VLOOKUP($B644,'Mother mortality'!$A$23:$I$124,4)</f>
        <v>0.12016234480898272</v>
      </c>
      <c r="M644" s="295">
        <f t="shared" si="46"/>
        <v>8.6261668788331098E-3</v>
      </c>
      <c r="N644" s="295">
        <f t="shared" si="54"/>
        <v>0.8712114883121842</v>
      </c>
      <c r="O644" s="294"/>
      <c r="P644" s="296">
        <f t="shared" si="62"/>
        <v>4.77834623669838</v>
      </c>
      <c r="Q644" s="297">
        <f t="shared" si="63"/>
        <v>1.5035039730003141</v>
      </c>
      <c r="R644" s="297">
        <f t="shared" si="64"/>
        <v>0.24547972187086545</v>
      </c>
      <c r="S644" s="297">
        <f t="shared" si="65"/>
        <v>19.128993731523501</v>
      </c>
      <c r="T644" s="297">
        <f t="shared" si="66"/>
        <v>974.34367633690715</v>
      </c>
      <c r="U644" s="294">
        <f t="shared" si="55"/>
        <v>1000.0000000000002</v>
      </c>
      <c r="V644" s="295" t="str">
        <f t="shared" si="47"/>
        <v>OKAY</v>
      </c>
      <c r="W644" s="295"/>
      <c r="X644" s="296">
        <f>SUM($P644:$Q644)-(SUM($P644:$Q644)*(VLOOKUP($B644,Lifetime_morbidity_array!$A$6:$Y$24,4)+VLOOKUP($B644,Lifetime_morbidity_array!$A$6:$Y$24,7)+VLOOKUP($B644,Lifetime_morbidity_array!$A$6:$Y$24,10)+VLOOKUP($B644,Lifetime_morbidity_array!$A$6:$Y$24,13)))</f>
        <v>0.99595292543386993</v>
      </c>
      <c r="Y644" s="297">
        <f>SUM($R644:$S644)-(SUM($R644:$S644)*(VLOOKUP($B644,Lifetime_morbidity_array!$A$6:$Y$24,3)+VLOOKUP($B644,Lifetime_morbidity_array!$A$6:$Y$24,6)+VLOOKUP($B644,Lifetime_morbidity_array!$A$6:$Y$24,9)+VLOOKUP($B644,Lifetime_morbidity_array!$A$6:$Y$24,12)))</f>
        <v>11.275609383892322</v>
      </c>
      <c r="Z644" s="297">
        <f>(SUM($P644:$Q644)*VLOOKUP($B644,Lifetime_morbidity_array!$A$6:$Y$24,4))+(SUM($R644:$S644)*VLOOKUP($B644,Lifetime_morbidity_array!$A$6:$Y$24,3))</f>
        <v>6.2422969001386281</v>
      </c>
      <c r="AA644" s="297">
        <f>(SUM($P644:$Q644)*VLOOKUP($B644,Lifetime_morbidity_array!$A$6:$Y$24,7))+(SUM($R644:$S644)*VLOOKUP($B644,Lifetime_morbidity_array!$A$6:$Y$24,6))</f>
        <v>3.7608425312347507</v>
      </c>
      <c r="AB644" s="297">
        <f>(SUM($P644:$Q644)*VLOOKUP($B644,Lifetime_morbidity_array!$A$6:$Y$24,10))+(SUM($R644:$S644)*VLOOKUP($B644,Lifetime_morbidity_array!$A$6:$Y$24,9))</f>
        <v>0.16980428348006971</v>
      </c>
      <c r="AC644" s="297">
        <f>(SUM($P644:$Q644)*VLOOKUP($B644,Lifetime_morbidity_array!$A$6:$Y$24,13))+(SUM($R644:$S644)*VLOOKUP($B644,Lifetime_morbidity_array!$A$6:$Y$24,12))</f>
        <v>3.2118176389134185</v>
      </c>
      <c r="AD644" s="294"/>
      <c r="AE644" s="294">
        <f t="shared" si="67"/>
        <v>116</v>
      </c>
      <c r="AF644" s="297">
        <f t="shared" si="68"/>
        <v>1.2008901818148461</v>
      </c>
      <c r="AG644" s="297">
        <f t="shared" si="69"/>
        <v>25272.395884820631</v>
      </c>
      <c r="AH644" s="294"/>
      <c r="AI644" s="294">
        <f t="shared" si="70"/>
        <v>116</v>
      </c>
      <c r="AJ644" s="295">
        <f>((VLOOKUP($B644,'Mahawesran Tariff'!$A$21:$M$120,7)*$X644)+(VLOOKUP($B644,'Mahawesran Tariff'!$A$21:$M$120,6)*$Y644)+(DET_UTIL_chd*$Z644)+(DET_UTIL_copd*$AA644)+(DET_UTIL_lc*$AB644)+(DET_UTIL_stroke*$AC644))/((1+Discount_rate_QALYs)^$A644)</f>
        <v>0.97211438558516816</v>
      </c>
      <c r="AK644" s="295">
        <f t="shared" si="71"/>
        <v>23191.032965063005</v>
      </c>
      <c r="AL644" s="294"/>
      <c r="AM644" s="294">
        <f t="shared" si="56"/>
        <v>116</v>
      </c>
      <c r="AN644" s="299">
        <f t="shared" si="57"/>
        <v>4027.6735531079562</v>
      </c>
      <c r="AO644" s="299">
        <f t="shared" si="72"/>
        <v>21624171.421057355</v>
      </c>
      <c r="AP644" s="294"/>
      <c r="AQ644" s="294">
        <f t="shared" si="58"/>
        <v>116</v>
      </c>
      <c r="AR644" s="298">
        <f t="shared" si="48"/>
        <v>2.5656323663093061E-2</v>
      </c>
      <c r="AS644" s="298">
        <f t="shared" si="49"/>
        <v>0.97434367633690711</v>
      </c>
      <c r="AT644" s="298">
        <f t="shared" si="50"/>
        <v>1.3384761353766867E-2</v>
      </c>
      <c r="AU644" s="250"/>
      <c r="AV644" s="294">
        <f t="shared" si="59"/>
        <v>116</v>
      </c>
      <c r="AW644" s="299">
        <f t="shared" si="60"/>
        <v>4027.6735531079562</v>
      </c>
      <c r="AX644" s="299">
        <f t="shared" si="73"/>
        <v>21624171.421057355</v>
      </c>
      <c r="AY644" s="335"/>
      <c r="AZ644" s="335"/>
      <c r="BA644" s="335"/>
      <c r="BB644" s="335"/>
      <c r="BC644" s="335"/>
      <c r="BD644" s="335"/>
      <c r="BE644" s="335"/>
      <c r="BF644" s="335"/>
      <c r="BG644" s="335"/>
      <c r="BH644" s="335"/>
      <c r="BI644" s="335"/>
      <c r="BJ644" s="335"/>
      <c r="BK644" s="364"/>
      <c r="BL644" s="364"/>
      <c r="BM644" s="364"/>
      <c r="BN644" s="364"/>
      <c r="BO644" s="364"/>
      <c r="BP644" s="364"/>
      <c r="BQ644" s="335"/>
      <c r="BR644" s="335"/>
      <c r="BS644" s="364"/>
      <c r="BT644" s="364"/>
      <c r="BU644" s="364"/>
      <c r="BV644" s="364"/>
      <c r="BW644" s="364"/>
      <c r="BX644" s="364"/>
      <c r="BY644" s="335"/>
      <c r="BZ644" s="335"/>
      <c r="CA644" s="364"/>
      <c r="CB644" s="364"/>
      <c r="CC644" s="335"/>
      <c r="CD644" s="335"/>
      <c r="CE644" s="335"/>
      <c r="CF644" s="335"/>
      <c r="CG644" s="335"/>
      <c r="CH644" s="335"/>
      <c r="CI644" s="365"/>
      <c r="CJ644" s="365"/>
      <c r="CK644" s="335"/>
      <c r="CL644" s="335"/>
      <c r="CM644" s="366"/>
      <c r="CN644" s="366"/>
      <c r="CO644" s="366"/>
      <c r="CP644" s="3"/>
    </row>
    <row r="645" spans="1:94" x14ac:dyDescent="0.25">
      <c r="A645" s="34">
        <v>90</v>
      </c>
      <c r="B645" s="33">
        <f t="shared" si="61"/>
        <v>117</v>
      </c>
      <c r="C645" s="294">
        <f>VLOOKUP($B645,'Mother mortality'!$A$23:$I$124,5)</f>
        <v>0.14624098391610749</v>
      </c>
      <c r="D645" s="295">
        <f t="shared" si="43"/>
        <v>0.27</v>
      </c>
      <c r="E645" s="295">
        <f t="shared" si="51"/>
        <v>0.58375901608389247</v>
      </c>
      <c r="F645" s="295">
        <f>VLOOKUP($B645,'Mother mortality'!$A$23:$I$124,5)</f>
        <v>0.14624098391610749</v>
      </c>
      <c r="G645" s="295">
        <f t="shared" si="44"/>
        <v>0.14000000000000001</v>
      </c>
      <c r="H645" s="295">
        <f t="shared" si="52"/>
        <v>0.71375901608389247</v>
      </c>
      <c r="I645" s="295">
        <f>VLOOKUP($B645,'Mother mortality'!$A$23:$I$124,4)</f>
        <v>0.12016234480898272</v>
      </c>
      <c r="J645" s="295">
        <f t="shared" si="53"/>
        <v>0.30840908376244591</v>
      </c>
      <c r="K645" s="295">
        <f t="shared" si="45"/>
        <v>0.5714285714285714</v>
      </c>
      <c r="L645" s="295">
        <f>VLOOKUP($B645,'Mother mortality'!$A$23:$I$124,4)</f>
        <v>0.12016234480898272</v>
      </c>
      <c r="M645" s="295">
        <f t="shared" si="46"/>
        <v>8.6261668788331098E-3</v>
      </c>
      <c r="N645" s="295">
        <f t="shared" si="54"/>
        <v>0.8712114883121842</v>
      </c>
      <c r="O645" s="294"/>
      <c r="P645" s="296">
        <f t="shared" si="62"/>
        <v>4.1032602823468718</v>
      </c>
      <c r="Q645" s="297">
        <f t="shared" si="63"/>
        <v>1.2901534839085627</v>
      </c>
      <c r="R645" s="297">
        <f t="shared" si="64"/>
        <v>0.21049055622004401</v>
      </c>
      <c r="S645" s="297">
        <f t="shared" si="65"/>
        <v>16.805673225538385</v>
      </c>
      <c r="T645" s="297">
        <f t="shared" si="66"/>
        <v>977.59042245198634</v>
      </c>
      <c r="U645" s="294">
        <f t="shared" si="55"/>
        <v>1000.0000000000002</v>
      </c>
      <c r="V645" s="295" t="str">
        <f t="shared" si="47"/>
        <v>OKAY</v>
      </c>
      <c r="W645" s="295"/>
      <c r="X645" s="296">
        <f>SUM($P645:$Q645)-(SUM($P645:$Q645)*(VLOOKUP($B645,Lifetime_morbidity_array!$A$6:$Y$24,4)+VLOOKUP($B645,Lifetime_morbidity_array!$A$6:$Y$24,7)+VLOOKUP($B645,Lifetime_morbidity_array!$A$6:$Y$24,10)+VLOOKUP($B645,Lifetime_morbidity_array!$A$6:$Y$24,13)))</f>
        <v>0.8550961960672181</v>
      </c>
      <c r="Y645" s="297">
        <f>SUM($R645:$S645)-(SUM($R645:$S645)*(VLOOKUP($B645,Lifetime_morbidity_array!$A$6:$Y$24,3)+VLOOKUP($B645,Lifetime_morbidity_array!$A$6:$Y$24,6)+VLOOKUP($B645,Lifetime_morbidity_array!$A$6:$Y$24,9)+VLOOKUP($B645,Lifetime_morbidity_array!$A$6:$Y$24,12)))</f>
        <v>9.903113830524731</v>
      </c>
      <c r="Z645" s="297">
        <f>(SUM($P645:$Q645)*VLOOKUP($B645,Lifetime_morbidity_array!$A$6:$Y$24,4))+(SUM($R645:$S645)*VLOOKUP($B645,Lifetime_morbidity_array!$A$6:$Y$24,3))</f>
        <v>5.4375871234108129</v>
      </c>
      <c r="AA645" s="297">
        <f>(SUM($P645:$Q645)*VLOOKUP($B645,Lifetime_morbidity_array!$A$6:$Y$24,7))+(SUM($R645:$S645)*VLOOKUP($B645,Lifetime_morbidity_array!$A$6:$Y$24,6))</f>
        <v>3.2667128622738195</v>
      </c>
      <c r="AB645" s="297">
        <f>(SUM($P645:$Q645)*VLOOKUP($B645,Lifetime_morbidity_array!$A$6:$Y$24,10))+(SUM($R645:$S645)*VLOOKUP($B645,Lifetime_morbidity_array!$A$6:$Y$24,9))</f>
        <v>0.14732899183534706</v>
      </c>
      <c r="AC645" s="297">
        <f>(SUM($P645:$Q645)*VLOOKUP($B645,Lifetime_morbidity_array!$A$6:$Y$24,13))+(SUM($R645:$S645)*VLOOKUP($B645,Lifetime_morbidity_array!$A$6:$Y$24,12))</f>
        <v>2.7997385439019347</v>
      </c>
      <c r="AD645" s="294"/>
      <c r="AE645" s="294">
        <f t="shared" si="67"/>
        <v>117</v>
      </c>
      <c r="AF645" s="297">
        <f t="shared" si="68"/>
        <v>1.0134496760258156</v>
      </c>
      <c r="AG645" s="297">
        <f t="shared" si="69"/>
        <v>25273.409334496657</v>
      </c>
      <c r="AH645" s="294"/>
      <c r="AI645" s="294">
        <f t="shared" si="70"/>
        <v>117</v>
      </c>
      <c r="AJ645" s="295">
        <f>((VLOOKUP($B645,'Mahawesran Tariff'!$A$21:$M$120,7)*$X645)+(VLOOKUP($B645,'Mahawesran Tariff'!$A$21:$M$120,6)*$Y645)+(DET_UTIL_chd*$Z645)+(DET_UTIL_copd*$AA645)+(DET_UTIL_lc*$AB645)+(DET_UTIL_stroke*$AC645))/((1+Discount_rate_QALYs)^$A645)</f>
        <v>0.8207047716936362</v>
      </c>
      <c r="AK645" s="295">
        <f t="shared" si="71"/>
        <v>23191.853669834698</v>
      </c>
      <c r="AL645" s="294"/>
      <c r="AM645" s="294">
        <f t="shared" si="56"/>
        <v>117</v>
      </c>
      <c r="AN645" s="299">
        <f t="shared" si="57"/>
        <v>3391.1344447465767</v>
      </c>
      <c r="AO645" s="299">
        <f t="shared" si="72"/>
        <v>21627562.555502102</v>
      </c>
      <c r="AP645" s="294"/>
      <c r="AQ645" s="294">
        <f t="shared" si="58"/>
        <v>117</v>
      </c>
      <c r="AR645" s="298">
        <f t="shared" si="48"/>
        <v>2.2409577548013863E-2</v>
      </c>
      <c r="AS645" s="298">
        <f t="shared" si="49"/>
        <v>0.97759042245198635</v>
      </c>
      <c r="AT645" s="298">
        <f t="shared" si="50"/>
        <v>1.1651367521421912E-2</v>
      </c>
      <c r="AU645" s="250"/>
      <c r="AV645" s="294">
        <f t="shared" si="59"/>
        <v>117</v>
      </c>
      <c r="AW645" s="299">
        <f t="shared" si="60"/>
        <v>3391.1344447465767</v>
      </c>
      <c r="AX645" s="299">
        <f t="shared" si="73"/>
        <v>21627562.555502102</v>
      </c>
      <c r="AY645" s="335"/>
      <c r="AZ645" s="335"/>
      <c r="BA645" s="335"/>
      <c r="BB645" s="335"/>
      <c r="BC645" s="335"/>
      <c r="BD645" s="335"/>
      <c r="BE645" s="335"/>
      <c r="BF645" s="335"/>
      <c r="BG645" s="335"/>
      <c r="BH645" s="335"/>
      <c r="BI645" s="335"/>
      <c r="BJ645" s="335"/>
      <c r="BK645" s="364"/>
      <c r="BL645" s="364"/>
      <c r="BM645" s="364"/>
      <c r="BN645" s="364"/>
      <c r="BO645" s="364"/>
      <c r="BP645" s="364"/>
      <c r="BQ645" s="335"/>
      <c r="BR645" s="335"/>
      <c r="BS645" s="364"/>
      <c r="BT645" s="364"/>
      <c r="BU645" s="364"/>
      <c r="BV645" s="364"/>
      <c r="BW645" s="364"/>
      <c r="BX645" s="364"/>
      <c r="BY645" s="335"/>
      <c r="BZ645" s="335"/>
      <c r="CA645" s="364"/>
      <c r="CB645" s="364"/>
      <c r="CC645" s="335"/>
      <c r="CD645" s="335"/>
      <c r="CE645" s="335"/>
      <c r="CF645" s="335"/>
      <c r="CG645" s="335"/>
      <c r="CH645" s="335"/>
      <c r="CI645" s="365"/>
      <c r="CJ645" s="365"/>
      <c r="CK645" s="335"/>
      <c r="CL645" s="335"/>
      <c r="CM645" s="366"/>
      <c r="CN645" s="366"/>
      <c r="CO645" s="366"/>
      <c r="CP645" s="3"/>
    </row>
    <row r="646" spans="1:94" x14ac:dyDescent="0.25">
      <c r="A646" s="34">
        <v>91</v>
      </c>
      <c r="B646" s="33">
        <f t="shared" si="61"/>
        <v>118</v>
      </c>
      <c r="C646" s="294">
        <f>VLOOKUP($B646,'Mother mortality'!$A$23:$I$124,5)</f>
        <v>0.14624098391610749</v>
      </c>
      <c r="D646" s="295">
        <f t="shared" si="43"/>
        <v>0.27</v>
      </c>
      <c r="E646" s="295">
        <f t="shared" si="51"/>
        <v>0.58375901608389247</v>
      </c>
      <c r="F646" s="295">
        <f>VLOOKUP($B646,'Mother mortality'!$A$23:$I$124,5)</f>
        <v>0.14624098391610749</v>
      </c>
      <c r="G646" s="295">
        <f t="shared" si="44"/>
        <v>0.14000000000000001</v>
      </c>
      <c r="H646" s="295">
        <f t="shared" si="52"/>
        <v>0.71375901608389247</v>
      </c>
      <c r="I646" s="295">
        <f>VLOOKUP($B646,'Mother mortality'!$A$23:$I$124,4)</f>
        <v>0.12016234480898272</v>
      </c>
      <c r="J646" s="295">
        <f t="shared" si="53"/>
        <v>0.30840908376244591</v>
      </c>
      <c r="K646" s="295">
        <f t="shared" si="45"/>
        <v>0.5714285714285714</v>
      </c>
      <c r="L646" s="295">
        <f>VLOOKUP($B646,'Mother mortality'!$A$23:$I$124,4)</f>
        <v>0.12016234480898272</v>
      </c>
      <c r="M646" s="295">
        <f t="shared" si="46"/>
        <v>8.6261668788331098E-3</v>
      </c>
      <c r="N646" s="295">
        <f t="shared" si="54"/>
        <v>0.8712114883121842</v>
      </c>
      <c r="O646" s="294"/>
      <c r="P646" s="296">
        <f t="shared" si="62"/>
        <v>3.5260596077698096</v>
      </c>
      <c r="Q646" s="297">
        <f t="shared" si="63"/>
        <v>1.1078802762336555</v>
      </c>
      <c r="R646" s="297">
        <f t="shared" si="64"/>
        <v>0.1806214877471988</v>
      </c>
      <c r="S646" s="297">
        <f t="shared" si="65"/>
        <v>14.761575900749547</v>
      </c>
      <c r="T646" s="297">
        <f t="shared" si="66"/>
        <v>980.42386272750002</v>
      </c>
      <c r="U646" s="294">
        <f t="shared" si="55"/>
        <v>1000.0000000000002</v>
      </c>
      <c r="V646" s="295" t="str">
        <f t="shared" si="47"/>
        <v>OKAY</v>
      </c>
      <c r="W646" s="295"/>
      <c r="X646" s="296">
        <f>SUM($P646:$Q646)-(SUM($P646:$Q646)*(VLOOKUP($B646,Lifetime_morbidity_array!$A$6:$Y$24,4)+VLOOKUP($B646,Lifetime_morbidity_array!$A$6:$Y$24,7)+VLOOKUP($B646,Lifetime_morbidity_array!$A$6:$Y$24,10)+VLOOKUP($B646,Lifetime_morbidity_array!$A$6:$Y$24,13)))</f>
        <v>0.73468577404670476</v>
      </c>
      <c r="Y646" s="297">
        <f>SUM($R646:$S646)-(SUM($R646:$S646)*(VLOOKUP($B646,Lifetime_morbidity_array!$A$6:$Y$24,3)+VLOOKUP($B646,Lifetime_morbidity_array!$A$6:$Y$24,6)+VLOOKUP($B646,Lifetime_morbidity_array!$A$6:$Y$24,9)+VLOOKUP($B646,Lifetime_morbidity_array!$A$6:$Y$24,12)))</f>
        <v>8.6961011608905174</v>
      </c>
      <c r="Z646" s="297">
        <f>(SUM($P646:$Q646)*VLOOKUP($B646,Lifetime_morbidity_array!$A$6:$Y$24,4))+(SUM($R646:$S646)*VLOOKUP($B646,Lifetime_morbidity_array!$A$6:$Y$24,3))</f>
        <v>4.7378210931784901</v>
      </c>
      <c r="AA646" s="297">
        <f>(SUM($P646:$Q646)*VLOOKUP($B646,Lifetime_morbidity_array!$A$6:$Y$24,7))+(SUM($R646:$S646)*VLOOKUP($B646,Lifetime_morbidity_array!$A$6:$Y$24,6))</f>
        <v>2.838574735898888</v>
      </c>
      <c r="AB646" s="297">
        <f>(SUM($P646:$Q646)*VLOOKUP($B646,Lifetime_morbidity_array!$A$6:$Y$24,10))+(SUM($R646:$S646)*VLOOKUP($B646,Lifetime_morbidity_array!$A$6:$Y$24,9))</f>
        <v>0.12788227824719983</v>
      </c>
      <c r="AC646" s="297">
        <f>(SUM($P646:$Q646)*VLOOKUP($B646,Lifetime_morbidity_array!$A$6:$Y$24,13))+(SUM($R646:$S646)*VLOOKUP($B646,Lifetime_morbidity_array!$A$6:$Y$24,12))</f>
        <v>2.4410722302384107</v>
      </c>
      <c r="AD646" s="294"/>
      <c r="AE646" s="294">
        <f t="shared" si="67"/>
        <v>118</v>
      </c>
      <c r="AF646" s="297">
        <f t="shared" si="68"/>
        <v>0.85537227720327291</v>
      </c>
      <c r="AG646" s="297">
        <f t="shared" si="69"/>
        <v>25274.264706773862</v>
      </c>
      <c r="AH646" s="294"/>
      <c r="AI646" s="294">
        <f t="shared" si="70"/>
        <v>118</v>
      </c>
      <c r="AJ646" s="295">
        <f>((VLOOKUP($B646,'Mahawesran Tariff'!$A$21:$M$120,7)*$X646)+(VLOOKUP($B646,'Mahawesran Tariff'!$A$21:$M$120,6)*$Y646)+(DET_UTIL_chd*$Z646)+(DET_UTIL_copd*$AA646)+(DET_UTIL_lc*$AB646)+(DET_UTIL_stroke*$AC646))/((1+Discount_rate_QALYs)^$A646)</f>
        <v>0.69295007836230915</v>
      </c>
      <c r="AK646" s="295">
        <f t="shared" si="71"/>
        <v>23192.546619913061</v>
      </c>
      <c r="AL646" s="294"/>
      <c r="AM646" s="294">
        <f t="shared" si="56"/>
        <v>118</v>
      </c>
      <c r="AN646" s="299">
        <f t="shared" si="57"/>
        <v>2855.8711652206675</v>
      </c>
      <c r="AO646" s="299">
        <f t="shared" si="72"/>
        <v>21630418.426667321</v>
      </c>
      <c r="AP646" s="294"/>
      <c r="AQ646" s="294">
        <f t="shared" si="58"/>
        <v>118</v>
      </c>
      <c r="AR646" s="298">
        <f t="shared" si="48"/>
        <v>1.957613727250021E-2</v>
      </c>
      <c r="AS646" s="298">
        <f t="shared" si="49"/>
        <v>0.98042386272750004</v>
      </c>
      <c r="AT646" s="298">
        <f t="shared" si="50"/>
        <v>1.0145350337562987E-2</v>
      </c>
      <c r="AU646" s="250"/>
      <c r="AV646" s="294">
        <f t="shared" si="59"/>
        <v>118</v>
      </c>
      <c r="AW646" s="299">
        <f t="shared" si="60"/>
        <v>2855.8711652206675</v>
      </c>
      <c r="AX646" s="299">
        <f t="shared" si="73"/>
        <v>21630418.426667321</v>
      </c>
      <c r="AY646" s="335"/>
      <c r="AZ646" s="335"/>
      <c r="BA646" s="335"/>
      <c r="BB646" s="335"/>
      <c r="BC646" s="335"/>
      <c r="BD646" s="335"/>
      <c r="BE646" s="335"/>
      <c r="BF646" s="335"/>
      <c r="BG646" s="335"/>
      <c r="BH646" s="335"/>
      <c r="BI646" s="335"/>
      <c r="BJ646" s="335"/>
      <c r="BK646" s="364"/>
      <c r="BL646" s="364"/>
      <c r="BM646" s="364"/>
      <c r="BN646" s="364"/>
      <c r="BO646" s="364"/>
      <c r="BP646" s="364"/>
      <c r="BQ646" s="335"/>
      <c r="BR646" s="335"/>
      <c r="BS646" s="364"/>
      <c r="BT646" s="364"/>
      <c r="BU646" s="364"/>
      <c r="BV646" s="364"/>
      <c r="BW646" s="364"/>
      <c r="BX646" s="364"/>
      <c r="BY646" s="335"/>
      <c r="BZ646" s="335"/>
      <c r="CA646" s="364"/>
      <c r="CB646" s="364"/>
      <c r="CC646" s="335"/>
      <c r="CD646" s="335"/>
      <c r="CE646" s="335"/>
      <c r="CF646" s="335"/>
      <c r="CG646" s="335"/>
      <c r="CH646" s="335"/>
      <c r="CI646" s="365"/>
      <c r="CJ646" s="365"/>
      <c r="CK646" s="335"/>
      <c r="CL646" s="335"/>
      <c r="CM646" s="366"/>
      <c r="CN646" s="366"/>
      <c r="CO646" s="366"/>
      <c r="CP646" s="3"/>
    </row>
    <row r="647" spans="1:94" x14ac:dyDescent="0.25">
      <c r="A647" s="34">
        <v>92</v>
      </c>
      <c r="B647" s="33">
        <f t="shared" si="61"/>
        <v>119</v>
      </c>
      <c r="C647" s="294">
        <f>VLOOKUP($B647,'Mother mortality'!$A$23:$I$124,5)</f>
        <v>0.14624098391610749</v>
      </c>
      <c r="D647" s="295">
        <f t="shared" si="43"/>
        <v>0.27</v>
      </c>
      <c r="E647" s="295">
        <f t="shared" si="51"/>
        <v>0.58375901608389247</v>
      </c>
      <c r="F647" s="295">
        <f>VLOOKUP($B647,'Mother mortality'!$A$23:$I$124,5)</f>
        <v>0.14624098391610749</v>
      </c>
      <c r="G647" s="295">
        <f t="shared" si="44"/>
        <v>0.14000000000000001</v>
      </c>
      <c r="H647" s="295">
        <f t="shared" si="52"/>
        <v>0.71375901608389247</v>
      </c>
      <c r="I647" s="295">
        <f>VLOOKUP($B647,'Mother mortality'!$A$23:$I$124,4)</f>
        <v>0.12016234480898272</v>
      </c>
      <c r="J647" s="295">
        <f t="shared" si="53"/>
        <v>0.30840908376244591</v>
      </c>
      <c r="K647" s="295">
        <f t="shared" si="45"/>
        <v>0.5714285714285714</v>
      </c>
      <c r="L647" s="295">
        <f>VLOOKUP($B647,'Mother mortality'!$A$23:$I$124,4)</f>
        <v>0.12016234480898272</v>
      </c>
      <c r="M647" s="295">
        <f t="shared" si="46"/>
        <v>8.6261668788331098E-3</v>
      </c>
      <c r="N647" s="295">
        <f t="shared" si="54"/>
        <v>0.8712114883121842</v>
      </c>
      <c r="O647" s="294"/>
      <c r="P647" s="296">
        <f t="shared" si="62"/>
        <v>3.0321697478464946</v>
      </c>
      <c r="Q647" s="297">
        <f t="shared" si="63"/>
        <v>0.95203609409784862</v>
      </c>
      <c r="R647" s="297">
        <f t="shared" si="64"/>
        <v>0.15510323867271178</v>
      </c>
      <c r="S647" s="297">
        <f t="shared" si="65"/>
        <v>12.963666789037969</v>
      </c>
      <c r="T647" s="297">
        <f t="shared" si="66"/>
        <v>982.89702413034524</v>
      </c>
      <c r="U647" s="294">
        <f t="shared" si="55"/>
        <v>1000.0000000000002</v>
      </c>
      <c r="V647" s="295" t="str">
        <f t="shared" si="47"/>
        <v>OKAY</v>
      </c>
      <c r="W647" s="295"/>
      <c r="X647" s="296">
        <f>SUM($P647:$Q647)-(SUM($P647:$Q647)*(VLOOKUP($B647,Lifetime_morbidity_array!$A$6:$Y$24,4)+VLOOKUP($B647,Lifetime_morbidity_array!$A$6:$Y$24,7)+VLOOKUP($B647,Lifetime_morbidity_array!$A$6:$Y$24,10)+VLOOKUP($B647,Lifetime_morbidity_array!$A$6:$Y$24,13)))</f>
        <v>0.63167400230090998</v>
      </c>
      <c r="Y647" s="297">
        <f>SUM($R647:$S647)-(SUM($R647:$S647)*(VLOOKUP($B647,Lifetime_morbidity_array!$A$6:$Y$24,3)+VLOOKUP($B647,Lifetime_morbidity_array!$A$6:$Y$24,6)+VLOOKUP($B647,Lifetime_morbidity_array!$A$6:$Y$24,9)+VLOOKUP($B647,Lifetime_morbidity_array!$A$6:$Y$24,12)))</f>
        <v>7.6348978869236968</v>
      </c>
      <c r="Z647" s="297">
        <f>(SUM($P647:$Q647)*VLOOKUP($B647,Lifetime_morbidity_array!$A$6:$Y$24,4))+(SUM($R647:$S647)*VLOOKUP($B647,Lifetime_morbidity_array!$A$6:$Y$24,3))</f>
        <v>4.1291118606851702</v>
      </c>
      <c r="AA647" s="297">
        <f>(SUM($P647:$Q647)*VLOOKUP($B647,Lifetime_morbidity_array!$A$6:$Y$24,7))+(SUM($R647:$S647)*VLOOKUP($B647,Lifetime_morbidity_array!$A$6:$Y$24,6))</f>
        <v>2.467440194457053</v>
      </c>
      <c r="AB647" s="297">
        <f>(SUM($P647:$Q647)*VLOOKUP($B647,Lifetime_morbidity_array!$A$6:$Y$24,10))+(SUM($R647:$S647)*VLOOKUP($B647,Lifetime_morbidity_array!$A$6:$Y$24,9))</f>
        <v>0.11104731579596251</v>
      </c>
      <c r="AC647" s="297">
        <f>(SUM($P647:$Q647)*VLOOKUP($B647,Lifetime_morbidity_array!$A$6:$Y$24,13))+(SUM($R647:$S647)*VLOOKUP($B647,Lifetime_morbidity_array!$A$6:$Y$24,12))</f>
        <v>2.1288046094922324</v>
      </c>
      <c r="AD647" s="294"/>
      <c r="AE647" s="294">
        <f t="shared" si="67"/>
        <v>119</v>
      </c>
      <c r="AF647" s="297">
        <f t="shared" si="68"/>
        <v>0.72203708137588374</v>
      </c>
      <c r="AG647" s="297">
        <f t="shared" si="69"/>
        <v>25274.986743855239</v>
      </c>
      <c r="AH647" s="294"/>
      <c r="AI647" s="294">
        <f t="shared" si="70"/>
        <v>119</v>
      </c>
      <c r="AJ647" s="295">
        <f>((VLOOKUP($B647,'Mahawesran Tariff'!$A$21:$M$120,7)*$X647)+(VLOOKUP($B647,'Mahawesran Tariff'!$A$21:$M$120,6)*$Y647)+(DET_UTIL_chd*$Z647)+(DET_UTIL_copd*$AA647)+(DET_UTIL_lc*$AB647)+(DET_UTIL_stroke*$AC647))/((1+Discount_rate_QALYs)^$A647)</f>
        <v>0.5851402968493743</v>
      </c>
      <c r="AK647" s="295">
        <f t="shared" si="71"/>
        <v>23193.131760209912</v>
      </c>
      <c r="AL647" s="294"/>
      <c r="AM647" s="294">
        <f t="shared" si="56"/>
        <v>119</v>
      </c>
      <c r="AN647" s="299">
        <f t="shared" si="57"/>
        <v>2405.6381194715809</v>
      </c>
      <c r="AO647" s="299">
        <f t="shared" si="72"/>
        <v>21632824.064786792</v>
      </c>
      <c r="AP647" s="294"/>
      <c r="AQ647" s="294">
        <f t="shared" si="58"/>
        <v>119</v>
      </c>
      <c r="AR647" s="298">
        <f t="shared" si="48"/>
        <v>1.7102975869655025E-2</v>
      </c>
      <c r="AS647" s="298">
        <f t="shared" si="49"/>
        <v>0.9828970241303453</v>
      </c>
      <c r="AT647" s="298">
        <f t="shared" si="50"/>
        <v>8.8364039804304188E-3</v>
      </c>
      <c r="AU647" s="250"/>
      <c r="AV647" s="294">
        <f t="shared" si="59"/>
        <v>119</v>
      </c>
      <c r="AW647" s="299">
        <f t="shared" si="60"/>
        <v>2405.6381194715809</v>
      </c>
      <c r="AX647" s="299">
        <f t="shared" si="73"/>
        <v>21632824.064786792</v>
      </c>
      <c r="AY647" s="335"/>
      <c r="AZ647" s="335"/>
      <c r="BA647" s="335"/>
      <c r="BB647" s="335"/>
      <c r="BC647" s="335"/>
      <c r="BD647" s="335"/>
      <c r="BE647" s="335"/>
      <c r="BF647" s="335"/>
      <c r="BG647" s="335"/>
      <c r="BH647" s="335"/>
      <c r="BI647" s="335"/>
      <c r="BJ647" s="335"/>
      <c r="BK647" s="364"/>
      <c r="BL647" s="364"/>
      <c r="BM647" s="364"/>
      <c r="BN647" s="364"/>
      <c r="BO647" s="364"/>
      <c r="BP647" s="364"/>
      <c r="BQ647" s="335"/>
      <c r="BR647" s="335"/>
      <c r="BS647" s="364"/>
      <c r="BT647" s="364"/>
      <c r="BU647" s="364"/>
      <c r="BV647" s="364"/>
      <c r="BW647" s="364"/>
      <c r="BX647" s="364"/>
      <c r="BY647" s="335"/>
      <c r="BZ647" s="335"/>
      <c r="CA647" s="364"/>
      <c r="CB647" s="364"/>
      <c r="CC647" s="335"/>
      <c r="CD647" s="335"/>
      <c r="CE647" s="335"/>
      <c r="CF647" s="335"/>
      <c r="CG647" s="335"/>
      <c r="CH647" s="335"/>
      <c r="CI647" s="365"/>
      <c r="CJ647" s="365"/>
      <c r="CK647" s="335"/>
      <c r="CL647" s="335"/>
      <c r="CM647" s="366"/>
      <c r="CN647" s="366"/>
      <c r="CO647" s="366"/>
      <c r="CP647" s="3"/>
    </row>
    <row r="648" spans="1:94" x14ac:dyDescent="0.25">
      <c r="A648" s="34">
        <v>93</v>
      </c>
      <c r="B648" s="33">
        <f t="shared" si="61"/>
        <v>120</v>
      </c>
      <c r="C648" s="294">
        <f>VLOOKUP($B648,'Mother mortality'!$A$23:$I$124,5)</f>
        <v>0.14624098391610749</v>
      </c>
      <c r="D648" s="295">
        <f t="shared" si="43"/>
        <v>0.27</v>
      </c>
      <c r="E648" s="295">
        <f t="shared" si="51"/>
        <v>0.58375901608389247</v>
      </c>
      <c r="F648" s="295">
        <f>VLOOKUP($B648,'Mother mortality'!$A$23:$I$124,5)</f>
        <v>0.14624098391610749</v>
      </c>
      <c r="G648" s="295">
        <f t="shared" si="44"/>
        <v>0.14000000000000001</v>
      </c>
      <c r="H648" s="295">
        <f t="shared" si="52"/>
        <v>0.71375901608389247</v>
      </c>
      <c r="I648" s="295">
        <f>VLOOKUP($B648,'Mother mortality'!$A$23:$I$124,4)</f>
        <v>0.12016234480898272</v>
      </c>
      <c r="J648" s="295">
        <f t="shared" si="53"/>
        <v>0.30840908376244591</v>
      </c>
      <c r="K648" s="295">
        <f t="shared" si="45"/>
        <v>0.5714285714285714</v>
      </c>
      <c r="L648" s="295">
        <f>VLOOKUP($B648,'Mother mortality'!$A$23:$I$124,4)</f>
        <v>0.12016234480898272</v>
      </c>
      <c r="M648" s="295">
        <f t="shared" si="46"/>
        <v>8.6261668788331098E-3</v>
      </c>
      <c r="N648" s="295">
        <f t="shared" si="54"/>
        <v>0.8712114883121842</v>
      </c>
      <c r="O648" s="294"/>
      <c r="P648" s="296">
        <f t="shared" si="62"/>
        <v>2.6092427752133136</v>
      </c>
      <c r="Q648" s="297">
        <f t="shared" si="63"/>
        <v>0.8186858319185536</v>
      </c>
      <c r="R648" s="297">
        <f t="shared" si="64"/>
        <v>0.13328505317369882</v>
      </c>
      <c r="S648" s="297">
        <f t="shared" si="65"/>
        <v>11.382725859359695</v>
      </c>
      <c r="T648" s="297">
        <f t="shared" si="66"/>
        <v>985.05606048033508</v>
      </c>
      <c r="U648" s="294">
        <f t="shared" si="55"/>
        <v>1000.0000000000003</v>
      </c>
      <c r="V648" s="295" t="str">
        <f t="shared" si="47"/>
        <v>OKAY</v>
      </c>
      <c r="W648" s="295"/>
      <c r="X648" s="296">
        <f>SUM($P648:$Q648)-(SUM($P648:$Q648)*(VLOOKUP($B648,Lifetime_morbidity_array!$A$6:$Y$24,4)+VLOOKUP($B648,Lifetime_morbidity_array!$A$6:$Y$24,7)+VLOOKUP($B648,Lifetime_morbidity_array!$A$6:$Y$24,10)+VLOOKUP($B648,Lifetime_morbidity_array!$A$6:$Y$24,13)))</f>
        <v>0.54347929518924154</v>
      </c>
      <c r="Y648" s="297">
        <f>SUM($R648:$S648)-(SUM($R648:$S648)*(VLOOKUP($B648,Lifetime_morbidity_array!$A$6:$Y$24,3)+VLOOKUP($B648,Lifetime_morbidity_array!$A$6:$Y$24,6)+VLOOKUP($B648,Lifetime_morbidity_array!$A$6:$Y$24,9)+VLOOKUP($B648,Lifetime_morbidity_array!$A$6:$Y$24,12)))</f>
        <v>6.7021197258714906</v>
      </c>
      <c r="Z648" s="297">
        <f>(SUM($P648:$Q648)*VLOOKUP($B648,Lifetime_morbidity_array!$A$6:$Y$24,4))+(SUM($R648:$S648)*VLOOKUP($B648,Lifetime_morbidity_array!$A$6:$Y$24,3))</f>
        <v>3.5994432113340284</v>
      </c>
      <c r="AA648" s="297">
        <f>(SUM($P648:$Q648)*VLOOKUP($B648,Lifetime_morbidity_array!$A$6:$Y$24,7))+(SUM($R648:$S648)*VLOOKUP($B648,Lifetime_morbidity_array!$A$6:$Y$24,6))</f>
        <v>2.1455735256795831</v>
      </c>
      <c r="AB648" s="297">
        <f>(SUM($P648:$Q648)*VLOOKUP($B648,Lifetime_morbidity_array!$A$6:$Y$24,10))+(SUM($R648:$S648)*VLOOKUP($B648,Lifetime_morbidity_array!$A$6:$Y$24,9))</f>
        <v>9.6466036077905409E-2</v>
      </c>
      <c r="AC648" s="297">
        <f>(SUM($P648:$Q648)*VLOOKUP($B648,Lifetime_morbidity_array!$A$6:$Y$24,13))+(SUM($R648:$S648)*VLOOKUP($B648,Lifetime_morbidity_array!$A$6:$Y$24,12))</f>
        <v>1.8568577255130119</v>
      </c>
      <c r="AD648" s="294"/>
      <c r="AE648" s="294">
        <f t="shared" si="67"/>
        <v>120</v>
      </c>
      <c r="AF648" s="297">
        <f t="shared" si="68"/>
        <v>0.60955454031455447</v>
      </c>
      <c r="AG648" s="297">
        <f t="shared" si="69"/>
        <v>25275.596298395554</v>
      </c>
      <c r="AH648" s="294"/>
      <c r="AI648" s="294">
        <f t="shared" si="70"/>
        <v>120</v>
      </c>
      <c r="AJ648" s="295">
        <f>((VLOOKUP($B648,'Mahawesran Tariff'!$A$21:$M$120,7)*$X648)+(VLOOKUP($B648,'Mahawesran Tariff'!$A$21:$M$120,6)*$Y648)+(DET_UTIL_chd*$Z648)+(DET_UTIL_copd*$AA648)+(DET_UTIL_lc*$AB648)+(DET_UTIL_stroke*$AC648))/((1+Discount_rate_QALYs)^$A648)</f>
        <v>0.49415013352009113</v>
      </c>
      <c r="AK648" s="295">
        <f t="shared" si="71"/>
        <v>23193.625910343431</v>
      </c>
      <c r="AL648" s="294"/>
      <c r="AM648" s="294">
        <f t="shared" si="56"/>
        <v>120</v>
      </c>
      <c r="AN648" s="299">
        <f t="shared" si="57"/>
        <v>2026.8213353527401</v>
      </c>
      <c r="AO648" s="299">
        <f t="shared" si="72"/>
        <v>21634850.886122145</v>
      </c>
      <c r="AP648" s="294"/>
      <c r="AQ648" s="294">
        <f t="shared" si="58"/>
        <v>120</v>
      </c>
      <c r="AR648" s="298">
        <f t="shared" si="48"/>
        <v>1.494393951966526E-2</v>
      </c>
      <c r="AS648" s="298">
        <f t="shared" si="49"/>
        <v>0.98505606048033512</v>
      </c>
      <c r="AT648" s="298">
        <f t="shared" si="50"/>
        <v>7.6983404986045289E-3</v>
      </c>
      <c r="AU648" s="250"/>
      <c r="AV648" s="294">
        <f t="shared" si="59"/>
        <v>120</v>
      </c>
      <c r="AW648" s="299">
        <f t="shared" si="60"/>
        <v>2026.8213353527401</v>
      </c>
      <c r="AX648" s="299">
        <f t="shared" si="73"/>
        <v>21634850.886122145</v>
      </c>
      <c r="AY648" s="335"/>
      <c r="AZ648" s="335"/>
      <c r="BA648" s="335"/>
      <c r="BB648" s="335"/>
      <c r="BC648" s="335"/>
      <c r="BD648" s="335"/>
      <c r="BE648" s="335"/>
      <c r="BF648" s="335"/>
      <c r="BG648" s="335"/>
      <c r="BH648" s="335"/>
      <c r="BI648" s="335"/>
      <c r="BJ648" s="335"/>
      <c r="BK648" s="364"/>
      <c r="BL648" s="364"/>
      <c r="BM648" s="364"/>
      <c r="BN648" s="364"/>
      <c r="BO648" s="364"/>
      <c r="BP648" s="364"/>
      <c r="BQ648" s="335"/>
      <c r="BR648" s="335"/>
      <c r="BS648" s="364"/>
      <c r="BT648" s="364"/>
      <c r="BU648" s="364"/>
      <c r="BV648" s="364"/>
      <c r="BW648" s="364"/>
      <c r="BX648" s="364"/>
      <c r="BY648" s="335"/>
      <c r="BZ648" s="335"/>
      <c r="CA648" s="364"/>
      <c r="CB648" s="364"/>
      <c r="CC648" s="335"/>
      <c r="CD648" s="335"/>
      <c r="CE648" s="335"/>
      <c r="CF648" s="335"/>
      <c r="CG648" s="335"/>
      <c r="CH648" s="335"/>
      <c r="CI648" s="365"/>
      <c r="CJ648" s="365"/>
      <c r="CK648" s="335"/>
      <c r="CL648" s="335"/>
      <c r="CM648" s="366"/>
      <c r="CN648" s="366"/>
      <c r="CO648" s="366"/>
      <c r="CP648" s="3"/>
    </row>
    <row r="649" spans="1:94" x14ac:dyDescent="0.25">
      <c r="A649" s="34">
        <v>94</v>
      </c>
      <c r="B649" s="33">
        <f t="shared" si="61"/>
        <v>121</v>
      </c>
      <c r="C649" s="294">
        <f>VLOOKUP($B649,'Mother mortality'!$A$23:$I$124,5)</f>
        <v>0.14624098391610749</v>
      </c>
      <c r="D649" s="295">
        <f t="shared" si="43"/>
        <v>0.27</v>
      </c>
      <c r="E649" s="295">
        <f t="shared" si="51"/>
        <v>0.58375901608389247</v>
      </c>
      <c r="F649" s="295">
        <f>VLOOKUP($B649,'Mother mortality'!$A$23:$I$124,5)</f>
        <v>0.14624098391610749</v>
      </c>
      <c r="G649" s="295">
        <f t="shared" si="44"/>
        <v>0.14000000000000001</v>
      </c>
      <c r="H649" s="295">
        <f t="shared" si="52"/>
        <v>0.71375901608389247</v>
      </c>
      <c r="I649" s="295">
        <f>VLOOKUP($B649,'Mother mortality'!$A$23:$I$124,4)</f>
        <v>0.12016234480898272</v>
      </c>
      <c r="J649" s="295">
        <f t="shared" si="53"/>
        <v>0.30840908376244591</v>
      </c>
      <c r="K649" s="295">
        <f t="shared" si="45"/>
        <v>0.5714285714285714</v>
      </c>
      <c r="L649" s="295">
        <f>VLOOKUP($B649,'Mother mortality'!$A$23:$I$124,4)</f>
        <v>0.12016234480898272</v>
      </c>
      <c r="M649" s="295">
        <f t="shared" si="46"/>
        <v>8.6261668788331098E-3</v>
      </c>
      <c r="N649" s="295">
        <f t="shared" si="54"/>
        <v>0.8712114883121842</v>
      </c>
      <c r="O649" s="294"/>
      <c r="P649" s="296">
        <f t="shared" si="62"/>
        <v>2.2468090029819137</v>
      </c>
      <c r="Q649" s="297">
        <f t="shared" si="63"/>
        <v>0.70449554930759473</v>
      </c>
      <c r="R649" s="297">
        <f t="shared" si="64"/>
        <v>0.11461601646859751</v>
      </c>
      <c r="S649" s="297">
        <f t="shared" si="65"/>
        <v>9.9929244245101732</v>
      </c>
      <c r="T649" s="297">
        <f t="shared" si="66"/>
        <v>986.94115500673217</v>
      </c>
      <c r="U649" s="294">
        <f t="shared" si="55"/>
        <v>1000.0000000000005</v>
      </c>
      <c r="V649" s="295" t="str">
        <f t="shared" si="47"/>
        <v>OKAY</v>
      </c>
      <c r="W649" s="295"/>
      <c r="X649" s="296">
        <f>SUM($P649:$Q649)-(SUM($P649:$Q649)*(VLOOKUP($B649,Lifetime_morbidity_array!$A$6:$Y$24,4)+VLOOKUP($B649,Lifetime_morbidity_array!$A$6:$Y$24,7)+VLOOKUP($B649,Lifetime_morbidity_array!$A$6:$Y$24,10)+VLOOKUP($B649,Lifetime_morbidity_array!$A$6:$Y$24,13)))</f>
        <v>0.46791316325258547</v>
      </c>
      <c r="Y649" s="297">
        <f>SUM($R649:$S649)-(SUM($R649:$S649)*(VLOOKUP($B649,Lifetime_morbidity_array!$A$6:$Y$24,3)+VLOOKUP($B649,Lifetime_morbidity_array!$A$6:$Y$24,6)+VLOOKUP($B649,Lifetime_morbidity_array!$A$6:$Y$24,9)+VLOOKUP($B649,Lifetime_morbidity_array!$A$6:$Y$24,12)))</f>
        <v>5.8824142043666372</v>
      </c>
      <c r="Z649" s="297">
        <f>(SUM($P649:$Q649)*VLOOKUP($B649,Lifetime_morbidity_array!$A$6:$Y$24,4))+(SUM($R649:$S649)*VLOOKUP($B649,Lifetime_morbidity_array!$A$6:$Y$24,3))</f>
        <v>3.1384122812712771</v>
      </c>
      <c r="AA649" s="297">
        <f>(SUM($P649:$Q649)*VLOOKUP($B649,Lifetime_morbidity_array!$A$6:$Y$24,7))+(SUM($R649:$S649)*VLOOKUP($B649,Lifetime_morbidity_array!$A$6:$Y$24,6))</f>
        <v>1.8663123630044129</v>
      </c>
      <c r="AB649" s="297">
        <f>(SUM($P649:$Q649)*VLOOKUP($B649,Lifetime_morbidity_array!$A$6:$Y$24,10))+(SUM($R649:$S649)*VLOOKUP($B649,Lifetime_morbidity_array!$A$6:$Y$24,9))</f>
        <v>8.3830629309417329E-2</v>
      </c>
      <c r="AC649" s="297">
        <f>(SUM($P649:$Q649)*VLOOKUP($B649,Lifetime_morbidity_array!$A$6:$Y$24,13))+(SUM($R649:$S649)*VLOOKUP($B649,Lifetime_morbidity_array!$A$6:$Y$24,12))</f>
        <v>1.6199623520639479</v>
      </c>
      <c r="AD649" s="294"/>
      <c r="AE649" s="294">
        <f t="shared" si="67"/>
        <v>121</v>
      </c>
      <c r="AF649" s="297">
        <f t="shared" si="68"/>
        <v>0.51464989245035619</v>
      </c>
      <c r="AG649" s="297">
        <f t="shared" si="69"/>
        <v>25276.110948288006</v>
      </c>
      <c r="AH649" s="294"/>
      <c r="AI649" s="294">
        <f t="shared" si="70"/>
        <v>121</v>
      </c>
      <c r="AJ649" s="295">
        <f>((VLOOKUP($B649,'Mahawesran Tariff'!$A$21:$M$120,7)*$X649)+(VLOOKUP($B649,'Mahawesran Tariff'!$A$21:$M$120,6)*$Y649)+(DET_UTIL_chd*$Z649)+(DET_UTIL_copd*$AA649)+(DET_UTIL_lc*$AB649)+(DET_UTIL_stroke*$AC649))/((1+Discount_rate_QALYs)^$A649)</f>
        <v>0.41734629609494811</v>
      </c>
      <c r="AK649" s="295">
        <f t="shared" si="71"/>
        <v>23194.043256639525</v>
      </c>
      <c r="AL649" s="294"/>
      <c r="AM649" s="294">
        <f t="shared" si="56"/>
        <v>121</v>
      </c>
      <c r="AN649" s="299">
        <f t="shared" si="57"/>
        <v>1708.007221430395</v>
      </c>
      <c r="AO649" s="299">
        <f t="shared" si="72"/>
        <v>21636558.893343575</v>
      </c>
      <c r="AP649" s="294"/>
      <c r="AQ649" s="294">
        <f t="shared" si="58"/>
        <v>121</v>
      </c>
      <c r="AR649" s="298">
        <f t="shared" si="48"/>
        <v>1.3058844993268278E-2</v>
      </c>
      <c r="AS649" s="298">
        <f t="shared" si="49"/>
        <v>0.98694115500673218</v>
      </c>
      <c r="AT649" s="298">
        <f t="shared" si="50"/>
        <v>6.7085176256490558E-3</v>
      </c>
      <c r="AU649" s="250"/>
      <c r="AV649" s="294">
        <f t="shared" si="59"/>
        <v>121</v>
      </c>
      <c r="AW649" s="299">
        <f t="shared" si="60"/>
        <v>1708.007221430395</v>
      </c>
      <c r="AX649" s="299">
        <f t="shared" si="73"/>
        <v>21636558.893343575</v>
      </c>
      <c r="AY649" s="335"/>
      <c r="AZ649" s="335"/>
      <c r="BA649" s="335"/>
      <c r="BB649" s="335"/>
      <c r="BC649" s="335"/>
      <c r="BD649" s="335"/>
      <c r="BE649" s="335"/>
      <c r="BF649" s="335"/>
      <c r="BG649" s="335"/>
      <c r="BH649" s="335"/>
      <c r="BI649" s="335"/>
      <c r="BJ649" s="335"/>
      <c r="BK649" s="364"/>
      <c r="BL649" s="364"/>
      <c r="BM649" s="364"/>
      <c r="BN649" s="364"/>
      <c r="BO649" s="364"/>
      <c r="BP649" s="364"/>
      <c r="BQ649" s="335"/>
      <c r="BR649" s="335"/>
      <c r="BS649" s="364"/>
      <c r="BT649" s="364"/>
      <c r="BU649" s="364"/>
      <c r="BV649" s="364"/>
      <c r="BW649" s="364"/>
      <c r="BX649" s="364"/>
      <c r="BY649" s="335"/>
      <c r="BZ649" s="335"/>
      <c r="CA649" s="364"/>
      <c r="CB649" s="364"/>
      <c r="CC649" s="335"/>
      <c r="CD649" s="335"/>
      <c r="CE649" s="335"/>
      <c r="CF649" s="335"/>
      <c r="CG649" s="335"/>
      <c r="CH649" s="335"/>
      <c r="CI649" s="365"/>
      <c r="CJ649" s="365"/>
      <c r="CK649" s="335"/>
      <c r="CL649" s="335"/>
      <c r="CM649" s="366"/>
      <c r="CN649" s="366"/>
      <c r="CO649" s="366"/>
      <c r="CP649" s="3"/>
    </row>
    <row r="650" spans="1:94" x14ac:dyDescent="0.25">
      <c r="A650" s="34">
        <v>95</v>
      </c>
      <c r="B650" s="33">
        <f t="shared" si="61"/>
        <v>122</v>
      </c>
      <c r="C650" s="294">
        <f>VLOOKUP($B650,'Mother mortality'!$A$23:$I$124,5)</f>
        <v>0.14624098391610749</v>
      </c>
      <c r="D650" s="295">
        <f t="shared" si="43"/>
        <v>0.27</v>
      </c>
      <c r="E650" s="295">
        <f t="shared" si="51"/>
        <v>0.58375901608389247</v>
      </c>
      <c r="F650" s="295">
        <f>VLOOKUP($B650,'Mother mortality'!$A$23:$I$124,5)</f>
        <v>0.14624098391610749</v>
      </c>
      <c r="G650" s="295">
        <f t="shared" si="44"/>
        <v>0.14000000000000001</v>
      </c>
      <c r="H650" s="295">
        <f t="shared" si="52"/>
        <v>0.71375901608389247</v>
      </c>
      <c r="I650" s="295">
        <f>VLOOKUP($B650,'Mother mortality'!$A$23:$I$124,4)</f>
        <v>0.12016234480898272</v>
      </c>
      <c r="J650" s="295">
        <f t="shared" si="53"/>
        <v>0.30840908376244591</v>
      </c>
      <c r="K650" s="295">
        <f t="shared" si="45"/>
        <v>0.5714285714285714</v>
      </c>
      <c r="L650" s="295">
        <f>VLOOKUP($B650,'Mother mortality'!$A$23:$I$124,4)</f>
        <v>0.12016234480898272</v>
      </c>
      <c r="M650" s="295">
        <f t="shared" si="46"/>
        <v>8.6261668788331098E-3</v>
      </c>
      <c r="N650" s="295">
        <f t="shared" si="54"/>
        <v>0.8712114883121842</v>
      </c>
      <c r="O650" s="294"/>
      <c r="P650" s="296">
        <f t="shared" si="62"/>
        <v>1.935984317335397</v>
      </c>
      <c r="Q650" s="297">
        <f t="shared" si="63"/>
        <v>0.6066384308051167</v>
      </c>
      <c r="R650" s="297">
        <f t="shared" si="64"/>
        <v>9.8629376903063268E-2</v>
      </c>
      <c r="S650" s="297">
        <f t="shared" si="65"/>
        <v>8.7714454270221687</v>
      </c>
      <c r="T650" s="297">
        <f t="shared" si="66"/>
        <v>988.58730244793458</v>
      </c>
      <c r="U650" s="294">
        <f t="shared" si="55"/>
        <v>1000.0000000000003</v>
      </c>
      <c r="V650" s="295" t="str">
        <f t="shared" si="47"/>
        <v>OKAY</v>
      </c>
      <c r="W650" s="295"/>
      <c r="X650" s="296">
        <f>SUM($P650:$Q650)-(SUM($P650:$Q650)*(VLOOKUP($B650,Lifetime_morbidity_array!$A$6:$Y$24,4)+VLOOKUP($B650,Lifetime_morbidity_array!$A$6:$Y$24,7)+VLOOKUP($B650,Lifetime_morbidity_array!$A$6:$Y$24,10)+VLOOKUP($B650,Lifetime_morbidity_array!$A$6:$Y$24,13)))</f>
        <v>0.40311890283144969</v>
      </c>
      <c r="Y650" s="297">
        <f>SUM($R650:$S650)-(SUM($R650:$S650)*(VLOOKUP($B650,Lifetime_morbidity_array!$A$6:$Y$24,3)+VLOOKUP($B650,Lifetime_morbidity_array!$A$6:$Y$24,6)+VLOOKUP($B650,Lifetime_morbidity_array!$A$6:$Y$24,9)+VLOOKUP($B650,Lifetime_morbidity_array!$A$6:$Y$24,12)))</f>
        <v>5.1622305470935874</v>
      </c>
      <c r="Z650" s="297">
        <f>(SUM($P650:$Q650)*VLOOKUP($B650,Lifetime_morbidity_array!$A$6:$Y$24,4))+(SUM($R650:$S650)*VLOOKUP($B650,Lifetime_morbidity_array!$A$6:$Y$24,3))</f>
        <v>2.7370084426008727</v>
      </c>
      <c r="AA650" s="297">
        <f>(SUM($P650:$Q650)*VLOOKUP($B650,Lifetime_morbidity_array!$A$6:$Y$24,7))+(SUM($R650:$S650)*VLOOKUP($B650,Lifetime_morbidity_array!$A$6:$Y$24,6))</f>
        <v>1.6239150270998437</v>
      </c>
      <c r="AB650" s="297">
        <f>(SUM($P650:$Q650)*VLOOKUP($B650,Lifetime_morbidity_array!$A$6:$Y$24,10))+(SUM($R650:$S650)*VLOOKUP($B650,Lifetime_morbidity_array!$A$6:$Y$24,9))</f>
        <v>7.2876307061444948E-2</v>
      </c>
      <c r="AC650" s="297">
        <f>(SUM($P650:$Q650)*VLOOKUP($B650,Lifetime_morbidity_array!$A$6:$Y$24,13))+(SUM($R650:$S650)*VLOOKUP($B650,Lifetime_morbidity_array!$A$6:$Y$24,12))</f>
        <v>1.4135483253785459</v>
      </c>
      <c r="AD650" s="294"/>
      <c r="AE650" s="294">
        <f t="shared" si="67"/>
        <v>122</v>
      </c>
      <c r="AF650" s="297">
        <f t="shared" si="68"/>
        <v>0.43456533287686672</v>
      </c>
      <c r="AG650" s="297">
        <f t="shared" si="69"/>
        <v>25276.545513620884</v>
      </c>
      <c r="AH650" s="294"/>
      <c r="AI650" s="294">
        <f t="shared" si="70"/>
        <v>122</v>
      </c>
      <c r="AJ650" s="295">
        <f>((VLOOKUP($B650,'Mahawesran Tariff'!$A$21:$M$120,7)*$X650)+(VLOOKUP($B650,'Mahawesran Tariff'!$A$21:$M$120,6)*$Y650)+(DET_UTIL_chd*$Z650)+(DET_UTIL_copd*$AA650)+(DET_UTIL_lc*$AB650)+(DET_UTIL_stroke*$AC650))/((1+Discount_rate_QALYs)^$A650)</f>
        <v>0.35250959055713965</v>
      </c>
      <c r="AK650" s="295">
        <f t="shared" si="71"/>
        <v>23194.395766230082</v>
      </c>
      <c r="AL650" s="294"/>
      <c r="AM650" s="294">
        <f t="shared" si="56"/>
        <v>122</v>
      </c>
      <c r="AN650" s="299">
        <f t="shared" si="57"/>
        <v>1439.6229354844784</v>
      </c>
      <c r="AO650" s="299">
        <f t="shared" si="72"/>
        <v>21637998.51627906</v>
      </c>
      <c r="AP650" s="294"/>
      <c r="AQ650" s="294">
        <f t="shared" si="58"/>
        <v>122</v>
      </c>
      <c r="AR650" s="298">
        <f t="shared" si="48"/>
        <v>1.1412697552065745E-2</v>
      </c>
      <c r="AS650" s="298">
        <f t="shared" si="49"/>
        <v>0.98858730244793458</v>
      </c>
      <c r="AT650" s="298">
        <f t="shared" si="50"/>
        <v>5.847348102140707E-3</v>
      </c>
      <c r="AU650" s="250"/>
      <c r="AV650" s="294">
        <f t="shared" si="59"/>
        <v>122</v>
      </c>
      <c r="AW650" s="299">
        <f t="shared" si="60"/>
        <v>1439.6229354844784</v>
      </c>
      <c r="AX650" s="299">
        <f t="shared" si="73"/>
        <v>21637998.51627906</v>
      </c>
      <c r="AY650" s="335"/>
      <c r="AZ650" s="335"/>
      <c r="BA650" s="335"/>
      <c r="BB650" s="335"/>
      <c r="BC650" s="335"/>
      <c r="BD650" s="335"/>
      <c r="BE650" s="335"/>
      <c r="BF650" s="335"/>
      <c r="BG650" s="335"/>
      <c r="BH650" s="335"/>
      <c r="BI650" s="335"/>
      <c r="BJ650" s="335"/>
      <c r="BK650" s="364"/>
      <c r="BL650" s="364"/>
      <c r="BM650" s="364"/>
      <c r="BN650" s="364"/>
      <c r="BO650" s="364"/>
      <c r="BP650" s="364"/>
      <c r="BQ650" s="335"/>
      <c r="BR650" s="335"/>
      <c r="BS650" s="364"/>
      <c r="BT650" s="364"/>
      <c r="BU650" s="364"/>
      <c r="BV650" s="364"/>
      <c r="BW650" s="364"/>
      <c r="BX650" s="364"/>
      <c r="BY650" s="335"/>
      <c r="BZ650" s="335"/>
      <c r="CA650" s="364"/>
      <c r="CB650" s="364"/>
      <c r="CC650" s="335"/>
      <c r="CD650" s="335"/>
      <c r="CE650" s="335"/>
      <c r="CF650" s="335"/>
      <c r="CG650" s="335"/>
      <c r="CH650" s="335"/>
      <c r="CI650" s="365"/>
      <c r="CJ650" s="365"/>
      <c r="CK650" s="335"/>
      <c r="CL650" s="335"/>
      <c r="CM650" s="366"/>
      <c r="CN650" s="366"/>
      <c r="CO650" s="366"/>
      <c r="CP650" s="3"/>
    </row>
    <row r="651" spans="1:94" x14ac:dyDescent="0.25">
      <c r="A651" s="34">
        <v>96</v>
      </c>
      <c r="B651" s="33">
        <f t="shared" si="61"/>
        <v>123</v>
      </c>
      <c r="C651" s="294">
        <f>VLOOKUP($B651,'Mother mortality'!$A$23:$I$124,5)</f>
        <v>0.14624098391610749</v>
      </c>
      <c r="D651" s="295">
        <f t="shared" si="43"/>
        <v>0.27</v>
      </c>
      <c r="E651" s="295">
        <f t="shared" si="51"/>
        <v>0.58375901608389247</v>
      </c>
      <c r="F651" s="295">
        <f>VLOOKUP($B651,'Mother mortality'!$A$23:$I$124,5)</f>
        <v>0.14624098391610749</v>
      </c>
      <c r="G651" s="295">
        <f t="shared" si="44"/>
        <v>0.14000000000000001</v>
      </c>
      <c r="H651" s="295">
        <f t="shared" si="52"/>
        <v>0.71375901608389247</v>
      </c>
      <c r="I651" s="295">
        <f>VLOOKUP($B651,'Mother mortality'!$A$23:$I$124,4)</f>
        <v>0.12016234480898272</v>
      </c>
      <c r="J651" s="295">
        <f t="shared" si="53"/>
        <v>0.30840908376244591</v>
      </c>
      <c r="K651" s="295">
        <f t="shared" si="45"/>
        <v>0.5714285714285714</v>
      </c>
      <c r="L651" s="295">
        <f>VLOOKUP($B651,'Mother mortality'!$A$23:$I$124,4)</f>
        <v>0.12016234480898272</v>
      </c>
      <c r="M651" s="295">
        <f t="shared" si="46"/>
        <v>8.6261668788331098E-3</v>
      </c>
      <c r="N651" s="295">
        <f t="shared" si="54"/>
        <v>0.8712114883121842</v>
      </c>
      <c r="O651" s="294"/>
      <c r="P651" s="296">
        <f t="shared" si="62"/>
        <v>1.6692240975164996</v>
      </c>
      <c r="Q651" s="297">
        <f t="shared" si="63"/>
        <v>0.52271576568055722</v>
      </c>
      <c r="R651" s="297">
        <f t="shared" si="64"/>
        <v>8.4929380312716352E-2</v>
      </c>
      <c r="S651" s="297">
        <f t="shared" si="65"/>
        <v>7.6981436690696929</v>
      </c>
      <c r="T651" s="297">
        <f t="shared" si="66"/>
        <v>990.02498708742087</v>
      </c>
      <c r="U651" s="294">
        <f t="shared" si="55"/>
        <v>1000.0000000000003</v>
      </c>
      <c r="V651" s="295" t="str">
        <f>IF(U651=Cohort,"OKAY",IF(U651&gt;Cohort,"Too many","Too Few"))</f>
        <v>OKAY</v>
      </c>
      <c r="W651" s="295"/>
      <c r="X651" s="296">
        <f>SUM($P651:$Q651)-(SUM($P651:$Q651)*(VLOOKUP($B651,Lifetime_morbidity_array!$A$6:$Y$24,4)+VLOOKUP($B651,Lifetime_morbidity_array!$A$6:$Y$24,7)+VLOOKUP($B651,Lifetime_morbidity_array!$A$6:$Y$24,10)+VLOOKUP($B651,Lifetime_morbidity_array!$A$6:$Y$24,13)))</f>
        <v>0.34752005320912205</v>
      </c>
      <c r="Y651" s="297">
        <f>SUM($R651:$S651)-(SUM($R651:$S651)*(VLOOKUP($B651,Lifetime_morbidity_array!$A$6:$Y$24,3)+VLOOKUP($B651,Lifetime_morbidity_array!$A$6:$Y$24,6)+VLOOKUP($B651,Lifetime_morbidity_array!$A$6:$Y$24,9)+VLOOKUP($B651,Lifetime_morbidity_array!$A$6:$Y$24,12)))</f>
        <v>4.5296142742790542</v>
      </c>
      <c r="Z651" s="297">
        <f>(SUM($P651:$Q651)*VLOOKUP($B651,Lifetime_morbidity_array!$A$6:$Y$24,4))+(SUM($R651:$S651)*VLOOKUP($B651,Lifetime_morbidity_array!$A$6:$Y$24,3))</f>
        <v>2.3874232127718171</v>
      </c>
      <c r="AA651" s="297">
        <f>(SUM($P651:$Q651)*VLOOKUP($B651,Lifetime_morbidity_array!$A$6:$Y$24,7))+(SUM($R651:$S651)*VLOOKUP($B651,Lifetime_morbidity_array!$A$6:$Y$24,6))</f>
        <v>1.413430156815785</v>
      </c>
      <c r="AB651" s="297">
        <f>(SUM($P651:$Q651)*VLOOKUP($B651,Lifetime_morbidity_array!$A$6:$Y$24,10))+(SUM($R651:$S651)*VLOOKUP($B651,Lifetime_morbidity_array!$A$6:$Y$24,9))</f>
        <v>6.3375135157625023E-2</v>
      </c>
      <c r="AC651" s="297">
        <f>(SUM($P651:$Q651)*VLOOKUP($B651,Lifetime_morbidity_array!$A$6:$Y$24,13))+(SUM($R651:$S651)*VLOOKUP($B651,Lifetime_morbidity_array!$A$6:$Y$24,12))</f>
        <v>1.2336500803460617</v>
      </c>
      <c r="AD651" s="294"/>
      <c r="AE651" s="294">
        <f t="shared" si="67"/>
        <v>123</v>
      </c>
      <c r="AF651" s="297">
        <f t="shared" si="68"/>
        <v>0.36697787912988039</v>
      </c>
      <c r="AG651" s="297">
        <f t="shared" si="69"/>
        <v>25276.912491500014</v>
      </c>
      <c r="AH651" s="294"/>
      <c r="AI651" s="294">
        <f t="shared" si="70"/>
        <v>123</v>
      </c>
      <c r="AJ651" s="295">
        <f>((VLOOKUP($B651,'Mahawesran Tariff'!$A$21:$M$120,7)*$X651)+(VLOOKUP($B651,'Mahawesran Tariff'!$A$21:$M$120,6)*$Y651)+(DET_UTIL_chd*$Z651)+(DET_UTIL_copd*$AA651)+(DET_UTIL_lc*$AB651)+(DET_UTIL_stroke*$AC651))/((1+Discount_rate_QALYs)^$A651)</f>
        <v>0.2977694413871646</v>
      </c>
      <c r="AK651" s="295">
        <f t="shared" si="71"/>
        <v>23194.693535671468</v>
      </c>
      <c r="AL651" s="294"/>
      <c r="AM651" s="294">
        <f t="shared" si="56"/>
        <v>123</v>
      </c>
      <c r="AN651" s="299">
        <f t="shared" si="57"/>
        <v>1213.6362943984172</v>
      </c>
      <c r="AO651" s="299">
        <f t="shared" si="72"/>
        <v>21639212.152573459</v>
      </c>
      <c r="AP651" s="294"/>
      <c r="AQ651" s="294">
        <f t="shared" si="58"/>
        <v>123</v>
      </c>
      <c r="AR651" s="298">
        <f t="shared" si="48"/>
        <v>9.9750129125794652E-3</v>
      </c>
      <c r="AS651" s="298">
        <f t="shared" si="49"/>
        <v>0.99002498708742082</v>
      </c>
      <c r="AT651" s="298">
        <f t="shared" si="50"/>
        <v>5.0978785850912889E-3</v>
      </c>
      <c r="AU651" s="250"/>
      <c r="AV651" s="294">
        <f t="shared" si="59"/>
        <v>123</v>
      </c>
      <c r="AW651" s="299">
        <f t="shared" si="60"/>
        <v>1213.6362943984172</v>
      </c>
      <c r="AX651" s="299">
        <f t="shared" si="73"/>
        <v>21639212.152573459</v>
      </c>
      <c r="AY651" s="335"/>
      <c r="AZ651" s="335"/>
      <c r="BA651" s="335"/>
      <c r="BB651" s="335"/>
      <c r="BC651" s="335"/>
      <c r="BD651" s="335"/>
      <c r="BE651" s="335"/>
      <c r="BF651" s="335"/>
      <c r="BG651" s="335"/>
      <c r="BH651" s="335"/>
      <c r="BI651" s="335"/>
      <c r="BJ651" s="335"/>
      <c r="BK651" s="364"/>
      <c r="BL651" s="364"/>
      <c r="BM651" s="364"/>
      <c r="BN651" s="364"/>
      <c r="BO651" s="364"/>
      <c r="BP651" s="364"/>
      <c r="BQ651" s="335"/>
      <c r="BR651" s="335"/>
      <c r="BS651" s="364"/>
      <c r="BT651" s="364"/>
      <c r="BU651" s="364"/>
      <c r="BV651" s="364"/>
      <c r="BW651" s="364"/>
      <c r="BX651" s="364"/>
      <c r="BY651" s="335"/>
      <c r="BZ651" s="335"/>
      <c r="CA651" s="364"/>
      <c r="CB651" s="364"/>
      <c r="CC651" s="335"/>
      <c r="CD651" s="335"/>
      <c r="CE651" s="335"/>
      <c r="CF651" s="335"/>
      <c r="CG651" s="335"/>
      <c r="CH651" s="335"/>
      <c r="CI651" s="365"/>
      <c r="CJ651" s="365"/>
      <c r="CK651" s="335"/>
      <c r="CL651" s="335"/>
      <c r="CM651" s="366"/>
      <c r="CN651" s="366"/>
      <c r="CO651" s="366"/>
      <c r="CP651" s="3"/>
    </row>
    <row r="652" spans="1:94" x14ac:dyDescent="0.25">
      <c r="A652" s="34">
        <v>97</v>
      </c>
      <c r="B652" s="33">
        <f t="shared" si="61"/>
        <v>124</v>
      </c>
      <c r="C652" s="294">
        <f>VLOOKUP($B652,'Mother mortality'!$A$23:$I$124,5)</f>
        <v>0.14624098391610749</v>
      </c>
      <c r="D652" s="295">
        <f t="shared" si="43"/>
        <v>0.27</v>
      </c>
      <c r="E652" s="295">
        <f t="shared" si="51"/>
        <v>0.58375901608389247</v>
      </c>
      <c r="F652" s="295">
        <f>VLOOKUP($B652,'Mother mortality'!$A$23:$I$124,5)</f>
        <v>0.14624098391610749</v>
      </c>
      <c r="G652" s="295">
        <f t="shared" si="44"/>
        <v>0.14000000000000001</v>
      </c>
      <c r="H652" s="295">
        <f t="shared" si="52"/>
        <v>0.71375901608389247</v>
      </c>
      <c r="I652" s="295">
        <f>VLOOKUP($B652,'Mother mortality'!$A$23:$I$124,4)</f>
        <v>0.12016234480898272</v>
      </c>
      <c r="J652" s="295">
        <f t="shared" si="53"/>
        <v>0.30840908376244591</v>
      </c>
      <c r="K652" s="295">
        <f t="shared" si="45"/>
        <v>0.5714285714285714</v>
      </c>
      <c r="L652" s="295">
        <f>VLOOKUP($B652,'Mother mortality'!$A$23:$I$124,4)</f>
        <v>0.12016234480898272</v>
      </c>
      <c r="M652" s="295">
        <f t="shared" si="46"/>
        <v>8.6261668788331098E-3</v>
      </c>
      <c r="N652" s="295">
        <f t="shared" si="54"/>
        <v>0.8712114883121842</v>
      </c>
      <c r="O652" s="294"/>
      <c r="P652" s="296">
        <f t="shared" si="62"/>
        <v>1.4401161717068331</v>
      </c>
      <c r="Q652" s="297">
        <f t="shared" si="63"/>
        <v>0.4506905063294549</v>
      </c>
      <c r="R652" s="297">
        <f t="shared" si="64"/>
        <v>7.3180207195278013E-2</v>
      </c>
      <c r="S652" s="297">
        <f t="shared" si="65"/>
        <v>6.7552422776356353</v>
      </c>
      <c r="T652" s="297">
        <f t="shared" si="66"/>
        <v>991.28077083713322</v>
      </c>
      <c r="U652" s="294">
        <f t="shared" si="55"/>
        <v>1000.0000000000005</v>
      </c>
      <c r="V652" s="295" t="str">
        <f>IF(U652=Cohort,"OKAY",IF(U652&gt;Cohort,"Too many","Too Few"))</f>
        <v>OKAY</v>
      </c>
      <c r="W652" s="295"/>
      <c r="X652" s="296">
        <f>SUM($P652:$Q652)-(SUM($P652:$Q652)*(VLOOKUP($B652,Lifetime_morbidity_array!$A$6:$Y$24,4)+VLOOKUP($B652,Lifetime_morbidity_array!$A$6:$Y$24,7)+VLOOKUP($B652,Lifetime_morbidity_array!$A$6:$Y$24,10)+VLOOKUP($B652,Lifetime_morbidity_array!$A$6:$Y$24,13)))</f>
        <v>0.29977703694887414</v>
      </c>
      <c r="Y652" s="297">
        <f>SUM($R652:$S652)-(SUM($R652:$S652)*(VLOOKUP($B652,Lifetime_morbidity_array!$A$6:$Y$24,3)+VLOOKUP($B652,Lifetime_morbidity_array!$A$6:$Y$24,6)+VLOOKUP($B652,Lifetime_morbidity_array!$A$6:$Y$24,9)+VLOOKUP($B652,Lifetime_morbidity_array!$A$6:$Y$24,12)))</f>
        <v>3.9740241112798591</v>
      </c>
      <c r="Z652" s="297">
        <f>(SUM($P652:$Q652)*VLOOKUP($B652,Lifetime_morbidity_array!$A$6:$Y$24,4))+(SUM($R652:$S652)*VLOOKUP($B652,Lifetime_morbidity_array!$A$6:$Y$24,3))</f>
        <v>2.0828867224148522</v>
      </c>
      <c r="AA652" s="297">
        <f>(SUM($P652:$Q652)*VLOOKUP($B652,Lifetime_morbidity_array!$A$6:$Y$24,7))+(SUM($R652:$S652)*VLOOKUP($B652,Lifetime_morbidity_array!$A$6:$Y$24,6))</f>
        <v>1.2305852879387711</v>
      </c>
      <c r="AB652" s="297">
        <f>(SUM($P652:$Q652)*VLOOKUP($B652,Lifetime_morbidity_array!$A$6:$Y$24,10))+(SUM($R652:$S652)*VLOOKUP($B652,Lifetime_morbidity_array!$A$6:$Y$24,9))</f>
        <v>5.5130774317312066E-2</v>
      </c>
      <c r="AC652" s="297">
        <f>(SUM($P652:$Q652)*VLOOKUP($B652,Lifetime_morbidity_array!$A$6:$Y$24,13))+(SUM($R652:$S652)*VLOOKUP($B652,Lifetime_morbidity_array!$A$6:$Y$24,12))</f>
        <v>1.076825229967532</v>
      </c>
      <c r="AD652" s="294"/>
      <c r="AE652" s="294">
        <f t="shared" si="67"/>
        <v>124</v>
      </c>
      <c r="AF652" s="297">
        <f t="shared" si="68"/>
        <v>0.30993038962290709</v>
      </c>
      <c r="AG652" s="297">
        <f t="shared" si="69"/>
        <v>25277.222421889637</v>
      </c>
      <c r="AH652" s="294"/>
      <c r="AI652" s="294">
        <f t="shared" si="70"/>
        <v>124</v>
      </c>
      <c r="AJ652" s="295">
        <f>((VLOOKUP($B652,'Mahawesran Tariff'!$A$21:$M$120,7)*$X652)+(VLOOKUP($B652,'Mahawesran Tariff'!$A$21:$M$120,6)*$Y652)+(DET_UTIL_chd*$Z652)+(DET_UTIL_copd*$AA652)+(DET_UTIL_lc*$AB652)+(DET_UTIL_stroke*$AC652))/((1+Discount_rate_QALYs)^$A652)</f>
        <v>0.25154883674341105</v>
      </c>
      <c r="AK652" s="295">
        <f t="shared" si="71"/>
        <v>23194.94508450821</v>
      </c>
      <c r="AL652" s="294"/>
      <c r="AM652" s="294">
        <f t="shared" si="56"/>
        <v>124</v>
      </c>
      <c r="AN652" s="299">
        <f t="shared" si="57"/>
        <v>1023.3052233908913</v>
      </c>
      <c r="AO652" s="299">
        <f t="shared" si="72"/>
        <v>21640235.457796849</v>
      </c>
      <c r="AP652" s="294"/>
      <c r="AQ652" s="294">
        <f t="shared" si="58"/>
        <v>124</v>
      </c>
      <c r="AR652" s="298">
        <f t="shared" si="48"/>
        <v>8.7192291628672008E-3</v>
      </c>
      <c r="AS652" s="298">
        <f t="shared" si="49"/>
        <v>0.99128077083713317</v>
      </c>
      <c r="AT652" s="298">
        <f t="shared" si="50"/>
        <v>4.4454280146384679E-3</v>
      </c>
      <c r="AU652" s="250"/>
      <c r="AV652" s="294">
        <f t="shared" si="59"/>
        <v>124</v>
      </c>
      <c r="AW652" s="299">
        <f t="shared" si="60"/>
        <v>1023.3052233908913</v>
      </c>
      <c r="AX652" s="299">
        <f t="shared" si="73"/>
        <v>21640235.457796849</v>
      </c>
      <c r="AY652" s="335"/>
      <c r="AZ652" s="335"/>
      <c r="BA652" s="335"/>
      <c r="BB652" s="335"/>
      <c r="BC652" s="335"/>
      <c r="BD652" s="335"/>
      <c r="BE652" s="335"/>
      <c r="BF652" s="335"/>
      <c r="BG652" s="335"/>
      <c r="BH652" s="335"/>
      <c r="BI652" s="335"/>
      <c r="BJ652" s="335"/>
      <c r="BK652" s="364"/>
      <c r="BL652" s="364"/>
      <c r="BM652" s="364"/>
      <c r="BN652" s="364"/>
      <c r="BO652" s="364"/>
      <c r="BP652" s="364"/>
      <c r="BQ652" s="335"/>
      <c r="BR652" s="335"/>
      <c r="BS652" s="364"/>
      <c r="BT652" s="364"/>
      <c r="BU652" s="364"/>
      <c r="BV652" s="364"/>
      <c r="BW652" s="364"/>
      <c r="BX652" s="364"/>
      <c r="BY652" s="335"/>
      <c r="BZ652" s="335"/>
      <c r="CA652" s="364"/>
      <c r="CB652" s="364"/>
      <c r="CC652" s="335"/>
      <c r="CD652" s="335"/>
      <c r="CE652" s="335"/>
      <c r="CF652" s="335"/>
      <c r="CG652" s="335"/>
      <c r="CH652" s="335"/>
      <c r="CI652" s="365"/>
      <c r="CJ652" s="365"/>
      <c r="CK652" s="335"/>
      <c r="CL652" s="335"/>
      <c r="CM652" s="366"/>
      <c r="CN652" s="366"/>
      <c r="CO652" s="366"/>
      <c r="CP652" s="3"/>
    </row>
    <row r="653" spans="1:94" x14ac:dyDescent="0.25">
      <c r="A653" s="34">
        <v>98</v>
      </c>
      <c r="B653" s="33">
        <f t="shared" si="61"/>
        <v>125</v>
      </c>
      <c r="C653" s="294">
        <f>VLOOKUP($B653,'Mother mortality'!$A$23:$I$124,5)</f>
        <v>0.14624098391610749</v>
      </c>
      <c r="D653" s="295">
        <f t="shared" si="43"/>
        <v>0.27</v>
      </c>
      <c r="E653" s="295">
        <f t="shared" si="51"/>
        <v>0.58375901608389247</v>
      </c>
      <c r="F653" s="295">
        <f>VLOOKUP($B653,'Mother mortality'!$A$23:$I$124,5)</f>
        <v>0.14624098391610749</v>
      </c>
      <c r="G653" s="295">
        <f t="shared" si="44"/>
        <v>0.14000000000000001</v>
      </c>
      <c r="H653" s="295">
        <f t="shared" si="52"/>
        <v>0.71375901608389247</v>
      </c>
      <c r="I653" s="295">
        <f>VLOOKUP($B653,'Mother mortality'!$A$23:$I$124,4)</f>
        <v>0.12016234480898272</v>
      </c>
      <c r="J653" s="295">
        <f t="shared" si="53"/>
        <v>0.30840908376244591</v>
      </c>
      <c r="K653" s="295">
        <f t="shared" si="45"/>
        <v>0.5714285714285714</v>
      </c>
      <c r="L653" s="295">
        <f>VLOOKUP($B653,'Mother mortality'!$A$23:$I$124,4)</f>
        <v>0.12016234480898272</v>
      </c>
      <c r="M653" s="295">
        <f t="shared" si="46"/>
        <v>8.6261668788331098E-3</v>
      </c>
      <c r="N653" s="295">
        <f t="shared" si="54"/>
        <v>0.8712114883121842</v>
      </c>
      <c r="O653" s="294"/>
      <c r="P653" s="296">
        <f t="shared" si="62"/>
        <v>1.2432064996426213</v>
      </c>
      <c r="Q653" s="297">
        <f t="shared" si="63"/>
        <v>0.38883136636084498</v>
      </c>
      <c r="R653" s="297">
        <f t="shared" si="64"/>
        <v>6.3096670886123696E-2</v>
      </c>
      <c r="S653" s="297">
        <f t="shared" si="65"/>
        <v>5.9270619398627753</v>
      </c>
      <c r="T653" s="297">
        <f t="shared" si="66"/>
        <v>992.37780352324808</v>
      </c>
      <c r="U653" s="294">
        <f t="shared" si="55"/>
        <v>1000.0000000000005</v>
      </c>
      <c r="V653" s="295" t="str">
        <f>IF(U653=Cohort,"OKAY",IF(U653&gt;Cohort,"Too many","Too Few"))</f>
        <v>OKAY</v>
      </c>
      <c r="W653" s="295"/>
      <c r="X653" s="296">
        <f>SUM($P653:$Q653)-(SUM($P653:$Q653)*(VLOOKUP($B653,Lifetime_morbidity_array!$A$6:$Y$24,4)+VLOOKUP($B653,Lifetime_morbidity_array!$A$6:$Y$24,7)+VLOOKUP($B653,Lifetime_morbidity_array!$A$6:$Y$24,10)+VLOOKUP($B653,Lifetime_morbidity_array!$A$6:$Y$24,13)))</f>
        <v>0.25875065988607293</v>
      </c>
      <c r="Y653" s="297">
        <f>SUM($R653:$S653)-(SUM($R653:$S653)*(VLOOKUP($B653,Lifetime_morbidity_array!$A$6:$Y$24,3)+VLOOKUP($B653,Lifetime_morbidity_array!$A$6:$Y$24,6)+VLOOKUP($B653,Lifetime_morbidity_array!$A$6:$Y$24,9)+VLOOKUP($B653,Lifetime_morbidity_array!$A$6:$Y$24,12)))</f>
        <v>3.4861689947259107</v>
      </c>
      <c r="Z653" s="297">
        <f>(SUM($P653:$Q653)*VLOOKUP($B653,Lifetime_morbidity_array!$A$6:$Y$24,4))+(SUM($R653:$S653)*VLOOKUP($B653,Lifetime_morbidity_array!$A$6:$Y$24,3))</f>
        <v>1.8175269359807971</v>
      </c>
      <c r="AA653" s="297">
        <f>(SUM($P653:$Q653)*VLOOKUP($B653,Lifetime_morbidity_array!$A$6:$Y$24,7))+(SUM($R653:$S653)*VLOOKUP($B653,Lifetime_morbidity_array!$A$6:$Y$24,6))</f>
        <v>1.0716915519260244</v>
      </c>
      <c r="AB653" s="297">
        <f>(SUM($P653:$Q653)*VLOOKUP($B653,Lifetime_morbidity_array!$A$6:$Y$24,10))+(SUM($R653:$S653)*VLOOKUP($B653,Lifetime_morbidity_array!$A$6:$Y$24,9))</f>
        <v>4.7973991381464964E-2</v>
      </c>
      <c r="AC653" s="297">
        <f>(SUM($P653:$Q653)*VLOOKUP($B653,Lifetime_morbidity_array!$A$6:$Y$24,13))+(SUM($R653:$S653)*VLOOKUP($B653,Lifetime_morbidity_array!$A$6:$Y$24,12))</f>
        <v>0.94008434285209508</v>
      </c>
      <c r="AD653" s="294"/>
      <c r="AE653" s="294">
        <f t="shared" si="67"/>
        <v>125</v>
      </c>
      <c r="AF653" s="297">
        <f t="shared" si="68"/>
        <v>0.26177360846392589</v>
      </c>
      <c r="AG653" s="297">
        <f t="shared" si="69"/>
        <v>25277.484195498102</v>
      </c>
      <c r="AH653" s="294"/>
      <c r="AI653" s="294">
        <f t="shared" si="70"/>
        <v>125</v>
      </c>
      <c r="AJ653" s="295">
        <f>((VLOOKUP($B653,'Mahawesran Tariff'!$A$21:$M$120,7)*$X653)+(VLOOKUP($B653,'Mahawesran Tariff'!$A$21:$M$120,6)*$Y653)+(DET_UTIL_chd*$Z653)+(DET_UTIL_copd*$AA653)+(DET_UTIL_lc*$AB653)+(DET_UTIL_stroke*$AC653))/((1+Discount_rate_QALYs)^$A653)</f>
        <v>0.2125180249966846</v>
      </c>
      <c r="AK653" s="295">
        <f t="shared" si="71"/>
        <v>23195.157602533207</v>
      </c>
      <c r="AL653" s="294"/>
      <c r="AM653" s="294">
        <f t="shared" si="56"/>
        <v>125</v>
      </c>
      <c r="AN653" s="299">
        <f t="shared" si="57"/>
        <v>862.96844965302137</v>
      </c>
      <c r="AO653" s="299">
        <f t="shared" si="72"/>
        <v>21641098.426246502</v>
      </c>
      <c r="AP653" s="294"/>
      <c r="AQ653" s="294">
        <f t="shared" si="58"/>
        <v>125</v>
      </c>
      <c r="AR653" s="298">
        <f t="shared" si="48"/>
        <v>7.6221964767523654E-3</v>
      </c>
      <c r="AS653" s="298">
        <f t="shared" si="49"/>
        <v>0.99237780352324811</v>
      </c>
      <c r="AT653" s="298">
        <f t="shared" si="50"/>
        <v>3.8772768221403808E-3</v>
      </c>
      <c r="AU653" s="250"/>
      <c r="AV653" s="294">
        <f t="shared" si="59"/>
        <v>125</v>
      </c>
      <c r="AW653" s="299">
        <f t="shared" si="60"/>
        <v>862.96844965302137</v>
      </c>
      <c r="AX653" s="299">
        <f t="shared" si="73"/>
        <v>21641098.426246502</v>
      </c>
      <c r="AY653" s="335"/>
      <c r="AZ653" s="335"/>
      <c r="BA653" s="335"/>
      <c r="BB653" s="335"/>
      <c r="BC653" s="335"/>
      <c r="BD653" s="335"/>
      <c r="BE653" s="335"/>
      <c r="BF653" s="335"/>
      <c r="BG653" s="335"/>
      <c r="BH653" s="335"/>
      <c r="BI653" s="335"/>
      <c r="BJ653" s="335"/>
      <c r="BK653" s="364"/>
      <c r="BL653" s="364"/>
      <c r="BM653" s="364"/>
      <c r="BN653" s="364"/>
      <c r="BO653" s="364"/>
      <c r="BP653" s="364"/>
      <c r="BQ653" s="335"/>
      <c r="BR653" s="335"/>
      <c r="BS653" s="364"/>
      <c r="BT653" s="364"/>
      <c r="BU653" s="364"/>
      <c r="BV653" s="364"/>
      <c r="BW653" s="364"/>
      <c r="BX653" s="364"/>
      <c r="BY653" s="335"/>
      <c r="BZ653" s="335"/>
      <c r="CA653" s="364"/>
      <c r="CB653" s="364"/>
      <c r="CC653" s="335"/>
      <c r="CD653" s="335"/>
      <c r="CE653" s="335"/>
      <c r="CF653" s="335"/>
      <c r="CG653" s="335"/>
      <c r="CH653" s="335"/>
      <c r="CI653" s="365"/>
      <c r="CJ653" s="365"/>
      <c r="CK653" s="335"/>
      <c r="CL653" s="335"/>
      <c r="CM653" s="366"/>
      <c r="CN653" s="366"/>
      <c r="CO653" s="366"/>
      <c r="CP653" s="3"/>
    </row>
    <row r="654" spans="1:94" x14ac:dyDescent="0.25">
      <c r="A654" s="34">
        <v>99</v>
      </c>
      <c r="B654" s="33">
        <f t="shared" si="61"/>
        <v>126</v>
      </c>
      <c r="C654" s="294">
        <f>VLOOKUP($B654,'Mother mortality'!$A$23:$I$124,5)</f>
        <v>0.14624098391610749</v>
      </c>
      <c r="D654" s="295">
        <f t="shared" si="43"/>
        <v>0.27</v>
      </c>
      <c r="E654" s="295">
        <f t="shared" si="51"/>
        <v>0.58375901608389247</v>
      </c>
      <c r="F654" s="295">
        <f>VLOOKUP($B654,'Mother mortality'!$A$23:$I$124,5)</f>
        <v>0.14624098391610749</v>
      </c>
      <c r="G654" s="295">
        <f t="shared" si="44"/>
        <v>0.14000000000000001</v>
      </c>
      <c r="H654" s="295">
        <f t="shared" si="52"/>
        <v>0.71375901608389247</v>
      </c>
      <c r="I654" s="295">
        <f>VLOOKUP($B654,'Mother mortality'!$A$23:$I$124,4)</f>
        <v>0.12016234480898272</v>
      </c>
      <c r="J654" s="295">
        <f t="shared" si="53"/>
        <v>0.30840908376244591</v>
      </c>
      <c r="K654" s="295">
        <f t="shared" si="45"/>
        <v>0.5714285714285714</v>
      </c>
      <c r="L654" s="295">
        <f>VLOOKUP($B654,'Mother mortality'!$A$23:$I$124,4)</f>
        <v>0.12016234480898272</v>
      </c>
      <c r="M654" s="295">
        <f t="shared" si="46"/>
        <v>8.6261668788331098E-3</v>
      </c>
      <c r="N654" s="295">
        <f t="shared" si="54"/>
        <v>0.8712114883121842</v>
      </c>
      <c r="O654" s="294"/>
      <c r="P654" s="296">
        <f t="shared" si="62"/>
        <v>1.0738523083476352</v>
      </c>
      <c r="Q654" s="297">
        <f t="shared" si="63"/>
        <v>0.33566575490350775</v>
      </c>
      <c r="R654" s="297">
        <f t="shared" si="64"/>
        <v>5.4436391290518304E-2</v>
      </c>
      <c r="S654" s="297">
        <f t="shared" si="65"/>
        <v>5.1997796944527064</v>
      </c>
      <c r="T654" s="297">
        <f t="shared" si="66"/>
        <v>993.33626585100615</v>
      </c>
      <c r="U654" s="294">
        <f t="shared" si="55"/>
        <v>1000.0000000000006</v>
      </c>
      <c r="V654" s="295" t="str">
        <f>IF(U654=Cohort,"OKAY",IF(U654&gt;Cohort,"Too many","Too Few"))</f>
        <v>OKAY</v>
      </c>
      <c r="W654" s="295"/>
      <c r="X654" s="296">
        <f>SUM($P654:$Q654)-(SUM($P654:$Q654)*(VLOOKUP($B654,Lifetime_morbidity_array!$A$6:$Y$24,4)+VLOOKUP($B654,Lifetime_morbidity_array!$A$6:$Y$24,7)+VLOOKUP($B654,Lifetime_morbidity_array!$A$6:$Y$24,10)+VLOOKUP($B654,Lifetime_morbidity_array!$A$6:$Y$24,13)))</f>
        <v>0.22347136459565342</v>
      </c>
      <c r="Y654" s="297">
        <f>SUM($R654:$S654)-(SUM($R654:$S654)*(VLOOKUP($B654,Lifetime_morbidity_array!$A$6:$Y$24,3)+VLOOKUP($B654,Lifetime_morbidity_array!$A$6:$Y$24,6)+VLOOKUP($B654,Lifetime_morbidity_array!$A$6:$Y$24,9)+VLOOKUP($B654,Lifetime_morbidity_array!$A$6:$Y$24,12)))</f>
        <v>3.0578631385218253</v>
      </c>
      <c r="Z654" s="297">
        <f>(SUM($P654:$Q654)*VLOOKUP($B654,Lifetime_morbidity_array!$A$6:$Y$24,4))+(SUM($R654:$S654)*VLOOKUP($B654,Lifetime_morbidity_array!$A$6:$Y$24,3))</f>
        <v>1.5862483794669742</v>
      </c>
      <c r="AA654" s="297">
        <f>(SUM($P654:$Q654)*VLOOKUP($B654,Lifetime_morbidity_array!$A$6:$Y$24,7))+(SUM($R654:$S654)*VLOOKUP($B654,Lifetime_morbidity_array!$A$6:$Y$24,6))</f>
        <v>0.93356209975536442</v>
      </c>
      <c r="AB654" s="297">
        <f>(SUM($P654:$Q654)*VLOOKUP($B654,Lifetime_morbidity_array!$A$6:$Y$24,10))+(SUM($R654:$S654)*VLOOKUP($B654,Lifetime_morbidity_array!$A$6:$Y$24,9))</f>
        <v>4.1758825202769093E-2</v>
      </c>
      <c r="AC654" s="297">
        <f>(SUM($P654:$Q654)*VLOOKUP($B654,Lifetime_morbidity_array!$A$6:$Y$24,13))+(SUM($R654:$S654)*VLOOKUP($B654,Lifetime_morbidity_array!$A$6:$Y$24,12))</f>
        <v>0.82083034145178102</v>
      </c>
      <c r="AD654" s="294"/>
      <c r="AE654" s="294">
        <f t="shared" si="67"/>
        <v>126</v>
      </c>
      <c r="AF654" s="297">
        <f t="shared" si="68"/>
        <v>0.22111745798535218</v>
      </c>
      <c r="AG654" s="297">
        <f t="shared" si="69"/>
        <v>25277.705312956088</v>
      </c>
      <c r="AH654" s="294"/>
      <c r="AI654" s="294">
        <f t="shared" si="70"/>
        <v>126</v>
      </c>
      <c r="AJ654" s="295">
        <f>((VLOOKUP($B654,'Mahawesran Tariff'!$A$21:$M$120,7)*$X654)+(VLOOKUP($B654,'Mahawesran Tariff'!$A$21:$M$120,6)*$Y654)+(DET_UTIL_chd*$Z654)+(DET_UTIL_copd*$AA654)+(DET_UTIL_lc*$AB654)+(DET_UTIL_stroke*$AC654))/((1+Discount_rate_QALYs)^$A654)</f>
        <v>0.17955556038840945</v>
      </c>
      <c r="AK654" s="295">
        <f t="shared" si="71"/>
        <v>23195.337158093596</v>
      </c>
      <c r="AL654" s="294"/>
      <c r="AM654" s="294">
        <f t="shared" si="56"/>
        <v>126</v>
      </c>
      <c r="AN654" s="299">
        <f t="shared" si="57"/>
        <v>727.87055625074879</v>
      </c>
      <c r="AO654" s="299">
        <f t="shared" si="72"/>
        <v>21641826.296802752</v>
      </c>
      <c r="AP654" s="294"/>
      <c r="AQ654" s="294">
        <f t="shared" si="58"/>
        <v>126</v>
      </c>
      <c r="AR654" s="298">
        <f t="shared" si="48"/>
        <v>6.6637341489943682E-3</v>
      </c>
      <c r="AS654" s="298">
        <f t="shared" si="49"/>
        <v>0.99333626585100609</v>
      </c>
      <c r="AT654" s="298">
        <f t="shared" si="50"/>
        <v>3.3823996458768888E-3</v>
      </c>
      <c r="AU654" s="250"/>
      <c r="AV654" s="294">
        <f t="shared" si="59"/>
        <v>126</v>
      </c>
      <c r="AW654" s="299">
        <f t="shared" si="60"/>
        <v>727.87055625074879</v>
      </c>
      <c r="AX654" s="299">
        <f t="shared" si="73"/>
        <v>21641826.296802752</v>
      </c>
      <c r="AY654" s="335"/>
      <c r="AZ654" s="335"/>
      <c r="BA654" s="335"/>
      <c r="BB654" s="335"/>
      <c r="BC654" s="335"/>
      <c r="BD654" s="335"/>
      <c r="BE654" s="335"/>
      <c r="BF654" s="335"/>
      <c r="BG654" s="335"/>
      <c r="BH654" s="335"/>
      <c r="BI654" s="335"/>
      <c r="BJ654" s="335"/>
      <c r="BK654" s="364"/>
      <c r="BL654" s="364"/>
      <c r="BM654" s="364"/>
      <c r="BN654" s="364"/>
      <c r="BO654" s="364"/>
      <c r="BP654" s="364"/>
      <c r="BQ654" s="335"/>
      <c r="BR654" s="335"/>
      <c r="BS654" s="364"/>
      <c r="BT654" s="364"/>
      <c r="BU654" s="364"/>
      <c r="BV654" s="364"/>
      <c r="BW654" s="364"/>
      <c r="BX654" s="364"/>
      <c r="BY654" s="335"/>
      <c r="BZ654" s="335"/>
      <c r="CA654" s="364"/>
      <c r="CB654" s="364"/>
      <c r="CC654" s="335"/>
      <c r="CD654" s="335"/>
      <c r="CE654" s="335"/>
      <c r="CF654" s="335"/>
      <c r="CG654" s="335"/>
      <c r="CH654" s="335"/>
      <c r="CI654" s="365"/>
      <c r="CJ654" s="365"/>
      <c r="CK654" s="335"/>
      <c r="CL654" s="335"/>
      <c r="CM654" s="366"/>
      <c r="CN654" s="366"/>
      <c r="CO654" s="366"/>
      <c r="CP654" s="3"/>
    </row>
    <row r="655" spans="1:94" s="3" customFormat="1" ht="15.75" thickBot="1" x14ac:dyDescent="0.3">
      <c r="A655" s="34">
        <v>100</v>
      </c>
      <c r="B655" s="33">
        <f t="shared" si="61"/>
        <v>127</v>
      </c>
      <c r="C655" s="294">
        <f>VLOOKUP($B655,'Mother mortality'!$A$23:$I$124,5)</f>
        <v>0.14624098391610749</v>
      </c>
      <c r="D655" s="295">
        <f t="shared" si="43"/>
        <v>0.27</v>
      </c>
      <c r="E655" s="295">
        <f t="shared" si="51"/>
        <v>0.58375901608389247</v>
      </c>
      <c r="F655" s="295">
        <f>VLOOKUP($B655,'Mother mortality'!$A$23:$I$124,5)</f>
        <v>0.14624098391610749</v>
      </c>
      <c r="G655" s="295">
        <f t="shared" si="44"/>
        <v>0.14000000000000001</v>
      </c>
      <c r="H655" s="295">
        <f t="shared" si="52"/>
        <v>0.71375901608389247</v>
      </c>
      <c r="I655" s="295">
        <f>VLOOKUP($B655,'Mother mortality'!$A$23:$I$124,4)</f>
        <v>0.12016234480898272</v>
      </c>
      <c r="J655" s="295">
        <f t="shared" si="53"/>
        <v>0.30840908376244591</v>
      </c>
      <c r="K655" s="295">
        <f t="shared" si="45"/>
        <v>0.5714285714285714</v>
      </c>
      <c r="L655" s="295">
        <f>VLOOKUP($B655,'Mother mortality'!$A$23:$I$124,4)</f>
        <v>0.12016234480898272</v>
      </c>
      <c r="M655" s="295">
        <f t="shared" si="46"/>
        <v>8.6261668788331098E-3</v>
      </c>
      <c r="N655" s="295">
        <f t="shared" si="54"/>
        <v>0.8712114883121842</v>
      </c>
      <c r="O655" s="294"/>
      <c r="P655" s="296">
        <f t="shared" si="62"/>
        <v>0.92809827083217655</v>
      </c>
      <c r="Q655" s="297">
        <f t="shared" si="63"/>
        <v>0.28994012325386154</v>
      </c>
      <c r="R655" s="297">
        <f t="shared" si="64"/>
        <v>4.6993205686491089E-2</v>
      </c>
      <c r="S655" s="297">
        <f t="shared" si="65"/>
        <v>4.5612143158084839</v>
      </c>
      <c r="T655" s="297">
        <f t="shared" si="66"/>
        <v>994.17375408441956</v>
      </c>
      <c r="U655" s="294">
        <f t="shared" si="55"/>
        <v>1000.0000000000006</v>
      </c>
      <c r="V655" s="295" t="str">
        <f>IF(U655=Cohort,"OKAY",IF(U655&gt;Cohort,"Too many","Too Few"))</f>
        <v>OKAY</v>
      </c>
      <c r="W655" s="295"/>
      <c r="X655" s="296">
        <f>SUM($P655:$Q655)-(SUM($P655:$Q655)*(VLOOKUP($B655,Lifetime_morbidity_array!$A$6:$Y$24,4)+VLOOKUP($B655,Lifetime_morbidity_array!$A$6:$Y$24,7)+VLOOKUP($B655,Lifetime_morbidity_array!$A$6:$Y$24,10)+VLOOKUP($B655,Lifetime_morbidity_array!$A$6:$Y$24,13)))</f>
        <v>0.19311331238172724</v>
      </c>
      <c r="Y655" s="297">
        <f>SUM($R655:$S655)-(SUM($R655:$S655)*(VLOOKUP($B655,Lifetime_morbidity_array!$A$6:$Y$24,3)+VLOOKUP($B655,Lifetime_morbidity_array!$A$6:$Y$24,6)+VLOOKUP($B655,Lifetime_morbidity_array!$A$6:$Y$24,9)+VLOOKUP($B655,Lifetime_morbidity_array!$A$6:$Y$24,12)))</f>
        <v>2.6818972963205141</v>
      </c>
      <c r="Z655" s="297">
        <f>(SUM($P655:$Q655)*VLOOKUP($B655,Lifetime_morbidity_array!$A$6:$Y$24,4))+(SUM($R655:$S655)*VLOOKUP($B655,Lifetime_morbidity_array!$A$6:$Y$24,3))</f>
        <v>1.3846276048779731</v>
      </c>
      <c r="AA655" s="297">
        <f>(SUM($P655:$Q655)*VLOOKUP($B655,Lifetime_morbidity_array!$A$6:$Y$24,7))+(SUM($R655:$S655)*VLOOKUP($B655,Lifetime_morbidity_array!$A$6:$Y$24,6))</f>
        <v>0.8134422211268022</v>
      </c>
      <c r="AB655" s="297">
        <f>(SUM($P655:$Q655)*VLOOKUP($B655,Lifetime_morbidity_array!$A$6:$Y$24,10))+(SUM($R655:$S655)*VLOOKUP($B655,Lifetime_morbidity_array!$A$6:$Y$24,9))</f>
        <v>3.6359309161019329E-2</v>
      </c>
      <c r="AC655" s="297">
        <f>(SUM($P655:$Q655)*VLOOKUP($B655,Lifetime_morbidity_array!$A$6:$Y$24,13))+(SUM($R655:$S655)*VLOOKUP($B655,Lifetime_morbidity_array!$A$6:$Y$24,12))</f>
        <v>0.71680617171297734</v>
      </c>
      <c r="AD655" s="294"/>
      <c r="AE655" s="294">
        <f t="shared" si="67"/>
        <v>127</v>
      </c>
      <c r="AF655" s="297">
        <f t="shared" si="68"/>
        <v>0.1867900903587299</v>
      </c>
      <c r="AG655" s="297">
        <f t="shared" si="69"/>
        <v>25277.892103046448</v>
      </c>
      <c r="AH655" s="294"/>
      <c r="AI655" s="294">
        <f t="shared" si="70"/>
        <v>127</v>
      </c>
      <c r="AJ655" s="295">
        <f>((VLOOKUP($B655,'Mahawesran Tariff'!$A$21:$M$120,7)*$X655)+(VLOOKUP($B655,'Mahawesran Tariff'!$A$21:$M$120,6)*$Y655)+(DET_UTIL_chd*$Z655)+(DET_UTIL_copd*$AA655)+(DET_UTIL_lc*$AB655)+(DET_UTIL_stroke*$AC655))/((1+Discount_rate_QALYs)^$A655)</f>
        <v>0.15171552242717384</v>
      </c>
      <c r="AK655" s="295">
        <f t="shared" si="71"/>
        <v>23195.488873616025</v>
      </c>
      <c r="AL655" s="294"/>
      <c r="AM655" s="294">
        <f t="shared" si="56"/>
        <v>127</v>
      </c>
      <c r="AN655" s="299">
        <f t="shared" si="57"/>
        <v>614.01567896378458</v>
      </c>
      <c r="AO655" s="299">
        <f t="shared" si="72"/>
        <v>21642440.312481716</v>
      </c>
      <c r="AP655" s="294"/>
      <c r="AQ655" s="294">
        <f t="shared" si="58"/>
        <v>127</v>
      </c>
      <c r="AR655" s="298">
        <f t="shared" si="48"/>
        <v>5.8262459155810128E-3</v>
      </c>
      <c r="AS655" s="298">
        <f t="shared" si="49"/>
        <v>0.99417375408441955</v>
      </c>
      <c r="AT655" s="298">
        <f t="shared" si="50"/>
        <v>2.9512353068787719E-3</v>
      </c>
      <c r="AU655" s="250"/>
      <c r="AV655" s="294">
        <f t="shared" si="59"/>
        <v>127</v>
      </c>
      <c r="AW655" s="299">
        <f t="shared" si="60"/>
        <v>614.01567896378458</v>
      </c>
      <c r="AX655" s="299">
        <f t="shared" si="73"/>
        <v>21642440.312481716</v>
      </c>
      <c r="AY655" s="335"/>
      <c r="AZ655" s="335"/>
      <c r="BA655" s="335"/>
      <c r="BB655" s="335"/>
      <c r="BC655" s="335"/>
      <c r="BD655" s="335"/>
      <c r="BE655" s="335"/>
      <c r="BF655" s="335"/>
      <c r="BG655" s="335"/>
      <c r="BH655" s="335"/>
      <c r="BI655" s="335"/>
      <c r="BJ655" s="335"/>
      <c r="BK655" s="364"/>
      <c r="BL655" s="364"/>
      <c r="BM655" s="364"/>
      <c r="BN655" s="364"/>
      <c r="BO655" s="364"/>
      <c r="BP655" s="364"/>
      <c r="BQ655" s="335"/>
      <c r="BR655" s="335"/>
      <c r="BS655" s="364"/>
      <c r="BT655" s="364"/>
      <c r="BU655" s="364"/>
      <c r="BV655" s="364"/>
      <c r="BW655" s="364"/>
      <c r="BX655" s="364"/>
      <c r="BY655" s="335"/>
      <c r="BZ655" s="335"/>
      <c r="CA655" s="364"/>
      <c r="CB655" s="364"/>
      <c r="CC655" s="335"/>
      <c r="CD655" s="335"/>
      <c r="CE655" s="335"/>
      <c r="CF655" s="335"/>
      <c r="CG655" s="335"/>
      <c r="CH655" s="335"/>
      <c r="CI655" s="365"/>
      <c r="CJ655" s="365"/>
      <c r="CK655" s="335"/>
      <c r="CL655" s="335"/>
      <c r="CM655" s="366"/>
      <c r="CN655" s="366"/>
      <c r="CO655" s="366"/>
    </row>
    <row r="656" spans="1:94" s="378" customFormat="1" x14ac:dyDescent="0.25">
      <c r="A656" s="377"/>
    </row>
    <row r="657" spans="1:208" s="30" customFormat="1" x14ac:dyDescent="0.25">
      <c r="A657" s="379"/>
    </row>
    <row r="658" spans="1:208" s="271" customFormat="1" x14ac:dyDescent="0.25">
      <c r="A658" s="160" t="s">
        <v>953</v>
      </c>
      <c r="DC658" s="271">
        <v>54.994125393537452</v>
      </c>
      <c r="GT658" s="575" t="s">
        <v>1088</v>
      </c>
      <c r="GU658" s="575"/>
      <c r="GV658" s="575"/>
      <c r="GW658" s="575"/>
      <c r="GX658" s="575"/>
      <c r="GY658" s="575"/>
      <c r="GZ658" s="575"/>
    </row>
    <row r="659" spans="1:208" s="271" customFormat="1" x14ac:dyDescent="0.25">
      <c r="A659" s="160" t="s">
        <v>107</v>
      </c>
      <c r="B659" s="575" t="s">
        <v>848</v>
      </c>
      <c r="C659" s="575"/>
      <c r="D659" s="575"/>
      <c r="E659" s="575"/>
      <c r="F659" s="575"/>
      <c r="G659" s="575"/>
      <c r="H659" s="575"/>
      <c r="I659" s="575"/>
      <c r="J659" s="575"/>
      <c r="K659" s="575"/>
      <c r="L659" s="575"/>
      <c r="M659" s="575"/>
      <c r="N659" s="575"/>
      <c r="O659" s="575"/>
      <c r="P659" s="575"/>
      <c r="Q659" s="575"/>
      <c r="R659" s="575"/>
      <c r="S659" s="575"/>
      <c r="T659" s="575"/>
      <c r="U659" s="575"/>
      <c r="V659" s="575"/>
      <c r="W659" s="575"/>
      <c r="X659" s="575"/>
      <c r="Y659" s="575"/>
      <c r="Z659" s="575"/>
      <c r="AB659" s="575" t="s">
        <v>898</v>
      </c>
      <c r="AC659" s="575"/>
      <c r="AD659" s="575"/>
      <c r="AE659" s="575"/>
      <c r="AF659" s="575"/>
      <c r="AG659" s="575"/>
      <c r="AH659" s="576"/>
      <c r="AJ659" s="583" t="s">
        <v>899</v>
      </c>
      <c r="AK659" s="575"/>
      <c r="AL659" s="575"/>
      <c r="AM659" s="575"/>
      <c r="AN659" s="575"/>
      <c r="AO659" s="575"/>
      <c r="AP659" s="575"/>
      <c r="AQ659" s="274"/>
      <c r="AR659" s="274"/>
      <c r="AS659" s="274" t="s">
        <v>854</v>
      </c>
      <c r="AT659" s="274"/>
      <c r="AU659" s="274"/>
      <c r="AV659" s="274"/>
      <c r="AW659" s="274"/>
      <c r="AX659" s="274"/>
      <c r="AY659" s="274"/>
      <c r="AZ659" s="274"/>
      <c r="BA659" s="274"/>
      <c r="BB659" s="274"/>
      <c r="BC659" s="274"/>
      <c r="BD659" s="274"/>
      <c r="BE659" s="274"/>
      <c r="BF659" s="274"/>
      <c r="BG659" s="274"/>
      <c r="BH659" s="274"/>
      <c r="BI659" s="274"/>
      <c r="BL659" s="274"/>
      <c r="BM659" s="274"/>
      <c r="BN659" s="274"/>
      <c r="BO659" s="274"/>
      <c r="BP659" s="274"/>
      <c r="BQ659" s="274"/>
      <c r="BS659" s="583" t="s">
        <v>900</v>
      </c>
      <c r="BT659" s="575"/>
      <c r="BU659" s="575"/>
      <c r="BV659" s="575"/>
      <c r="BW659" s="575"/>
      <c r="BX659" s="575"/>
      <c r="BY659" s="576"/>
      <c r="BZ659" s="274"/>
      <c r="CA659" s="583" t="s">
        <v>901</v>
      </c>
      <c r="CB659" s="575"/>
      <c r="CC659" s="575"/>
      <c r="CD659" s="575"/>
      <c r="CE659" s="575"/>
      <c r="CF659" s="575"/>
      <c r="CG659" s="576"/>
      <c r="CH659" s="274"/>
      <c r="CI659" s="274" t="s">
        <v>855</v>
      </c>
      <c r="CJ659" s="274"/>
      <c r="CK659" s="274"/>
      <c r="CL659" s="274"/>
      <c r="CM659" s="274"/>
      <c r="CN659" s="274"/>
      <c r="CO659" s="274"/>
      <c r="CP659" s="274"/>
      <c r="CQ659" s="274"/>
      <c r="CR659" s="274"/>
      <c r="CS659" s="274"/>
      <c r="CT659" s="274"/>
      <c r="CU659" s="274"/>
      <c r="CV659" s="274"/>
      <c r="CW659" s="274"/>
      <c r="CX659" s="274"/>
      <c r="DA659" s="274"/>
      <c r="DB659" s="274"/>
      <c r="DC659" s="274"/>
      <c r="DD659" s="274"/>
      <c r="DE659" s="274"/>
      <c r="DF659" s="274"/>
      <c r="DJ659" s="583" t="s">
        <v>902</v>
      </c>
      <c r="DK659" s="575"/>
      <c r="DL659" s="575"/>
      <c r="DM659" s="575"/>
      <c r="DN659" s="575"/>
      <c r="DO659" s="575"/>
      <c r="DP659" s="576"/>
      <c r="DQ659" s="274"/>
      <c r="DR659" s="583" t="s">
        <v>903</v>
      </c>
      <c r="DS659" s="575"/>
      <c r="DT659" s="575"/>
      <c r="DU659" s="575"/>
      <c r="DV659" s="575"/>
      <c r="DW659" s="575"/>
      <c r="DX659" s="576"/>
      <c r="DY659" s="372"/>
      <c r="DZ659" s="274" t="s">
        <v>856</v>
      </c>
      <c r="EA659" s="274"/>
      <c r="EB659" s="274"/>
      <c r="EC659" s="274"/>
      <c r="ED659" s="274"/>
      <c r="EE659" s="274"/>
      <c r="EF659" s="274"/>
      <c r="EG659" s="274"/>
      <c r="EH659" s="274"/>
      <c r="EI659" s="274"/>
      <c r="EJ659" s="274"/>
      <c r="EK659" s="274"/>
      <c r="EL659" s="274"/>
      <c r="EM659" s="274"/>
      <c r="EP659" s="274"/>
      <c r="EQ659" s="274"/>
      <c r="ER659" s="274"/>
      <c r="ES659" s="274"/>
      <c r="ET659" s="274"/>
      <c r="EU659" s="274"/>
      <c r="FA659" s="583" t="s">
        <v>904</v>
      </c>
      <c r="FB659" s="575"/>
      <c r="FC659" s="575"/>
      <c r="FD659" s="575"/>
      <c r="FE659" s="575"/>
      <c r="FF659" s="575"/>
      <c r="FG659" s="576"/>
      <c r="FH659" s="372"/>
      <c r="FI659" s="583" t="s">
        <v>905</v>
      </c>
      <c r="FJ659" s="575"/>
      <c r="FK659" s="575"/>
      <c r="FL659" s="575"/>
      <c r="FM659" s="575"/>
      <c r="FN659" s="575"/>
      <c r="FO659" s="576"/>
      <c r="FT659" s="583" t="s">
        <v>1026</v>
      </c>
      <c r="FU659" s="575"/>
      <c r="FV659" s="575"/>
      <c r="FW659" s="576"/>
      <c r="FY659" s="583" t="s">
        <v>823</v>
      </c>
      <c r="FZ659" s="575"/>
      <c r="GA659" s="576"/>
      <c r="GC659" s="583" t="s">
        <v>824</v>
      </c>
      <c r="GD659" s="575"/>
      <c r="GE659" s="576"/>
      <c r="GG659" s="583" t="s">
        <v>1032</v>
      </c>
      <c r="GH659" s="575"/>
      <c r="GI659" s="576"/>
      <c r="GK659" s="583" t="s">
        <v>829</v>
      </c>
      <c r="GL659" s="575"/>
      <c r="GM659" s="575"/>
      <c r="GN659" s="576"/>
      <c r="GP659" s="593" t="s">
        <v>1033</v>
      </c>
      <c r="GQ659" s="594"/>
      <c r="GR659" s="595"/>
      <c r="GT659" s="583" t="s">
        <v>1032</v>
      </c>
      <c r="GU659" s="575"/>
      <c r="GV659" s="576"/>
      <c r="GX659" s="593" t="s">
        <v>1033</v>
      </c>
      <c r="GY659" s="594"/>
      <c r="GZ659" s="595"/>
    </row>
    <row r="660" spans="1:208" s="273" customFormat="1" ht="16.5" thickBot="1" x14ac:dyDescent="0.3">
      <c r="A660" s="380" t="s">
        <v>45</v>
      </c>
      <c r="B660" s="275" t="s">
        <v>992</v>
      </c>
      <c r="C660" s="275" t="s">
        <v>993</v>
      </c>
      <c r="D660" s="275" t="s">
        <v>994</v>
      </c>
      <c r="E660" s="275" t="s">
        <v>995</v>
      </c>
      <c r="F660" s="275" t="s">
        <v>996</v>
      </c>
      <c r="G660" s="275" t="s">
        <v>997</v>
      </c>
      <c r="H660" s="275" t="s">
        <v>998</v>
      </c>
      <c r="I660" s="275" t="s">
        <v>999</v>
      </c>
      <c r="J660" s="275" t="s">
        <v>1000</v>
      </c>
      <c r="K660" s="275" t="s">
        <v>1001</v>
      </c>
      <c r="L660" s="275" t="s">
        <v>1002</v>
      </c>
      <c r="M660" s="275" t="s">
        <v>1003</v>
      </c>
      <c r="N660" s="275" t="s">
        <v>838</v>
      </c>
      <c r="O660" s="275" t="s">
        <v>1004</v>
      </c>
      <c r="P660" s="275" t="s">
        <v>1005</v>
      </c>
      <c r="Q660" s="275" t="s">
        <v>1006</v>
      </c>
      <c r="R660" s="275" t="s">
        <v>1007</v>
      </c>
      <c r="S660" s="275" t="s">
        <v>839</v>
      </c>
      <c r="T660" s="275" t="s">
        <v>1008</v>
      </c>
      <c r="U660" s="275" t="s">
        <v>1009</v>
      </c>
      <c r="V660" s="275" t="s">
        <v>1010</v>
      </c>
      <c r="W660" s="275" t="s">
        <v>1011</v>
      </c>
      <c r="X660" s="275" t="s">
        <v>840</v>
      </c>
      <c r="Y660" s="275" t="s">
        <v>1012</v>
      </c>
      <c r="Z660" s="275" t="s">
        <v>1013</v>
      </c>
      <c r="AB660" s="282" t="s">
        <v>841</v>
      </c>
      <c r="AC660" s="275" t="s">
        <v>842</v>
      </c>
      <c r="AD660" s="275" t="s">
        <v>843</v>
      </c>
      <c r="AE660" s="275" t="s">
        <v>844</v>
      </c>
      <c r="AF660" s="275" t="s">
        <v>845</v>
      </c>
      <c r="AG660" s="275" t="s">
        <v>846</v>
      </c>
      <c r="AH660" s="283" t="s">
        <v>847</v>
      </c>
      <c r="AJ660" s="282" t="s">
        <v>841</v>
      </c>
      <c r="AK660" s="275" t="s">
        <v>842</v>
      </c>
      <c r="AL660" s="275" t="s">
        <v>843</v>
      </c>
      <c r="AM660" s="275" t="s">
        <v>844</v>
      </c>
      <c r="AN660" s="275" t="s">
        <v>845</v>
      </c>
      <c r="AO660" s="275" t="s">
        <v>846</v>
      </c>
      <c r="AP660" s="283" t="s">
        <v>847</v>
      </c>
      <c r="AR660" s="275" t="s">
        <v>45</v>
      </c>
      <c r="AS660" s="275" t="s">
        <v>992</v>
      </c>
      <c r="AT660" s="275" t="s">
        <v>993</v>
      </c>
      <c r="AU660" s="275" t="s">
        <v>994</v>
      </c>
      <c r="AV660" s="275" t="s">
        <v>995</v>
      </c>
      <c r="AW660" s="275" t="s">
        <v>996</v>
      </c>
      <c r="AX660" s="275" t="s">
        <v>997</v>
      </c>
      <c r="AY660" s="275" t="s">
        <v>998</v>
      </c>
      <c r="AZ660" s="275" t="s">
        <v>999</v>
      </c>
      <c r="BA660" s="275" t="s">
        <v>1000</v>
      </c>
      <c r="BB660" s="275" t="s">
        <v>1001</v>
      </c>
      <c r="BC660" s="275" t="s">
        <v>1002</v>
      </c>
      <c r="BD660" s="275" t="s">
        <v>1003</v>
      </c>
      <c r="BE660" s="275" t="s">
        <v>838</v>
      </c>
      <c r="BF660" s="275" t="s">
        <v>1004</v>
      </c>
      <c r="BG660" s="275" t="s">
        <v>1005</v>
      </c>
      <c r="BH660" s="275" t="s">
        <v>1006</v>
      </c>
      <c r="BI660" s="275" t="s">
        <v>1007</v>
      </c>
      <c r="BJ660" s="275" t="s">
        <v>839</v>
      </c>
      <c r="BK660" s="275" t="s">
        <v>1008</v>
      </c>
      <c r="BL660" s="275" t="s">
        <v>1009</v>
      </c>
      <c r="BM660" s="275" t="s">
        <v>1010</v>
      </c>
      <c r="BN660" s="275" t="s">
        <v>1011</v>
      </c>
      <c r="BO660" s="275" t="s">
        <v>840</v>
      </c>
      <c r="BP660" s="275" t="s">
        <v>1012</v>
      </c>
      <c r="BQ660" s="275" t="s">
        <v>1013</v>
      </c>
      <c r="BS660" s="282" t="s">
        <v>841</v>
      </c>
      <c r="BT660" s="275" t="s">
        <v>842</v>
      </c>
      <c r="BU660" s="275" t="s">
        <v>843</v>
      </c>
      <c r="BV660" s="275" t="s">
        <v>844</v>
      </c>
      <c r="BW660" s="275" t="s">
        <v>845</v>
      </c>
      <c r="BX660" s="275" t="s">
        <v>846</v>
      </c>
      <c r="BY660" s="283" t="s">
        <v>847</v>
      </c>
      <c r="BZ660" s="275"/>
      <c r="CA660" s="282" t="s">
        <v>841</v>
      </c>
      <c r="CB660" s="275" t="s">
        <v>842</v>
      </c>
      <c r="CC660" s="275" t="s">
        <v>843</v>
      </c>
      <c r="CD660" s="275" t="s">
        <v>844</v>
      </c>
      <c r="CE660" s="275" t="s">
        <v>845</v>
      </c>
      <c r="CF660" s="275" t="s">
        <v>846</v>
      </c>
      <c r="CG660" s="283" t="s">
        <v>847</v>
      </c>
      <c r="CI660" s="275" t="s">
        <v>45</v>
      </c>
      <c r="CJ660" s="275" t="s">
        <v>992</v>
      </c>
      <c r="CK660" s="275" t="s">
        <v>993</v>
      </c>
      <c r="CL660" s="275" t="s">
        <v>994</v>
      </c>
      <c r="CM660" s="275" t="s">
        <v>995</v>
      </c>
      <c r="CN660" s="275" t="s">
        <v>996</v>
      </c>
      <c r="CO660" s="275" t="s">
        <v>997</v>
      </c>
      <c r="CP660" s="275" t="s">
        <v>998</v>
      </c>
      <c r="CQ660" s="275" t="s">
        <v>999</v>
      </c>
      <c r="CR660" s="275" t="s">
        <v>1000</v>
      </c>
      <c r="CS660" s="275" t="s">
        <v>1001</v>
      </c>
      <c r="CT660" s="275" t="s">
        <v>1002</v>
      </c>
      <c r="CU660" s="275" t="s">
        <v>1003</v>
      </c>
      <c r="CV660" s="275" t="s">
        <v>838</v>
      </c>
      <c r="CW660" s="275" t="s">
        <v>1004</v>
      </c>
      <c r="CX660" s="275" t="s">
        <v>1005</v>
      </c>
      <c r="CY660" s="275" t="s">
        <v>1006</v>
      </c>
      <c r="CZ660" s="275" t="s">
        <v>1007</v>
      </c>
      <c r="DA660" s="275" t="s">
        <v>839</v>
      </c>
      <c r="DB660" s="275" t="s">
        <v>1008</v>
      </c>
      <c r="DC660" s="275" t="s">
        <v>1009</v>
      </c>
      <c r="DD660" s="275" t="s">
        <v>1010</v>
      </c>
      <c r="DE660" s="275" t="s">
        <v>1011</v>
      </c>
      <c r="DF660" s="275" t="s">
        <v>840</v>
      </c>
      <c r="DG660" s="275" t="s">
        <v>1012</v>
      </c>
      <c r="DH660" s="275" t="s">
        <v>1013</v>
      </c>
      <c r="DJ660" s="282" t="s">
        <v>841</v>
      </c>
      <c r="DK660" s="275" t="s">
        <v>842</v>
      </c>
      <c r="DL660" s="275" t="s">
        <v>843</v>
      </c>
      <c r="DM660" s="275" t="s">
        <v>844</v>
      </c>
      <c r="DN660" s="275" t="s">
        <v>845</v>
      </c>
      <c r="DO660" s="275" t="s">
        <v>846</v>
      </c>
      <c r="DP660" s="283" t="s">
        <v>847</v>
      </c>
      <c r="DR660" s="282" t="s">
        <v>841</v>
      </c>
      <c r="DS660" s="275" t="s">
        <v>842</v>
      </c>
      <c r="DT660" s="275" t="s">
        <v>843</v>
      </c>
      <c r="DU660" s="275" t="s">
        <v>844</v>
      </c>
      <c r="DV660" s="275" t="s">
        <v>845</v>
      </c>
      <c r="DW660" s="275" t="s">
        <v>846</v>
      </c>
      <c r="DX660" s="283" t="s">
        <v>847</v>
      </c>
      <c r="DY660" s="275"/>
      <c r="DZ660" s="275" t="s">
        <v>45</v>
      </c>
      <c r="EA660" s="275" t="s">
        <v>992</v>
      </c>
      <c r="EB660" s="275" t="s">
        <v>993</v>
      </c>
      <c r="EC660" s="275" t="s">
        <v>994</v>
      </c>
      <c r="ED660" s="275" t="s">
        <v>995</v>
      </c>
      <c r="EE660" s="275" t="s">
        <v>996</v>
      </c>
      <c r="EF660" s="275" t="s">
        <v>997</v>
      </c>
      <c r="EG660" s="275" t="s">
        <v>998</v>
      </c>
      <c r="EH660" s="275" t="s">
        <v>999</v>
      </c>
      <c r="EI660" s="275" t="s">
        <v>1000</v>
      </c>
      <c r="EJ660" s="275" t="s">
        <v>1001</v>
      </c>
      <c r="EK660" s="275" t="s">
        <v>1002</v>
      </c>
      <c r="EL660" s="275" t="s">
        <v>1003</v>
      </c>
      <c r="EM660" s="275" t="s">
        <v>838</v>
      </c>
      <c r="EN660" s="275" t="s">
        <v>1004</v>
      </c>
      <c r="EO660" s="275" t="s">
        <v>1005</v>
      </c>
      <c r="EP660" s="275" t="s">
        <v>1006</v>
      </c>
      <c r="EQ660" s="275" t="s">
        <v>1007</v>
      </c>
      <c r="ER660" s="275" t="s">
        <v>839</v>
      </c>
      <c r="ES660" s="275" t="s">
        <v>1008</v>
      </c>
      <c r="ET660" s="275" t="s">
        <v>1009</v>
      </c>
      <c r="EU660" s="275" t="s">
        <v>1010</v>
      </c>
      <c r="EV660" s="275" t="s">
        <v>1011</v>
      </c>
      <c r="EW660" s="275" t="s">
        <v>840</v>
      </c>
      <c r="EX660" s="275" t="s">
        <v>1012</v>
      </c>
      <c r="EY660" s="275" t="s">
        <v>1013</v>
      </c>
      <c r="FA660" s="282" t="s">
        <v>841</v>
      </c>
      <c r="FB660" s="275" t="s">
        <v>842</v>
      </c>
      <c r="FC660" s="275" t="s">
        <v>843</v>
      </c>
      <c r="FD660" s="275" t="s">
        <v>844</v>
      </c>
      <c r="FE660" s="275" t="s">
        <v>845</v>
      </c>
      <c r="FF660" s="275" t="s">
        <v>846</v>
      </c>
      <c r="FG660" s="283" t="s">
        <v>847</v>
      </c>
      <c r="FH660" s="275"/>
      <c r="FI660" s="282" t="s">
        <v>841</v>
      </c>
      <c r="FJ660" s="275" t="s">
        <v>842</v>
      </c>
      <c r="FK660" s="275" t="s">
        <v>843</v>
      </c>
      <c r="FL660" s="275" t="s">
        <v>844</v>
      </c>
      <c r="FM660" s="275" t="s">
        <v>845</v>
      </c>
      <c r="FN660" s="275" t="s">
        <v>846</v>
      </c>
      <c r="FO660" s="283" t="s">
        <v>847</v>
      </c>
      <c r="FQ660" s="275" t="s">
        <v>857</v>
      </c>
      <c r="FT660" s="272" t="s">
        <v>858</v>
      </c>
      <c r="FU660" s="273" t="s">
        <v>859</v>
      </c>
      <c r="FV660" s="273" t="s">
        <v>906</v>
      </c>
      <c r="FW660" s="285" t="s">
        <v>907</v>
      </c>
      <c r="FY660" s="272" t="s">
        <v>48</v>
      </c>
      <c r="FZ660" s="273" t="s">
        <v>80</v>
      </c>
      <c r="GA660" s="285" t="s">
        <v>20</v>
      </c>
      <c r="GC660" s="272" t="s">
        <v>48</v>
      </c>
      <c r="GD660" s="273" t="s">
        <v>80</v>
      </c>
      <c r="GE660" s="285" t="s">
        <v>20</v>
      </c>
      <c r="GG660" s="272" t="s">
        <v>48</v>
      </c>
      <c r="GH660" s="273" t="s">
        <v>80</v>
      </c>
      <c r="GI660" s="285" t="s">
        <v>20</v>
      </c>
      <c r="GK660" s="272" t="s">
        <v>48</v>
      </c>
      <c r="GL660" s="273" t="s">
        <v>826</v>
      </c>
      <c r="GM660" s="273" t="s">
        <v>827</v>
      </c>
      <c r="GN660" s="285" t="s">
        <v>828</v>
      </c>
      <c r="GP660" s="272" t="s">
        <v>48</v>
      </c>
      <c r="GQ660" s="273" t="s">
        <v>80</v>
      </c>
      <c r="GR660" s="285" t="s">
        <v>20</v>
      </c>
      <c r="GT660" s="272" t="s">
        <v>48</v>
      </c>
      <c r="GU660" s="273" t="s">
        <v>80</v>
      </c>
      <c r="GV660" s="285" t="s">
        <v>20</v>
      </c>
      <c r="GX660" s="272" t="s">
        <v>48</v>
      </c>
      <c r="GY660" s="273" t="s">
        <v>80</v>
      </c>
      <c r="GZ660" s="285" t="s">
        <v>20</v>
      </c>
    </row>
    <row r="661" spans="1:208" s="30" customFormat="1" x14ac:dyDescent="0.25">
      <c r="A661" s="379">
        <v>0</v>
      </c>
      <c r="B661" s="30">
        <f>VLOOKUP($A661,'Childhood mortality'!$A$12:$G$27,4)</f>
        <v>0</v>
      </c>
      <c r="C661" s="30">
        <f>$D555</f>
        <v>0.27</v>
      </c>
      <c r="D661" s="30">
        <f>$C555</f>
        <v>2.7550000000000003E-4</v>
      </c>
      <c r="E661" s="30">
        <f>1-B661-C661-D661</f>
        <v>0.7297245</v>
      </c>
      <c r="F661" s="30">
        <f>VLOOKUP($A661,'Childhood mortality'!$A$12:$G$27,4)</f>
        <v>0</v>
      </c>
      <c r="G661" s="30">
        <f>$D555</f>
        <v>0.27</v>
      </c>
      <c r="H661" s="30">
        <f>$C555</f>
        <v>2.7550000000000003E-4</v>
      </c>
      <c r="I661" s="30">
        <f>1-H661-G661-F661</f>
        <v>0.7297245</v>
      </c>
      <c r="J661" s="30">
        <f>VLOOKUP($A661,'Childhood mortality'!$A$12:$G$27,4)</f>
        <v>0</v>
      </c>
      <c r="K661" s="30">
        <f>$G555</f>
        <v>0.14000000000000001</v>
      </c>
      <c r="L661" s="30">
        <f>$F555</f>
        <v>2.7550000000000003E-4</v>
      </c>
      <c r="M661" s="30">
        <f t="shared" ref="M661:M676" si="74">(1-DET_p_exposed_passive_smoking)*(1-L661-K661-J661)</f>
        <v>0.44920605124999996</v>
      </c>
      <c r="N661" s="30">
        <f t="shared" ref="N661:N676" si="75">DET_p_exposed_passive_smoking*(1-L661-K661-J661)</f>
        <v>0.41051844874999999</v>
      </c>
      <c r="O661" s="30">
        <f>VLOOKUP($A661,'Childhood mortality'!$A$12:$G$27,4)</f>
        <v>0</v>
      </c>
      <c r="P661" s="30">
        <f>$K555</f>
        <v>0.5714285714285714</v>
      </c>
      <c r="Q661" s="30">
        <f>$I555</f>
        <v>2.7550000000000003E-4</v>
      </c>
      <c r="R661" s="30">
        <f t="shared" ref="R661:R676" si="76">(1-DET_p_exposed_passive_smoking)*(1-Q661-P661-O661)</f>
        <v>0.22378462267857144</v>
      </c>
      <c r="S661" s="30">
        <f t="shared" ref="S661:S676" si="77">DET_p_exposed_passive_smoking*(1-Q661-P661-O661)</f>
        <v>0.20451130589285715</v>
      </c>
      <c r="T661" s="30">
        <f>VLOOKUP($A661,'Childhood mortality'!$A$12:$G$27,4)</f>
        <v>0</v>
      </c>
      <c r="U661" s="30">
        <f>1-T661-V661-W661-X661</f>
        <v>0.99109833312116691</v>
      </c>
      <c r="V661" s="30">
        <f>$L555</f>
        <v>2.7550000000000003E-4</v>
      </c>
      <c r="W661" s="30">
        <f t="shared" ref="W661:W676" si="78">(1-DET_p_exposed_passive_smoking)*$M555</f>
        <v>4.5071721941902995E-3</v>
      </c>
      <c r="X661" s="30">
        <f t="shared" ref="X661:X676" si="79">(DET_p_exposed_passive_smoking)*$M555</f>
        <v>4.1189946846428094E-3</v>
      </c>
      <c r="Y661" s="30">
        <f>VLOOKUP($A661,'Childhood mortality'!$A$12:$G$27,4)</f>
        <v>0</v>
      </c>
      <c r="Z661" s="30">
        <f>1-Y661</f>
        <v>1</v>
      </c>
      <c r="AB661" s="300"/>
      <c r="AC661" s="301"/>
      <c r="AD661" s="301">
        <f>DET_p_MALE*(AX39+AX71+AX103+AX135+AX167+AX199+AX231+AX263)</f>
        <v>0.55629463492958819</v>
      </c>
      <c r="AE661" s="301"/>
      <c r="AF661" s="301"/>
      <c r="AG661" s="301">
        <f>DET_p_MALE*(AX23+AX55+AX87+AX119+AX151+AX183+AX215+AX247)</f>
        <v>3.9538462728277197E-5</v>
      </c>
      <c r="AH661" s="302">
        <f>DET_p_MALE*(AX20+AX36+AX52+AX68+AX84+AX100+AX116+AX132+AX148+AX164+AX180+AX196+AX212+AX228+AX244+AX260)</f>
        <v>2.4686880227175807E-2</v>
      </c>
      <c r="AI661" s="301"/>
      <c r="AJ661" s="300">
        <f>DET_p_MALE*DET_p_exposed_passive_smoking*(AX311+AX343+AX375+AX407+AX439+AX471+AX503+AX535)</f>
        <v>25.65456169913103</v>
      </c>
      <c r="AK661" s="301">
        <f>DET_p_MALE*(1-DET_p_exposed_passive_smoking)*(AX311+AX343+AX375+AX407+AX439+AX471+AX503+AX535)</f>
        <v>28.072269084389447</v>
      </c>
      <c r="AL661" s="301"/>
      <c r="AM661" s="301"/>
      <c r="AN661" s="301"/>
      <c r="AO661" s="301">
        <f>DET_p_MALE*(AX295+AX327+AX359+AX391+AX423+AX455+AX487+AX519)</f>
        <v>3.7569474488022736E-3</v>
      </c>
      <c r="AP661" s="302">
        <f>DET_p_MALE*(AX292+AX308+AX324+AX340+AX356+AX372+AX388+AX404+AX420+AX436+AX452+AX468+AX484+AX500+AX516+AX532)</f>
        <v>3.1965227612081692</v>
      </c>
      <c r="AR661" s="30">
        <v>0</v>
      </c>
      <c r="AS661" s="30">
        <f>VLOOKUP($A661,'Childhood mortality'!$A$12:$G$27,3)</f>
        <v>0</v>
      </c>
      <c r="AT661" s="30">
        <f>$D555</f>
        <v>0.27</v>
      </c>
      <c r="AU661" s="30">
        <f>$C555</f>
        <v>2.7550000000000003E-4</v>
      </c>
      <c r="AV661" s="30">
        <f>1-AS661-AT661-AU661</f>
        <v>0.7297245</v>
      </c>
      <c r="AW661" s="30">
        <f>VLOOKUP($A661,'Childhood mortality'!$A$12:$G$27,3)</f>
        <v>0</v>
      </c>
      <c r="AX661" s="30">
        <f>$D555</f>
        <v>0.27</v>
      </c>
      <c r="AY661" s="30">
        <f>$C555</f>
        <v>2.7550000000000003E-4</v>
      </c>
      <c r="AZ661" s="30">
        <f>1-AY661-AX661-AW661</f>
        <v>0.7297245</v>
      </c>
      <c r="BA661" s="30">
        <f>VLOOKUP($A661,'Childhood mortality'!$A$12:$G$27,3)</f>
        <v>0</v>
      </c>
      <c r="BB661" s="30">
        <f>$G555</f>
        <v>0.14000000000000001</v>
      </c>
      <c r="BC661" s="30">
        <f>$F555</f>
        <v>2.7550000000000003E-4</v>
      </c>
      <c r="BD661" s="30">
        <f>(1-DET_p_exposed_passive_smoking)*(1-BC661-BB661-BA661)</f>
        <v>0.44920605124999996</v>
      </c>
      <c r="BE661" s="30">
        <f>DET_p_exposed_passive_smoking*(1-BC661-BB661-BA661)</f>
        <v>0.41051844874999999</v>
      </c>
      <c r="BF661" s="30">
        <f>VLOOKUP($A661,'Childhood mortality'!$A$12:$G$27,3)</f>
        <v>0</v>
      </c>
      <c r="BG661" s="30">
        <f>$K555</f>
        <v>0.5714285714285714</v>
      </c>
      <c r="BH661" s="30">
        <f>$I555</f>
        <v>2.7550000000000003E-4</v>
      </c>
      <c r="BI661" s="30">
        <f>(1-DET_p_exposed_passive_smoking)*(1-BH661-BG661-BF661)</f>
        <v>0.22378462267857144</v>
      </c>
      <c r="BJ661" s="30">
        <f>DET_p_exposed_passive_smoking*(1-BH661-BG661-BF661)</f>
        <v>0.20451130589285715</v>
      </c>
      <c r="BK661" s="30">
        <f>VLOOKUP($A661,'Childhood mortality'!$A$12:$G$27,3)</f>
        <v>0</v>
      </c>
      <c r="BL661" s="30">
        <f>1-BK661-BM661-BN661-BO661</f>
        <v>0.99109833312116691</v>
      </c>
      <c r="BM661" s="30">
        <f>$L555</f>
        <v>2.7550000000000003E-4</v>
      </c>
      <c r="BN661" s="30">
        <f t="shared" ref="BN661:BN676" si="80">(1-DET_p_exposed_passive_smoking)*$M555</f>
        <v>4.5071721941902995E-3</v>
      </c>
      <c r="BO661" s="30">
        <f t="shared" ref="BO661:BO676" si="81">(DET_p_exposed_passive_smoking)*$M555</f>
        <v>4.1189946846428094E-3</v>
      </c>
      <c r="BP661" s="30">
        <f>VLOOKUP($A661,'Childhood mortality'!$A$12:$G$27,3)</f>
        <v>0</v>
      </c>
      <c r="BQ661" s="30">
        <f>1-BP661</f>
        <v>1</v>
      </c>
      <c r="BS661" s="284"/>
      <c r="BT661" s="31"/>
      <c r="BU661" s="31">
        <f>DET_p_MALE*(AX47+AX79+AX111+AX143+AX175+AX207+AX239+AX271)</f>
        <v>8.6888904376562532</v>
      </c>
      <c r="BV661" s="31"/>
      <c r="BW661" s="31"/>
      <c r="BX661" s="31">
        <f>DET_p_MALE*(AX31+AX63+AX95+AX127+AX159+AX191+AX223+AX255)</f>
        <v>5.5984171897035715E-4</v>
      </c>
      <c r="BY661" s="286">
        <f>DET_p_MALE*(AX4+AX12+AX28+AX44+AX60+AX76+AX92+AX108+AX124+AX140+AX156+AX172+AX188+AX204+AX220+AX236+AX252+AX268)</f>
        <v>1.5619074840440674E-2</v>
      </c>
      <c r="BZ661" s="31"/>
      <c r="CA661" s="284">
        <f>DET_p_MALE*DET_p_exposed_passive_smoking*(AX319+AX351+AX383+AX415+AX447+AX479+AX511+AX543)</f>
        <v>187.61796705861107</v>
      </c>
      <c r="CB661" s="31">
        <f>DET_p_MALE*(1-DET_p_exposed_passive_smoking)*(AX319+AX351+AX383+AX415+AX447+AX479+AX511+AX543)</f>
        <v>205.29924144109796</v>
      </c>
      <c r="CC661" s="31"/>
      <c r="CD661" s="31"/>
      <c r="CE661" s="31"/>
      <c r="CF661" s="31">
        <f>DET_p_MALE*(AX303+AX335+AX367+AX399+AX431+AX463+AX495+AX527)</f>
        <v>2.483830649740764E-2</v>
      </c>
      <c r="CG661" s="286">
        <f>DET_p_MALE*(AX276+AX279+AX284+AX287+AX7+AX15+AX300+AX316+AX332+AX348+AX364+AX380+AX396+AX412+AX428+AX444+AX460+AX476+AX492+AX508+AX524+AX540)</f>
        <v>50.844752293781056</v>
      </c>
      <c r="CI661" s="30">
        <v>0</v>
      </c>
      <c r="CJ661" s="30">
        <f>VLOOKUP($A661,'Childhood mortality'!$A$31:$G$46,4)</f>
        <v>0</v>
      </c>
      <c r="CK661" s="30">
        <f>$D555</f>
        <v>0.27</v>
      </c>
      <c r="CL661" s="30">
        <f>$C555</f>
        <v>2.7550000000000003E-4</v>
      </c>
      <c r="CM661" s="30">
        <f>1-CJ661-CK661-CL661</f>
        <v>0.7297245</v>
      </c>
      <c r="CN661" s="30">
        <f>VLOOKUP($A661,'Childhood mortality'!$A$31:$G$46,4)</f>
        <v>0</v>
      </c>
      <c r="CO661" s="30">
        <f>$D555</f>
        <v>0.27</v>
      </c>
      <c r="CP661" s="30">
        <f>$C555</f>
        <v>2.7550000000000003E-4</v>
      </c>
      <c r="CQ661" s="30">
        <f>1-CP661-CO661-CN661</f>
        <v>0.7297245</v>
      </c>
      <c r="CR661" s="30">
        <f>VLOOKUP($A661,'Childhood mortality'!$A$31:$G$46,4)</f>
        <v>0</v>
      </c>
      <c r="CS661" s="30">
        <f>$G555</f>
        <v>0.14000000000000001</v>
      </c>
      <c r="CT661" s="30">
        <f>$F555</f>
        <v>2.7550000000000003E-4</v>
      </c>
      <c r="CU661" s="30">
        <f>(1-DET_p_exposed_passive_smoking)*(1-CT661-CS661-CR661)</f>
        <v>0.44920605124999996</v>
      </c>
      <c r="CV661" s="30">
        <f>DET_p_exposed_passive_smoking*(1-CT661-CS661-CR661)</f>
        <v>0.41051844874999999</v>
      </c>
      <c r="CW661" s="30">
        <f>VLOOKUP($A661,'Childhood mortality'!$A$31:$G$46,4)</f>
        <v>0</v>
      </c>
      <c r="CX661" s="30">
        <f>$K555</f>
        <v>0.5714285714285714</v>
      </c>
      <c r="CY661" s="30">
        <f>$I555</f>
        <v>2.7550000000000003E-4</v>
      </c>
      <c r="CZ661" s="30">
        <f>(1-DET_p_exposed_passive_smoking)*(1-CY661-CX661-CW661)</f>
        <v>0.22378462267857144</v>
      </c>
      <c r="DA661" s="30">
        <f>DET_p_exposed_passive_smoking*(1-CY661-CX661-CW661)</f>
        <v>0.20451130589285715</v>
      </c>
      <c r="DB661" s="30">
        <f>VLOOKUP($A661,'Childhood mortality'!$A$31:$G$46,4)</f>
        <v>0</v>
      </c>
      <c r="DC661" s="30">
        <f>1-DB661-DD661-DE661-DF661</f>
        <v>0.99109833312116691</v>
      </c>
      <c r="DD661" s="30">
        <f>$L555</f>
        <v>2.7550000000000003E-4</v>
      </c>
      <c r="DE661" s="30">
        <f t="shared" ref="DE661:DE676" si="82">(1-DET_p_exposed_passive_smoking)*$M555</f>
        <v>4.5071721941902995E-3</v>
      </c>
      <c r="DF661" s="30">
        <f t="shared" ref="DF661:DF676" si="83">(DET_p_exposed_passive_smoking)*$M555</f>
        <v>4.1189946846428094E-3</v>
      </c>
      <c r="DG661" s="30">
        <f>VLOOKUP($A661,'Childhood mortality'!$A$31:$G$46,4)</f>
        <v>0</v>
      </c>
      <c r="DH661" s="30">
        <f>1-DG661</f>
        <v>1</v>
      </c>
      <c r="DJ661" s="284"/>
      <c r="DK661" s="31"/>
      <c r="DL661" s="31">
        <f>(1-DET_p_MALE)*(AX39+AX71+AX103+AX135+AX167+AX199+AX231+AX263)</f>
        <v>0.53447915904999654</v>
      </c>
      <c r="DM661" s="31"/>
      <c r="DN661" s="31"/>
      <c r="DO661" s="31">
        <f>(1-DET_p_MALE)*(AX23+AX55+AX87+AX119+AX151+AX183+AX215+AX247)</f>
        <v>3.798793477814868E-5</v>
      </c>
      <c r="DP661" s="286">
        <f>(1-DET_p_MALE)*(AX20+AX36+AX52+AX68+AX84+AX100+AX116+AX132+AX148+AX164+AX180+AX196+AX212+AX228+AX244+AX260)</f>
        <v>2.3718767277090477E-2</v>
      </c>
      <c r="DQ661" s="31"/>
      <c r="DR661" s="284">
        <f>(1-DET_p_MALE)*DET_p_exposed_passive_smoking*(AX311+AX343+AX375+AX407+AX439+AX471+AX503+AX535)</f>
        <v>24.64850045602785</v>
      </c>
      <c r="DS661" s="31">
        <f>(1-DET_p_MALE)*(1-DET_p_exposed_passive_smoking)*(AX311+AX343+AX375+AX407+AX439+AX471+AX503+AX535)</f>
        <v>26.971395786962415</v>
      </c>
      <c r="DT661" s="31"/>
      <c r="DU661" s="31"/>
      <c r="DV661" s="31"/>
      <c r="DW661" s="31">
        <f>(1-DET_p_MALE)*(AX295+AX327+AX359+AX391+AX423+AX455+AX487+AX519)</f>
        <v>3.6096161763002235E-3</v>
      </c>
      <c r="DX661" s="286">
        <f>(1-DET_p_MALE)*(AX292+AX308+AX324+AX340+AX356+AX372+AX388+AX404+AX420+AX436+AX452+AX468+AX484+AX500+AX516+AX532)</f>
        <v>3.0711689274352993</v>
      </c>
      <c r="DZ661" s="30">
        <v>0</v>
      </c>
      <c r="EA661" s="30">
        <f>VLOOKUP($A661,'Childhood mortality'!$A$31:$G$46,3)</f>
        <v>0</v>
      </c>
      <c r="EB661" s="30">
        <f>$D555</f>
        <v>0.27</v>
      </c>
      <c r="EC661" s="30">
        <f>$C555</f>
        <v>2.7550000000000003E-4</v>
      </c>
      <c r="ED661" s="30">
        <f>1-EA661-EB661-EC661</f>
        <v>0.7297245</v>
      </c>
      <c r="EE661" s="30">
        <f>VLOOKUP($A661,'Childhood mortality'!$A$31:$G$46,3)</f>
        <v>0</v>
      </c>
      <c r="EF661" s="30">
        <f>$D555</f>
        <v>0.27</v>
      </c>
      <c r="EG661" s="30">
        <f>$C555</f>
        <v>2.7550000000000003E-4</v>
      </c>
      <c r="EH661" s="30">
        <f>1-EG661-EF661-EE661</f>
        <v>0.7297245</v>
      </c>
      <c r="EI661" s="30">
        <f>VLOOKUP($A661,'Childhood mortality'!$A$31:$G$46,3)</f>
        <v>0</v>
      </c>
      <c r="EJ661" s="30">
        <f>$G555</f>
        <v>0.14000000000000001</v>
      </c>
      <c r="EK661" s="30">
        <f>$F555</f>
        <v>2.7550000000000003E-4</v>
      </c>
      <c r="EL661" s="30">
        <f>(1-DET_p_exposed_passive_smoking)*(1-EK661-EJ661-EI661)</f>
        <v>0.44920605124999996</v>
      </c>
      <c r="EM661" s="30">
        <f>DET_p_exposed_passive_smoking*(1-EK661-EJ661-EI661)</f>
        <v>0.41051844874999999</v>
      </c>
      <c r="EN661" s="30">
        <f>VLOOKUP($A661,'Childhood mortality'!$A$31:$G$46,3)</f>
        <v>0</v>
      </c>
      <c r="EO661" s="30">
        <f>$K555</f>
        <v>0.5714285714285714</v>
      </c>
      <c r="EP661" s="30">
        <f>$I555</f>
        <v>2.7550000000000003E-4</v>
      </c>
      <c r="EQ661" s="30">
        <f>(1-DET_p_exposed_passive_smoking)*(1-EP661-EO661-EN661)</f>
        <v>0.22378462267857144</v>
      </c>
      <c r="ER661" s="30">
        <f>DET_p_exposed_passive_smoking*(1-EP661-EO661-EN661)</f>
        <v>0.20451130589285715</v>
      </c>
      <c r="ES661" s="30">
        <f>VLOOKUP($A661,'Childhood mortality'!$A$31:$G$46,3)</f>
        <v>0</v>
      </c>
      <c r="ET661" s="30">
        <f>1-ES661-EU661-EV661-EW661</f>
        <v>0.99109833312116691</v>
      </c>
      <c r="EU661" s="30">
        <f>$L555</f>
        <v>2.7550000000000003E-4</v>
      </c>
      <c r="EV661" s="30">
        <f t="shared" ref="EV661:EV676" si="84">(1-DET_p_exposed_passive_smoking)*$M555</f>
        <v>4.5071721941902995E-3</v>
      </c>
      <c r="EW661" s="30">
        <f t="shared" ref="EW661:EW676" si="85">(DET_p_exposed_passive_smoking)*$M555</f>
        <v>4.1189946846428094E-3</v>
      </c>
      <c r="EX661" s="30">
        <f>VLOOKUP($A661,'Childhood mortality'!$A$31:$G$46,3)</f>
        <v>0</v>
      </c>
      <c r="EY661" s="30">
        <f>1-EX661</f>
        <v>1</v>
      </c>
      <c r="FA661" s="284"/>
      <c r="FB661" s="31"/>
      <c r="FC661" s="31">
        <f>(1-DET_p_MALE)*(AX47+AX79+AX111+AX143+AX175+AX207+AX239+AX271)</f>
        <v>8.3481496361795369</v>
      </c>
      <c r="FD661" s="31"/>
      <c r="FE661" s="31"/>
      <c r="FF661" s="31">
        <f>(1-DET_p_MALE)*(AX31+AX63+AX95+AX127+AX159+AX191+AX223+AX255)</f>
        <v>5.3788714175583333E-4</v>
      </c>
      <c r="FG661" s="286">
        <f>(1-DET_p_MALE)*(AX4+AX7+AX15+AX12+AX28+AX44+AX60+AX76+AX92+AX108+AX124+AX140+AX156+AX172+AX188+AX204+AX220+AX236+AX252+AX268)</f>
        <v>0.69707656241683991</v>
      </c>
      <c r="FH661" s="31"/>
      <c r="FI661" s="284">
        <f>(1-DET_p_MALE)*DET_p_exposed_passive_smoking*(AX319+AX351+AX383+AX415+AX447+AX479+AX511+AX543)</f>
        <v>180.26039972297926</v>
      </c>
      <c r="FJ661" s="31">
        <f>(1-DET_p_MALE)*(1-DET_p_exposed_passive_smoking)*(AX319+AX351+AX383+AX415+AX447+AX479+AX511+AX543)</f>
        <v>197.24829079634904</v>
      </c>
      <c r="FK661" s="31"/>
      <c r="FL661" s="31"/>
      <c r="FM661" s="31"/>
      <c r="FN661" s="31">
        <f>(1-DET_p_MALE)*(AX303+AX335+AX367+AX399+AX431+AX463+AX495+AX527)</f>
        <v>2.3864255262215181E-2</v>
      </c>
      <c r="FO661" s="286">
        <f>(1-DET_p_MALE)*(AX276+AX279+AX284+AX287+AX300+AX316+AX332+AX348+AX364+AX380+AX396+AX412+AX428+AX444+AX460+AX476+AX492+AX508+AX524+AX540)</f>
        <v>48.168770438807734</v>
      </c>
      <c r="FQ661" s="30">
        <f>SUM(AB661:AH661)+SUM(AJ661:AP661)+SUM(BS661:BY661)+SUM(CA661:CG661)+SUM(DJ661:DP661)+SUM(DR661:DX661)+SUM(FA661:FG661)+SUM(FI661:FO661)</f>
        <v>1000.0000000000002</v>
      </c>
      <c r="FR661" s="30" t="str">
        <f t="shared" ref="FR661:FR676" si="86">IF(FQ661=Cohort,"OKAY",IF(FQ661&gt;Cohort,"Too many","Too Few"))</f>
        <v>OKAY</v>
      </c>
      <c r="FT661" s="284">
        <f>SUM(FI661:FN661)+SUM(FA661:FF661)+SUM(DR661:DW661)+SUM(DJ661:DO661)+SUM(CA661:CF661)+SUM(BS661:BX661)+SUM(AJ661:AO661)+SUM(AB661:AG661)</f>
        <v>893.95768429400653</v>
      </c>
      <c r="FU661" s="31"/>
      <c r="FV661" s="31">
        <f>SUM(FT661:FU661)</f>
        <v>893.95768429400653</v>
      </c>
      <c r="FW661" s="286">
        <f>FO661+FG661+DX661+DP661+CG661+BY661+AP661+AH661</f>
        <v>106.04231570599381</v>
      </c>
      <c r="FY661" s="265"/>
      <c r="GA661" s="281"/>
      <c r="GC661" s="265"/>
      <c r="GE661" s="281"/>
      <c r="GG661" s="265"/>
      <c r="GH661" s="303"/>
      <c r="GI661" s="304">
        <f>$BJ$547/((1+Discount_rate_costs)^$A661)</f>
        <v>3270222.5864739148</v>
      </c>
      <c r="GK661" s="265"/>
      <c r="GN661" s="281"/>
      <c r="GP661" s="265"/>
      <c r="GQ661" s="303"/>
      <c r="GR661" s="304">
        <f>$BL$547/((1+Discount_rate_costs)^$A661)</f>
        <v>6370354.5223300057</v>
      </c>
      <c r="GT661" s="265"/>
      <c r="GU661" s="303"/>
      <c r="GV661" s="304">
        <f>$BI$547/((1+Discount_rate_costs)^$A661)</f>
        <v>3270222.5864739148</v>
      </c>
      <c r="GX661" s="265"/>
      <c r="GY661" s="303"/>
      <c r="GZ661" s="304">
        <f>$BL$547/((1+Discount_rate_costs)^$A661)</f>
        <v>6370354.5223300057</v>
      </c>
    </row>
    <row r="662" spans="1:208" s="30" customFormat="1" x14ac:dyDescent="0.25">
      <c r="A662" s="379">
        <v>1</v>
      </c>
      <c r="B662" s="30">
        <f>VLOOKUP($A662,'Childhood mortality'!$A$12:$G$27,4)</f>
        <v>8.1428034230721195E-3</v>
      </c>
      <c r="C662" s="30">
        <f t="shared" ref="C662:C676" si="87">$D556</f>
        <v>0.13</v>
      </c>
      <c r="D662" s="30">
        <f t="shared" ref="D662:D676" si="88">$C556</f>
        <v>2.8499999999999999E-4</v>
      </c>
      <c r="E662" s="30">
        <f t="shared" ref="E662:E676" si="89">1-B662-C662-D662</f>
        <v>0.86157219657692785</v>
      </c>
      <c r="F662" s="30">
        <f>VLOOKUP($A662,'Childhood mortality'!$A$12:$G$27,4)</f>
        <v>8.1428034230721195E-3</v>
      </c>
      <c r="G662" s="30">
        <f t="shared" ref="G662:G676" si="90">$D556</f>
        <v>0.13</v>
      </c>
      <c r="H662" s="30">
        <f t="shared" ref="H662:H676" si="91">$C556</f>
        <v>2.8499999999999999E-4</v>
      </c>
      <c r="I662" s="30">
        <f t="shared" ref="I662:I676" si="92">1-H662-G662-F662</f>
        <v>0.86157219657692785</v>
      </c>
      <c r="J662" s="30">
        <f>VLOOKUP($A662,'Childhood mortality'!$A$12:$G$27,4)</f>
        <v>8.1428034230721195E-3</v>
      </c>
      <c r="K662" s="30">
        <f t="shared" ref="K662:K676" si="93">$G556</f>
        <v>0.53</v>
      </c>
      <c r="L662" s="30">
        <f t="shared" ref="L662:L676" si="94">$F556</f>
        <v>2.8499999999999999E-4</v>
      </c>
      <c r="M662" s="30">
        <f t="shared" si="74"/>
        <v>0.24117147271144479</v>
      </c>
      <c r="N662" s="30">
        <f t="shared" si="75"/>
        <v>0.22040072386548307</v>
      </c>
      <c r="O662" s="30">
        <f>VLOOKUP($A662,'Childhood mortality'!$A$12:$G$27,4)</f>
        <v>8.1428034230721195E-3</v>
      </c>
      <c r="P662" s="30">
        <f t="shared" ref="P662:P676" si="95">$K556</f>
        <v>0.5714285714285714</v>
      </c>
      <c r="Q662" s="30">
        <f t="shared" ref="Q662:Q676" si="96">$I556</f>
        <v>2.8499999999999999E-4</v>
      </c>
      <c r="R662" s="30">
        <f t="shared" si="76"/>
        <v>0.21952504414001625</v>
      </c>
      <c r="S662" s="30">
        <f t="shared" si="77"/>
        <v>0.20061858100834024</v>
      </c>
      <c r="T662" s="30">
        <f>VLOOKUP($A662,'Childhood mortality'!$A$12:$G$27,4)</f>
        <v>8.1428034230721195E-3</v>
      </c>
      <c r="U662" s="30">
        <f t="shared" ref="U662:U676" si="97">1-T662-V662-W662-X662</f>
        <v>0.98294602969809475</v>
      </c>
      <c r="V662" s="30">
        <f t="shared" ref="V662:V676" si="98">$L556</f>
        <v>2.8499999999999999E-4</v>
      </c>
      <c r="W662" s="30">
        <f t="shared" si="78"/>
        <v>4.5071721941902995E-3</v>
      </c>
      <c r="X662" s="30">
        <f t="shared" si="79"/>
        <v>4.1189946846428094E-3</v>
      </c>
      <c r="Y662" s="30">
        <f>VLOOKUP($A662,'Childhood mortality'!$A$12:$G$27,4)</f>
        <v>8.1428034230721195E-3</v>
      </c>
      <c r="Z662" s="30">
        <f t="shared" ref="Z662:Z676" si="99">1-Y662</f>
        <v>0.99185719657692784</v>
      </c>
      <c r="AB662" s="284">
        <f>(AB661*$E662)+(AD661*$N662)+(AE661*$S662)+(AF661*$X662)</f>
        <v>0.12260774022096588</v>
      </c>
      <c r="AC662" s="31">
        <f>(AC661*$I662)+(AD661*$M662)+(AE661*$R662)+(AF661*$W662)</f>
        <v>0.13416239636744431</v>
      </c>
      <c r="AD662" s="31">
        <f>(AB661*$C662)+(AC661*$G662)</f>
        <v>0</v>
      </c>
      <c r="AE662" s="31">
        <f>AD661*$K662</f>
        <v>0.29483615651268175</v>
      </c>
      <c r="AF662" s="31">
        <f>(AF661*$U662)+(AE661*$P662)</f>
        <v>0</v>
      </c>
      <c r="AG662" s="31">
        <f>(AG661*$Z662)+(AB661*$D662)+(AC661*$H662)+(AD661*$L662)+(AE661*$Q662)+(AF661*$V662)</f>
        <v>1.97760479753563E-4</v>
      </c>
      <c r="AH662" s="286">
        <f>AH661+($B662*AB661)+($F662*AC661)+($J662*AD661)+($O662*AE661)+($T662*AF661)+($Y662*AG661)</f>
        <v>2.9217000038646759E-2</v>
      </c>
      <c r="AI662" s="31"/>
      <c r="AJ662" s="284">
        <f>(AJ661*$E662)+(AL661*$N662)+(AM661*$S662)+(AN661*$X662)</f>
        <v>22.103257075338643</v>
      </c>
      <c r="AK662" s="31">
        <f>(AK661*$I662)+(AL661*$M662)+(AM661*$R662)+(AN661*$W662)</f>
        <v>24.186286537935999</v>
      </c>
      <c r="AL662" s="31">
        <f>(AJ661*$C662)+(AK661*$G662)</f>
        <v>6.9844880018576623</v>
      </c>
      <c r="AM662" s="31">
        <f>AL661*$K662</f>
        <v>0</v>
      </c>
      <c r="AN662" s="31">
        <f>(AN661*$U662)+(AM661*$P662)</f>
        <v>0</v>
      </c>
      <c r="AO662" s="31">
        <f>(AO661*$Z662)+(AJ661*$D662)+(AK661*$H662)+(AL661*$L662)+(AM661*$Q662)+(AN661*$V662)</f>
        <v>1.9038502137559199E-2</v>
      </c>
      <c r="AP662" s="286">
        <f>AP661+($B662*AJ661)+($F662*AK661)+($J662*AL661)+($O662*AM661)+($T662*AN661)+($Y662*AO661)</f>
        <v>3.6340403749075825</v>
      </c>
      <c r="AR662" s="30">
        <v>1</v>
      </c>
      <c r="AS662" s="30">
        <f>VLOOKUP($A662,'Childhood mortality'!$A$12:$G$27,3)</f>
        <v>4.1203014491343866E-3</v>
      </c>
      <c r="AT662" s="30">
        <f t="shared" ref="AT662:AT676" si="100">$D556</f>
        <v>0.13</v>
      </c>
      <c r="AU662" s="30">
        <f t="shared" ref="AU662:AU676" si="101">$C556</f>
        <v>2.8499999999999999E-4</v>
      </c>
      <c r="AV662" s="30">
        <f t="shared" ref="AV662:AV676" si="102">1-AS662-AT662-AU662</f>
        <v>0.86559469855086568</v>
      </c>
      <c r="AW662" s="30">
        <f>VLOOKUP($A662,'Childhood mortality'!$A$12:$G$27,3)</f>
        <v>4.1203014491343866E-3</v>
      </c>
      <c r="AX662" s="30">
        <f t="shared" ref="AX662:AX676" si="103">$D556</f>
        <v>0.13</v>
      </c>
      <c r="AY662" s="30">
        <f t="shared" ref="AY662:AY676" si="104">$C556</f>
        <v>2.8499999999999999E-4</v>
      </c>
      <c r="AZ662" s="30">
        <f t="shared" ref="AZ662:AZ676" si="105">1-AY662-AX662-AW662</f>
        <v>0.86559469855086568</v>
      </c>
      <c r="BA662" s="30">
        <f>VLOOKUP($A662,'Childhood mortality'!$A$12:$G$27,3)</f>
        <v>4.1203014491343866E-3</v>
      </c>
      <c r="BB662" s="30">
        <f t="shared" ref="BB662:BB676" si="106">$G556</f>
        <v>0.53</v>
      </c>
      <c r="BC662" s="30">
        <f t="shared" ref="BC662:BC676" si="107">$F556</f>
        <v>2.8499999999999999E-4</v>
      </c>
      <c r="BD662" s="30">
        <f t="shared" ref="BD662:BD676" si="108">(1-DET_p_exposed_passive_smoking)*(1-BC662-BB662-BA662)</f>
        <v>0.24327322999282727</v>
      </c>
      <c r="BE662" s="30">
        <f t="shared" ref="BE662:BE676" si="109">DET_p_exposed_passive_smoking*(1-BC662-BB662-BA662)</f>
        <v>0.2223214685580383</v>
      </c>
      <c r="BF662" s="30">
        <f>VLOOKUP($A662,'Childhood mortality'!$A$12:$G$27,3)</f>
        <v>4.1203014491343866E-3</v>
      </c>
      <c r="BG662" s="30">
        <f t="shared" ref="BG662:BG676" si="110">$K556</f>
        <v>0.5714285714285714</v>
      </c>
      <c r="BH662" s="30">
        <f t="shared" ref="BH662:BH676" si="111">$I556</f>
        <v>2.8499999999999999E-4</v>
      </c>
      <c r="BI662" s="30">
        <f t="shared" ref="BI662:BI676" si="112">(1-DET_p_exposed_passive_smoking)*(1-BH662-BG662-BF662)</f>
        <v>0.22162680142139873</v>
      </c>
      <c r="BJ662" s="30">
        <f t="shared" ref="BJ662:BJ676" si="113">DET_p_exposed_passive_smoking*(1-BH662-BG662-BF662)</f>
        <v>0.2025393257008955</v>
      </c>
      <c r="BK662" s="30">
        <f>VLOOKUP($A662,'Childhood mortality'!$A$12:$G$27,3)</f>
        <v>4.1203014491343866E-3</v>
      </c>
      <c r="BL662" s="30">
        <f t="shared" ref="BL662:BL676" si="114">1-BK662-BM662-BN662-BO662</f>
        <v>0.98696853167203258</v>
      </c>
      <c r="BM662" s="30">
        <f t="shared" ref="BM662:BM676" si="115">$L556</f>
        <v>2.8499999999999999E-4</v>
      </c>
      <c r="BN662" s="30">
        <f t="shared" si="80"/>
        <v>4.5071721941902995E-3</v>
      </c>
      <c r="BO662" s="30">
        <f t="shared" si="81"/>
        <v>4.1189946846428094E-3</v>
      </c>
      <c r="BP662" s="30">
        <f>VLOOKUP($A662,'Childhood mortality'!$A$12:$G$27,3)</f>
        <v>4.1203014491343866E-3</v>
      </c>
      <c r="BQ662" s="30">
        <f t="shared" ref="BQ662:BQ676" si="116">1-BP662</f>
        <v>0.99587969855086567</v>
      </c>
      <c r="BS662" s="284">
        <f>(BS661*$AV662)+(BU661*$BE662)+(BV661*$BJ662)+(BW661*$BO662)</f>
        <v>1.9317268822396343</v>
      </c>
      <c r="BT662" s="31">
        <f>(BT661*$AZ662)+(BU661*$BD662)+(BV661*$BI662)+(BW661*$BN662)</f>
        <v>2.1137744418224274</v>
      </c>
      <c r="BU662" s="31">
        <f>(BS661*$AT662)+(BT661*$AX662)</f>
        <v>0</v>
      </c>
      <c r="BV662" s="31">
        <f>BU661*$BB662</f>
        <v>4.6051119319578149</v>
      </c>
      <c r="BW662" s="31">
        <f>(BW661*$BL662)+(BV661*$BG662)</f>
        <v>0</v>
      </c>
      <c r="BX662" s="31">
        <f>(BX661*$BQ662)+(BS661*$AU662)+(BT661*$AY662)+(BU661*$BC662)+(BV661*$BH662)+(BW661*$BM662)</f>
        <v>3.0338687770564299E-3</v>
      </c>
      <c r="BY662" s="286">
        <f>BY661+($AS662*BS661)+($AW662*BT661)+($BA662*BU661)+($BF662*BV661)+($BK662*BW661)+($BP662*BX661)</f>
        <v>5.1422229418731605E-2</v>
      </c>
      <c r="BZ662" s="31"/>
      <c r="CA662" s="284">
        <f>(CA661*$AV662)+(CC661*$BE662)+(CD661*$BJ662)+(CE661*$BO662)</f>
        <v>162.4011176388247</v>
      </c>
      <c r="CB662" s="31">
        <f>(CB661*$AZ662)+(CC661*$BD662)+(CD661*$BI662)+(CE661*$BN662)</f>
        <v>177.70593500792859</v>
      </c>
      <c r="CC662" s="31">
        <f>(CA661*$AT662)+(CB661*$AX662)</f>
        <v>51.079237104962175</v>
      </c>
      <c r="CD662" s="31">
        <f>CC661*$BB662</f>
        <v>0</v>
      </c>
      <c r="CE662" s="31">
        <f>(CE661*$BL662)+(CD661*$BG662)</f>
        <v>0</v>
      </c>
      <c r="CF662" s="31">
        <f>(CF661*$BQ662)+(CA661*$AU662)+(CB661*$AY662)+(CC661*$BC662)+(CD661*$BH662)+(CE661*$BM662)</f>
        <v>0.1367173696095694</v>
      </c>
      <c r="CG662" s="286">
        <f>CG661+($AS662*CA661)+($AW662*CB661)+($BA662*CC661)+($BF662*CD661)+($BK662*CE661)+($BP662*CF661)</f>
        <v>52.463791978662499</v>
      </c>
      <c r="CI662" s="30">
        <v>1</v>
      </c>
      <c r="CJ662" s="30">
        <f>VLOOKUP($A662,'Childhood mortality'!$A$31:$G$46,4)</f>
        <v>6.5939186405815269E-3</v>
      </c>
      <c r="CK662" s="30">
        <f t="shared" ref="CK662:CK676" si="117">$D556</f>
        <v>0.13</v>
      </c>
      <c r="CL662" s="30">
        <f t="shared" ref="CL662:CL676" si="118">$C556</f>
        <v>2.8499999999999999E-4</v>
      </c>
      <c r="CM662" s="30">
        <f t="shared" ref="CM662:CM676" si="119">1-CJ662-CK662-CL662</f>
        <v>0.86312108135941845</v>
      </c>
      <c r="CN662" s="30">
        <f>VLOOKUP($A662,'Childhood mortality'!$A$31:$G$46,4)</f>
        <v>6.5939186405815269E-3</v>
      </c>
      <c r="CO662" s="30">
        <f t="shared" ref="CO662:CO676" si="120">$D556</f>
        <v>0.13</v>
      </c>
      <c r="CP662" s="30">
        <f t="shared" ref="CP662:CP676" si="121">$C556</f>
        <v>2.8499999999999999E-4</v>
      </c>
      <c r="CQ662" s="30">
        <f t="shared" ref="CQ662:CQ676" si="122">1-CP662-CO662-CN662</f>
        <v>0.86312108135941845</v>
      </c>
      <c r="CR662" s="30">
        <f>VLOOKUP($A662,'Childhood mortality'!$A$31:$G$46,4)</f>
        <v>6.5939186405815269E-3</v>
      </c>
      <c r="CS662" s="30">
        <f t="shared" ref="CS662:CS676" si="123">$G556</f>
        <v>0.53</v>
      </c>
      <c r="CT662" s="30">
        <f t="shared" ref="CT662:CT676" si="124">$F556</f>
        <v>2.8499999999999999E-4</v>
      </c>
      <c r="CU662" s="30">
        <f t="shared" ref="CU662:CU676" si="125">(1-DET_p_exposed_passive_smoking)*(1-CT662-CS662-CR662)</f>
        <v>0.24198076501029614</v>
      </c>
      <c r="CV662" s="30">
        <f t="shared" ref="CV662:CV676" si="126">DET_p_exposed_passive_smoking*(1-CT662-CS662-CR662)</f>
        <v>0.22114031634912232</v>
      </c>
      <c r="CW662" s="30">
        <f>VLOOKUP($A662,'Childhood mortality'!$A$31:$G$46,4)</f>
        <v>6.5939186405815269E-3</v>
      </c>
      <c r="CX662" s="30">
        <f t="shared" ref="CX662:CX676" si="127">$K556</f>
        <v>0.5714285714285714</v>
      </c>
      <c r="CY662" s="30">
        <f t="shared" ref="CY662:CY676" si="128">$I556</f>
        <v>2.8499999999999999E-4</v>
      </c>
      <c r="CZ662" s="30">
        <f t="shared" ref="CZ662:CZ676" si="129">(1-DET_p_exposed_passive_smoking)*(1-CY662-CX662-CW662)</f>
        <v>0.2203343364388676</v>
      </c>
      <c r="DA662" s="30">
        <f t="shared" ref="DA662:DA676" si="130">DET_p_exposed_passive_smoking*(1-CY662-CX662-CW662)</f>
        <v>0.20135817349197949</v>
      </c>
      <c r="DB662" s="30">
        <f>VLOOKUP($A662,'Childhood mortality'!$A$31:$G$46,4)</f>
        <v>6.5939186405815269E-3</v>
      </c>
      <c r="DC662" s="30">
        <f t="shared" ref="DC662:DC676" si="131">1-DB662-DD662-DE662-DF662</f>
        <v>0.98449491448058535</v>
      </c>
      <c r="DD662" s="30">
        <f t="shared" ref="DD662:DD676" si="132">$L556</f>
        <v>2.8499999999999999E-4</v>
      </c>
      <c r="DE662" s="30">
        <f t="shared" si="82"/>
        <v>4.5071721941902995E-3</v>
      </c>
      <c r="DF662" s="30">
        <f t="shared" si="83"/>
        <v>4.1189946846428094E-3</v>
      </c>
      <c r="DG662" s="30">
        <f>VLOOKUP($A662,'Childhood mortality'!$A$31:$G$46,4)</f>
        <v>6.5939186405815269E-3</v>
      </c>
      <c r="DH662" s="30">
        <f t="shared" ref="DH662:DH676" si="133">1-DG662</f>
        <v>0.99340608135941844</v>
      </c>
      <c r="DJ662" s="284">
        <f>(DJ661*$CM662)+(DL661*$CV662)+(DM661*$DA662)+(DN661*$DF662)</f>
        <v>0.1181948903143291</v>
      </c>
      <c r="DK662" s="31">
        <f>(DK661*$CQ662)+(DL661*$CU662)+(DM661*$CZ662)+(DN661*$DE662)</f>
        <v>0.12933367578897792</v>
      </c>
      <c r="DL662" s="31">
        <f>(DJ661*$CK662)+(DK661*$CO662)</f>
        <v>0</v>
      </c>
      <c r="DM662" s="31">
        <f>DL661*$CS662</f>
        <v>0.28327395429649821</v>
      </c>
      <c r="DN662" s="31">
        <f>(DN661*$DC662)+(DM661*$CX662)</f>
        <v>0</v>
      </c>
      <c r="DO662" s="31">
        <f>(DO661*$DH662)+(DJ661*$CL662)+(DK661*$CP662)+(DL661*$CT662)+(DM661*$CY662)+(DN661*$DD662)</f>
        <v>1.9006400575614685E-4</v>
      </c>
      <c r="DP662" s="286">
        <f>DP661+($CJ662*DJ661)+($CN662*DK661)+($CR662*DL661)+($CW662*DM661)+($DB662*DN661)+($DG662*DO661)</f>
        <v>2.724332985630384E-2</v>
      </c>
      <c r="DQ662" s="31"/>
      <c r="DR662" s="284">
        <f>(DR661*$CM662)+(DT661*$CV662)+(DU661*$DA662)+(DV661*$DF662)</f>
        <v>21.274640367494879</v>
      </c>
      <c r="DS662" s="31">
        <f>(DS661*$CQ662)+(DT661*$CU662)+(DU661*$CZ662)+(DV661*$DE662)</f>
        <v>23.279580297415862</v>
      </c>
      <c r="DT662" s="31">
        <f>(DR661*$CK662)+(DS661*$CO662)</f>
        <v>6.7105865115887351</v>
      </c>
      <c r="DU662" s="31">
        <f>DT661*$CS662</f>
        <v>0</v>
      </c>
      <c r="DV662" s="31">
        <f>(DV661*$DC662)+(DU661*$CX662)</f>
        <v>0</v>
      </c>
      <c r="DW662" s="31">
        <f>(DW661*$DH662)+(DR661*$CL662)+(DS661*$CP662)+(DT661*$CT662)+(DU661*$CY662)+(DV661*$DD662)</f>
        <v>1.8297485090162199E-2</v>
      </c>
      <c r="DX662" s="286">
        <f>DX661+($CJ662*DR661)+($CN662*DS661)+($CR662*DT661)+($CW662*DU661)+($DB662*DV661)+($DG662*DW661)</f>
        <v>3.411570125012227</v>
      </c>
      <c r="DZ662" s="30">
        <v>1</v>
      </c>
      <c r="EA662" s="30">
        <f>VLOOKUP($A662,'Childhood mortality'!$A$31:$G$46,3)</f>
        <v>3.3365575857180656E-3</v>
      </c>
      <c r="EB662" s="30">
        <f t="shared" ref="EB662:EB676" si="134">$D556</f>
        <v>0.13</v>
      </c>
      <c r="EC662" s="30">
        <f t="shared" ref="EC662:EC676" si="135">$C556</f>
        <v>2.8499999999999999E-4</v>
      </c>
      <c r="ED662" s="30">
        <f t="shared" ref="ED662:ED676" si="136">1-EA662-EB662-EC662</f>
        <v>0.86637844241428197</v>
      </c>
      <c r="EE662" s="30">
        <f>VLOOKUP($A662,'Childhood mortality'!$A$31:$G$46,3)</f>
        <v>3.3365575857180656E-3</v>
      </c>
      <c r="EF662" s="30">
        <f t="shared" ref="EF662:EF676" si="137">$D556</f>
        <v>0.13</v>
      </c>
      <c r="EG662" s="30">
        <f t="shared" ref="EG662:EG676" si="138">$C556</f>
        <v>2.8499999999999999E-4</v>
      </c>
      <c r="EH662" s="30">
        <f t="shared" ref="EH662:EH676" si="139">1-EG662-EF662-EE662</f>
        <v>0.86637844241428197</v>
      </c>
      <c r="EI662" s="30">
        <f>VLOOKUP($A662,'Childhood mortality'!$A$31:$G$46,3)</f>
        <v>3.3365575857180656E-3</v>
      </c>
      <c r="EJ662" s="30">
        <f t="shared" ref="EJ662:EJ676" si="140">$G556</f>
        <v>0.53</v>
      </c>
      <c r="EK662" s="30">
        <f t="shared" ref="EK662:EK676" si="141">$F556</f>
        <v>2.8499999999999999E-4</v>
      </c>
      <c r="EL662" s="30">
        <f t="shared" ref="EL662:EL676" si="142">(1-DET_p_exposed_passive_smoking)*(1-EK662-EJ662-EI662)</f>
        <v>0.2436827361614623</v>
      </c>
      <c r="EM662" s="30">
        <f t="shared" ref="EM662:EM676" si="143">DET_p_exposed_passive_smoking*(1-EK662-EJ662-EI662)</f>
        <v>0.22269570625281962</v>
      </c>
      <c r="EN662" s="30">
        <f>VLOOKUP($A662,'Childhood mortality'!$A$31:$G$46,3)</f>
        <v>3.3365575857180656E-3</v>
      </c>
      <c r="EO662" s="30">
        <f t="shared" ref="EO662:EO676" si="144">$K556</f>
        <v>0.5714285714285714</v>
      </c>
      <c r="EP662" s="30">
        <f t="shared" ref="EP662:EP676" si="145">$I556</f>
        <v>2.8499999999999999E-4</v>
      </c>
      <c r="EQ662" s="30">
        <f t="shared" ref="EQ662:EQ676" si="146">(1-DET_p_exposed_passive_smoking)*(1-EP662-EO662-EN662)</f>
        <v>0.22203630759003376</v>
      </c>
      <c r="ER662" s="30">
        <f t="shared" ref="ER662:ER676" si="147">DET_p_exposed_passive_smoking*(1-EP662-EO662-EN662)</f>
        <v>0.20291356339567679</v>
      </c>
      <c r="ES662" s="30">
        <f>VLOOKUP($A662,'Childhood mortality'!$A$31:$G$46,3)</f>
        <v>3.3365575857180656E-3</v>
      </c>
      <c r="ET662" s="30">
        <f t="shared" ref="ET662:ET676" si="148">1-ES662-EU662-EV662-EW662</f>
        <v>0.98775227553544886</v>
      </c>
      <c r="EU662" s="30">
        <f t="shared" ref="EU662:EU676" si="149">$L556</f>
        <v>2.8499999999999999E-4</v>
      </c>
      <c r="EV662" s="30">
        <f t="shared" si="84"/>
        <v>4.5071721941902995E-3</v>
      </c>
      <c r="EW662" s="30">
        <f t="shared" si="85"/>
        <v>4.1189946846428094E-3</v>
      </c>
      <c r="EX662" s="30">
        <f>VLOOKUP($A662,'Childhood mortality'!$A$31:$G$46,3)</f>
        <v>3.3365575857180656E-3</v>
      </c>
      <c r="EY662" s="30">
        <f t="shared" ref="EY662:EY676" si="150">1-EX662</f>
        <v>0.99666344241428195</v>
      </c>
      <c r="FA662" s="284">
        <f>(FA661*$ED662)+(FC661*$EM662)+(FD661*$ER662)+(FE661*$EW662)</f>
        <v>1.8590970791332211</v>
      </c>
      <c r="FB662" s="31">
        <f>(FB661*$EH662)+(FC661*$EL662)+(FD661*$EQ662)+(FE661*$EV662)</f>
        <v>2.0342999452295456</v>
      </c>
      <c r="FC662" s="31">
        <f>(FA661*$EB662)+(FB661*$EF662)</f>
        <v>0</v>
      </c>
      <c r="FD662" s="31">
        <f>FC661*$EJ662</f>
        <v>4.4245193071751547</v>
      </c>
      <c r="FE662" s="31">
        <f>(FE661*$ET662)+(FD661*$EO662)</f>
        <v>0</v>
      </c>
      <c r="FF662" s="31">
        <f>(FF661*$EY662)+(FA661*$EC662)+(FB661*$EG662)+(FC661*$EK662)+(FD661*$EP662)+(FE661*$EU662)</f>
        <v>2.9153150966439159E-3</v>
      </c>
      <c r="FG662" s="286">
        <f>FG661+($EA662*FA661)+($EE662*FB661)+($EI662*FC661)+($EN662*FD661)+($ES662*FE661)+($EX662*FF661)</f>
        <v>0.72493243910356742</v>
      </c>
      <c r="FH662" s="31"/>
      <c r="FI662" s="284">
        <f>(FI661*$ED662)+(FK661*$EM662)+(FL661*$ER662)+(FM661*$EW662)</f>
        <v>156.17372434097064</v>
      </c>
      <c r="FJ662" s="31">
        <f>(FJ661*$EH662)+(FK661*$EL662)+(FL661*$EQ662)+(FM661*$EV662)</f>
        <v>170.89166694902022</v>
      </c>
      <c r="FK662" s="31">
        <f>(FI661*$EB662)+(FJ661*$EF662)</f>
        <v>49.076129767512683</v>
      </c>
      <c r="FL662" s="31">
        <f>FK661*$EJ662</f>
        <v>0</v>
      </c>
      <c r="FM662" s="31">
        <f>(FM661*$ET662)+(FL661*$EO662)</f>
        <v>0</v>
      </c>
      <c r="FN662" s="31">
        <f>(FN661*$EY662)+(FI661*$EC662)+(FJ661*$EG662)+(FK661*$EK662)+(FL661*$EP662)+(FM661*$EU662)</f>
        <v>0.13137460759830108</v>
      </c>
      <c r="FO662" s="286">
        <f>FO661+($EA662*FI661)+($EE662*FJ661)+($EI662*FK661)+($EN662*FL661)+($ES662*FM661)+($EX662*FN661)</f>
        <v>49.428429548296414</v>
      </c>
      <c r="FQ662" s="30">
        <f t="shared" ref="FQ662:FQ676" si="151">SUM(AB662:AH662)+SUM(AJ662:AP662)+SUM(BS662:BY662)+SUM(CA662:CG662)+SUM(DJ662:DP662)+SUM(DR662:DX662)+SUM(FA662:FG662)+SUM(FI662:FO662)</f>
        <v>1000.0000000000002</v>
      </c>
      <c r="FR662" s="30" t="str">
        <f t="shared" si="86"/>
        <v>OKAY</v>
      </c>
      <c r="FT662" s="284">
        <f>($AB662-(VLOOKUP($A662,'Childhood asthma'!$A$36:$AG$50,7)*$AB662))+(SUM($AC662:$AG662)-(VLOOKUP($A662,'Childhood asthma'!$A$36:$AG$50,6)*SUM($AC662:$AG662)))+($AJ662-(VLOOKUP($A662,'Childhood asthma'!$A$36:$AG$50,9)*$AJ662))+(SUM($AK662:$AO662)-(VLOOKUP($A662,'Childhood asthma'!$A$36:$AG$50,8)*SUM($AK662:$AO662)))+($BS662-(VLOOKUP($A662,'Childhood asthma'!$A$36:$AG$50,3)*$BS662))+(SUM($BT662:$BX662)-(VLOOKUP($A662,'Childhood asthma'!$A$36:$AG$50,2)*SUM($BT662:$BX662)))+($CA662-(VLOOKUP($A662,'Childhood asthma'!$A$36:$AG$50,5)*$CA662))+(SUM($CB662:$CF662)-(VLOOKUP($A662,'Childhood asthma'!$A$36:$AG$50,4)*SUM($CB662:$CF662)))+($DJ662-(VLOOKUP($A662,'Childhood asthma'!$A$36:$AG$50,23)*$DJ662))+(SUM($DK662:$DO662)-(VLOOKUP($A662,'Childhood asthma'!$A$36:$AG$50,22)*SUM($DK662:$DO662)))+($DR662-(VLOOKUP($A662,'Childhood asthma'!$A$36:$AG$50,25)*$DR662))+(SUM($DS662:$DW662)-(VLOOKUP($A662,'Childhood asthma'!$A$36:$AG$50,24)*SUM($DS662:$DW662)))+($FA662-(VLOOKUP($A662,'Childhood asthma'!$A$36:$AG$50,19)*$FA662))+(SUM($FB662:$FF662)-(VLOOKUP($A662,'Childhood asthma'!$A$36:$AG$50,18)*SUM($FB662:$FF662)))+($FI662-(VLOOKUP($A662,'Childhood asthma'!$A$36:$AG$50,21)*$FI662))+(SUM($FJ662:$FN662)-(VLOOKUP($A662,'Childhood asthma'!$A$36:$AG$50,20)*SUM($FJ662:$FN662)))</f>
        <v>851.0033890747543</v>
      </c>
      <c r="FU662" s="31">
        <f>(VLOOKUP($A662,'Childhood asthma'!$A$36:$AG$50,7)*$AB662)+(VLOOKUP($A662,'Childhood asthma'!$A$36:$AG$50,6)*SUM($AC662:$AG662))+(VLOOKUP($A662,'Childhood asthma'!$A$36:$AG$50,9)*$AJ662)+(VLOOKUP($A662,'Childhood asthma'!$A$36:$AG$50,8)*SUM($AK662:$AO662))+(VLOOKUP($A662,'Childhood asthma'!$A$36:$AG$50,3)*$BS662)+(VLOOKUP($A662,'Childhood asthma'!$A$36:$AG$50,2)*SUM($BT662:$BX662))+(VLOOKUP($A662,'Childhood asthma'!$A$36:$AG$50,5)*$CA662)+(VLOOKUP($A662,'Childhood asthma'!$A$36:$AG$50,4)*SUM($CB662:$CF662))+(VLOOKUP($A662,'Childhood asthma'!$A$36:$AG$50,23)*$DJ662)+(VLOOKUP($A662,'Childhood asthma'!$A$36:$AG$50,22)*SUM($DK662:$DO662))+(VLOOKUP($A662,'Childhood asthma'!$A$36:$AG$50,25)*$DR662)+(VLOOKUP($A662,'Childhood asthma'!$A$36:$AG$50,24)*SUM($DS662:$DW662))+(VLOOKUP($A662,'Childhood asthma'!$A$36:$AG$50,19)*$FA662)+(VLOOKUP($A662,'Childhood asthma'!$A$36:$AG$50,18)*SUM($FB662:$FF662))+(VLOOKUP($A662,'Childhood asthma'!$A$36:$AG$50,21)*$FI662)+(VLOOKUP($A662,'Childhood asthma'!$A$36:$AG$50,20)*SUM($FJ662:$FN662))</f>
        <v>39.22596389995001</v>
      </c>
      <c r="FV662" s="31">
        <f>SUM(FT662:FU662)</f>
        <v>890.22935297470428</v>
      </c>
      <c r="FW662" s="286">
        <f>FO662+FG662+DX662+DP662+CG662+BY662+AP662+AH662</f>
        <v>109.77064702529597</v>
      </c>
      <c r="FY662" s="265">
        <v>1</v>
      </c>
      <c r="FZ662" s="30">
        <f>FV662/((1+Discount_rate_QALYs)^$A662)</f>
        <v>860.1249787195211</v>
      </c>
      <c r="GA662" s="281">
        <f>FZ662+GA661</f>
        <v>860.1249787195211</v>
      </c>
      <c r="GC662" s="265">
        <v>1</v>
      </c>
      <c r="GD662" s="30">
        <f t="shared" ref="GD662:GD676" si="152">((DET_util_nm*$FT662)+(DET_util_asthma*$FU662))/((1+Discount_rate_QALYs)^$A662)</f>
        <v>856.3350305166274</v>
      </c>
      <c r="GE662" s="281">
        <f>GD662+GE661</f>
        <v>856.3350305166274</v>
      </c>
      <c r="GG662" s="265">
        <v>1</v>
      </c>
      <c r="GH662" s="303">
        <f>((DET_cost_asthma*$FU662)+(DET_COST_death*($FW662-$FW661)))/((1+Discount_rate_costs)^$A662)</f>
        <v>67424.045590898299</v>
      </c>
      <c r="GI662" s="304">
        <f>GH662+GI661</f>
        <v>3337646.6320648133</v>
      </c>
      <c r="GK662" s="265">
        <v>1</v>
      </c>
      <c r="GL662" s="287">
        <f t="shared" ref="GL662:GL676" si="153">FV662/Cohort</f>
        <v>0.89022935297470429</v>
      </c>
      <c r="GM662" s="287">
        <f t="shared" ref="GM662:GM676" si="154">FW662/Cohort</f>
        <v>0.10977064702529597</v>
      </c>
      <c r="GN662" s="288">
        <f t="shared" ref="GN662:GN676" si="155">FU662/Cohort</f>
        <v>3.9225963899950013E-2</v>
      </c>
      <c r="GP662" s="265">
        <v>1</v>
      </c>
      <c r="GQ662" s="303">
        <f>((DET_cost_asthma*$FU662)+(DET_COST_death*($FW662-$FW661)))/((1+Discount_rate_costs)^$A662)</f>
        <v>67424.045590898299</v>
      </c>
      <c r="GR662" s="304">
        <f>GQ662+GR661</f>
        <v>6437778.5679209037</v>
      </c>
      <c r="GT662" s="265">
        <v>1</v>
      </c>
      <c r="GU662" s="303">
        <f>((DET_cost_asthma*$FU662)+(DET_COST_death*($FW662-$FW661)))/((1+Discount_rate_costs)^$A662)</f>
        <v>67424.045590898299</v>
      </c>
      <c r="GV662" s="304">
        <f>GU662+GV661</f>
        <v>3337646.6320648133</v>
      </c>
      <c r="GX662" s="265">
        <v>1</v>
      </c>
      <c r="GY662" s="303">
        <f>((DET_cost_asthma*$FU662)+(DET_COST_death*($FW662-$FW661)))/((1+Discount_rate_costs)^$A662)</f>
        <v>67424.045590898299</v>
      </c>
      <c r="GZ662" s="304">
        <f>GY662+GZ661</f>
        <v>6437778.5679209037</v>
      </c>
    </row>
    <row r="663" spans="1:208" s="30" customFormat="1" x14ac:dyDescent="0.25">
      <c r="A663" s="379">
        <v>2</v>
      </c>
      <c r="B663" s="30">
        <f>VLOOKUP($A663,'Childhood mortality'!$A$12:$G$27,4)</f>
        <v>7.4696158241091928E-4</v>
      </c>
      <c r="C663" s="30">
        <f t="shared" si="87"/>
        <v>0.27</v>
      </c>
      <c r="D663" s="30">
        <f t="shared" si="88"/>
        <v>3.077E-4</v>
      </c>
      <c r="E663" s="30">
        <f t="shared" si="89"/>
        <v>0.72894533841758902</v>
      </c>
      <c r="F663" s="30">
        <f>VLOOKUP($A663,'Childhood mortality'!$A$12:$G$27,4)</f>
        <v>7.4696158241091928E-4</v>
      </c>
      <c r="G663" s="30">
        <f t="shared" si="90"/>
        <v>0.27</v>
      </c>
      <c r="H663" s="30">
        <f t="shared" si="91"/>
        <v>3.077E-4</v>
      </c>
      <c r="I663" s="30">
        <f t="shared" si="92"/>
        <v>0.72894533841758902</v>
      </c>
      <c r="J663" s="30">
        <f>VLOOKUP($A663,'Childhood mortality'!$A$12:$G$27,4)</f>
        <v>7.4696158241091928E-4</v>
      </c>
      <c r="K663" s="30">
        <f t="shared" si="93"/>
        <v>0.14000000000000001</v>
      </c>
      <c r="L663" s="30">
        <f t="shared" si="94"/>
        <v>3.077E-4</v>
      </c>
      <c r="M663" s="30">
        <f t="shared" si="74"/>
        <v>0.44879893932319026</v>
      </c>
      <c r="N663" s="30">
        <f t="shared" si="75"/>
        <v>0.41014639909439876</v>
      </c>
      <c r="O663" s="30">
        <f>VLOOKUP($A663,'Childhood mortality'!$A$12:$G$27,4)</f>
        <v>7.4696158241091928E-4</v>
      </c>
      <c r="P663" s="30">
        <f t="shared" si="95"/>
        <v>0.71</v>
      </c>
      <c r="Q663" s="30">
        <f t="shared" si="96"/>
        <v>3.077E-4</v>
      </c>
      <c r="R663" s="30">
        <f t="shared" si="76"/>
        <v>0.15097393932319028</v>
      </c>
      <c r="S663" s="30">
        <f t="shared" si="77"/>
        <v>0.13797139909439879</v>
      </c>
      <c r="T663" s="30">
        <f>VLOOKUP($A663,'Childhood mortality'!$A$12:$G$27,4)</f>
        <v>7.4696158241091928E-4</v>
      </c>
      <c r="U663" s="30">
        <f t="shared" si="97"/>
        <v>0.99031917153875593</v>
      </c>
      <c r="V663" s="30">
        <f t="shared" si="98"/>
        <v>3.077E-4</v>
      </c>
      <c r="W663" s="30">
        <f t="shared" si="78"/>
        <v>4.5071721941902995E-3</v>
      </c>
      <c r="X663" s="30">
        <f t="shared" si="79"/>
        <v>4.1189946846428094E-3</v>
      </c>
      <c r="Y663" s="30">
        <f>VLOOKUP($A663,'Childhood mortality'!$A$12:$G$27,4)</f>
        <v>7.4696158241091928E-4</v>
      </c>
      <c r="Z663" s="30">
        <f t="shared" si="99"/>
        <v>0.99925303841758906</v>
      </c>
      <c r="AB663" s="284">
        <f t="shared" ref="AB663:AB676" si="156">(AB662*E663)+(AD662*N663)+(AE662*S663)+(AF662*X663)</f>
        <v>0.13005329770565766</v>
      </c>
      <c r="AC663" s="31">
        <f t="shared" ref="AC663:AC676" si="157">(AC662*I663)+(AD662*M663)+(AE662*R663)+(AF662*W663)</f>
        <v>0.14230962942660966</v>
      </c>
      <c r="AD663" s="31">
        <f t="shared" ref="AD663:AD676" si="158">(AB662*C663)+(AC662*G663)</f>
        <v>6.9327936878870761E-2</v>
      </c>
      <c r="AE663" s="31">
        <f t="shared" ref="AE663:AE676" si="159">AD662*K663</f>
        <v>0</v>
      </c>
      <c r="AF663" s="31">
        <f t="shared" ref="AF663:AF676" si="160">(AF662*U663)+(AE662*P663)</f>
        <v>0.20933367112400403</v>
      </c>
      <c r="AG663" s="31">
        <f t="shared" ref="AG663:AG676" si="161">(AG662*Z663)+(AB662*D663)+(AC662*H663)+(AD662*L663)+(AE662*Q663)+(AF662*V663)</f>
        <v>3.6734201665987389E-4</v>
      </c>
      <c r="AH663" s="286">
        <f t="shared" ref="AH663:AH676" si="162">AH662+(B663*AB662)+(F663*AC662)+(J663*AD662)+(O663*AE662)+(T663*AF662)+(Y663*AG662)</f>
        <v>2.9629176467690265E-2</v>
      </c>
      <c r="AI663" s="31"/>
      <c r="AJ663" s="284">
        <f t="shared" ref="AJ663:AJ676" si="163">(AJ662*$E663)+(AL662*$N663)+(AM662*$S663)+(AN662*$X663)</f>
        <v>18.976728812393649</v>
      </c>
      <c r="AK663" s="31">
        <f t="shared" ref="AK663:AK676" si="164">(AK662*$I663)+(AL662*$M663)+(AM662*$R663)+(AN662*$W663)</f>
        <v>20.765111632409802</v>
      </c>
      <c r="AL663" s="31">
        <f t="shared" ref="AL663:AL676" si="165">(AJ662*$C663)+(AK662*$G663)</f>
        <v>12.498176775584154</v>
      </c>
      <c r="AM663" s="31">
        <f t="shared" ref="AM663:AM676" si="166">AL662*$K663</f>
        <v>0.97782832026007283</v>
      </c>
      <c r="AN663" s="31">
        <f t="shared" ref="AN663:AN676" si="167">(AN662*$U663)+(AM662*$P663)</f>
        <v>0</v>
      </c>
      <c r="AO663" s="31">
        <f t="shared" ref="AO663:AO676" si="168">(AO662*$Z663)+(AJ662*$D663)+(AK662*$H663)+(AL662*$L663)+(AM662*$Q663)+(AN662*$V663)</f>
        <v>3.5416700635852005E-2</v>
      </c>
      <c r="AP663" s="286">
        <f t="shared" ref="AP663:AP676" si="169">AP662+($B663*AJ662)+($F663*AK662)+($J663*AL662)+($O663*AM662)+($T663*AN662)+($Y663*AO662)</f>
        <v>3.6738482508939145</v>
      </c>
      <c r="AR663" s="30">
        <v>2</v>
      </c>
      <c r="AS663" s="30">
        <f>VLOOKUP($A663,'Childhood mortality'!$A$12:$G$27,3)</f>
        <v>3.7796649759896413E-4</v>
      </c>
      <c r="AT663" s="30">
        <f t="shared" si="100"/>
        <v>0.27</v>
      </c>
      <c r="AU663" s="30">
        <f t="shared" si="101"/>
        <v>3.077E-4</v>
      </c>
      <c r="AV663" s="30">
        <f t="shared" si="102"/>
        <v>0.72931433350240105</v>
      </c>
      <c r="AW663" s="30">
        <f>VLOOKUP($A663,'Childhood mortality'!$A$12:$G$27,3)</f>
        <v>3.7796649759896413E-4</v>
      </c>
      <c r="AX663" s="30">
        <f t="shared" si="103"/>
        <v>0.27</v>
      </c>
      <c r="AY663" s="30">
        <f t="shared" si="104"/>
        <v>3.077E-4</v>
      </c>
      <c r="AZ663" s="30">
        <f t="shared" si="105"/>
        <v>0.72931433350240105</v>
      </c>
      <c r="BA663" s="30">
        <f>VLOOKUP($A663,'Childhood mortality'!$A$12:$G$27,3)</f>
        <v>3.7796649759896413E-4</v>
      </c>
      <c r="BB663" s="30">
        <f t="shared" si="106"/>
        <v>0.14000000000000001</v>
      </c>
      <c r="BC663" s="30">
        <f t="shared" si="107"/>
        <v>3.077E-4</v>
      </c>
      <c r="BD663" s="30">
        <f t="shared" si="108"/>
        <v>0.44899173925500452</v>
      </c>
      <c r="BE663" s="30">
        <f t="shared" si="109"/>
        <v>0.41032259424739648</v>
      </c>
      <c r="BF663" s="30">
        <f>VLOOKUP($A663,'Childhood mortality'!$A$12:$G$27,3)</f>
        <v>3.7796649759896413E-4</v>
      </c>
      <c r="BG663" s="30">
        <f t="shared" si="110"/>
        <v>0.71</v>
      </c>
      <c r="BH663" s="30">
        <f t="shared" si="111"/>
        <v>3.077E-4</v>
      </c>
      <c r="BI663" s="30">
        <f t="shared" si="112"/>
        <v>0.15116673925500454</v>
      </c>
      <c r="BJ663" s="30">
        <f t="shared" si="113"/>
        <v>0.1381475942473965</v>
      </c>
      <c r="BK663" s="30">
        <f>VLOOKUP($A663,'Childhood mortality'!$A$12:$G$27,3)</f>
        <v>3.7796649759896413E-4</v>
      </c>
      <c r="BL663" s="30">
        <f t="shared" si="114"/>
        <v>0.99068816662356796</v>
      </c>
      <c r="BM663" s="30">
        <f t="shared" si="115"/>
        <v>3.077E-4</v>
      </c>
      <c r="BN663" s="30">
        <f t="shared" si="80"/>
        <v>4.5071721941902995E-3</v>
      </c>
      <c r="BO663" s="30">
        <f t="shared" si="81"/>
        <v>4.1189946846428094E-3</v>
      </c>
      <c r="BP663" s="30">
        <f>VLOOKUP($A663,'Childhood mortality'!$A$12:$G$27,3)</f>
        <v>3.7796649759896413E-4</v>
      </c>
      <c r="BQ663" s="30">
        <f t="shared" si="116"/>
        <v>0.99962203350240109</v>
      </c>
      <c r="BS663" s="284">
        <f t="shared" ref="BS663:BS676" si="170">(BS662*AV663)+(BU662*BE663)+(BV662*BJ663)+(BW662*BO663)</f>
        <v>2.0450212382692223</v>
      </c>
      <c r="BT663" s="31">
        <f t="shared" ref="BT663:BT676" si="171">(BT662*AZ663)+(BU662*BD663)+(BV662*BI663)+(BW662*BN663)</f>
        <v>2.2377457528705107</v>
      </c>
      <c r="BU663" s="31">
        <f t="shared" ref="BU663:BU676" si="172">(BS662*AT663)+(BT662*AX663)</f>
        <v>1.0922853574967566</v>
      </c>
      <c r="BV663" s="31">
        <f t="shared" ref="BV663:BV676" si="173">BU662*BB663</f>
        <v>0</v>
      </c>
      <c r="BW663" s="31">
        <f t="shared" ref="BW663:BW676" si="174">(BW662*BL663)+(BV662*BG663)</f>
        <v>3.2696294716900485</v>
      </c>
      <c r="BX663" s="31">
        <f t="shared" ref="BX663:BX676" si="175">(BX662*BQ663)+(BS662*AU663)+(BT662*AY663)+(BU662*BC663)+(BV662*BH663)+(BW662*BM663)</f>
        <v>5.6945157751779069E-3</v>
      </c>
      <c r="BY663" s="286">
        <f t="shared" ref="BY663:BY676" si="176">BY662+(AS663*BS662)+(AW663*BT662)+(BA663*BU662)+(BF663*BV662)+(BK663*BW662)+(BP663*BX662)</f>
        <v>5.4693018113948444E-2</v>
      </c>
      <c r="BZ663" s="31"/>
      <c r="CA663" s="284">
        <f t="shared" ref="CA663:CA676" si="177">(CA662*$AV663)+(CC662*$BE663)+(CD662*$BJ663)+(CE662*$BO663)</f>
        <v>139.40042795189041</v>
      </c>
      <c r="CB663" s="31">
        <f t="shared" ref="CB663:CB676" si="178">(CB662*$AZ663)+(CC662*$BD663)+(CD662*$BI663)+(CE662*$BN663)</f>
        <v>152.53764105730417</v>
      </c>
      <c r="CC663" s="31">
        <f t="shared" ref="CC663:CC676" si="179">(CA662*$AT663)+(CB662*$AX663)</f>
        <v>91.828904214623392</v>
      </c>
      <c r="CD663" s="31">
        <f t="shared" ref="CD663:CD676" si="180">CC662*$BB663</f>
        <v>7.1510931946947052</v>
      </c>
      <c r="CE663" s="31">
        <f t="shared" ref="CE663:CE676" si="181">(CE662*$BL663)+(CD662*$BG663)</f>
        <v>0</v>
      </c>
      <c r="CF663" s="31">
        <f t="shared" ref="CF663:CF676" si="182">(CF662*$BQ663)+(CA662*$AU663)+(CB662*$AY663)+(CC662*$BC663)+(CD662*$BH663)+(CE662*$BM663)</f>
        <v>0.25703371638081995</v>
      </c>
      <c r="CG663" s="286">
        <f t="shared" ref="CG663:CG676" si="183">CG662+($AS663*CA662)+($AW663*CB662)+($BA663*CC662)+($BF663*CD662)+($BK663*CE662)+($BP663*CF662)</f>
        <v>52.611698965094043</v>
      </c>
      <c r="CI663" s="30">
        <v>2</v>
      </c>
      <c r="CJ663" s="30">
        <f>VLOOKUP($A663,'Childhood mortality'!$A$31:$G$46,4)</f>
        <v>6.4902661938370993E-4</v>
      </c>
      <c r="CK663" s="30">
        <f t="shared" si="117"/>
        <v>0.27</v>
      </c>
      <c r="CL663" s="30">
        <f t="shared" si="118"/>
        <v>3.077E-4</v>
      </c>
      <c r="CM663" s="30">
        <f t="shared" si="119"/>
        <v>0.72904327338061625</v>
      </c>
      <c r="CN663" s="30">
        <f>VLOOKUP($A663,'Childhood mortality'!$A$31:$G$46,4)</f>
        <v>6.4902661938370993E-4</v>
      </c>
      <c r="CO663" s="30">
        <f t="shared" si="120"/>
        <v>0.27</v>
      </c>
      <c r="CP663" s="30">
        <f t="shared" si="121"/>
        <v>3.077E-4</v>
      </c>
      <c r="CQ663" s="30">
        <f t="shared" si="122"/>
        <v>0.72904327338061625</v>
      </c>
      <c r="CR663" s="30">
        <f>VLOOKUP($A663,'Childhood mortality'!$A$31:$G$46,4)</f>
        <v>6.4902661938370993E-4</v>
      </c>
      <c r="CS663" s="30">
        <f t="shared" si="123"/>
        <v>0.14000000000000001</v>
      </c>
      <c r="CT663" s="30">
        <f t="shared" si="124"/>
        <v>3.077E-4</v>
      </c>
      <c r="CU663" s="30">
        <f t="shared" si="125"/>
        <v>0.44885011034137196</v>
      </c>
      <c r="CV663" s="30">
        <f t="shared" si="126"/>
        <v>0.41019316303924425</v>
      </c>
      <c r="CW663" s="30">
        <f>VLOOKUP($A663,'Childhood mortality'!$A$31:$G$46,4)</f>
        <v>6.4902661938370993E-4</v>
      </c>
      <c r="CX663" s="30">
        <f t="shared" si="127"/>
        <v>0.71</v>
      </c>
      <c r="CY663" s="30">
        <f t="shared" si="128"/>
        <v>3.077E-4</v>
      </c>
      <c r="CZ663" s="30">
        <f t="shared" si="129"/>
        <v>0.151025110341372</v>
      </c>
      <c r="DA663" s="30">
        <f t="shared" si="130"/>
        <v>0.13801816303924427</v>
      </c>
      <c r="DB663" s="30">
        <f>VLOOKUP($A663,'Childhood mortality'!$A$31:$G$46,4)</f>
        <v>6.4902661938370993E-4</v>
      </c>
      <c r="DC663" s="30">
        <f t="shared" si="131"/>
        <v>0.99041710650178316</v>
      </c>
      <c r="DD663" s="30">
        <f t="shared" si="132"/>
        <v>3.077E-4</v>
      </c>
      <c r="DE663" s="30">
        <f t="shared" si="82"/>
        <v>4.5071721941902995E-3</v>
      </c>
      <c r="DF663" s="30">
        <f t="shared" si="83"/>
        <v>4.1189946846428094E-3</v>
      </c>
      <c r="DG663" s="30">
        <f>VLOOKUP($A663,'Childhood mortality'!$A$31:$G$46,4)</f>
        <v>6.4902661938370993E-4</v>
      </c>
      <c r="DH663" s="30">
        <f t="shared" si="133"/>
        <v>0.99935097338061629</v>
      </c>
      <c r="DJ663" s="284">
        <f t="shared" ref="DJ663:DJ676" si="184">(DJ662*CM663)+(DL662*CV663)+(DM662*DA663)+(DN662*DF663)</f>
        <v>0.1252661405404869</v>
      </c>
      <c r="DK663" s="31">
        <f t="shared" ref="DK663:DK676" si="185">(DK662*CQ663)+(DL662*CU663)+(DM662*CZ663)+(DN662*DE663)</f>
        <v>0.13707132656000923</v>
      </c>
      <c r="DL663" s="31">
        <f t="shared" ref="DL663:DL676" si="186">(DJ662*CK663)+(DK662*CO663)</f>
        <v>6.6832712847892911E-2</v>
      </c>
      <c r="DM663" s="31">
        <f t="shared" ref="DM663:DM676" si="187">DL662*CS663</f>
        <v>0</v>
      </c>
      <c r="DN663" s="31">
        <f t="shared" ref="DN663:DN676" si="188">(DN662*DC663)+(DM662*CX663)</f>
        <v>0.20112450755051373</v>
      </c>
      <c r="DO663" s="31">
        <f t="shared" ref="DO663:DO676" si="189">(DO662*DH663)+(DJ662*CL663)+(DK662*CP663)+(DL662*CT663)+(DM662*CY663)+(DN662*DD663)</f>
        <v>3.5326858468404451E-4</v>
      </c>
      <c r="DP663" s="286">
        <f t="shared" ref="DP663:DP676" si="190">DP662+(CJ663*DJ662)+(CN663*DK662)+(CR663*DL662)+(CW663*DM662)+(DB663*DN662)+(DG663*DO662)</f>
        <v>2.7587958178278402E-2</v>
      </c>
      <c r="DQ663" s="31"/>
      <c r="DR663" s="284">
        <f t="shared" ref="DR663:DR676" si="191">(DR662*$CM663)+(DT662*$CV663)+(DU662*$DA663)+(DV662*$DF663)</f>
        <v>18.262770160550936</v>
      </c>
      <c r="DS663" s="31">
        <f t="shared" ref="DS663:DS676" si="192">(DS662*$CQ663)+(DT662*$CU663)+(DU662*$CZ663)+(DV662*$DE663)</f>
        <v>19.983868919136885</v>
      </c>
      <c r="DT663" s="31">
        <f t="shared" ref="DT663:DT676" si="193">(DR662*$CK663)+(DS662*$CO663)</f>
        <v>12.029639579525902</v>
      </c>
      <c r="DU663" s="31">
        <f t="shared" ref="DU663:DU676" si="194">DT662*$CS663</f>
        <v>0.93948211162242301</v>
      </c>
      <c r="DV663" s="31">
        <f t="shared" ref="DV663:DV676" si="195">(DV662*$DC663)+(DU662*$CX663)</f>
        <v>0</v>
      </c>
      <c r="DW663" s="31">
        <f t="shared" ref="DW663:DW676" si="196">(DW662*$DH663)+(DR662*$CL663)+(DS662*$CP663)+(DT662*$CT663)+(DU662*$CY663)+(DV662*$DD663)</f>
        <v>3.4059790703479802E-2</v>
      </c>
      <c r="DX663" s="286">
        <f t="shared" ref="DX663:DX676" si="197">DX662+($CJ663*DR662)+($CN663*DS662)+($CR663*DT662)+($CW663*DU662)+($DB663*DV662)+($DG663*DW662)</f>
        <v>3.4448542250622398</v>
      </c>
      <c r="DZ663" s="30">
        <v>2</v>
      </c>
      <c r="EA663" s="30">
        <f>VLOOKUP($A663,'Childhood mortality'!$A$31:$G$46,3)</f>
        <v>3.2841089013598885E-4</v>
      </c>
      <c r="EB663" s="30">
        <f t="shared" si="134"/>
        <v>0.27</v>
      </c>
      <c r="EC663" s="30">
        <f t="shared" si="135"/>
        <v>3.077E-4</v>
      </c>
      <c r="ED663" s="30">
        <f t="shared" si="136"/>
        <v>0.72936388910986394</v>
      </c>
      <c r="EE663" s="30">
        <f>VLOOKUP($A663,'Childhood mortality'!$A$31:$G$46,3)</f>
        <v>3.2841089013598885E-4</v>
      </c>
      <c r="EF663" s="30">
        <f t="shared" si="137"/>
        <v>0.27</v>
      </c>
      <c r="EG663" s="30">
        <f t="shared" si="138"/>
        <v>3.077E-4</v>
      </c>
      <c r="EH663" s="30">
        <f t="shared" si="139"/>
        <v>0.72936388910986394</v>
      </c>
      <c r="EI663" s="30">
        <f>VLOOKUP($A663,'Childhood mortality'!$A$31:$G$46,3)</f>
        <v>3.2841089013598885E-4</v>
      </c>
      <c r="EJ663" s="30">
        <f t="shared" si="140"/>
        <v>0.14000000000000001</v>
      </c>
      <c r="EK663" s="30">
        <f t="shared" si="141"/>
        <v>3.077E-4</v>
      </c>
      <c r="EL663" s="30">
        <f t="shared" si="142"/>
        <v>0.44901763205990386</v>
      </c>
      <c r="EM663" s="30">
        <f t="shared" si="143"/>
        <v>0.41034625704996003</v>
      </c>
      <c r="EN663" s="30">
        <f>VLOOKUP($A663,'Childhood mortality'!$A$31:$G$46,3)</f>
        <v>3.2841089013598885E-4</v>
      </c>
      <c r="EO663" s="30">
        <f t="shared" si="144"/>
        <v>0.71</v>
      </c>
      <c r="EP663" s="30">
        <f t="shared" si="145"/>
        <v>3.077E-4</v>
      </c>
      <c r="EQ663" s="30">
        <f t="shared" si="146"/>
        <v>0.15119263205990396</v>
      </c>
      <c r="ER663" s="30">
        <f t="shared" si="147"/>
        <v>0.13817125704996008</v>
      </c>
      <c r="ES663" s="30">
        <f>VLOOKUP($A663,'Childhood mortality'!$A$31:$G$46,3)</f>
        <v>3.2841089013598885E-4</v>
      </c>
      <c r="ET663" s="30">
        <f t="shared" si="148"/>
        <v>0.99073772223103085</v>
      </c>
      <c r="EU663" s="30">
        <f t="shared" si="149"/>
        <v>3.077E-4</v>
      </c>
      <c r="EV663" s="30">
        <f t="shared" si="84"/>
        <v>4.5071721941902995E-3</v>
      </c>
      <c r="EW663" s="30">
        <f t="shared" si="85"/>
        <v>4.1189946846428094E-3</v>
      </c>
      <c r="EX663" s="30">
        <f>VLOOKUP($A663,'Childhood mortality'!$A$31:$G$46,3)</f>
        <v>3.2841089013598885E-4</v>
      </c>
      <c r="EY663" s="30">
        <f t="shared" si="150"/>
        <v>0.99967158910986398</v>
      </c>
      <c r="FA663" s="284">
        <f t="shared" ref="FA663:FA676" si="198">(FA662*ED663)+(FC662*EM663)+(FD662*ER663)+(FE662*EW663)</f>
        <v>1.9672996703836043</v>
      </c>
      <c r="FB663" s="31">
        <f t="shared" ref="FB663:FB676" si="199">(FB662*EH663)+(FC662*EL663)+(FD662*EQ663)+(FE662*EV663)</f>
        <v>2.1526996393202791</v>
      </c>
      <c r="FC663" s="31">
        <f t="shared" ref="FC663:FC676" si="200">(FA662*EB663)+(FB662*EF663)</f>
        <v>1.0512171965779471</v>
      </c>
      <c r="FD663" s="31">
        <f t="shared" ref="FD663:FD676" si="201">FC662*EJ663</f>
        <v>0</v>
      </c>
      <c r="FE663" s="31">
        <f t="shared" ref="FE663:FE676" si="202">(FE662*ET663)+(FD662*EO663)</f>
        <v>3.1414087080943598</v>
      </c>
      <c r="FF663" s="31">
        <f t="shared" ref="FF663:FF676" si="203">(FF662*EY663)+(FA662*EC663)+(FB662*EG663)+(FC662*EK663)+(FD662*EP663)+(FE662*EU663)</f>
        <v>5.473780530632218E-3</v>
      </c>
      <c r="FG663" s="286">
        <f t="shared" ref="FG663:FG676" si="204">FG662+(EA663*FA662)+(EE663*FB662)+(EI663*FC662)+(EN663*FD662)+(ES663*FE662)+(EX663*FF662)</f>
        <v>0.72766509083131048</v>
      </c>
      <c r="FH663" s="31"/>
      <c r="FI663" s="284">
        <f t="shared" ref="FI663:FI676" si="205">(FI662*$ED663)+(FK662*$EM663)+(FL662*$ER663)+(FM662*$EW663)</f>
        <v>134.04568112269914</v>
      </c>
      <c r="FJ663" s="31">
        <f t="shared" ref="FJ663:FJ676" si="206">(FJ662*$EH663)+(FK662*$EL663)+(FL662*$EQ663)+(FM662*$EV663)</f>
        <v>146.6782584012781</v>
      </c>
      <c r="FK663" s="31">
        <f t="shared" ref="FK663:FK676" si="207">(FI662*$EB663)+(FJ662*$EF663)</f>
        <v>88.307655648297541</v>
      </c>
      <c r="FL663" s="31">
        <f t="shared" ref="FL663:FL676" si="208">FK662*$EJ663</f>
        <v>6.8706581674517766</v>
      </c>
      <c r="FM663" s="31">
        <f t="shared" ref="FM663:FM676" si="209">(FM662*$ET663)+(FL662*$EO663)</f>
        <v>0</v>
      </c>
      <c r="FN663" s="31">
        <f t="shared" ref="FN663:FN676" si="210">(FN662*$EY663)+(FI662*$EC663)+(FJ662*$EG663)+(FK662*$EK663)+(FL662*$EP663)+(FM662*$EU663)</f>
        <v>0.24707020877587227</v>
      </c>
      <c r="FO663" s="286">
        <f t="shared" ref="FO663:FO676" si="211">FO662+($EA663*FI662)+($EE663*FJ662)+($EI663*FK662)+($EN663*FL662)+($ES663*FM662)+($EX663*FN662)</f>
        <v>49.55200166489584</v>
      </c>
      <c r="FQ663" s="30">
        <f t="shared" si="151"/>
        <v>1000.0000000000002</v>
      </c>
      <c r="FR663" s="30" t="str">
        <f t="shared" si="86"/>
        <v>OKAY</v>
      </c>
      <c r="FT663" s="284">
        <f>($AB663-(VLOOKUP($A663,'Childhood asthma'!$A$36:$AG$50,7)*$AB663))+(SUM($AC663:$AG663)-(VLOOKUP($A663,'Childhood asthma'!$A$36:$AG$50,6)*SUM($AC663:$AG663)))+($AJ663-(VLOOKUP($A663,'Childhood asthma'!$A$36:$AG$50,9)*$AJ663))+(SUM($AK663:$AO663)-(VLOOKUP($A663,'Childhood asthma'!$A$36:$AG$50,8)*SUM($AK663:$AO663)))+($BS663-(VLOOKUP($A663,'Childhood asthma'!$A$36:$AG$50,3)*$BS663))+(SUM($BT663:$BX663)-(VLOOKUP($A663,'Childhood asthma'!$A$36:$AG$50,2)*SUM($BT663:$BX663)))+($CA663-(VLOOKUP($A663,'Childhood asthma'!$A$36:$AG$50,5)*$CA663))+(SUM($CB663:$CF663)-(VLOOKUP($A663,'Childhood asthma'!$A$36:$AG$50,4)*SUM($CB663:$CF663)))+($DJ663-(VLOOKUP($A663,'Childhood asthma'!$A$36:$AG$50,23)*$DJ663))+(SUM($DK663:$DO663)-(VLOOKUP($A663,'Childhood asthma'!$A$36:$AG$50,22)*SUM($DK663:$DO663)))+($DR663-(VLOOKUP($A663,'Childhood asthma'!$A$36:$AG$50,25)*$DR663))+(SUM($DS663:$DW663)-(VLOOKUP($A663,'Childhood asthma'!$A$36:$AG$50,24)*SUM($DS663:$DW663)))+($FA663-(VLOOKUP($A663,'Childhood asthma'!$A$36:$AG$50,19)*$FA663))+(SUM($FB663:$FF663)-(VLOOKUP($A663,'Childhood asthma'!$A$36:$AG$50,18)*SUM($FB663:$FF663)))+($FI663-(VLOOKUP($A663,'Childhood asthma'!$A$36:$AG$50,21)*$FI663))+(SUM($FJ663:$FN663)-(VLOOKUP($A663,'Childhood asthma'!$A$36:$AG$50,20)*SUM($FJ663:$FN663)))</f>
        <v>853.14451600278494</v>
      </c>
      <c r="FU663" s="31">
        <f>(VLOOKUP($A663,'Childhood asthma'!$A$36:$AG$50,7)*$AB663)+(VLOOKUP($A663,'Childhood asthma'!$A$36:$AG$50,6)*SUM($AC663:$AG663))+(VLOOKUP($A663,'Childhood asthma'!$A$36:$AG$50,9)*$AJ663)+(VLOOKUP($A663,'Childhood asthma'!$A$36:$AG$50,8)*SUM($AK663:$AO663))+(VLOOKUP($A663,'Childhood asthma'!$A$36:$AG$50,3)*$BS663)+(VLOOKUP($A663,'Childhood asthma'!$A$36:$AG$50,2)*SUM($BT663:$BX663))+(VLOOKUP($A663,'Childhood asthma'!$A$36:$AG$50,5)*$CA663)+(VLOOKUP($A663,'Childhood asthma'!$A$36:$AG$50,4)*SUM($CB663:$CF663))+(VLOOKUP($A663,'Childhood asthma'!$A$36:$AG$50,23)*$DJ663)+(VLOOKUP($A663,'Childhood asthma'!$A$36:$AG$50,22)*SUM($DK663:$DO663))+(VLOOKUP($A663,'Childhood asthma'!$A$36:$AG$50,25)*$DR663)+(VLOOKUP($A663,'Childhood asthma'!$A$36:$AG$50,24)*SUM($DS663:$DW663))+(VLOOKUP($A663,'Childhood asthma'!$A$36:$AG$50,19)*$FA663)+(VLOOKUP($A663,'Childhood asthma'!$A$36:$AG$50,18)*SUM($FB663:$FF663))+(VLOOKUP($A663,'Childhood asthma'!$A$36:$AG$50,21)*$FI663)+(VLOOKUP($A663,'Childhood asthma'!$A$36:$AG$50,20)*SUM($FJ663:$FN663))</f>
        <v>36.733505647678044</v>
      </c>
      <c r="FV663" s="31">
        <f t="shared" ref="FV663:FV676" si="212">SUM(FT663:FU663)</f>
        <v>889.87802165046298</v>
      </c>
      <c r="FW663" s="286">
        <f t="shared" ref="FW663:FW676" si="213">FO663+FG663+DX663+DP663+CG663+BY663+AP663+AH663</f>
        <v>110.12197834953726</v>
      </c>
      <c r="FY663" s="265">
        <v>2</v>
      </c>
      <c r="FZ663" s="30">
        <f t="shared" ref="FZ663:FZ676" si="214">FV663/((1+Discount_rate_QALYs)^$A663)</f>
        <v>830.71065523159291</v>
      </c>
      <c r="GA663" s="281">
        <f t="shared" ref="GA663:GA676" si="215">FZ663+GA662</f>
        <v>1690.835633951114</v>
      </c>
      <c r="GC663" s="265">
        <v>2</v>
      </c>
      <c r="GD663" s="30">
        <f t="shared" si="152"/>
        <v>827.28154317318513</v>
      </c>
      <c r="GE663" s="281">
        <f t="shared" ref="GE663:GE676" si="216">GD663+GE662</f>
        <v>1683.6165736898124</v>
      </c>
      <c r="GG663" s="265">
        <v>2</v>
      </c>
      <c r="GH663" s="303">
        <f t="shared" ref="GH663:GH676" si="217">((DET_cost_asthma*$FU663)+(DET_COST_death*($FW663-$FW662)))/((1+Discount_rate_costs)^$A663)</f>
        <v>56223.772150275807</v>
      </c>
      <c r="GI663" s="304">
        <f t="shared" ref="GI663:GI676" si="218">GH663+GI662</f>
        <v>3393870.404215089</v>
      </c>
      <c r="GK663" s="265">
        <v>2</v>
      </c>
      <c r="GL663" s="287">
        <f t="shared" si="153"/>
        <v>0.88987802165046304</v>
      </c>
      <c r="GM663" s="287">
        <f t="shared" si="154"/>
        <v>0.11012197834953726</v>
      </c>
      <c r="GN663" s="288">
        <f t="shared" si="155"/>
        <v>3.6733505647678043E-2</v>
      </c>
      <c r="GP663" s="265">
        <v>2</v>
      </c>
      <c r="GQ663" s="303">
        <f t="shared" ref="GQ663:GQ676" si="219">((DET_cost_asthma*$FU663)+(DET_COST_death*($FW663-$FW662)))/((1+Discount_rate_costs)^$A663)</f>
        <v>56223.772150275807</v>
      </c>
      <c r="GR663" s="304">
        <f t="shared" ref="GR663:GR676" si="220">GQ663+GR662</f>
        <v>6494002.3400711799</v>
      </c>
      <c r="GT663" s="265">
        <v>2</v>
      </c>
      <c r="GU663" s="303">
        <f t="shared" ref="GU663:GU676" si="221">((DET_cost_asthma*$FU663)+(DET_COST_death*($FW663-$FW662)))/((1+Discount_rate_costs)^$A663)</f>
        <v>56223.772150275807</v>
      </c>
      <c r="GV663" s="304">
        <f t="shared" ref="GV663:GV676" si="222">GU663+GV662</f>
        <v>3393870.404215089</v>
      </c>
      <c r="GX663" s="265">
        <v>2</v>
      </c>
      <c r="GY663" s="303">
        <f t="shared" ref="GY663:GY676" si="223">((DET_cost_asthma*$FU663)+(DET_COST_death*($FW663-$FW662)))/((1+Discount_rate_costs)^$A663)</f>
        <v>56223.772150275807</v>
      </c>
      <c r="GZ663" s="304">
        <f t="shared" ref="GZ663:GZ676" si="224">GY663+GZ662</f>
        <v>6494002.3400711799</v>
      </c>
    </row>
    <row r="664" spans="1:208" s="30" customFormat="1" x14ac:dyDescent="0.25">
      <c r="A664" s="379">
        <v>3</v>
      </c>
      <c r="B664" s="30">
        <f>VLOOKUP($A664,'Childhood mortality'!$A$12:$G$27,4)</f>
        <v>3.43049023033163E-4</v>
      </c>
      <c r="C664" s="30">
        <f t="shared" si="87"/>
        <v>0.27</v>
      </c>
      <c r="D664" s="30">
        <f t="shared" si="88"/>
        <v>3.3479999999999995E-4</v>
      </c>
      <c r="E664" s="30">
        <f t="shared" si="89"/>
        <v>0.72932215097696684</v>
      </c>
      <c r="F664" s="30">
        <f>VLOOKUP($A664,'Childhood mortality'!$A$12:$G$27,4)</f>
        <v>3.43049023033163E-4</v>
      </c>
      <c r="G664" s="30">
        <f t="shared" si="90"/>
        <v>0.27</v>
      </c>
      <c r="H664" s="30">
        <f t="shared" si="91"/>
        <v>3.3479999999999995E-4</v>
      </c>
      <c r="I664" s="30">
        <f t="shared" si="92"/>
        <v>0.72932215097696684</v>
      </c>
      <c r="J664" s="30">
        <f>VLOOKUP($A664,'Childhood mortality'!$A$12:$G$27,4)</f>
        <v>3.43049023033163E-4</v>
      </c>
      <c r="K664" s="30">
        <f t="shared" si="93"/>
        <v>0.14000000000000001</v>
      </c>
      <c r="L664" s="30">
        <f t="shared" si="94"/>
        <v>3.3479999999999995E-4</v>
      </c>
      <c r="M664" s="30">
        <f t="shared" si="74"/>
        <v>0.44899582388546516</v>
      </c>
      <c r="N664" s="30">
        <f t="shared" si="75"/>
        <v>0.41032632709150163</v>
      </c>
      <c r="O664" s="30">
        <f>VLOOKUP($A664,'Childhood mortality'!$A$12:$G$27,4)</f>
        <v>3.43049023033163E-4</v>
      </c>
      <c r="P664" s="30">
        <f t="shared" si="95"/>
        <v>0.5714285714285714</v>
      </c>
      <c r="Q664" s="30">
        <f t="shared" si="96"/>
        <v>3.3479999999999995E-4</v>
      </c>
      <c r="R664" s="30">
        <f t="shared" si="76"/>
        <v>0.22357439531403661</v>
      </c>
      <c r="S664" s="30">
        <f t="shared" si="77"/>
        <v>0.20431918423435882</v>
      </c>
      <c r="T664" s="30">
        <f>VLOOKUP($A664,'Childhood mortality'!$A$12:$G$27,4)</f>
        <v>3.43049023033163E-4</v>
      </c>
      <c r="U664" s="30">
        <f t="shared" si="97"/>
        <v>0.99069598409813375</v>
      </c>
      <c r="V664" s="30">
        <f t="shared" si="98"/>
        <v>3.3479999999999995E-4</v>
      </c>
      <c r="W664" s="30">
        <f t="shared" si="78"/>
        <v>4.5071721941902995E-3</v>
      </c>
      <c r="X664" s="30">
        <f t="shared" si="79"/>
        <v>4.1189946846428094E-3</v>
      </c>
      <c r="Y664" s="30">
        <f>VLOOKUP($A664,'Childhood mortality'!$A$12:$G$27,4)</f>
        <v>3.43049023033163E-4</v>
      </c>
      <c r="Z664" s="30">
        <f t="shared" si="99"/>
        <v>0.99965695097696683</v>
      </c>
      <c r="AB664" s="284">
        <f t="shared" si="156"/>
        <v>0.12416007280735311</v>
      </c>
      <c r="AC664" s="31">
        <f t="shared" si="157"/>
        <v>0.135861022077156</v>
      </c>
      <c r="AD664" s="31">
        <f t="shared" si="158"/>
        <v>7.3537990325712177E-2</v>
      </c>
      <c r="AE664" s="31">
        <f t="shared" si="159"/>
        <v>9.7059111630419075E-3</v>
      </c>
      <c r="AF664" s="31">
        <f t="shared" si="160"/>
        <v>0.20738602731907024</v>
      </c>
      <c r="AG664" s="31">
        <f t="shared" si="161"/>
        <v>5.5169901470318518E-4</v>
      </c>
      <c r="AH664" s="286">
        <f t="shared" si="162"/>
        <v>2.9818330912455615E-2</v>
      </c>
      <c r="AI664" s="31"/>
      <c r="AJ664" s="284">
        <f t="shared" si="163"/>
        <v>19.16826873234406</v>
      </c>
      <c r="AK664" s="31">
        <f t="shared" si="164"/>
        <v>20.974702434868632</v>
      </c>
      <c r="AL664" s="31">
        <f t="shared" si="165"/>
        <v>10.730296920096933</v>
      </c>
      <c r="AM664" s="31">
        <f t="shared" si="166"/>
        <v>1.7497447485817819</v>
      </c>
      <c r="AN664" s="31">
        <f t="shared" si="167"/>
        <v>0.558759040148613</v>
      </c>
      <c r="AO664" s="31">
        <f t="shared" si="168"/>
        <v>5.3221885658308661E-2</v>
      </c>
      <c r="AP664" s="286">
        <f t="shared" si="169"/>
        <v>3.6921167304791158</v>
      </c>
      <c r="AR664" s="30">
        <v>3</v>
      </c>
      <c r="AS664" s="30">
        <f>VLOOKUP($A664,'Childhood mortality'!$A$12:$G$27,3)</f>
        <v>1.7358461371211689E-4</v>
      </c>
      <c r="AT664" s="30">
        <f t="shared" si="100"/>
        <v>0.27</v>
      </c>
      <c r="AU664" s="30">
        <f t="shared" si="101"/>
        <v>3.3479999999999995E-4</v>
      </c>
      <c r="AV664" s="30">
        <f t="shared" si="102"/>
        <v>0.72949161538628793</v>
      </c>
      <c r="AW664" s="30">
        <f>VLOOKUP($A664,'Childhood mortality'!$A$12:$G$27,3)</f>
        <v>1.7358461371211689E-4</v>
      </c>
      <c r="AX664" s="30">
        <f t="shared" si="103"/>
        <v>0.27</v>
      </c>
      <c r="AY664" s="30">
        <f t="shared" si="104"/>
        <v>3.3479999999999995E-4</v>
      </c>
      <c r="AZ664" s="30">
        <f t="shared" si="105"/>
        <v>0.72949161538628793</v>
      </c>
      <c r="BA664" s="30">
        <f>VLOOKUP($A664,'Childhood mortality'!$A$12:$G$27,3)</f>
        <v>1.7358461371211689E-4</v>
      </c>
      <c r="BB664" s="30">
        <f t="shared" si="106"/>
        <v>0.14000000000000001</v>
      </c>
      <c r="BC664" s="30">
        <f t="shared" si="107"/>
        <v>3.3479999999999995E-4</v>
      </c>
      <c r="BD664" s="30">
        <f t="shared" si="108"/>
        <v>0.44908436903933541</v>
      </c>
      <c r="BE664" s="30">
        <f t="shared" si="109"/>
        <v>0.41040724634695247</v>
      </c>
      <c r="BF664" s="30">
        <f>VLOOKUP($A664,'Childhood mortality'!$A$12:$G$27,3)</f>
        <v>1.7358461371211689E-4</v>
      </c>
      <c r="BG664" s="30">
        <f t="shared" si="110"/>
        <v>0.5714285714285714</v>
      </c>
      <c r="BH664" s="30">
        <f t="shared" si="111"/>
        <v>3.3479999999999995E-4</v>
      </c>
      <c r="BI664" s="30">
        <f t="shared" si="112"/>
        <v>0.22366294046790686</v>
      </c>
      <c r="BJ664" s="30">
        <f t="shared" si="113"/>
        <v>0.20440010348980961</v>
      </c>
      <c r="BK664" s="30">
        <f>VLOOKUP($A664,'Childhood mortality'!$A$12:$G$27,3)</f>
        <v>1.7358461371211689E-4</v>
      </c>
      <c r="BL664" s="30">
        <f t="shared" si="114"/>
        <v>0.99086544850745484</v>
      </c>
      <c r="BM664" s="30">
        <f t="shared" si="115"/>
        <v>3.3479999999999995E-4</v>
      </c>
      <c r="BN664" s="30">
        <f t="shared" si="80"/>
        <v>4.5071721941902995E-3</v>
      </c>
      <c r="BO664" s="30">
        <f t="shared" si="81"/>
        <v>4.1189946846428094E-3</v>
      </c>
      <c r="BP664" s="30">
        <f>VLOOKUP($A664,'Childhood mortality'!$A$12:$G$27,3)</f>
        <v>1.7358461371211689E-4</v>
      </c>
      <c r="BQ664" s="30">
        <f t="shared" si="116"/>
        <v>0.99982641538628791</v>
      </c>
      <c r="BS664" s="284">
        <f t="shared" si="170"/>
        <v>1.953575258814265</v>
      </c>
      <c r="BT664" s="31">
        <f t="shared" si="171"/>
        <v>2.1376818277077563</v>
      </c>
      <c r="BU664" s="31">
        <f t="shared" si="172"/>
        <v>1.156347087607728</v>
      </c>
      <c r="BV664" s="31">
        <f t="shared" si="173"/>
        <v>0.15291995004954595</v>
      </c>
      <c r="BW664" s="31">
        <f t="shared" si="174"/>
        <v>3.2397628729193526</v>
      </c>
      <c r="BX664" s="31">
        <f t="shared" si="175"/>
        <v>8.58776676830212E-3</v>
      </c>
      <c r="BY664" s="286">
        <f t="shared" si="176"/>
        <v>5.6194590348715094E-2</v>
      </c>
      <c r="BZ664" s="31"/>
      <c r="CA664" s="284">
        <f t="shared" si="177"/>
        <v>140.84037527500686</v>
      </c>
      <c r="CB664" s="31">
        <f t="shared" si="178"/>
        <v>154.11329022238974</v>
      </c>
      <c r="CC664" s="31">
        <f t="shared" si="179"/>
        <v>78.823278632482541</v>
      </c>
      <c r="CD664" s="31">
        <f t="shared" si="180"/>
        <v>12.856046590047276</v>
      </c>
      <c r="CE664" s="31">
        <f t="shared" si="181"/>
        <v>4.0863389683969737</v>
      </c>
      <c r="CF664" s="31">
        <f t="shared" si="182"/>
        <v>0.38786846791936908</v>
      </c>
      <c r="CG664" s="286">
        <f t="shared" si="183"/>
        <v>52.679600943744767</v>
      </c>
      <c r="CI664" s="30">
        <v>3</v>
      </c>
      <c r="CJ664" s="30">
        <f>VLOOKUP($A664,'Childhood mortality'!$A$31:$G$46,4)</f>
        <v>3.111417751919064E-4</v>
      </c>
      <c r="CK664" s="30">
        <f t="shared" si="117"/>
        <v>0.27</v>
      </c>
      <c r="CL664" s="30">
        <f t="shared" si="118"/>
        <v>3.3479999999999995E-4</v>
      </c>
      <c r="CM664" s="30">
        <f t="shared" si="119"/>
        <v>0.72935405822480814</v>
      </c>
      <c r="CN664" s="30">
        <f>VLOOKUP($A664,'Childhood mortality'!$A$31:$G$46,4)</f>
        <v>3.111417751919064E-4</v>
      </c>
      <c r="CO664" s="30">
        <f t="shared" si="120"/>
        <v>0.27</v>
      </c>
      <c r="CP664" s="30">
        <f t="shared" si="121"/>
        <v>3.3479999999999995E-4</v>
      </c>
      <c r="CQ664" s="30">
        <f t="shared" si="122"/>
        <v>0.72935405822480814</v>
      </c>
      <c r="CR664" s="30">
        <f>VLOOKUP($A664,'Childhood mortality'!$A$31:$G$46,4)</f>
        <v>3.111417751919064E-4</v>
      </c>
      <c r="CS664" s="30">
        <f t="shared" si="123"/>
        <v>0.14000000000000001</v>
      </c>
      <c r="CT664" s="30">
        <f t="shared" si="124"/>
        <v>3.3479999999999995E-4</v>
      </c>
      <c r="CU664" s="30">
        <f t="shared" si="125"/>
        <v>0.44901249542246224</v>
      </c>
      <c r="CV664" s="30">
        <f t="shared" si="126"/>
        <v>0.41034156280234585</v>
      </c>
      <c r="CW664" s="30">
        <f>VLOOKUP($A664,'Childhood mortality'!$A$31:$G$46,4)</f>
        <v>3.111417751919064E-4</v>
      </c>
      <c r="CX664" s="30">
        <f t="shared" si="127"/>
        <v>0.5714285714285714</v>
      </c>
      <c r="CY664" s="30">
        <f t="shared" si="128"/>
        <v>3.3479999999999995E-4</v>
      </c>
      <c r="CZ664" s="30">
        <f t="shared" si="129"/>
        <v>0.22359106685103367</v>
      </c>
      <c r="DA664" s="30">
        <f t="shared" si="130"/>
        <v>0.20433441994520302</v>
      </c>
      <c r="DB664" s="30">
        <f>VLOOKUP($A664,'Childhood mortality'!$A$31:$G$46,4)</f>
        <v>3.111417751919064E-4</v>
      </c>
      <c r="DC664" s="30">
        <f t="shared" si="131"/>
        <v>0.99072789134597505</v>
      </c>
      <c r="DD664" s="30">
        <f t="shared" si="132"/>
        <v>3.3479999999999995E-4</v>
      </c>
      <c r="DE664" s="30">
        <f t="shared" si="82"/>
        <v>4.5071721941902995E-3</v>
      </c>
      <c r="DF664" s="30">
        <f t="shared" si="83"/>
        <v>4.1189946846428094E-3</v>
      </c>
      <c r="DG664" s="30">
        <f>VLOOKUP($A664,'Childhood mortality'!$A$31:$G$46,4)</f>
        <v>3.111417751919064E-4</v>
      </c>
      <c r="DH664" s="30">
        <f t="shared" si="133"/>
        <v>0.99968885822480813</v>
      </c>
      <c r="DJ664" s="284">
        <f t="shared" si="184"/>
        <v>0.11961603857524004</v>
      </c>
      <c r="DK664" s="31">
        <f t="shared" si="185"/>
        <v>0.1308887542524878</v>
      </c>
      <c r="DL664" s="31">
        <f t="shared" si="186"/>
        <v>7.0831116117133969E-2</v>
      </c>
      <c r="DM664" s="31">
        <f t="shared" si="187"/>
        <v>9.3565797987050087E-3</v>
      </c>
      <c r="DN664" s="31">
        <f t="shared" si="188"/>
        <v>0.1992596592635181</v>
      </c>
      <c r="DO664" s="31">
        <f t="shared" si="189"/>
        <v>5.3070132944411897E-4</v>
      </c>
      <c r="DP664" s="286">
        <f t="shared" si="190"/>
        <v>2.7753064925336204E-2</v>
      </c>
      <c r="DQ664" s="31"/>
      <c r="DR664" s="284">
        <f t="shared" si="191"/>
        <v>18.448255168363634</v>
      </c>
      <c r="DS664" s="31">
        <f t="shared" si="192"/>
        <v>20.186834189465959</v>
      </c>
      <c r="DT664" s="31">
        <f t="shared" si="193"/>
        <v>10.326592551515713</v>
      </c>
      <c r="DU664" s="31">
        <f t="shared" si="194"/>
        <v>1.6841495411336265</v>
      </c>
      <c r="DV664" s="31">
        <f t="shared" si="195"/>
        <v>0.53684692092709885</v>
      </c>
      <c r="DW664" s="31">
        <f t="shared" si="196"/>
        <v>5.1196229985813593E-2</v>
      </c>
      <c r="DX664" s="286">
        <f t="shared" si="197"/>
        <v>3.4608001852100241</v>
      </c>
      <c r="DZ664" s="30">
        <v>3</v>
      </c>
      <c r="EA664" s="30">
        <f>VLOOKUP($A664,'Childhood mortality'!$A$31:$G$46,3)</f>
        <v>1.574393781356673E-4</v>
      </c>
      <c r="EB664" s="30">
        <f t="shared" si="134"/>
        <v>0.27</v>
      </c>
      <c r="EC664" s="30">
        <f t="shared" si="135"/>
        <v>3.3479999999999995E-4</v>
      </c>
      <c r="ED664" s="30">
        <f t="shared" si="136"/>
        <v>0.7295077606218644</v>
      </c>
      <c r="EE664" s="30">
        <f>VLOOKUP($A664,'Childhood mortality'!$A$31:$G$46,3)</f>
        <v>1.574393781356673E-4</v>
      </c>
      <c r="EF664" s="30">
        <f t="shared" si="137"/>
        <v>0.27</v>
      </c>
      <c r="EG664" s="30">
        <f t="shared" si="138"/>
        <v>3.3479999999999995E-4</v>
      </c>
      <c r="EH664" s="30">
        <f t="shared" si="139"/>
        <v>0.7295077606218644</v>
      </c>
      <c r="EI664" s="30">
        <f>VLOOKUP($A664,'Childhood mortality'!$A$31:$G$46,3)</f>
        <v>1.574393781356673E-4</v>
      </c>
      <c r="EJ664" s="30">
        <f t="shared" si="140"/>
        <v>0.14000000000000001</v>
      </c>
      <c r="EK664" s="30">
        <f t="shared" si="141"/>
        <v>3.3479999999999995E-4</v>
      </c>
      <c r="EL664" s="30">
        <f t="shared" si="142"/>
        <v>0.44909280492492409</v>
      </c>
      <c r="EM664" s="30">
        <f t="shared" si="143"/>
        <v>0.41041495569694025</v>
      </c>
      <c r="EN664" s="30">
        <f>VLOOKUP($A664,'Childhood mortality'!$A$31:$G$46,3)</f>
        <v>1.574393781356673E-4</v>
      </c>
      <c r="EO664" s="30">
        <f t="shared" si="144"/>
        <v>0.5714285714285714</v>
      </c>
      <c r="EP664" s="30">
        <f t="shared" si="145"/>
        <v>3.3479999999999995E-4</v>
      </c>
      <c r="EQ664" s="30">
        <f t="shared" si="146"/>
        <v>0.22367137635349557</v>
      </c>
      <c r="ER664" s="30">
        <f t="shared" si="147"/>
        <v>0.20440781283979739</v>
      </c>
      <c r="ES664" s="30">
        <f>VLOOKUP($A664,'Childhood mortality'!$A$31:$G$46,3)</f>
        <v>1.574393781356673E-4</v>
      </c>
      <c r="ET664" s="30">
        <f t="shared" si="148"/>
        <v>0.99088159374303131</v>
      </c>
      <c r="EU664" s="30">
        <f t="shared" si="149"/>
        <v>3.3479999999999995E-4</v>
      </c>
      <c r="EV664" s="30">
        <f t="shared" si="84"/>
        <v>4.5071721941902995E-3</v>
      </c>
      <c r="EW664" s="30">
        <f t="shared" si="85"/>
        <v>4.1189946846428094E-3</v>
      </c>
      <c r="EX664" s="30">
        <f>VLOOKUP($A664,'Childhood mortality'!$A$31:$G$46,3)</f>
        <v>1.574393781356673E-4</v>
      </c>
      <c r="EY664" s="30">
        <f t="shared" si="150"/>
        <v>0.99984256062186438</v>
      </c>
      <c r="FA664" s="284">
        <f t="shared" si="198"/>
        <v>1.8795350819460064</v>
      </c>
      <c r="FB664" s="31">
        <f t="shared" si="199"/>
        <v>2.0566640425482476</v>
      </c>
      <c r="FC664" s="31">
        <f t="shared" si="200"/>
        <v>1.1123998136200486</v>
      </c>
      <c r="FD664" s="31">
        <f t="shared" si="201"/>
        <v>0.14717040752091262</v>
      </c>
      <c r="FE664" s="31">
        <f t="shared" si="202"/>
        <v>3.1127640672747763</v>
      </c>
      <c r="FF664" s="31">
        <f t="shared" si="203"/>
        <v>8.2559856638025723E-3</v>
      </c>
      <c r="FG664" s="286">
        <f t="shared" si="204"/>
        <v>0.72897468716433955</v>
      </c>
      <c r="FH664" s="31"/>
      <c r="FI664" s="284">
        <f t="shared" si="205"/>
        <v>135.43456344622817</v>
      </c>
      <c r="FJ664" s="31">
        <f t="shared" si="206"/>
        <v>148.19803015843814</v>
      </c>
      <c r="FK664" s="31">
        <f t="shared" si="207"/>
        <v>75.795463671473868</v>
      </c>
      <c r="FL664" s="31">
        <f t="shared" si="208"/>
        <v>12.363071790761657</v>
      </c>
      <c r="FM664" s="31">
        <f t="shared" si="209"/>
        <v>3.9260903814010151</v>
      </c>
      <c r="FN664" s="31">
        <f t="shared" si="210"/>
        <v>0.37288338461398712</v>
      </c>
      <c r="FO664" s="286">
        <f t="shared" si="211"/>
        <v>49.611222380481465</v>
      </c>
      <c r="FQ664" s="30">
        <f t="shared" si="151"/>
        <v>1000.0000000000005</v>
      </c>
      <c r="FR664" s="30" t="str">
        <f t="shared" si="86"/>
        <v>OKAY</v>
      </c>
      <c r="FT664" s="284">
        <f>($AB664-(VLOOKUP($A664,'Childhood asthma'!$A$36:$AG$50,7)*$AB664))+(SUM($AC664:$AG664)-(VLOOKUP($A664,'Childhood asthma'!$A$36:$AG$50,6)*SUM($AC664:$AG664)))+($AJ664-(VLOOKUP($A664,'Childhood asthma'!$A$36:$AG$50,9)*$AJ664))+(SUM($AK664:$AO664)-(VLOOKUP($A664,'Childhood asthma'!$A$36:$AG$50,8)*SUM($AK664:$AO664)))+($BS664-(VLOOKUP($A664,'Childhood asthma'!$A$36:$AG$50,3)*$BS664))+(SUM($BT664:$BX664)-(VLOOKUP($A664,'Childhood asthma'!$A$36:$AG$50,2)*SUM($BT664:$BX664)))+($CA664-(VLOOKUP($A664,'Childhood asthma'!$A$36:$AG$50,5)*$CA664))+(SUM($CB664:$CF664)-(VLOOKUP($A664,'Childhood asthma'!$A$36:$AG$50,4)*SUM($CB664:$CF664)))+($DJ664-(VLOOKUP($A664,'Childhood asthma'!$A$36:$AG$50,23)*$DJ664))+(SUM($DK664:$DO664)-(VLOOKUP($A664,'Childhood asthma'!$A$36:$AG$50,22)*SUM($DK664:$DO664)))+($DR664-(VLOOKUP($A664,'Childhood asthma'!$A$36:$AG$50,25)*$DR664))+(SUM($DS664:$DW664)-(VLOOKUP($A664,'Childhood asthma'!$A$36:$AG$50,24)*SUM($DS664:$DW664)))+($FA664-(VLOOKUP($A664,'Childhood asthma'!$A$36:$AG$50,19)*$FA664))+(SUM($FB664:$FF664)-(VLOOKUP($A664,'Childhood asthma'!$A$36:$AG$50,18)*SUM($FB664:$FF664)))+($FI664-(VLOOKUP($A664,'Childhood asthma'!$A$36:$AG$50,21)*$FI664))+(SUM($FJ664:$FN664)-(VLOOKUP($A664,'Childhood asthma'!$A$36:$AG$50,20)*SUM($FJ664:$FN664)))</f>
        <v>867.95869240943352</v>
      </c>
      <c r="FU664" s="31">
        <f>(VLOOKUP($A664,'Childhood asthma'!$A$36:$AG$50,7)*$AB664)+(VLOOKUP($A664,'Childhood asthma'!$A$36:$AG$50,6)*SUM($AC664:$AG664))+(VLOOKUP($A664,'Childhood asthma'!$A$36:$AG$50,9)*$AJ664)+(VLOOKUP($A664,'Childhood asthma'!$A$36:$AG$50,8)*SUM($AK664:$AO664))+(VLOOKUP($A664,'Childhood asthma'!$A$36:$AG$50,3)*$BS664)+(VLOOKUP($A664,'Childhood asthma'!$A$36:$AG$50,2)*SUM($BT664:$BX664))+(VLOOKUP($A664,'Childhood asthma'!$A$36:$AG$50,5)*$CA664)+(VLOOKUP($A664,'Childhood asthma'!$A$36:$AG$50,4)*SUM($CB664:$CF664))+(VLOOKUP($A664,'Childhood asthma'!$A$36:$AG$50,23)*$DJ664)+(VLOOKUP($A664,'Childhood asthma'!$A$36:$AG$50,22)*SUM($DK664:$DO664))+(VLOOKUP($A664,'Childhood asthma'!$A$36:$AG$50,25)*$DR664)+(VLOOKUP($A664,'Childhood asthma'!$A$36:$AG$50,24)*SUM($DS664:$DW664))+(VLOOKUP($A664,'Childhood asthma'!$A$36:$AG$50,19)*$FA664)+(VLOOKUP($A664,'Childhood asthma'!$A$36:$AG$50,18)*SUM($FB664:$FF664))+(VLOOKUP($A664,'Childhood asthma'!$A$36:$AG$50,21)*$FI664)+(VLOOKUP($A664,'Childhood asthma'!$A$36:$AG$50,20)*SUM($FJ664:$FN664))</f>
        <v>21.754826677300557</v>
      </c>
      <c r="FV664" s="31">
        <f t="shared" si="212"/>
        <v>889.7135190867341</v>
      </c>
      <c r="FW664" s="286">
        <f t="shared" si="213"/>
        <v>110.28648091326622</v>
      </c>
      <c r="FY664" s="265">
        <v>3</v>
      </c>
      <c r="FZ664" s="30">
        <f t="shared" si="214"/>
        <v>802.47061867450668</v>
      </c>
      <c r="GA664" s="281">
        <f t="shared" si="215"/>
        <v>2493.3062526256208</v>
      </c>
      <c r="GC664" s="265">
        <v>3</v>
      </c>
      <c r="GD664" s="30">
        <f t="shared" si="152"/>
        <v>800.50845795104021</v>
      </c>
      <c r="GE664" s="281">
        <f t="shared" si="216"/>
        <v>2484.1250316408527</v>
      </c>
      <c r="GG664" s="265">
        <v>3</v>
      </c>
      <c r="GH664" s="303">
        <f t="shared" si="217"/>
        <v>32107.525956190362</v>
      </c>
      <c r="GI664" s="304">
        <f t="shared" si="218"/>
        <v>3425977.9301712792</v>
      </c>
      <c r="GK664" s="265">
        <v>3</v>
      </c>
      <c r="GL664" s="287">
        <f t="shared" si="153"/>
        <v>0.88971351908673413</v>
      </c>
      <c r="GM664" s="287">
        <f t="shared" si="154"/>
        <v>0.11028648091326622</v>
      </c>
      <c r="GN664" s="288">
        <f t="shared" si="155"/>
        <v>2.1754826677300557E-2</v>
      </c>
      <c r="GP664" s="265">
        <v>3</v>
      </c>
      <c r="GQ664" s="303">
        <f t="shared" si="219"/>
        <v>32107.525956190362</v>
      </c>
      <c r="GR664" s="304">
        <f t="shared" si="220"/>
        <v>6526109.8660273701</v>
      </c>
      <c r="GT664" s="265">
        <v>3</v>
      </c>
      <c r="GU664" s="303">
        <f t="shared" si="221"/>
        <v>32107.525956190362</v>
      </c>
      <c r="GV664" s="304">
        <f t="shared" si="222"/>
        <v>3425977.9301712792</v>
      </c>
      <c r="GX664" s="265">
        <v>3</v>
      </c>
      <c r="GY664" s="303">
        <f t="shared" si="223"/>
        <v>32107.525956190362</v>
      </c>
      <c r="GZ664" s="304">
        <f t="shared" si="224"/>
        <v>6526109.8660273701</v>
      </c>
    </row>
    <row r="665" spans="1:208" s="30" customFormat="1" x14ac:dyDescent="0.25">
      <c r="A665" s="379">
        <v>4</v>
      </c>
      <c r="B665" s="30">
        <f>VLOOKUP($A665,'Childhood mortality'!$A$12:$G$27,4)</f>
        <v>1.8129956432344044E-4</v>
      </c>
      <c r="C665" s="30">
        <f t="shared" si="87"/>
        <v>0.27</v>
      </c>
      <c r="D665" s="30">
        <f t="shared" si="88"/>
        <v>3.6479999999999998E-4</v>
      </c>
      <c r="E665" s="30">
        <f t="shared" si="89"/>
        <v>0.72945390043567648</v>
      </c>
      <c r="F665" s="30">
        <f>VLOOKUP($A665,'Childhood mortality'!$A$12:$G$27,4)</f>
        <v>1.8129956432344044E-4</v>
      </c>
      <c r="G665" s="30">
        <f t="shared" si="90"/>
        <v>0.27</v>
      </c>
      <c r="H665" s="30">
        <f t="shared" si="91"/>
        <v>3.6479999999999998E-4</v>
      </c>
      <c r="I665" s="30">
        <f t="shared" si="92"/>
        <v>0.72945390043567648</v>
      </c>
      <c r="J665" s="30">
        <f>VLOOKUP($A665,'Childhood mortality'!$A$12:$G$27,4)</f>
        <v>1.8129956432344044E-4</v>
      </c>
      <c r="K665" s="30">
        <f t="shared" si="93"/>
        <v>0.14000000000000001</v>
      </c>
      <c r="L665" s="30">
        <f t="shared" si="94"/>
        <v>3.6479999999999998E-4</v>
      </c>
      <c r="M665" s="30">
        <f t="shared" si="74"/>
        <v>0.44906466297764092</v>
      </c>
      <c r="N665" s="30">
        <f t="shared" si="75"/>
        <v>0.41038923745803552</v>
      </c>
      <c r="O665" s="30">
        <f>VLOOKUP($A665,'Childhood mortality'!$A$12:$G$27,4)</f>
        <v>1.8129956432344044E-4</v>
      </c>
      <c r="P665" s="30">
        <f t="shared" si="95"/>
        <v>0.5714285714285714</v>
      </c>
      <c r="Q665" s="30">
        <f t="shared" si="96"/>
        <v>3.6479999999999998E-4</v>
      </c>
      <c r="R665" s="30">
        <f t="shared" si="76"/>
        <v>0.22364323440621239</v>
      </c>
      <c r="S665" s="30">
        <f t="shared" si="77"/>
        <v>0.20438209460089268</v>
      </c>
      <c r="T665" s="30">
        <f>VLOOKUP($A665,'Childhood mortality'!$A$12:$G$27,4)</f>
        <v>1.8129956432344044E-4</v>
      </c>
      <c r="U665" s="30">
        <f t="shared" si="97"/>
        <v>0.99082773355684339</v>
      </c>
      <c r="V665" s="30">
        <f t="shared" si="98"/>
        <v>3.6479999999999998E-4</v>
      </c>
      <c r="W665" s="30">
        <f t="shared" si="78"/>
        <v>4.5071721941902995E-3</v>
      </c>
      <c r="X665" s="30">
        <f t="shared" si="79"/>
        <v>4.1189946846428094E-3</v>
      </c>
      <c r="Y665" s="30">
        <f>VLOOKUP($A665,'Childhood mortality'!$A$12:$G$27,4)</f>
        <v>1.8129956432344044E-4</v>
      </c>
      <c r="Z665" s="30">
        <f t="shared" si="99"/>
        <v>0.99981870043567656</v>
      </c>
      <c r="AB665" s="284">
        <f t="shared" si="156"/>
        <v>0.12358618555937585</v>
      </c>
      <c r="AC665" s="31">
        <f t="shared" si="157"/>
        <v>0.13523305121418611</v>
      </c>
      <c r="AD665" s="31">
        <f t="shared" si="158"/>
        <v>7.0205695618817454E-2</v>
      </c>
      <c r="AE665" s="31">
        <f t="shared" si="159"/>
        <v>1.0295318645599705E-2</v>
      </c>
      <c r="AF665" s="31">
        <f t="shared" si="160"/>
        <v>0.21103006237022165</v>
      </c>
      <c r="AG665" s="31">
        <f t="shared" si="161"/>
        <v>7.5247648535514493E-4</v>
      </c>
      <c r="AH665" s="286">
        <f t="shared" si="162"/>
        <v>2.9918263725936291E-2</v>
      </c>
      <c r="AI665" s="31"/>
      <c r="AJ665" s="284">
        <f t="shared" si="163"/>
        <v>18.74588478439291</v>
      </c>
      <c r="AK665" s="31">
        <f t="shared" si="164"/>
        <v>20.512512669833079</v>
      </c>
      <c r="AL665" s="31">
        <f t="shared" si="165"/>
        <v>10.838602215147429</v>
      </c>
      <c r="AM665" s="31">
        <f t="shared" si="166"/>
        <v>1.5022415688135708</v>
      </c>
      <c r="AN665" s="31">
        <f t="shared" si="167"/>
        <v>1.5534880954015797</v>
      </c>
      <c r="AO665" s="31">
        <f t="shared" si="168"/>
        <v>7.2612946934005745E-2</v>
      </c>
      <c r="AP665" s="286">
        <f t="shared" si="169"/>
        <v>3.7017682116548731</v>
      </c>
      <c r="AR665" s="30">
        <v>4</v>
      </c>
      <c r="AS665" s="30">
        <f>VLOOKUP($A665,'Childhood mortality'!$A$12:$G$27,3)</f>
        <v>9.1738535096242416E-5</v>
      </c>
      <c r="AT665" s="30">
        <f t="shared" si="100"/>
        <v>0.27</v>
      </c>
      <c r="AU665" s="30">
        <f t="shared" si="101"/>
        <v>3.6479999999999998E-4</v>
      </c>
      <c r="AV665" s="30">
        <f t="shared" si="102"/>
        <v>0.72954346146490368</v>
      </c>
      <c r="AW665" s="30">
        <f>VLOOKUP($A665,'Childhood mortality'!$A$12:$G$27,3)</f>
        <v>9.1738535096242416E-5</v>
      </c>
      <c r="AX665" s="30">
        <f t="shared" si="103"/>
        <v>0.27</v>
      </c>
      <c r="AY665" s="30">
        <f t="shared" si="104"/>
        <v>3.6479999999999998E-4</v>
      </c>
      <c r="AZ665" s="30">
        <f t="shared" si="105"/>
        <v>0.72954346146490368</v>
      </c>
      <c r="BA665" s="30">
        <f>VLOOKUP($A665,'Childhood mortality'!$A$12:$G$27,3)</f>
        <v>9.1738535096242416E-5</v>
      </c>
      <c r="BB665" s="30">
        <f t="shared" si="106"/>
        <v>0.14000000000000001</v>
      </c>
      <c r="BC665" s="30">
        <f t="shared" si="107"/>
        <v>3.6479999999999998E-4</v>
      </c>
      <c r="BD665" s="30">
        <f t="shared" si="108"/>
        <v>0.44911145861541213</v>
      </c>
      <c r="BE665" s="30">
        <f t="shared" si="109"/>
        <v>0.4104320028494915</v>
      </c>
      <c r="BF665" s="30">
        <f>VLOOKUP($A665,'Childhood mortality'!$A$12:$G$27,3)</f>
        <v>9.1738535096242416E-5</v>
      </c>
      <c r="BG665" s="30">
        <f t="shared" si="110"/>
        <v>0.5714285714285714</v>
      </c>
      <c r="BH665" s="30">
        <f t="shared" si="111"/>
        <v>3.6479999999999998E-4</v>
      </c>
      <c r="BI665" s="30">
        <f t="shared" si="112"/>
        <v>0.22369003004398361</v>
      </c>
      <c r="BJ665" s="30">
        <f t="shared" si="113"/>
        <v>0.20442485999234866</v>
      </c>
      <c r="BK665" s="30">
        <f>VLOOKUP($A665,'Childhood mortality'!$A$12:$G$27,3)</f>
        <v>9.1738535096242416E-5</v>
      </c>
      <c r="BL665" s="30">
        <f t="shared" si="114"/>
        <v>0.99091729458607059</v>
      </c>
      <c r="BM665" s="30">
        <f t="shared" si="115"/>
        <v>3.6479999999999998E-4</v>
      </c>
      <c r="BN665" s="30">
        <f t="shared" si="80"/>
        <v>4.5071721941902995E-3</v>
      </c>
      <c r="BO665" s="30">
        <f t="shared" si="81"/>
        <v>4.1189946846428094E-3</v>
      </c>
      <c r="BP665" s="30">
        <f>VLOOKUP($A665,'Childhood mortality'!$A$12:$G$27,3)</f>
        <v>9.1738535096242416E-5</v>
      </c>
      <c r="BQ665" s="30">
        <f t="shared" si="116"/>
        <v>0.99990826146490375</v>
      </c>
      <c r="BS665" s="284">
        <f t="shared" si="170"/>
        <v>1.9444251131355434</v>
      </c>
      <c r="BT665" s="31">
        <f t="shared" si="171"/>
        <v>2.1276693646352283</v>
      </c>
      <c r="BU665" s="31">
        <f t="shared" si="172"/>
        <v>1.1046394133609458</v>
      </c>
      <c r="BV665" s="31">
        <f t="shared" si="173"/>
        <v>0.16188859226508193</v>
      </c>
      <c r="BW665" s="31">
        <f t="shared" si="174"/>
        <v>3.297719889733381</v>
      </c>
      <c r="BX665" s="31">
        <f t="shared" si="175"/>
        <v>1.1738955635700633E-2</v>
      </c>
      <c r="BY665" s="286">
        <f t="shared" si="176"/>
        <v>5.6988025449783104E-2</v>
      </c>
      <c r="BZ665" s="31"/>
      <c r="CA665" s="284">
        <f t="shared" si="177"/>
        <v>137.74569814515385</v>
      </c>
      <c r="CB665" s="31">
        <f t="shared" si="178"/>
        <v>150.72696812741972</v>
      </c>
      <c r="CC665" s="31">
        <f t="shared" si="179"/>
        <v>79.637489684297094</v>
      </c>
      <c r="CD665" s="31">
        <f t="shared" si="180"/>
        <v>11.035259008547557</v>
      </c>
      <c r="CE665" s="31">
        <f t="shared" si="181"/>
        <v>11.395536292495436</v>
      </c>
      <c r="CF665" s="31">
        <f t="shared" si="182"/>
        <v>0.53036729690461248</v>
      </c>
      <c r="CG665" s="286">
        <f t="shared" si="183"/>
        <v>52.715480545169207</v>
      </c>
      <c r="CI665" s="30">
        <v>4</v>
      </c>
      <c r="CJ665" s="30">
        <f>VLOOKUP($A665,'Childhood mortality'!$A$31:$G$46,4)</f>
        <v>1.7761086515104082E-4</v>
      </c>
      <c r="CK665" s="30">
        <f t="shared" si="117"/>
        <v>0.27</v>
      </c>
      <c r="CL665" s="30">
        <f t="shared" si="118"/>
        <v>3.6479999999999998E-4</v>
      </c>
      <c r="CM665" s="30">
        <f t="shared" si="119"/>
        <v>0.72945758913484893</v>
      </c>
      <c r="CN665" s="30">
        <f>VLOOKUP($A665,'Childhood mortality'!$A$31:$G$46,4)</f>
        <v>1.7761086515104082E-4</v>
      </c>
      <c r="CO665" s="30">
        <f t="shared" si="120"/>
        <v>0.27</v>
      </c>
      <c r="CP665" s="30">
        <f t="shared" si="121"/>
        <v>3.6479999999999998E-4</v>
      </c>
      <c r="CQ665" s="30">
        <f t="shared" si="122"/>
        <v>0.72945758913484893</v>
      </c>
      <c r="CR665" s="30">
        <f>VLOOKUP($A665,'Childhood mortality'!$A$31:$G$46,4)</f>
        <v>1.7761086515104082E-4</v>
      </c>
      <c r="CS665" s="30">
        <f t="shared" si="123"/>
        <v>0.14000000000000001</v>
      </c>
      <c r="CT665" s="30">
        <f t="shared" si="124"/>
        <v>3.6479999999999998E-4</v>
      </c>
      <c r="CU665" s="30">
        <f t="shared" si="125"/>
        <v>0.44906659032295854</v>
      </c>
      <c r="CV665" s="30">
        <f t="shared" si="126"/>
        <v>0.41039099881189034</v>
      </c>
      <c r="CW665" s="30">
        <f>VLOOKUP($A665,'Childhood mortality'!$A$31:$G$46,4)</f>
        <v>1.7761086515104082E-4</v>
      </c>
      <c r="CX665" s="30">
        <f t="shared" si="127"/>
        <v>0.5714285714285714</v>
      </c>
      <c r="CY665" s="30">
        <f t="shared" si="128"/>
        <v>3.6479999999999998E-4</v>
      </c>
      <c r="CZ665" s="30">
        <f t="shared" si="129"/>
        <v>0.22364516175152999</v>
      </c>
      <c r="DA665" s="30">
        <f t="shared" si="130"/>
        <v>0.20438385595474751</v>
      </c>
      <c r="DB665" s="30">
        <f>VLOOKUP($A665,'Childhood mortality'!$A$31:$G$46,4)</f>
        <v>1.7761086515104082E-4</v>
      </c>
      <c r="DC665" s="30">
        <f t="shared" si="131"/>
        <v>0.99083142225601584</v>
      </c>
      <c r="DD665" s="30">
        <f t="shared" si="132"/>
        <v>3.6479999999999998E-4</v>
      </c>
      <c r="DE665" s="30">
        <f t="shared" si="82"/>
        <v>4.5071721941902995E-3</v>
      </c>
      <c r="DF665" s="30">
        <f t="shared" si="83"/>
        <v>4.1189946846428094E-3</v>
      </c>
      <c r="DG665" s="30">
        <f>VLOOKUP($A665,'Childhood mortality'!$A$31:$G$46,4)</f>
        <v>1.7761086515104082E-4</v>
      </c>
      <c r="DH665" s="30">
        <f t="shared" si="133"/>
        <v>0.999822389134849</v>
      </c>
      <c r="DJ665" s="284">
        <f t="shared" si="184"/>
        <v>0.11905636294640508</v>
      </c>
      <c r="DK665" s="31">
        <f t="shared" si="185"/>
        <v>0.13027633432355323</v>
      </c>
      <c r="DL665" s="31">
        <f t="shared" si="186"/>
        <v>6.7636294063486535E-2</v>
      </c>
      <c r="DM665" s="31">
        <f t="shared" si="187"/>
        <v>9.9163562563987558E-3</v>
      </c>
      <c r="DN665" s="31">
        <f t="shared" si="188"/>
        <v>0.20277934861415217</v>
      </c>
      <c r="DO665" s="31">
        <f t="shared" si="189"/>
        <v>7.2393361471484409E-4</v>
      </c>
      <c r="DP665" s="286">
        <f t="shared" si="190"/>
        <v>2.7847284443154652E-2</v>
      </c>
      <c r="DQ665" s="31"/>
      <c r="DR665" s="284">
        <f t="shared" si="191"/>
        <v>18.04158461723409</v>
      </c>
      <c r="DS665" s="31">
        <f t="shared" si="192"/>
        <v>19.741838664931535</v>
      </c>
      <c r="DT665" s="31">
        <f t="shared" si="193"/>
        <v>10.431474126613992</v>
      </c>
      <c r="DU665" s="31">
        <f t="shared" si="194"/>
        <v>1.4457229572121999</v>
      </c>
      <c r="DV665" s="31">
        <f t="shared" si="195"/>
        <v>1.4942959645580323</v>
      </c>
      <c r="DW665" s="31">
        <f t="shared" si="196"/>
        <v>6.9858578049002251E-2</v>
      </c>
      <c r="DX665" s="286">
        <f t="shared" si="197"/>
        <v>3.4698998780030168</v>
      </c>
      <c r="DZ665" s="30">
        <v>4</v>
      </c>
      <c r="EA665" s="30">
        <f>VLOOKUP($A665,'Childhood mortality'!$A$31:$G$46,3)</f>
        <v>8.9872033873531485E-5</v>
      </c>
      <c r="EB665" s="30">
        <f t="shared" si="134"/>
        <v>0.27</v>
      </c>
      <c r="EC665" s="30">
        <f t="shared" si="135"/>
        <v>3.6479999999999998E-4</v>
      </c>
      <c r="ED665" s="30">
        <f t="shared" si="136"/>
        <v>0.72954532796612637</v>
      </c>
      <c r="EE665" s="30">
        <f>VLOOKUP($A665,'Childhood mortality'!$A$31:$G$46,3)</f>
        <v>8.9872033873531485E-5</v>
      </c>
      <c r="EF665" s="30">
        <f t="shared" si="137"/>
        <v>0.27</v>
      </c>
      <c r="EG665" s="30">
        <f t="shared" si="138"/>
        <v>3.6479999999999998E-4</v>
      </c>
      <c r="EH665" s="30">
        <f t="shared" si="139"/>
        <v>0.72954532796612637</v>
      </c>
      <c r="EI665" s="30">
        <f>VLOOKUP($A665,'Childhood mortality'!$A$31:$G$46,3)</f>
        <v>8.9872033873531485E-5</v>
      </c>
      <c r="EJ665" s="30">
        <f t="shared" si="140"/>
        <v>0.14000000000000001</v>
      </c>
      <c r="EK665" s="30">
        <f t="shared" si="141"/>
        <v>3.6479999999999998E-4</v>
      </c>
      <c r="EL665" s="30">
        <f t="shared" si="142"/>
        <v>0.44911243386230099</v>
      </c>
      <c r="EM665" s="30">
        <f t="shared" si="143"/>
        <v>0.41043289410382533</v>
      </c>
      <c r="EN665" s="30">
        <f>VLOOKUP($A665,'Childhood mortality'!$A$31:$G$46,3)</f>
        <v>8.9872033873531485E-5</v>
      </c>
      <c r="EO665" s="30">
        <f t="shared" si="144"/>
        <v>0.5714285714285714</v>
      </c>
      <c r="EP665" s="30">
        <f t="shared" si="145"/>
        <v>3.6479999999999998E-4</v>
      </c>
      <c r="EQ665" s="30">
        <f t="shared" si="146"/>
        <v>0.22369100529087249</v>
      </c>
      <c r="ER665" s="30">
        <f t="shared" si="147"/>
        <v>0.20442575124668252</v>
      </c>
      <c r="ES665" s="30">
        <f>VLOOKUP($A665,'Childhood mortality'!$A$31:$G$46,3)</f>
        <v>8.9872033873531485E-5</v>
      </c>
      <c r="ET665" s="30">
        <f t="shared" si="148"/>
        <v>0.99091916108729328</v>
      </c>
      <c r="EU665" s="30">
        <f t="shared" si="149"/>
        <v>3.6479999999999998E-4</v>
      </c>
      <c r="EV665" s="30">
        <f t="shared" si="84"/>
        <v>4.5071721941902995E-3</v>
      </c>
      <c r="EW665" s="30">
        <f t="shared" si="85"/>
        <v>4.1189946846428094E-3</v>
      </c>
      <c r="EX665" s="30">
        <f>VLOOKUP($A665,'Childhood mortality'!$A$31:$G$46,3)</f>
        <v>8.9872033873531485E-5</v>
      </c>
      <c r="EY665" s="30">
        <f t="shared" si="150"/>
        <v>0.99991012796612644</v>
      </c>
      <c r="FA665" s="284">
        <f t="shared" si="198"/>
        <v>1.8706783924531665</v>
      </c>
      <c r="FB665" s="31">
        <f t="shared" si="199"/>
        <v>2.0469726912183868</v>
      </c>
      <c r="FC665" s="31">
        <f t="shared" si="200"/>
        <v>1.0627737636134487</v>
      </c>
      <c r="FD665" s="31">
        <f t="shared" si="201"/>
        <v>0.15573597390680682</v>
      </c>
      <c r="FE665" s="31">
        <f t="shared" si="202"/>
        <v>3.1685949339328281</v>
      </c>
      <c r="FF665" s="31">
        <f t="shared" si="203"/>
        <v>1.12861966706089E-2</v>
      </c>
      <c r="FG665" s="286">
        <f t="shared" si="204"/>
        <v>0.72972213394288732</v>
      </c>
      <c r="FH665" s="31"/>
      <c r="FI665" s="284">
        <f t="shared" si="205"/>
        <v>132.45810630590759</v>
      </c>
      <c r="FJ665" s="31">
        <f t="shared" si="206"/>
        <v>144.9410692038465</v>
      </c>
      <c r="FK665" s="31">
        <f t="shared" si="207"/>
        <v>76.580800273259911</v>
      </c>
      <c r="FL665" s="31">
        <f t="shared" si="208"/>
        <v>10.611364914006343</v>
      </c>
      <c r="FM665" s="31">
        <f t="shared" si="209"/>
        <v>10.955050638954589</v>
      </c>
      <c r="FN665" s="31">
        <f t="shared" si="210"/>
        <v>0.50991151448055505</v>
      </c>
      <c r="FO665" s="286">
        <f t="shared" si="211"/>
        <v>49.645022362942768</v>
      </c>
      <c r="FQ665" s="30">
        <f t="shared" si="151"/>
        <v>1000.0000000000002</v>
      </c>
      <c r="FR665" s="30" t="str">
        <f t="shared" si="86"/>
        <v>OKAY</v>
      </c>
      <c r="FT665" s="284">
        <f>($AB665-(VLOOKUP($A665,'Childhood asthma'!$A$36:$AG$50,7)*$AB665))+(SUM($AC665:$AG665)-(VLOOKUP($A665,'Childhood asthma'!$A$36:$AG$50,6)*SUM($AC665:$AG665)))+($AJ665-(VLOOKUP($A665,'Childhood asthma'!$A$36:$AG$50,9)*$AJ665))+(SUM($AK665:$AO665)-(VLOOKUP($A665,'Childhood asthma'!$A$36:$AG$50,8)*SUM($AK665:$AO665)))+($BS665-(VLOOKUP($A665,'Childhood asthma'!$A$36:$AG$50,3)*$BS665))+(SUM($BT665:$BX665)-(VLOOKUP($A665,'Childhood asthma'!$A$36:$AG$50,2)*SUM($BT665:$BX665)))+($CA665-(VLOOKUP($A665,'Childhood asthma'!$A$36:$AG$50,5)*$CA665))+(SUM($CB665:$CF665)-(VLOOKUP($A665,'Childhood asthma'!$A$36:$AG$50,4)*SUM($CB665:$CF665)))+($DJ665-(VLOOKUP($A665,'Childhood asthma'!$A$36:$AG$50,23)*$DJ665))+(SUM($DK665:$DO665)-(VLOOKUP($A665,'Childhood asthma'!$A$36:$AG$50,22)*SUM($DK665:$DO665)))+($DR665-(VLOOKUP($A665,'Childhood asthma'!$A$36:$AG$50,25)*$DR665))+(SUM($DS665:$DW665)-(VLOOKUP($A665,'Childhood asthma'!$A$36:$AG$50,24)*SUM($DS665:$DW665)))+($FA665-(VLOOKUP($A665,'Childhood asthma'!$A$36:$AG$50,19)*$FA665))+(SUM($FB665:$FF665)-(VLOOKUP($A665,'Childhood asthma'!$A$36:$AG$50,18)*SUM($FB665:$FF665)))+($FI665-(VLOOKUP($A665,'Childhood asthma'!$A$36:$AG$50,21)*$FI665))+(SUM($FJ665:$FN665)-(VLOOKUP($A665,'Childhood asthma'!$A$36:$AG$50,20)*SUM($FJ665:$FN665)))</f>
        <v>867.89475185526067</v>
      </c>
      <c r="FU665" s="31">
        <f>(VLOOKUP($A665,'Childhood asthma'!$A$36:$AG$50,7)*$AB665)+(VLOOKUP($A665,'Childhood asthma'!$A$36:$AG$50,6)*SUM($AC665:$AG665))+(VLOOKUP($A665,'Childhood asthma'!$A$36:$AG$50,9)*$AJ665)+(VLOOKUP($A665,'Childhood asthma'!$A$36:$AG$50,8)*SUM($AK665:$AO665))+(VLOOKUP($A665,'Childhood asthma'!$A$36:$AG$50,3)*$BS665)+(VLOOKUP($A665,'Childhood asthma'!$A$36:$AG$50,2)*SUM($BT665:$BX665))+(VLOOKUP($A665,'Childhood asthma'!$A$36:$AG$50,5)*$CA665)+(VLOOKUP($A665,'Childhood asthma'!$A$36:$AG$50,4)*SUM($CB665:$CF665))+(VLOOKUP($A665,'Childhood asthma'!$A$36:$AG$50,23)*$DJ665)+(VLOOKUP($A665,'Childhood asthma'!$A$36:$AG$50,22)*SUM($DK665:$DO665))+(VLOOKUP($A665,'Childhood asthma'!$A$36:$AG$50,25)*$DR665)+(VLOOKUP($A665,'Childhood asthma'!$A$36:$AG$50,24)*SUM($DS665:$DW665))+(VLOOKUP($A665,'Childhood asthma'!$A$36:$AG$50,19)*$FA665)+(VLOOKUP($A665,'Childhood asthma'!$A$36:$AG$50,18)*SUM($FB665:$FF665))+(VLOOKUP($A665,'Childhood asthma'!$A$36:$AG$50,21)*$FI665)+(VLOOKUP($A665,'Childhood asthma'!$A$36:$AG$50,20)*SUM($FJ665:$FN665))</f>
        <v>21.728601439407925</v>
      </c>
      <c r="FV665" s="31">
        <f t="shared" si="212"/>
        <v>889.62335329466862</v>
      </c>
      <c r="FW665" s="286">
        <f t="shared" si="213"/>
        <v>110.37664670533162</v>
      </c>
      <c r="FY665" s="265">
        <v>4</v>
      </c>
      <c r="FZ665" s="30">
        <f t="shared" si="214"/>
        <v>775.25535680778012</v>
      </c>
      <c r="GA665" s="281">
        <f t="shared" si="215"/>
        <v>3268.5616094334009</v>
      </c>
      <c r="GC665" s="265">
        <v>4</v>
      </c>
      <c r="GD665" s="30">
        <f t="shared" si="152"/>
        <v>773.36183472346681</v>
      </c>
      <c r="GE665" s="281">
        <f t="shared" si="216"/>
        <v>3257.4868663643197</v>
      </c>
      <c r="GG665" s="265">
        <v>4</v>
      </c>
      <c r="GH665" s="303">
        <f t="shared" si="217"/>
        <v>30878.994413215562</v>
      </c>
      <c r="GI665" s="304">
        <f t="shared" si="218"/>
        <v>3456856.9245844949</v>
      </c>
      <c r="GK665" s="265">
        <v>4</v>
      </c>
      <c r="GL665" s="287">
        <f t="shared" si="153"/>
        <v>0.88962335329466857</v>
      </c>
      <c r="GM665" s="287">
        <f t="shared" si="154"/>
        <v>0.11037664670533162</v>
      </c>
      <c r="GN665" s="288">
        <f t="shared" si="155"/>
        <v>2.1728601439407923E-2</v>
      </c>
      <c r="GP665" s="265">
        <v>4</v>
      </c>
      <c r="GQ665" s="303">
        <f t="shared" si="219"/>
        <v>30878.994413215562</v>
      </c>
      <c r="GR665" s="304">
        <f t="shared" si="220"/>
        <v>6556988.8604405858</v>
      </c>
      <c r="GT665" s="265">
        <v>4</v>
      </c>
      <c r="GU665" s="303">
        <f t="shared" si="221"/>
        <v>30878.994413215562</v>
      </c>
      <c r="GV665" s="304">
        <f t="shared" si="222"/>
        <v>3456856.9245844949</v>
      </c>
      <c r="GX665" s="265">
        <v>4</v>
      </c>
      <c r="GY665" s="303">
        <f t="shared" si="223"/>
        <v>30878.994413215562</v>
      </c>
      <c r="GZ665" s="304">
        <f t="shared" si="224"/>
        <v>6556988.8604405858</v>
      </c>
    </row>
    <row r="666" spans="1:208" s="30" customFormat="1" x14ac:dyDescent="0.25">
      <c r="A666" s="379">
        <v>5</v>
      </c>
      <c r="B666" s="30">
        <f>VLOOKUP($A666,'Childhood mortality'!$A$12:$G$27,4)</f>
        <v>1.2941550840665802E-4</v>
      </c>
      <c r="C666" s="30">
        <f t="shared" si="87"/>
        <v>0.27</v>
      </c>
      <c r="D666" s="30">
        <f t="shared" si="88"/>
        <v>3.9549999999999996E-4</v>
      </c>
      <c r="E666" s="30">
        <f t="shared" si="89"/>
        <v>0.72947508449159337</v>
      </c>
      <c r="F666" s="30">
        <f>VLOOKUP($A666,'Childhood mortality'!$A$12:$G$27,4)</f>
        <v>1.2941550840665802E-4</v>
      </c>
      <c r="G666" s="30">
        <f t="shared" si="90"/>
        <v>0.27</v>
      </c>
      <c r="H666" s="30">
        <f t="shared" si="91"/>
        <v>3.9549999999999996E-4</v>
      </c>
      <c r="I666" s="30">
        <f t="shared" si="92"/>
        <v>0.72947508449159337</v>
      </c>
      <c r="J666" s="30">
        <f>VLOOKUP($A666,'Childhood mortality'!$A$12:$G$27,4)</f>
        <v>1.2941550840665802E-4</v>
      </c>
      <c r="K666" s="30">
        <f t="shared" si="93"/>
        <v>0.14000000000000001</v>
      </c>
      <c r="L666" s="30">
        <f t="shared" si="94"/>
        <v>3.9549999999999996E-4</v>
      </c>
      <c r="M666" s="30">
        <f t="shared" si="74"/>
        <v>0.44907573164685749</v>
      </c>
      <c r="N666" s="30">
        <f t="shared" si="75"/>
        <v>0.41039935284473583</v>
      </c>
      <c r="O666" s="30">
        <f>VLOOKUP($A666,'Childhood mortality'!$A$12:$G$27,4)</f>
        <v>1.2941550840665802E-4</v>
      </c>
      <c r="P666" s="30">
        <f t="shared" si="95"/>
        <v>0.5714285714285714</v>
      </c>
      <c r="Q666" s="30">
        <f t="shared" si="96"/>
        <v>3.9549999999999996E-4</v>
      </c>
      <c r="R666" s="30">
        <f t="shared" si="76"/>
        <v>0.22365430307542894</v>
      </c>
      <c r="S666" s="30">
        <f t="shared" si="77"/>
        <v>0.20439220998759297</v>
      </c>
      <c r="T666" s="30">
        <f>VLOOKUP($A666,'Childhood mortality'!$A$12:$G$27,4)</f>
        <v>1.2941550840665802E-4</v>
      </c>
      <c r="U666" s="30">
        <f t="shared" si="97"/>
        <v>0.99084891761276028</v>
      </c>
      <c r="V666" s="30">
        <f t="shared" si="98"/>
        <v>3.9549999999999996E-4</v>
      </c>
      <c r="W666" s="30">
        <f t="shared" si="78"/>
        <v>4.5071721941902995E-3</v>
      </c>
      <c r="X666" s="30">
        <f t="shared" si="79"/>
        <v>4.1189946846428094E-3</v>
      </c>
      <c r="Y666" s="30">
        <f>VLOOKUP($A666,'Childhood mortality'!$A$12:$G$27,4)</f>
        <v>1.2941550840665802E-4</v>
      </c>
      <c r="Z666" s="30">
        <f t="shared" si="99"/>
        <v>0.99987058449159338</v>
      </c>
      <c r="AB666" s="284">
        <f t="shared" si="156"/>
        <v>0.1219389298366</v>
      </c>
      <c r="AC666" s="31">
        <f t="shared" si="157"/>
        <v>0.13343055673219581</v>
      </c>
      <c r="AD666" s="31">
        <f t="shared" si="158"/>
        <v>6.9881193928861732E-2</v>
      </c>
      <c r="AE666" s="31">
        <f t="shared" si="159"/>
        <v>9.8287973866344452E-3</v>
      </c>
      <c r="AF666" s="31">
        <f t="shared" si="160"/>
        <v>0.2149819481093444</v>
      </c>
      <c r="AG666" s="31">
        <f t="shared" si="161"/>
        <v>9.7004265218117208E-4</v>
      </c>
      <c r="AH666" s="286">
        <f t="shared" si="162"/>
        <v>2.9989584973674696E-2</v>
      </c>
      <c r="AI666" s="31"/>
      <c r="AJ666" s="284">
        <f t="shared" si="163"/>
        <v>18.436256505195367</v>
      </c>
      <c r="AK666" s="31">
        <f t="shared" si="164"/>
        <v>20.173704762229484</v>
      </c>
      <c r="AL666" s="31">
        <f t="shared" si="165"/>
        <v>10.599767312641017</v>
      </c>
      <c r="AM666" s="31">
        <f t="shared" si="166"/>
        <v>1.5174043101206403</v>
      </c>
      <c r="AN666" s="31">
        <f t="shared" si="167"/>
        <v>2.3976957514607182</v>
      </c>
      <c r="AO666" s="31">
        <f t="shared" si="168"/>
        <v>9.3625454143995646E-2</v>
      </c>
      <c r="AP666" s="286">
        <f t="shared" si="169"/>
        <v>3.708656396386226</v>
      </c>
      <c r="AR666" s="30">
        <v>5</v>
      </c>
      <c r="AS666" s="30">
        <f>VLOOKUP($A666,'Childhood mortality'!$A$12:$G$27,3)</f>
        <v>8.1380861695309857E-5</v>
      </c>
      <c r="AT666" s="30">
        <f t="shared" si="100"/>
        <v>0.27</v>
      </c>
      <c r="AU666" s="30">
        <f t="shared" si="101"/>
        <v>3.9549999999999996E-4</v>
      </c>
      <c r="AV666" s="30">
        <f t="shared" si="102"/>
        <v>0.7295231191383047</v>
      </c>
      <c r="AW666" s="30">
        <f>VLOOKUP($A666,'Childhood mortality'!$A$12:$G$27,3)</f>
        <v>8.1380861695309857E-5</v>
      </c>
      <c r="AX666" s="30">
        <f t="shared" si="103"/>
        <v>0.27</v>
      </c>
      <c r="AY666" s="30">
        <f t="shared" si="104"/>
        <v>3.9549999999999996E-4</v>
      </c>
      <c r="AZ666" s="30">
        <f t="shared" si="105"/>
        <v>0.7295231191383047</v>
      </c>
      <c r="BA666" s="30">
        <f>VLOOKUP($A666,'Childhood mortality'!$A$12:$G$27,3)</f>
        <v>8.1380861695309857E-5</v>
      </c>
      <c r="BB666" s="30">
        <f t="shared" si="106"/>
        <v>0.14000000000000001</v>
      </c>
      <c r="BC666" s="30">
        <f t="shared" si="107"/>
        <v>3.9549999999999996E-4</v>
      </c>
      <c r="BD666" s="30">
        <f t="shared" si="108"/>
        <v>0.44910082974976417</v>
      </c>
      <c r="BE666" s="30">
        <f t="shared" si="109"/>
        <v>0.41042228938854047</v>
      </c>
      <c r="BF666" s="30">
        <f>VLOOKUP($A666,'Childhood mortality'!$A$12:$G$27,3)</f>
        <v>8.1380861695309857E-5</v>
      </c>
      <c r="BG666" s="30">
        <f t="shared" si="110"/>
        <v>0.5714285714285714</v>
      </c>
      <c r="BH666" s="30">
        <f t="shared" si="111"/>
        <v>3.9549999999999996E-4</v>
      </c>
      <c r="BI666" s="30">
        <f t="shared" si="112"/>
        <v>0.22367940117833565</v>
      </c>
      <c r="BJ666" s="30">
        <f t="shared" si="113"/>
        <v>0.20441514653139764</v>
      </c>
      <c r="BK666" s="30">
        <f>VLOOKUP($A666,'Childhood mortality'!$A$12:$G$27,3)</f>
        <v>8.1380861695309857E-5</v>
      </c>
      <c r="BL666" s="30">
        <f t="shared" si="114"/>
        <v>0.99089695225947161</v>
      </c>
      <c r="BM666" s="30">
        <f t="shared" si="115"/>
        <v>3.9549999999999996E-4</v>
      </c>
      <c r="BN666" s="30">
        <f t="shared" si="80"/>
        <v>4.5071721941902995E-3</v>
      </c>
      <c r="BO666" s="30">
        <f t="shared" si="81"/>
        <v>4.1189946846428094E-3</v>
      </c>
      <c r="BP666" s="30">
        <f>VLOOKUP($A666,'Childhood mortality'!$A$12:$G$27,3)</f>
        <v>8.1380861695309857E-5</v>
      </c>
      <c r="BQ666" s="30">
        <f t="shared" si="116"/>
        <v>0.99991861913830471</v>
      </c>
      <c r="BS666" s="284">
        <f t="shared" si="170"/>
        <v>1.9185474814527874</v>
      </c>
      <c r="BT666" s="31">
        <f t="shared" si="171"/>
        <v>2.099353003265092</v>
      </c>
      <c r="BU666" s="31">
        <f t="shared" si="172"/>
        <v>1.0994655089981085</v>
      </c>
      <c r="BV666" s="31">
        <f t="shared" si="173"/>
        <v>0.15464951787053244</v>
      </c>
      <c r="BW666" s="31">
        <f t="shared" si="174"/>
        <v>3.3602083551508661</v>
      </c>
      <c r="BX666" s="31">
        <f t="shared" si="175"/>
        <v>1.5153673717948582E-2</v>
      </c>
      <c r="BY666" s="286">
        <f t="shared" si="176"/>
        <v>5.769181376032919E-2</v>
      </c>
      <c r="BZ666" s="31"/>
      <c r="CA666" s="284">
        <f t="shared" si="177"/>
        <v>135.47638443678312</v>
      </c>
      <c r="CB666" s="31">
        <f t="shared" si="178"/>
        <v>148.24379239417635</v>
      </c>
      <c r="CC666" s="31">
        <f t="shared" si="179"/>
        <v>77.887619893594874</v>
      </c>
      <c r="CD666" s="31">
        <f t="shared" si="180"/>
        <v>11.149248555801595</v>
      </c>
      <c r="CE666" s="31">
        <f t="shared" si="181"/>
        <v>17.597664472194531</v>
      </c>
      <c r="CF666" s="31">
        <f t="shared" si="182"/>
        <v>0.68478308137948019</v>
      </c>
      <c r="CG666" s="286">
        <f t="shared" si="183"/>
        <v>52.747306266057521</v>
      </c>
      <c r="CI666" s="30">
        <v>5</v>
      </c>
      <c r="CJ666" s="30">
        <f>VLOOKUP($A666,'Childhood mortality'!$A$31:$G$46,4)</f>
        <v>1.2636685096480507E-4</v>
      </c>
      <c r="CK666" s="30">
        <f t="shared" si="117"/>
        <v>0.27</v>
      </c>
      <c r="CL666" s="30">
        <f t="shared" si="118"/>
        <v>3.9549999999999996E-4</v>
      </c>
      <c r="CM666" s="30">
        <f t="shared" si="119"/>
        <v>0.7294781331490352</v>
      </c>
      <c r="CN666" s="30">
        <f>VLOOKUP($A666,'Childhood mortality'!$A$31:$G$46,4)</f>
        <v>1.2636685096480507E-4</v>
      </c>
      <c r="CO666" s="30">
        <f t="shared" si="120"/>
        <v>0.27</v>
      </c>
      <c r="CP666" s="30">
        <f t="shared" si="121"/>
        <v>3.9549999999999996E-4</v>
      </c>
      <c r="CQ666" s="30">
        <f t="shared" si="122"/>
        <v>0.7294781331490352</v>
      </c>
      <c r="CR666" s="30">
        <f>VLOOKUP($A666,'Childhood mortality'!$A$31:$G$46,4)</f>
        <v>1.2636685096480507E-4</v>
      </c>
      <c r="CS666" s="30">
        <f t="shared" si="123"/>
        <v>0.14000000000000001</v>
      </c>
      <c r="CT666" s="30">
        <f t="shared" si="124"/>
        <v>3.9549999999999996E-4</v>
      </c>
      <c r="CU666" s="30">
        <f t="shared" si="125"/>
        <v>0.44907732457037086</v>
      </c>
      <c r="CV666" s="30">
        <f t="shared" si="126"/>
        <v>0.41040080857866429</v>
      </c>
      <c r="CW666" s="30">
        <f>VLOOKUP($A666,'Childhood mortality'!$A$31:$G$46,4)</f>
        <v>1.2636685096480507E-4</v>
      </c>
      <c r="CX666" s="30">
        <f t="shared" si="127"/>
        <v>0.5714285714285714</v>
      </c>
      <c r="CY666" s="30">
        <f t="shared" si="128"/>
        <v>3.9549999999999996E-4</v>
      </c>
      <c r="CZ666" s="30">
        <f t="shared" si="129"/>
        <v>0.22365589599894234</v>
      </c>
      <c r="DA666" s="30">
        <f t="shared" si="130"/>
        <v>0.20439366572152146</v>
      </c>
      <c r="DB666" s="30">
        <f>VLOOKUP($A666,'Childhood mortality'!$A$31:$G$46,4)</f>
        <v>1.2636685096480507E-4</v>
      </c>
      <c r="DC666" s="30">
        <f t="shared" si="131"/>
        <v>0.99085196627020211</v>
      </c>
      <c r="DD666" s="30">
        <f t="shared" si="132"/>
        <v>3.9549999999999996E-4</v>
      </c>
      <c r="DE666" s="30">
        <f t="shared" si="82"/>
        <v>4.5071721941902995E-3</v>
      </c>
      <c r="DF666" s="30">
        <f t="shared" si="83"/>
        <v>4.1189946846428094E-3</v>
      </c>
      <c r="DG666" s="30">
        <f>VLOOKUP($A666,'Childhood mortality'!$A$31:$G$46,4)</f>
        <v>1.2636685096480507E-4</v>
      </c>
      <c r="DH666" s="30">
        <f t="shared" si="133"/>
        <v>0.99987363314903521</v>
      </c>
      <c r="DJ666" s="284">
        <f t="shared" si="184"/>
        <v>0.11746909061951964</v>
      </c>
      <c r="DK666" s="31">
        <f t="shared" si="185"/>
        <v>0.12853947612292987</v>
      </c>
      <c r="DL666" s="31">
        <f t="shared" si="186"/>
        <v>6.7319828262888737E-2</v>
      </c>
      <c r="DM666" s="31">
        <f t="shared" si="187"/>
        <v>9.469081168888116E-3</v>
      </c>
      <c r="DN666" s="31">
        <f t="shared" si="188"/>
        <v>0.20659080558269419</v>
      </c>
      <c r="DO666" s="31">
        <f t="shared" si="189"/>
        <v>9.3332452085232538E-4</v>
      </c>
      <c r="DP666" s="286">
        <f t="shared" si="190"/>
        <v>2.791430798409238E-2</v>
      </c>
      <c r="DQ666" s="31"/>
      <c r="DR666" s="284">
        <f t="shared" si="191"/>
        <v>17.743678493837731</v>
      </c>
      <c r="DS666" s="31">
        <f t="shared" si="192"/>
        <v>19.415857618911438</v>
      </c>
      <c r="DT666" s="31">
        <f t="shared" si="193"/>
        <v>10.20152428618472</v>
      </c>
      <c r="DU666" s="31">
        <f t="shared" si="194"/>
        <v>1.460406377725959</v>
      </c>
      <c r="DV666" s="31">
        <f t="shared" si="195"/>
        <v>2.3067534987932117</v>
      </c>
      <c r="DW666" s="31">
        <f t="shared" si="196"/>
        <v>9.0081519649213793E-2</v>
      </c>
      <c r="DX666" s="286">
        <f t="shared" si="197"/>
        <v>3.4763729914995976</v>
      </c>
      <c r="DZ666" s="30">
        <v>5</v>
      </c>
      <c r="EA666" s="30">
        <f>VLOOKUP($A666,'Childhood mortality'!$A$31:$G$46,3)</f>
        <v>7.9463762479872638E-5</v>
      </c>
      <c r="EB666" s="30">
        <f t="shared" si="134"/>
        <v>0.27</v>
      </c>
      <c r="EC666" s="30">
        <f t="shared" si="135"/>
        <v>3.9549999999999996E-4</v>
      </c>
      <c r="ED666" s="30">
        <f t="shared" si="136"/>
        <v>0.72952503623752007</v>
      </c>
      <c r="EE666" s="30">
        <f>VLOOKUP($A666,'Childhood mortality'!$A$31:$G$46,3)</f>
        <v>7.9463762479872638E-5</v>
      </c>
      <c r="EF666" s="30">
        <f t="shared" si="137"/>
        <v>0.27</v>
      </c>
      <c r="EG666" s="30">
        <f t="shared" si="138"/>
        <v>3.9549999999999996E-4</v>
      </c>
      <c r="EH666" s="30">
        <f t="shared" si="139"/>
        <v>0.72952503623752007</v>
      </c>
      <c r="EI666" s="30">
        <f>VLOOKUP($A666,'Childhood mortality'!$A$31:$G$46,3)</f>
        <v>7.9463762479872638E-5</v>
      </c>
      <c r="EJ666" s="30">
        <f t="shared" si="140"/>
        <v>0.14000000000000001</v>
      </c>
      <c r="EK666" s="30">
        <f t="shared" si="141"/>
        <v>3.9549999999999996E-4</v>
      </c>
      <c r="EL666" s="30">
        <f t="shared" si="142"/>
        <v>0.4491018314341042</v>
      </c>
      <c r="EM666" s="30">
        <f t="shared" si="143"/>
        <v>0.41042320480341582</v>
      </c>
      <c r="EN666" s="30">
        <f>VLOOKUP($A666,'Childhood mortality'!$A$31:$G$46,3)</f>
        <v>7.9463762479872638E-5</v>
      </c>
      <c r="EO666" s="30">
        <f t="shared" si="144"/>
        <v>0.5714285714285714</v>
      </c>
      <c r="EP666" s="30">
        <f t="shared" si="145"/>
        <v>3.9549999999999996E-4</v>
      </c>
      <c r="EQ666" s="30">
        <f t="shared" si="146"/>
        <v>0.22368040286267571</v>
      </c>
      <c r="ER666" s="30">
        <f t="shared" si="147"/>
        <v>0.20441606194627301</v>
      </c>
      <c r="ES666" s="30">
        <f>VLOOKUP($A666,'Childhood mortality'!$A$31:$G$46,3)</f>
        <v>7.9463762479872638E-5</v>
      </c>
      <c r="ET666" s="30">
        <f t="shared" si="148"/>
        <v>0.99089886935868698</v>
      </c>
      <c r="EU666" s="30">
        <f t="shared" si="149"/>
        <v>3.9549999999999996E-4</v>
      </c>
      <c r="EV666" s="30">
        <f t="shared" si="84"/>
        <v>4.5071721941902995E-3</v>
      </c>
      <c r="EW666" s="30">
        <f t="shared" si="85"/>
        <v>4.1189946846428094E-3</v>
      </c>
      <c r="EX666" s="30">
        <f>VLOOKUP($A666,'Childhood mortality'!$A$31:$G$46,3)</f>
        <v>7.9463762479872638E-5</v>
      </c>
      <c r="EY666" s="30">
        <f t="shared" si="150"/>
        <v>0.99992053623752009</v>
      </c>
      <c r="FA666" s="284">
        <f t="shared" si="198"/>
        <v>1.8457800962664139</v>
      </c>
      <c r="FB666" s="31">
        <f t="shared" si="199"/>
        <v>2.0197279587417833</v>
      </c>
      <c r="FC666" s="31">
        <f t="shared" si="200"/>
        <v>1.0577657925913195</v>
      </c>
      <c r="FD666" s="31">
        <f t="shared" si="201"/>
        <v>0.14878832690588284</v>
      </c>
      <c r="FE666" s="31">
        <f t="shared" si="202"/>
        <v>3.2287491225793064</v>
      </c>
      <c r="FF666" s="31">
        <f t="shared" si="203"/>
        <v>1.4569830728109159E-2</v>
      </c>
      <c r="FG666" s="286">
        <f t="shared" si="204"/>
        <v>0.73038295792531738</v>
      </c>
      <c r="FH666" s="31"/>
      <c r="FI666" s="284">
        <f t="shared" si="205"/>
        <v>130.27629950028003</v>
      </c>
      <c r="FJ666" s="31">
        <f t="shared" si="206"/>
        <v>142.55364709716503</v>
      </c>
      <c r="FK666" s="31">
        <f t="shared" si="207"/>
        <v>74.89777738763361</v>
      </c>
      <c r="FL666" s="31">
        <f t="shared" si="208"/>
        <v>10.721312038256389</v>
      </c>
      <c r="FM666" s="31">
        <f t="shared" si="209"/>
        <v>16.918984385625173</v>
      </c>
      <c r="FN666" s="31">
        <f t="shared" si="210"/>
        <v>0.65839959276646076</v>
      </c>
      <c r="FO666" s="286">
        <f t="shared" si="211"/>
        <v>49.674905211671536</v>
      </c>
      <c r="FQ666" s="30">
        <f t="shared" si="151"/>
        <v>1000.0000000000002</v>
      </c>
      <c r="FR666" s="30" t="str">
        <f t="shared" si="86"/>
        <v>OKAY</v>
      </c>
      <c r="FT666" s="284">
        <f>($AB666-(VLOOKUP($A666,'Childhood asthma'!$A$36:$AG$50,7)*$AB666))+(SUM($AC666:$AG666)-(VLOOKUP($A666,'Childhood asthma'!$A$36:$AG$50,6)*SUM($AC666:$AG666)))+($AJ666-(VLOOKUP($A666,'Childhood asthma'!$A$36:$AG$50,9)*$AJ666))+(SUM($AK666:$AO666)-(VLOOKUP($A666,'Childhood asthma'!$A$36:$AG$50,8)*SUM($AK666:$AO666)))+($BS666-(VLOOKUP($A666,'Childhood asthma'!$A$36:$AG$50,3)*$BS666))+(SUM($BT666:$BX666)-(VLOOKUP($A666,'Childhood asthma'!$A$36:$AG$50,2)*SUM($BT666:$BX666)))+($CA666-(VLOOKUP($A666,'Childhood asthma'!$A$36:$AG$50,5)*$CA666))+(SUM($CB666:$CF666)-(VLOOKUP($A666,'Childhood asthma'!$A$36:$AG$50,4)*SUM($CB666:$CF666)))+($DJ666-(VLOOKUP($A666,'Childhood asthma'!$A$36:$AG$50,23)*$DJ666))+(SUM($DK666:$DO666)-(VLOOKUP($A666,'Childhood asthma'!$A$36:$AG$50,22)*SUM($DK666:$DO666)))+($DR666-(VLOOKUP($A666,'Childhood asthma'!$A$36:$AG$50,25)*$DR666))+(SUM($DS666:$DW666)-(VLOOKUP($A666,'Childhood asthma'!$A$36:$AG$50,24)*SUM($DS666:$DW666)))+($FA666-(VLOOKUP($A666,'Childhood asthma'!$A$36:$AG$50,19)*$FA666))+(SUM($FB666:$FF666)-(VLOOKUP($A666,'Childhood asthma'!$A$36:$AG$50,18)*SUM($FB666:$FF666)))+($FI666-(VLOOKUP($A666,'Childhood asthma'!$A$36:$AG$50,21)*$FI666))+(SUM($FJ666:$FN666)-(VLOOKUP($A666,'Childhood asthma'!$A$36:$AG$50,20)*SUM($FJ666:$FN666)))</f>
        <v>785.2963964552157</v>
      </c>
      <c r="FU666" s="31">
        <f>(VLOOKUP($A666,'Childhood asthma'!$A$36:$AG$50,7)*$AB666)+(VLOOKUP($A666,'Childhood asthma'!$A$36:$AG$50,6)*SUM($AC666:$AG666))+(VLOOKUP($A666,'Childhood asthma'!$A$36:$AG$50,9)*$AJ666)+(VLOOKUP($A666,'Childhood asthma'!$A$36:$AG$50,8)*SUM($AK666:$AO666))+(VLOOKUP($A666,'Childhood asthma'!$A$36:$AG$50,3)*$BS666)+(VLOOKUP($A666,'Childhood asthma'!$A$36:$AG$50,2)*SUM($BT666:$BX666))+(VLOOKUP($A666,'Childhood asthma'!$A$36:$AG$50,5)*$CA666)+(VLOOKUP($A666,'Childhood asthma'!$A$36:$AG$50,4)*SUM($CB666:$CF666))+(VLOOKUP($A666,'Childhood asthma'!$A$36:$AG$50,23)*$DJ666)+(VLOOKUP($A666,'Childhood asthma'!$A$36:$AG$50,22)*SUM($DK666:$DO666))+(VLOOKUP($A666,'Childhood asthma'!$A$36:$AG$50,25)*$DR666)+(VLOOKUP($A666,'Childhood asthma'!$A$36:$AG$50,24)*SUM($DS666:$DW666))+(VLOOKUP($A666,'Childhood asthma'!$A$36:$AG$50,19)*$FA666)+(VLOOKUP($A666,'Childhood asthma'!$A$36:$AG$50,18)*SUM($FB666:$FF666))+(VLOOKUP($A666,'Childhood asthma'!$A$36:$AG$50,21)*$FI666)+(VLOOKUP($A666,'Childhood asthma'!$A$36:$AG$50,20)*SUM($FJ666:$FN666))</f>
        <v>104.25038401452606</v>
      </c>
      <c r="FV666" s="31">
        <f t="shared" si="212"/>
        <v>889.54678046974175</v>
      </c>
      <c r="FW666" s="286">
        <f t="shared" si="213"/>
        <v>110.45321953025829</v>
      </c>
      <c r="FY666" s="265">
        <v>5</v>
      </c>
      <c r="FZ666" s="30">
        <f t="shared" si="214"/>
        <v>748.97451982091286</v>
      </c>
      <c r="GA666" s="281">
        <f t="shared" si="215"/>
        <v>4017.5361292543139</v>
      </c>
      <c r="GC666" s="265">
        <v>5</v>
      </c>
      <c r="GD666" s="30">
        <f t="shared" si="152"/>
        <v>740.19691722342009</v>
      </c>
      <c r="GE666" s="281">
        <f t="shared" si="216"/>
        <v>3997.6837835877395</v>
      </c>
      <c r="GG666" s="265">
        <v>5</v>
      </c>
      <c r="GH666" s="303">
        <f t="shared" si="217"/>
        <v>142653.61707173684</v>
      </c>
      <c r="GI666" s="304">
        <f t="shared" si="218"/>
        <v>3599510.5416562315</v>
      </c>
      <c r="GK666" s="265">
        <v>5</v>
      </c>
      <c r="GL666" s="287">
        <f t="shared" si="153"/>
        <v>0.88954678046974178</v>
      </c>
      <c r="GM666" s="287">
        <f t="shared" si="154"/>
        <v>0.1104532195302583</v>
      </c>
      <c r="GN666" s="288">
        <f t="shared" si="155"/>
        <v>0.10425038401452606</v>
      </c>
      <c r="GP666" s="265">
        <v>5</v>
      </c>
      <c r="GQ666" s="303">
        <f t="shared" si="219"/>
        <v>142653.61707173684</v>
      </c>
      <c r="GR666" s="304">
        <f t="shared" si="220"/>
        <v>6699642.4775123224</v>
      </c>
      <c r="GT666" s="265">
        <v>5</v>
      </c>
      <c r="GU666" s="303">
        <f t="shared" si="221"/>
        <v>142653.61707173684</v>
      </c>
      <c r="GV666" s="304">
        <f t="shared" si="222"/>
        <v>3599510.5416562315</v>
      </c>
      <c r="GX666" s="265">
        <v>5</v>
      </c>
      <c r="GY666" s="303">
        <f t="shared" si="223"/>
        <v>142653.61707173684</v>
      </c>
      <c r="GZ666" s="304">
        <f t="shared" si="224"/>
        <v>6699642.4775123224</v>
      </c>
    </row>
    <row r="667" spans="1:208" s="30" customFormat="1" x14ac:dyDescent="0.25">
      <c r="A667" s="379">
        <v>6</v>
      </c>
      <c r="B667" s="30">
        <f>VLOOKUP($A667,'Childhood mortality'!$A$12:$G$27,4)</f>
        <v>1.1905007310435797E-4</v>
      </c>
      <c r="C667" s="30">
        <f t="shared" si="87"/>
        <v>0.27</v>
      </c>
      <c r="D667" s="30">
        <f t="shared" si="88"/>
        <v>4.2680000000000002E-4</v>
      </c>
      <c r="E667" s="30">
        <f t="shared" si="89"/>
        <v>0.72945414992689572</v>
      </c>
      <c r="F667" s="30">
        <f>VLOOKUP($A667,'Childhood mortality'!$A$12:$G$27,4)</f>
        <v>1.1905007310435797E-4</v>
      </c>
      <c r="G667" s="30">
        <f t="shared" si="90"/>
        <v>0.27</v>
      </c>
      <c r="H667" s="30">
        <f t="shared" si="91"/>
        <v>4.2680000000000002E-4</v>
      </c>
      <c r="I667" s="30">
        <f t="shared" si="92"/>
        <v>0.72945414992689572</v>
      </c>
      <c r="J667" s="30">
        <f>VLOOKUP($A667,'Childhood mortality'!$A$12:$G$27,4)</f>
        <v>1.1905007310435797E-4</v>
      </c>
      <c r="K667" s="30">
        <f t="shared" si="93"/>
        <v>0.14000000000000001</v>
      </c>
      <c r="L667" s="30">
        <f t="shared" si="94"/>
        <v>4.2680000000000002E-4</v>
      </c>
      <c r="M667" s="30">
        <f t="shared" si="74"/>
        <v>0.44906479333680299</v>
      </c>
      <c r="N667" s="30">
        <f t="shared" si="75"/>
        <v>0.41038935659009268</v>
      </c>
      <c r="O667" s="30">
        <f>VLOOKUP($A667,'Childhood mortality'!$A$12:$G$27,4)</f>
        <v>1.1905007310435797E-4</v>
      </c>
      <c r="P667" s="30">
        <f t="shared" si="95"/>
        <v>0.5714285714285714</v>
      </c>
      <c r="Q667" s="30">
        <f t="shared" si="96"/>
        <v>4.2680000000000002E-4</v>
      </c>
      <c r="R667" s="30">
        <f t="shared" si="76"/>
        <v>0.22364336476537441</v>
      </c>
      <c r="S667" s="30">
        <f t="shared" si="77"/>
        <v>0.20438221373294985</v>
      </c>
      <c r="T667" s="30">
        <f>VLOOKUP($A667,'Childhood mortality'!$A$12:$G$27,4)</f>
        <v>1.1905007310435797E-4</v>
      </c>
      <c r="U667" s="30">
        <f t="shared" si="97"/>
        <v>0.99082798304806263</v>
      </c>
      <c r="V667" s="30">
        <f t="shared" si="98"/>
        <v>4.2680000000000002E-4</v>
      </c>
      <c r="W667" s="30">
        <f t="shared" si="78"/>
        <v>4.5071721941902995E-3</v>
      </c>
      <c r="X667" s="30">
        <f t="shared" si="79"/>
        <v>4.1189946846428094E-3</v>
      </c>
      <c r="Y667" s="30">
        <f>VLOOKUP($A667,'Childhood mortality'!$A$12:$G$27,4)</f>
        <v>1.1905007310435797E-4</v>
      </c>
      <c r="Z667" s="30">
        <f t="shared" si="99"/>
        <v>0.99988094992689569</v>
      </c>
      <c r="AB667" s="284">
        <f t="shared" si="156"/>
        <v>0.12052169749093503</v>
      </c>
      <c r="AC667" s="31">
        <f t="shared" si="157"/>
        <v>0.13187976322306505</v>
      </c>
      <c r="AD667" s="31">
        <f t="shared" si="158"/>
        <v>6.8949761373574864E-2</v>
      </c>
      <c r="AE667" s="31">
        <f t="shared" si="159"/>
        <v>9.7833671500406425E-3</v>
      </c>
      <c r="AF667" s="31">
        <f t="shared" si="160"/>
        <v>0.21862658568643037</v>
      </c>
      <c r="AG667" s="31">
        <f t="shared" si="161"/>
        <v>1.2046933851465995E-3</v>
      </c>
      <c r="AH667" s="286">
        <f t="shared" si="162"/>
        <v>3.0055185310299787E-2</v>
      </c>
      <c r="AI667" s="31"/>
      <c r="AJ667" s="284">
        <f t="shared" si="163"/>
        <v>18.118442052356961</v>
      </c>
      <c r="AK667" s="31">
        <f t="shared" si="164"/>
        <v>19.82593920912359</v>
      </c>
      <c r="AL667" s="31">
        <f t="shared" si="165"/>
        <v>10.42468954220471</v>
      </c>
      <c r="AM667" s="31">
        <f t="shared" si="166"/>
        <v>1.4839674237697424</v>
      </c>
      <c r="AN667" s="31">
        <f t="shared" si="167"/>
        <v>3.2427922225945269</v>
      </c>
      <c r="AO667" s="31">
        <f t="shared" si="168"/>
        <v>0.11628798489109041</v>
      </c>
      <c r="AP667" s="286">
        <f t="shared" si="169"/>
        <v>3.7149920572368309</v>
      </c>
      <c r="AR667" s="30">
        <v>6</v>
      </c>
      <c r="AS667" s="30">
        <f>VLOOKUP($A667,'Childhood mortality'!$A$12:$G$27,3)</f>
        <v>7.486272436282332E-5</v>
      </c>
      <c r="AT667" s="30">
        <f t="shared" si="100"/>
        <v>0.27</v>
      </c>
      <c r="AU667" s="30">
        <f t="shared" si="101"/>
        <v>4.2680000000000002E-4</v>
      </c>
      <c r="AV667" s="30">
        <f t="shared" si="102"/>
        <v>0.72949833727563718</v>
      </c>
      <c r="AW667" s="30">
        <f>VLOOKUP($A667,'Childhood mortality'!$A$12:$G$27,3)</f>
        <v>7.486272436282332E-5</v>
      </c>
      <c r="AX667" s="30">
        <f t="shared" si="103"/>
        <v>0.27</v>
      </c>
      <c r="AY667" s="30">
        <f t="shared" si="104"/>
        <v>4.2680000000000002E-4</v>
      </c>
      <c r="AZ667" s="30">
        <f t="shared" si="105"/>
        <v>0.72949833727563718</v>
      </c>
      <c r="BA667" s="30">
        <f>VLOOKUP($A667,'Childhood mortality'!$A$12:$G$27,3)</f>
        <v>7.486272436282332E-5</v>
      </c>
      <c r="BB667" s="30">
        <f t="shared" si="106"/>
        <v>0.14000000000000001</v>
      </c>
      <c r="BC667" s="30">
        <f t="shared" si="107"/>
        <v>4.2680000000000002E-4</v>
      </c>
      <c r="BD667" s="30">
        <f t="shared" si="108"/>
        <v>0.44908788122652038</v>
      </c>
      <c r="BE667" s="30">
        <f t="shared" si="109"/>
        <v>0.41041045604911675</v>
      </c>
      <c r="BF667" s="30">
        <f>VLOOKUP($A667,'Childhood mortality'!$A$12:$G$27,3)</f>
        <v>7.486272436282332E-5</v>
      </c>
      <c r="BG667" s="30">
        <f t="shared" si="110"/>
        <v>0.5714285714285714</v>
      </c>
      <c r="BH667" s="30">
        <f t="shared" si="111"/>
        <v>4.2680000000000002E-4</v>
      </c>
      <c r="BI667" s="30">
        <f t="shared" si="112"/>
        <v>0.22366645265509189</v>
      </c>
      <c r="BJ667" s="30">
        <f t="shared" si="113"/>
        <v>0.20440331319197394</v>
      </c>
      <c r="BK667" s="30">
        <f>VLOOKUP($A667,'Childhood mortality'!$A$12:$G$27,3)</f>
        <v>7.486272436282332E-5</v>
      </c>
      <c r="BL667" s="30">
        <f t="shared" si="114"/>
        <v>0.99087217039680409</v>
      </c>
      <c r="BM667" s="30">
        <f t="shared" si="115"/>
        <v>4.2680000000000002E-4</v>
      </c>
      <c r="BN667" s="30">
        <f t="shared" si="80"/>
        <v>4.5071721941902995E-3</v>
      </c>
      <c r="BO667" s="30">
        <f t="shared" si="81"/>
        <v>4.1189946846428094E-3</v>
      </c>
      <c r="BP667" s="30">
        <f>VLOOKUP($A667,'Childhood mortality'!$A$12:$G$27,3)</f>
        <v>7.486272436282332E-5</v>
      </c>
      <c r="BQ667" s="30">
        <f t="shared" si="116"/>
        <v>0.99992513727563714</v>
      </c>
      <c r="BS667" s="284">
        <f t="shared" si="170"/>
        <v>1.8962608928527946</v>
      </c>
      <c r="BT667" s="31">
        <f t="shared" si="171"/>
        <v>2.0749661078860422</v>
      </c>
      <c r="BU667" s="31">
        <f t="shared" si="172"/>
        <v>1.0848331308738275</v>
      </c>
      <c r="BV667" s="31">
        <f t="shared" si="173"/>
        <v>0.15392517125973521</v>
      </c>
      <c r="BW667" s="31">
        <f t="shared" si="174"/>
        <v>3.4179080989226898</v>
      </c>
      <c r="BX667" s="31">
        <f t="shared" si="175"/>
        <v>1.8836772418973469E-2</v>
      </c>
      <c r="BY667" s="286">
        <f t="shared" si="176"/>
        <v>5.8339180001601564E-2</v>
      </c>
      <c r="BZ667" s="31"/>
      <c r="CA667" s="284">
        <f t="shared" si="177"/>
        <v>133.14711881868863</v>
      </c>
      <c r="CB667" s="31">
        <f t="shared" si="178"/>
        <v>145.69501483301531</v>
      </c>
      <c r="CC667" s="31">
        <f t="shared" si="179"/>
        <v>76.604447744359049</v>
      </c>
      <c r="CD667" s="31">
        <f t="shared" si="180"/>
        <v>10.904266785103284</v>
      </c>
      <c r="CE667" s="31">
        <f t="shared" si="181"/>
        <v>23.808035164221895</v>
      </c>
      <c r="CF667" s="31">
        <f t="shared" si="182"/>
        <v>0.85133520677479924</v>
      </c>
      <c r="CG667" s="286">
        <f t="shared" si="183"/>
        <v>52.77658054782453</v>
      </c>
      <c r="CI667" s="30">
        <v>6</v>
      </c>
      <c r="CJ667" s="30">
        <f>VLOOKUP($A667,'Childhood mortality'!$A$31:$G$46,4)</f>
        <v>1.1645871427878295E-4</v>
      </c>
      <c r="CK667" s="30">
        <f t="shared" si="117"/>
        <v>0.27</v>
      </c>
      <c r="CL667" s="30">
        <f t="shared" si="118"/>
        <v>4.2680000000000002E-4</v>
      </c>
      <c r="CM667" s="30">
        <f t="shared" si="119"/>
        <v>0.72945674128572124</v>
      </c>
      <c r="CN667" s="30">
        <f>VLOOKUP($A667,'Childhood mortality'!$A$31:$G$46,4)</f>
        <v>1.1645871427878295E-4</v>
      </c>
      <c r="CO667" s="30">
        <f t="shared" si="120"/>
        <v>0.27</v>
      </c>
      <c r="CP667" s="30">
        <f t="shared" si="121"/>
        <v>4.2680000000000002E-4</v>
      </c>
      <c r="CQ667" s="30">
        <f t="shared" si="122"/>
        <v>0.72945674128572124</v>
      </c>
      <c r="CR667" s="30">
        <f>VLOOKUP($A667,'Childhood mortality'!$A$31:$G$46,4)</f>
        <v>1.1645871427878295E-4</v>
      </c>
      <c r="CS667" s="30">
        <f t="shared" si="123"/>
        <v>0.14000000000000001</v>
      </c>
      <c r="CT667" s="30">
        <f t="shared" si="124"/>
        <v>4.2680000000000002E-4</v>
      </c>
      <c r="CU667" s="30">
        <f t="shared" si="125"/>
        <v>0.44906614732178934</v>
      </c>
      <c r="CV667" s="30">
        <f t="shared" si="126"/>
        <v>0.4103905939639319</v>
      </c>
      <c r="CW667" s="30">
        <f>VLOOKUP($A667,'Childhood mortality'!$A$31:$G$46,4)</f>
        <v>1.1645871427878295E-4</v>
      </c>
      <c r="CX667" s="30">
        <f t="shared" si="127"/>
        <v>0.5714285714285714</v>
      </c>
      <c r="CY667" s="30">
        <f t="shared" si="128"/>
        <v>4.2680000000000002E-4</v>
      </c>
      <c r="CZ667" s="30">
        <f t="shared" si="129"/>
        <v>0.22364471875036079</v>
      </c>
      <c r="DA667" s="30">
        <f t="shared" si="130"/>
        <v>0.20438345110678904</v>
      </c>
      <c r="DB667" s="30">
        <f>VLOOKUP($A667,'Childhood mortality'!$A$31:$G$46,4)</f>
        <v>1.1645871427878295E-4</v>
      </c>
      <c r="DC667" s="30">
        <f t="shared" si="131"/>
        <v>0.99083057440688815</v>
      </c>
      <c r="DD667" s="30">
        <f t="shared" si="132"/>
        <v>4.2680000000000002E-4</v>
      </c>
      <c r="DE667" s="30">
        <f t="shared" si="82"/>
        <v>4.5071721941902995E-3</v>
      </c>
      <c r="DF667" s="30">
        <f t="shared" si="83"/>
        <v>4.1189946846428094E-3</v>
      </c>
      <c r="DG667" s="30">
        <f>VLOOKUP($A667,'Childhood mortality'!$A$31:$G$46,4)</f>
        <v>1.1645871427878295E-4</v>
      </c>
      <c r="DH667" s="30">
        <f t="shared" si="133"/>
        <v>0.99988354128572121</v>
      </c>
      <c r="DJ667" s="284">
        <f t="shared" si="184"/>
        <v>0.11610231426966754</v>
      </c>
      <c r="DK667" s="31">
        <f t="shared" si="185"/>
        <v>0.12704389362492419</v>
      </c>
      <c r="DL667" s="31">
        <f t="shared" si="186"/>
        <v>6.6422313020461365E-2</v>
      </c>
      <c r="DM667" s="31">
        <f t="shared" si="187"/>
        <v>9.4247759568044237E-3</v>
      </c>
      <c r="DN667" s="31">
        <f t="shared" si="188"/>
        <v>0.21010739008776155</v>
      </c>
      <c r="DO667" s="31">
        <f t="shared" si="189"/>
        <v>1.1591587457324757E-3</v>
      </c>
      <c r="DP667" s="286">
        <f t="shared" si="190"/>
        <v>2.7976068556513752E-2</v>
      </c>
      <c r="DQ667" s="31"/>
      <c r="DR667" s="284">
        <f t="shared" si="191"/>
        <v>17.437839904579537</v>
      </c>
      <c r="DS667" s="31">
        <f t="shared" si="192"/>
        <v>19.081196544801688</v>
      </c>
      <c r="DT667" s="31">
        <f t="shared" si="193"/>
        <v>10.033074750442276</v>
      </c>
      <c r="DU667" s="31">
        <f t="shared" si="194"/>
        <v>1.4282134000658608</v>
      </c>
      <c r="DV667" s="31">
        <f t="shared" si="195"/>
        <v>3.1201198243534964</v>
      </c>
      <c r="DW667" s="31">
        <f t="shared" si="196"/>
        <v>0.11189255328481854</v>
      </c>
      <c r="DX667" s="286">
        <f t="shared" si="197"/>
        <v>3.4823378090741977</v>
      </c>
      <c r="DZ667" s="30">
        <v>6</v>
      </c>
      <c r="EA667" s="30">
        <f>VLOOKUP($A667,'Childhood mortality'!$A$31:$G$46,3)</f>
        <v>7.3233190029701686E-5</v>
      </c>
      <c r="EB667" s="30">
        <f t="shared" si="134"/>
        <v>0.27</v>
      </c>
      <c r="EC667" s="30">
        <f t="shared" si="135"/>
        <v>4.2680000000000002E-4</v>
      </c>
      <c r="ED667" s="30">
        <f t="shared" si="136"/>
        <v>0.72949996680997031</v>
      </c>
      <c r="EE667" s="30">
        <f>VLOOKUP($A667,'Childhood mortality'!$A$31:$G$46,3)</f>
        <v>7.3233190029701686E-5</v>
      </c>
      <c r="EF667" s="30">
        <f t="shared" si="137"/>
        <v>0.27</v>
      </c>
      <c r="EG667" s="30">
        <f t="shared" si="138"/>
        <v>4.2680000000000002E-4</v>
      </c>
      <c r="EH667" s="30">
        <f t="shared" si="139"/>
        <v>0.72949996680997031</v>
      </c>
      <c r="EI667" s="30">
        <f>VLOOKUP($A667,'Childhood mortality'!$A$31:$G$46,3)</f>
        <v>7.3233190029701686E-5</v>
      </c>
      <c r="EJ667" s="30">
        <f t="shared" si="140"/>
        <v>0.14000000000000001</v>
      </c>
      <c r="EK667" s="30">
        <f t="shared" si="141"/>
        <v>4.2680000000000002E-4</v>
      </c>
      <c r="EL667" s="30">
        <f t="shared" si="142"/>
        <v>0.44908873265820948</v>
      </c>
      <c r="EM667" s="30">
        <f t="shared" si="143"/>
        <v>0.41041123415176078</v>
      </c>
      <c r="EN667" s="30">
        <f>VLOOKUP($A667,'Childhood mortality'!$A$31:$G$46,3)</f>
        <v>7.3233190029701686E-5</v>
      </c>
      <c r="EO667" s="30">
        <f t="shared" si="144"/>
        <v>0.5714285714285714</v>
      </c>
      <c r="EP667" s="30">
        <f t="shared" si="145"/>
        <v>4.2680000000000002E-4</v>
      </c>
      <c r="EQ667" s="30">
        <f t="shared" si="146"/>
        <v>0.22366730408678093</v>
      </c>
      <c r="ER667" s="30">
        <f t="shared" si="147"/>
        <v>0.20440409129461798</v>
      </c>
      <c r="ES667" s="30">
        <f>VLOOKUP($A667,'Childhood mortality'!$A$31:$G$46,3)</f>
        <v>7.3233190029701686E-5</v>
      </c>
      <c r="ET667" s="30">
        <f t="shared" si="148"/>
        <v>0.99087379993113722</v>
      </c>
      <c r="EU667" s="30">
        <f t="shared" si="149"/>
        <v>4.2680000000000002E-4</v>
      </c>
      <c r="EV667" s="30">
        <f t="shared" si="84"/>
        <v>4.5071721941902995E-3</v>
      </c>
      <c r="EW667" s="30">
        <f t="shared" si="85"/>
        <v>4.1189946846428094E-3</v>
      </c>
      <c r="EX667" s="30">
        <f>VLOOKUP($A667,'Childhood mortality'!$A$31:$G$46,3)</f>
        <v>7.3233190029701686E-5</v>
      </c>
      <c r="EY667" s="30">
        <f t="shared" si="150"/>
        <v>0.99992676680997028</v>
      </c>
      <c r="FA667" s="284">
        <f t="shared" si="198"/>
        <v>1.8243276265761645</v>
      </c>
      <c r="FB667" s="31">
        <f t="shared" si="199"/>
        <v>1.9962537903372692</v>
      </c>
      <c r="FC667" s="31">
        <f t="shared" si="200"/>
        <v>1.0436871748522134</v>
      </c>
      <c r="FD667" s="31">
        <f t="shared" si="201"/>
        <v>0.14808721096278474</v>
      </c>
      <c r="FE667" s="31">
        <f t="shared" si="202"/>
        <v>3.2843048132035584</v>
      </c>
      <c r="FF667" s="31">
        <f t="shared" si="203"/>
        <v>1.8111549994522497E-2</v>
      </c>
      <c r="FG667" s="286">
        <f t="shared" si="204"/>
        <v>0.73099191981161993</v>
      </c>
      <c r="FH667" s="31"/>
      <c r="FI667" s="284">
        <f t="shared" si="205"/>
        <v>128.03661466588238</v>
      </c>
      <c r="FJ667" s="31">
        <f t="shared" si="206"/>
        <v>140.10289248779793</v>
      </c>
      <c r="FK667" s="31">
        <f t="shared" si="207"/>
        <v>73.664085581310161</v>
      </c>
      <c r="FL667" s="31">
        <f t="shared" si="208"/>
        <v>10.485688834268707</v>
      </c>
      <c r="FM667" s="31">
        <f t="shared" si="209"/>
        <v>22.891042371020788</v>
      </c>
      <c r="FN667" s="31">
        <f t="shared" si="210"/>
        <v>0.81855844717451254</v>
      </c>
      <c r="FO667" s="286">
        <f t="shared" si="211"/>
        <v>49.702442825943713</v>
      </c>
      <c r="FQ667" s="30">
        <f t="shared" si="151"/>
        <v>1000.0000000000002</v>
      </c>
      <c r="FR667" s="30" t="str">
        <f t="shared" si="86"/>
        <v>OKAY</v>
      </c>
      <c r="FT667" s="284">
        <f>($AB667-(VLOOKUP($A667,'Childhood asthma'!$A$36:$AG$50,7)*$AB667))+(SUM($AC667:$AG667)-(VLOOKUP($A667,'Childhood asthma'!$A$36:$AG$50,6)*SUM($AC667:$AG667)))+($AJ667-(VLOOKUP($A667,'Childhood asthma'!$A$36:$AG$50,9)*$AJ667))+(SUM($AK667:$AO667)-(VLOOKUP($A667,'Childhood asthma'!$A$36:$AG$50,8)*SUM($AK667:$AO667)))+($BS667-(VLOOKUP($A667,'Childhood asthma'!$A$36:$AG$50,3)*$BS667))+(SUM($BT667:$BX667)-(VLOOKUP($A667,'Childhood asthma'!$A$36:$AG$50,2)*SUM($BT667:$BX667)))+($CA667-(VLOOKUP($A667,'Childhood asthma'!$A$36:$AG$50,5)*$CA667))+(SUM($CB667:$CF667)-(VLOOKUP($A667,'Childhood asthma'!$A$36:$AG$50,4)*SUM($CB667:$CF667)))+($DJ667-(VLOOKUP($A667,'Childhood asthma'!$A$36:$AG$50,23)*$DJ667))+(SUM($DK667:$DO667)-(VLOOKUP($A667,'Childhood asthma'!$A$36:$AG$50,22)*SUM($DK667:$DO667)))+($DR667-(VLOOKUP($A667,'Childhood asthma'!$A$36:$AG$50,25)*$DR667))+(SUM($DS667:$DW667)-(VLOOKUP($A667,'Childhood asthma'!$A$36:$AG$50,24)*SUM($DS667:$DW667)))+($FA667-(VLOOKUP($A667,'Childhood asthma'!$A$36:$AG$50,19)*$FA667))+(SUM($FB667:$FF667)-(VLOOKUP($A667,'Childhood asthma'!$A$36:$AG$50,18)*SUM($FB667:$FF667)))+($FI667-(VLOOKUP($A667,'Childhood asthma'!$A$36:$AG$50,21)*$FI667))+(SUM($FJ667:$FN667)-(VLOOKUP($A667,'Childhood asthma'!$A$36:$AG$50,20)*SUM($FJ667:$FN667)))</f>
        <v>785.33931438057652</v>
      </c>
      <c r="FU667" s="31">
        <f>(VLOOKUP($A667,'Childhood asthma'!$A$36:$AG$50,7)*$AB667)+(VLOOKUP($A667,'Childhood asthma'!$A$36:$AG$50,6)*SUM($AC667:$AG667))+(VLOOKUP($A667,'Childhood asthma'!$A$36:$AG$50,9)*$AJ667)+(VLOOKUP($A667,'Childhood asthma'!$A$36:$AG$50,8)*SUM($AK667:$AO667))+(VLOOKUP($A667,'Childhood asthma'!$A$36:$AG$50,3)*$BS667)+(VLOOKUP($A667,'Childhood asthma'!$A$36:$AG$50,2)*SUM($BT667:$BX667))+(VLOOKUP($A667,'Childhood asthma'!$A$36:$AG$50,5)*$CA667)+(VLOOKUP($A667,'Childhood asthma'!$A$36:$AG$50,4)*SUM($CB667:$CF667))+(VLOOKUP($A667,'Childhood asthma'!$A$36:$AG$50,23)*$DJ667)+(VLOOKUP($A667,'Childhood asthma'!$A$36:$AG$50,22)*SUM($DK667:$DO667))+(VLOOKUP($A667,'Childhood asthma'!$A$36:$AG$50,25)*$DR667)+(VLOOKUP($A667,'Childhood asthma'!$A$36:$AG$50,24)*SUM($DS667:$DW667))+(VLOOKUP($A667,'Childhood asthma'!$A$36:$AG$50,19)*$FA667)+(VLOOKUP($A667,'Childhood asthma'!$A$36:$AG$50,18)*SUM($FB667:$FF667))+(VLOOKUP($A667,'Childhood asthma'!$A$36:$AG$50,21)*$FI667)+(VLOOKUP($A667,'Childhood asthma'!$A$36:$AG$50,20)*SUM($FJ667:$FN667))</f>
        <v>104.13697002566437</v>
      </c>
      <c r="FV667" s="31">
        <f t="shared" si="212"/>
        <v>889.47628440624089</v>
      </c>
      <c r="FW667" s="286">
        <f t="shared" si="213"/>
        <v>110.52371559375931</v>
      </c>
      <c r="FY667" s="265">
        <v>6</v>
      </c>
      <c r="FZ667" s="30">
        <f t="shared" si="214"/>
        <v>723.58953046094291</v>
      </c>
      <c r="GA667" s="281">
        <f t="shared" si="215"/>
        <v>4741.1256597152569</v>
      </c>
      <c r="GC667" s="265">
        <v>6</v>
      </c>
      <c r="GD667" s="30">
        <f t="shared" si="152"/>
        <v>715.11798123972937</v>
      </c>
      <c r="GE667" s="281">
        <f t="shared" si="216"/>
        <v>4712.801764827469</v>
      </c>
      <c r="GG667" s="265">
        <v>6</v>
      </c>
      <c r="GH667" s="303">
        <f t="shared" si="217"/>
        <v>137671.68477609337</v>
      </c>
      <c r="GI667" s="304">
        <f t="shared" si="218"/>
        <v>3737182.2264323249</v>
      </c>
      <c r="GK667" s="265">
        <v>6</v>
      </c>
      <c r="GL667" s="287">
        <f t="shared" si="153"/>
        <v>0.88947628440624094</v>
      </c>
      <c r="GM667" s="287">
        <f t="shared" si="154"/>
        <v>0.1105237155937593</v>
      </c>
      <c r="GN667" s="288">
        <f t="shared" si="155"/>
        <v>0.10413697002566437</v>
      </c>
      <c r="GP667" s="265">
        <v>6</v>
      </c>
      <c r="GQ667" s="303">
        <f t="shared" si="219"/>
        <v>137671.68477609337</v>
      </c>
      <c r="GR667" s="304">
        <f t="shared" si="220"/>
        <v>6837314.1622884162</v>
      </c>
      <c r="GT667" s="265">
        <v>6</v>
      </c>
      <c r="GU667" s="303">
        <f t="shared" si="221"/>
        <v>137671.68477609337</v>
      </c>
      <c r="GV667" s="304">
        <f t="shared" si="222"/>
        <v>3737182.2264323249</v>
      </c>
      <c r="GX667" s="265">
        <v>6</v>
      </c>
      <c r="GY667" s="303">
        <f t="shared" si="223"/>
        <v>137671.68477609337</v>
      </c>
      <c r="GZ667" s="304">
        <f t="shared" si="224"/>
        <v>6837314.1622884162</v>
      </c>
    </row>
    <row r="668" spans="1:208" s="30" customFormat="1" x14ac:dyDescent="0.25">
      <c r="A668" s="379">
        <v>7</v>
      </c>
      <c r="B668" s="30">
        <f>VLOOKUP($A668,'Childhood mortality'!$A$12:$G$27,4)</f>
        <v>1.1066626513926233E-4</v>
      </c>
      <c r="C668" s="30">
        <f t="shared" si="87"/>
        <v>0.27</v>
      </c>
      <c r="D668" s="30">
        <f t="shared" si="88"/>
        <v>4.593E-4</v>
      </c>
      <c r="E668" s="30">
        <f t="shared" si="89"/>
        <v>0.72943003373486071</v>
      </c>
      <c r="F668" s="30">
        <f>VLOOKUP($A668,'Childhood mortality'!$A$12:$G$27,4)</f>
        <v>1.1066626513926233E-4</v>
      </c>
      <c r="G668" s="30">
        <f t="shared" si="90"/>
        <v>0.27</v>
      </c>
      <c r="H668" s="30">
        <f t="shared" si="91"/>
        <v>4.593E-4</v>
      </c>
      <c r="I668" s="30">
        <f t="shared" si="92"/>
        <v>0.72943003373486071</v>
      </c>
      <c r="J668" s="30">
        <f>VLOOKUP($A668,'Childhood mortality'!$A$12:$G$27,4)</f>
        <v>1.1066626513926233E-4</v>
      </c>
      <c r="K668" s="30">
        <f t="shared" si="93"/>
        <v>0.14000000000000001</v>
      </c>
      <c r="L668" s="30">
        <f t="shared" si="94"/>
        <v>4.593E-4</v>
      </c>
      <c r="M668" s="30">
        <f t="shared" si="74"/>
        <v>0.44905219262646467</v>
      </c>
      <c r="N668" s="30">
        <f t="shared" si="75"/>
        <v>0.41037784110839598</v>
      </c>
      <c r="O668" s="30">
        <f>VLOOKUP($A668,'Childhood mortality'!$A$12:$G$27,4)</f>
        <v>1.1066626513926233E-4</v>
      </c>
      <c r="P668" s="30">
        <f t="shared" si="95"/>
        <v>0.5714285714285714</v>
      </c>
      <c r="Q668" s="30">
        <f t="shared" si="96"/>
        <v>4.593E-4</v>
      </c>
      <c r="R668" s="30">
        <f t="shared" si="76"/>
        <v>0.22363076405503612</v>
      </c>
      <c r="S668" s="30">
        <f t="shared" si="77"/>
        <v>0.20437069825125312</v>
      </c>
      <c r="T668" s="30">
        <f>VLOOKUP($A668,'Childhood mortality'!$A$12:$G$27,4)</f>
        <v>1.1066626513926233E-4</v>
      </c>
      <c r="U668" s="30">
        <f t="shared" si="97"/>
        <v>0.99080386685602762</v>
      </c>
      <c r="V668" s="30">
        <f t="shared" si="98"/>
        <v>4.593E-4</v>
      </c>
      <c r="W668" s="30">
        <f t="shared" si="78"/>
        <v>4.5071721941902995E-3</v>
      </c>
      <c r="X668" s="30">
        <f t="shared" si="79"/>
        <v>4.1189946846428094E-3</v>
      </c>
      <c r="Y668" s="30">
        <f>VLOOKUP($A668,'Childhood mortality'!$A$12:$G$27,4)</f>
        <v>1.1066626513926233E-4</v>
      </c>
      <c r="Z668" s="30">
        <f t="shared" si="99"/>
        <v>0.99988933373486077</v>
      </c>
      <c r="AB668" s="284">
        <f t="shared" si="156"/>
        <v>0.11910755540408834</v>
      </c>
      <c r="AC668" s="31">
        <f t="shared" si="157"/>
        <v>0.13033235120133227</v>
      </c>
      <c r="AD668" s="31">
        <f t="shared" si="158"/>
        <v>6.8148394392780032E-2</v>
      </c>
      <c r="AE668" s="31">
        <f t="shared" si="159"/>
        <v>9.6529665923004819E-3</v>
      </c>
      <c r="AF668" s="31">
        <f t="shared" si="160"/>
        <v>0.22220656200995481</v>
      </c>
      <c r="AG668" s="31">
        <f t="shared" si="161"/>
        <v>1.4570653738716416E-3</v>
      </c>
      <c r="AH668" s="286">
        <f t="shared" si="162"/>
        <v>3.0116158645164773E-2</v>
      </c>
      <c r="AI668" s="31"/>
      <c r="AJ668" s="284">
        <f t="shared" si="163"/>
        <v>17.810833888535303</v>
      </c>
      <c r="AK668" s="31">
        <f t="shared" si="164"/>
        <v>19.489341794261147</v>
      </c>
      <c r="AL668" s="31">
        <f t="shared" si="165"/>
        <v>10.244982940599749</v>
      </c>
      <c r="AM668" s="31">
        <f t="shared" si="166"/>
        <v>1.4594565359086595</v>
      </c>
      <c r="AN668" s="31">
        <f t="shared" si="167"/>
        <v>4.0609524585685914</v>
      </c>
      <c r="AO668" s="31">
        <f t="shared" si="168"/>
        <v>0.14066203065982971</v>
      </c>
      <c r="AP668" s="286">
        <f t="shared" si="169"/>
        <v>3.7208808436441738</v>
      </c>
      <c r="AR668" s="30">
        <v>7</v>
      </c>
      <c r="AS668" s="30">
        <f>VLOOKUP($A668,'Childhood mortality'!$A$12:$G$27,3)</f>
        <v>6.9590701520370971E-5</v>
      </c>
      <c r="AT668" s="30">
        <f t="shared" si="100"/>
        <v>0.27</v>
      </c>
      <c r="AU668" s="30">
        <f t="shared" si="101"/>
        <v>4.593E-4</v>
      </c>
      <c r="AV668" s="30">
        <f t="shared" si="102"/>
        <v>0.72947110929847958</v>
      </c>
      <c r="AW668" s="30">
        <f>VLOOKUP($A668,'Childhood mortality'!$A$12:$G$27,3)</f>
        <v>6.9590701520370971E-5</v>
      </c>
      <c r="AX668" s="30">
        <f t="shared" si="103"/>
        <v>0.27</v>
      </c>
      <c r="AY668" s="30">
        <f t="shared" si="104"/>
        <v>4.593E-4</v>
      </c>
      <c r="AZ668" s="30">
        <f t="shared" si="105"/>
        <v>0.72947110929847958</v>
      </c>
      <c r="BA668" s="30">
        <f>VLOOKUP($A668,'Childhood mortality'!$A$12:$G$27,3)</f>
        <v>6.9590701520370971E-5</v>
      </c>
      <c r="BB668" s="30">
        <f t="shared" si="106"/>
        <v>0.14000000000000001</v>
      </c>
      <c r="BC668" s="30">
        <f t="shared" si="107"/>
        <v>4.593E-4</v>
      </c>
      <c r="BD668" s="30">
        <f t="shared" si="108"/>
        <v>0.44907365460845555</v>
      </c>
      <c r="BE668" s="30">
        <f t="shared" si="109"/>
        <v>0.41039745469002398</v>
      </c>
      <c r="BF668" s="30">
        <f>VLOOKUP($A668,'Childhood mortality'!$A$12:$G$27,3)</f>
        <v>6.9590701520370971E-5</v>
      </c>
      <c r="BG668" s="30">
        <f t="shared" si="110"/>
        <v>0.5714285714285714</v>
      </c>
      <c r="BH668" s="30">
        <f t="shared" si="111"/>
        <v>4.593E-4</v>
      </c>
      <c r="BI668" s="30">
        <f t="shared" si="112"/>
        <v>0.22365222603702703</v>
      </c>
      <c r="BJ668" s="30">
        <f t="shared" si="113"/>
        <v>0.20439031183288114</v>
      </c>
      <c r="BK668" s="30">
        <f>VLOOKUP($A668,'Childhood mortality'!$A$12:$G$27,3)</f>
        <v>6.9590701520370971E-5</v>
      </c>
      <c r="BL668" s="30">
        <f t="shared" si="114"/>
        <v>0.99084494241964649</v>
      </c>
      <c r="BM668" s="30">
        <f t="shared" si="115"/>
        <v>4.593E-4</v>
      </c>
      <c r="BN668" s="30">
        <f t="shared" si="80"/>
        <v>4.5071721941902995E-3</v>
      </c>
      <c r="BO668" s="30">
        <f t="shared" si="81"/>
        <v>4.1189946846428094E-3</v>
      </c>
      <c r="BP668" s="30">
        <f>VLOOKUP($A668,'Childhood mortality'!$A$12:$G$27,3)</f>
        <v>6.9590701520370971E-5</v>
      </c>
      <c r="BQ668" s="30">
        <f t="shared" si="116"/>
        <v>0.99993040929847965</v>
      </c>
      <c r="BS668" s="284">
        <f t="shared" si="170"/>
        <v>1.8740194517474487</v>
      </c>
      <c r="BT668" s="31">
        <f t="shared" si="171"/>
        <v>2.0506286147393551</v>
      </c>
      <c r="BU668" s="31">
        <f t="shared" si="172"/>
        <v>1.0722312901994862</v>
      </c>
      <c r="BV668" s="31">
        <f t="shared" si="173"/>
        <v>0.15187663832233586</v>
      </c>
      <c r="BW668" s="31">
        <f t="shared" si="174"/>
        <v>3.4745741941925448</v>
      </c>
      <c r="BX668" s="31">
        <f t="shared" si="175"/>
        <v>2.2798252994210941E-2</v>
      </c>
      <c r="BY668" s="286">
        <f t="shared" si="176"/>
        <v>5.8940912020282482E-2</v>
      </c>
      <c r="BZ668" s="31"/>
      <c r="CA668" s="284">
        <f t="shared" si="177"/>
        <v>130.89203849559456</v>
      </c>
      <c r="CB668" s="31">
        <f t="shared" si="178"/>
        <v>143.22741385120034</v>
      </c>
      <c r="CC668" s="31">
        <f t="shared" si="179"/>
        <v>75.287376085960062</v>
      </c>
      <c r="CD668" s="31">
        <f t="shared" si="180"/>
        <v>10.724622684210267</v>
      </c>
      <c r="CE668" s="31">
        <f t="shared" si="181"/>
        <v>29.821080822905955</v>
      </c>
      <c r="CF668" s="31">
        <f t="shared" si="182"/>
        <v>1.0304759368810674</v>
      </c>
      <c r="CG668" s="286">
        <f t="shared" si="183"/>
        <v>52.803791223235208</v>
      </c>
      <c r="CI668" s="30">
        <v>7</v>
      </c>
      <c r="CJ668" s="30">
        <f>VLOOKUP($A668,'Childhood mortality'!$A$31:$G$46,4)</f>
        <v>1.0670301046485347E-4</v>
      </c>
      <c r="CK668" s="30">
        <f t="shared" si="117"/>
        <v>0.27</v>
      </c>
      <c r="CL668" s="30">
        <f t="shared" si="118"/>
        <v>4.593E-4</v>
      </c>
      <c r="CM668" s="30">
        <f t="shared" si="119"/>
        <v>0.72943399698953504</v>
      </c>
      <c r="CN668" s="30">
        <f>VLOOKUP($A668,'Childhood mortality'!$A$31:$G$46,4)</f>
        <v>1.0670301046485347E-4</v>
      </c>
      <c r="CO668" s="30">
        <f t="shared" si="120"/>
        <v>0.27</v>
      </c>
      <c r="CP668" s="30">
        <f t="shared" si="121"/>
        <v>4.593E-4</v>
      </c>
      <c r="CQ668" s="30">
        <f t="shared" si="122"/>
        <v>0.72943399698953504</v>
      </c>
      <c r="CR668" s="30">
        <f>VLOOKUP($A668,'Childhood mortality'!$A$31:$G$46,4)</f>
        <v>1.0670301046485347E-4</v>
      </c>
      <c r="CS668" s="30">
        <f t="shared" si="123"/>
        <v>0.14000000000000001</v>
      </c>
      <c r="CT668" s="30">
        <f t="shared" si="124"/>
        <v>4.593E-4</v>
      </c>
      <c r="CU668" s="30">
        <f t="shared" si="125"/>
        <v>0.44905426342703203</v>
      </c>
      <c r="CV668" s="30">
        <f t="shared" si="126"/>
        <v>0.41037973356250296</v>
      </c>
      <c r="CW668" s="30">
        <f>VLOOKUP($A668,'Childhood mortality'!$A$31:$G$46,4)</f>
        <v>1.0670301046485347E-4</v>
      </c>
      <c r="CX668" s="30">
        <f t="shared" si="127"/>
        <v>0.5714285714285714</v>
      </c>
      <c r="CY668" s="30">
        <f t="shared" si="128"/>
        <v>4.593E-4</v>
      </c>
      <c r="CZ668" s="30">
        <f t="shared" si="129"/>
        <v>0.22363283485560354</v>
      </c>
      <c r="DA668" s="30">
        <f t="shared" si="130"/>
        <v>0.20437259070536015</v>
      </c>
      <c r="DB668" s="30">
        <f>VLOOKUP($A668,'Childhood mortality'!$A$31:$G$46,4)</f>
        <v>1.0670301046485347E-4</v>
      </c>
      <c r="DC668" s="30">
        <f t="shared" si="131"/>
        <v>0.99080783011070195</v>
      </c>
      <c r="DD668" s="30">
        <f t="shared" si="132"/>
        <v>4.593E-4</v>
      </c>
      <c r="DE668" s="30">
        <f t="shared" si="82"/>
        <v>4.5071721941902995E-3</v>
      </c>
      <c r="DF668" s="30">
        <f t="shared" si="83"/>
        <v>4.1189946846428094E-3</v>
      </c>
      <c r="DG668" s="30">
        <f>VLOOKUP($A668,'Childhood mortality'!$A$31:$G$46,4)</f>
        <v>1.0670301046485347E-4</v>
      </c>
      <c r="DH668" s="30">
        <f t="shared" si="133"/>
        <v>0.99989329698953511</v>
      </c>
      <c r="DJ668" s="284">
        <f t="shared" si="184"/>
        <v>0.1147389433794862</v>
      </c>
      <c r="DK668" s="31">
        <f t="shared" si="185"/>
        <v>0.12555203751996138</v>
      </c>
      <c r="DL668" s="31">
        <f t="shared" si="186"/>
        <v>6.5649476131539763E-2</v>
      </c>
      <c r="DM668" s="31">
        <f t="shared" si="187"/>
        <v>9.2991238228645919E-3</v>
      </c>
      <c r="DN668" s="31">
        <f t="shared" si="188"/>
        <v>0.21356163352410895</v>
      </c>
      <c r="DO668" s="31">
        <f t="shared" si="189"/>
        <v>1.4020510055252522E-3</v>
      </c>
      <c r="DP668" s="286">
        <f t="shared" si="190"/>
        <v>2.8032648878379141E-2</v>
      </c>
      <c r="DQ668" s="31"/>
      <c r="DR668" s="284">
        <f t="shared" si="191"/>
        <v>17.141863232983777</v>
      </c>
      <c r="DS668" s="31">
        <f t="shared" si="192"/>
        <v>18.757326783736168</v>
      </c>
      <c r="DT668" s="31">
        <f t="shared" si="193"/>
        <v>9.8601398413329306</v>
      </c>
      <c r="DU668" s="31">
        <f t="shared" si="194"/>
        <v>1.4046304650619188</v>
      </c>
      <c r="DV668" s="31">
        <f t="shared" si="195"/>
        <v>3.9075610957478499</v>
      </c>
      <c r="DW668" s="31">
        <f t="shared" si="196"/>
        <v>0.13535104813658919</v>
      </c>
      <c r="DX668" s="286">
        <f t="shared" si="197"/>
        <v>3.4878023196026402</v>
      </c>
      <c r="DZ668" s="30">
        <v>7</v>
      </c>
      <c r="EA668" s="30">
        <f>VLOOKUP($A668,'Childhood mortality'!$A$31:$G$46,3)</f>
        <v>6.7098472540302583E-5</v>
      </c>
      <c r="EB668" s="30">
        <f t="shared" si="134"/>
        <v>0.27</v>
      </c>
      <c r="EC668" s="30">
        <f t="shared" si="135"/>
        <v>4.593E-4</v>
      </c>
      <c r="ED668" s="30">
        <f t="shared" si="136"/>
        <v>0.72947360152745966</v>
      </c>
      <c r="EE668" s="30">
        <f>VLOOKUP($A668,'Childhood mortality'!$A$31:$G$46,3)</f>
        <v>6.7098472540302583E-5</v>
      </c>
      <c r="EF668" s="30">
        <f t="shared" si="137"/>
        <v>0.27</v>
      </c>
      <c r="EG668" s="30">
        <f t="shared" si="138"/>
        <v>4.593E-4</v>
      </c>
      <c r="EH668" s="30">
        <f t="shared" si="139"/>
        <v>0.72947360152745966</v>
      </c>
      <c r="EI668" s="30">
        <f>VLOOKUP($A668,'Childhood mortality'!$A$31:$G$46,3)</f>
        <v>6.7098472540302583E-5</v>
      </c>
      <c r="EJ668" s="30">
        <f t="shared" si="140"/>
        <v>0.14000000000000001</v>
      </c>
      <c r="EK668" s="30">
        <f t="shared" si="141"/>
        <v>4.593E-4</v>
      </c>
      <c r="EL668" s="30">
        <f t="shared" si="142"/>
        <v>0.44907495679809767</v>
      </c>
      <c r="EM668" s="30">
        <f t="shared" si="143"/>
        <v>0.41039864472936199</v>
      </c>
      <c r="EN668" s="30">
        <f>VLOOKUP($A668,'Childhood mortality'!$A$31:$G$46,3)</f>
        <v>6.7098472540302583E-5</v>
      </c>
      <c r="EO668" s="30">
        <f t="shared" si="144"/>
        <v>0.5714285714285714</v>
      </c>
      <c r="EP668" s="30">
        <f t="shared" si="145"/>
        <v>4.593E-4</v>
      </c>
      <c r="EQ668" s="30">
        <f t="shared" si="146"/>
        <v>0.22365352822666909</v>
      </c>
      <c r="ER668" s="30">
        <f t="shared" si="147"/>
        <v>0.20439150187221911</v>
      </c>
      <c r="ES668" s="30">
        <f>VLOOKUP($A668,'Childhood mortality'!$A$31:$G$46,3)</f>
        <v>6.7098472540302583E-5</v>
      </c>
      <c r="ET668" s="30">
        <f t="shared" si="148"/>
        <v>0.99084743464862657</v>
      </c>
      <c r="EU668" s="30">
        <f t="shared" si="149"/>
        <v>4.593E-4</v>
      </c>
      <c r="EV668" s="30">
        <f t="shared" si="84"/>
        <v>4.5071721941902995E-3</v>
      </c>
      <c r="EW668" s="30">
        <f t="shared" si="85"/>
        <v>4.1189946846428094E-3</v>
      </c>
      <c r="EX668" s="30">
        <f>VLOOKUP($A668,'Childhood mortality'!$A$31:$G$46,3)</f>
        <v>6.7098472540302583E-5</v>
      </c>
      <c r="EY668" s="30">
        <f t="shared" si="150"/>
        <v>0.99993290152745973</v>
      </c>
      <c r="FA668" s="284">
        <f t="shared" si="198"/>
        <v>1.8029224477304064</v>
      </c>
      <c r="FB668" s="31">
        <f t="shared" si="199"/>
        <v>1.9728313695060467</v>
      </c>
      <c r="FC668" s="31">
        <f t="shared" si="200"/>
        <v>1.0315569825666273</v>
      </c>
      <c r="FD668" s="31">
        <f t="shared" si="201"/>
        <v>0.1461162044793099</v>
      </c>
      <c r="FE668" s="31">
        <f t="shared" si="202"/>
        <v>3.338866262174188</v>
      </c>
      <c r="FF668" s="31">
        <f t="shared" si="203"/>
        <v>2.1920990958080092E-2</v>
      </c>
      <c r="FG668" s="286">
        <f t="shared" si="204"/>
        <v>0.73154982832347437</v>
      </c>
      <c r="FH668" s="31"/>
      <c r="FI668" s="284">
        <f t="shared" si="205"/>
        <v>125.86844508635532</v>
      </c>
      <c r="FJ668" s="31">
        <f t="shared" si="206"/>
        <v>137.73039279082852</v>
      </c>
      <c r="FK668" s="31">
        <f t="shared" si="207"/>
        <v>72.397666931493688</v>
      </c>
      <c r="FL668" s="31">
        <f t="shared" si="208"/>
        <v>10.312971981383424</v>
      </c>
      <c r="FM668" s="31">
        <f t="shared" si="209"/>
        <v>28.673352800769649</v>
      </c>
      <c r="FN668" s="31">
        <f t="shared" si="210"/>
        <v>0.99082384593879269</v>
      </c>
      <c r="FO668" s="286">
        <f t="shared" si="211"/>
        <v>49.727671776628775</v>
      </c>
      <c r="FQ668" s="30">
        <f t="shared" si="151"/>
        <v>1000.0000000000002</v>
      </c>
      <c r="FR668" s="30" t="str">
        <f t="shared" si="86"/>
        <v>OKAY</v>
      </c>
      <c r="FT668" s="284">
        <f>($AB668-(VLOOKUP($A668,'Childhood asthma'!$A$36:$AG$50,7)*$AB668))+(SUM($AC668:$AG668)-(VLOOKUP($A668,'Childhood asthma'!$A$36:$AG$50,6)*SUM($AC668:$AG668)))+($AJ668-(VLOOKUP($A668,'Childhood asthma'!$A$36:$AG$50,9)*$AJ668))+(SUM($AK668:$AO668)-(VLOOKUP($A668,'Childhood asthma'!$A$36:$AG$50,8)*SUM($AK668:$AO668)))+($BS668-(VLOOKUP($A668,'Childhood asthma'!$A$36:$AG$50,3)*$BS668))+(SUM($BT668:$BX668)-(VLOOKUP($A668,'Childhood asthma'!$A$36:$AG$50,2)*SUM($BT668:$BX668)))+($CA668-(VLOOKUP($A668,'Childhood asthma'!$A$36:$AG$50,5)*$CA668))+(SUM($CB668:$CF668)-(VLOOKUP($A668,'Childhood asthma'!$A$36:$AG$50,4)*SUM($CB668:$CF668)))+($DJ668-(VLOOKUP($A668,'Childhood asthma'!$A$36:$AG$50,23)*$DJ668))+(SUM($DK668:$DO668)-(VLOOKUP($A668,'Childhood asthma'!$A$36:$AG$50,22)*SUM($DK668:$DO668)))+($DR668-(VLOOKUP($A668,'Childhood asthma'!$A$36:$AG$50,25)*$DR668))+(SUM($DS668:$DW668)-(VLOOKUP($A668,'Childhood asthma'!$A$36:$AG$50,24)*SUM($DS668:$DW668)))+($FA668-(VLOOKUP($A668,'Childhood asthma'!$A$36:$AG$50,19)*$FA668))+(SUM($FB668:$FF668)-(VLOOKUP($A668,'Childhood asthma'!$A$36:$AG$50,18)*SUM($FB668:$FF668)))+($FI668-(VLOOKUP($A668,'Childhood asthma'!$A$36:$AG$50,21)*$FI668))+(SUM($FJ668:$FN668)-(VLOOKUP($A668,'Childhood asthma'!$A$36:$AG$50,20)*SUM($FJ668:$FN668)))</f>
        <v>785.38371675438714</v>
      </c>
      <c r="FU668" s="31">
        <f>(VLOOKUP($A668,'Childhood asthma'!$A$36:$AG$50,7)*$AB668)+(VLOOKUP($A668,'Childhood asthma'!$A$36:$AG$50,6)*SUM($AC668:$AG668))+(VLOOKUP($A668,'Childhood asthma'!$A$36:$AG$50,9)*$AJ668)+(VLOOKUP($A668,'Childhood asthma'!$A$36:$AG$50,8)*SUM($AK668:$AO668))+(VLOOKUP($A668,'Childhood asthma'!$A$36:$AG$50,3)*$BS668)+(VLOOKUP($A668,'Childhood asthma'!$A$36:$AG$50,2)*SUM($BT668:$BX668))+(VLOOKUP($A668,'Childhood asthma'!$A$36:$AG$50,5)*$CA668)+(VLOOKUP($A668,'Childhood asthma'!$A$36:$AG$50,4)*SUM($CB668:$CF668))+(VLOOKUP($A668,'Childhood asthma'!$A$36:$AG$50,23)*$DJ668)+(VLOOKUP($A668,'Childhood asthma'!$A$36:$AG$50,22)*SUM($DK668:$DO668))+(VLOOKUP($A668,'Childhood asthma'!$A$36:$AG$50,25)*$DR668)+(VLOOKUP($A668,'Childhood asthma'!$A$36:$AG$50,24)*SUM($DS668:$DW668))+(VLOOKUP($A668,'Childhood asthma'!$A$36:$AG$50,19)*$FA668)+(VLOOKUP($A668,'Childhood asthma'!$A$36:$AG$50,18)*SUM($FB668:$FF668))+(VLOOKUP($A668,'Childhood asthma'!$A$36:$AG$50,21)*$FI668)+(VLOOKUP($A668,'Childhood asthma'!$A$36:$AG$50,20)*SUM($FJ668:$FN668))</f>
        <v>104.02749753463483</v>
      </c>
      <c r="FV668" s="31">
        <f t="shared" si="212"/>
        <v>889.41121428902193</v>
      </c>
      <c r="FW668" s="286">
        <f t="shared" si="213"/>
        <v>110.5887857109781</v>
      </c>
      <c r="FY668" s="265">
        <v>7</v>
      </c>
      <c r="FZ668" s="30">
        <f t="shared" si="214"/>
        <v>699.06917476199055</v>
      </c>
      <c r="GA668" s="281">
        <f t="shared" si="215"/>
        <v>5440.1948344772472</v>
      </c>
      <c r="GC668" s="265">
        <v>7</v>
      </c>
      <c r="GD668" s="30">
        <f t="shared" si="152"/>
        <v>690.89270748951242</v>
      </c>
      <c r="GE668" s="281">
        <f t="shared" si="216"/>
        <v>5403.6944723169818</v>
      </c>
      <c r="GG668" s="265">
        <v>7</v>
      </c>
      <c r="GH668" s="303">
        <f t="shared" si="217"/>
        <v>132869.42856299854</v>
      </c>
      <c r="GI668" s="304">
        <f t="shared" si="218"/>
        <v>3870051.6549953232</v>
      </c>
      <c r="GK668" s="265">
        <v>7</v>
      </c>
      <c r="GL668" s="287">
        <f t="shared" si="153"/>
        <v>0.88941121428902192</v>
      </c>
      <c r="GM668" s="287">
        <f t="shared" si="154"/>
        <v>0.1105887857109781</v>
      </c>
      <c r="GN668" s="288">
        <f t="shared" si="155"/>
        <v>0.10402749753463483</v>
      </c>
      <c r="GP668" s="265">
        <v>7</v>
      </c>
      <c r="GQ668" s="303">
        <f t="shared" si="219"/>
        <v>132869.42856299854</v>
      </c>
      <c r="GR668" s="304">
        <f t="shared" si="220"/>
        <v>6970183.5908514149</v>
      </c>
      <c r="GT668" s="265">
        <v>7</v>
      </c>
      <c r="GU668" s="303">
        <f t="shared" si="221"/>
        <v>132869.42856299854</v>
      </c>
      <c r="GV668" s="304">
        <f t="shared" si="222"/>
        <v>3870051.6549953232</v>
      </c>
      <c r="GX668" s="265">
        <v>7</v>
      </c>
      <c r="GY668" s="303">
        <f t="shared" si="223"/>
        <v>132869.42856299854</v>
      </c>
      <c r="GZ668" s="304">
        <f t="shared" si="224"/>
        <v>6970183.5908514149</v>
      </c>
    </row>
    <row r="669" spans="1:208" s="30" customFormat="1" x14ac:dyDescent="0.25">
      <c r="A669" s="379">
        <v>8</v>
      </c>
      <c r="B669" s="30">
        <f>VLOOKUP($A669,'Childhood mortality'!$A$12:$G$27,4)</f>
        <v>1.0152029281370346E-4</v>
      </c>
      <c r="C669" s="30">
        <f t="shared" si="87"/>
        <v>0.27</v>
      </c>
      <c r="D669" s="30">
        <f t="shared" si="88"/>
        <v>7.0370672097759665E-4</v>
      </c>
      <c r="E669" s="30">
        <f t="shared" si="89"/>
        <v>0.72919477298620861</v>
      </c>
      <c r="F669" s="30">
        <f>VLOOKUP($A669,'Childhood mortality'!$A$12:$G$27,4)</f>
        <v>1.0152029281370346E-4</v>
      </c>
      <c r="G669" s="30">
        <f t="shared" si="90"/>
        <v>0.27</v>
      </c>
      <c r="H669" s="30">
        <f t="shared" si="91"/>
        <v>7.0370672097759665E-4</v>
      </c>
      <c r="I669" s="30">
        <f t="shared" si="92"/>
        <v>0.72919477298620861</v>
      </c>
      <c r="J669" s="30">
        <f>VLOOKUP($A669,'Childhood mortality'!$A$12:$G$27,4)</f>
        <v>1.0152029281370346E-4</v>
      </c>
      <c r="K669" s="30">
        <f t="shared" si="93"/>
        <v>0.14000000000000001</v>
      </c>
      <c r="L669" s="30">
        <f t="shared" si="94"/>
        <v>7.0370672097759665E-4</v>
      </c>
      <c r="M669" s="30">
        <f t="shared" si="74"/>
        <v>0.44892926888529394</v>
      </c>
      <c r="N669" s="30">
        <f t="shared" si="75"/>
        <v>0.41026550410091461</v>
      </c>
      <c r="O669" s="30">
        <f>VLOOKUP($A669,'Childhood mortality'!$A$12:$G$27,4)</f>
        <v>1.0152029281370346E-4</v>
      </c>
      <c r="P669" s="30">
        <f t="shared" si="95"/>
        <v>0.5714285714285714</v>
      </c>
      <c r="Q669" s="30">
        <f t="shared" si="96"/>
        <v>5.0264765784114045E-4</v>
      </c>
      <c r="R669" s="30">
        <f t="shared" si="76"/>
        <v>0.22361289367435427</v>
      </c>
      <c r="S669" s="30">
        <f t="shared" si="77"/>
        <v>0.20435436694641948</v>
      </c>
      <c r="T669" s="30">
        <f>VLOOKUP($A669,'Childhood mortality'!$A$12:$G$27,4)</f>
        <v>1.0152029281370346E-4</v>
      </c>
      <c r="U669" s="30">
        <f t="shared" si="97"/>
        <v>0.99076966517051201</v>
      </c>
      <c r="V669" s="30">
        <f t="shared" si="98"/>
        <v>5.0264765784114045E-4</v>
      </c>
      <c r="W669" s="30">
        <f t="shared" si="78"/>
        <v>4.5071721941902995E-3</v>
      </c>
      <c r="X669" s="30">
        <f t="shared" si="79"/>
        <v>4.1189946846428094E-3</v>
      </c>
      <c r="Y669" s="30">
        <f>VLOOKUP($A669,'Childhood mortality'!$A$12:$G$27,4)</f>
        <v>1.0152029281370346E-4</v>
      </c>
      <c r="Z669" s="30">
        <f t="shared" si="99"/>
        <v>0.99989847970718626</v>
      </c>
      <c r="AB669" s="284">
        <f t="shared" si="156"/>
        <v>0.11769943572798457</v>
      </c>
      <c r="AC669" s="31">
        <f t="shared" si="157"/>
        <v>0.12879152914737579</v>
      </c>
      <c r="AD669" s="31">
        <f t="shared" si="158"/>
        <v>6.7348774783463572E-2</v>
      </c>
      <c r="AE669" s="31">
        <f t="shared" si="159"/>
        <v>9.5407752149892049E-3</v>
      </c>
      <c r="AF669" s="31">
        <f t="shared" si="160"/>
        <v>0.22567150195117952</v>
      </c>
      <c r="AG669" s="31">
        <f t="shared" si="161"/>
        <v>1.7969501230846016E-3</v>
      </c>
      <c r="AH669" s="286">
        <f t="shared" si="162"/>
        <v>3.0172086671415067E-2</v>
      </c>
      <c r="AI669" s="31"/>
      <c r="AJ669" s="284">
        <f t="shared" si="163"/>
        <v>17.505703422748855</v>
      </c>
      <c r="AK669" s="31">
        <f t="shared" si="164"/>
        <v>19.155455577772308</v>
      </c>
      <c r="AL669" s="31">
        <f t="shared" si="165"/>
        <v>10.071047434355041</v>
      </c>
      <c r="AM669" s="31">
        <f t="shared" si="166"/>
        <v>1.434297611683965</v>
      </c>
      <c r="AN669" s="31">
        <f t="shared" si="167"/>
        <v>4.8574436710257478</v>
      </c>
      <c r="AO669" s="31">
        <f t="shared" si="168"/>
        <v>0.17688041893391834</v>
      </c>
      <c r="AP669" s="286">
        <f t="shared" si="169"/>
        <v>3.7262823556576063</v>
      </c>
      <c r="AR669" s="30">
        <v>8</v>
      </c>
      <c r="AS669" s="30">
        <f>VLOOKUP($A669,'Childhood mortality'!$A$12:$G$27,3)</f>
        <v>6.3839403874059328E-5</v>
      </c>
      <c r="AT669" s="30">
        <f t="shared" si="100"/>
        <v>0.27</v>
      </c>
      <c r="AU669" s="30">
        <f t="shared" si="101"/>
        <v>7.0370672097759665E-4</v>
      </c>
      <c r="AV669" s="30">
        <f t="shared" si="102"/>
        <v>0.72923245387514823</v>
      </c>
      <c r="AW669" s="30">
        <f>VLOOKUP($A669,'Childhood mortality'!$A$12:$G$27,3)</f>
        <v>6.3839403874059328E-5</v>
      </c>
      <c r="AX669" s="30">
        <f t="shared" si="103"/>
        <v>0.27</v>
      </c>
      <c r="AY669" s="30">
        <f t="shared" si="104"/>
        <v>7.0370672097759665E-4</v>
      </c>
      <c r="AZ669" s="30">
        <f t="shared" si="105"/>
        <v>0.72923245387514823</v>
      </c>
      <c r="BA669" s="30">
        <f>VLOOKUP($A669,'Childhood mortality'!$A$12:$G$27,3)</f>
        <v>6.3839403874059328E-5</v>
      </c>
      <c r="BB669" s="30">
        <f t="shared" si="106"/>
        <v>0.14000000000000001</v>
      </c>
      <c r="BC669" s="30">
        <f t="shared" si="107"/>
        <v>7.0370672097759665E-4</v>
      </c>
      <c r="BD669" s="30">
        <f t="shared" si="108"/>
        <v>0.4489489571497649</v>
      </c>
      <c r="BE669" s="30">
        <f t="shared" si="109"/>
        <v>0.41028349672538328</v>
      </c>
      <c r="BF669" s="30">
        <f>VLOOKUP($A669,'Childhood mortality'!$A$12:$G$27,3)</f>
        <v>6.3839403874059328E-5</v>
      </c>
      <c r="BG669" s="30">
        <f t="shared" si="110"/>
        <v>0.5714285714285714</v>
      </c>
      <c r="BH669" s="30">
        <f t="shared" si="111"/>
        <v>5.0264765784114045E-4</v>
      </c>
      <c r="BI669" s="30">
        <f t="shared" si="112"/>
        <v>0.22363258193882524</v>
      </c>
      <c r="BJ669" s="30">
        <f t="shared" si="113"/>
        <v>0.20437235957088815</v>
      </c>
      <c r="BK669" s="30">
        <f>VLOOKUP($A669,'Childhood mortality'!$A$12:$G$27,3)</f>
        <v>6.3839403874059328E-5</v>
      </c>
      <c r="BL669" s="30">
        <f t="shared" si="114"/>
        <v>0.99080734605945164</v>
      </c>
      <c r="BM669" s="30">
        <f t="shared" si="115"/>
        <v>5.0264765784114045E-4</v>
      </c>
      <c r="BN669" s="30">
        <f t="shared" si="80"/>
        <v>4.5071721941902995E-3</v>
      </c>
      <c r="BO669" s="30">
        <f t="shared" si="81"/>
        <v>4.1189946846428094E-3</v>
      </c>
      <c r="BP669" s="30">
        <f>VLOOKUP($A669,'Childhood mortality'!$A$12:$G$27,3)</f>
        <v>6.3839403874059328E-5</v>
      </c>
      <c r="BQ669" s="30">
        <f t="shared" si="116"/>
        <v>0.99993616059612589</v>
      </c>
      <c r="BS669" s="284">
        <f t="shared" si="170"/>
        <v>1.8518657460238728</v>
      </c>
      <c r="BT669" s="31">
        <f t="shared" si="171"/>
        <v>2.0263871252303112</v>
      </c>
      <c r="BU669" s="31">
        <f t="shared" si="172"/>
        <v>1.0596549779514373</v>
      </c>
      <c r="BV669" s="31">
        <f t="shared" si="173"/>
        <v>0.15011238062792809</v>
      </c>
      <c r="BW669" s="31">
        <f t="shared" si="174"/>
        <v>3.5294202865044793</v>
      </c>
      <c r="BX669" s="31">
        <f t="shared" si="175"/>
        <v>2.8135962171784427E-2</v>
      </c>
      <c r="BY669" s="286">
        <f t="shared" si="176"/>
        <v>5.9492875705850788E-2</v>
      </c>
      <c r="BZ669" s="31"/>
      <c r="CA669" s="284">
        <f t="shared" si="177"/>
        <v>128.65453966156886</v>
      </c>
      <c r="CB669" s="31">
        <f t="shared" si="178"/>
        <v>140.77905125271147</v>
      </c>
      <c r="CC669" s="31">
        <f t="shared" si="179"/>
        <v>74.012252133634632</v>
      </c>
      <c r="CD669" s="31">
        <f t="shared" si="180"/>
        <v>10.54023265203441</v>
      </c>
      <c r="CE669" s="31">
        <f t="shared" si="181"/>
        <v>35.675301766316579</v>
      </c>
      <c r="CF669" s="31">
        <f t="shared" si="182"/>
        <v>1.2966702883385193</v>
      </c>
      <c r="CG669" s="286">
        <f t="shared" si="183"/>
        <v>52.82875134538294</v>
      </c>
      <c r="CI669" s="30">
        <v>8</v>
      </c>
      <c r="CJ669" s="30">
        <f>VLOOKUP($A669,'Childhood mortality'!$A$31:$G$46,4)</f>
        <v>9.4051082081163709E-5</v>
      </c>
      <c r="CK669" s="30">
        <f t="shared" si="117"/>
        <v>0.27</v>
      </c>
      <c r="CL669" s="30">
        <f t="shared" si="118"/>
        <v>7.0370672097759665E-4</v>
      </c>
      <c r="CM669" s="30">
        <f t="shared" si="119"/>
        <v>0.72920224219694119</v>
      </c>
      <c r="CN669" s="30">
        <f>VLOOKUP($A669,'Childhood mortality'!$A$31:$G$46,4)</f>
        <v>9.4051082081163709E-5</v>
      </c>
      <c r="CO669" s="30">
        <f t="shared" si="120"/>
        <v>0.27</v>
      </c>
      <c r="CP669" s="30">
        <f t="shared" si="121"/>
        <v>7.0370672097759665E-4</v>
      </c>
      <c r="CQ669" s="30">
        <f t="shared" si="122"/>
        <v>0.72920224219694119</v>
      </c>
      <c r="CR669" s="30">
        <f>VLOOKUP($A669,'Childhood mortality'!$A$31:$G$46,4)</f>
        <v>9.4051082081163709E-5</v>
      </c>
      <c r="CS669" s="30">
        <f t="shared" si="123"/>
        <v>0.14000000000000001</v>
      </c>
      <c r="CT669" s="30">
        <f t="shared" si="124"/>
        <v>7.0370672097759665E-4</v>
      </c>
      <c r="CU669" s="30">
        <f t="shared" si="125"/>
        <v>0.44893317154790174</v>
      </c>
      <c r="CV669" s="30">
        <f t="shared" si="126"/>
        <v>0.41026907064903939</v>
      </c>
      <c r="CW669" s="30">
        <f>VLOOKUP($A669,'Childhood mortality'!$A$31:$G$46,4)</f>
        <v>9.4051082081163709E-5</v>
      </c>
      <c r="CX669" s="30">
        <f t="shared" si="127"/>
        <v>0.5714285714285714</v>
      </c>
      <c r="CY669" s="30">
        <f t="shared" si="128"/>
        <v>5.0264765784114045E-4</v>
      </c>
      <c r="CZ669" s="30">
        <f t="shared" si="129"/>
        <v>0.22361679633696202</v>
      </c>
      <c r="DA669" s="30">
        <f t="shared" si="130"/>
        <v>0.20435793349454426</v>
      </c>
      <c r="DB669" s="30">
        <f>VLOOKUP($A669,'Childhood mortality'!$A$31:$G$46,4)</f>
        <v>9.4051082081163709E-5</v>
      </c>
      <c r="DC669" s="30">
        <f t="shared" si="131"/>
        <v>0.9907771343812446</v>
      </c>
      <c r="DD669" s="30">
        <f t="shared" si="132"/>
        <v>5.0264765784114045E-4</v>
      </c>
      <c r="DE669" s="30">
        <f t="shared" si="82"/>
        <v>4.5071721941902995E-3</v>
      </c>
      <c r="DF669" s="30">
        <f t="shared" si="83"/>
        <v>4.1189946846428094E-3</v>
      </c>
      <c r="DG669" s="30">
        <f>VLOOKUP($A669,'Childhood mortality'!$A$31:$G$46,4)</f>
        <v>9.4051082081163709E-5</v>
      </c>
      <c r="DH669" s="30">
        <f t="shared" si="133"/>
        <v>0.99990594891791884</v>
      </c>
      <c r="DJ669" s="284">
        <f t="shared" si="184"/>
        <v>0.11338185330179226</v>
      </c>
      <c r="DK669" s="31">
        <f t="shared" si="185"/>
        <v>0.12406705413651617</v>
      </c>
      <c r="DL669" s="31">
        <f t="shared" si="186"/>
        <v>6.4878564842850844E-2</v>
      </c>
      <c r="DM669" s="31">
        <f t="shared" si="187"/>
        <v>9.1909266584155672E-3</v>
      </c>
      <c r="DN669" s="31">
        <f t="shared" si="188"/>
        <v>0.21690576831843111</v>
      </c>
      <c r="DO669" s="31">
        <f t="shared" si="189"/>
        <v>1.729231934647872E-3</v>
      </c>
      <c r="DP669" s="286">
        <f t="shared" si="190"/>
        <v>2.8082515069211424E-2</v>
      </c>
      <c r="DQ669" s="31"/>
      <c r="DR669" s="284">
        <f t="shared" si="191"/>
        <v>16.848338116645145</v>
      </c>
      <c r="DS669" s="31">
        <f t="shared" si="192"/>
        <v>18.436139614548868</v>
      </c>
      <c r="DT669" s="31">
        <f t="shared" si="193"/>
        <v>9.6927813045143871</v>
      </c>
      <c r="DU669" s="31">
        <f t="shared" si="194"/>
        <v>1.3804195777866104</v>
      </c>
      <c r="DV669" s="31">
        <f t="shared" si="195"/>
        <v>4.674168164900073</v>
      </c>
      <c r="DW669" s="31">
        <f t="shared" si="196"/>
        <v>0.17020962683863824</v>
      </c>
      <c r="DX669" s="286">
        <f t="shared" si="197"/>
        <v>3.4926183813681533</v>
      </c>
      <c r="DZ669" s="30">
        <v>8</v>
      </c>
      <c r="EA669" s="30">
        <f>VLOOKUP($A669,'Childhood mortality'!$A$31:$G$46,3)</f>
        <v>5.9142510796238135E-5</v>
      </c>
      <c r="EB669" s="30">
        <f t="shared" si="134"/>
        <v>0.27</v>
      </c>
      <c r="EC669" s="30">
        <f t="shared" si="135"/>
        <v>7.0370672097759665E-4</v>
      </c>
      <c r="ED669" s="30">
        <f t="shared" si="136"/>
        <v>0.72923715076822615</v>
      </c>
      <c r="EE669" s="30">
        <f>VLOOKUP($A669,'Childhood mortality'!$A$31:$G$46,3)</f>
        <v>5.9142510796238135E-5</v>
      </c>
      <c r="EF669" s="30">
        <f t="shared" si="137"/>
        <v>0.27</v>
      </c>
      <c r="EG669" s="30">
        <f t="shared" si="138"/>
        <v>7.0370672097759665E-4</v>
      </c>
      <c r="EH669" s="30">
        <f t="shared" si="139"/>
        <v>0.72923715076822615</v>
      </c>
      <c r="EI669" s="30">
        <f>VLOOKUP($A669,'Childhood mortality'!$A$31:$G$46,3)</f>
        <v>5.9142510796238135E-5</v>
      </c>
      <c r="EJ669" s="30">
        <f t="shared" si="140"/>
        <v>0.14000000000000001</v>
      </c>
      <c r="EK669" s="30">
        <f t="shared" si="141"/>
        <v>7.0370672097759665E-4</v>
      </c>
      <c r="EL669" s="30">
        <f t="shared" si="142"/>
        <v>0.44895141127639815</v>
      </c>
      <c r="EM669" s="30">
        <f t="shared" si="143"/>
        <v>0.41028573949182795</v>
      </c>
      <c r="EN669" s="30">
        <f>VLOOKUP($A669,'Childhood mortality'!$A$31:$G$46,3)</f>
        <v>5.9142510796238135E-5</v>
      </c>
      <c r="EO669" s="30">
        <f t="shared" si="144"/>
        <v>0.5714285714285714</v>
      </c>
      <c r="EP669" s="30">
        <f t="shared" si="145"/>
        <v>5.0264765784114045E-4</v>
      </c>
      <c r="EQ669" s="30">
        <f t="shared" si="146"/>
        <v>0.2236350360654584</v>
      </c>
      <c r="ER669" s="30">
        <f t="shared" si="147"/>
        <v>0.20437460233733279</v>
      </c>
      <c r="ES669" s="30">
        <f>VLOOKUP($A669,'Childhood mortality'!$A$31:$G$46,3)</f>
        <v>5.9142510796238135E-5</v>
      </c>
      <c r="ET669" s="30">
        <f t="shared" si="148"/>
        <v>0.99081204295252956</v>
      </c>
      <c r="EU669" s="30">
        <f t="shared" si="149"/>
        <v>5.0264765784114045E-4</v>
      </c>
      <c r="EV669" s="30">
        <f t="shared" si="84"/>
        <v>4.5071721941902995E-3</v>
      </c>
      <c r="EW669" s="30">
        <f t="shared" si="85"/>
        <v>4.1189946846428094E-3</v>
      </c>
      <c r="EX669" s="30">
        <f>VLOOKUP($A669,'Childhood mortality'!$A$31:$G$46,3)</f>
        <v>5.9142510796238135E-5</v>
      </c>
      <c r="EY669" s="30">
        <f t="shared" si="150"/>
        <v>0.9999408574892038</v>
      </c>
      <c r="FA669" s="284">
        <f t="shared" si="198"/>
        <v>1.7816063618314331</v>
      </c>
      <c r="FB669" s="31">
        <f t="shared" si="199"/>
        <v>1.9495064378155473</v>
      </c>
      <c r="FC669" s="31">
        <f t="shared" si="200"/>
        <v>1.0194535306538424</v>
      </c>
      <c r="FD669" s="31">
        <f t="shared" si="201"/>
        <v>0.14441797755932784</v>
      </c>
      <c r="FE669" s="31">
        <f t="shared" si="202"/>
        <v>3.3916838763582606</v>
      </c>
      <c r="FF669" s="31">
        <f t="shared" si="203"/>
        <v>2.7054349689766131E-2</v>
      </c>
      <c r="FG669" s="286">
        <f t="shared" si="204"/>
        <v>0.73204155182995567</v>
      </c>
      <c r="FH669" s="31"/>
      <c r="FI669" s="284">
        <f t="shared" si="205"/>
        <v>123.7174915162602</v>
      </c>
      <c r="FJ669" s="31">
        <f t="shared" si="206"/>
        <v>135.37673155444173</v>
      </c>
      <c r="FK669" s="31">
        <f t="shared" si="207"/>
        <v>71.17168622683964</v>
      </c>
      <c r="FL669" s="31">
        <f t="shared" si="208"/>
        <v>10.135673370409117</v>
      </c>
      <c r="FM669" s="31">
        <f t="shared" si="209"/>
        <v>34.303030113334025</v>
      </c>
      <c r="FN669" s="31">
        <f t="shared" si="210"/>
        <v>1.2468046296272179</v>
      </c>
      <c r="FO669" s="286">
        <f t="shared" si="211"/>
        <v>49.749907802486256</v>
      </c>
      <c r="FQ669" s="30">
        <f t="shared" si="151"/>
        <v>1000.0000000000001</v>
      </c>
      <c r="FR669" s="30" t="str">
        <f t="shared" si="86"/>
        <v>OKAY</v>
      </c>
      <c r="FT669" s="284">
        <f>($AB669-(VLOOKUP($A669,'Childhood asthma'!$A$36:$AG$50,7)*$AB669))+(SUM($AC669:$AG669)-(VLOOKUP($A669,'Childhood asthma'!$A$36:$AG$50,6)*SUM($AC669:$AG669)))+($AJ669-(VLOOKUP($A669,'Childhood asthma'!$A$36:$AG$50,9)*$AJ669))+(SUM($AK669:$AO669)-(VLOOKUP($A669,'Childhood asthma'!$A$36:$AG$50,8)*SUM($AK669:$AO669)))+($BS669-(VLOOKUP($A669,'Childhood asthma'!$A$36:$AG$50,3)*$BS669))+(SUM($BT669:$BX669)-(VLOOKUP($A669,'Childhood asthma'!$A$36:$AG$50,2)*SUM($BT669:$BX669)))+($CA669-(VLOOKUP($A669,'Childhood asthma'!$A$36:$AG$50,5)*$CA669))+(SUM($CB669:$CF669)-(VLOOKUP($A669,'Childhood asthma'!$A$36:$AG$50,4)*SUM($CB669:$CF669)))+($DJ669-(VLOOKUP($A669,'Childhood asthma'!$A$36:$AG$50,23)*$DJ669))+(SUM($DK669:$DO669)-(VLOOKUP($A669,'Childhood asthma'!$A$36:$AG$50,22)*SUM($DK669:$DO669)))+($DR669-(VLOOKUP($A669,'Childhood asthma'!$A$36:$AG$50,25)*$DR669))+(SUM($DS669:$DW669)-(VLOOKUP($A669,'Childhood asthma'!$A$36:$AG$50,24)*SUM($DS669:$DW669)))+($FA669-(VLOOKUP($A669,'Childhood asthma'!$A$36:$AG$50,19)*$FA669))+(SUM($FB669:$FF669)-(VLOOKUP($A669,'Childhood asthma'!$A$36:$AG$50,18)*SUM($FB669:$FF669)))+($FI669-(VLOOKUP($A669,'Childhood asthma'!$A$36:$AG$50,21)*$FI669))+(SUM($FJ669:$FN669)-(VLOOKUP($A669,'Childhood asthma'!$A$36:$AG$50,20)*SUM($FJ669:$FN669)))</f>
        <v>785.43312615439072</v>
      </c>
      <c r="FU669" s="31">
        <f>(VLOOKUP($A669,'Childhood asthma'!$A$36:$AG$50,7)*$AB669)+(VLOOKUP($A669,'Childhood asthma'!$A$36:$AG$50,6)*SUM($AC669:$AG669))+(VLOOKUP($A669,'Childhood asthma'!$A$36:$AG$50,9)*$AJ669)+(VLOOKUP($A669,'Childhood asthma'!$A$36:$AG$50,8)*SUM($AK669:$AO669))+(VLOOKUP($A669,'Childhood asthma'!$A$36:$AG$50,3)*$BS669)+(VLOOKUP($A669,'Childhood asthma'!$A$36:$AG$50,2)*SUM($BT669:$BX669))+(VLOOKUP($A669,'Childhood asthma'!$A$36:$AG$50,5)*$CA669)+(VLOOKUP($A669,'Childhood asthma'!$A$36:$AG$50,4)*SUM($CB669:$CF669))+(VLOOKUP($A669,'Childhood asthma'!$A$36:$AG$50,23)*$DJ669)+(VLOOKUP($A669,'Childhood asthma'!$A$36:$AG$50,22)*SUM($DK669:$DO669))+(VLOOKUP($A669,'Childhood asthma'!$A$36:$AG$50,25)*$DR669)+(VLOOKUP($A669,'Childhood asthma'!$A$36:$AG$50,24)*SUM($DS669:$DW669))+(VLOOKUP($A669,'Childhood asthma'!$A$36:$AG$50,19)*$FA669)+(VLOOKUP($A669,'Childhood asthma'!$A$36:$AG$50,18)*SUM($FB669:$FF669))+(VLOOKUP($A669,'Childhood asthma'!$A$36:$AG$50,21)*$FI669)+(VLOOKUP($A669,'Childhood asthma'!$A$36:$AG$50,20)*SUM($FJ669:$FN669))</f>
        <v>103.91952493143793</v>
      </c>
      <c r="FV669" s="31">
        <f t="shared" si="212"/>
        <v>889.35265108582871</v>
      </c>
      <c r="FW669" s="286">
        <f t="shared" si="213"/>
        <v>110.64734891417139</v>
      </c>
      <c r="FY669" s="265">
        <v>8</v>
      </c>
      <c r="FZ669" s="30">
        <f t="shared" si="214"/>
        <v>675.38468078613732</v>
      </c>
      <c r="GA669" s="281">
        <f t="shared" si="215"/>
        <v>6115.5795152633846</v>
      </c>
      <c r="GC669" s="265">
        <v>8</v>
      </c>
      <c r="GD669" s="30">
        <f t="shared" si="152"/>
        <v>667.49291197119351</v>
      </c>
      <c r="GE669" s="281">
        <f t="shared" si="216"/>
        <v>6071.1873842881751</v>
      </c>
      <c r="GG669" s="265">
        <v>8</v>
      </c>
      <c r="GH669" s="303">
        <f t="shared" si="217"/>
        <v>128235.03900674974</v>
      </c>
      <c r="GI669" s="304">
        <f t="shared" si="218"/>
        <v>3998286.6940020728</v>
      </c>
      <c r="GK669" s="265">
        <v>8</v>
      </c>
      <c r="GL669" s="287">
        <f t="shared" si="153"/>
        <v>0.88935265108582873</v>
      </c>
      <c r="GM669" s="287">
        <f t="shared" si="154"/>
        <v>0.11064734891417138</v>
      </c>
      <c r="GN669" s="288">
        <f t="shared" si="155"/>
        <v>0.10391952493143794</v>
      </c>
      <c r="GP669" s="265">
        <v>8</v>
      </c>
      <c r="GQ669" s="303">
        <f t="shared" si="219"/>
        <v>128235.03900674974</v>
      </c>
      <c r="GR669" s="304">
        <f t="shared" si="220"/>
        <v>7098418.629858165</v>
      </c>
      <c r="GT669" s="265">
        <v>8</v>
      </c>
      <c r="GU669" s="303">
        <f t="shared" si="221"/>
        <v>128235.03900674974</v>
      </c>
      <c r="GV669" s="304">
        <f t="shared" si="222"/>
        <v>3998286.6940020728</v>
      </c>
      <c r="GX669" s="265">
        <v>8</v>
      </c>
      <c r="GY669" s="303">
        <f t="shared" si="223"/>
        <v>128235.03900674974</v>
      </c>
      <c r="GZ669" s="304">
        <f t="shared" si="224"/>
        <v>7098418.629858165</v>
      </c>
    </row>
    <row r="670" spans="1:208" s="30" customFormat="1" x14ac:dyDescent="0.25">
      <c r="A670" s="379">
        <v>9</v>
      </c>
      <c r="B670" s="30">
        <f>VLOOKUP($A670,'Childhood mortality'!$A$12:$G$27,4)</f>
        <v>9.4051082081163709E-5</v>
      </c>
      <c r="C670" s="30">
        <f t="shared" si="87"/>
        <v>0.27</v>
      </c>
      <c r="D670" s="30">
        <f t="shared" si="88"/>
        <v>7.6187372708757617E-4</v>
      </c>
      <c r="E670" s="30">
        <f t="shared" si="89"/>
        <v>0.72914407519083124</v>
      </c>
      <c r="F670" s="30">
        <f>VLOOKUP($A670,'Childhood mortality'!$A$12:$G$27,4)</f>
        <v>9.4051082081163709E-5</v>
      </c>
      <c r="G670" s="30">
        <f t="shared" si="90"/>
        <v>0.27</v>
      </c>
      <c r="H670" s="30">
        <f t="shared" si="91"/>
        <v>7.6187372708757617E-4</v>
      </c>
      <c r="I670" s="30">
        <f t="shared" si="92"/>
        <v>0.72914407519083124</v>
      </c>
      <c r="J670" s="30">
        <f>VLOOKUP($A670,'Childhood mortality'!$A$12:$G$27,4)</f>
        <v>9.4051082081163709E-5</v>
      </c>
      <c r="K670" s="30">
        <f t="shared" si="93"/>
        <v>0.14000000000000001</v>
      </c>
      <c r="L670" s="30">
        <f t="shared" si="94"/>
        <v>7.6187372708757617E-4</v>
      </c>
      <c r="M670" s="30">
        <f t="shared" si="74"/>
        <v>0.44890277928720929</v>
      </c>
      <c r="N670" s="30">
        <f t="shared" si="75"/>
        <v>0.41024129590362191</v>
      </c>
      <c r="O670" s="30">
        <f>VLOOKUP($A670,'Childhood mortality'!$A$12:$G$27,4)</f>
        <v>9.4051082081163709E-5</v>
      </c>
      <c r="P670" s="30">
        <f t="shared" si="95"/>
        <v>0.5714285714285714</v>
      </c>
      <c r="Q670" s="30">
        <f t="shared" si="96"/>
        <v>5.4419551934826874E-4</v>
      </c>
      <c r="R670" s="30">
        <f t="shared" si="76"/>
        <v>0.22359508757932456</v>
      </c>
      <c r="S670" s="30">
        <f t="shared" si="77"/>
        <v>0.2043380943906746</v>
      </c>
      <c r="T670" s="30">
        <f>VLOOKUP($A670,'Childhood mortality'!$A$12:$G$27,4)</f>
        <v>9.4051082081163709E-5</v>
      </c>
      <c r="U670" s="30">
        <f t="shared" si="97"/>
        <v>0.99073558651973748</v>
      </c>
      <c r="V670" s="30">
        <f t="shared" si="98"/>
        <v>5.4419551934826874E-4</v>
      </c>
      <c r="W670" s="30">
        <f t="shared" si="78"/>
        <v>4.5071721941902995E-3</v>
      </c>
      <c r="X670" s="30">
        <f t="shared" si="79"/>
        <v>4.1189946846428094E-3</v>
      </c>
      <c r="Y670" s="30">
        <f>VLOOKUP($A670,'Childhood mortality'!$A$12:$G$27,4)</f>
        <v>9.4051082081163709E-5</v>
      </c>
      <c r="Z670" s="30">
        <f t="shared" si="99"/>
        <v>0.99990594891791884</v>
      </c>
      <c r="AB670" s="284">
        <f t="shared" si="156"/>
        <v>0.1163281784025062</v>
      </c>
      <c r="AC670" s="31">
        <f t="shared" si="157"/>
        <v>0.12729104338284711</v>
      </c>
      <c r="AD670" s="31">
        <f t="shared" si="158"/>
        <v>6.6552560516347309E-2</v>
      </c>
      <c r="AE670" s="31">
        <f t="shared" si="159"/>
        <v>9.4288284696849006E-3</v>
      </c>
      <c r="AF670" s="31">
        <f t="shared" si="160"/>
        <v>0.22903265939781434</v>
      </c>
      <c r="AG670" s="31">
        <f t="shared" si="161"/>
        <v>2.1638888374726742E-3</v>
      </c>
      <c r="AH670" s="286">
        <f t="shared" si="162"/>
        <v>3.0223894612819831E-2</v>
      </c>
      <c r="AI670" s="31"/>
      <c r="AJ670" s="284">
        <f t="shared" si="163"/>
        <v>17.208828908744344</v>
      </c>
      <c r="AK670" s="31">
        <f t="shared" si="164"/>
        <v>18.830603360877323</v>
      </c>
      <c r="AL670" s="31">
        <f t="shared" si="165"/>
        <v>9.8985129301407149</v>
      </c>
      <c r="AM670" s="31">
        <f t="shared" si="166"/>
        <v>1.4099466408097059</v>
      </c>
      <c r="AN670" s="31">
        <f t="shared" si="167"/>
        <v>5.6320409396482605</v>
      </c>
      <c r="AO670" s="31">
        <f t="shared" si="168"/>
        <v>0.21589176084563294</v>
      </c>
      <c r="AP670" s="286">
        <f t="shared" si="169"/>
        <v>3.73128595111146</v>
      </c>
      <c r="AR670" s="30">
        <v>9</v>
      </c>
      <c r="AS670" s="30">
        <f>VLOOKUP($A670,'Childhood mortality'!$A$12:$G$27,3)</f>
        <v>5.9142510796238135E-5</v>
      </c>
      <c r="AT670" s="30">
        <f t="shared" si="100"/>
        <v>0.27</v>
      </c>
      <c r="AU670" s="30">
        <f t="shared" si="101"/>
        <v>7.6187372708757617E-4</v>
      </c>
      <c r="AV670" s="30">
        <f t="shared" si="102"/>
        <v>0.72917898376211621</v>
      </c>
      <c r="AW670" s="30">
        <f>VLOOKUP($A670,'Childhood mortality'!$A$12:$G$27,3)</f>
        <v>5.9142510796238135E-5</v>
      </c>
      <c r="AX670" s="30">
        <f t="shared" si="103"/>
        <v>0.27</v>
      </c>
      <c r="AY670" s="30">
        <f t="shared" si="104"/>
        <v>7.6187372708757617E-4</v>
      </c>
      <c r="AZ670" s="30">
        <f t="shared" si="105"/>
        <v>0.72917898376211621</v>
      </c>
      <c r="BA670" s="30">
        <f>VLOOKUP($A670,'Childhood mortality'!$A$12:$G$27,3)</f>
        <v>5.9142510796238135E-5</v>
      </c>
      <c r="BB670" s="30">
        <f t="shared" si="106"/>
        <v>0.14000000000000001</v>
      </c>
      <c r="BC670" s="30">
        <f t="shared" si="107"/>
        <v>7.6187372708757617E-4</v>
      </c>
      <c r="BD670" s="30">
        <f t="shared" si="108"/>
        <v>0.44892101901570569</v>
      </c>
      <c r="BE670" s="30">
        <f t="shared" si="109"/>
        <v>0.41025796474641046</v>
      </c>
      <c r="BF670" s="30">
        <f>VLOOKUP($A670,'Childhood mortality'!$A$12:$G$27,3)</f>
        <v>5.9142510796238135E-5</v>
      </c>
      <c r="BG670" s="30">
        <f t="shared" si="110"/>
        <v>0.5714285714285714</v>
      </c>
      <c r="BH670" s="30">
        <f t="shared" si="111"/>
        <v>5.4419551934826874E-4</v>
      </c>
      <c r="BI670" s="30">
        <f t="shared" si="112"/>
        <v>0.22361332730782094</v>
      </c>
      <c r="BJ670" s="30">
        <f t="shared" si="113"/>
        <v>0.20435476323346316</v>
      </c>
      <c r="BK670" s="30">
        <f>VLOOKUP($A670,'Childhood mortality'!$A$12:$G$27,3)</f>
        <v>5.9142510796238135E-5</v>
      </c>
      <c r="BL670" s="30">
        <f t="shared" si="114"/>
        <v>0.99077049509102244</v>
      </c>
      <c r="BM670" s="30">
        <f t="shared" si="115"/>
        <v>5.4419551934826874E-4</v>
      </c>
      <c r="BN670" s="30">
        <f t="shared" si="80"/>
        <v>4.5071721941902995E-3</v>
      </c>
      <c r="BO670" s="30">
        <f t="shared" si="81"/>
        <v>4.1189946846428094E-3</v>
      </c>
      <c r="BP670" s="30">
        <f>VLOOKUP($A670,'Childhood mortality'!$A$12:$G$27,3)</f>
        <v>5.9142510796238135E-5</v>
      </c>
      <c r="BQ670" s="30">
        <f t="shared" si="116"/>
        <v>0.9999408574892038</v>
      </c>
      <c r="BS670" s="284">
        <f t="shared" si="170"/>
        <v>1.8302873207389343</v>
      </c>
      <c r="BT670" s="31">
        <f t="shared" si="171"/>
        <v>2.0027751310703521</v>
      </c>
      <c r="BU670" s="31">
        <f t="shared" si="172"/>
        <v>1.0471282752386297</v>
      </c>
      <c r="BV670" s="31">
        <f t="shared" si="173"/>
        <v>0.14835169691320124</v>
      </c>
      <c r="BW670" s="31">
        <f t="shared" si="174"/>
        <v>3.5826239878603001</v>
      </c>
      <c r="BX670" s="31">
        <f t="shared" si="175"/>
        <v>3.3898745588176238E-2</v>
      </c>
      <c r="BY670" s="286">
        <f t="shared" si="176"/>
        <v>6.0004196806070768E-2</v>
      </c>
      <c r="BZ670" s="31"/>
      <c r="CA670" s="284">
        <f t="shared" si="177"/>
        <v>126.47719553982938</v>
      </c>
      <c r="CB670" s="31">
        <f t="shared" si="178"/>
        <v>138.39651239698608</v>
      </c>
      <c r="CC670" s="31">
        <f t="shared" si="179"/>
        <v>72.747069546855698</v>
      </c>
      <c r="CD670" s="31">
        <f t="shared" si="180"/>
        <v>10.36171529870885</v>
      </c>
      <c r="CE670" s="31">
        <f t="shared" si="181"/>
        <v>41.369026480411904</v>
      </c>
      <c r="CF670" s="31">
        <f t="shared" si="182"/>
        <v>1.5834062512523943</v>
      </c>
      <c r="CG670" s="286">
        <f t="shared" si="183"/>
        <v>52.851873585943139</v>
      </c>
      <c r="CI670" s="30">
        <v>9</v>
      </c>
      <c r="CJ670" s="30">
        <f>VLOOKUP($A670,'Childhood mortality'!$A$31:$G$46,4)</f>
        <v>8.4447811139326889E-5</v>
      </c>
      <c r="CK670" s="30">
        <f t="shared" si="117"/>
        <v>0.27</v>
      </c>
      <c r="CL670" s="30">
        <f t="shared" si="118"/>
        <v>7.6187372708757617E-4</v>
      </c>
      <c r="CM670" s="30">
        <f t="shared" si="119"/>
        <v>0.72915367846177304</v>
      </c>
      <c r="CN670" s="30">
        <f>VLOOKUP($A670,'Childhood mortality'!$A$31:$G$46,4)</f>
        <v>8.4447811139326889E-5</v>
      </c>
      <c r="CO670" s="30">
        <f t="shared" si="120"/>
        <v>0.27</v>
      </c>
      <c r="CP670" s="30">
        <f t="shared" si="121"/>
        <v>7.6187372708757617E-4</v>
      </c>
      <c r="CQ670" s="30">
        <f t="shared" si="122"/>
        <v>0.72915367846177304</v>
      </c>
      <c r="CR670" s="30">
        <f>VLOOKUP($A670,'Childhood mortality'!$A$31:$G$46,4)</f>
        <v>8.4447811139326889E-5</v>
      </c>
      <c r="CS670" s="30">
        <f t="shared" si="123"/>
        <v>0.14000000000000001</v>
      </c>
      <c r="CT670" s="30">
        <f t="shared" si="124"/>
        <v>7.6187372708757617E-4</v>
      </c>
      <c r="CU670" s="30">
        <f t="shared" si="125"/>
        <v>0.44890779699627636</v>
      </c>
      <c r="CV670" s="30">
        <f t="shared" si="126"/>
        <v>0.41024588146549662</v>
      </c>
      <c r="CW670" s="30">
        <f>VLOOKUP($A670,'Childhood mortality'!$A$31:$G$46,4)</f>
        <v>8.4447811139326889E-5</v>
      </c>
      <c r="CX670" s="30">
        <f t="shared" si="127"/>
        <v>0.5714285714285714</v>
      </c>
      <c r="CY670" s="30">
        <f t="shared" si="128"/>
        <v>5.4419551934826874E-4</v>
      </c>
      <c r="CZ670" s="30">
        <f t="shared" si="129"/>
        <v>0.22360010528839167</v>
      </c>
      <c r="DA670" s="30">
        <f t="shared" si="130"/>
        <v>0.20434267995254934</v>
      </c>
      <c r="DB670" s="30">
        <f>VLOOKUP($A670,'Childhood mortality'!$A$31:$G$46,4)</f>
        <v>8.4447811139326889E-5</v>
      </c>
      <c r="DC670" s="30">
        <f t="shared" si="131"/>
        <v>0.99074518979067927</v>
      </c>
      <c r="DD670" s="30">
        <f t="shared" si="132"/>
        <v>5.4419551934826874E-4</v>
      </c>
      <c r="DE670" s="30">
        <f t="shared" si="82"/>
        <v>4.5071721941902995E-3</v>
      </c>
      <c r="DF670" s="30">
        <f t="shared" si="83"/>
        <v>4.1189946846428094E-3</v>
      </c>
      <c r="DG670" s="30">
        <f>VLOOKUP($A670,'Childhood mortality'!$A$31:$G$46,4)</f>
        <v>8.4447811139326889E-5</v>
      </c>
      <c r="DH670" s="30">
        <f t="shared" si="133"/>
        <v>0.99991555218886063</v>
      </c>
      <c r="DJ670" s="284">
        <f t="shared" si="184"/>
        <v>0.11206049171938663</v>
      </c>
      <c r="DK670" s="31">
        <f t="shared" si="185"/>
        <v>0.12262116633168485</v>
      </c>
      <c r="DL670" s="31">
        <f t="shared" si="186"/>
        <v>6.4111205008343275E-2</v>
      </c>
      <c r="DM670" s="31">
        <f t="shared" si="187"/>
        <v>9.0829990779991189E-3</v>
      </c>
      <c r="DN670" s="31">
        <f t="shared" si="188"/>
        <v>0.22015030468986033</v>
      </c>
      <c r="DO670" s="31">
        <f t="shared" si="189"/>
        <v>2.0824620712497034E-3</v>
      </c>
      <c r="DP670" s="286">
        <f t="shared" si="190"/>
        <v>2.8127285363341317E-2</v>
      </c>
      <c r="DQ670" s="31"/>
      <c r="DR670" s="284">
        <f t="shared" si="191"/>
        <v>16.562782833652534</v>
      </c>
      <c r="DS670" s="31">
        <f t="shared" si="192"/>
        <v>18.123673362478417</v>
      </c>
      <c r="DT670" s="31">
        <f t="shared" si="193"/>
        <v>9.5268089874223847</v>
      </c>
      <c r="DU670" s="31">
        <f t="shared" si="194"/>
        <v>1.3569893826320143</v>
      </c>
      <c r="DV670" s="31">
        <f t="shared" si="195"/>
        <v>5.4197208129541083</v>
      </c>
      <c r="DW670" s="31">
        <f t="shared" si="196"/>
        <v>0.20775712450500644</v>
      </c>
      <c r="DX670" s="286">
        <f t="shared" si="197"/>
        <v>3.4969422829574079</v>
      </c>
      <c r="DZ670" s="30">
        <v>9</v>
      </c>
      <c r="EA670" s="30">
        <f>VLOOKUP($A670,'Childhood mortality'!$A$31:$G$46,3)</f>
        <v>5.31036482676109E-5</v>
      </c>
      <c r="EB670" s="30">
        <f t="shared" si="134"/>
        <v>0.27</v>
      </c>
      <c r="EC670" s="30">
        <f t="shared" si="135"/>
        <v>7.6187372708757617E-4</v>
      </c>
      <c r="ED670" s="30">
        <f t="shared" si="136"/>
        <v>0.7291850226246448</v>
      </c>
      <c r="EE670" s="30">
        <f>VLOOKUP($A670,'Childhood mortality'!$A$31:$G$46,3)</f>
        <v>5.31036482676109E-5</v>
      </c>
      <c r="EF670" s="30">
        <f t="shared" si="137"/>
        <v>0.27</v>
      </c>
      <c r="EG670" s="30">
        <f t="shared" si="138"/>
        <v>7.6187372708757617E-4</v>
      </c>
      <c r="EH670" s="30">
        <f t="shared" si="139"/>
        <v>0.7291850226246448</v>
      </c>
      <c r="EI670" s="30">
        <f>VLOOKUP($A670,'Childhood mortality'!$A$31:$G$46,3)</f>
        <v>5.31036482676109E-5</v>
      </c>
      <c r="EJ670" s="30">
        <f t="shared" si="140"/>
        <v>0.14000000000000001</v>
      </c>
      <c r="EK670" s="30">
        <f t="shared" si="141"/>
        <v>7.6187372708757617E-4</v>
      </c>
      <c r="EL670" s="30">
        <f t="shared" si="142"/>
        <v>0.44892417432137688</v>
      </c>
      <c r="EM670" s="30">
        <f t="shared" si="143"/>
        <v>0.41026084830326787</v>
      </c>
      <c r="EN670" s="30">
        <f>VLOOKUP($A670,'Childhood mortality'!$A$31:$G$46,3)</f>
        <v>5.31036482676109E-5</v>
      </c>
      <c r="EO670" s="30">
        <f t="shared" si="144"/>
        <v>0.5714285714285714</v>
      </c>
      <c r="EP670" s="30">
        <f t="shared" si="145"/>
        <v>5.4419551934826874E-4</v>
      </c>
      <c r="EQ670" s="30">
        <f t="shared" si="146"/>
        <v>0.22361648261349215</v>
      </c>
      <c r="ER670" s="30">
        <f t="shared" si="147"/>
        <v>0.20435764679032056</v>
      </c>
      <c r="ES670" s="30">
        <f>VLOOKUP($A670,'Childhood mortality'!$A$31:$G$46,3)</f>
        <v>5.31036482676109E-5</v>
      </c>
      <c r="ET670" s="30">
        <f t="shared" si="148"/>
        <v>0.99077653395355103</v>
      </c>
      <c r="EU670" s="30">
        <f t="shared" si="149"/>
        <v>5.4419551934826874E-4</v>
      </c>
      <c r="EV670" s="30">
        <f t="shared" si="84"/>
        <v>4.5071721941902995E-3</v>
      </c>
      <c r="EW670" s="30">
        <f t="shared" si="85"/>
        <v>4.1189946846428094E-3</v>
      </c>
      <c r="EX670" s="30">
        <f>VLOOKUP($A670,'Childhood mortality'!$A$31:$G$46,3)</f>
        <v>5.31036482676109E-5</v>
      </c>
      <c r="EY670" s="30">
        <f t="shared" si="150"/>
        <v>0.99994689635173239</v>
      </c>
      <c r="FA670" s="284">
        <f t="shared" si="198"/>
        <v>1.7608457914590216</v>
      </c>
      <c r="FB670" s="31">
        <f t="shared" si="199"/>
        <v>1.9267893739001858</v>
      </c>
      <c r="FC670" s="31">
        <f t="shared" si="200"/>
        <v>1.0074004559046847</v>
      </c>
      <c r="FD670" s="31">
        <f t="shared" si="201"/>
        <v>0.14272349429153794</v>
      </c>
      <c r="FE670" s="31">
        <f t="shared" si="202"/>
        <v>3.442925353889712</v>
      </c>
      <c r="FF670" s="31">
        <f t="shared" si="203"/>
        <v>3.2596575465800193E-2</v>
      </c>
      <c r="FG670" s="286">
        <f t="shared" si="204"/>
        <v>0.73248304082719085</v>
      </c>
      <c r="FH670" s="31"/>
      <c r="FI670" s="284">
        <f t="shared" si="205"/>
        <v>121.62449457426183</v>
      </c>
      <c r="FJ670" s="31">
        <f t="shared" si="206"/>
        <v>133.08648882733357</v>
      </c>
      <c r="FK670" s="31">
        <f t="shared" si="207"/>
        <v>69.955440229089533</v>
      </c>
      <c r="FL670" s="31">
        <f t="shared" si="208"/>
        <v>9.9640360717575511</v>
      </c>
      <c r="FM670" s="31">
        <f t="shared" si="209"/>
        <v>39.778450634312868</v>
      </c>
      <c r="FN670" s="31">
        <f t="shared" si="210"/>
        <v>1.5225426823206925</v>
      </c>
      <c r="FO670" s="286">
        <f t="shared" si="211"/>
        <v>49.769872194322154</v>
      </c>
      <c r="FQ670" s="30">
        <f t="shared" si="151"/>
        <v>1000.0000000000002</v>
      </c>
      <c r="FR670" s="30" t="str">
        <f t="shared" si="86"/>
        <v>OKAY</v>
      </c>
      <c r="FT670" s="284">
        <f>($AB670-(VLOOKUP($A670,'Childhood asthma'!$A$36:$AG$50,7)*$AB670))+(SUM($AC670:$AG670)-(VLOOKUP($A670,'Childhood asthma'!$A$36:$AG$50,6)*SUM($AC670:$AG670)))+($AJ670-(VLOOKUP($A670,'Childhood asthma'!$A$36:$AG$50,9)*$AJ670))+(SUM($AK670:$AO670)-(VLOOKUP($A670,'Childhood asthma'!$A$36:$AG$50,8)*SUM($AK670:$AO670)))+($BS670-(VLOOKUP($A670,'Childhood asthma'!$A$36:$AG$50,3)*$BS670))+(SUM($BT670:$BX670)-(VLOOKUP($A670,'Childhood asthma'!$A$36:$AG$50,2)*SUM($BT670:$BX670)))+($CA670-(VLOOKUP($A670,'Childhood asthma'!$A$36:$AG$50,5)*$CA670))+(SUM($CB670:$CF670)-(VLOOKUP($A670,'Childhood asthma'!$A$36:$AG$50,4)*SUM($CB670:$CF670)))+($DJ670-(VLOOKUP($A670,'Childhood asthma'!$A$36:$AG$50,23)*$DJ670))+(SUM($DK670:$DO670)-(VLOOKUP($A670,'Childhood asthma'!$A$36:$AG$50,22)*SUM($DK670:$DO670)))+($DR670-(VLOOKUP($A670,'Childhood asthma'!$A$36:$AG$50,25)*$DR670))+(SUM($DS670:$DW670)-(VLOOKUP($A670,'Childhood asthma'!$A$36:$AG$50,24)*SUM($DS670:$DW670)))+($FA670-(VLOOKUP($A670,'Childhood asthma'!$A$36:$AG$50,19)*$FA670))+(SUM($FB670:$FF670)-(VLOOKUP($A670,'Childhood asthma'!$A$36:$AG$50,18)*SUM($FB670:$FF670)))+($FI670-(VLOOKUP($A670,'Childhood asthma'!$A$36:$AG$50,21)*$FI670))+(SUM($FJ670:$FN670)-(VLOOKUP($A670,'Childhood asthma'!$A$36:$AG$50,20)*SUM($FJ670:$FN670)))</f>
        <v>785.48435470896754</v>
      </c>
      <c r="FU670" s="31">
        <f>(VLOOKUP($A670,'Childhood asthma'!$A$36:$AG$50,7)*$AB670)+(VLOOKUP($A670,'Childhood asthma'!$A$36:$AG$50,6)*SUM($AC670:$AG670))+(VLOOKUP($A670,'Childhood asthma'!$A$36:$AG$50,9)*$AJ670)+(VLOOKUP($A670,'Childhood asthma'!$A$36:$AG$50,8)*SUM($AK670:$AO670))+(VLOOKUP($A670,'Childhood asthma'!$A$36:$AG$50,3)*$BS670)+(VLOOKUP($A670,'Childhood asthma'!$A$36:$AG$50,2)*SUM($BT670:$BX670))+(VLOOKUP($A670,'Childhood asthma'!$A$36:$AG$50,5)*$CA670)+(VLOOKUP($A670,'Childhood asthma'!$A$36:$AG$50,4)*SUM($CB670:$CF670))+(VLOOKUP($A670,'Childhood asthma'!$A$36:$AG$50,23)*$DJ670)+(VLOOKUP($A670,'Childhood asthma'!$A$36:$AG$50,22)*SUM($DK670:$DO670))+(VLOOKUP($A670,'Childhood asthma'!$A$36:$AG$50,25)*$DR670)+(VLOOKUP($A670,'Childhood asthma'!$A$36:$AG$50,24)*SUM($DS670:$DW670))+(VLOOKUP($A670,'Childhood asthma'!$A$36:$AG$50,19)*$FA670)+(VLOOKUP($A670,'Childhood asthma'!$A$36:$AG$50,18)*SUM($FB670:$FF670))+(VLOOKUP($A670,'Childhood asthma'!$A$36:$AG$50,21)*$FI670)+(VLOOKUP($A670,'Childhood asthma'!$A$36:$AG$50,20)*SUM($FJ670:$FN670))</f>
        <v>103.81483285908897</v>
      </c>
      <c r="FV670" s="31">
        <f t="shared" si="212"/>
        <v>889.29918756805648</v>
      </c>
      <c r="FW670" s="286">
        <f t="shared" si="213"/>
        <v>110.70081243194359</v>
      </c>
      <c r="FY670" s="265">
        <v>9</v>
      </c>
      <c r="FZ670" s="30">
        <f t="shared" si="214"/>
        <v>652.50635746174407</v>
      </c>
      <c r="GA670" s="281">
        <f t="shared" si="215"/>
        <v>6768.0858727251289</v>
      </c>
      <c r="GC670" s="265">
        <v>9</v>
      </c>
      <c r="GD670" s="30">
        <f t="shared" si="152"/>
        <v>644.88914163760398</v>
      </c>
      <c r="GE670" s="281">
        <f t="shared" si="216"/>
        <v>6716.0765259257787</v>
      </c>
      <c r="GG670" s="265">
        <v>9</v>
      </c>
      <c r="GH670" s="303">
        <f t="shared" si="217"/>
        <v>123767.73655803489</v>
      </c>
      <c r="GI670" s="304">
        <f t="shared" si="218"/>
        <v>4122054.4305601078</v>
      </c>
      <c r="GK670" s="265">
        <v>9</v>
      </c>
      <c r="GL670" s="287">
        <f t="shared" si="153"/>
        <v>0.88929918756805648</v>
      </c>
      <c r="GM670" s="287">
        <f t="shared" si="154"/>
        <v>0.11070081243194359</v>
      </c>
      <c r="GN670" s="288">
        <f t="shared" si="155"/>
        <v>0.10381483285908896</v>
      </c>
      <c r="GP670" s="265">
        <v>9</v>
      </c>
      <c r="GQ670" s="303">
        <f t="shared" si="219"/>
        <v>123767.73655803489</v>
      </c>
      <c r="GR670" s="304">
        <f t="shared" si="220"/>
        <v>7222186.3664162001</v>
      </c>
      <c r="GT670" s="265">
        <v>9</v>
      </c>
      <c r="GU670" s="303">
        <f t="shared" si="221"/>
        <v>123767.73655803489</v>
      </c>
      <c r="GV670" s="304">
        <f t="shared" si="222"/>
        <v>4122054.4305601078</v>
      </c>
      <c r="GX670" s="265">
        <v>9</v>
      </c>
      <c r="GY670" s="303">
        <f t="shared" si="223"/>
        <v>123767.73655803489</v>
      </c>
      <c r="GZ670" s="304">
        <f t="shared" si="224"/>
        <v>7222186.3664162001</v>
      </c>
    </row>
    <row r="671" spans="1:208" s="30" customFormat="1" x14ac:dyDescent="0.25">
      <c r="A671" s="379">
        <v>10</v>
      </c>
      <c r="B671" s="30">
        <f>VLOOKUP($A671,'Childhood mortality'!$A$12:$G$27,4)</f>
        <v>8.1439294753122901E-5</v>
      </c>
      <c r="C671" s="30">
        <f t="shared" si="87"/>
        <v>0.27</v>
      </c>
      <c r="D671" s="30">
        <f t="shared" si="88"/>
        <v>8.2916496945010154E-4</v>
      </c>
      <c r="E671" s="30">
        <f t="shared" si="89"/>
        <v>0.72908939573579679</v>
      </c>
      <c r="F671" s="30">
        <f>VLOOKUP($A671,'Childhood mortality'!$A$12:$G$27,4)</f>
        <v>8.1439294753122901E-5</v>
      </c>
      <c r="G671" s="30">
        <f t="shared" si="90"/>
        <v>0.27</v>
      </c>
      <c r="H671" s="30">
        <f t="shared" si="91"/>
        <v>8.2916496945010154E-4</v>
      </c>
      <c r="I671" s="30">
        <f t="shared" si="92"/>
        <v>0.72908939573579679</v>
      </c>
      <c r="J671" s="30">
        <f>VLOOKUP($A671,'Childhood mortality'!$A$12:$G$27,4)</f>
        <v>8.1439294753122901E-5</v>
      </c>
      <c r="K671" s="30">
        <f t="shared" si="93"/>
        <v>0.14000000000000001</v>
      </c>
      <c r="L671" s="30">
        <f t="shared" si="94"/>
        <v>8.2916496945010154E-4</v>
      </c>
      <c r="M671" s="30">
        <f t="shared" si="74"/>
        <v>0.44887420927195382</v>
      </c>
      <c r="N671" s="30">
        <f t="shared" si="75"/>
        <v>0.41021518646384297</v>
      </c>
      <c r="O671" s="30">
        <f>VLOOKUP($A671,'Childhood mortality'!$A$12:$G$27,4)</f>
        <v>8.1439294753122901E-5</v>
      </c>
      <c r="P671" s="30">
        <f t="shared" si="95"/>
        <v>0.5714285714285714</v>
      </c>
      <c r="Q671" s="30">
        <f t="shared" si="96"/>
        <v>5.9226069246435837E-4</v>
      </c>
      <c r="R671" s="30">
        <f t="shared" si="76"/>
        <v>0.22357656318525032</v>
      </c>
      <c r="S671" s="30">
        <f t="shared" si="77"/>
        <v>0.20432116539896081</v>
      </c>
      <c r="T671" s="30">
        <f>VLOOKUP($A671,'Childhood mortality'!$A$12:$G$27,4)</f>
        <v>8.1439294753122901E-5</v>
      </c>
      <c r="U671" s="30">
        <f t="shared" si="97"/>
        <v>0.99070013313394945</v>
      </c>
      <c r="V671" s="30">
        <f t="shared" si="98"/>
        <v>5.9226069246435837E-4</v>
      </c>
      <c r="W671" s="30">
        <f t="shared" si="78"/>
        <v>4.5071721941902995E-3</v>
      </c>
      <c r="X671" s="30">
        <f t="shared" si="79"/>
        <v>4.1189946846428094E-3</v>
      </c>
      <c r="Y671" s="30">
        <f>VLOOKUP($A671,'Childhood mortality'!$A$12:$G$27,4)</f>
        <v>8.1439294753122901E-5</v>
      </c>
      <c r="Z671" s="30">
        <f t="shared" si="99"/>
        <v>0.99991856070524687</v>
      </c>
      <c r="AB671" s="284">
        <f t="shared" si="156"/>
        <v>0.11498440584833095</v>
      </c>
      <c r="AC671" s="31">
        <f t="shared" si="157"/>
        <v>0.12582063257749304</v>
      </c>
      <c r="AD671" s="31">
        <f t="shared" si="158"/>
        <v>6.5777189882045395E-2</v>
      </c>
      <c r="AE671" s="31">
        <f t="shared" si="159"/>
        <v>9.3173584722886244E-3</v>
      </c>
      <c r="AF671" s="31">
        <f t="shared" si="160"/>
        <v>0.23229058814011425</v>
      </c>
      <c r="AG671" s="31">
        <f t="shared" si="161"/>
        <v>2.5621275542187854E-3</v>
      </c>
      <c r="AH671" s="286">
        <f t="shared" si="162"/>
        <v>3.0268751145001355E-2</v>
      </c>
      <c r="AI671" s="31"/>
      <c r="AJ671" s="284">
        <f t="shared" si="163"/>
        <v>16.918575285244248</v>
      </c>
      <c r="AK671" s="31">
        <f t="shared" si="164"/>
        <v>18.512995992754181</v>
      </c>
      <c r="AL671" s="31">
        <f t="shared" si="165"/>
        <v>9.7306467127978511</v>
      </c>
      <c r="AM671" s="31">
        <f t="shared" si="166"/>
        <v>1.3857918102197002</v>
      </c>
      <c r="AN671" s="31">
        <f t="shared" si="167"/>
        <v>6.3853475034737883</v>
      </c>
      <c r="AO671" s="31">
        <f t="shared" si="168"/>
        <v>0.25813500614177559</v>
      </c>
      <c r="AP671" s="286">
        <f t="shared" si="169"/>
        <v>3.7356181815458953</v>
      </c>
      <c r="AR671" s="30">
        <v>10</v>
      </c>
      <c r="AS671" s="30">
        <f>VLOOKUP($A671,'Childhood mortality'!$A$12:$G$27,3)</f>
        <v>5.6147025094106307E-5</v>
      </c>
      <c r="AT671" s="30">
        <f t="shared" si="100"/>
        <v>0.27</v>
      </c>
      <c r="AU671" s="30">
        <f t="shared" si="101"/>
        <v>8.2916496945010154E-4</v>
      </c>
      <c r="AV671" s="30">
        <f t="shared" si="102"/>
        <v>0.72911468800545576</v>
      </c>
      <c r="AW671" s="30">
        <f>VLOOKUP($A671,'Childhood mortality'!$A$12:$G$27,3)</f>
        <v>5.6147025094106307E-5</v>
      </c>
      <c r="AX671" s="30">
        <f t="shared" si="103"/>
        <v>0.27</v>
      </c>
      <c r="AY671" s="30">
        <f t="shared" si="104"/>
        <v>8.2916496945010154E-4</v>
      </c>
      <c r="AZ671" s="30">
        <f t="shared" si="105"/>
        <v>0.72911468800545576</v>
      </c>
      <c r="BA671" s="30">
        <f>VLOOKUP($A671,'Childhood mortality'!$A$12:$G$27,3)</f>
        <v>5.6147025094106307E-5</v>
      </c>
      <c r="BB671" s="30">
        <f t="shared" si="106"/>
        <v>0.14000000000000001</v>
      </c>
      <c r="BC671" s="30">
        <f t="shared" si="107"/>
        <v>8.2916496945010154E-4</v>
      </c>
      <c r="BD671" s="30">
        <f t="shared" si="108"/>
        <v>0.44888742448285063</v>
      </c>
      <c r="BE671" s="30">
        <f t="shared" si="109"/>
        <v>0.41022726352260513</v>
      </c>
      <c r="BF671" s="30">
        <f>VLOOKUP($A671,'Childhood mortality'!$A$12:$G$27,3)</f>
        <v>5.6147025094106307E-5</v>
      </c>
      <c r="BG671" s="30">
        <f t="shared" si="110"/>
        <v>0.5714285714285714</v>
      </c>
      <c r="BH671" s="30">
        <f t="shared" si="111"/>
        <v>5.9226069246435837E-4</v>
      </c>
      <c r="BI671" s="30">
        <f t="shared" si="112"/>
        <v>0.22358977839614716</v>
      </c>
      <c r="BJ671" s="30">
        <f t="shared" si="113"/>
        <v>0.204333242457723</v>
      </c>
      <c r="BK671" s="30">
        <f>VLOOKUP($A671,'Childhood mortality'!$A$12:$G$27,3)</f>
        <v>5.6147025094106307E-5</v>
      </c>
      <c r="BL671" s="30">
        <f t="shared" si="114"/>
        <v>0.99072542540360842</v>
      </c>
      <c r="BM671" s="30">
        <f t="shared" si="115"/>
        <v>5.9226069246435837E-4</v>
      </c>
      <c r="BN671" s="30">
        <f t="shared" si="80"/>
        <v>4.5071721941902995E-3</v>
      </c>
      <c r="BO671" s="30">
        <f t="shared" si="81"/>
        <v>4.1189946846428094E-3</v>
      </c>
      <c r="BP671" s="30">
        <f>VLOOKUP($A671,'Childhood mortality'!$A$12:$G$27,3)</f>
        <v>5.6147025094106307E-5</v>
      </c>
      <c r="BQ671" s="30">
        <f t="shared" si="116"/>
        <v>0.99994385297490584</v>
      </c>
      <c r="BS671" s="284">
        <f t="shared" si="170"/>
        <v>1.8091199281466481</v>
      </c>
      <c r="BT671" s="31">
        <f t="shared" si="171"/>
        <v>1.9796129056683218</v>
      </c>
      <c r="BU671" s="31">
        <f t="shared" si="172"/>
        <v>1.0349268619885075</v>
      </c>
      <c r="BV671" s="31">
        <f t="shared" si="173"/>
        <v>0.14659795853340818</v>
      </c>
      <c r="BW671" s="31">
        <f t="shared" si="174"/>
        <v>3.6341690726701827</v>
      </c>
      <c r="BX671" s="31">
        <f t="shared" si="175"/>
        <v>4.0153035712192024E-2</v>
      </c>
      <c r="BY671" s="286">
        <f t="shared" si="176"/>
        <v>6.0489591496404045E-2</v>
      </c>
      <c r="BZ671" s="31"/>
      <c r="CA671" s="284">
        <f t="shared" si="177"/>
        <v>124.3468539199136</v>
      </c>
      <c r="CB671" s="31">
        <f t="shared" si="178"/>
        <v>136.06540559823009</v>
      </c>
      <c r="CC671" s="31">
        <f t="shared" si="179"/>
        <v>71.51590114294018</v>
      </c>
      <c r="CD671" s="31">
        <f t="shared" si="180"/>
        <v>10.184589736559799</v>
      </c>
      <c r="CE671" s="31">
        <f t="shared" si="181"/>
        <v>46.906326529029997</v>
      </c>
      <c r="CF671" s="31">
        <f t="shared" si="182"/>
        <v>1.8938987542976358</v>
      </c>
      <c r="CG671" s="286">
        <f t="shared" si="183"/>
        <v>52.873823419016141</v>
      </c>
      <c r="CI671" s="30">
        <v>10</v>
      </c>
      <c r="CJ671" s="30">
        <f>VLOOKUP($A671,'Childhood mortality'!$A$31:$G$46,4)</f>
        <v>7.2312477237686715E-5</v>
      </c>
      <c r="CK671" s="30">
        <f t="shared" si="117"/>
        <v>0.27</v>
      </c>
      <c r="CL671" s="30">
        <f t="shared" si="118"/>
        <v>8.2916496945010154E-4</v>
      </c>
      <c r="CM671" s="30">
        <f t="shared" si="119"/>
        <v>0.7290985225533122</v>
      </c>
      <c r="CN671" s="30">
        <f>VLOOKUP($A671,'Childhood mortality'!$A$31:$G$46,4)</f>
        <v>7.2312477237686715E-5</v>
      </c>
      <c r="CO671" s="30">
        <f t="shared" si="120"/>
        <v>0.27</v>
      </c>
      <c r="CP671" s="30">
        <f t="shared" si="121"/>
        <v>8.2916496945010154E-4</v>
      </c>
      <c r="CQ671" s="30">
        <f t="shared" si="122"/>
        <v>0.7290985225533122</v>
      </c>
      <c r="CR671" s="30">
        <f>VLOOKUP($A671,'Childhood mortality'!$A$31:$G$46,4)</f>
        <v>7.2312477237686715E-5</v>
      </c>
      <c r="CS671" s="30">
        <f t="shared" si="123"/>
        <v>0.14000000000000001</v>
      </c>
      <c r="CT671" s="30">
        <f t="shared" si="124"/>
        <v>8.2916496945010154E-4</v>
      </c>
      <c r="CU671" s="30">
        <f t="shared" si="125"/>
        <v>0.44887897803410559</v>
      </c>
      <c r="CV671" s="30">
        <f t="shared" si="126"/>
        <v>0.41021954451920656</v>
      </c>
      <c r="CW671" s="30">
        <f>VLOOKUP($A671,'Childhood mortality'!$A$31:$G$46,4)</f>
        <v>7.2312477237686715E-5</v>
      </c>
      <c r="CX671" s="30">
        <f t="shared" si="127"/>
        <v>0.5714285714285714</v>
      </c>
      <c r="CY671" s="30">
        <f t="shared" si="128"/>
        <v>5.9226069246435837E-4</v>
      </c>
      <c r="CZ671" s="30">
        <f t="shared" si="129"/>
        <v>0.22358133194740212</v>
      </c>
      <c r="DA671" s="30">
        <f t="shared" si="130"/>
        <v>0.20432552345432442</v>
      </c>
      <c r="DB671" s="30">
        <f>VLOOKUP($A671,'Childhood mortality'!$A$31:$G$46,4)</f>
        <v>7.2312477237686715E-5</v>
      </c>
      <c r="DC671" s="30">
        <f t="shared" si="131"/>
        <v>0.99070925995146486</v>
      </c>
      <c r="DD671" s="30">
        <f t="shared" si="132"/>
        <v>5.9226069246435837E-4</v>
      </c>
      <c r="DE671" s="30">
        <f t="shared" si="82"/>
        <v>4.5071721941902995E-3</v>
      </c>
      <c r="DF671" s="30">
        <f t="shared" si="83"/>
        <v>4.1189946846428094E-3</v>
      </c>
      <c r="DG671" s="30">
        <f>VLOOKUP($A671,'Childhood mortality'!$A$31:$G$46,4)</f>
        <v>7.2312477237686715E-5</v>
      </c>
      <c r="DH671" s="30">
        <f t="shared" si="133"/>
        <v>0.99992768752276229</v>
      </c>
      <c r="DJ671" s="284">
        <f t="shared" si="184"/>
        <v>0.11076549474228987</v>
      </c>
      <c r="DK671" s="31">
        <f t="shared" si="185"/>
        <v>0.12120412775465227</v>
      </c>
      <c r="DL671" s="31">
        <f t="shared" si="186"/>
        <v>6.3364047673789309E-2</v>
      </c>
      <c r="DM671" s="31">
        <f t="shared" si="187"/>
        <v>8.9755687011680591E-3</v>
      </c>
      <c r="DN671" s="31">
        <f t="shared" si="188"/>
        <v>0.22329523062480908</v>
      </c>
      <c r="DO671" s="31">
        <f t="shared" si="189"/>
        <v>2.4658259336545908E-3</v>
      </c>
      <c r="DP671" s="286">
        <f t="shared" si="190"/>
        <v>2.8165618831502041E-2</v>
      </c>
      <c r="DQ671" s="31"/>
      <c r="DR671" s="284">
        <f t="shared" si="191"/>
        <v>16.283575104078373</v>
      </c>
      <c r="DS671" s="31">
        <f t="shared" si="192"/>
        <v>17.818152862577897</v>
      </c>
      <c r="DT671" s="31">
        <f t="shared" si="193"/>
        <v>9.365343172955356</v>
      </c>
      <c r="DU671" s="31">
        <f t="shared" si="194"/>
        <v>1.333753258239134</v>
      </c>
      <c r="DV671" s="31">
        <f t="shared" si="195"/>
        <v>6.1447901001064666</v>
      </c>
      <c r="DW671" s="31">
        <f t="shared" si="196"/>
        <v>0.24841577082094804</v>
      </c>
      <c r="DX671" s="286">
        <f t="shared" si="197"/>
        <v>3.5006445178236989</v>
      </c>
      <c r="DZ671" s="30">
        <v>10</v>
      </c>
      <c r="EA671" s="30">
        <f>VLOOKUP($A671,'Childhood mortality'!$A$31:$G$46,3)</f>
        <v>4.9854686074939225E-5</v>
      </c>
      <c r="EB671" s="30">
        <f t="shared" si="134"/>
        <v>0.27</v>
      </c>
      <c r="EC671" s="30">
        <f t="shared" si="135"/>
        <v>8.2916496945010154E-4</v>
      </c>
      <c r="ED671" s="30">
        <f t="shared" si="136"/>
        <v>0.72912098034447492</v>
      </c>
      <c r="EE671" s="30">
        <f>VLOOKUP($A671,'Childhood mortality'!$A$31:$G$46,3)</f>
        <v>4.9854686074939225E-5</v>
      </c>
      <c r="EF671" s="30">
        <f t="shared" si="137"/>
        <v>0.27</v>
      </c>
      <c r="EG671" s="30">
        <f t="shared" si="138"/>
        <v>8.2916496945010154E-4</v>
      </c>
      <c r="EH671" s="30">
        <f t="shared" si="139"/>
        <v>0.72912098034447492</v>
      </c>
      <c r="EI671" s="30">
        <f>VLOOKUP($A671,'Childhood mortality'!$A$31:$G$46,3)</f>
        <v>4.9854686074939225E-5</v>
      </c>
      <c r="EJ671" s="30">
        <f t="shared" si="140"/>
        <v>0.14000000000000001</v>
      </c>
      <c r="EK671" s="30">
        <f t="shared" si="141"/>
        <v>8.2916496945010154E-4</v>
      </c>
      <c r="EL671" s="30">
        <f t="shared" si="142"/>
        <v>0.44889071222998811</v>
      </c>
      <c r="EM671" s="30">
        <f t="shared" si="143"/>
        <v>0.41023026811448676</v>
      </c>
      <c r="EN671" s="30">
        <f>VLOOKUP($A671,'Childhood mortality'!$A$31:$G$46,3)</f>
        <v>4.9854686074939225E-5</v>
      </c>
      <c r="EO671" s="30">
        <f t="shared" si="144"/>
        <v>0.5714285714285714</v>
      </c>
      <c r="EP671" s="30">
        <f t="shared" si="145"/>
        <v>5.9226069246435837E-4</v>
      </c>
      <c r="EQ671" s="30">
        <f t="shared" si="146"/>
        <v>0.22359306614328467</v>
      </c>
      <c r="ER671" s="30">
        <f t="shared" si="147"/>
        <v>0.20433624704960465</v>
      </c>
      <c r="ES671" s="30">
        <f>VLOOKUP($A671,'Childhood mortality'!$A$31:$G$46,3)</f>
        <v>4.9854686074939225E-5</v>
      </c>
      <c r="ET671" s="30">
        <f t="shared" si="148"/>
        <v>0.99073171774262758</v>
      </c>
      <c r="EU671" s="30">
        <f t="shared" si="149"/>
        <v>5.9226069246435837E-4</v>
      </c>
      <c r="EV671" s="30">
        <f t="shared" si="84"/>
        <v>4.5071721941902995E-3</v>
      </c>
      <c r="EW671" s="30">
        <f t="shared" si="85"/>
        <v>4.1189946846428094E-3</v>
      </c>
      <c r="EX671" s="30">
        <f>VLOOKUP($A671,'Childhood mortality'!$A$31:$G$46,3)</f>
        <v>4.9854686074939225E-5</v>
      </c>
      <c r="EY671" s="30">
        <f t="shared" si="150"/>
        <v>0.99995014531392501</v>
      </c>
      <c r="FA671" s="284">
        <f t="shared" si="198"/>
        <v>1.7404807432501119</v>
      </c>
      <c r="FB671" s="31">
        <f t="shared" si="199"/>
        <v>1.904505106488342</v>
      </c>
      <c r="FC671" s="31">
        <f t="shared" si="200"/>
        <v>0.99566149464698617</v>
      </c>
      <c r="FD671" s="31">
        <f t="shared" si="201"/>
        <v>0.14103606382665587</v>
      </c>
      <c r="FE671" s="31">
        <f t="shared" si="202"/>
        <v>3.4925716323711056</v>
      </c>
      <c r="FF671" s="31">
        <f t="shared" si="203"/>
        <v>3.861154831099349E-2</v>
      </c>
      <c r="FG671" s="286">
        <f t="shared" si="204"/>
        <v>0.73289749684393746</v>
      </c>
      <c r="FH671" s="31"/>
      <c r="FI671" s="284">
        <f t="shared" si="205"/>
        <v>119.57667068222929</v>
      </c>
      <c r="FJ671" s="31">
        <f t="shared" si="206"/>
        <v>130.84567629626136</v>
      </c>
      <c r="FK671" s="31">
        <f t="shared" si="207"/>
        <v>68.771965518430761</v>
      </c>
      <c r="FL671" s="31">
        <f t="shared" si="208"/>
        <v>9.7937616320725347</v>
      </c>
      <c r="FM671" s="31">
        <f t="shared" si="209"/>
        <v>45.103507624220271</v>
      </c>
      <c r="FN671" s="31">
        <f t="shared" si="210"/>
        <v>1.8211293212858763</v>
      </c>
      <c r="FO671" s="286">
        <f t="shared" si="211"/>
        <v>49.788614138898112</v>
      </c>
      <c r="FQ671" s="30">
        <f t="shared" si="151"/>
        <v>1000.0000000000001</v>
      </c>
      <c r="FR671" s="30" t="str">
        <f t="shared" si="86"/>
        <v>OKAY</v>
      </c>
      <c r="FT671" s="284">
        <f>($AB671-(VLOOKUP($A671,'Childhood asthma'!$A$36:$AG$50,7)*$AB671))+(SUM($AC671:$AG671)-(VLOOKUP($A671,'Childhood asthma'!$A$36:$AG$50,6)*SUM($AC671:$AG671)))+($AJ671-(VLOOKUP($A671,'Childhood asthma'!$A$36:$AG$50,9)*$AJ671))+(SUM($AK671:$AO671)-(VLOOKUP($A671,'Childhood asthma'!$A$36:$AG$50,8)*SUM($AK671:$AO671)))+($BS671-(VLOOKUP($A671,'Childhood asthma'!$A$36:$AG$50,3)*$BS671))+(SUM($BT671:$BX671)-(VLOOKUP($A671,'Childhood asthma'!$A$36:$AG$50,2)*SUM($BT671:$BX671)))+($CA671-(VLOOKUP($A671,'Childhood asthma'!$A$36:$AG$50,5)*$CA671))+(SUM($CB671:$CF671)-(VLOOKUP($A671,'Childhood asthma'!$A$36:$AG$50,4)*SUM($CB671:$CF671)))+($DJ671-(VLOOKUP($A671,'Childhood asthma'!$A$36:$AG$50,23)*$DJ671))+(SUM($DK671:$DO671)-(VLOOKUP($A671,'Childhood asthma'!$A$36:$AG$50,22)*SUM($DK671:$DO671)))+($DR671-(VLOOKUP($A671,'Childhood asthma'!$A$36:$AG$50,25)*$DR671))+(SUM($DS671:$DW671)-(VLOOKUP($A671,'Childhood asthma'!$A$36:$AG$50,24)*SUM($DS671:$DW671)))+($FA671-(VLOOKUP($A671,'Childhood asthma'!$A$36:$AG$50,19)*$FA671))+(SUM($FB671:$FF671)-(VLOOKUP($A671,'Childhood asthma'!$A$36:$AG$50,18)*SUM($FB671:$FF671)))+($FI671-(VLOOKUP($A671,'Childhood asthma'!$A$36:$AG$50,21)*$FI671))+(SUM($FJ671:$FN671)-(VLOOKUP($A671,'Childhood asthma'!$A$36:$AG$50,20)*SUM($FJ671:$FN671)))</f>
        <v>684.09418078969065</v>
      </c>
      <c r="FU671" s="31">
        <f>(VLOOKUP($A671,'Childhood asthma'!$A$36:$AG$50,7)*$AB671)+(VLOOKUP($A671,'Childhood asthma'!$A$36:$AG$50,6)*SUM($AC671:$AG671))+(VLOOKUP($A671,'Childhood asthma'!$A$36:$AG$50,9)*$AJ671)+(VLOOKUP($A671,'Childhood asthma'!$A$36:$AG$50,8)*SUM($AK671:$AO671))+(VLOOKUP($A671,'Childhood asthma'!$A$36:$AG$50,3)*$BS671)+(VLOOKUP($A671,'Childhood asthma'!$A$36:$AG$50,2)*SUM($BT671:$BX671))+(VLOOKUP($A671,'Childhood asthma'!$A$36:$AG$50,5)*$CA671)+(VLOOKUP($A671,'Childhood asthma'!$A$36:$AG$50,4)*SUM($CB671:$CF671))+(VLOOKUP($A671,'Childhood asthma'!$A$36:$AG$50,23)*$DJ671)+(VLOOKUP($A671,'Childhood asthma'!$A$36:$AG$50,22)*SUM($DK671:$DO671))+(VLOOKUP($A671,'Childhood asthma'!$A$36:$AG$50,25)*$DR671)+(VLOOKUP($A671,'Childhood asthma'!$A$36:$AG$50,24)*SUM($DS671:$DW671))+(VLOOKUP($A671,'Childhood asthma'!$A$36:$AG$50,19)*$FA671)+(VLOOKUP($A671,'Childhood asthma'!$A$36:$AG$50,18)*SUM($FB671:$FF671))+(VLOOKUP($A671,'Childhood asthma'!$A$36:$AG$50,21)*$FI671)+(VLOOKUP($A671,'Childhood asthma'!$A$36:$AG$50,20)*SUM($FJ671:$FN671))</f>
        <v>205.15529749470883</v>
      </c>
      <c r="FV671" s="31">
        <f t="shared" si="212"/>
        <v>889.24947828439952</v>
      </c>
      <c r="FW671" s="286">
        <f t="shared" si="213"/>
        <v>110.75052171560071</v>
      </c>
      <c r="FY671" s="265">
        <v>10</v>
      </c>
      <c r="FZ671" s="30">
        <f t="shared" si="214"/>
        <v>630.40568523741035</v>
      </c>
      <c r="GA671" s="281">
        <f t="shared" si="215"/>
        <v>7398.4915579625394</v>
      </c>
      <c r="GC671" s="265">
        <v>10</v>
      </c>
      <c r="GD671" s="30">
        <f t="shared" si="152"/>
        <v>615.8618402247879</v>
      </c>
      <c r="GE671" s="281">
        <f t="shared" si="216"/>
        <v>7331.9383661505663</v>
      </c>
      <c r="GG671" s="265">
        <v>10</v>
      </c>
      <c r="GH671" s="303">
        <f t="shared" si="217"/>
        <v>236249.84642980294</v>
      </c>
      <c r="GI671" s="304">
        <f t="shared" si="218"/>
        <v>4358304.2769899108</v>
      </c>
      <c r="GK671" s="265">
        <v>10</v>
      </c>
      <c r="GL671" s="287">
        <f t="shared" si="153"/>
        <v>0.88924947828439949</v>
      </c>
      <c r="GM671" s="287">
        <f t="shared" si="154"/>
        <v>0.11075052171560071</v>
      </c>
      <c r="GN671" s="288">
        <f t="shared" si="155"/>
        <v>0.20515529749470884</v>
      </c>
      <c r="GP671" s="265">
        <v>10</v>
      </c>
      <c r="GQ671" s="303">
        <f t="shared" si="219"/>
        <v>236249.84642980294</v>
      </c>
      <c r="GR671" s="304">
        <f t="shared" si="220"/>
        <v>7458436.2128460035</v>
      </c>
      <c r="GT671" s="265">
        <v>10</v>
      </c>
      <c r="GU671" s="303">
        <f t="shared" si="221"/>
        <v>236249.84642980294</v>
      </c>
      <c r="GV671" s="304">
        <f t="shared" si="222"/>
        <v>4358304.2769899108</v>
      </c>
      <c r="GX671" s="265">
        <v>10</v>
      </c>
      <c r="GY671" s="303">
        <f t="shared" si="223"/>
        <v>236249.84642980294</v>
      </c>
      <c r="GZ671" s="304">
        <f t="shared" si="224"/>
        <v>7458436.2128460035</v>
      </c>
    </row>
    <row r="672" spans="1:208" s="30" customFormat="1" x14ac:dyDescent="0.25">
      <c r="A672" s="379">
        <v>11</v>
      </c>
      <c r="B672" s="30">
        <f>VLOOKUP($A672,'Childhood mortality'!$A$12:$G$27,4)</f>
        <v>7.8069392901269531E-5</v>
      </c>
      <c r="C672" s="30">
        <f t="shared" si="87"/>
        <v>0.27</v>
      </c>
      <c r="D672" s="30">
        <f t="shared" si="88"/>
        <v>9.0230142566191445E-4</v>
      </c>
      <c r="E672" s="30">
        <f t="shared" si="89"/>
        <v>0.72901962918143681</v>
      </c>
      <c r="F672" s="30">
        <f>VLOOKUP($A672,'Childhood mortality'!$A$12:$G$27,4)</f>
        <v>7.8069392901269531E-5</v>
      </c>
      <c r="G672" s="30">
        <f t="shared" si="90"/>
        <v>0.27</v>
      </c>
      <c r="H672" s="30">
        <f t="shared" si="91"/>
        <v>9.0230142566191445E-4</v>
      </c>
      <c r="I672" s="30">
        <f t="shared" si="92"/>
        <v>0.72901962918143681</v>
      </c>
      <c r="J672" s="30">
        <f>VLOOKUP($A672,'Childhood mortality'!$A$12:$G$27,4)</f>
        <v>7.8069392901269531E-5</v>
      </c>
      <c r="K672" s="30">
        <f t="shared" si="93"/>
        <v>0.14000000000000001</v>
      </c>
      <c r="L672" s="30">
        <f t="shared" si="94"/>
        <v>9.0230142566191445E-4</v>
      </c>
      <c r="M672" s="30">
        <f t="shared" si="74"/>
        <v>0.44883775624730071</v>
      </c>
      <c r="N672" s="30">
        <f t="shared" si="75"/>
        <v>0.41018187293413605</v>
      </c>
      <c r="O672" s="30">
        <f>VLOOKUP($A672,'Childhood mortality'!$A$12:$G$27,4)</f>
        <v>7.8069392901269531E-5</v>
      </c>
      <c r="P672" s="30">
        <f t="shared" si="95"/>
        <v>0.5714285714285714</v>
      </c>
      <c r="Q672" s="30">
        <f t="shared" si="96"/>
        <v>6.4450101832993893E-4</v>
      </c>
      <c r="R672" s="30">
        <f t="shared" si="76"/>
        <v>0.22355102838870314</v>
      </c>
      <c r="S672" s="30">
        <f t="shared" si="77"/>
        <v>0.20429782977149424</v>
      </c>
      <c r="T672" s="30">
        <f>VLOOKUP($A672,'Childhood mortality'!$A$12:$G$27,4)</f>
        <v>7.8069392901269531E-5</v>
      </c>
      <c r="U672" s="30">
        <f t="shared" si="97"/>
        <v>0.99065126270993575</v>
      </c>
      <c r="V672" s="30">
        <f t="shared" si="98"/>
        <v>6.4450101832993893E-4</v>
      </c>
      <c r="W672" s="30">
        <f t="shared" si="78"/>
        <v>4.5071721941902995E-3</v>
      </c>
      <c r="X672" s="30">
        <f t="shared" si="79"/>
        <v>4.1189946846428094E-3</v>
      </c>
      <c r="Y672" s="30">
        <f>VLOOKUP($A672,'Childhood mortality'!$A$12:$G$27,4)</f>
        <v>7.8069392901269531E-5</v>
      </c>
      <c r="Z672" s="30">
        <f t="shared" si="99"/>
        <v>0.99992193060709877</v>
      </c>
      <c r="AB672" s="284">
        <f t="shared" si="156"/>
        <v>0.11366681966829303</v>
      </c>
      <c r="AC672" s="31">
        <f t="shared" si="157"/>
        <v>0.12437887597211125</v>
      </c>
      <c r="AD672" s="31">
        <f t="shared" si="158"/>
        <v>6.501736037497248E-2</v>
      </c>
      <c r="AE672" s="31">
        <f t="shared" si="159"/>
        <v>9.2088065834863564E-3</v>
      </c>
      <c r="AF672" s="31">
        <f t="shared" si="160"/>
        <v>0.23544316929794556</v>
      </c>
      <c r="AG672" s="31">
        <f t="shared" si="161"/>
        <v>2.9942736797891885E-3</v>
      </c>
      <c r="AH672" s="286">
        <f t="shared" si="162"/>
        <v>3.0311748042894514E-2</v>
      </c>
      <c r="AI672" s="31"/>
      <c r="AJ672" s="284">
        <f t="shared" si="163"/>
        <v>16.634723846012204</v>
      </c>
      <c r="AK672" s="31">
        <f t="shared" si="164"/>
        <v>18.202394156107594</v>
      </c>
      <c r="AL672" s="31">
        <f t="shared" si="165"/>
        <v>9.5665242450595755</v>
      </c>
      <c r="AM672" s="31">
        <f t="shared" si="166"/>
        <v>1.3622905397916993</v>
      </c>
      <c r="AN672" s="31">
        <f t="shared" si="167"/>
        <v>7.1175336015693009</v>
      </c>
      <c r="AO672" s="31">
        <f t="shared" si="168"/>
        <v>0.3038732945789685</v>
      </c>
      <c r="AP672" s="286">
        <f t="shared" si="169"/>
        <v>3.7397708090580988</v>
      </c>
      <c r="AR672" s="30">
        <v>11</v>
      </c>
      <c r="AS672" s="30">
        <f>VLOOKUP($A672,'Childhood mortality'!$A$12:$G$27,3)</f>
        <v>5.3823699917798452E-5</v>
      </c>
      <c r="AT672" s="30">
        <f t="shared" si="100"/>
        <v>0.27</v>
      </c>
      <c r="AU672" s="30">
        <f t="shared" si="101"/>
        <v>9.0230142566191445E-4</v>
      </c>
      <c r="AV672" s="30">
        <f t="shared" si="102"/>
        <v>0.72904387487442024</v>
      </c>
      <c r="AW672" s="30">
        <f>VLOOKUP($A672,'Childhood mortality'!$A$12:$G$27,3)</f>
        <v>5.3823699917798452E-5</v>
      </c>
      <c r="AX672" s="30">
        <f t="shared" si="103"/>
        <v>0.27</v>
      </c>
      <c r="AY672" s="30">
        <f t="shared" si="104"/>
        <v>9.0230142566191445E-4</v>
      </c>
      <c r="AZ672" s="30">
        <f t="shared" si="105"/>
        <v>0.72904387487442024</v>
      </c>
      <c r="BA672" s="30">
        <f>VLOOKUP($A672,'Childhood mortality'!$A$12:$G$27,3)</f>
        <v>5.3823699917798452E-5</v>
      </c>
      <c r="BB672" s="30">
        <f t="shared" si="106"/>
        <v>0.14000000000000001</v>
      </c>
      <c r="BC672" s="30">
        <f t="shared" si="107"/>
        <v>9.0230142566191445E-4</v>
      </c>
      <c r="BD672" s="30">
        <f t="shared" si="108"/>
        <v>0.44885042462188457</v>
      </c>
      <c r="BE672" s="30">
        <f t="shared" si="109"/>
        <v>0.41019345025253567</v>
      </c>
      <c r="BF672" s="30">
        <f>VLOOKUP($A672,'Childhood mortality'!$A$12:$G$27,3)</f>
        <v>5.3823699917798452E-5</v>
      </c>
      <c r="BG672" s="30">
        <f t="shared" si="110"/>
        <v>0.5714285714285714</v>
      </c>
      <c r="BH672" s="30">
        <f t="shared" si="111"/>
        <v>6.4450101832993893E-4</v>
      </c>
      <c r="BI672" s="30">
        <f t="shared" si="112"/>
        <v>0.223563696763287</v>
      </c>
      <c r="BJ672" s="30">
        <f t="shared" si="113"/>
        <v>0.20430940708989387</v>
      </c>
      <c r="BK672" s="30">
        <f>VLOOKUP($A672,'Childhood mortality'!$A$12:$G$27,3)</f>
        <v>5.3823699917798452E-5</v>
      </c>
      <c r="BL672" s="30">
        <f t="shared" si="114"/>
        <v>0.99067550840291918</v>
      </c>
      <c r="BM672" s="30">
        <f t="shared" si="115"/>
        <v>6.4450101832993893E-4</v>
      </c>
      <c r="BN672" s="30">
        <f t="shared" si="80"/>
        <v>4.5071721941902995E-3</v>
      </c>
      <c r="BO672" s="30">
        <f t="shared" si="81"/>
        <v>4.1189946846428094E-3</v>
      </c>
      <c r="BP672" s="30">
        <f>VLOOKUP($A672,'Childhood mortality'!$A$12:$G$27,3)</f>
        <v>5.3823699917798452E-5</v>
      </c>
      <c r="BQ672" s="30">
        <f t="shared" si="116"/>
        <v>0.9999461763000822</v>
      </c>
      <c r="BS672" s="284">
        <f t="shared" si="170"/>
        <v>1.7883684878886321</v>
      </c>
      <c r="BT672" s="31">
        <f t="shared" si="171"/>
        <v>1.9569058322969848</v>
      </c>
      <c r="BU672" s="31">
        <f t="shared" si="172"/>
        <v>1.0229578651300419</v>
      </c>
      <c r="BV672" s="31">
        <f t="shared" si="173"/>
        <v>0.14488976067839107</v>
      </c>
      <c r="BW672" s="31">
        <f t="shared" si="174"/>
        <v>3.6840525557087891</v>
      </c>
      <c r="BX672" s="31">
        <f t="shared" si="175"/>
        <v>4.6939977749357424E-2</v>
      </c>
      <c r="BY672" s="286">
        <f t="shared" si="176"/>
        <v>6.0954874763468128E-2</v>
      </c>
      <c r="BZ672" s="31"/>
      <c r="CA672" s="284">
        <f t="shared" si="177"/>
        <v>122.26368084813873</v>
      </c>
      <c r="CB672" s="31">
        <f t="shared" si="178"/>
        <v>133.78591255110473</v>
      </c>
      <c r="CC672" s="31">
        <f t="shared" si="179"/>
        <v>70.311310069898809</v>
      </c>
      <c r="CD672" s="31">
        <f t="shared" si="180"/>
        <v>10.012226160011625</v>
      </c>
      <c r="CE672" s="31">
        <f t="shared" si="181"/>
        <v>52.288714445208583</v>
      </c>
      <c r="CF672" s="31">
        <f t="shared" si="182"/>
        <v>2.2300912239118045</v>
      </c>
      <c r="CG672" s="286">
        <f t="shared" si="183"/>
        <v>52.894863801713164</v>
      </c>
      <c r="CI672" s="30">
        <v>11</v>
      </c>
      <c r="CJ672" s="30">
        <f>VLOOKUP($A672,'Childhood mortality'!$A$31:$G$46,4)</f>
        <v>7.1329589197562804E-5</v>
      </c>
      <c r="CK672" s="30">
        <f t="shared" si="117"/>
        <v>0.27</v>
      </c>
      <c r="CL672" s="30">
        <f t="shared" si="118"/>
        <v>9.0230142566191445E-4</v>
      </c>
      <c r="CM672" s="30">
        <f t="shared" si="119"/>
        <v>0.7290263689851405</v>
      </c>
      <c r="CN672" s="30">
        <f>VLOOKUP($A672,'Childhood mortality'!$A$31:$G$46,4)</f>
        <v>7.1329589197562804E-5</v>
      </c>
      <c r="CO672" s="30">
        <f t="shared" si="120"/>
        <v>0.27</v>
      </c>
      <c r="CP672" s="30">
        <f t="shared" si="121"/>
        <v>9.0230142566191445E-4</v>
      </c>
      <c r="CQ672" s="30">
        <f t="shared" si="122"/>
        <v>0.7290263689851405</v>
      </c>
      <c r="CR672" s="30">
        <f>VLOOKUP($A672,'Childhood mortality'!$A$31:$G$46,4)</f>
        <v>7.1329589197562804E-5</v>
      </c>
      <c r="CS672" s="30">
        <f t="shared" si="123"/>
        <v>0.14000000000000001</v>
      </c>
      <c r="CT672" s="30">
        <f t="shared" si="124"/>
        <v>9.0230142566191445E-4</v>
      </c>
      <c r="CU672" s="30">
        <f t="shared" si="125"/>
        <v>0.44884127779473587</v>
      </c>
      <c r="CV672" s="30">
        <f t="shared" si="126"/>
        <v>0.41018509119040458</v>
      </c>
      <c r="CW672" s="30">
        <f>VLOOKUP($A672,'Childhood mortality'!$A$31:$G$46,4)</f>
        <v>7.1329589197562804E-5</v>
      </c>
      <c r="CX672" s="30">
        <f t="shared" si="127"/>
        <v>0.5714285714285714</v>
      </c>
      <c r="CY672" s="30">
        <f t="shared" si="128"/>
        <v>6.4450101832993893E-4</v>
      </c>
      <c r="CZ672" s="30">
        <f t="shared" si="129"/>
        <v>0.2235545499361383</v>
      </c>
      <c r="DA672" s="30">
        <f t="shared" si="130"/>
        <v>0.20430104802776278</v>
      </c>
      <c r="DB672" s="30">
        <f>VLOOKUP($A672,'Childhood mortality'!$A$31:$G$46,4)</f>
        <v>7.1329589197562804E-5</v>
      </c>
      <c r="DC672" s="30">
        <f t="shared" si="131"/>
        <v>0.99065800251363945</v>
      </c>
      <c r="DD672" s="30">
        <f t="shared" si="132"/>
        <v>6.4450101832993893E-4</v>
      </c>
      <c r="DE672" s="30">
        <f t="shared" si="82"/>
        <v>4.5071721941902995E-3</v>
      </c>
      <c r="DF672" s="30">
        <f t="shared" si="83"/>
        <v>4.1189946846428094E-3</v>
      </c>
      <c r="DG672" s="30">
        <f>VLOOKUP($A672,'Childhood mortality'!$A$31:$G$46,4)</f>
        <v>7.1329589197562804E-5</v>
      </c>
      <c r="DH672" s="30">
        <f t="shared" si="133"/>
        <v>0.99992867041080247</v>
      </c>
      <c r="DJ672" s="284">
        <f t="shared" si="184"/>
        <v>0.10949542407442417</v>
      </c>
      <c r="DK672" s="31">
        <f t="shared" si="185"/>
        <v>0.11981436456311335</v>
      </c>
      <c r="DL672" s="31">
        <f t="shared" si="186"/>
        <v>6.2631798074174377E-2</v>
      </c>
      <c r="DM672" s="31">
        <f t="shared" si="187"/>
        <v>8.8709666743305039E-3</v>
      </c>
      <c r="DN672" s="31">
        <f t="shared" si="188"/>
        <v>0.22633810354226327</v>
      </c>
      <c r="DO672" s="31">
        <f t="shared" si="189"/>
        <v>2.8818288056386286E-3</v>
      </c>
      <c r="DP672" s="286">
        <f t="shared" si="190"/>
        <v>2.8203428527920918E-2</v>
      </c>
      <c r="DQ672" s="31"/>
      <c r="DR672" s="284">
        <f t="shared" si="191"/>
        <v>16.010477321880497</v>
      </c>
      <c r="DS672" s="31">
        <f t="shared" si="192"/>
        <v>17.519318116612681</v>
      </c>
      <c r="DT672" s="31">
        <f t="shared" si="193"/>
        <v>9.2074665509971929</v>
      </c>
      <c r="DU672" s="31">
        <f t="shared" si="194"/>
        <v>1.31114804421375</v>
      </c>
      <c r="DV672" s="31">
        <f t="shared" si="195"/>
        <v>6.8495302054308498</v>
      </c>
      <c r="DW672" s="31">
        <f t="shared" si="196"/>
        <v>0.29243838049476295</v>
      </c>
      <c r="DX672" s="286">
        <f t="shared" si="197"/>
        <v>3.5042961669721389</v>
      </c>
      <c r="DZ672" s="30">
        <v>11</v>
      </c>
      <c r="EA672" s="30">
        <f>VLOOKUP($A672,'Childhood mortality'!$A$31:$G$46,3)</f>
        <v>4.9177049565182762E-5</v>
      </c>
      <c r="EB672" s="30">
        <f t="shared" si="134"/>
        <v>0.27</v>
      </c>
      <c r="EC672" s="30">
        <f t="shared" si="135"/>
        <v>9.0230142566191445E-4</v>
      </c>
      <c r="ED672" s="30">
        <f t="shared" si="136"/>
        <v>0.72904852152477284</v>
      </c>
      <c r="EE672" s="30">
        <f>VLOOKUP($A672,'Childhood mortality'!$A$31:$G$46,3)</f>
        <v>4.9177049565182762E-5</v>
      </c>
      <c r="EF672" s="30">
        <f t="shared" si="137"/>
        <v>0.27</v>
      </c>
      <c r="EG672" s="30">
        <f t="shared" si="138"/>
        <v>9.0230142566191445E-4</v>
      </c>
      <c r="EH672" s="30">
        <f t="shared" si="139"/>
        <v>0.72904852152477284</v>
      </c>
      <c r="EI672" s="30">
        <f>VLOOKUP($A672,'Childhood mortality'!$A$31:$G$46,3)</f>
        <v>4.9177049565182762E-5</v>
      </c>
      <c r="EJ672" s="30">
        <f t="shared" si="140"/>
        <v>0.14000000000000001</v>
      </c>
      <c r="EK672" s="30">
        <f t="shared" si="141"/>
        <v>9.0230142566191445E-4</v>
      </c>
      <c r="EL672" s="30">
        <f t="shared" si="142"/>
        <v>0.44885285249669377</v>
      </c>
      <c r="EM672" s="30">
        <f t="shared" si="143"/>
        <v>0.41019566902807902</v>
      </c>
      <c r="EN672" s="30">
        <f>VLOOKUP($A672,'Childhood mortality'!$A$31:$G$46,3)</f>
        <v>4.9177049565182762E-5</v>
      </c>
      <c r="EO672" s="30">
        <f t="shared" si="144"/>
        <v>0.5714285714285714</v>
      </c>
      <c r="EP672" s="30">
        <f t="shared" si="145"/>
        <v>6.4450101832993893E-4</v>
      </c>
      <c r="EQ672" s="30">
        <f t="shared" si="146"/>
        <v>0.22356612463809625</v>
      </c>
      <c r="ER672" s="30">
        <f t="shared" si="147"/>
        <v>0.20431162586543725</v>
      </c>
      <c r="ES672" s="30">
        <f>VLOOKUP($A672,'Childhood mortality'!$A$31:$G$46,3)</f>
        <v>4.9177049565182762E-5</v>
      </c>
      <c r="ET672" s="30">
        <f t="shared" si="148"/>
        <v>0.99068015505327178</v>
      </c>
      <c r="EU672" s="30">
        <f t="shared" si="149"/>
        <v>6.4450101832993893E-4</v>
      </c>
      <c r="EV672" s="30">
        <f t="shared" si="84"/>
        <v>4.5071721941902995E-3</v>
      </c>
      <c r="EW672" s="30">
        <f t="shared" si="85"/>
        <v>4.1189946846428094E-3</v>
      </c>
      <c r="EX672" s="30">
        <f>VLOOKUP($A672,'Childhood mortality'!$A$31:$G$46,3)</f>
        <v>4.9177049565182762E-5</v>
      </c>
      <c r="EY672" s="30">
        <f t="shared" si="150"/>
        <v>0.9999508229504348</v>
      </c>
      <c r="FA672" s="284">
        <f t="shared" si="198"/>
        <v>1.7205121370266059</v>
      </c>
      <c r="FB672" s="31">
        <f t="shared" si="199"/>
        <v>1.882654642086705</v>
      </c>
      <c r="FC672" s="31">
        <f t="shared" si="200"/>
        <v>0.98414617942938265</v>
      </c>
      <c r="FD672" s="31">
        <f t="shared" si="201"/>
        <v>0.13939260925057809</v>
      </c>
      <c r="FE672" s="31">
        <f t="shared" si="202"/>
        <v>3.5406134427644402</v>
      </c>
      <c r="FF672" s="31">
        <f t="shared" si="203"/>
        <v>4.5138776084212531E-2</v>
      </c>
      <c r="FG672" s="286">
        <f t="shared" si="204"/>
        <v>0.73330629909620837</v>
      </c>
      <c r="FH672" s="31"/>
      <c r="FI672" s="284">
        <f t="shared" si="205"/>
        <v>117.5739178464928</v>
      </c>
      <c r="FJ672" s="31">
        <f t="shared" si="206"/>
        <v>128.65418235558636</v>
      </c>
      <c r="FK672" s="31">
        <f t="shared" si="207"/>
        <v>67.614033684192478</v>
      </c>
      <c r="FL672" s="31">
        <f t="shared" si="208"/>
        <v>9.6280751725803082</v>
      </c>
      <c r="FM672" s="31">
        <f t="shared" si="209"/>
        <v>50.279585144936121</v>
      </c>
      <c r="FN672" s="31">
        <f t="shared" si="210"/>
        <v>2.1444305926873395</v>
      </c>
      <c r="FO672" s="286">
        <f t="shared" si="211"/>
        <v>49.8071004169228</v>
      </c>
      <c r="FQ672" s="30">
        <f t="shared" si="151"/>
        <v>1000</v>
      </c>
      <c r="FR672" s="30" t="str">
        <f t="shared" si="86"/>
        <v>OKAY</v>
      </c>
      <c r="FT672" s="284">
        <f>($AB672-(VLOOKUP($A672,'Childhood asthma'!$A$36:$AG$50,7)*$AB672))+(SUM($AC672:$AG672)-(VLOOKUP($A672,'Childhood asthma'!$A$36:$AG$50,6)*SUM($AC672:$AG672)))+($AJ672-(VLOOKUP($A672,'Childhood asthma'!$A$36:$AG$50,9)*$AJ672))+(SUM($AK672:$AO672)-(VLOOKUP($A672,'Childhood asthma'!$A$36:$AG$50,8)*SUM($AK672:$AO672)))+($BS672-(VLOOKUP($A672,'Childhood asthma'!$A$36:$AG$50,3)*$BS672))+(SUM($BT672:$BX672)-(VLOOKUP($A672,'Childhood asthma'!$A$36:$AG$50,2)*SUM($BT672:$BX672)))+($CA672-(VLOOKUP($A672,'Childhood asthma'!$A$36:$AG$50,5)*$CA672))+(SUM($CB672:$CF672)-(VLOOKUP($A672,'Childhood asthma'!$A$36:$AG$50,4)*SUM($CB672:$CF672)))+($DJ672-(VLOOKUP($A672,'Childhood asthma'!$A$36:$AG$50,23)*$DJ672))+(SUM($DK672:$DO672)-(VLOOKUP($A672,'Childhood asthma'!$A$36:$AG$50,22)*SUM($DK672:$DO672)))+($DR672-(VLOOKUP($A672,'Childhood asthma'!$A$36:$AG$50,25)*$DR672))+(SUM($DS672:$DW672)-(VLOOKUP($A672,'Childhood asthma'!$A$36:$AG$50,24)*SUM($DS672:$DW672)))+($FA672-(VLOOKUP($A672,'Childhood asthma'!$A$36:$AG$50,19)*$FA672))+(SUM($FB672:$FF672)-(VLOOKUP($A672,'Childhood asthma'!$A$36:$AG$50,18)*SUM($FB672:$FF672)))+($FI672-(VLOOKUP($A672,'Childhood asthma'!$A$36:$AG$50,21)*$FI672))+(SUM($FJ672:$FN672)-(VLOOKUP($A672,'Childhood asthma'!$A$36:$AG$50,20)*SUM($FJ672:$FN672)))</f>
        <v>684.23299781716025</v>
      </c>
      <c r="FU672" s="31">
        <f>(VLOOKUP($A672,'Childhood asthma'!$A$36:$AG$50,7)*$AB672)+(VLOOKUP($A672,'Childhood asthma'!$A$36:$AG$50,6)*SUM($AC672:$AG672))+(VLOOKUP($A672,'Childhood asthma'!$A$36:$AG$50,9)*$AJ672)+(VLOOKUP($A672,'Childhood asthma'!$A$36:$AG$50,8)*SUM($AK672:$AO672))+(VLOOKUP($A672,'Childhood asthma'!$A$36:$AG$50,3)*$BS672)+(VLOOKUP($A672,'Childhood asthma'!$A$36:$AG$50,2)*SUM($BT672:$BX672))+(VLOOKUP($A672,'Childhood asthma'!$A$36:$AG$50,5)*$CA672)+(VLOOKUP($A672,'Childhood asthma'!$A$36:$AG$50,4)*SUM($CB672:$CF672))+(VLOOKUP($A672,'Childhood asthma'!$A$36:$AG$50,23)*$DJ672)+(VLOOKUP($A672,'Childhood asthma'!$A$36:$AG$50,22)*SUM($DK672:$DO672))+(VLOOKUP($A672,'Childhood asthma'!$A$36:$AG$50,25)*$DR672)+(VLOOKUP($A672,'Childhood asthma'!$A$36:$AG$50,24)*SUM($DS672:$DW672))+(VLOOKUP($A672,'Childhood asthma'!$A$36:$AG$50,19)*$FA672)+(VLOOKUP($A672,'Childhood asthma'!$A$36:$AG$50,18)*SUM($FB672:$FF672))+(VLOOKUP($A672,'Childhood asthma'!$A$36:$AG$50,21)*$FI672)+(VLOOKUP($A672,'Childhood asthma'!$A$36:$AG$50,20)*SUM($FJ672:$FN672))</f>
        <v>204.96819463774318</v>
      </c>
      <c r="FV672" s="31">
        <f t="shared" si="212"/>
        <v>889.20119245490343</v>
      </c>
      <c r="FW672" s="286">
        <f t="shared" si="213"/>
        <v>110.79880754509669</v>
      </c>
      <c r="FY672" s="265">
        <v>11</v>
      </c>
      <c r="FZ672" s="30">
        <f t="shared" si="214"/>
        <v>609.0545454149227</v>
      </c>
      <c r="GA672" s="281">
        <f t="shared" si="215"/>
        <v>8007.5461033774618</v>
      </c>
      <c r="GC672" s="265">
        <v>11</v>
      </c>
      <c r="GD672" s="30">
        <f t="shared" si="152"/>
        <v>595.01533677812824</v>
      </c>
      <c r="GE672" s="281">
        <f t="shared" si="216"/>
        <v>7926.9537029286948</v>
      </c>
      <c r="GG672" s="265">
        <v>11</v>
      </c>
      <c r="GH672" s="303">
        <f t="shared" si="217"/>
        <v>228051.00650503836</v>
      </c>
      <c r="GI672" s="304">
        <f t="shared" si="218"/>
        <v>4586355.2834949493</v>
      </c>
      <c r="GK672" s="265">
        <v>11</v>
      </c>
      <c r="GL672" s="287">
        <f t="shared" si="153"/>
        <v>0.88920119245490348</v>
      </c>
      <c r="GM672" s="287">
        <f t="shared" si="154"/>
        <v>0.11079880754509669</v>
      </c>
      <c r="GN672" s="288">
        <f t="shared" si="155"/>
        <v>0.20496819463774318</v>
      </c>
      <c r="GP672" s="265">
        <v>11</v>
      </c>
      <c r="GQ672" s="303">
        <f t="shared" si="219"/>
        <v>228051.00650503836</v>
      </c>
      <c r="GR672" s="304">
        <f t="shared" si="220"/>
        <v>7686487.2193510421</v>
      </c>
      <c r="GT672" s="265">
        <v>11</v>
      </c>
      <c r="GU672" s="303">
        <f t="shared" si="221"/>
        <v>228051.00650503836</v>
      </c>
      <c r="GV672" s="304">
        <f t="shared" si="222"/>
        <v>4586355.2834949493</v>
      </c>
      <c r="GX672" s="265">
        <v>11</v>
      </c>
      <c r="GY672" s="303">
        <f t="shared" si="223"/>
        <v>228051.00650503836</v>
      </c>
      <c r="GZ672" s="304">
        <f t="shared" si="224"/>
        <v>7686487.2193510421</v>
      </c>
    </row>
    <row r="673" spans="1:208" s="30" customFormat="1" x14ac:dyDescent="0.25">
      <c r="A673" s="379">
        <v>12</v>
      </c>
      <c r="B673" s="30">
        <f>VLOOKUP($A673,'Childhood mortality'!$A$12:$G$27,4)</f>
        <v>8.2141357638925675E-5</v>
      </c>
      <c r="C673" s="30">
        <f t="shared" si="87"/>
        <v>0.27</v>
      </c>
      <c r="D673" s="30">
        <f t="shared" si="88"/>
        <v>9.7714867617107936E-4</v>
      </c>
      <c r="E673" s="30">
        <f t="shared" si="89"/>
        <v>0.72894070996618998</v>
      </c>
      <c r="F673" s="30">
        <f>VLOOKUP($A673,'Childhood mortality'!$A$12:$G$27,4)</f>
        <v>8.2141357638925675E-5</v>
      </c>
      <c r="G673" s="30">
        <f t="shared" si="90"/>
        <v>0.27</v>
      </c>
      <c r="H673" s="30">
        <f t="shared" si="91"/>
        <v>9.7714867617107936E-4</v>
      </c>
      <c r="I673" s="30">
        <f t="shared" si="92"/>
        <v>0.72894070996618998</v>
      </c>
      <c r="J673" s="30">
        <f>VLOOKUP($A673,'Childhood mortality'!$A$12:$G$27,4)</f>
        <v>8.2141357638925675E-5</v>
      </c>
      <c r="K673" s="30">
        <f t="shared" si="93"/>
        <v>0.14000000000000001</v>
      </c>
      <c r="L673" s="30">
        <f t="shared" si="94"/>
        <v>9.7714867617107936E-4</v>
      </c>
      <c r="M673" s="30">
        <f t="shared" si="74"/>
        <v>0.44879652095733424</v>
      </c>
      <c r="N673" s="30">
        <f t="shared" si="75"/>
        <v>0.41014418900885569</v>
      </c>
      <c r="O673" s="30">
        <f>VLOOKUP($A673,'Childhood mortality'!$A$12:$G$27,4)</f>
        <v>8.2141357638925675E-5</v>
      </c>
      <c r="P673" s="30">
        <f t="shared" si="95"/>
        <v>0.5714285714285714</v>
      </c>
      <c r="Q673" s="30">
        <f t="shared" si="96"/>
        <v>6.9796334012219962E-4</v>
      </c>
      <c r="R673" s="30">
        <f t="shared" si="76"/>
        <v>0.22352096672399127</v>
      </c>
      <c r="S673" s="30">
        <f t="shared" si="77"/>
        <v>0.20427035714967623</v>
      </c>
      <c r="T673" s="30">
        <f>VLOOKUP($A673,'Childhood mortality'!$A$12:$G$27,4)</f>
        <v>8.2141357638925675E-5</v>
      </c>
      <c r="U673" s="30">
        <f t="shared" si="97"/>
        <v>0.99059372842340576</v>
      </c>
      <c r="V673" s="30">
        <f t="shared" si="98"/>
        <v>6.9796334012219962E-4</v>
      </c>
      <c r="W673" s="30">
        <f t="shared" si="78"/>
        <v>4.5071721941902995E-3</v>
      </c>
      <c r="X673" s="30">
        <f t="shared" si="79"/>
        <v>4.1189946846428094E-3</v>
      </c>
      <c r="Y673" s="30">
        <f>VLOOKUP($A673,'Childhood mortality'!$A$12:$G$27,4)</f>
        <v>8.2141357638925675E-5</v>
      </c>
      <c r="Z673" s="30">
        <f t="shared" si="99"/>
        <v>0.99991785864236105</v>
      </c>
      <c r="AB673" s="284">
        <f t="shared" si="156"/>
        <v>0.11237374014369875</v>
      </c>
      <c r="AC673" s="31">
        <f t="shared" si="157"/>
        <v>0.12296393554991121</v>
      </c>
      <c r="AD673" s="31">
        <f t="shared" si="158"/>
        <v>6.427233782290917E-2</v>
      </c>
      <c r="AE673" s="31">
        <f t="shared" si="159"/>
        <v>9.1024304524961481E-3</v>
      </c>
      <c r="AF673" s="31">
        <f t="shared" si="160"/>
        <v>0.23849070209723866</v>
      </c>
      <c r="AG673" s="31">
        <f t="shared" si="161"/>
        <v>3.4609235003194749E-3</v>
      </c>
      <c r="AH673" s="286">
        <f t="shared" si="162"/>
        <v>3.0356984052918964E-2</v>
      </c>
      <c r="AI673" s="31"/>
      <c r="AJ673" s="284">
        <f t="shared" si="163"/>
        <v>16.356974396704665</v>
      </c>
      <c r="AK673" s="31">
        <f t="shared" si="164"/>
        <v>17.898469366027619</v>
      </c>
      <c r="AL673" s="31">
        <f t="shared" si="165"/>
        <v>9.4060218605723467</v>
      </c>
      <c r="AM673" s="31">
        <f t="shared" si="166"/>
        <v>1.3393133943083406</v>
      </c>
      <c r="AN673" s="31">
        <f t="shared" si="167"/>
        <v>7.8290358845812333</v>
      </c>
      <c r="AO673" s="31">
        <f t="shared" si="168"/>
        <v>0.35315590063436031</v>
      </c>
      <c r="AP673" s="286">
        <f t="shared" si="169"/>
        <v>3.7441396893488728</v>
      </c>
      <c r="AR673" s="30">
        <v>12</v>
      </c>
      <c r="AS673" s="30">
        <f>VLOOKUP($A673,'Childhood mortality'!$A$12:$G$27,3)</f>
        <v>5.6631051172503769E-5</v>
      </c>
      <c r="AT673" s="30">
        <f t="shared" si="100"/>
        <v>0.27</v>
      </c>
      <c r="AU673" s="30">
        <f t="shared" si="101"/>
        <v>9.7714867617107936E-4</v>
      </c>
      <c r="AV673" s="30">
        <f t="shared" si="102"/>
        <v>0.72896622027265645</v>
      </c>
      <c r="AW673" s="30">
        <f>VLOOKUP($A673,'Childhood mortality'!$A$12:$G$27,3)</f>
        <v>5.6631051172503769E-5</v>
      </c>
      <c r="AX673" s="30">
        <f t="shared" si="103"/>
        <v>0.27</v>
      </c>
      <c r="AY673" s="30">
        <f t="shared" si="104"/>
        <v>9.7714867617107936E-4</v>
      </c>
      <c r="AZ673" s="30">
        <f t="shared" si="105"/>
        <v>0.72896622027265645</v>
      </c>
      <c r="BA673" s="30">
        <f>VLOOKUP($A673,'Childhood mortality'!$A$12:$G$27,3)</f>
        <v>5.6631051172503769E-5</v>
      </c>
      <c r="BB673" s="30">
        <f t="shared" si="106"/>
        <v>0.14000000000000001</v>
      </c>
      <c r="BC673" s="30">
        <f t="shared" si="107"/>
        <v>9.7714867617107936E-4</v>
      </c>
      <c r="BD673" s="30">
        <f t="shared" si="108"/>
        <v>0.44880985009246299</v>
      </c>
      <c r="BE673" s="30">
        <f t="shared" si="109"/>
        <v>0.41015637018019346</v>
      </c>
      <c r="BF673" s="30">
        <f>VLOOKUP($A673,'Childhood mortality'!$A$12:$G$27,3)</f>
        <v>5.6631051172503769E-5</v>
      </c>
      <c r="BG673" s="30">
        <f t="shared" si="110"/>
        <v>0.5714285714285714</v>
      </c>
      <c r="BH673" s="30">
        <f t="shared" si="111"/>
        <v>6.9796334012219962E-4</v>
      </c>
      <c r="BI673" s="30">
        <f t="shared" si="112"/>
        <v>0.22353429585911996</v>
      </c>
      <c r="BJ673" s="30">
        <f t="shared" si="113"/>
        <v>0.20428253832101395</v>
      </c>
      <c r="BK673" s="30">
        <f>VLOOKUP($A673,'Childhood mortality'!$A$12:$G$27,3)</f>
        <v>5.6631051172503769E-5</v>
      </c>
      <c r="BL673" s="30">
        <f t="shared" si="114"/>
        <v>0.99061923872987223</v>
      </c>
      <c r="BM673" s="30">
        <f t="shared" si="115"/>
        <v>6.9796334012219962E-4</v>
      </c>
      <c r="BN673" s="30">
        <f t="shared" si="80"/>
        <v>4.5071721941902995E-3</v>
      </c>
      <c r="BO673" s="30">
        <f t="shared" si="81"/>
        <v>4.1189946846428094E-3</v>
      </c>
      <c r="BP673" s="30">
        <f>VLOOKUP($A673,'Childhood mortality'!$A$12:$G$27,3)</f>
        <v>5.6631051172503769E-5</v>
      </c>
      <c r="BQ673" s="30">
        <f t="shared" si="116"/>
        <v>0.99994336894882752</v>
      </c>
      <c r="BS673" s="284">
        <f t="shared" si="170"/>
        <v>1.7680059428629351</v>
      </c>
      <c r="BT673" s="31">
        <f t="shared" si="171"/>
        <v>1.9346243039704369</v>
      </c>
      <c r="BU673" s="31">
        <f t="shared" si="172"/>
        <v>1.0112240664501166</v>
      </c>
      <c r="BV673" s="31">
        <f t="shared" si="173"/>
        <v>0.14321410111820587</v>
      </c>
      <c r="BW673" s="31">
        <f t="shared" si="174"/>
        <v>3.7322874871361611</v>
      </c>
      <c r="BX673" s="31">
        <f t="shared" si="175"/>
        <v>5.426905262491382E-2</v>
      </c>
      <c r="BY673" s="286">
        <f t="shared" si="176"/>
        <v>6.1444400052894955E-2</v>
      </c>
      <c r="BZ673" s="31"/>
      <c r="CA673" s="284">
        <f t="shared" si="177"/>
        <v>120.2254249364517</v>
      </c>
      <c r="CB673" s="31">
        <f t="shared" si="178"/>
        <v>131.55556969486076</v>
      </c>
      <c r="CC673" s="31">
        <f t="shared" si="179"/>
        <v>69.13339021779575</v>
      </c>
      <c r="CD673" s="31">
        <f t="shared" si="180"/>
        <v>9.8435834097858343</v>
      </c>
      <c r="CE673" s="31">
        <f t="shared" si="181"/>
        <v>57.519478589311419</v>
      </c>
      <c r="CF673" s="31">
        <f t="shared" si="182"/>
        <v>2.5923518288780278</v>
      </c>
      <c r="CG673" s="286">
        <f t="shared" si="183"/>
        <v>52.917000422903968</v>
      </c>
      <c r="CI673" s="30">
        <v>12</v>
      </c>
      <c r="CJ673" s="30">
        <f>VLOOKUP($A673,'Childhood mortality'!$A$31:$G$46,4)</f>
        <v>7.5682379089540058E-5</v>
      </c>
      <c r="CK673" s="30">
        <f t="shared" si="117"/>
        <v>0.27</v>
      </c>
      <c r="CL673" s="30">
        <f t="shared" si="118"/>
        <v>9.7714867617107936E-4</v>
      </c>
      <c r="CM673" s="30">
        <f t="shared" si="119"/>
        <v>0.72894716894473943</v>
      </c>
      <c r="CN673" s="30">
        <f>VLOOKUP($A673,'Childhood mortality'!$A$31:$G$46,4)</f>
        <v>7.5682379089540058E-5</v>
      </c>
      <c r="CO673" s="30">
        <f t="shared" si="120"/>
        <v>0.27</v>
      </c>
      <c r="CP673" s="30">
        <f t="shared" si="121"/>
        <v>9.7714867617107936E-4</v>
      </c>
      <c r="CQ673" s="30">
        <f t="shared" si="122"/>
        <v>0.72894716894473943</v>
      </c>
      <c r="CR673" s="30">
        <f>VLOOKUP($A673,'Childhood mortality'!$A$31:$G$46,4)</f>
        <v>7.5682379089540058E-5</v>
      </c>
      <c r="CS673" s="30">
        <f t="shared" si="123"/>
        <v>0.14000000000000001</v>
      </c>
      <c r="CT673" s="30">
        <f t="shared" si="124"/>
        <v>9.7714867617107936E-4</v>
      </c>
      <c r="CU673" s="30">
        <f t="shared" si="125"/>
        <v>0.44879989577362633</v>
      </c>
      <c r="CV673" s="30">
        <f t="shared" si="126"/>
        <v>0.41014727317111305</v>
      </c>
      <c r="CW673" s="30">
        <f>VLOOKUP($A673,'Childhood mortality'!$A$31:$G$46,4)</f>
        <v>7.5682379089540058E-5</v>
      </c>
      <c r="CX673" s="30">
        <f t="shared" si="127"/>
        <v>0.5714285714285714</v>
      </c>
      <c r="CY673" s="30">
        <f t="shared" si="128"/>
        <v>6.9796334012219962E-4</v>
      </c>
      <c r="CZ673" s="30">
        <f t="shared" si="129"/>
        <v>0.22352434154028331</v>
      </c>
      <c r="DA673" s="30">
        <f t="shared" si="130"/>
        <v>0.20427344131193353</v>
      </c>
      <c r="DB673" s="30">
        <f>VLOOKUP($A673,'Childhood mortality'!$A$31:$G$46,4)</f>
        <v>7.5682379089540058E-5</v>
      </c>
      <c r="DC673" s="30">
        <f t="shared" si="131"/>
        <v>0.99060018740195521</v>
      </c>
      <c r="DD673" s="30">
        <f t="shared" si="132"/>
        <v>6.9796334012219962E-4</v>
      </c>
      <c r="DE673" s="30">
        <f t="shared" si="82"/>
        <v>4.5071721941902995E-3</v>
      </c>
      <c r="DF673" s="30">
        <f t="shared" si="83"/>
        <v>4.1189946846428094E-3</v>
      </c>
      <c r="DG673" s="30">
        <f>VLOOKUP($A673,'Childhood mortality'!$A$31:$G$46,4)</f>
        <v>7.5682379089540058E-5</v>
      </c>
      <c r="DH673" s="30">
        <f t="shared" si="133"/>
        <v>0.9999243176209105</v>
      </c>
      <c r="DJ673" s="284">
        <f t="shared" si="184"/>
        <v>0.10824902892113325</v>
      </c>
      <c r="DK673" s="31">
        <f t="shared" si="185"/>
        <v>0.11845050808647564</v>
      </c>
      <c r="DL673" s="31">
        <f t="shared" si="186"/>
        <v>6.1913642932135138E-2</v>
      </c>
      <c r="DM673" s="31">
        <f t="shared" si="187"/>
        <v>8.7684517303844144E-3</v>
      </c>
      <c r="DN673" s="31">
        <f t="shared" si="188"/>
        <v>0.2292796915990723</v>
      </c>
      <c r="DO673" s="31">
        <f t="shared" si="189"/>
        <v>3.3310483452285342E-3</v>
      </c>
      <c r="DP673" s="286">
        <f t="shared" si="190"/>
        <v>2.8243542647436004E-2</v>
      </c>
      <c r="DQ673" s="31"/>
      <c r="DR673" s="284">
        <f t="shared" si="191"/>
        <v>15.743255317513897</v>
      </c>
      <c r="DS673" s="31">
        <f t="shared" si="192"/>
        <v>17.226912886703683</v>
      </c>
      <c r="DT673" s="31">
        <f t="shared" si="193"/>
        <v>9.0530447683931587</v>
      </c>
      <c r="DU673" s="31">
        <f t="shared" si="194"/>
        <v>1.2890453171396072</v>
      </c>
      <c r="DV673" s="31">
        <f t="shared" si="195"/>
        <v>7.5343733589515809</v>
      </c>
      <c r="DW673" s="31">
        <f t="shared" si="196"/>
        <v>0.3398727612873817</v>
      </c>
      <c r="DX673" s="286">
        <f t="shared" si="197"/>
        <v>3.5081703766125667</v>
      </c>
      <c r="DZ673" s="30">
        <v>12</v>
      </c>
      <c r="EA673" s="30">
        <f>VLOOKUP($A673,'Childhood mortality'!$A$31:$G$46,3)</f>
        <v>5.2178011251247059E-5</v>
      </c>
      <c r="EB673" s="30">
        <f t="shared" si="134"/>
        <v>0.27</v>
      </c>
      <c r="EC673" s="30">
        <f t="shared" si="135"/>
        <v>9.7714867617107936E-4</v>
      </c>
      <c r="ED673" s="30">
        <f t="shared" si="136"/>
        <v>0.7289706733125777</v>
      </c>
      <c r="EE673" s="30">
        <f>VLOOKUP($A673,'Childhood mortality'!$A$31:$G$46,3)</f>
        <v>5.2178011251247059E-5</v>
      </c>
      <c r="EF673" s="30">
        <f t="shared" si="137"/>
        <v>0.27</v>
      </c>
      <c r="EG673" s="30">
        <f t="shared" si="138"/>
        <v>9.7714867617107936E-4</v>
      </c>
      <c r="EH673" s="30">
        <f t="shared" si="139"/>
        <v>0.7289706733125777</v>
      </c>
      <c r="EI673" s="30">
        <f>VLOOKUP($A673,'Childhood mortality'!$A$31:$G$46,3)</f>
        <v>5.2178011251247059E-5</v>
      </c>
      <c r="EJ673" s="30">
        <f t="shared" si="140"/>
        <v>0.14000000000000001</v>
      </c>
      <c r="EK673" s="30">
        <f t="shared" si="141"/>
        <v>9.7714867617107936E-4</v>
      </c>
      <c r="EL673" s="30">
        <f t="shared" si="142"/>
        <v>0.44881217680582181</v>
      </c>
      <c r="EM673" s="30">
        <f t="shared" si="143"/>
        <v>0.41015849650675584</v>
      </c>
      <c r="EN673" s="30">
        <f>VLOOKUP($A673,'Childhood mortality'!$A$31:$G$46,3)</f>
        <v>5.2178011251247059E-5</v>
      </c>
      <c r="EO673" s="30">
        <f t="shared" si="144"/>
        <v>0.5714285714285714</v>
      </c>
      <c r="EP673" s="30">
        <f t="shared" si="145"/>
        <v>6.9796334012219962E-4</v>
      </c>
      <c r="EQ673" s="30">
        <f t="shared" si="146"/>
        <v>0.22353662257247883</v>
      </c>
      <c r="ER673" s="30">
        <f t="shared" si="147"/>
        <v>0.20428466464757636</v>
      </c>
      <c r="ES673" s="30">
        <f>VLOOKUP($A673,'Childhood mortality'!$A$31:$G$46,3)</f>
        <v>5.2178011251247059E-5</v>
      </c>
      <c r="ET673" s="30">
        <f t="shared" si="148"/>
        <v>0.99062369176979348</v>
      </c>
      <c r="EU673" s="30">
        <f t="shared" si="149"/>
        <v>6.9796334012219962E-4</v>
      </c>
      <c r="EV673" s="30">
        <f t="shared" si="84"/>
        <v>4.5071721941902995E-3</v>
      </c>
      <c r="EW673" s="30">
        <f t="shared" si="85"/>
        <v>4.1189946846428094E-3</v>
      </c>
      <c r="EX673" s="30">
        <f>VLOOKUP($A673,'Childhood mortality'!$A$31:$G$46,3)</f>
        <v>5.2178011251247059E-5</v>
      </c>
      <c r="EY673" s="30">
        <f t="shared" si="150"/>
        <v>0.99994782198874876</v>
      </c>
      <c r="FA673" s="284">
        <f t="shared" si="198"/>
        <v>1.7009183486545969</v>
      </c>
      <c r="FB673" s="31">
        <f t="shared" si="199"/>
        <v>1.8612143186848733</v>
      </c>
      <c r="FC673" s="31">
        <f t="shared" si="200"/>
        <v>0.97285503036059406</v>
      </c>
      <c r="FD673" s="31">
        <f t="shared" si="201"/>
        <v>0.13778046512011358</v>
      </c>
      <c r="FE673" s="31">
        <f t="shared" si="202"/>
        <v>3.5870684793728271</v>
      </c>
      <c r="FF673" s="31">
        <f t="shared" si="203"/>
        <v>5.2187416933002884E-2</v>
      </c>
      <c r="FG673" s="286">
        <f t="shared" si="204"/>
        <v>0.73374002661212545</v>
      </c>
      <c r="FH673" s="31"/>
      <c r="FI673" s="284">
        <f t="shared" si="205"/>
        <v>115.61437790701135</v>
      </c>
      <c r="FJ673" s="31">
        <f t="shared" si="206"/>
        <v>126.50997373070875</v>
      </c>
      <c r="FK673" s="31">
        <f t="shared" si="207"/>
        <v>66.481587054561373</v>
      </c>
      <c r="FL673" s="31">
        <f t="shared" si="208"/>
        <v>9.4659647157869475</v>
      </c>
      <c r="FM673" s="31">
        <f t="shared" si="209"/>
        <v>55.309905498404746</v>
      </c>
      <c r="FN673" s="31">
        <f t="shared" si="210"/>
        <v>2.4928024769115433</v>
      </c>
      <c r="FO673" s="286">
        <f t="shared" si="211"/>
        <v>49.826713830013503</v>
      </c>
      <c r="FQ673" s="30">
        <f t="shared" si="151"/>
        <v>1000</v>
      </c>
      <c r="FR673" s="30" t="str">
        <f t="shared" si="86"/>
        <v>OKAY</v>
      </c>
      <c r="FT673" s="284">
        <f>($AB673-(VLOOKUP($A673,'Childhood asthma'!$A$36:$AG$50,7)*$AB673))+(SUM($AC673:$AG673)-(VLOOKUP($A673,'Childhood asthma'!$A$36:$AG$50,6)*SUM($AC673:$AG673)))+($AJ673-(VLOOKUP($A673,'Childhood asthma'!$A$36:$AG$50,9)*$AJ673))+(SUM($AK673:$AO673)-(VLOOKUP($A673,'Childhood asthma'!$A$36:$AG$50,8)*SUM($AK673:$AO673)))+($BS673-(VLOOKUP($A673,'Childhood asthma'!$A$36:$AG$50,3)*$BS673))+(SUM($BT673:$BX673)-(VLOOKUP($A673,'Childhood asthma'!$A$36:$AG$50,2)*SUM($BT673:$BX673)))+($CA673-(VLOOKUP($A673,'Childhood asthma'!$A$36:$AG$50,5)*$CA673))+(SUM($CB673:$CF673)-(VLOOKUP($A673,'Childhood asthma'!$A$36:$AG$50,4)*SUM($CB673:$CF673)))+($DJ673-(VLOOKUP($A673,'Childhood asthma'!$A$36:$AG$50,23)*$DJ673))+(SUM($DK673:$DO673)-(VLOOKUP($A673,'Childhood asthma'!$A$36:$AG$50,22)*SUM($DK673:$DO673)))+($DR673-(VLOOKUP($A673,'Childhood asthma'!$A$36:$AG$50,25)*$DR673))+(SUM($DS673:$DW673)-(VLOOKUP($A673,'Childhood asthma'!$A$36:$AG$50,24)*SUM($DS673:$DW673)))+($FA673-(VLOOKUP($A673,'Childhood asthma'!$A$36:$AG$50,19)*$FA673))+(SUM($FB673:$FF673)-(VLOOKUP($A673,'Childhood asthma'!$A$36:$AG$50,18)*SUM($FB673:$FF673)))+($FI673-(VLOOKUP($A673,'Childhood asthma'!$A$36:$AG$50,21)*$FI673))+(SUM($FJ673:$FN673)-(VLOOKUP($A673,'Childhood asthma'!$A$36:$AG$50,20)*SUM($FJ673:$FN673)))</f>
        <v>684.36589522858662</v>
      </c>
      <c r="FU673" s="31">
        <f>(VLOOKUP($A673,'Childhood asthma'!$A$36:$AG$50,7)*$AB673)+(VLOOKUP($A673,'Childhood asthma'!$A$36:$AG$50,6)*SUM($AC673:$AG673))+(VLOOKUP($A673,'Childhood asthma'!$A$36:$AG$50,9)*$AJ673)+(VLOOKUP($A673,'Childhood asthma'!$A$36:$AG$50,8)*SUM($AK673:$AO673))+(VLOOKUP($A673,'Childhood asthma'!$A$36:$AG$50,3)*$BS673)+(VLOOKUP($A673,'Childhood asthma'!$A$36:$AG$50,2)*SUM($BT673:$BX673))+(VLOOKUP($A673,'Childhood asthma'!$A$36:$AG$50,5)*$CA673)+(VLOOKUP($A673,'Childhood asthma'!$A$36:$AG$50,4)*SUM($CB673:$CF673))+(VLOOKUP($A673,'Childhood asthma'!$A$36:$AG$50,23)*$DJ673)+(VLOOKUP($A673,'Childhood asthma'!$A$36:$AG$50,22)*SUM($DK673:$DO673))+(VLOOKUP($A673,'Childhood asthma'!$A$36:$AG$50,25)*$DR673)+(VLOOKUP($A673,'Childhood asthma'!$A$36:$AG$50,24)*SUM($DS673:$DW673))+(VLOOKUP($A673,'Childhood asthma'!$A$36:$AG$50,19)*$FA673)+(VLOOKUP($A673,'Childhood asthma'!$A$36:$AG$50,18)*SUM($FB673:$FF673))+(VLOOKUP($A673,'Childhood asthma'!$A$36:$AG$50,21)*$FI673)+(VLOOKUP($A673,'Childhood asthma'!$A$36:$AG$50,20)*SUM($FJ673:$FN673))</f>
        <v>204.78429549916913</v>
      </c>
      <c r="FV673" s="31">
        <f t="shared" si="212"/>
        <v>889.15019072775578</v>
      </c>
      <c r="FW673" s="286">
        <f t="shared" si="213"/>
        <v>110.84980927224427</v>
      </c>
      <c r="FY673" s="265">
        <v>12</v>
      </c>
      <c r="FZ673" s="30">
        <f t="shared" si="214"/>
        <v>588.42474589422238</v>
      </c>
      <c r="GA673" s="281">
        <f t="shared" si="215"/>
        <v>8595.9708492716836</v>
      </c>
      <c r="GC673" s="265">
        <v>12</v>
      </c>
      <c r="GD673" s="30">
        <f t="shared" si="152"/>
        <v>574.87246324289674</v>
      </c>
      <c r="GE673" s="281">
        <f t="shared" si="216"/>
        <v>8501.8261661715915</v>
      </c>
      <c r="GG673" s="265">
        <v>12</v>
      </c>
      <c r="GH673" s="303">
        <f t="shared" si="217"/>
        <v>220144.42482514662</v>
      </c>
      <c r="GI673" s="304">
        <f t="shared" si="218"/>
        <v>4806499.7083200961</v>
      </c>
      <c r="GK673" s="265">
        <v>12</v>
      </c>
      <c r="GL673" s="287">
        <f t="shared" si="153"/>
        <v>0.88915019072775581</v>
      </c>
      <c r="GM673" s="287">
        <f t="shared" si="154"/>
        <v>0.11084980927224428</v>
      </c>
      <c r="GN673" s="288">
        <f t="shared" si="155"/>
        <v>0.20478429549916913</v>
      </c>
      <c r="GP673" s="265">
        <v>12</v>
      </c>
      <c r="GQ673" s="303">
        <f t="shared" si="219"/>
        <v>220144.42482514662</v>
      </c>
      <c r="GR673" s="304">
        <f t="shared" si="220"/>
        <v>7906631.6441761889</v>
      </c>
      <c r="GT673" s="265">
        <v>12</v>
      </c>
      <c r="GU673" s="303">
        <f t="shared" si="221"/>
        <v>220144.42482514662</v>
      </c>
      <c r="GV673" s="304">
        <f t="shared" si="222"/>
        <v>4806499.7083200961</v>
      </c>
      <c r="GX673" s="265">
        <v>12</v>
      </c>
      <c r="GY673" s="303">
        <f t="shared" si="223"/>
        <v>220144.42482514662</v>
      </c>
      <c r="GZ673" s="304">
        <f t="shared" si="224"/>
        <v>7906631.6441761889</v>
      </c>
    </row>
    <row r="674" spans="1:208" s="30" customFormat="1" x14ac:dyDescent="0.25">
      <c r="A674" s="379">
        <v>13</v>
      </c>
      <c r="B674" s="30">
        <f>VLOOKUP($A674,'Childhood mortality'!$A$12:$G$27,4)</f>
        <v>9.3655188966091334E-5</v>
      </c>
      <c r="C674" s="30">
        <f t="shared" si="87"/>
        <v>0.27</v>
      </c>
      <c r="D674" s="30">
        <f t="shared" si="88"/>
        <v>1.0535641547861506E-3</v>
      </c>
      <c r="E674" s="30">
        <f t="shared" si="89"/>
        <v>0.7288527806562477</v>
      </c>
      <c r="F674" s="30">
        <f>VLOOKUP($A674,'Childhood mortality'!$A$12:$G$27,4)</f>
        <v>9.3655188966091334E-5</v>
      </c>
      <c r="G674" s="30">
        <f t="shared" si="90"/>
        <v>0.27</v>
      </c>
      <c r="H674" s="30">
        <f t="shared" si="91"/>
        <v>1.0535641547861506E-3</v>
      </c>
      <c r="I674" s="30">
        <f t="shared" si="92"/>
        <v>0.7288527806562477</v>
      </c>
      <c r="J674" s="30">
        <f>VLOOKUP($A674,'Childhood mortality'!$A$12:$G$27,4)</f>
        <v>9.3655188966091334E-5</v>
      </c>
      <c r="K674" s="30">
        <f t="shared" si="93"/>
        <v>0.14000000000000001</v>
      </c>
      <c r="L674" s="30">
        <f t="shared" si="94"/>
        <v>1.0535641547861506E-3</v>
      </c>
      <c r="M674" s="30">
        <f t="shared" si="74"/>
        <v>0.44875057789288941</v>
      </c>
      <c r="N674" s="30">
        <f t="shared" si="75"/>
        <v>0.41010220276335824</v>
      </c>
      <c r="O674" s="30">
        <f>VLOOKUP($A674,'Childhood mortality'!$A$12:$G$27,4)</f>
        <v>9.3655188966091334E-5</v>
      </c>
      <c r="P674" s="30">
        <f t="shared" si="95"/>
        <v>0.5714285714285714</v>
      </c>
      <c r="Q674" s="30">
        <f t="shared" si="96"/>
        <v>7.5254582484725048E-4</v>
      </c>
      <c r="R674" s="30">
        <f t="shared" si="76"/>
        <v>0.22348643139885394</v>
      </c>
      <c r="S674" s="30">
        <f t="shared" si="77"/>
        <v>0.20423879615876125</v>
      </c>
      <c r="T674" s="30">
        <f>VLOOKUP($A674,'Childhood mortality'!$A$12:$G$27,4)</f>
        <v>9.3655188966091334E-5</v>
      </c>
      <c r="U674" s="30">
        <f t="shared" si="97"/>
        <v>0.99052763210735351</v>
      </c>
      <c r="V674" s="30">
        <f t="shared" si="98"/>
        <v>7.5254582484725048E-4</v>
      </c>
      <c r="W674" s="30">
        <f t="shared" si="78"/>
        <v>4.5071721941902995E-3</v>
      </c>
      <c r="X674" s="30">
        <f t="shared" si="79"/>
        <v>4.1189946846428094E-3</v>
      </c>
      <c r="Y674" s="30">
        <f>VLOOKUP($A674,'Childhood mortality'!$A$12:$G$27,4)</f>
        <v>9.3655188966091334E-5</v>
      </c>
      <c r="Z674" s="30">
        <f t="shared" si="99"/>
        <v>0.99990634481103391</v>
      </c>
      <c r="AB674" s="284">
        <f t="shared" si="156"/>
        <v>0.1111035516664151</v>
      </c>
      <c r="AC674" s="31">
        <f t="shared" si="157"/>
        <v>0.12157404344649614</v>
      </c>
      <c r="AD674" s="31">
        <f t="shared" si="158"/>
        <v>6.3541172437274696E-2</v>
      </c>
      <c r="AE674" s="31">
        <f t="shared" si="159"/>
        <v>8.9981272952072838E-3</v>
      </c>
      <c r="AF674" s="31">
        <f t="shared" si="160"/>
        <v>0.24143301925799585</v>
      </c>
      <c r="AG674" s="31">
        <f t="shared" si="161"/>
        <v>3.9625829156922088E-3</v>
      </c>
      <c r="AH674" s="286">
        <f t="shared" si="162"/>
        <v>3.0408556600411054E-2</v>
      </c>
      <c r="AI674" s="31"/>
      <c r="AJ674" s="284">
        <f t="shared" si="163"/>
        <v>16.085044068949575</v>
      </c>
      <c r="AK674" s="31">
        <f t="shared" si="164"/>
        <v>17.600912096389848</v>
      </c>
      <c r="AL674" s="31">
        <f t="shared" si="165"/>
        <v>9.2489698159377163</v>
      </c>
      <c r="AM674" s="31">
        <f t="shared" si="166"/>
        <v>1.3168430604801287</v>
      </c>
      <c r="AN674" s="31">
        <f t="shared" si="167"/>
        <v>8.5201983160425154</v>
      </c>
      <c r="AO674" s="31">
        <f t="shared" si="168"/>
        <v>0.40602258384846307</v>
      </c>
      <c r="AP674" s="286">
        <f t="shared" si="169"/>
        <v>3.7491205505291902</v>
      </c>
      <c r="AR674" s="30">
        <v>13</v>
      </c>
      <c r="AS674" s="30">
        <f>VLOOKUP($A674,'Childhood mortality'!$A$12:$G$27,3)</f>
        <v>6.456907885822225E-5</v>
      </c>
      <c r="AT674" s="30">
        <f t="shared" si="100"/>
        <v>0.27</v>
      </c>
      <c r="AU674" s="30">
        <f t="shared" si="101"/>
        <v>1.0535641547861506E-3</v>
      </c>
      <c r="AV674" s="30">
        <f t="shared" si="102"/>
        <v>0.72888186676635558</v>
      </c>
      <c r="AW674" s="30">
        <f>VLOOKUP($A674,'Childhood mortality'!$A$12:$G$27,3)</f>
        <v>6.456907885822225E-5</v>
      </c>
      <c r="AX674" s="30">
        <f t="shared" si="103"/>
        <v>0.27</v>
      </c>
      <c r="AY674" s="30">
        <f t="shared" si="104"/>
        <v>1.0535641547861506E-3</v>
      </c>
      <c r="AZ674" s="30">
        <f t="shared" si="105"/>
        <v>0.72888186676635558</v>
      </c>
      <c r="BA674" s="30">
        <f>VLOOKUP($A674,'Childhood mortality'!$A$12:$G$27,3)</f>
        <v>6.456907885822225E-5</v>
      </c>
      <c r="BB674" s="30">
        <f t="shared" si="106"/>
        <v>0.14000000000000001</v>
      </c>
      <c r="BC674" s="30">
        <f t="shared" si="107"/>
        <v>1.0535641547861506E-3</v>
      </c>
      <c r="BD674" s="30">
        <f t="shared" si="108"/>
        <v>0.44876577538542078</v>
      </c>
      <c r="BE674" s="30">
        <f t="shared" si="109"/>
        <v>0.4101160913809348</v>
      </c>
      <c r="BF674" s="30">
        <f>VLOOKUP($A674,'Childhood mortality'!$A$12:$G$27,3)</f>
        <v>6.456907885822225E-5</v>
      </c>
      <c r="BG674" s="30">
        <f t="shared" si="110"/>
        <v>0.5714285714285714</v>
      </c>
      <c r="BH674" s="30">
        <f t="shared" si="111"/>
        <v>7.5254582484725048E-4</v>
      </c>
      <c r="BI674" s="30">
        <f t="shared" si="112"/>
        <v>0.22350162889138531</v>
      </c>
      <c r="BJ674" s="30">
        <f t="shared" si="113"/>
        <v>0.20425268477633776</v>
      </c>
      <c r="BK674" s="30">
        <f>VLOOKUP($A674,'Childhood mortality'!$A$12:$G$27,3)</f>
        <v>6.456907885822225E-5</v>
      </c>
      <c r="BL674" s="30">
        <f t="shared" si="114"/>
        <v>0.99055671821746138</v>
      </c>
      <c r="BM674" s="30">
        <f t="shared" si="115"/>
        <v>7.5254582484725048E-4</v>
      </c>
      <c r="BN674" s="30">
        <f t="shared" si="80"/>
        <v>4.5071721941902995E-3</v>
      </c>
      <c r="BO674" s="30">
        <f t="shared" si="81"/>
        <v>4.1189946846428094E-3</v>
      </c>
      <c r="BP674" s="30">
        <f>VLOOKUP($A674,'Childhood mortality'!$A$12:$G$27,3)</f>
        <v>6.456907885822225E-5</v>
      </c>
      <c r="BQ674" s="30">
        <f t="shared" si="116"/>
        <v>0.99993543092114179</v>
      </c>
      <c r="BS674" s="284">
        <f t="shared" si="170"/>
        <v>1.7480118707030994</v>
      </c>
      <c r="BT674" s="31">
        <f t="shared" si="171"/>
        <v>1.9127459737012975</v>
      </c>
      <c r="BU674" s="31">
        <f t="shared" si="172"/>
        <v>0.99971016664501056</v>
      </c>
      <c r="BV674" s="31">
        <f t="shared" si="173"/>
        <v>0.14157136930301634</v>
      </c>
      <c r="BW674" s="31">
        <f t="shared" si="174"/>
        <v>3.7788790739120945</v>
      </c>
      <c r="BX674" s="31">
        <f t="shared" si="175"/>
        <v>6.2148388996964607E-2</v>
      </c>
      <c r="BY674" s="286">
        <f t="shared" si="176"/>
        <v>6.2002510954181196E-2</v>
      </c>
      <c r="BZ674" s="31"/>
      <c r="CA674" s="284">
        <f t="shared" si="177"/>
        <v>118.230348706336</v>
      </c>
      <c r="CB674" s="31">
        <f t="shared" si="178"/>
        <v>129.37247580955091</v>
      </c>
      <c r="CC674" s="31">
        <f t="shared" si="179"/>
        <v>67.980868550454375</v>
      </c>
      <c r="CD674" s="31">
        <f t="shared" si="180"/>
        <v>9.6786746304914058</v>
      </c>
      <c r="CE674" s="31">
        <f t="shared" si="181"/>
        <v>62.601210750599755</v>
      </c>
      <c r="CF674" s="31">
        <f t="shared" si="182"/>
        <v>2.9809821267969761</v>
      </c>
      <c r="CG674" s="286">
        <f t="shared" si="183"/>
        <v>52.942238525758043</v>
      </c>
      <c r="CI674" s="30">
        <v>13</v>
      </c>
      <c r="CJ674" s="30">
        <f>VLOOKUP($A674,'Childhood mortality'!$A$31:$G$46,4)</f>
        <v>8.354548341053125E-5</v>
      </c>
      <c r="CK674" s="30">
        <f t="shared" si="117"/>
        <v>0.27</v>
      </c>
      <c r="CL674" s="30">
        <f t="shared" si="118"/>
        <v>1.0535641547861506E-3</v>
      </c>
      <c r="CM674" s="30">
        <f t="shared" si="119"/>
        <v>0.7288628903618033</v>
      </c>
      <c r="CN674" s="30">
        <f>VLOOKUP($A674,'Childhood mortality'!$A$31:$G$46,4)</f>
        <v>8.354548341053125E-5</v>
      </c>
      <c r="CO674" s="30">
        <f t="shared" si="120"/>
        <v>0.27</v>
      </c>
      <c r="CP674" s="30">
        <f t="shared" si="121"/>
        <v>1.0535641547861506E-3</v>
      </c>
      <c r="CQ674" s="30">
        <f t="shared" si="122"/>
        <v>0.7288628903618033</v>
      </c>
      <c r="CR674" s="30">
        <f>VLOOKUP($A674,'Childhood mortality'!$A$31:$G$46,4)</f>
        <v>8.354548341053125E-5</v>
      </c>
      <c r="CS674" s="30">
        <f t="shared" si="123"/>
        <v>0.14000000000000001</v>
      </c>
      <c r="CT674" s="30">
        <f t="shared" si="124"/>
        <v>1.0535641547861506E-3</v>
      </c>
      <c r="CU674" s="30">
        <f t="shared" si="125"/>
        <v>0.44875586021404218</v>
      </c>
      <c r="CV674" s="30">
        <f t="shared" si="126"/>
        <v>0.41010703014776106</v>
      </c>
      <c r="CW674" s="30">
        <f>VLOOKUP($A674,'Childhood mortality'!$A$31:$G$46,4)</f>
        <v>8.354548341053125E-5</v>
      </c>
      <c r="CX674" s="30">
        <f t="shared" si="127"/>
        <v>0.5714285714285714</v>
      </c>
      <c r="CY674" s="30">
        <f t="shared" si="128"/>
        <v>7.5254582484725048E-4</v>
      </c>
      <c r="CZ674" s="30">
        <f t="shared" si="129"/>
        <v>0.2234917137200067</v>
      </c>
      <c r="DA674" s="30">
        <f t="shared" si="130"/>
        <v>0.20424362354316403</v>
      </c>
      <c r="DB674" s="30">
        <f>VLOOKUP($A674,'Childhood mortality'!$A$31:$G$46,4)</f>
        <v>8.354548341053125E-5</v>
      </c>
      <c r="DC674" s="30">
        <f t="shared" si="131"/>
        <v>0.9905377418129091</v>
      </c>
      <c r="DD674" s="30">
        <f t="shared" si="132"/>
        <v>7.5254582484725048E-4</v>
      </c>
      <c r="DE674" s="30">
        <f t="shared" si="82"/>
        <v>4.5071721941902995E-3</v>
      </c>
      <c r="DF674" s="30">
        <f t="shared" si="83"/>
        <v>4.1189946846428094E-3</v>
      </c>
      <c r="DG674" s="30">
        <f>VLOOKUP($A674,'Childhood mortality'!$A$31:$G$46,4)</f>
        <v>8.354548341053125E-5</v>
      </c>
      <c r="DH674" s="30">
        <f t="shared" si="133"/>
        <v>0.9999164545165895</v>
      </c>
      <c r="DJ674" s="284">
        <f t="shared" si="184"/>
        <v>0.10702522251211263</v>
      </c>
      <c r="DK674" s="31">
        <f t="shared" si="185"/>
        <v>0.11711136913629076</v>
      </c>
      <c r="DL674" s="31">
        <f t="shared" si="186"/>
        <v>6.1208874992054407E-2</v>
      </c>
      <c r="DM674" s="31">
        <f t="shared" si="187"/>
        <v>8.6679100104989203E-3</v>
      </c>
      <c r="DN674" s="31">
        <f t="shared" si="188"/>
        <v>0.23212073180603923</v>
      </c>
      <c r="DO674" s="31">
        <f t="shared" si="189"/>
        <v>3.8139846885428506E-3</v>
      </c>
      <c r="DP674" s="286">
        <f t="shared" si="190"/>
        <v>2.8287821116326425E-2</v>
      </c>
      <c r="DQ674" s="31"/>
      <c r="DR674" s="284">
        <f t="shared" si="191"/>
        <v>15.48170520848903</v>
      </c>
      <c r="DS674" s="31">
        <f t="shared" si="192"/>
        <v>16.940714076304744</v>
      </c>
      <c r="DT674" s="31">
        <f t="shared" si="193"/>
        <v>8.9019454151387478</v>
      </c>
      <c r="DU674" s="31">
        <f t="shared" si="194"/>
        <v>1.2674262675750423</v>
      </c>
      <c r="DV674" s="31">
        <f t="shared" si="195"/>
        <v>8.1996784970310177</v>
      </c>
      <c r="DW674" s="31">
        <f t="shared" si="196"/>
        <v>0.39075854419570061</v>
      </c>
      <c r="DX674" s="286">
        <f t="shared" si="197"/>
        <v>3.512446777867595</v>
      </c>
      <c r="DZ674" s="30">
        <v>13</v>
      </c>
      <c r="EA674" s="30">
        <f>VLOOKUP($A674,'Childhood mortality'!$A$31:$G$46,3)</f>
        <v>5.7599103329298712E-5</v>
      </c>
      <c r="EB674" s="30">
        <f t="shared" si="134"/>
        <v>0.27</v>
      </c>
      <c r="EC674" s="30">
        <f t="shared" si="135"/>
        <v>1.0535641547861506E-3</v>
      </c>
      <c r="ED674" s="30">
        <f t="shared" si="136"/>
        <v>0.72888883674188454</v>
      </c>
      <c r="EE674" s="30">
        <f>VLOOKUP($A674,'Childhood mortality'!$A$31:$G$46,3)</f>
        <v>5.7599103329298712E-5</v>
      </c>
      <c r="EF674" s="30">
        <f t="shared" si="137"/>
        <v>0.27</v>
      </c>
      <c r="EG674" s="30">
        <f t="shared" si="138"/>
        <v>1.0535641547861506E-3</v>
      </c>
      <c r="EH674" s="30">
        <f t="shared" si="139"/>
        <v>0.72888883674188454</v>
      </c>
      <c r="EI674" s="30">
        <f>VLOOKUP($A674,'Childhood mortality'!$A$31:$G$46,3)</f>
        <v>5.7599103329298712E-5</v>
      </c>
      <c r="EJ674" s="30">
        <f t="shared" si="140"/>
        <v>0.14000000000000001</v>
      </c>
      <c r="EK674" s="30">
        <f t="shared" si="141"/>
        <v>1.0535641547861506E-3</v>
      </c>
      <c r="EL674" s="30">
        <f t="shared" si="142"/>
        <v>0.44876941719763463</v>
      </c>
      <c r="EM674" s="30">
        <f t="shared" si="143"/>
        <v>0.41011941954424985</v>
      </c>
      <c r="EN674" s="30">
        <f>VLOOKUP($A674,'Childhood mortality'!$A$31:$G$46,3)</f>
        <v>5.7599103329298712E-5</v>
      </c>
      <c r="EO674" s="30">
        <f t="shared" si="144"/>
        <v>0.5714285714285714</v>
      </c>
      <c r="EP674" s="30">
        <f t="shared" si="145"/>
        <v>7.5254582484725048E-4</v>
      </c>
      <c r="EQ674" s="30">
        <f t="shared" si="146"/>
        <v>0.22350527070359916</v>
      </c>
      <c r="ER674" s="30">
        <f t="shared" si="147"/>
        <v>0.20425601293965281</v>
      </c>
      <c r="ES674" s="30">
        <f>VLOOKUP($A674,'Childhood mortality'!$A$31:$G$46,3)</f>
        <v>5.7599103329298712E-5</v>
      </c>
      <c r="ET674" s="30">
        <f t="shared" si="148"/>
        <v>0.99056368819299034</v>
      </c>
      <c r="EU674" s="30">
        <f t="shared" si="149"/>
        <v>7.5254582484725048E-4</v>
      </c>
      <c r="EV674" s="30">
        <f t="shared" si="84"/>
        <v>4.5071721941902995E-3</v>
      </c>
      <c r="EW674" s="30">
        <f t="shared" si="85"/>
        <v>4.1189946846428094E-3</v>
      </c>
      <c r="EX674" s="30">
        <f>VLOOKUP($A674,'Childhood mortality'!$A$31:$G$46,3)</f>
        <v>5.7599103329298712E-5</v>
      </c>
      <c r="EY674" s="30">
        <f t="shared" si="150"/>
        <v>0.99994240089667075</v>
      </c>
      <c r="FA674" s="284">
        <f t="shared" si="198"/>
        <v>1.6816847413623583</v>
      </c>
      <c r="FB674" s="31">
        <f t="shared" si="199"/>
        <v>1.8401681201294919</v>
      </c>
      <c r="FC674" s="31">
        <f t="shared" si="200"/>
        <v>0.96177582018165708</v>
      </c>
      <c r="FD674" s="31">
        <f t="shared" si="201"/>
        <v>0.13619970425048319</v>
      </c>
      <c r="FE674" s="31">
        <f t="shared" si="202"/>
        <v>3.6319514770827199</v>
      </c>
      <c r="FF674" s="31">
        <f t="shared" si="203"/>
        <v>5.9765430986640278E-2</v>
      </c>
      <c r="FG674" s="286">
        <f t="shared" si="204"/>
        <v>0.73421879174478255</v>
      </c>
      <c r="FH674" s="31"/>
      <c r="FI674" s="284">
        <f t="shared" si="205"/>
        <v>113.69672073470545</v>
      </c>
      <c r="FJ674" s="31">
        <f t="shared" si="206"/>
        <v>124.41159494007037</v>
      </c>
      <c r="FK674" s="31">
        <f t="shared" si="207"/>
        <v>65.373574942184433</v>
      </c>
      <c r="FL674" s="31">
        <f t="shared" si="208"/>
        <v>9.3074221876385934</v>
      </c>
      <c r="FM674" s="31">
        <f t="shared" si="209"/>
        <v>60.197106678840953</v>
      </c>
      <c r="FN674" s="31">
        <f t="shared" si="210"/>
        <v>2.8665418593649532</v>
      </c>
      <c r="FO674" s="286">
        <f t="shared" si="211"/>
        <v>49.848363870593438</v>
      </c>
      <c r="FQ674" s="30">
        <f t="shared" si="151"/>
        <v>1000.0000000000002</v>
      </c>
      <c r="FR674" s="30" t="str">
        <f t="shared" si="86"/>
        <v>OKAY</v>
      </c>
      <c r="FT674" s="284">
        <f>($AB674-(VLOOKUP($A674,'Childhood asthma'!$A$36:$AG$50,7)*$AB674))+(SUM($AC674:$AG674)-(VLOOKUP($A674,'Childhood asthma'!$A$36:$AG$50,6)*SUM($AC674:$AG674)))+($AJ674-(VLOOKUP($A674,'Childhood asthma'!$A$36:$AG$50,9)*$AJ674))+(SUM($AK674:$AO674)-(VLOOKUP($A674,'Childhood asthma'!$A$36:$AG$50,8)*SUM($AK674:$AO674)))+($BS674-(VLOOKUP($A674,'Childhood asthma'!$A$36:$AG$50,3)*$BS674))+(SUM($BT674:$BX674)-(VLOOKUP($A674,'Childhood asthma'!$A$36:$AG$50,2)*SUM($BT674:$BX674)))+($CA674-(VLOOKUP($A674,'Childhood asthma'!$A$36:$AG$50,5)*$CA674))+(SUM($CB674:$CF674)-(VLOOKUP($A674,'Childhood asthma'!$A$36:$AG$50,4)*SUM($CB674:$CF674)))+($DJ674-(VLOOKUP($A674,'Childhood asthma'!$A$36:$AG$50,23)*$DJ674))+(SUM($DK674:$DO674)-(VLOOKUP($A674,'Childhood asthma'!$A$36:$AG$50,22)*SUM($DK674:$DO674)))+($DR674-(VLOOKUP($A674,'Childhood asthma'!$A$36:$AG$50,25)*$DR674))+(SUM($DS674:$DW674)-(VLOOKUP($A674,'Childhood asthma'!$A$36:$AG$50,24)*SUM($DS674:$DW674)))+($FA674-(VLOOKUP($A674,'Childhood asthma'!$A$36:$AG$50,19)*$FA674))+(SUM($FB674:$FF674)-(VLOOKUP($A674,'Childhood asthma'!$A$36:$AG$50,18)*SUM($FB674:$FF674)))+($FI674-(VLOOKUP($A674,'Childhood asthma'!$A$36:$AG$50,21)*$FI674))+(SUM($FJ674:$FN674)-(VLOOKUP($A674,'Childhood asthma'!$A$36:$AG$50,20)*SUM($FJ674:$FN674)))</f>
        <v>684.49027434063635</v>
      </c>
      <c r="FU674" s="31">
        <f>(VLOOKUP($A674,'Childhood asthma'!$A$36:$AG$50,7)*$AB674)+(VLOOKUP($A674,'Childhood asthma'!$A$36:$AG$50,6)*SUM($AC674:$AG674))+(VLOOKUP($A674,'Childhood asthma'!$A$36:$AG$50,9)*$AJ674)+(VLOOKUP($A674,'Childhood asthma'!$A$36:$AG$50,8)*SUM($AK674:$AO674))+(VLOOKUP($A674,'Childhood asthma'!$A$36:$AG$50,3)*$BS674)+(VLOOKUP($A674,'Childhood asthma'!$A$36:$AG$50,2)*SUM($BT674:$BX674))+(VLOOKUP($A674,'Childhood asthma'!$A$36:$AG$50,5)*$CA674)+(VLOOKUP($A674,'Childhood asthma'!$A$36:$AG$50,4)*SUM($CB674:$CF674))+(VLOOKUP($A674,'Childhood asthma'!$A$36:$AG$50,23)*$DJ674)+(VLOOKUP($A674,'Childhood asthma'!$A$36:$AG$50,22)*SUM($DK674:$DO674))+(VLOOKUP($A674,'Childhood asthma'!$A$36:$AG$50,25)*$DR674)+(VLOOKUP($A674,'Childhood asthma'!$A$36:$AG$50,24)*SUM($DS674:$DW674))+(VLOOKUP($A674,'Childhood asthma'!$A$36:$AG$50,19)*$FA674)+(VLOOKUP($A674,'Childhood asthma'!$A$36:$AG$50,18)*SUM($FB674:$FF674))+(VLOOKUP($A674,'Childhood asthma'!$A$36:$AG$50,21)*$FI674)+(VLOOKUP($A674,'Childhood asthma'!$A$36:$AG$50,20)*SUM($FJ674:$FN674))</f>
        <v>204.60263825419977</v>
      </c>
      <c r="FV674" s="31">
        <f t="shared" si="212"/>
        <v>889.09291259483609</v>
      </c>
      <c r="FW674" s="286">
        <f t="shared" si="213"/>
        <v>110.90708740516396</v>
      </c>
      <c r="FY674" s="265">
        <v>13</v>
      </c>
      <c r="FZ674" s="30">
        <f t="shared" si="214"/>
        <v>568.48970065941933</v>
      </c>
      <c r="GA674" s="281">
        <f t="shared" si="215"/>
        <v>9164.4605499311037</v>
      </c>
      <c r="GC674" s="265">
        <v>13</v>
      </c>
      <c r="GD674" s="30">
        <f t="shared" si="152"/>
        <v>555.40732299927231</v>
      </c>
      <c r="GE674" s="281">
        <f t="shared" si="216"/>
        <v>9057.2334891708633</v>
      </c>
      <c r="GG674" s="265">
        <v>13</v>
      </c>
      <c r="GH674" s="303">
        <f t="shared" si="217"/>
        <v>212517.84099598214</v>
      </c>
      <c r="GI674" s="304">
        <f t="shared" si="218"/>
        <v>5019017.5493160784</v>
      </c>
      <c r="GK674" s="265">
        <v>13</v>
      </c>
      <c r="GL674" s="287">
        <f t="shared" si="153"/>
        <v>0.88909291259483614</v>
      </c>
      <c r="GM674" s="287">
        <f t="shared" si="154"/>
        <v>0.11090708740516396</v>
      </c>
      <c r="GN674" s="288">
        <f t="shared" si="155"/>
        <v>0.20460263825419978</v>
      </c>
      <c r="GP674" s="265">
        <v>13</v>
      </c>
      <c r="GQ674" s="303">
        <f t="shared" si="219"/>
        <v>212517.84099598214</v>
      </c>
      <c r="GR674" s="304">
        <f t="shared" si="220"/>
        <v>8119149.4851721711</v>
      </c>
      <c r="GT674" s="265">
        <v>13</v>
      </c>
      <c r="GU674" s="303">
        <f t="shared" si="221"/>
        <v>212517.84099598214</v>
      </c>
      <c r="GV674" s="304">
        <f t="shared" si="222"/>
        <v>5019017.5493160784</v>
      </c>
      <c r="GX674" s="265">
        <v>13</v>
      </c>
      <c r="GY674" s="303">
        <f t="shared" si="223"/>
        <v>212517.84099598214</v>
      </c>
      <c r="GZ674" s="304">
        <f t="shared" si="224"/>
        <v>8119149.4851721711</v>
      </c>
    </row>
    <row r="675" spans="1:208" s="30" customFormat="1" x14ac:dyDescent="0.25">
      <c r="A675" s="379">
        <v>14</v>
      </c>
      <c r="B675" s="30">
        <f>VLOOKUP($A675,'Childhood mortality'!$A$12:$G$27,4)</f>
        <v>1.0867933472227089E-4</v>
      </c>
      <c r="C675" s="30">
        <f t="shared" si="87"/>
        <v>0.27</v>
      </c>
      <c r="D675" s="30">
        <f t="shared" si="88"/>
        <v>1.1221384928716902E-3</v>
      </c>
      <c r="E675" s="30">
        <f t="shared" si="89"/>
        <v>0.72876918217240605</v>
      </c>
      <c r="F675" s="30">
        <f>VLOOKUP($A675,'Childhood mortality'!$A$12:$G$27,4)</f>
        <v>1.0867933472227089E-4</v>
      </c>
      <c r="G675" s="30">
        <f t="shared" si="90"/>
        <v>0.27</v>
      </c>
      <c r="H675" s="30">
        <f t="shared" si="91"/>
        <v>1.1221384928716902E-3</v>
      </c>
      <c r="I675" s="30">
        <f t="shared" si="92"/>
        <v>0.72876918217240605</v>
      </c>
      <c r="J675" s="30">
        <f>VLOOKUP($A675,'Childhood mortality'!$A$12:$G$27,4)</f>
        <v>1.0867933472227089E-4</v>
      </c>
      <c r="K675" s="30">
        <f t="shared" si="93"/>
        <v>0.14000000000000001</v>
      </c>
      <c r="L675" s="30">
        <f t="shared" si="94"/>
        <v>1.1221384928716902E-3</v>
      </c>
      <c r="M675" s="30">
        <f t="shared" si="74"/>
        <v>0.44870689768508215</v>
      </c>
      <c r="N675" s="30">
        <f t="shared" si="75"/>
        <v>0.41006228448732385</v>
      </c>
      <c r="O675" s="30">
        <f>VLOOKUP($A675,'Childhood mortality'!$A$12:$G$27,4)</f>
        <v>1.0867933472227089E-4</v>
      </c>
      <c r="P675" s="30">
        <f t="shared" si="95"/>
        <v>0.5714285714285714</v>
      </c>
      <c r="Q675" s="30">
        <f t="shared" si="96"/>
        <v>8.0152749490835021E-4</v>
      </c>
      <c r="R675" s="30">
        <f t="shared" si="76"/>
        <v>0.22345298836008945</v>
      </c>
      <c r="S675" s="30">
        <f t="shared" si="77"/>
        <v>0.20420823338170854</v>
      </c>
      <c r="T675" s="30">
        <f>VLOOKUP($A675,'Childhood mortality'!$A$12:$G$27,4)</f>
        <v>1.0867933472227089E-4</v>
      </c>
      <c r="U675" s="30">
        <f t="shared" si="97"/>
        <v>0.99046362629153628</v>
      </c>
      <c r="V675" s="30">
        <f t="shared" si="98"/>
        <v>8.0152749490835021E-4</v>
      </c>
      <c r="W675" s="30">
        <f t="shared" si="78"/>
        <v>4.5071721941902995E-3</v>
      </c>
      <c r="X675" s="30">
        <f t="shared" si="79"/>
        <v>4.1189946846428094E-3</v>
      </c>
      <c r="Y675" s="30">
        <f>VLOOKUP($A675,'Childhood mortality'!$A$12:$G$27,4)</f>
        <v>1.0867933472227089E-4</v>
      </c>
      <c r="Z675" s="30">
        <f t="shared" si="99"/>
        <v>0.99989132066527775</v>
      </c>
      <c r="AB675" s="284">
        <f t="shared" si="156"/>
        <v>0.10985663581473379</v>
      </c>
      <c r="AC675" s="31">
        <f t="shared" si="157"/>
        <v>0.12020961720041554</v>
      </c>
      <c r="AD675" s="31">
        <f t="shared" si="158"/>
        <v>6.2822950680486045E-2</v>
      </c>
      <c r="AE675" s="31">
        <f t="shared" si="159"/>
        <v>8.8957641412184575E-3</v>
      </c>
      <c r="AF675" s="31">
        <f t="shared" si="160"/>
        <v>0.24427241078662162</v>
      </c>
      <c r="AG675" s="31">
        <f t="shared" si="161"/>
        <v>4.4952781957400397E-3</v>
      </c>
      <c r="AH675" s="286">
        <f t="shared" si="162"/>
        <v>3.0468396800276853E-2</v>
      </c>
      <c r="AI675" s="31"/>
      <c r="AJ675" s="284">
        <f t="shared" si="163"/>
        <v>15.818942949810706</v>
      </c>
      <c r="AK675" s="31">
        <f t="shared" si="164"/>
        <v>17.3097333848714</v>
      </c>
      <c r="AL675" s="31">
        <f t="shared" si="165"/>
        <v>9.0952081646416438</v>
      </c>
      <c r="AM675" s="31">
        <f t="shared" si="166"/>
        <v>1.2948557742312805</v>
      </c>
      <c r="AN675" s="31">
        <f t="shared" si="167"/>
        <v>9.1914282696762992</v>
      </c>
      <c r="AO675" s="31">
        <f t="shared" si="168"/>
        <v>0.46204204984819008</v>
      </c>
      <c r="AP675" s="286">
        <f t="shared" si="169"/>
        <v>3.754899899097917</v>
      </c>
      <c r="AR675" s="30">
        <v>14</v>
      </c>
      <c r="AS675" s="30">
        <f>VLOOKUP($A675,'Childhood mortality'!$A$12:$G$27,3)</f>
        <v>7.4927236935928067E-5</v>
      </c>
      <c r="AT675" s="30">
        <f t="shared" si="100"/>
        <v>0.27</v>
      </c>
      <c r="AU675" s="30">
        <f t="shared" si="101"/>
        <v>1.1221384928716902E-3</v>
      </c>
      <c r="AV675" s="30">
        <f t="shared" si="102"/>
        <v>0.72880293427019238</v>
      </c>
      <c r="AW675" s="30">
        <f>VLOOKUP($A675,'Childhood mortality'!$A$12:$G$27,3)</f>
        <v>7.4927236935928067E-5</v>
      </c>
      <c r="AX675" s="30">
        <f t="shared" si="103"/>
        <v>0.27</v>
      </c>
      <c r="AY675" s="30">
        <f t="shared" si="104"/>
        <v>1.1221384928716902E-3</v>
      </c>
      <c r="AZ675" s="30">
        <f t="shared" si="105"/>
        <v>0.72880293427019238</v>
      </c>
      <c r="BA675" s="30">
        <f>VLOOKUP($A675,'Childhood mortality'!$A$12:$G$27,3)</f>
        <v>7.4927236935928067E-5</v>
      </c>
      <c r="BB675" s="30">
        <f t="shared" si="106"/>
        <v>0.14000000000000001</v>
      </c>
      <c r="BC675" s="30">
        <f t="shared" si="107"/>
        <v>1.1221384928716902E-3</v>
      </c>
      <c r="BD675" s="30">
        <f t="shared" si="108"/>
        <v>0.4487245331561755</v>
      </c>
      <c r="BE675" s="30">
        <f t="shared" si="109"/>
        <v>0.41007840111401683</v>
      </c>
      <c r="BF675" s="30">
        <f>VLOOKUP($A675,'Childhood mortality'!$A$12:$G$27,3)</f>
        <v>7.4927236935928067E-5</v>
      </c>
      <c r="BG675" s="30">
        <f t="shared" si="110"/>
        <v>0.5714285714285714</v>
      </c>
      <c r="BH675" s="30">
        <f t="shared" si="111"/>
        <v>8.0152749490835021E-4</v>
      </c>
      <c r="BI675" s="30">
        <f t="shared" si="112"/>
        <v>0.2234706238311828</v>
      </c>
      <c r="BJ675" s="30">
        <f t="shared" si="113"/>
        <v>0.2042243500084015</v>
      </c>
      <c r="BK675" s="30">
        <f>VLOOKUP($A675,'Childhood mortality'!$A$12:$G$27,3)</f>
        <v>7.4927236935928067E-5</v>
      </c>
      <c r="BL675" s="30">
        <f t="shared" si="114"/>
        <v>0.99049737838932261</v>
      </c>
      <c r="BM675" s="30">
        <f t="shared" si="115"/>
        <v>8.0152749490835021E-4</v>
      </c>
      <c r="BN675" s="30">
        <f t="shared" si="80"/>
        <v>4.5071721941902995E-3</v>
      </c>
      <c r="BO675" s="30">
        <f t="shared" si="81"/>
        <v>4.1189946846428094E-3</v>
      </c>
      <c r="BP675" s="30">
        <f>VLOOKUP($A675,'Childhood mortality'!$A$12:$G$27,3)</f>
        <v>7.4927236935928067E-5</v>
      </c>
      <c r="BQ675" s="30">
        <f t="shared" si="116"/>
        <v>0.99992507276306408</v>
      </c>
      <c r="BS675" s="284">
        <f t="shared" si="170"/>
        <v>1.72839323091782</v>
      </c>
      <c r="BT675" s="31">
        <f t="shared" si="171"/>
        <v>1.8912784568681906</v>
      </c>
      <c r="BU675" s="31">
        <f t="shared" si="172"/>
        <v>0.98840461798918722</v>
      </c>
      <c r="BV675" s="31">
        <f t="shared" si="173"/>
        <v>0.13995942333030148</v>
      </c>
      <c r="BW675" s="31">
        <f t="shared" si="174"/>
        <v>3.8238677412762101</v>
      </c>
      <c r="BX675" s="31">
        <f t="shared" si="175"/>
        <v>7.0515771762555274E-2</v>
      </c>
      <c r="BY675" s="286">
        <f t="shared" si="176"/>
        <v>6.2650112071399311E-2</v>
      </c>
      <c r="BZ675" s="31"/>
      <c r="CA675" s="284">
        <f t="shared" si="177"/>
        <v>116.27858602816704</v>
      </c>
      <c r="CB675" s="31">
        <f t="shared" si="178"/>
        <v>127.23677738160687</v>
      </c>
      <c r="CC675" s="31">
        <f t="shared" si="179"/>
        <v>66.852762619289479</v>
      </c>
      <c r="CD675" s="31">
        <f t="shared" si="180"/>
        <v>9.5173215970636136</v>
      </c>
      <c r="CE675" s="31">
        <f t="shared" si="181"/>
        <v>67.537006349890206</v>
      </c>
      <c r="CF675" s="31">
        <f t="shared" si="182"/>
        <v>3.3928216952169747</v>
      </c>
      <c r="CG675" s="286">
        <f t="shared" si="183"/>
        <v>52.971523428753308</v>
      </c>
      <c r="CI675" s="30">
        <v>14</v>
      </c>
      <c r="CJ675" s="30">
        <f>VLOOKUP($A675,'Childhood mortality'!$A$31:$G$46,4)</f>
        <v>9.3233951234609656E-5</v>
      </c>
      <c r="CK675" s="30">
        <f t="shared" si="117"/>
        <v>0.27</v>
      </c>
      <c r="CL675" s="30">
        <f t="shared" si="118"/>
        <v>1.1221384928716902E-3</v>
      </c>
      <c r="CM675" s="30">
        <f t="shared" si="119"/>
        <v>0.72878462755589368</v>
      </c>
      <c r="CN675" s="30">
        <f>VLOOKUP($A675,'Childhood mortality'!$A$31:$G$46,4)</f>
        <v>9.3233951234609656E-5</v>
      </c>
      <c r="CO675" s="30">
        <f t="shared" si="120"/>
        <v>0.27</v>
      </c>
      <c r="CP675" s="30">
        <f t="shared" si="121"/>
        <v>1.1221384928716902E-3</v>
      </c>
      <c r="CQ675" s="30">
        <f t="shared" si="122"/>
        <v>0.72878462755589368</v>
      </c>
      <c r="CR675" s="30">
        <f>VLOOKUP($A675,'Childhood mortality'!$A$31:$G$46,4)</f>
        <v>9.3233951234609656E-5</v>
      </c>
      <c r="CS675" s="30">
        <f t="shared" si="123"/>
        <v>0.14000000000000001</v>
      </c>
      <c r="CT675" s="30">
        <f t="shared" si="124"/>
        <v>1.1221384928716902E-3</v>
      </c>
      <c r="CU675" s="30">
        <f t="shared" si="125"/>
        <v>0.4487149678979544</v>
      </c>
      <c r="CV675" s="30">
        <f t="shared" si="126"/>
        <v>0.41006965965793923</v>
      </c>
      <c r="CW675" s="30">
        <f>VLOOKUP($A675,'Childhood mortality'!$A$31:$G$46,4)</f>
        <v>9.3233951234609656E-5</v>
      </c>
      <c r="CX675" s="30">
        <f t="shared" si="127"/>
        <v>0.5714285714285714</v>
      </c>
      <c r="CY675" s="30">
        <f t="shared" si="128"/>
        <v>8.0152749490835021E-4</v>
      </c>
      <c r="CZ675" s="30">
        <f t="shared" si="129"/>
        <v>0.22346105857296172</v>
      </c>
      <c r="DA675" s="30">
        <f t="shared" si="130"/>
        <v>0.20421560855232387</v>
      </c>
      <c r="DB675" s="30">
        <f>VLOOKUP($A675,'Childhood mortality'!$A$31:$G$46,4)</f>
        <v>9.3233951234609656E-5</v>
      </c>
      <c r="DC675" s="30">
        <f t="shared" si="131"/>
        <v>0.99047907167502391</v>
      </c>
      <c r="DD675" s="30">
        <f t="shared" si="132"/>
        <v>8.0152749490835021E-4</v>
      </c>
      <c r="DE675" s="30">
        <f t="shared" si="82"/>
        <v>4.5071721941902995E-3</v>
      </c>
      <c r="DF675" s="30">
        <f t="shared" si="83"/>
        <v>4.1189946846428094E-3</v>
      </c>
      <c r="DG675" s="30">
        <f>VLOOKUP($A675,'Childhood mortality'!$A$31:$G$46,4)</f>
        <v>9.3233951234609656E-5</v>
      </c>
      <c r="DH675" s="30">
        <f t="shared" si="133"/>
        <v>0.99990676604876538</v>
      </c>
      <c r="DJ675" s="284">
        <f t="shared" si="184"/>
        <v>0.10582446604178905</v>
      </c>
      <c r="DK675" s="31">
        <f t="shared" si="185"/>
        <v>0.11579745237033459</v>
      </c>
      <c r="DL675" s="31">
        <f t="shared" si="186"/>
        <v>6.0516879745068919E-2</v>
      </c>
      <c r="DM675" s="31">
        <f t="shared" si="187"/>
        <v>8.5692424988876182E-3</v>
      </c>
      <c r="DN675" s="31">
        <f t="shared" si="188"/>
        <v>0.23486381839034376</v>
      </c>
      <c r="DO675" s="31">
        <f t="shared" si="189"/>
        <v>4.3268249444416759E-3</v>
      </c>
      <c r="DP675" s="286">
        <f t="shared" si="190"/>
        <v>2.8337230270999627E-2</v>
      </c>
      <c r="DQ675" s="31"/>
      <c r="DR675" s="284">
        <f t="shared" si="191"/>
        <v>15.225849149651406</v>
      </c>
      <c r="DS675" s="31">
        <f t="shared" si="192"/>
        <v>16.660745928152576</v>
      </c>
      <c r="DT675" s="31">
        <f t="shared" si="193"/>
        <v>8.7540532068943193</v>
      </c>
      <c r="DU675" s="31">
        <f t="shared" si="194"/>
        <v>1.2462723581194248</v>
      </c>
      <c r="DV675" s="31">
        <f t="shared" si="195"/>
        <v>8.8458535272443903</v>
      </c>
      <c r="DW675" s="31">
        <f t="shared" si="196"/>
        <v>0.44468191732191853</v>
      </c>
      <c r="DX675" s="286">
        <f t="shared" si="197"/>
        <v>3.5172186992178402</v>
      </c>
      <c r="DZ675" s="30">
        <v>14</v>
      </c>
      <c r="EA675" s="30">
        <f>VLOOKUP($A675,'Childhood mortality'!$A$31:$G$46,3)</f>
        <v>6.4278663211183763E-5</v>
      </c>
      <c r="EB675" s="30">
        <f t="shared" si="134"/>
        <v>0.27</v>
      </c>
      <c r="EC675" s="30">
        <f t="shared" si="135"/>
        <v>1.1221384928716902E-3</v>
      </c>
      <c r="ED675" s="30">
        <f t="shared" si="136"/>
        <v>0.72881358284391706</v>
      </c>
      <c r="EE675" s="30">
        <f>VLOOKUP($A675,'Childhood mortality'!$A$31:$G$46,3)</f>
        <v>6.4278663211183763E-5</v>
      </c>
      <c r="EF675" s="30">
        <f t="shared" si="137"/>
        <v>0.27</v>
      </c>
      <c r="EG675" s="30">
        <f t="shared" si="138"/>
        <v>1.1221384928716902E-3</v>
      </c>
      <c r="EH675" s="30">
        <f t="shared" si="139"/>
        <v>0.72881358284391706</v>
      </c>
      <c r="EI675" s="30">
        <f>VLOOKUP($A675,'Childhood mortality'!$A$31:$G$46,3)</f>
        <v>6.4278663211183763E-5</v>
      </c>
      <c r="EJ675" s="30">
        <f t="shared" si="140"/>
        <v>0.14000000000000001</v>
      </c>
      <c r="EK675" s="30">
        <f t="shared" si="141"/>
        <v>1.1221384928716902E-3</v>
      </c>
      <c r="EL675" s="30">
        <f t="shared" si="142"/>
        <v>0.44873009703594663</v>
      </c>
      <c r="EM675" s="30">
        <f t="shared" si="143"/>
        <v>0.41008348580797038</v>
      </c>
      <c r="EN675" s="30">
        <f>VLOOKUP($A675,'Childhood mortality'!$A$31:$G$46,3)</f>
        <v>6.4278663211183763E-5</v>
      </c>
      <c r="EO675" s="30">
        <f t="shared" si="144"/>
        <v>0.5714285714285714</v>
      </c>
      <c r="EP675" s="30">
        <f t="shared" si="145"/>
        <v>8.0152749490835021E-4</v>
      </c>
      <c r="EQ675" s="30">
        <f t="shared" si="146"/>
        <v>0.22347618771095398</v>
      </c>
      <c r="ER675" s="30">
        <f t="shared" si="147"/>
        <v>0.20422943470235508</v>
      </c>
      <c r="ES675" s="30">
        <f>VLOOKUP($A675,'Childhood mortality'!$A$31:$G$46,3)</f>
        <v>6.4278663211183763E-5</v>
      </c>
      <c r="ET675" s="30">
        <f t="shared" si="148"/>
        <v>0.99050802696304729</v>
      </c>
      <c r="EU675" s="30">
        <f t="shared" si="149"/>
        <v>8.0152749490835021E-4</v>
      </c>
      <c r="EV675" s="30">
        <f t="shared" si="84"/>
        <v>4.5071721941902995E-3</v>
      </c>
      <c r="EW675" s="30">
        <f t="shared" si="85"/>
        <v>4.1189946846428094E-3</v>
      </c>
      <c r="EX675" s="30">
        <f>VLOOKUP($A675,'Childhood mortality'!$A$31:$G$46,3)</f>
        <v>6.4278663211183763E-5</v>
      </c>
      <c r="EY675" s="30">
        <f t="shared" si="150"/>
        <v>0.99993572133678876</v>
      </c>
      <c r="FA675" s="284">
        <f t="shared" si="198"/>
        <v>1.6628190399068485</v>
      </c>
      <c r="FB675" s="31">
        <f t="shared" si="199"/>
        <v>1.8195244991650859</v>
      </c>
      <c r="FC675" s="31">
        <f t="shared" si="200"/>
        <v>0.95090027260279963</v>
      </c>
      <c r="FD675" s="31">
        <f t="shared" si="201"/>
        <v>0.134648614825432</v>
      </c>
      <c r="FE675" s="31">
        <f t="shared" si="202"/>
        <v>3.6753054940195775</v>
      </c>
      <c r="FF675" s="31">
        <f t="shared" si="203"/>
        <v>6.7813118452889537E-2</v>
      </c>
      <c r="FG675" s="286">
        <f t="shared" si="204"/>
        <v>0.73475304676549968</v>
      </c>
      <c r="FH675" s="31"/>
      <c r="FI675" s="284">
        <f t="shared" si="205"/>
        <v>111.82113902264314</v>
      </c>
      <c r="FJ675" s="31">
        <f t="shared" si="206"/>
        <v>122.3592568362954</v>
      </c>
      <c r="FK675" s="31">
        <f t="shared" si="207"/>
        <v>64.289245232189472</v>
      </c>
      <c r="FL675" s="31">
        <f t="shared" si="208"/>
        <v>9.1523004919058213</v>
      </c>
      <c r="FM675" s="31">
        <f t="shared" si="209"/>
        <v>64.944244329707743</v>
      </c>
      <c r="FN675" s="31">
        <f t="shared" si="210"/>
        <v>3.2626161041440951</v>
      </c>
      <c r="FO675" s="286">
        <f t="shared" si="211"/>
        <v>49.87252319651251</v>
      </c>
      <c r="FQ675" s="30">
        <f t="shared" si="151"/>
        <v>1000</v>
      </c>
      <c r="FR675" s="30" t="str">
        <f t="shared" si="86"/>
        <v>OKAY</v>
      </c>
      <c r="FT675" s="284">
        <f>($AB675-(VLOOKUP($A675,'Childhood asthma'!$A$36:$AG$50,7)*$AB675))+(SUM($AC675:$AG675)-(VLOOKUP($A675,'Childhood asthma'!$A$36:$AG$50,6)*SUM($AC675:$AG675)))+($AJ675-(VLOOKUP($A675,'Childhood asthma'!$A$36:$AG$50,9)*$AJ675))+(SUM($AK675:$AO675)-(VLOOKUP($A675,'Childhood asthma'!$A$36:$AG$50,8)*SUM($AK675:$AO675)))+($BS675-(VLOOKUP($A675,'Childhood asthma'!$A$36:$AG$50,3)*$BS675))+(SUM($BT675:$BX675)-(VLOOKUP($A675,'Childhood asthma'!$A$36:$AG$50,2)*SUM($BT675:$BX675)))+($CA675-(VLOOKUP($A675,'Childhood asthma'!$A$36:$AG$50,5)*$CA675))+(SUM($CB675:$CF675)-(VLOOKUP($A675,'Childhood asthma'!$A$36:$AG$50,4)*SUM($CB675:$CF675)))+($DJ675-(VLOOKUP($A675,'Childhood asthma'!$A$36:$AG$50,23)*$DJ675))+(SUM($DK675:$DO675)-(VLOOKUP($A675,'Childhood asthma'!$A$36:$AG$50,22)*SUM($DK675:$DO675)))+($DR675-(VLOOKUP($A675,'Childhood asthma'!$A$36:$AG$50,25)*$DR675))+(SUM($DS675:$DW675)-(VLOOKUP($A675,'Childhood asthma'!$A$36:$AG$50,24)*SUM($DS675:$DW675)))+($FA675-(VLOOKUP($A675,'Childhood asthma'!$A$36:$AG$50,19)*$FA675))+(SUM($FB675:$FF675)-(VLOOKUP($A675,'Childhood asthma'!$A$36:$AG$50,18)*SUM($FB675:$FF675)))+($FI675-(VLOOKUP($A675,'Childhood asthma'!$A$36:$AG$50,21)*$FI675))+(SUM($FJ675:$FN675)-(VLOOKUP($A675,'Childhood asthma'!$A$36:$AG$50,20)*SUM($FJ675:$FN675)))</f>
        <v>684.60478847542879</v>
      </c>
      <c r="FU675" s="31">
        <f>(VLOOKUP($A675,'Childhood asthma'!$A$36:$AG$50,7)*$AB675)+(VLOOKUP($A675,'Childhood asthma'!$A$36:$AG$50,6)*SUM($AC675:$AG675))+(VLOOKUP($A675,'Childhood asthma'!$A$36:$AG$50,9)*$AJ675)+(VLOOKUP($A675,'Childhood asthma'!$A$36:$AG$50,8)*SUM($AK675:$AO675))+(VLOOKUP($A675,'Childhood asthma'!$A$36:$AG$50,3)*$BS675)+(VLOOKUP($A675,'Childhood asthma'!$A$36:$AG$50,2)*SUM($BT675:$BX675))+(VLOOKUP($A675,'Childhood asthma'!$A$36:$AG$50,5)*$CA675)+(VLOOKUP($A675,'Childhood asthma'!$A$36:$AG$50,4)*SUM($CB675:$CF675))+(VLOOKUP($A675,'Childhood asthma'!$A$36:$AG$50,23)*$DJ675)+(VLOOKUP($A675,'Childhood asthma'!$A$36:$AG$50,22)*SUM($DK675:$DO675))+(VLOOKUP($A675,'Childhood asthma'!$A$36:$AG$50,25)*$DR675)+(VLOOKUP($A675,'Childhood asthma'!$A$36:$AG$50,24)*SUM($DS675:$DW675))+(VLOOKUP($A675,'Childhood asthma'!$A$36:$AG$50,19)*$FA675)+(VLOOKUP($A675,'Childhood asthma'!$A$36:$AG$50,18)*SUM($FB675:$FF675))+(VLOOKUP($A675,'Childhood asthma'!$A$36:$AG$50,21)*$FI675)+(VLOOKUP($A675,'Childhood asthma'!$A$36:$AG$50,20)*SUM($FJ675:$FN675))</f>
        <v>204.4228375150816</v>
      </c>
      <c r="FV675" s="31">
        <f t="shared" si="212"/>
        <v>889.02762599051039</v>
      </c>
      <c r="FW675" s="286">
        <f t="shared" si="213"/>
        <v>110.97237400948976</v>
      </c>
      <c r="FY675" s="265">
        <v>14</v>
      </c>
      <c r="FZ675" s="30">
        <f t="shared" si="214"/>
        <v>549.22507838983802</v>
      </c>
      <c r="GA675" s="281">
        <f t="shared" si="215"/>
        <v>9713.6856283209418</v>
      </c>
      <c r="GC675" s="265">
        <v>14</v>
      </c>
      <c r="GD675" s="30">
        <f t="shared" si="152"/>
        <v>536.59620773648749</v>
      </c>
      <c r="GE675" s="281">
        <f t="shared" si="216"/>
        <v>9593.8296969073508</v>
      </c>
      <c r="GG675" s="265">
        <v>14</v>
      </c>
      <c r="GH675" s="303">
        <f t="shared" si="217"/>
        <v>205158.92628275623</v>
      </c>
      <c r="GI675" s="304">
        <f t="shared" si="218"/>
        <v>5224176.4755988345</v>
      </c>
      <c r="GK675" s="265">
        <v>14</v>
      </c>
      <c r="GL675" s="287">
        <f t="shared" si="153"/>
        <v>0.88902762599051044</v>
      </c>
      <c r="GM675" s="287">
        <f t="shared" si="154"/>
        <v>0.11097237400948975</v>
      </c>
      <c r="GN675" s="288">
        <f t="shared" si="155"/>
        <v>0.20442283751508158</v>
      </c>
      <c r="GP675" s="265">
        <v>14</v>
      </c>
      <c r="GQ675" s="303">
        <f t="shared" si="219"/>
        <v>205158.92628275623</v>
      </c>
      <c r="GR675" s="304">
        <f t="shared" si="220"/>
        <v>8324308.4114549272</v>
      </c>
      <c r="GT675" s="265">
        <v>14</v>
      </c>
      <c r="GU675" s="303">
        <f t="shared" si="221"/>
        <v>205158.92628275623</v>
      </c>
      <c r="GV675" s="304">
        <f t="shared" si="222"/>
        <v>5224176.4755988345</v>
      </c>
      <c r="GX675" s="265">
        <v>14</v>
      </c>
      <c r="GY675" s="303">
        <f t="shared" si="223"/>
        <v>205158.92628275623</v>
      </c>
      <c r="GZ675" s="304">
        <f t="shared" si="224"/>
        <v>8324308.4114549272</v>
      </c>
    </row>
    <row r="676" spans="1:208" s="30" customFormat="1" x14ac:dyDescent="0.25">
      <c r="A676" s="379">
        <v>15</v>
      </c>
      <c r="B676" s="30">
        <f>VLOOKUP($A676,'Childhood mortality'!$A$12:$G$27,4)</f>
        <v>8.4253455255202671E-5</v>
      </c>
      <c r="C676" s="30">
        <f t="shared" si="87"/>
        <v>0.27</v>
      </c>
      <c r="D676" s="30">
        <f t="shared" si="88"/>
        <v>1.1838696537678206E-3</v>
      </c>
      <c r="E676" s="30">
        <f t="shared" si="89"/>
        <v>0.72873187689097696</v>
      </c>
      <c r="F676" s="30">
        <f>VLOOKUP($A676,'Childhood mortality'!$A$12:$G$27,4)</f>
        <v>8.4253455255202671E-5</v>
      </c>
      <c r="G676" s="30">
        <f t="shared" si="90"/>
        <v>0.27</v>
      </c>
      <c r="H676" s="30">
        <f t="shared" si="91"/>
        <v>1.1838696537678206E-3</v>
      </c>
      <c r="I676" s="30">
        <f t="shared" si="92"/>
        <v>0.72873187689097696</v>
      </c>
      <c r="J676" s="30">
        <f>VLOOKUP($A676,'Childhood mortality'!$A$12:$G$27,4)</f>
        <v>8.4253455255202671E-5</v>
      </c>
      <c r="K676" s="30">
        <f t="shared" si="93"/>
        <v>0.14000000000000001</v>
      </c>
      <c r="L676" s="30">
        <f t="shared" si="94"/>
        <v>1.1838696537678206E-3</v>
      </c>
      <c r="M676" s="30">
        <f t="shared" si="74"/>
        <v>0.44868740567553544</v>
      </c>
      <c r="N676" s="30">
        <f t="shared" si="75"/>
        <v>0.41004447121544146</v>
      </c>
      <c r="O676" s="30">
        <f>VLOOKUP($A676,'Childhood mortality'!$A$12:$G$27,4)</f>
        <v>8.4253455255202671E-5</v>
      </c>
      <c r="P676" s="30">
        <f t="shared" si="95"/>
        <v>0.5714285714285714</v>
      </c>
      <c r="Q676" s="30">
        <f t="shared" si="96"/>
        <v>8.4562118126272918E-4</v>
      </c>
      <c r="R676" s="30">
        <f t="shared" si="76"/>
        <v>0.2234427119309908</v>
      </c>
      <c r="S676" s="30">
        <f t="shared" si="77"/>
        <v>0.20419884200391983</v>
      </c>
      <c r="T676" s="30">
        <f>VLOOKUP($A676,'Childhood mortality'!$A$12:$G$27,4)</f>
        <v>8.4253455255202671E-5</v>
      </c>
      <c r="U676" s="30">
        <f t="shared" si="97"/>
        <v>0.99044395848464895</v>
      </c>
      <c r="V676" s="30">
        <f t="shared" si="98"/>
        <v>8.4562118126272918E-4</v>
      </c>
      <c r="W676" s="30">
        <f t="shared" si="78"/>
        <v>4.5071721941902995E-3</v>
      </c>
      <c r="X676" s="30">
        <f t="shared" si="79"/>
        <v>4.1189946846428094E-3</v>
      </c>
      <c r="Y676" s="30">
        <f>VLOOKUP($A676,'Childhood mortality'!$A$12:$G$27,4)</f>
        <v>8.4253455255202671E-5</v>
      </c>
      <c r="Z676" s="30">
        <f t="shared" si="99"/>
        <v>0.9999157465447448</v>
      </c>
      <c r="AB676" s="284">
        <f t="shared" si="156"/>
        <v>0.10863889749618492</v>
      </c>
      <c r="AC676" s="31">
        <f t="shared" si="157"/>
        <v>0.11887711820263169</v>
      </c>
      <c r="AD676" s="31">
        <f t="shared" si="158"/>
        <v>6.2117888314090319E-2</v>
      </c>
      <c r="AE676" s="31">
        <f t="shared" si="159"/>
        <v>8.7952130952680466E-3</v>
      </c>
      <c r="AF676" s="31">
        <f t="shared" si="160"/>
        <v>0.24702142728307178</v>
      </c>
      <c r="AG676" s="31">
        <f t="shared" si="161"/>
        <v>5.0557264643318091E-3</v>
      </c>
      <c r="AH676" s="286">
        <f t="shared" si="162"/>
        <v>3.0514782763913801E-2</v>
      </c>
      <c r="AI676" s="31"/>
      <c r="AJ676" s="284">
        <f t="shared" si="163"/>
        <v>15.559475302558882</v>
      </c>
      <c r="AK676" s="31">
        <f t="shared" si="164"/>
        <v>17.025813289187465</v>
      </c>
      <c r="AL676" s="31">
        <f t="shared" si="165"/>
        <v>8.9447426103641696</v>
      </c>
      <c r="AM676" s="31">
        <f t="shared" si="166"/>
        <v>1.2733291430498304</v>
      </c>
      <c r="AN676" s="31">
        <f t="shared" si="167"/>
        <v>9.8435121848209199</v>
      </c>
      <c r="AO676" s="31">
        <f t="shared" si="168"/>
        <v>0.52085812063222958</v>
      </c>
      <c r="AP676" s="286">
        <f t="shared" si="169"/>
        <v>3.7593798415639421</v>
      </c>
      <c r="AR676" s="30">
        <v>15</v>
      </c>
      <c r="AS676" s="30">
        <f>VLOOKUP($A676,'Childhood mortality'!$A$12:$G$27,3)</f>
        <v>9.2720302388071837E-5</v>
      </c>
      <c r="AT676" s="30">
        <f t="shared" si="100"/>
        <v>0.27</v>
      </c>
      <c r="AU676" s="30">
        <f t="shared" si="101"/>
        <v>1.1838696537678206E-3</v>
      </c>
      <c r="AV676" s="30">
        <f t="shared" si="102"/>
        <v>0.72872341004384411</v>
      </c>
      <c r="AW676" s="30">
        <f>VLOOKUP($A676,'Childhood mortality'!$A$12:$G$27,3)</f>
        <v>9.2720302388071837E-5</v>
      </c>
      <c r="AX676" s="30">
        <f t="shared" si="103"/>
        <v>0.27</v>
      </c>
      <c r="AY676" s="30">
        <f t="shared" si="104"/>
        <v>1.1838696537678206E-3</v>
      </c>
      <c r="AZ676" s="30">
        <f t="shared" si="105"/>
        <v>0.72872341004384411</v>
      </c>
      <c r="BA676" s="30">
        <f>VLOOKUP($A676,'Childhood mortality'!$A$12:$G$27,3)</f>
        <v>9.2720302388071837E-5</v>
      </c>
      <c r="BB676" s="30">
        <f t="shared" si="106"/>
        <v>0.14000000000000001</v>
      </c>
      <c r="BC676" s="30">
        <f t="shared" si="107"/>
        <v>1.1838696537678206E-3</v>
      </c>
      <c r="BD676" s="30">
        <f t="shared" si="108"/>
        <v>0.44868298174790849</v>
      </c>
      <c r="BE676" s="30">
        <f t="shared" si="109"/>
        <v>0.41004042829593557</v>
      </c>
      <c r="BF676" s="30">
        <f>VLOOKUP($A676,'Childhood mortality'!$A$12:$G$27,3)</f>
        <v>9.2720302388071837E-5</v>
      </c>
      <c r="BG676" s="30">
        <f t="shared" si="110"/>
        <v>0.5714285714285714</v>
      </c>
      <c r="BH676" s="30">
        <f t="shared" si="111"/>
        <v>8.4562118126272918E-4</v>
      </c>
      <c r="BI676" s="30">
        <f t="shared" si="112"/>
        <v>0.22343828800336388</v>
      </c>
      <c r="BJ676" s="30">
        <f t="shared" si="113"/>
        <v>0.2041947990844139</v>
      </c>
      <c r="BK676" s="30">
        <f>VLOOKUP($A676,'Childhood mortality'!$A$12:$G$27,3)</f>
        <v>9.2720302388071837E-5</v>
      </c>
      <c r="BL676" s="30">
        <f t="shared" si="114"/>
        <v>0.9904354916375161</v>
      </c>
      <c r="BM676" s="30">
        <f t="shared" si="115"/>
        <v>8.4562118126272918E-4</v>
      </c>
      <c r="BN676" s="30">
        <f t="shared" si="80"/>
        <v>4.5071721941902995E-3</v>
      </c>
      <c r="BO676" s="30">
        <f t="shared" si="81"/>
        <v>4.1189946846428094E-3</v>
      </c>
      <c r="BP676" s="30">
        <f>VLOOKUP($A676,'Childhood mortality'!$A$12:$G$27,3)</f>
        <v>9.2720302388071837E-5</v>
      </c>
      <c r="BQ676" s="30">
        <f t="shared" si="116"/>
        <v>0.99990727969761195</v>
      </c>
      <c r="BS676" s="284">
        <f t="shared" si="170"/>
        <v>1.709135939249093</v>
      </c>
      <c r="BT676" s="31">
        <f t="shared" si="171"/>
        <v>1.8702063419008403</v>
      </c>
      <c r="BU676" s="31">
        <f t="shared" si="172"/>
        <v>0.97731135570222305</v>
      </c>
      <c r="BV676" s="31">
        <f t="shared" si="173"/>
        <v>0.13837664651848622</v>
      </c>
      <c r="BW676" s="31">
        <f t="shared" si="174"/>
        <v>3.8672711396193424</v>
      </c>
      <c r="BX676" s="31">
        <f t="shared" si="175"/>
        <v>7.9316491428783956E-2</v>
      </c>
      <c r="BY676" s="286">
        <f t="shared" si="176"/>
        <v>6.3451439796895409E-2</v>
      </c>
      <c r="BZ676" s="31"/>
      <c r="CA676" s="284">
        <f t="shared" si="177"/>
        <v>114.36883528420839</v>
      </c>
      <c r="CB676" s="31">
        <f t="shared" si="178"/>
        <v>125.14705012774634</v>
      </c>
      <c r="CC676" s="31">
        <f t="shared" si="179"/>
        <v>65.749148120638964</v>
      </c>
      <c r="CD676" s="31">
        <f t="shared" si="180"/>
        <v>9.3593867667005277</v>
      </c>
      <c r="CE676" s="31">
        <f t="shared" si="181"/>
        <v>72.3295175719159</v>
      </c>
      <c r="CF676" s="31">
        <f t="shared" si="182"/>
        <v>3.8251012894859486</v>
      </c>
      <c r="CG676" s="286">
        <f t="shared" si="183"/>
        <v>53.007759939291418</v>
      </c>
      <c r="CI676" s="30">
        <v>15</v>
      </c>
      <c r="CJ676" s="30">
        <f>VLOOKUP($A676,'Childhood mortality'!$A$31:$G$46,4)</f>
        <v>6.8701785989855807E-5</v>
      </c>
      <c r="CK676" s="30">
        <f t="shared" si="117"/>
        <v>0.27</v>
      </c>
      <c r="CL676" s="30">
        <f t="shared" si="118"/>
        <v>1.1838696537678206E-3</v>
      </c>
      <c r="CM676" s="30">
        <f t="shared" si="119"/>
        <v>0.72874742856024233</v>
      </c>
      <c r="CN676" s="30">
        <f>VLOOKUP($A676,'Childhood mortality'!$A$31:$G$46,4)</f>
        <v>6.8701785989855807E-5</v>
      </c>
      <c r="CO676" s="30">
        <f t="shared" si="120"/>
        <v>0.27</v>
      </c>
      <c r="CP676" s="30">
        <f t="shared" si="121"/>
        <v>1.1838696537678206E-3</v>
      </c>
      <c r="CQ676" s="30">
        <f t="shared" si="122"/>
        <v>0.72874742856024233</v>
      </c>
      <c r="CR676" s="30">
        <f>VLOOKUP($A676,'Childhood mortality'!$A$31:$G$46,4)</f>
        <v>6.8701785989855807E-5</v>
      </c>
      <c r="CS676" s="30">
        <f t="shared" si="123"/>
        <v>0.14000000000000001</v>
      </c>
      <c r="CT676" s="30">
        <f t="shared" si="124"/>
        <v>1.1838696537678206E-3</v>
      </c>
      <c r="CU676" s="30">
        <f t="shared" si="125"/>
        <v>0.44869553142272661</v>
      </c>
      <c r="CV676" s="30">
        <f t="shared" si="126"/>
        <v>0.41005189713751572</v>
      </c>
      <c r="CW676" s="30">
        <f>VLOOKUP($A676,'Childhood mortality'!$A$31:$G$46,4)</f>
        <v>6.8701785989855807E-5</v>
      </c>
      <c r="CX676" s="30">
        <f t="shared" si="127"/>
        <v>0.5714285714285714</v>
      </c>
      <c r="CY676" s="30">
        <f t="shared" si="128"/>
        <v>8.4562118126272918E-4</v>
      </c>
      <c r="CZ676" s="30">
        <f t="shared" si="129"/>
        <v>0.22345083767818197</v>
      </c>
      <c r="DA676" s="30">
        <f t="shared" si="130"/>
        <v>0.20420626792599406</v>
      </c>
      <c r="DB676" s="30">
        <f>VLOOKUP($A676,'Childhood mortality'!$A$31:$G$46,4)</f>
        <v>6.8701785989855807E-5</v>
      </c>
      <c r="DC676" s="30">
        <f t="shared" si="131"/>
        <v>0.99045951015391431</v>
      </c>
      <c r="DD676" s="30">
        <f t="shared" si="132"/>
        <v>8.4562118126272918E-4</v>
      </c>
      <c r="DE676" s="30">
        <f t="shared" si="82"/>
        <v>4.5071721941902995E-3</v>
      </c>
      <c r="DF676" s="30">
        <f t="shared" si="83"/>
        <v>4.1189946846428094E-3</v>
      </c>
      <c r="DG676" s="30">
        <f>VLOOKUP($A676,'Childhood mortality'!$A$31:$G$46,4)</f>
        <v>6.8701785989855807E-5</v>
      </c>
      <c r="DH676" s="30">
        <f t="shared" si="133"/>
        <v>0.99993129821401017</v>
      </c>
      <c r="DJ676" s="284">
        <f t="shared" si="184"/>
        <v>0.10465166470423827</v>
      </c>
      <c r="DK676" s="31">
        <f t="shared" si="185"/>
        <v>0.11451412525228163</v>
      </c>
      <c r="DL676" s="31">
        <f t="shared" si="186"/>
        <v>5.9837917971273386E-2</v>
      </c>
      <c r="DM676" s="31">
        <f t="shared" si="187"/>
        <v>8.4723631643096493E-3</v>
      </c>
      <c r="DN676" s="31">
        <f t="shared" si="188"/>
        <v>0.23751981251514212</v>
      </c>
      <c r="DO676" s="31">
        <f t="shared" si="189"/>
        <v>4.8663953976367065E-3</v>
      </c>
      <c r="DP676" s="286">
        <f t="shared" si="190"/>
        <v>2.837363525698347E-2</v>
      </c>
      <c r="DQ676" s="31"/>
      <c r="DR676" s="284">
        <f t="shared" si="191"/>
        <v>14.97634719131513</v>
      </c>
      <c r="DS676" s="31">
        <f t="shared" si="192"/>
        <v>16.387730696255815</v>
      </c>
      <c r="DT676" s="31">
        <f t="shared" si="193"/>
        <v>8.6093806710070773</v>
      </c>
      <c r="DU676" s="31">
        <f t="shared" si="194"/>
        <v>1.2255674489652049</v>
      </c>
      <c r="DV676" s="31">
        <f t="shared" si="195"/>
        <v>9.4736153846988547</v>
      </c>
      <c r="DW676" s="31">
        <f t="shared" si="196"/>
        <v>0.50129871250634017</v>
      </c>
      <c r="DX676" s="286">
        <f t="shared" si="197"/>
        <v>3.5207346818534608</v>
      </c>
      <c r="DZ676" s="30">
        <v>15</v>
      </c>
      <c r="EA676" s="30">
        <f>VLOOKUP($A676,'Childhood mortality'!$A$31:$G$46,3)</f>
        <v>7.5605805747493959E-5</v>
      </c>
      <c r="EB676" s="30">
        <f t="shared" si="134"/>
        <v>0.27</v>
      </c>
      <c r="EC676" s="30">
        <f t="shared" si="135"/>
        <v>1.1838696537678206E-3</v>
      </c>
      <c r="ED676" s="30">
        <f t="shared" si="136"/>
        <v>0.72874052454048466</v>
      </c>
      <c r="EE676" s="30">
        <f>VLOOKUP($A676,'Childhood mortality'!$A$31:$G$46,3)</f>
        <v>7.5605805747493959E-5</v>
      </c>
      <c r="EF676" s="30">
        <f t="shared" si="137"/>
        <v>0.27</v>
      </c>
      <c r="EG676" s="30">
        <f t="shared" si="138"/>
        <v>1.1838696537678206E-3</v>
      </c>
      <c r="EH676" s="30">
        <f t="shared" si="139"/>
        <v>0.72874052454048466</v>
      </c>
      <c r="EI676" s="30">
        <f>VLOOKUP($A676,'Childhood mortality'!$A$31:$G$46,3)</f>
        <v>7.5605805747493959E-5</v>
      </c>
      <c r="EJ676" s="30">
        <f t="shared" si="140"/>
        <v>0.14000000000000001</v>
      </c>
      <c r="EK676" s="30">
        <f t="shared" si="141"/>
        <v>1.1838696537678206E-3</v>
      </c>
      <c r="EL676" s="30">
        <f t="shared" si="142"/>
        <v>0.44869192407240321</v>
      </c>
      <c r="EM676" s="30">
        <f t="shared" si="143"/>
        <v>0.41004860046808139</v>
      </c>
      <c r="EN676" s="30">
        <f>VLOOKUP($A676,'Childhood mortality'!$A$31:$G$46,3)</f>
        <v>7.5605805747493959E-5</v>
      </c>
      <c r="EO676" s="30">
        <f t="shared" si="144"/>
        <v>0.5714285714285714</v>
      </c>
      <c r="EP676" s="30">
        <f t="shared" si="145"/>
        <v>8.4562118126272918E-4</v>
      </c>
      <c r="EQ676" s="30">
        <f t="shared" si="146"/>
        <v>0.22344723032785857</v>
      </c>
      <c r="ER676" s="30">
        <f t="shared" si="147"/>
        <v>0.20420297125655976</v>
      </c>
      <c r="ES676" s="30">
        <f>VLOOKUP($A676,'Childhood mortality'!$A$31:$G$46,3)</f>
        <v>7.5605805747493959E-5</v>
      </c>
      <c r="ET676" s="30">
        <f t="shared" si="148"/>
        <v>0.99045260613415664</v>
      </c>
      <c r="EU676" s="30">
        <f t="shared" si="149"/>
        <v>8.4562118126272918E-4</v>
      </c>
      <c r="EV676" s="30">
        <f t="shared" si="84"/>
        <v>4.5071721941902995E-3</v>
      </c>
      <c r="EW676" s="30">
        <f t="shared" si="85"/>
        <v>4.1189946846428094E-3</v>
      </c>
      <c r="EX676" s="30">
        <f>VLOOKUP($A676,'Childhood mortality'!$A$31:$G$46,3)</f>
        <v>7.5605805747493959E-5</v>
      </c>
      <c r="EY676" s="30">
        <f t="shared" si="150"/>
        <v>0.9999243941942525</v>
      </c>
      <c r="FA676" s="284">
        <f t="shared" si="198"/>
        <v>1.6443131563403555</v>
      </c>
      <c r="FB676" s="31">
        <f t="shared" si="199"/>
        <v>1.7992746056289752</v>
      </c>
      <c r="FC676" s="31">
        <f t="shared" si="200"/>
        <v>0.94023275554942232</v>
      </c>
      <c r="FD676" s="31">
        <f t="shared" si="201"/>
        <v>0.13312603816439197</v>
      </c>
      <c r="FE676" s="31">
        <f t="shared" si="202"/>
        <v>3.7171579705054074</v>
      </c>
      <c r="FF676" s="31">
        <f t="shared" si="203"/>
        <v>7.6278152097902646E-2</v>
      </c>
      <c r="FG676" s="286">
        <f t="shared" si="204"/>
        <v>0.73538140745167757</v>
      </c>
      <c r="FH676" s="31"/>
      <c r="FI676" s="284">
        <f t="shared" si="205"/>
        <v>109.98674249015623</v>
      </c>
      <c r="FJ676" s="31">
        <f t="shared" si="206"/>
        <v>120.35198523791968</v>
      </c>
      <c r="FK676" s="31">
        <f t="shared" si="207"/>
        <v>63.228706881913411</v>
      </c>
      <c r="FL676" s="31">
        <f t="shared" si="208"/>
        <v>9.000494332506527</v>
      </c>
      <c r="FM676" s="31">
        <f t="shared" si="209"/>
        <v>69.554082045147211</v>
      </c>
      <c r="FN676" s="31">
        <f t="shared" si="210"/>
        <v>3.6783761898429947</v>
      </c>
      <c r="FO676" s="286">
        <f t="shared" si="211"/>
        <v>49.90093803591212</v>
      </c>
      <c r="FQ676" s="30">
        <f t="shared" si="151"/>
        <v>1000.0000000000002</v>
      </c>
      <c r="FR676" s="30" t="str">
        <f t="shared" si="86"/>
        <v>OKAY</v>
      </c>
      <c r="FT676" s="284">
        <f>($AB676-(VLOOKUP($A676,'Childhood asthma'!$A$36:$AG$50,7)*$AB676))+(SUM($AC676:$AG676)-(VLOOKUP($A676,'Childhood asthma'!$A$36:$AG$50,6)*SUM($AC676:$AG676)))+($AJ676-(VLOOKUP($A676,'Childhood asthma'!$A$36:$AG$50,9)*$AJ676))+(SUM($AK676:$AO676)-(VLOOKUP($A676,'Childhood asthma'!$A$36:$AG$50,8)*SUM($AK676:$AO676)))+($BS676-(VLOOKUP($A676,'Childhood asthma'!$A$36:$AG$50,3)*$BS676))+(SUM($BT676:$BX676)-(VLOOKUP($A676,'Childhood asthma'!$A$36:$AG$50,2)*SUM($BT676:$BX676)))+($CA676-(VLOOKUP($A676,'Childhood asthma'!$A$36:$AG$50,5)*$CA676))+(SUM($CB676:$CF676)-(VLOOKUP($A676,'Childhood asthma'!$A$36:$AG$50,4)*SUM($CB676:$CF676)))+($DJ676-(VLOOKUP($A676,'Childhood asthma'!$A$36:$AG$50,23)*$DJ676))+(SUM($DK676:$DO676)-(VLOOKUP($A676,'Childhood asthma'!$A$36:$AG$50,22)*SUM($DK676:$DO676)))+($DR676-(VLOOKUP($A676,'Childhood asthma'!$A$36:$AG$50,25)*$DR676))+(SUM($DS676:$DW676)-(VLOOKUP($A676,'Childhood asthma'!$A$36:$AG$50,24)*SUM($DS676:$DW676)))+($FA676-(VLOOKUP($A676,'Childhood asthma'!$A$36:$AG$50,19)*$FA676))+(SUM($FB676:$FF676)-(VLOOKUP($A676,'Childhood asthma'!$A$36:$AG$50,18)*SUM($FB676:$FF676)))+($FI676-(VLOOKUP($A676,'Childhood asthma'!$A$36:$AG$50,21)*$FI676))+(SUM($FJ676:$FN676)-(VLOOKUP($A676,'Childhood asthma'!$A$36:$AG$50,20)*SUM($FJ676:$FN676)))</f>
        <v>642.72817265225717</v>
      </c>
      <c r="FU676" s="31">
        <f>(VLOOKUP($A676,'Childhood asthma'!$A$36:$AG$50,7)*$AB676)+(VLOOKUP($A676,'Childhood asthma'!$A$36:$AG$50,6)*SUM($AC676:$AG676))+(VLOOKUP($A676,'Childhood asthma'!$A$36:$AG$50,9)*$AJ676)+(VLOOKUP($A676,'Childhood asthma'!$A$36:$AG$50,8)*SUM($AK676:$AO676))+(VLOOKUP($A676,'Childhood asthma'!$A$36:$AG$50,3)*$BS676)+(VLOOKUP($A676,'Childhood asthma'!$A$36:$AG$50,2)*SUM($BT676:$BX676))+(VLOOKUP($A676,'Childhood asthma'!$A$36:$AG$50,5)*$CA676)+(VLOOKUP($A676,'Childhood asthma'!$A$36:$AG$50,4)*SUM($CB676:$CF676))+(VLOOKUP($A676,'Childhood asthma'!$A$36:$AG$50,23)*$DJ676)+(VLOOKUP($A676,'Childhood asthma'!$A$36:$AG$50,22)*SUM($DK676:$DO676))+(VLOOKUP($A676,'Childhood asthma'!$A$36:$AG$50,25)*$DR676)+(VLOOKUP($A676,'Childhood asthma'!$A$36:$AG$50,24)*SUM($DS676:$DW676))+(VLOOKUP($A676,'Childhood asthma'!$A$36:$AG$50,19)*$FA676)+(VLOOKUP($A676,'Childhood asthma'!$A$36:$AG$50,18)*SUM($FB676:$FF676))+(VLOOKUP($A676,'Childhood asthma'!$A$36:$AG$50,21)*$FI676)+(VLOOKUP($A676,'Childhood asthma'!$A$36:$AG$50,20)*SUM($FJ676:$FN676))</f>
        <v>246.22529358385259</v>
      </c>
      <c r="FV676" s="31">
        <f t="shared" si="212"/>
        <v>888.95346623610976</v>
      </c>
      <c r="FW676" s="286">
        <f t="shared" si="213"/>
        <v>111.04653376389041</v>
      </c>
      <c r="FY676" s="265">
        <v>15</v>
      </c>
      <c r="FZ676" s="30">
        <f t="shared" si="214"/>
        <v>530.60798439033624</v>
      </c>
      <c r="GA676" s="281">
        <f t="shared" si="215"/>
        <v>10244.293612711277</v>
      </c>
      <c r="GC676" s="265">
        <v>15</v>
      </c>
      <c r="GD676" s="30">
        <f t="shared" si="152"/>
        <v>515.91102760950218</v>
      </c>
      <c r="GE676" s="281">
        <f t="shared" si="216"/>
        <v>10109.740724516852</v>
      </c>
      <c r="GG676" s="265">
        <v>15</v>
      </c>
      <c r="GH676" s="303">
        <f t="shared" si="217"/>
        <v>238751.10526874752</v>
      </c>
      <c r="GI676" s="304">
        <f t="shared" si="218"/>
        <v>5462927.580867582</v>
      </c>
      <c r="GK676" s="265">
        <v>15</v>
      </c>
      <c r="GL676" s="287">
        <f t="shared" si="153"/>
        <v>0.88895346623610971</v>
      </c>
      <c r="GM676" s="287">
        <f t="shared" si="154"/>
        <v>0.11104653376389041</v>
      </c>
      <c r="GN676" s="288">
        <f t="shared" si="155"/>
        <v>0.24622529358385259</v>
      </c>
      <c r="GP676" s="265">
        <v>15</v>
      </c>
      <c r="GQ676" s="303">
        <f t="shared" si="219"/>
        <v>238751.10526874752</v>
      </c>
      <c r="GR676" s="304">
        <f t="shared" si="220"/>
        <v>8563059.5167236738</v>
      </c>
      <c r="GT676" s="265">
        <v>15</v>
      </c>
      <c r="GU676" s="303">
        <f t="shared" si="221"/>
        <v>238751.10526874752</v>
      </c>
      <c r="GV676" s="304">
        <f t="shared" si="222"/>
        <v>5462927.580867582</v>
      </c>
      <c r="GX676" s="265">
        <v>15</v>
      </c>
      <c r="GY676" s="303">
        <f t="shared" si="223"/>
        <v>238751.10526874752</v>
      </c>
      <c r="GZ676" s="304">
        <f t="shared" si="224"/>
        <v>8563059.5167236738</v>
      </c>
    </row>
    <row r="677" spans="1:208" s="382" customFormat="1" ht="15.75" thickBot="1" x14ac:dyDescent="0.3">
      <c r="A677" s="381"/>
      <c r="AB677" s="383"/>
      <c r="AC677" s="384"/>
      <c r="AD677" s="384"/>
      <c r="AE677" s="384"/>
      <c r="AF677" s="384"/>
      <c r="AG677" s="384"/>
      <c r="AH677" s="385"/>
      <c r="AI677" s="384"/>
      <c r="AJ677" s="383"/>
      <c r="AK677" s="384"/>
      <c r="AL677" s="384"/>
      <c r="AM677" s="384"/>
      <c r="AN677" s="384"/>
      <c r="AO677" s="384"/>
      <c r="AP677" s="385"/>
      <c r="BS677" s="383"/>
      <c r="BT677" s="384"/>
      <c r="BU677" s="384"/>
      <c r="BV677" s="384"/>
      <c r="BW677" s="384"/>
      <c r="BX677" s="384"/>
      <c r="BY677" s="385"/>
      <c r="BZ677" s="384"/>
      <c r="CA677" s="383"/>
      <c r="CB677" s="384"/>
      <c r="CC677" s="384"/>
      <c r="CD677" s="384"/>
      <c r="CE677" s="384"/>
      <c r="CF677" s="384"/>
      <c r="CG677" s="385"/>
      <c r="DJ677" s="383"/>
      <c r="DK677" s="384"/>
      <c r="DL677" s="384"/>
      <c r="DM677" s="384"/>
      <c r="DN677" s="384"/>
      <c r="DO677" s="384"/>
      <c r="DP677" s="385"/>
      <c r="DQ677" s="384"/>
      <c r="DR677" s="383"/>
      <c r="DS677" s="384"/>
      <c r="DT677" s="384"/>
      <c r="DU677" s="384"/>
      <c r="DV677" s="384"/>
      <c r="DW677" s="384"/>
      <c r="DX677" s="385"/>
      <c r="FA677" s="383"/>
      <c r="FB677" s="384"/>
      <c r="FC677" s="384"/>
      <c r="FD677" s="384"/>
      <c r="FE677" s="384"/>
      <c r="FF677" s="384"/>
      <c r="FG677" s="385"/>
      <c r="FH677" s="384"/>
      <c r="FI677" s="383"/>
      <c r="FJ677" s="384"/>
      <c r="FK677" s="384"/>
      <c r="FL677" s="384"/>
      <c r="FM677" s="384"/>
      <c r="FN677" s="384"/>
      <c r="FO677" s="385"/>
      <c r="FT677" s="383"/>
      <c r="FU677" s="384"/>
      <c r="FV677" s="384"/>
      <c r="FW677" s="385"/>
      <c r="FY677" s="386"/>
      <c r="GA677" s="387"/>
      <c r="GC677" s="386"/>
      <c r="GE677" s="387"/>
      <c r="GG677" s="386"/>
      <c r="GI677" s="387"/>
      <c r="GK677" s="386"/>
      <c r="GN677" s="387"/>
      <c r="GP677" s="386"/>
      <c r="GR677" s="387"/>
      <c r="GT677" s="386"/>
      <c r="GV677" s="387"/>
      <c r="GX677" s="386"/>
      <c r="GZ677" s="387"/>
    </row>
    <row r="678" spans="1:208" s="391" customFormat="1" x14ac:dyDescent="0.25">
      <c r="A678" s="388" t="s">
        <v>954</v>
      </c>
      <c r="AB678" s="392"/>
      <c r="AC678" s="392"/>
      <c r="AD678" s="392"/>
      <c r="AE678" s="392"/>
      <c r="AF678" s="392"/>
      <c r="AG678" s="392"/>
      <c r="AH678" s="392"/>
      <c r="AI678" s="392"/>
      <c r="AJ678" s="392"/>
      <c r="AK678" s="392"/>
      <c r="AL678" s="392"/>
      <c r="AM678" s="392"/>
      <c r="AN678" s="392"/>
      <c r="AO678" s="392"/>
      <c r="AP678" s="392"/>
      <c r="BS678" s="392"/>
      <c r="BT678" s="392"/>
      <c r="BU678" s="392"/>
      <c r="BV678" s="392"/>
      <c r="BW678" s="392"/>
      <c r="BX678" s="392"/>
      <c r="BY678" s="392"/>
      <c r="BZ678" s="392"/>
      <c r="CA678" s="392"/>
      <c r="CB678" s="392"/>
      <c r="CC678" s="392"/>
      <c r="CD678" s="392"/>
      <c r="CE678" s="392"/>
      <c r="CF678" s="392"/>
      <c r="CG678" s="392"/>
      <c r="DJ678" s="392"/>
      <c r="DK678" s="392"/>
      <c r="DL678" s="392"/>
      <c r="DM678" s="392"/>
      <c r="DN678" s="392"/>
      <c r="DO678" s="392"/>
      <c r="DP678" s="393"/>
      <c r="DQ678" s="392"/>
      <c r="DR678" s="394"/>
      <c r="DS678" s="392"/>
      <c r="DT678" s="392"/>
      <c r="DU678" s="392"/>
      <c r="DV678" s="392"/>
      <c r="DW678" s="392"/>
      <c r="DX678" s="393"/>
      <c r="EJ678" s="591" t="s">
        <v>1087</v>
      </c>
      <c r="EK678" s="592"/>
      <c r="EL678" s="592"/>
      <c r="EM678" s="592"/>
      <c r="EN678" s="592"/>
      <c r="EO678" s="592"/>
      <c r="EP678" s="592"/>
      <c r="FA678" s="392"/>
      <c r="FB678" s="392"/>
      <c r="FC678" s="392"/>
      <c r="FD678" s="392"/>
      <c r="FE678" s="392"/>
      <c r="FF678" s="392"/>
      <c r="FG678" s="392"/>
      <c r="FH678" s="392"/>
      <c r="FI678" s="392"/>
      <c r="FJ678" s="392"/>
      <c r="FK678" s="392"/>
      <c r="FL678" s="392"/>
      <c r="FM678" s="392"/>
      <c r="FN678" s="392"/>
      <c r="FO678" s="392"/>
      <c r="FT678" s="392"/>
      <c r="FU678" s="392"/>
      <c r="FV678" s="392"/>
      <c r="FW678" s="392"/>
    </row>
    <row r="679" spans="1:208" s="389" customFormat="1" x14ac:dyDescent="0.25">
      <c r="C679" s="584" t="s">
        <v>78</v>
      </c>
      <c r="D679" s="585"/>
      <c r="E679" s="585"/>
      <c r="F679" s="585"/>
      <c r="G679" s="585"/>
      <c r="H679" s="585"/>
      <c r="I679" s="585"/>
      <c r="J679" s="585"/>
      <c r="K679" s="585"/>
      <c r="L679" s="585"/>
      <c r="M679" s="585"/>
      <c r="N679" s="585"/>
      <c r="O679" s="585"/>
      <c r="P679" s="585"/>
      <c r="Q679" s="585"/>
      <c r="R679" s="585"/>
      <c r="S679" s="585"/>
      <c r="T679" s="585"/>
      <c r="U679" s="585"/>
      <c r="V679" s="585"/>
      <c r="W679" s="585"/>
      <c r="X679" s="585"/>
      <c r="Y679" s="585"/>
      <c r="Z679" s="585"/>
      <c r="AA679" s="585"/>
      <c r="AB679" s="585"/>
      <c r="AC679" s="585"/>
      <c r="AD679" s="585"/>
      <c r="AE679" s="585"/>
      <c r="AF679" s="585"/>
      <c r="AG679" s="585"/>
      <c r="AH679" s="585"/>
      <c r="AI679" s="585"/>
      <c r="AJ679" s="585"/>
      <c r="AK679" s="585"/>
      <c r="AL679" s="585"/>
      <c r="AM679" s="585"/>
      <c r="AN679" s="585"/>
      <c r="AO679" s="585"/>
      <c r="AP679" s="585"/>
      <c r="AQ679" s="585"/>
      <c r="AR679" s="585"/>
      <c r="AS679" s="585"/>
      <c r="AT679" s="585"/>
      <c r="AU679" s="585"/>
      <c r="AV679" s="585"/>
      <c r="AW679" s="586"/>
      <c r="AY679" s="584" t="s">
        <v>79</v>
      </c>
      <c r="AZ679" s="585"/>
      <c r="BA679" s="585"/>
      <c r="BB679" s="585"/>
      <c r="BC679" s="585"/>
      <c r="BD679" s="585"/>
      <c r="BE679" s="585"/>
      <c r="BF679" s="585"/>
      <c r="BG679" s="585"/>
      <c r="BH679" s="585"/>
      <c r="BI679" s="585"/>
      <c r="BJ679" s="585"/>
      <c r="BK679" s="585"/>
      <c r="BL679" s="585"/>
      <c r="BM679" s="585"/>
      <c r="BN679" s="585"/>
      <c r="BO679" s="585"/>
      <c r="BP679" s="585"/>
      <c r="BQ679" s="585"/>
      <c r="BR679" s="585"/>
      <c r="BS679" s="585"/>
      <c r="BT679" s="585"/>
      <c r="BU679" s="585"/>
      <c r="BV679" s="585"/>
      <c r="BW679" s="585"/>
      <c r="BX679" s="585"/>
      <c r="BY679" s="585"/>
      <c r="BZ679" s="585"/>
      <c r="CA679" s="585"/>
      <c r="CB679" s="585"/>
      <c r="CC679" s="585"/>
      <c r="CD679" s="585"/>
      <c r="CE679" s="585"/>
      <c r="CF679" s="585"/>
      <c r="CG679" s="585"/>
      <c r="CH679" s="585"/>
      <c r="CI679" s="585"/>
      <c r="CJ679" s="585"/>
      <c r="CK679" s="585"/>
      <c r="CL679" s="585"/>
      <c r="CM679" s="585"/>
      <c r="CN679" s="585"/>
      <c r="CO679" s="585"/>
      <c r="CP679" s="585"/>
      <c r="CQ679" s="585"/>
      <c r="CR679" s="585"/>
      <c r="CS679" s="586"/>
      <c r="CX679" s="584" t="s">
        <v>1028</v>
      </c>
      <c r="CY679" s="585"/>
      <c r="CZ679" s="585"/>
      <c r="DA679" s="585"/>
      <c r="DB679" s="585"/>
      <c r="DC679" s="585"/>
      <c r="DD679" s="586"/>
      <c r="DE679" s="390"/>
      <c r="DF679" s="584" t="s">
        <v>1027</v>
      </c>
      <c r="DG679" s="585"/>
      <c r="DH679" s="585"/>
      <c r="DI679" s="585"/>
      <c r="DJ679" s="585"/>
      <c r="DK679" s="585"/>
      <c r="DL679" s="586"/>
      <c r="DN679" s="584" t="s">
        <v>823</v>
      </c>
      <c r="DO679" s="585"/>
      <c r="DP679" s="586"/>
      <c r="DR679" s="584" t="s">
        <v>824</v>
      </c>
      <c r="DS679" s="585"/>
      <c r="DT679" s="586"/>
      <c r="DV679" s="584" t="s">
        <v>1032</v>
      </c>
      <c r="DW679" s="585"/>
      <c r="DX679" s="586"/>
      <c r="DZ679" s="584" t="s">
        <v>829</v>
      </c>
      <c r="EA679" s="585"/>
      <c r="EB679" s="585"/>
      <c r="EC679" s="585"/>
      <c r="ED679" s="586"/>
      <c r="EF679" s="584" t="s">
        <v>1033</v>
      </c>
      <c r="EG679" s="585"/>
      <c r="EH679" s="586"/>
      <c r="EJ679" s="584" t="s">
        <v>1032</v>
      </c>
      <c r="EK679" s="585"/>
      <c r="EL679" s="586"/>
      <c r="EN679" s="584" t="s">
        <v>1033</v>
      </c>
      <c r="EO679" s="585"/>
      <c r="EP679" s="586"/>
    </row>
    <row r="680" spans="1:208" s="269" customFormat="1" ht="15.75" thickBot="1" x14ac:dyDescent="0.3">
      <c r="A680" s="311" t="s">
        <v>45</v>
      </c>
      <c r="B680" s="312" t="s">
        <v>48</v>
      </c>
      <c r="C680" s="305" t="s">
        <v>957</v>
      </c>
      <c r="D680" s="306" t="s">
        <v>958</v>
      </c>
      <c r="E680" s="306" t="s">
        <v>959</v>
      </c>
      <c r="F680" s="306" t="s">
        <v>960</v>
      </c>
      <c r="G680" s="306" t="s">
        <v>961</v>
      </c>
      <c r="H680" s="306" t="s">
        <v>962</v>
      </c>
      <c r="I680" s="306" t="s">
        <v>963</v>
      </c>
      <c r="J680" s="306" t="s">
        <v>964</v>
      </c>
      <c r="K680" s="306" t="s">
        <v>965</v>
      </c>
      <c r="L680" s="306" t="s">
        <v>966</v>
      </c>
      <c r="M680" s="306" t="s">
        <v>967</v>
      </c>
      <c r="N680" s="306" t="s">
        <v>968</v>
      </c>
      <c r="O680" s="306" t="s">
        <v>969</v>
      </c>
      <c r="P680" s="306" t="s">
        <v>970</v>
      </c>
      <c r="Q680" s="306" t="s">
        <v>971</v>
      </c>
      <c r="R680" s="306" t="s">
        <v>972</v>
      </c>
      <c r="S680" s="306" t="s">
        <v>973</v>
      </c>
      <c r="T680" s="306" t="s">
        <v>974</v>
      </c>
      <c r="U680" s="306" t="s">
        <v>975</v>
      </c>
      <c r="V680" s="306" t="s">
        <v>976</v>
      </c>
      <c r="W680" s="306" t="s">
        <v>977</v>
      </c>
      <c r="X680" s="306" t="s">
        <v>978</v>
      </c>
      <c r="Y680" s="306" t="s">
        <v>979</v>
      </c>
      <c r="Z680" s="306" t="s">
        <v>980</v>
      </c>
      <c r="AA680" s="306" t="s">
        <v>981</v>
      </c>
      <c r="AB680" s="306" t="s">
        <v>982</v>
      </c>
      <c r="AC680" s="306" t="s">
        <v>983</v>
      </c>
      <c r="AD680" s="306" t="s">
        <v>984</v>
      </c>
      <c r="AE680" s="306" t="s">
        <v>985</v>
      </c>
      <c r="AF680" s="306" t="s">
        <v>986</v>
      </c>
      <c r="AG680" s="306" t="s">
        <v>987</v>
      </c>
      <c r="AH680" s="306" t="s">
        <v>988</v>
      </c>
      <c r="AI680" s="306" t="s">
        <v>989</v>
      </c>
      <c r="AJ680" s="306" t="s">
        <v>990</v>
      </c>
      <c r="AK680" s="306" t="s">
        <v>991</v>
      </c>
      <c r="AL680" s="306"/>
      <c r="AM680" s="305" t="s">
        <v>937</v>
      </c>
      <c r="AN680" s="306" t="s">
        <v>938</v>
      </c>
      <c r="AO680" s="306" t="s">
        <v>939</v>
      </c>
      <c r="AP680" s="306" t="s">
        <v>940</v>
      </c>
      <c r="AQ680" s="306" t="s">
        <v>941</v>
      </c>
      <c r="AR680" s="306" t="s">
        <v>942</v>
      </c>
      <c r="AS680" s="306" t="s">
        <v>943</v>
      </c>
      <c r="AT680" s="306" t="s">
        <v>944</v>
      </c>
      <c r="AU680" s="306" t="s">
        <v>945</v>
      </c>
      <c r="AV680" s="306" t="s">
        <v>946</v>
      </c>
      <c r="AW680" s="307" t="s">
        <v>71</v>
      </c>
      <c r="AX680" s="306"/>
      <c r="AY680" s="305" t="s">
        <v>957</v>
      </c>
      <c r="AZ680" s="306" t="s">
        <v>958</v>
      </c>
      <c r="BA680" s="306" t="s">
        <v>959</v>
      </c>
      <c r="BB680" s="306" t="s">
        <v>960</v>
      </c>
      <c r="BC680" s="306" t="s">
        <v>961</v>
      </c>
      <c r="BD680" s="306" t="s">
        <v>962</v>
      </c>
      <c r="BE680" s="306" t="s">
        <v>963</v>
      </c>
      <c r="BF680" s="306" t="s">
        <v>964</v>
      </c>
      <c r="BG680" s="306" t="s">
        <v>965</v>
      </c>
      <c r="BH680" s="306" t="s">
        <v>966</v>
      </c>
      <c r="BI680" s="306" t="s">
        <v>967</v>
      </c>
      <c r="BJ680" s="306" t="s">
        <v>968</v>
      </c>
      <c r="BK680" s="306" t="s">
        <v>969</v>
      </c>
      <c r="BL680" s="306" t="s">
        <v>970</v>
      </c>
      <c r="BM680" s="306" t="s">
        <v>971</v>
      </c>
      <c r="BN680" s="306" t="s">
        <v>972</v>
      </c>
      <c r="BO680" s="306" t="s">
        <v>973</v>
      </c>
      <c r="BP680" s="306" t="s">
        <v>974</v>
      </c>
      <c r="BQ680" s="306" t="s">
        <v>975</v>
      </c>
      <c r="BR680" s="306" t="s">
        <v>976</v>
      </c>
      <c r="BS680" s="306" t="s">
        <v>977</v>
      </c>
      <c r="BT680" s="306" t="s">
        <v>978</v>
      </c>
      <c r="BU680" s="306" t="s">
        <v>979</v>
      </c>
      <c r="BV680" s="306" t="s">
        <v>980</v>
      </c>
      <c r="BW680" s="306" t="s">
        <v>981</v>
      </c>
      <c r="BX680" s="306" t="s">
        <v>982</v>
      </c>
      <c r="BY680" s="306" t="s">
        <v>983</v>
      </c>
      <c r="BZ680" s="306" t="s">
        <v>984</v>
      </c>
      <c r="CA680" s="306" t="s">
        <v>985</v>
      </c>
      <c r="CB680" s="306" t="s">
        <v>986</v>
      </c>
      <c r="CC680" s="306" t="s">
        <v>987</v>
      </c>
      <c r="CD680" s="306" t="s">
        <v>988</v>
      </c>
      <c r="CE680" s="306" t="s">
        <v>989</v>
      </c>
      <c r="CF680" s="306" t="s">
        <v>990</v>
      </c>
      <c r="CG680" s="306" t="s">
        <v>991</v>
      </c>
      <c r="CH680" s="306"/>
      <c r="CI680" s="305" t="s">
        <v>937</v>
      </c>
      <c r="CJ680" s="306" t="s">
        <v>938</v>
      </c>
      <c r="CK680" s="306" t="s">
        <v>939</v>
      </c>
      <c r="CL680" s="306" t="s">
        <v>940</v>
      </c>
      <c r="CM680" s="306" t="s">
        <v>941</v>
      </c>
      <c r="CN680" s="306" t="s">
        <v>942</v>
      </c>
      <c r="CO680" s="306" t="s">
        <v>943</v>
      </c>
      <c r="CP680" s="306" t="s">
        <v>944</v>
      </c>
      <c r="CQ680" s="306" t="s">
        <v>945</v>
      </c>
      <c r="CR680" s="306" t="s">
        <v>946</v>
      </c>
      <c r="CS680" s="307" t="s">
        <v>71</v>
      </c>
      <c r="CT680" s="306"/>
      <c r="CU680" s="306" t="s">
        <v>71</v>
      </c>
      <c r="CV680" s="306"/>
      <c r="CW680" s="306"/>
      <c r="CX680" s="305" t="s">
        <v>56</v>
      </c>
      <c r="CY680" s="306" t="s">
        <v>57</v>
      </c>
      <c r="CZ680" s="306" t="s">
        <v>947</v>
      </c>
      <c r="DA680" s="306" t="s">
        <v>5</v>
      </c>
      <c r="DB680" s="306" t="s">
        <v>6</v>
      </c>
      <c r="DC680" s="306" t="s">
        <v>53</v>
      </c>
      <c r="DD680" s="307" t="s">
        <v>8</v>
      </c>
      <c r="DE680" s="306"/>
      <c r="DF680" s="305" t="s">
        <v>56</v>
      </c>
      <c r="DG680" s="306" t="s">
        <v>57</v>
      </c>
      <c r="DH680" s="306" t="s">
        <v>947</v>
      </c>
      <c r="DI680" s="306" t="s">
        <v>5</v>
      </c>
      <c r="DJ680" s="306" t="s">
        <v>6</v>
      </c>
      <c r="DK680" s="306" t="s">
        <v>53</v>
      </c>
      <c r="DL680" s="307" t="s">
        <v>8</v>
      </c>
      <c r="DM680" s="306"/>
      <c r="DN680" s="305" t="s">
        <v>48</v>
      </c>
      <c r="DO680" s="306" t="s">
        <v>80</v>
      </c>
      <c r="DP680" s="307" t="s">
        <v>20</v>
      </c>
      <c r="DQ680" s="306"/>
      <c r="DR680" s="305" t="s">
        <v>48</v>
      </c>
      <c r="DS680" s="306" t="s">
        <v>80</v>
      </c>
      <c r="DT680" s="307" t="s">
        <v>20</v>
      </c>
      <c r="DU680" s="306"/>
      <c r="DV680" s="305" t="s">
        <v>48</v>
      </c>
      <c r="DW680" s="306" t="s">
        <v>80</v>
      </c>
      <c r="DX680" s="307" t="s">
        <v>20</v>
      </c>
      <c r="DZ680" s="270" t="s">
        <v>48</v>
      </c>
      <c r="EA680" s="269" t="s">
        <v>826</v>
      </c>
      <c r="EB680" s="269" t="s">
        <v>827</v>
      </c>
      <c r="EC680" s="269" t="s">
        <v>828</v>
      </c>
      <c r="ED680" s="289" t="s">
        <v>948</v>
      </c>
      <c r="EF680" s="305" t="s">
        <v>48</v>
      </c>
      <c r="EG680" s="306" t="s">
        <v>80</v>
      </c>
      <c r="EH680" s="307" t="s">
        <v>20</v>
      </c>
      <c r="EJ680" s="305" t="s">
        <v>48</v>
      </c>
      <c r="EK680" s="306" t="s">
        <v>80</v>
      </c>
      <c r="EL680" s="307" t="s">
        <v>20</v>
      </c>
      <c r="EN680" s="305" t="s">
        <v>48</v>
      </c>
      <c r="EO680" s="306" t="s">
        <v>80</v>
      </c>
      <c r="EP680" s="307" t="s">
        <v>20</v>
      </c>
    </row>
    <row r="681" spans="1:208" s="266" customFormat="1" x14ac:dyDescent="0.25">
      <c r="A681" s="313">
        <v>15</v>
      </c>
      <c r="B681" s="314">
        <v>15</v>
      </c>
      <c r="C681" s="308"/>
      <c r="D681" s="309"/>
      <c r="E681" s="309">
        <f>VLOOKUP($B681,'Infant pick up smoking rates'!$A$19:$I$104,3)</f>
        <v>0.35017899041879663</v>
      </c>
      <c r="F681" s="309"/>
      <c r="G681" s="309">
        <f>1-E681</f>
        <v>0.64982100958120337</v>
      </c>
      <c r="H681" s="309"/>
      <c r="I681" s="309"/>
      <c r="J681" s="309">
        <f>VLOOKUP($B681,'Infant pick up smoking rates'!$A$19:$I$104,2)</f>
        <v>0.18808420110295784</v>
      </c>
      <c r="K681" s="309"/>
      <c r="L681" s="309">
        <f>1-J681</f>
        <v>0.81191579889704213</v>
      </c>
      <c r="M681" s="309"/>
      <c r="N681" s="309"/>
      <c r="O681" s="309">
        <f>VLOOKUP($B681,'Infant pick up smoking rates'!$A$19:$I$104,2)</f>
        <v>0.18808420110295784</v>
      </c>
      <c r="P681" s="309"/>
      <c r="Q681" s="309">
        <f>1-O681</f>
        <v>0.81191579889704213</v>
      </c>
      <c r="R681" s="309"/>
      <c r="S681" s="309"/>
      <c r="T681" s="309">
        <f>VLOOKUP($B681,'Infant pick up smoking rates'!$A$19:$I$104,2)</f>
        <v>0.18808420110295784</v>
      </c>
      <c r="U681" s="309"/>
      <c r="V681" s="309">
        <f>1-T681</f>
        <v>0.81191579889704213</v>
      </c>
      <c r="W681" s="309"/>
      <c r="X681" s="309">
        <f>VLOOKUP($B681,'Infant pick up smoking rates'!$A$19:$I$104,2)</f>
        <v>0.18808420110295784</v>
      </c>
      <c r="Y681" s="309">
        <f>1-X681</f>
        <v>0.81191579889704213</v>
      </c>
      <c r="Z681" s="309"/>
      <c r="AA681" s="309"/>
      <c r="AB681" s="309"/>
      <c r="AC681" s="309"/>
      <c r="AD681" s="309"/>
      <c r="AE681" s="309"/>
      <c r="AF681" s="309"/>
      <c r="AG681" s="309"/>
      <c r="AH681" s="309"/>
      <c r="AI681" s="309"/>
      <c r="AJ681" s="309"/>
      <c r="AK681" s="309"/>
      <c r="AL681" s="309"/>
      <c r="AM681" s="315">
        <f>G681*(AB676+AC676+AJ676+AK676+BS676+BT676+CA676+CB676)</f>
        <v>179.29083610110658</v>
      </c>
      <c r="AN681" s="316">
        <f>L681*(AD676+AL676+BU676+CC676)</f>
        <v>61.489078990643229</v>
      </c>
      <c r="AO681" s="316">
        <f>Q681*(AE676+AM676+BV676+CD676)</f>
        <v>8.7523611902837164</v>
      </c>
      <c r="AP681" s="316">
        <f>V681*(AF676+AN676+BW676+CE676)</f>
        <v>70.058040239084121</v>
      </c>
      <c r="AQ681" s="316">
        <f>Y681*(AG676+AO676+BX676+CF676)</f>
        <v>3.5970562431356234</v>
      </c>
      <c r="AR681" s="316">
        <f>(E681*(AB676+AC676+AJ676+AK676+BS676+BT676+CA676+CB676))+(J681*(AD676+AL676+BU676+CC676))+(O681*(AE676+AM676+BV676+CD676))+(T681*(AF676+AN676+BW676+CE676))+(X681*(AG676+AO676+BX676+CF676))</f>
        <v>129.95152123233063</v>
      </c>
      <c r="AS681" s="316"/>
      <c r="AT681" s="316"/>
      <c r="AU681" s="316"/>
      <c r="AV681" s="316">
        <f>AH676+AP676+BY676+CG676</f>
        <v>56.861106003416168</v>
      </c>
      <c r="AW681" s="317">
        <f>SUM(AM681:AV681)</f>
        <v>510.00000000000006</v>
      </c>
      <c r="AX681" s="309"/>
      <c r="AY681" s="308"/>
      <c r="AZ681" s="309"/>
      <c r="BA681" s="309">
        <f ca="1">VLOOKUP($B681,'Infant pick up smoking rates'!$A$19:$I$104,7)</f>
        <v>0.21475506379963841</v>
      </c>
      <c r="BB681" s="309"/>
      <c r="BC681" s="309">
        <f ca="1">1-BA681</f>
        <v>0.78524493620036162</v>
      </c>
      <c r="BD681" s="309"/>
      <c r="BE681" s="309"/>
      <c r="BF681" s="309">
        <f>VLOOKUP($B681,'Infant pick up smoking rates'!$A$19:$I$104,6)</f>
        <v>0.11534682466033405</v>
      </c>
      <c r="BG681" s="309"/>
      <c r="BH681" s="309">
        <f>1-BF681</f>
        <v>0.88465317533966592</v>
      </c>
      <c r="BI681" s="309"/>
      <c r="BJ681" s="309"/>
      <c r="BK681" s="309">
        <f>VLOOKUP($B681,'Infant pick up smoking rates'!$A$19:$I$104,6)</f>
        <v>0.11534682466033405</v>
      </c>
      <c r="BL681" s="309"/>
      <c r="BM681" s="309">
        <f>1-BK681</f>
        <v>0.88465317533966592</v>
      </c>
      <c r="BN681" s="309"/>
      <c r="BO681" s="309"/>
      <c r="BP681" s="309">
        <f>VLOOKUP($B681,'Infant pick up smoking rates'!$A$19:$I$104,6)</f>
        <v>0.11534682466033405</v>
      </c>
      <c r="BQ681" s="309"/>
      <c r="BR681" s="309">
        <f>1-BP681</f>
        <v>0.88465317533966592</v>
      </c>
      <c r="BS681" s="309"/>
      <c r="BT681" s="309">
        <f>VLOOKUP($B681,'Infant pick up smoking rates'!$A$19:$I$104,6)</f>
        <v>0.11534682466033405</v>
      </c>
      <c r="BU681" s="309">
        <f>1-BT681</f>
        <v>0.88465317533966592</v>
      </c>
      <c r="BV681" s="309"/>
      <c r="BW681" s="309"/>
      <c r="BX681" s="309"/>
      <c r="BY681" s="309"/>
      <c r="BZ681" s="309"/>
      <c r="CA681" s="309"/>
      <c r="CB681" s="309"/>
      <c r="CC681" s="309"/>
      <c r="CD681" s="309"/>
      <c r="CE681" s="309"/>
      <c r="CF681" s="309"/>
      <c r="CG681" s="309"/>
      <c r="CH681" s="309"/>
      <c r="CI681" s="315">
        <f ca="1">BC681*(DJ676+DK676+DR676+DS676+FA676+FB676+FI676+FJ676)</f>
        <v>208.37696157831391</v>
      </c>
      <c r="CJ681" s="316">
        <f>BH681*(DL676+DT676+FC676+FK676)</f>
        <v>64.436507960914199</v>
      </c>
      <c r="CK681" s="316">
        <f>BM681*(DM676+DU676+FD676+FL676)</f>
        <v>9.1717835015570248</v>
      </c>
      <c r="CL681" s="316">
        <f>BR681*(DN676+DV676+FE676+FM676)</f>
        <v>73.410621729290042</v>
      </c>
      <c r="CM681" s="316">
        <f>BU681*(DO676+DW676+FF676+FN676)</f>
        <v>3.7693474558542763</v>
      </c>
      <c r="CN681" s="316">
        <f ca="1">(BA681*(DJ676+DK676+DR676+DS676+FA676+FB676+FI676+FJ676))+(BF681*(DL676+DT676+FC676+FK676))+(BK681*(DM676+DU676+FD676+FL676))+(BP681*(DN676+DV676+FE676+FM676))+(BT681*(DO676+DW676+FF676+FN676))</f>
        <v>76.649350013596347</v>
      </c>
      <c r="CO681" s="316"/>
      <c r="CP681" s="316"/>
      <c r="CQ681" s="316"/>
      <c r="CR681" s="316">
        <f>DP676+DX676+FG676+FO676</f>
        <v>54.185427760474241</v>
      </c>
      <c r="CS681" s="317">
        <f ca="1">SUM(CI681:CR681)</f>
        <v>490</v>
      </c>
      <c r="CT681" s="309"/>
      <c r="CU681" s="309">
        <f ca="1">CS681+AW681</f>
        <v>1000</v>
      </c>
      <c r="CV681" s="309" t="str">
        <f t="shared" ref="CV681:CV712" ca="1" si="225">IF(CU681=Cohort,"OKAY",IF(CU681&lt;Cohort,"Too few","Too many"))</f>
        <v>OKAY</v>
      </c>
      <c r="CW681" s="309"/>
      <c r="CX681" s="315"/>
      <c r="CY681" s="316"/>
      <c r="CZ681" s="316"/>
      <c r="DA681" s="316"/>
      <c r="DB681" s="316"/>
      <c r="DC681" s="316"/>
      <c r="DD681" s="317"/>
      <c r="DE681" s="309"/>
      <c r="DF681" s="315"/>
      <c r="DG681" s="316"/>
      <c r="DH681" s="316"/>
      <c r="DI681" s="316"/>
      <c r="DJ681" s="316"/>
      <c r="DK681" s="316"/>
      <c r="DL681" s="317"/>
      <c r="DM681" s="309"/>
      <c r="DN681" s="308">
        <f>$B681</f>
        <v>15</v>
      </c>
      <c r="DO681" s="309"/>
      <c r="DP681" s="310">
        <f>GA676</f>
        <v>10244.293612711277</v>
      </c>
      <c r="DQ681" s="309"/>
      <c r="DR681" s="308">
        <f>$B681</f>
        <v>15</v>
      </c>
      <c r="DS681" s="309"/>
      <c r="DT681" s="310">
        <f>GE676</f>
        <v>10109.740724516852</v>
      </c>
      <c r="DU681" s="309"/>
      <c r="DV681" s="308">
        <f>$B681</f>
        <v>15</v>
      </c>
      <c r="DW681" s="318"/>
      <c r="DX681" s="319">
        <f>$GI$676</f>
        <v>5462927.580867582</v>
      </c>
      <c r="DZ681" s="95">
        <f>$A681</f>
        <v>15</v>
      </c>
      <c r="EA681" s="268">
        <f t="shared" ref="EA681:EA712" ca="1" si="226">(SUM($AM681:$AU681)+SUM($CI681:$CQ681))/Cohort</f>
        <v>0.8889534662361096</v>
      </c>
      <c r="EB681" s="268">
        <f t="shared" ref="EB681:EB712" si="227">($AV681+$CR681)/Cohort</f>
        <v>0.11104653376389041</v>
      </c>
      <c r="EC681" s="268">
        <f t="shared" ref="EC681:EC712" si="228">(SUM($DA681:$DD681)+SUM($DI681:$DL681))/Cohort</f>
        <v>0</v>
      </c>
      <c r="ED681" s="290">
        <f t="shared" ref="ED681:ED712" ca="1" si="229">(SUM($AR681:$AU681)+SUM($CN681:$CQ681))/Cohort</f>
        <v>0.20660087124592699</v>
      </c>
      <c r="EF681" s="95">
        <f>$A681</f>
        <v>15</v>
      </c>
      <c r="EG681" s="318"/>
      <c r="EH681" s="340">
        <f>$GR$676</f>
        <v>8563059.5167236738</v>
      </c>
      <c r="EJ681" s="308">
        <f>$B681</f>
        <v>15</v>
      </c>
      <c r="EK681" s="318"/>
      <c r="EL681" s="319">
        <f>$GV$676</f>
        <v>5462927.580867582</v>
      </c>
      <c r="EN681" s="95">
        <f>$A681</f>
        <v>15</v>
      </c>
      <c r="EO681" s="318"/>
      <c r="EP681" s="395">
        <f>$GZ$676</f>
        <v>8563059.5167236738</v>
      </c>
    </row>
    <row r="682" spans="1:208" s="266" customFormat="1" x14ac:dyDescent="0.25">
      <c r="A682" s="313">
        <v>16</v>
      </c>
      <c r="B682" s="314">
        <v>16</v>
      </c>
      <c r="C682" s="308">
        <f>VLOOKUP($B682,'Infant adult mortality'!$A$27:$I$128,3)</f>
        <v>1.155E-4</v>
      </c>
      <c r="D682" s="309">
        <f t="shared" ref="D682:D745" si="230">VLOOKUP($A682,$A$555:$N$655,4)</f>
        <v>0.27</v>
      </c>
      <c r="E682" s="309">
        <f>VLOOKUP($B682,'Infant pick up smoking rates'!$A$19:$I$104,3)</f>
        <v>0.16381478843644798</v>
      </c>
      <c r="F682" s="309">
        <f t="shared" ref="F682:F745" si="231">VLOOKUP($A682,$A$555:$N$655,3)</f>
        <v>1.2351934826883909E-3</v>
      </c>
      <c r="G682" s="309">
        <f t="shared" ref="G682:G745" si="232">1-F682-E682-D682-C682</f>
        <v>0.56483451808086349</v>
      </c>
      <c r="H682" s="309">
        <f>VLOOKUP($B682,'Infant adult mortality'!$A$27:$I$128,3)</f>
        <v>1.155E-4</v>
      </c>
      <c r="I682" s="309">
        <f t="shared" ref="I682:I745" si="233">VLOOKUP($A682,$A$555:$N$655,7)</f>
        <v>0.14000000000000001</v>
      </c>
      <c r="J682" s="309">
        <f>VLOOKUP($B682,'Infant pick up smoking rates'!$A$19:$I$104,2)</f>
        <v>8.0322003553876822E-2</v>
      </c>
      <c r="K682" s="309">
        <f t="shared" ref="K682:K745" si="234">VLOOKUP($A682,$A$555:$N$655,6)</f>
        <v>1.2351934826883909E-3</v>
      </c>
      <c r="L682" s="309">
        <f t="shared" ref="L682:L745" si="235">1-K682-J682-I682-H682</f>
        <v>0.77832730296343466</v>
      </c>
      <c r="M682" s="309">
        <f>VLOOKUP($B682,'Infant adult mortality'!$A$27:$I$128,3)</f>
        <v>1.155E-4</v>
      </c>
      <c r="N682" s="309">
        <f t="shared" ref="N682:N745" si="236">VLOOKUP($A682,$A$555:$N$655,11)</f>
        <v>0.5714285714285714</v>
      </c>
      <c r="O682" s="309">
        <f>VLOOKUP($B682,'Infant pick up smoking rates'!$A$19:$I$104,2)</f>
        <v>8.0322003553876822E-2</v>
      </c>
      <c r="P682" s="309">
        <f t="shared" ref="P682:P745" si="237">VLOOKUP($A682,$A$555:$N$655,9)</f>
        <v>8.8228105906313649E-4</v>
      </c>
      <c r="Q682" s="309">
        <f t="shared" ref="Q682:Q745" si="238">1-P682-O682-N682-M682</f>
        <v>0.34725164395848857</v>
      </c>
      <c r="R682" s="309">
        <f>VLOOKUP($B682,'Infant adult mortality'!$A$27:$I$128,3)</f>
        <v>1.155E-4</v>
      </c>
      <c r="S682" s="309">
        <f t="shared" ref="S682:S745" si="239">VLOOKUP($A682,$A$555:$N$655,13)</f>
        <v>8.6261668788331098E-3</v>
      </c>
      <c r="T682" s="309">
        <f>VLOOKUP($B682,'Infant pick up smoking rates'!$A$19:$I$104,2)</f>
        <v>8.0322003553876822E-2</v>
      </c>
      <c r="U682" s="309">
        <f t="shared" ref="U682:U745" si="240">VLOOKUP($A682,$A$555:$N$655,12)</f>
        <v>8.8228105906313649E-4</v>
      </c>
      <c r="V682" s="309">
        <f t="shared" ref="V682:V745" si="241">1-U682-T682-S682-R682</f>
        <v>0.9100540485082268</v>
      </c>
      <c r="W682" s="309">
        <f>VLOOKUP($B682,'Infant adult mortality'!$A$27:$I$128,3)</f>
        <v>1.155E-4</v>
      </c>
      <c r="X682" s="309">
        <f>VLOOKUP($B682,'Infant pick up smoking rates'!$A$19:$I$104,2)</f>
        <v>8.0322003553876822E-2</v>
      </c>
      <c r="Y682" s="309">
        <f t="shared" ref="Y682:Y745" si="242">1-X682-W682</f>
        <v>0.91956249644612309</v>
      </c>
      <c r="Z682" s="309">
        <f>VLOOKUP($B682,'Infant adult mortality'!$A$27:$I$128,5)</f>
        <v>1.155E-4</v>
      </c>
      <c r="AA682" s="309">
        <f t="shared" ref="AA682:AA712" si="243">DET_P_01Q_CS_MALE</f>
        <v>0.25</v>
      </c>
      <c r="AB682" s="309">
        <f t="shared" ref="AB682:AB745" si="244">1-AA682-Z682</f>
        <v>0.74988449999999995</v>
      </c>
      <c r="AC682" s="309">
        <f>VLOOKUP($B682,'Infant adult mortality'!$A$27:$I$128,5)</f>
        <v>1.155E-4</v>
      </c>
      <c r="AD682" s="309">
        <f t="shared" ref="AD682:AD712" si="245">DET_P_12Q_01Q</f>
        <v>0.14000000000000001</v>
      </c>
      <c r="AE682" s="309">
        <f t="shared" ref="AE682:AE745" si="246">1-AD682-AC682</f>
        <v>0.85988449999999994</v>
      </c>
      <c r="AF682" s="309">
        <f>VLOOKUP($B682,'Infant adult mortality'!$A$27:$I$128,4)</f>
        <v>1.155E-4</v>
      </c>
      <c r="AG682" s="309">
        <f t="shared" ref="AG682:AG712" si="247">DET_P_LTQ_12Q</f>
        <v>0.5714285714285714</v>
      </c>
      <c r="AH682" s="309">
        <f t="shared" ref="AH682:AH745" si="248">1-AG682-AF682</f>
        <v>0.42845592857142861</v>
      </c>
      <c r="AI682" s="309">
        <f>VLOOKUP($B682,'Infant adult mortality'!$A$27:$I$128,4)</f>
        <v>1.155E-4</v>
      </c>
      <c r="AJ682" s="309">
        <f t="shared" ref="AJ682:AJ712" si="249">DET_P_CS_LTQ</f>
        <v>8.6261668788331098E-3</v>
      </c>
      <c r="AK682" s="309">
        <f t="shared" ref="AK682:AK745" si="250">1-AJ682-AI682</f>
        <v>0.99125833312116685</v>
      </c>
      <c r="AL682" s="309"/>
      <c r="AM682" s="315">
        <f>(AM681*G682)+(AN681*L682)+(AO681*Q682)+(AP681*S682)</f>
        <v>152.7718861761274</v>
      </c>
      <c r="AN682" s="316">
        <f>AM681*D682</f>
        <v>48.408525747298782</v>
      </c>
      <c r="AO682" s="316">
        <f>AN681*I682</f>
        <v>8.6084710586900535</v>
      </c>
      <c r="AP682" s="316">
        <f>(AO681*N682)+(AP681*V682)</f>
        <v>68.757952401721454</v>
      </c>
      <c r="AQ682" s="316">
        <f>(AM681*F682)+(AN681*K682)+(AO681*P682)+(AP681*U682)+(AQ681*Y682)</f>
        <v>3.6746607251167935</v>
      </c>
      <c r="AR682" s="316">
        <f>(AR681*AB682)+(AS681*AE682)+(AT681*AH682)+(AU681*AJ682)+(AM681*E682)+(AN681*J682)+(AO681*O682)+(AP681*T682)+(AQ681*X682)</f>
        <v>138.37718003729012</v>
      </c>
      <c r="AS682" s="316">
        <f>AR681*AA682</f>
        <v>32.487880308082659</v>
      </c>
      <c r="AT682" s="316">
        <f>AS681*AD682</f>
        <v>0</v>
      </c>
      <c r="AU682" s="316">
        <f>(AT681*AG682)+(AU681*AK682)</f>
        <v>0</v>
      </c>
      <c r="AV682" s="316">
        <f>AV681+(AM681*C682)+(AN681*H682)+(AO681*M682)+(AP681*R682)+(AQ681*W682)+(AR681*Z682)+(AS681*AC682)+(AT681*AF682)+(AU681*AI682)</f>
        <v>56.913443545672777</v>
      </c>
      <c r="AW682" s="317">
        <f t="shared" ref="AW682:AW745" si="251">SUM(AM682:AV682)</f>
        <v>510</v>
      </c>
      <c r="AX682" s="309"/>
      <c r="AY682" s="308">
        <f>VLOOKUP($B682,'Infant adult mortality'!$A$134:$I$234,3)</f>
        <v>8.7399999999999997E-5</v>
      </c>
      <c r="AZ682" s="309">
        <f t="shared" ref="AZ682:AZ745" si="252">VLOOKUP($A682,$A$555:$N$655,4)</f>
        <v>0.27</v>
      </c>
      <c r="BA682" s="309">
        <f ca="1">VLOOKUP($B682,'Infant pick up smoking rates'!$A$19:$I$104,7)</f>
        <v>0.10585873855306706</v>
      </c>
      <c r="BB682" s="309">
        <f t="shared" ref="BB682:BB745" si="253">VLOOKUP($A682,$A$555:$N$655,3)</f>
        <v>1.2351934826883909E-3</v>
      </c>
      <c r="BC682" s="309">
        <f t="shared" ref="BC682:BC745" ca="1" si="254">1-BB682-BA682-AZ682-AY682</f>
        <v>0.62281866796424457</v>
      </c>
      <c r="BD682" s="309">
        <f>VLOOKUP($B682,'Infant adult mortality'!$A$134:$I$234,3)</f>
        <v>8.7399999999999997E-5</v>
      </c>
      <c r="BE682" s="309">
        <f t="shared" ref="BE682:BE745" si="255">VLOOKUP($A682,$A$555:$N$655,7)</f>
        <v>0.14000000000000001</v>
      </c>
      <c r="BF682" s="309">
        <f>VLOOKUP($B682,'Infant pick up smoking rates'!$A$19:$I$104,6)</f>
        <v>5.1904874129035238E-2</v>
      </c>
      <c r="BG682" s="309">
        <f t="shared" ref="BG682:BG745" si="256">VLOOKUP($A682,$A$555:$N$655,6)</f>
        <v>1.2351934826883909E-3</v>
      </c>
      <c r="BH682" s="309">
        <f t="shared" ref="BH682:BH745" si="257">1-BG682-BF682-BE682-BD682</f>
        <v>0.8067725323882764</v>
      </c>
      <c r="BI682" s="309">
        <f>VLOOKUP($B682,'Infant adult mortality'!$A$134:$I$234,3)</f>
        <v>8.7399999999999997E-5</v>
      </c>
      <c r="BJ682" s="309">
        <f t="shared" ref="BJ682:BJ745" si="258">VLOOKUP($A682,$A$555:$N$655,11)</f>
        <v>0.5714285714285714</v>
      </c>
      <c r="BK682" s="309">
        <f>VLOOKUP($B682,'Infant pick up smoking rates'!$A$19:$I$104,6)</f>
        <v>5.1904874129035238E-2</v>
      </c>
      <c r="BL682" s="309">
        <f t="shared" ref="BL682:BL745" si="259">VLOOKUP($A682,$A$555:$N$655,9)</f>
        <v>8.8228105906313649E-4</v>
      </c>
      <c r="BM682" s="309">
        <f t="shared" ref="BM682:BM745" si="260">1-BL682-BK682-BJ682-BI682</f>
        <v>0.37569687338333019</v>
      </c>
      <c r="BN682" s="309">
        <f>VLOOKUP($B682,'Infant adult mortality'!$A$134:$I$234,3)</f>
        <v>8.7399999999999997E-5</v>
      </c>
      <c r="BO682" s="309">
        <f t="shared" ref="BO682:BO745" si="261">VLOOKUP($A682,$A$555:$N$655,13)</f>
        <v>8.6261668788331098E-3</v>
      </c>
      <c r="BP682" s="309">
        <f>VLOOKUP($B682,'Infant pick up smoking rates'!$A$19:$I$104,6)</f>
        <v>5.1904874129035238E-2</v>
      </c>
      <c r="BQ682" s="309">
        <f t="shared" ref="BQ682:BQ745" si="262">VLOOKUP($A682,$A$555:$N$655,12)</f>
        <v>8.8228105906313649E-4</v>
      </c>
      <c r="BR682" s="309">
        <f t="shared" ref="BR682:BR745" si="263">1-BQ682-BP682-BO682-BN682</f>
        <v>0.93849927793306853</v>
      </c>
      <c r="BS682" s="309">
        <f>VLOOKUP($B682,'Infant adult mortality'!$A$134:$I$234,3)</f>
        <v>8.7399999999999997E-5</v>
      </c>
      <c r="BT682" s="309">
        <f>VLOOKUP($B682,'Infant pick up smoking rates'!$A$19:$I$104,6)</f>
        <v>5.1904874129035238E-2</v>
      </c>
      <c r="BU682" s="309">
        <f t="shared" ref="BU682:BU745" si="264">1-BT682-BS682</f>
        <v>0.94800772587096482</v>
      </c>
      <c r="BV682" s="309">
        <f>VLOOKUP($B682,'Infant adult mortality'!$A$134:$I$234,5)</f>
        <v>8.7399999999999997E-5</v>
      </c>
      <c r="BW682" s="309">
        <f t="shared" ref="BW682:BW713" si="265">DET_P_01Q_CS_FEMALE</f>
        <v>0.27</v>
      </c>
      <c r="BX682" s="309">
        <f t="shared" ref="BX682:BX745" si="266">1-BW682-BV682</f>
        <v>0.72991260000000002</v>
      </c>
      <c r="BY682" s="309">
        <f>VLOOKUP($B682,'Infant adult mortality'!$A$134:$I$234,5)</f>
        <v>8.7399999999999997E-5</v>
      </c>
      <c r="BZ682" s="309">
        <f t="shared" ref="BZ682:BZ745" si="267">DET_P_12Q_01Q</f>
        <v>0.14000000000000001</v>
      </c>
      <c r="CA682" s="309">
        <f t="shared" ref="CA682:CA745" si="268">1-BZ682-BY682</f>
        <v>0.85991260000000003</v>
      </c>
      <c r="CB682" s="309">
        <f>VLOOKUP($B682,'Infant adult mortality'!$A$134:$I$234,4)</f>
        <v>8.7399999999999997E-5</v>
      </c>
      <c r="CC682" s="309">
        <f t="shared" ref="CC682:CC745" si="269">DET_P_LTQ_12Q</f>
        <v>0.5714285714285714</v>
      </c>
      <c r="CD682" s="309">
        <f t="shared" ref="CD682:CD745" si="270">1-CC682-CB682</f>
        <v>0.42848402857142859</v>
      </c>
      <c r="CE682" s="309">
        <f>VLOOKUP($B682,'Infant adult mortality'!$A$134:$I$234,4)</f>
        <v>8.7399999999999997E-5</v>
      </c>
      <c r="CF682" s="309">
        <f t="shared" ref="CF682:CF745" si="271">DET_P_CS_LTQ</f>
        <v>8.6261668788331098E-3</v>
      </c>
      <c r="CG682" s="309">
        <f t="shared" ref="CG682:CG745" si="272">1-CF682-CE682</f>
        <v>0.99128643312116693</v>
      </c>
      <c r="CH682" s="309"/>
      <c r="CI682" s="315">
        <f ca="1">(CI681*BC682)+(CJ681*BH682)+(CK681*BM682)+(CL681*BO682)</f>
        <v>185.84572900912568</v>
      </c>
      <c r="CJ682" s="316">
        <f ca="1">CI681*AZ682</f>
        <v>56.261779626144758</v>
      </c>
      <c r="CK682" s="316">
        <f>CJ681*BE682</f>
        <v>9.0211111145279883</v>
      </c>
      <c r="CL682" s="316">
        <f>(CK681*BJ682)+(CL681*BR682)</f>
        <v>74.136834629303209</v>
      </c>
      <c r="CM682" s="316">
        <f ca="1">(CI681*BB682)+(CJ681*BG682)+(CK681*BL682)+(CL681*BQ682)+(CM681*BU682)</f>
        <v>3.9832088211534344</v>
      </c>
      <c r="CN682" s="316">
        <f ca="1">(CN681*BX682)+(CO681*CA682)+(CP681*CD682)+(CQ681*CF682)+(CI681*BA682)+(CJ681*BF682)+(CK681*BK682)+(CL681*BP682)+(CM681*BT682)</f>
        <v>85.832494341986035</v>
      </c>
      <c r="CO682" s="316">
        <f ca="1">CN681*BW682</f>
        <v>20.695324503671014</v>
      </c>
      <c r="CP682" s="316">
        <f>CO681*BZ682</f>
        <v>0</v>
      </c>
      <c r="CQ682" s="316">
        <f>(CP681*CC682)+(CQ681*CG682)</f>
        <v>0</v>
      </c>
      <c r="CR682" s="316">
        <f ca="1">CR681+(CI681*AY682)+(CJ681*BD682)+(CK681*BI682)+(CL681*BN682)+(CM681*BS682)+(CN681*BV682)+(CO681*BY682)+(CP681*CB682)+(CQ681*CE682)</f>
        <v>54.223517954087974</v>
      </c>
      <c r="CS682" s="317">
        <f t="shared" ref="CS682:CS745" ca="1" si="273">SUM(CI682:CR682)</f>
        <v>490.00000000000011</v>
      </c>
      <c r="CT682" s="309"/>
      <c r="CU682" s="309">
        <f t="shared" ref="CU682:CU745" ca="1" si="274">CS682+AW682</f>
        <v>1000.0000000000001</v>
      </c>
      <c r="CV682" s="309" t="str">
        <f t="shared" ca="1" si="225"/>
        <v>OKAY</v>
      </c>
      <c r="CW682" s="309"/>
      <c r="CX682" s="315">
        <f>(SUM($AR682:$AS682))-((SUM($AR682:$AS682)*VLOOKUP($B682,Lifetime_morbidity_array!$A$30:$Y$48,4))+(SUM($AR682:$AS682)*VLOOKUP($B682,Lifetime_morbidity_array!$A$30:$Y$48,7))+(SUM($AR682:$AS682)*VLOOKUP($B682,Lifetime_morbidity_array!$A$30:$Y$48,10))+(SUM($AR682:$AS682)*VLOOKUP($B682,Lifetime_morbidity_array!$A$30:$Y$48,13)))</f>
        <v>170.63956757389417</v>
      </c>
      <c r="CY682" s="316">
        <f>(SUM($AT682:$AU682))-((SUM($AT682:$AU682)*(VLOOKUP($B682,Lifetime_morbidity_array!$A$30:$Y$48,3)))+(SUM($AT682:$AU682)*(VLOOKUP($B682,Lifetime_morbidity_array!$A$30:$Y$48,6)))+(SUM($AT682:$AU682)*(VLOOKUP($B682,Lifetime_morbidity_array!$A$30:$Y$48,9)))+(SUM($AT682:$AU682)*(VLOOKUP($B682,Lifetime_morbidity_array!$A$30:$Y$48,12))))</f>
        <v>0</v>
      </c>
      <c r="CZ682" s="316">
        <f>(SUM($AM682:$AQ682))-((SUM($AM682:$AQ682)*VLOOKUP($B682,Lifetime_morbidity_array!$A$30:$Y$48,2))+(SUM($AM682:$AQ682)*VLOOKUP($B682,Lifetime_morbidity_array!$A$30:$Y$48,5))+(SUM($AM682:$AQ682)*VLOOKUP($B682,Lifetime_morbidity_array!$A$30:$Y$48,8))+(SUM($AM682:$AQ682)*VLOOKUP($B682,Lifetime_morbidity_array!$A$30:$Y$48,11)))</f>
        <v>281.84904484712354</v>
      </c>
      <c r="DA682" s="316">
        <f>(SUM($AM682:$AQ682)*VLOOKUP($B682,Lifetime_morbidity_array!$A$30:$Y$48,2))+(SUM($AR682:$AS682)*VLOOKUP($B682,Lifetime_morbidity_array!$A$30:$Y$48,4))+(SUM($AT682:$AU682)*(VLOOKUP($B682,Lifetime_morbidity_array!$A$30:$Y$48,3)))</f>
        <v>0.45308585221310071</v>
      </c>
      <c r="DB682" s="316">
        <f>(SUM($AM682:$AQ682)*VLOOKUP($B682,Lifetime_morbidity_array!$A$30:$Y$48,5))+(SUM($AR682:$AS682)*VLOOKUP($B682,Lifetime_morbidity_array!$A$30:$Y$48,7))+(SUM($AT682:$AU682)*(VLOOKUP($B682,Lifetime_morbidity_array!$A$30:$Y$48,6)))</f>
        <v>0.13579610964904593</v>
      </c>
      <c r="DC682" s="316">
        <f>(SUM($AM682:$AQ682)*VLOOKUP($B682,Lifetime_morbidity_array!$A$30:$Y$48,8))+(SUM($AR682:$AS682)*VLOOKUP($B682,Lifetime_morbidity_array!$A$30:$Y$48,10))+(SUM($AT682:$AU682)*(VLOOKUP($B682,Lifetime_morbidity_array!$A$30:$Y$48,9)))</f>
        <v>9.062071447348205E-3</v>
      </c>
      <c r="DD682" s="317">
        <f>(SUM($AM682:$AQ682)*VLOOKUP($B682,Lifetime_morbidity_array!$A$30:$Y$48,11))+(SUM($AR682:$AS682)*VLOOKUP($B682,Lifetime_morbidity_array!$A$30:$Y$48,13))+(SUM($AT682:$AU682)*(VLOOKUP($B682,Lifetime_morbidity_array!$A$30:$Y$48,12)))</f>
        <v>0</v>
      </c>
      <c r="DE682" s="309"/>
      <c r="DF682" s="315">
        <f ca="1">(SUM($CN682:$CO682))-((SUM($CN682:$CO682)*VLOOKUP($B682,Lifetime_morbidity_array!$A$6:$Y$24,4))+(SUM($CN682:$CO682)*VLOOKUP($B682,Lifetime_morbidity_array!$A$6:$Y$24,7))+(SUM($CN682:$CO682)*VLOOKUP($B682,Lifetime_morbidity_array!$A$6:$Y$24,10))+(SUM($CN682:$CO682)*VLOOKUP($B682,Lifetime_morbidity_array!$A$6:$Y$24,13)))</f>
        <v>106.17290705357813</v>
      </c>
      <c r="DG682" s="316">
        <f>(SUM($CP682:$CQ682))-(((SUM($CP682:$CQ682)*VLOOKUP($B682,Lifetime_morbidity_array!$A$6:$Y$24,3))+(SUM($CP682:$CQ682)*VLOOKUP($B682,Lifetime_morbidity_array!$A$6:$Y$24,6))+(SUM($CP682:$CQ682)*VLOOKUP($B682,Lifetime_morbidity_array!$A$6:$Y$24,9))+(SUM($CP682:$CQ682)*VLOOKUP($B682,Lifetime_morbidity_array!$A$6:$Y$24,12))))</f>
        <v>0</v>
      </c>
      <c r="DH682" s="316">
        <f ca="1">(SUM($CI682:$CM682))-((SUM($CI682:$CM682)*VLOOKUP($B682,Lifetime_morbidity_array!$A$6:$Y$24,2))+(SUM($CI682:$CM682)*VLOOKUP($B682,Lifetime_morbidity_array!$A$6:$Y$24,5))+(SUM($CI682:$CM682)*VLOOKUP($B682,Lifetime_morbidity_array!$A$6:$Y$24,8))+(SUM($CI682:$CM682)*VLOOKUP($B682,Lifetime_morbidity_array!$A$6:$Y$24,11)))</f>
        <v>328.15172688481903</v>
      </c>
      <c r="DI682" s="316">
        <f ca="1">(SUM($CI682:$CM682)*VLOOKUP($B682,Lifetime_morbidity_array!$A$6:$Y$24,2))+(SUM($CN682:$CO682)*VLOOKUP($B682,Lifetime_morbidity_array!$A$6:$Y$24,4))+(SUM($CP682:$CQ682)*VLOOKUP($B682,Lifetime_morbidity_array!$A$6:$Y$24,3))</f>
        <v>0.43571361836644812</v>
      </c>
      <c r="DJ682" s="316">
        <f ca="1">(SUM($CI682:$CM682)*VLOOKUP($B682,Lifetime_morbidity_array!$A$6:$Y$24,5))+(SUM($CN682:$CO682)*VLOOKUP($B682,Lifetime_morbidity_array!$A$6:$Y$24,7))+(SUM($CP682:$CQ682)*VLOOKUP($B682,Lifetime_morbidity_array!$A$6:$Y$24,6))</f>
        <v>0.13650522690780381</v>
      </c>
      <c r="DK682" s="316">
        <f ca="1">(SUM($CI682:$CM682)*VLOOKUP($B682,Lifetime_morbidity_array!$A$6:$Y$24,8))+(SUM($CN682:$CO682)*VLOOKUP($B682,Lifetime_morbidity_array!$A$6:$Y$24,10))+(SUM($CP682:$CQ682)*VLOOKUP($B682,Lifetime_morbidity_array!$A$6:$Y$24,9))</f>
        <v>8.7176118020313338E-3</v>
      </c>
      <c r="DL682" s="317">
        <f ca="1">(SUM($CI682:$CM682)*VLOOKUP($B682,Lifetime_morbidity_array!$A$6:$Y$24,11))+(SUM($CN682:$CO682)*VLOOKUP($B682,Lifetime_morbidity_array!$A$6:$Y$24,13))+(SUM($CP682:$CQ682)*VLOOKUP($B682,Lifetime_morbidity_array!$A$6:$Y$24,12))</f>
        <v>0.87091165043866803</v>
      </c>
      <c r="DM682" s="309"/>
      <c r="DN682" s="308">
        <f t="shared" ref="DN682:DN745" si="275">$B682</f>
        <v>16</v>
      </c>
      <c r="DO682" s="309">
        <f t="shared" ref="DO682:DO713" ca="1" si="276">((SUM($CX682:$DD682)+SUM($DF682:$DL682))/((1+Discount_rate_QALYs)^$A682))</f>
        <v>512.61256900785679</v>
      </c>
      <c r="DP682" s="310">
        <f ca="1">DO682+DP681</f>
        <v>10756.906181719134</v>
      </c>
      <c r="DQ682" s="309"/>
      <c r="DR682" s="308">
        <f t="shared" ref="DR682:DR745" si="277">$B682</f>
        <v>16</v>
      </c>
      <c r="DS682" s="309">
        <f ca="1">((VLOOKUP($B682,'Mahawesran Tariff'!$A$21:$M$120,4)*'Comparator (DET)'!$CX682)+(VLOOKUP($B682,'Mahawesran Tariff'!$A$21:$M$120,3)*'Comparator (DET)'!$CY682)+(VLOOKUP($B682,'Mahawesran Tariff'!$A$21:$M$120,2)*'Comparator (DET)'!$CZ682)+(VLOOKUP($B682,'Mahawesran Tariff'!$A$21:$M$120,7)*'Comparator (DET)'!$DF682)+(VLOOKUP($B682,'Mahawesran Tariff'!$A$21:$M$120,6)*'Comparator (DET)'!$DG682)+(VLOOKUP($B682,'Mahawesran Tariff'!$A$21:$M$120,5)*'Comparator (DET)'!$DH682)+(DET_UTIL_chd*('Comparator (DET)'!$DA682+'Comparator (DET)'!$DI682))+(DET_UTIL_copd*('Comparator (DET)'!$DB682+'Comparator (DET)'!$DJ682))+(DET_UTIL_lc*('Comparator (DET)'!$DC682+'Comparator (DET)'!$DK682))+(DET_UTIL_stroke*('Comparator (DET)'!$DD682+'Comparator (DET)'!$DL682)))/((1+Discount_rate_QALYs)^$A682)</f>
        <v>531.60239300369494</v>
      </c>
      <c r="DT682" s="310">
        <f ca="1">DS682+DT681</f>
        <v>10641.343117520548</v>
      </c>
      <c r="DU682" s="309"/>
      <c r="DV682" s="308">
        <f t="shared" ref="DV682:DV745" si="278">$B682</f>
        <v>16</v>
      </c>
      <c r="DW682" s="318">
        <f t="shared" ref="DW682:DW713" ca="1" si="279">((DET_COST_chd*($DA682+$DI682))+(DET_COST_copd*($DB682+$DJ682))+(DET_cost_lc*($DC682+$DK682))+(DET_COST_stroke*($DD682+$DL682)))/((1+Discount_rate_costs)^$A682)</f>
        <v>12084.430468298255</v>
      </c>
      <c r="DX682" s="319">
        <f ca="1">DW682+DX681</f>
        <v>5475012.0113358805</v>
      </c>
      <c r="DZ682" s="95">
        <f t="shared" ref="DZ682:DZ745" si="280">$A682</f>
        <v>16</v>
      </c>
      <c r="EA682" s="268">
        <f t="shared" ca="1" si="226"/>
        <v>0.88886303850023929</v>
      </c>
      <c r="EB682" s="268">
        <f t="shared" ca="1" si="227"/>
        <v>0.11113696149976075</v>
      </c>
      <c r="EC682" s="268">
        <f t="shared" ca="1" si="228"/>
        <v>2.0497921408244458E-3</v>
      </c>
      <c r="ED682" s="290">
        <f t="shared" ca="1" si="229"/>
        <v>0.27739287919102978</v>
      </c>
      <c r="EF682" s="95">
        <f t="shared" ref="EF682:EF745" si="281">$A682</f>
        <v>16</v>
      </c>
      <c r="EG682" s="339">
        <f t="shared" ref="EG682:EG713" ca="1" si="282">((DET_COST_chd*($DA682+$DI682))+(DET_COST_copd*($DB682+$DJ682))+(DET_cost_lc*($DC682+$DK682))+(DET_COST_stroke*($DD682+$DL682)))/((1+Discount_rate_costs)^$A682)</f>
        <v>12084.430468298255</v>
      </c>
      <c r="EH682" s="341">
        <f ca="1">EG682+EH681</f>
        <v>8575143.9471919723</v>
      </c>
      <c r="EJ682" s="308">
        <f t="shared" ref="EJ682:EJ745" si="283">$B682</f>
        <v>16</v>
      </c>
      <c r="EK682" s="318">
        <f t="shared" ref="EK682:EK745" ca="1" si="284">((DET_COST_chd*($DA682+$DI682))+(DET_COST_copd*($DB682+$DJ682))+(DET_cost_lc*($DC682+$DK682))+(DET_COST_stroke*($DD682+$DL682)))/((1+Discount_rate_costs)^$A682)</f>
        <v>12084.430468298255</v>
      </c>
      <c r="EL682" s="319">
        <f ca="1">EK682+EL681</f>
        <v>5475012.0113358805</v>
      </c>
      <c r="EN682" s="95">
        <f t="shared" ref="EN682:EN745" si="285">$A682</f>
        <v>16</v>
      </c>
      <c r="EO682" s="339">
        <f t="shared" ref="EO682:EO745" ca="1" si="286">((DET_COST_chd*($DA682+$DI682))+(DET_COST_copd*($DB682+$DJ682))+(DET_cost_lc*($DC682+$DK682))+(DET_COST_stroke*($DD682+$DL682)))/((1+Discount_rate_costs)^$A682)</f>
        <v>12084.430468298255</v>
      </c>
      <c r="EP682" s="341">
        <f ca="1">EO682+EP681</f>
        <v>8575143.9471919723</v>
      </c>
    </row>
    <row r="683" spans="1:208" s="266" customFormat="1" x14ac:dyDescent="0.25">
      <c r="A683" s="313">
        <v>17</v>
      </c>
      <c r="B683" s="314">
        <v>17</v>
      </c>
      <c r="C683" s="308">
        <f>VLOOKUP($B683,'Infant adult mortality'!$A$27:$I$128,3)</f>
        <v>1.4800000000000002E-4</v>
      </c>
      <c r="D683" s="309">
        <f t="shared" si="230"/>
        <v>0.27</v>
      </c>
      <c r="E683" s="309">
        <f>VLOOKUP($B683,'Infant pick up smoking rates'!$A$19:$I$104,3)</f>
        <v>0.16381478843644798</v>
      </c>
      <c r="F683" s="309">
        <f t="shared" si="231"/>
        <v>1.2819551934826882E-3</v>
      </c>
      <c r="G683" s="309">
        <f t="shared" si="232"/>
        <v>0.56475525637006929</v>
      </c>
      <c r="H683" s="309">
        <f>VLOOKUP($B683,'Infant adult mortality'!$A$27:$I$128,3)</f>
        <v>1.4800000000000002E-4</v>
      </c>
      <c r="I683" s="309">
        <f t="shared" si="233"/>
        <v>0.14000000000000001</v>
      </c>
      <c r="J683" s="309">
        <f>VLOOKUP($B683,'Infant pick up smoking rates'!$A$19:$I$104,2)</f>
        <v>8.0322003553876822E-2</v>
      </c>
      <c r="K683" s="309">
        <f t="shared" si="234"/>
        <v>1.2819551934826882E-3</v>
      </c>
      <c r="L683" s="309">
        <f t="shared" si="235"/>
        <v>0.77824804125264035</v>
      </c>
      <c r="M683" s="309">
        <f>VLOOKUP($B683,'Infant adult mortality'!$A$27:$I$128,3)</f>
        <v>1.4800000000000002E-4</v>
      </c>
      <c r="N683" s="309">
        <f t="shared" si="236"/>
        <v>0.5714285714285714</v>
      </c>
      <c r="O683" s="309">
        <f>VLOOKUP($B683,'Infant pick up smoking rates'!$A$19:$I$104,2)</f>
        <v>8.0322003553876822E-2</v>
      </c>
      <c r="P683" s="309">
        <f t="shared" si="237"/>
        <v>9.156822810590632E-4</v>
      </c>
      <c r="Q683" s="309">
        <f t="shared" si="238"/>
        <v>0.34718574273649266</v>
      </c>
      <c r="R683" s="309">
        <f>VLOOKUP($B683,'Infant adult mortality'!$A$27:$I$128,3)</f>
        <v>1.4800000000000002E-4</v>
      </c>
      <c r="S683" s="309">
        <f t="shared" si="239"/>
        <v>8.6261668788331098E-3</v>
      </c>
      <c r="T683" s="309">
        <f>VLOOKUP($B683,'Infant pick up smoking rates'!$A$19:$I$104,2)</f>
        <v>8.0322003553876822E-2</v>
      </c>
      <c r="U683" s="309">
        <f t="shared" si="240"/>
        <v>9.156822810590632E-4</v>
      </c>
      <c r="V683" s="309">
        <f t="shared" si="241"/>
        <v>0.9099881472862309</v>
      </c>
      <c r="W683" s="309">
        <f>VLOOKUP($B683,'Infant adult mortality'!$A$27:$I$128,3)</f>
        <v>1.4800000000000002E-4</v>
      </c>
      <c r="X683" s="309">
        <f>VLOOKUP($B683,'Infant pick up smoking rates'!$A$19:$I$104,2)</f>
        <v>8.0322003553876822E-2</v>
      </c>
      <c r="Y683" s="309">
        <f t="shared" si="242"/>
        <v>0.9195299964461231</v>
      </c>
      <c r="Z683" s="309">
        <f>VLOOKUP($B683,'Infant adult mortality'!$A$27:$I$128,5)</f>
        <v>1.4800000000000002E-4</v>
      </c>
      <c r="AA683" s="309">
        <f t="shared" si="243"/>
        <v>0.25</v>
      </c>
      <c r="AB683" s="309">
        <f t="shared" si="244"/>
        <v>0.74985199999999996</v>
      </c>
      <c r="AC683" s="309">
        <f>VLOOKUP($B683,'Infant adult mortality'!$A$27:$I$128,5)</f>
        <v>1.4800000000000002E-4</v>
      </c>
      <c r="AD683" s="309">
        <f t="shared" si="245"/>
        <v>0.14000000000000001</v>
      </c>
      <c r="AE683" s="309">
        <f t="shared" si="246"/>
        <v>0.85985199999999995</v>
      </c>
      <c r="AF683" s="309">
        <f>VLOOKUP($B683,'Infant adult mortality'!$A$27:$I$128,4)</f>
        <v>1.4800000000000002E-4</v>
      </c>
      <c r="AG683" s="309">
        <f t="shared" si="247"/>
        <v>0.5714285714285714</v>
      </c>
      <c r="AH683" s="309">
        <f t="shared" si="248"/>
        <v>0.42842342857142862</v>
      </c>
      <c r="AI683" s="309">
        <f>VLOOKUP($B683,'Infant adult mortality'!$A$27:$I$128,4)</f>
        <v>1.4800000000000002E-4</v>
      </c>
      <c r="AJ683" s="309">
        <f t="shared" si="249"/>
        <v>8.6261668788331098E-3</v>
      </c>
      <c r="AK683" s="309">
        <f t="shared" si="250"/>
        <v>0.99122583312116685</v>
      </c>
      <c r="AL683" s="309"/>
      <c r="AM683" s="315">
        <f t="shared" ref="AM683:AM746" si="287">(AM682*G683)+(AN682*L683)+(AO682*Q683)+(AP682*S683)</f>
        <v>127.53442207630218</v>
      </c>
      <c r="AN683" s="316">
        <f t="shared" ref="AN683:AN746" si="288">AM682*D683</f>
        <v>41.248409267554401</v>
      </c>
      <c r="AO683" s="316">
        <f t="shared" ref="AO683:AO746" si="289">AN682*I683</f>
        <v>6.7771936046218304</v>
      </c>
      <c r="AP683" s="316">
        <f t="shared" ref="AP683:AP746" si="290">(AO682*N683)+(AP682*V683)</f>
        <v>67.48804803648882</v>
      </c>
      <c r="AQ683" s="316">
        <f t="shared" ref="AQ683:AQ746" si="291">(AM682*F683)+(AN682*K683)+(AO682*P683)+(AP682*U683)+(AQ682*Y683)</f>
        <v>3.7077081005111867</v>
      </c>
      <c r="AR683" s="316">
        <f t="shared" ref="AR683:AR746" si="292">(AR682*AB683)+(AS682*AE683)+(AT682*AH683)+(AU682*AJ683)+(AM682*E683)+(AN682*J683)+(AO682*O683)+(AP682*T683)+(AQ682*X683)</f>
        <v>167.12112030603947</v>
      </c>
      <c r="AS683" s="316">
        <f t="shared" ref="AS683:AS746" si="293">AR682*AA683</f>
        <v>34.594295009322529</v>
      </c>
      <c r="AT683" s="316">
        <f t="shared" ref="AT683:AT746" si="294">AS682*AD683</f>
        <v>4.5483032431315724</v>
      </c>
      <c r="AU683" s="316">
        <f t="shared" ref="AU683:AU746" si="295">(AT682*AG683)+(AU682*AK683)</f>
        <v>0</v>
      </c>
      <c r="AV683" s="316">
        <f t="shared" ref="AV683:AV746" si="296">AV682+(AM682*C683)+(AN682*H683)+(AO682*M683)+(AP682*R683)+(AQ682*W683)+(AR682*Z683)+(AS682*AC683)+(AT682*AF683)+(AU682*AI683)</f>
        <v>56.980500356028024</v>
      </c>
      <c r="AW683" s="317">
        <f t="shared" si="251"/>
        <v>510</v>
      </c>
      <c r="AX683" s="309"/>
      <c r="AY683" s="308">
        <f>VLOOKUP($B683,'Infant adult mortality'!$A$134:$I$234,3)</f>
        <v>9.8900000000000005E-5</v>
      </c>
      <c r="AZ683" s="309">
        <f t="shared" si="252"/>
        <v>0.27</v>
      </c>
      <c r="BA683" s="309">
        <f ca="1">VLOOKUP($B683,'Infant pick up smoking rates'!$A$19:$I$104,7)</f>
        <v>0.10585873855306706</v>
      </c>
      <c r="BB683" s="309">
        <f t="shared" si="253"/>
        <v>1.2819551934826882E-3</v>
      </c>
      <c r="BC683" s="309">
        <f t="shared" ca="1" si="254"/>
        <v>0.62276040625345019</v>
      </c>
      <c r="BD683" s="309">
        <f>VLOOKUP($B683,'Infant adult mortality'!$A$134:$I$234,3)</f>
        <v>9.8900000000000005E-5</v>
      </c>
      <c r="BE683" s="309">
        <f t="shared" si="255"/>
        <v>0.14000000000000001</v>
      </c>
      <c r="BF683" s="309">
        <f>VLOOKUP($B683,'Infant pick up smoking rates'!$A$19:$I$104,6)</f>
        <v>5.1904874129035238E-2</v>
      </c>
      <c r="BG683" s="309">
        <f t="shared" si="256"/>
        <v>1.2819551934826882E-3</v>
      </c>
      <c r="BH683" s="309">
        <f t="shared" si="257"/>
        <v>0.80671427067748203</v>
      </c>
      <c r="BI683" s="309">
        <f>VLOOKUP($B683,'Infant adult mortality'!$A$134:$I$234,3)</f>
        <v>9.8900000000000005E-5</v>
      </c>
      <c r="BJ683" s="309">
        <f t="shared" si="258"/>
        <v>0.5714285714285714</v>
      </c>
      <c r="BK683" s="309">
        <f>VLOOKUP($B683,'Infant pick up smoking rates'!$A$19:$I$104,6)</f>
        <v>5.1904874129035238E-2</v>
      </c>
      <c r="BL683" s="309">
        <f t="shared" si="259"/>
        <v>9.156822810590632E-4</v>
      </c>
      <c r="BM683" s="309">
        <f t="shared" si="260"/>
        <v>0.37565197216133428</v>
      </c>
      <c r="BN683" s="309">
        <f>VLOOKUP($B683,'Infant adult mortality'!$A$134:$I$234,3)</f>
        <v>9.8900000000000005E-5</v>
      </c>
      <c r="BO683" s="309">
        <f t="shared" si="261"/>
        <v>8.6261668788331098E-3</v>
      </c>
      <c r="BP683" s="309">
        <f>VLOOKUP($B683,'Infant pick up smoking rates'!$A$19:$I$104,6)</f>
        <v>5.1904874129035238E-2</v>
      </c>
      <c r="BQ683" s="309">
        <f t="shared" si="262"/>
        <v>9.156822810590632E-4</v>
      </c>
      <c r="BR683" s="309">
        <f t="shared" si="263"/>
        <v>0.93845437671107257</v>
      </c>
      <c r="BS683" s="309">
        <f>VLOOKUP($B683,'Infant adult mortality'!$A$134:$I$234,3)</f>
        <v>9.8900000000000005E-5</v>
      </c>
      <c r="BT683" s="309">
        <f>VLOOKUP($B683,'Infant pick up smoking rates'!$A$19:$I$104,6)</f>
        <v>5.1904874129035238E-2</v>
      </c>
      <c r="BU683" s="309">
        <f t="shared" si="264"/>
        <v>0.94799622587096477</v>
      </c>
      <c r="BV683" s="309">
        <f>VLOOKUP($B683,'Infant adult mortality'!$A$134:$I$234,5)</f>
        <v>9.8900000000000005E-5</v>
      </c>
      <c r="BW683" s="309">
        <f t="shared" si="265"/>
        <v>0.27</v>
      </c>
      <c r="BX683" s="309">
        <f t="shared" si="266"/>
        <v>0.72990109999999997</v>
      </c>
      <c r="BY683" s="309">
        <f>VLOOKUP($B683,'Infant adult mortality'!$A$134:$I$234,5)</f>
        <v>9.8900000000000005E-5</v>
      </c>
      <c r="BZ683" s="309">
        <f t="shared" si="267"/>
        <v>0.14000000000000001</v>
      </c>
      <c r="CA683" s="309">
        <f t="shared" si="268"/>
        <v>0.85990109999999997</v>
      </c>
      <c r="CB683" s="309">
        <f>VLOOKUP($B683,'Infant adult mortality'!$A$134:$I$234,4)</f>
        <v>9.8900000000000005E-5</v>
      </c>
      <c r="CC683" s="309">
        <f t="shared" si="269"/>
        <v>0.5714285714285714</v>
      </c>
      <c r="CD683" s="309">
        <f t="shared" si="270"/>
        <v>0.42847252857142859</v>
      </c>
      <c r="CE683" s="309">
        <f>VLOOKUP($B683,'Infant adult mortality'!$A$134:$I$234,4)</f>
        <v>9.8900000000000005E-5</v>
      </c>
      <c r="CF683" s="309">
        <f t="shared" si="271"/>
        <v>8.6261668788331098E-3</v>
      </c>
      <c r="CG683" s="309">
        <f t="shared" si="272"/>
        <v>0.99127493312116688</v>
      </c>
      <c r="CH683" s="309"/>
      <c r="CI683" s="315">
        <f t="shared" ref="CI683:CI746" ca="1" si="297">(CI682*BC683)+(CJ682*BH683)+(CK682*BM683)+(CL682*BO683)</f>
        <v>165.15285710495411</v>
      </c>
      <c r="CJ683" s="316">
        <f t="shared" ref="CJ683:CJ746" ca="1" si="298">CI682*AZ683</f>
        <v>50.178346832463937</v>
      </c>
      <c r="CK683" s="316">
        <f t="shared" ref="CK683:CK746" ca="1" si="299">CJ682*BE683</f>
        <v>7.8766491476602667</v>
      </c>
      <c r="CL683" s="316">
        <f t="shared" ref="CL683:CL746" si="300">(CK682*BJ683)+(CL682*BR683)</f>
        <v>74.728957570247729</v>
      </c>
      <c r="CM683" s="316">
        <f t="shared" ref="CM683:CM746" ca="1" si="301">(CI682*BB683)+(CJ682*BG683)+(CK682*BL683)+(CL682*BQ683)+(CM682*BU683)</f>
        <v>4.1625841648324275</v>
      </c>
      <c r="CN683" s="316">
        <f t="shared" ref="CN683:CN746" ca="1" si="302">(CN682*BX683)+(CO682*CA683)+(CP682*CD683)+(CQ682*CF683)+(CI682*BA683)+(CJ682*BF683)+(CK682*BK683)+(CL682*BP683)+(CM682*BT683)</f>
        <v>107.56187002882911</v>
      </c>
      <c r="CO683" s="316">
        <f t="shared" ref="CO683:CO746" ca="1" si="303">CN682*BW683</f>
        <v>23.174773472336231</v>
      </c>
      <c r="CP683" s="316">
        <f t="shared" ref="CP683:CP746" ca="1" si="304">CO682*BZ683</f>
        <v>2.8973454305139423</v>
      </c>
      <c r="CQ683" s="316">
        <f t="shared" ref="CQ683:CQ746" si="305">(CP682*CC683)+(CQ682*CG683)</f>
        <v>0</v>
      </c>
      <c r="CR683" s="316">
        <f t="shared" ref="CR683:CR746" ca="1" si="306">CR682+(CI682*AY683)+(CJ682*BD683)+(CK682*BI683)+(CL682*BN683)+(CM682*BS683)+(CN682*BV683)+(CO682*BY683)+(CP682*CB683)+(CQ682*CE683)</f>
        <v>54.266616248162315</v>
      </c>
      <c r="CS683" s="317">
        <f t="shared" ca="1" si="273"/>
        <v>490.00000000000011</v>
      </c>
      <c r="CT683" s="309"/>
      <c r="CU683" s="309">
        <f t="shared" ca="1" si="274"/>
        <v>1000.0000000000001</v>
      </c>
      <c r="CV683" s="309" t="str">
        <f t="shared" ca="1" si="225"/>
        <v>OKAY</v>
      </c>
      <c r="CW683" s="309"/>
      <c r="CX683" s="315">
        <f>(SUM($AR683:$AS683))-((SUM($AR683:$AS683)*VLOOKUP($B683,Lifetime_morbidity_array!$A$30:$Y$48,4))+(SUM($AR683:$AS683)*VLOOKUP($B683,Lifetime_morbidity_array!$A$30:$Y$48,7))+(SUM($AR683:$AS683)*VLOOKUP($B683,Lifetime_morbidity_array!$A$30:$Y$48,10))+(SUM($AR683:$AS683)*VLOOKUP($B683,Lifetime_morbidity_array!$A$30:$Y$48,13)))</f>
        <v>201.44920894199652</v>
      </c>
      <c r="CY683" s="316">
        <f>(SUM($AT683:$AU683))-((SUM($AT683:$AU683)*(VLOOKUP($B683,Lifetime_morbidity_array!$A$30:$Y$48,3)))+(SUM($AT683:$AU683)*(VLOOKUP($B683,Lifetime_morbidity_array!$A$30:$Y$48,6)))+(SUM($AT683:$AU683)*(VLOOKUP($B683,Lifetime_morbidity_array!$A$30:$Y$48,9)))+(SUM($AT683:$AU683)*(VLOOKUP($B683,Lifetime_morbidity_array!$A$30:$Y$48,12))))</f>
        <v>4.5423007900744885</v>
      </c>
      <c r="CZ683" s="316">
        <f>(SUM($AM683:$AQ683))-((SUM($AM683:$AQ683)*VLOOKUP($B683,Lifetime_morbidity_array!$A$30:$Y$48,2))+(SUM($AM683:$AQ683)*VLOOKUP($B683,Lifetime_morbidity_array!$A$30:$Y$48,5))+(SUM($AM683:$AQ683)*VLOOKUP($B683,Lifetime_morbidity_array!$A$30:$Y$48,8))+(SUM($AM683:$AQ683)*VLOOKUP($B683,Lifetime_morbidity_array!$A$30:$Y$48,11)))</f>
        <v>246.43013437430844</v>
      </c>
      <c r="DA683" s="316">
        <f>(SUM($AM683:$AQ683)*VLOOKUP($B683,Lifetime_morbidity_array!$A$30:$Y$48,2))+(SUM($AR683:$AS683)*VLOOKUP($B683,Lifetime_morbidity_array!$A$30:$Y$48,4))+(SUM($AT683:$AU683)*(VLOOKUP($B683,Lifetime_morbidity_array!$A$30:$Y$48,3)))</f>
        <v>0.45301879550697316</v>
      </c>
      <c r="DB683" s="316">
        <f>(SUM($AM683:$AQ683)*VLOOKUP($B683,Lifetime_morbidity_array!$A$30:$Y$48,5))+(SUM($AR683:$AS683)*VLOOKUP($B683,Lifetime_morbidity_array!$A$30:$Y$48,7))+(SUM($AT683:$AU683)*(VLOOKUP($B683,Lifetime_morbidity_array!$A$30:$Y$48,6)))</f>
        <v>0.13577601182481788</v>
      </c>
      <c r="DC683" s="316">
        <f>(SUM($AM683:$AQ683)*VLOOKUP($B683,Lifetime_morbidity_array!$A$30:$Y$48,8))+(SUM($AR683:$AS683)*VLOOKUP($B683,Lifetime_morbidity_array!$A$30:$Y$48,10))+(SUM($AT683:$AU683)*(VLOOKUP($B683,Lifetime_morbidity_array!$A$30:$Y$48,9)))</f>
        <v>9.0607302607739974E-3</v>
      </c>
      <c r="DD683" s="317">
        <f>(SUM($AM683:$AQ683)*VLOOKUP($B683,Lifetime_morbidity_array!$A$30:$Y$48,11))+(SUM($AR683:$AS683)*VLOOKUP($B683,Lifetime_morbidity_array!$A$30:$Y$48,13))+(SUM($AT683:$AU683)*(VLOOKUP($B683,Lifetime_morbidity_array!$A$30:$Y$48,12)))</f>
        <v>0</v>
      </c>
      <c r="DE683" s="309"/>
      <c r="DF683" s="315">
        <f ca="1">(SUM($CN683:$CO683))-((SUM($CN683:$CO683)*VLOOKUP($B683,Lifetime_morbidity_array!$A$6:$Y$24,4))+(SUM($CN683:$CO683)*VLOOKUP($B683,Lifetime_morbidity_array!$A$6:$Y$24,7))+(SUM($CN683:$CO683)*VLOOKUP($B683,Lifetime_morbidity_array!$A$6:$Y$24,10))+(SUM($CN683:$CO683)*VLOOKUP($B683,Lifetime_morbidity_array!$A$6:$Y$24,13)))</f>
        <v>130.30107674556876</v>
      </c>
      <c r="DG683" s="316">
        <f ca="1">(SUM($CP683:$CQ683))-(((SUM($CP683:$CQ683)*VLOOKUP($B683,Lifetime_morbidity_array!$A$6:$Y$24,3))+(SUM($CP683:$CQ683)*VLOOKUP($B683,Lifetime_morbidity_array!$A$6:$Y$24,6))+(SUM($CP683:$CQ683)*VLOOKUP($B683,Lifetime_morbidity_array!$A$6:$Y$24,9))+(SUM($CP683:$CQ683)*VLOOKUP($B683,Lifetime_morbidity_array!$A$6:$Y$24,12))))</f>
        <v>2.8876925335508941</v>
      </c>
      <c r="DH683" s="316">
        <f ca="1">(SUM($CI683:$CM683))-((SUM($CI683:$CM683)*VLOOKUP($B683,Lifetime_morbidity_array!$A$6:$Y$24,2))+(SUM($CI683:$CM683)*VLOOKUP($B683,Lifetime_morbidity_array!$A$6:$Y$24,5))+(SUM($CI683:$CM683)*VLOOKUP($B683,Lifetime_morbidity_array!$A$6:$Y$24,8))+(SUM($CI683:$CM683)*VLOOKUP($B683,Lifetime_morbidity_array!$A$6:$Y$24,11)))</f>
        <v>301.09290995298096</v>
      </c>
      <c r="DI683" s="316">
        <f ca="1">(SUM($CI683:$CM683)*VLOOKUP($B683,Lifetime_morbidity_array!$A$6:$Y$24,2))+(SUM($CN683:$CO683)*VLOOKUP($B683,Lifetime_morbidity_array!$A$6:$Y$24,4))+(SUM($CP683:$CQ683)*VLOOKUP($B683,Lifetime_morbidity_array!$A$6:$Y$24,3))</f>
        <v>0.43567052628959163</v>
      </c>
      <c r="DJ683" s="316">
        <f ca="1">(SUM($CI683:$CM683)*VLOOKUP($B683,Lifetime_morbidity_array!$A$6:$Y$24,5))+(SUM($CN683:$CO683)*VLOOKUP($B683,Lifetime_morbidity_array!$A$6:$Y$24,7))+(SUM($CP683:$CQ683)*VLOOKUP($B683,Lifetime_morbidity_array!$A$6:$Y$24,6))</f>
        <v>0.13649172654086261</v>
      </c>
      <c r="DK683" s="316">
        <f ca="1">(SUM($CI683:$CM683)*VLOOKUP($B683,Lifetime_morbidity_array!$A$6:$Y$24,8))+(SUM($CN683:$CO683)*VLOOKUP($B683,Lifetime_morbidity_array!$A$6:$Y$24,10))+(SUM($CP683:$CQ683)*VLOOKUP($B683,Lifetime_morbidity_array!$A$6:$Y$24,9))</f>
        <v>8.7167496302241135E-3</v>
      </c>
      <c r="DL683" s="317">
        <f ca="1">(SUM($CI683:$CM683)*VLOOKUP($B683,Lifetime_morbidity_array!$A$6:$Y$24,11))+(SUM($CN683:$CO683)*VLOOKUP($B683,Lifetime_morbidity_array!$A$6:$Y$24,13))+(SUM($CP683:$CQ683)*VLOOKUP($B683,Lifetime_morbidity_array!$A$6:$Y$24,12))</f>
        <v>0.87082551727643942</v>
      </c>
      <c r="DM683" s="309"/>
      <c r="DN683" s="308">
        <f t="shared" si="275"/>
        <v>17</v>
      </c>
      <c r="DO683" s="309">
        <f t="shared" ca="1" si="276"/>
        <v>495.21646561152335</v>
      </c>
      <c r="DP683" s="310">
        <f t="shared" ref="DP683:DP746" ca="1" si="307">DO683+DP682</f>
        <v>11252.122647330658</v>
      </c>
      <c r="DQ683" s="309"/>
      <c r="DR683" s="308">
        <f t="shared" si="277"/>
        <v>17</v>
      </c>
      <c r="DS683" s="309">
        <f ca="1">((VLOOKUP($B683,'Mahawesran Tariff'!$A$21:$M$120,4)*'Comparator (DET)'!$CX683)+(VLOOKUP($B683,'Mahawesran Tariff'!$A$21:$M$120,3)*'Comparator (DET)'!$CY683)+(VLOOKUP($B683,'Mahawesran Tariff'!$A$21:$M$120,2)*'Comparator (DET)'!$CZ683)+(VLOOKUP($B683,'Mahawesran Tariff'!$A$21:$M$120,7)*'Comparator (DET)'!$DF683)+(VLOOKUP($B683,'Mahawesran Tariff'!$A$21:$M$120,6)*'Comparator (DET)'!$DG683)+(VLOOKUP($B683,'Mahawesran Tariff'!$A$21:$M$120,5)*'Comparator (DET)'!$DH683)+(DET_UTIL_chd*('Comparator (DET)'!$DA683+'Comparator (DET)'!$DI683))+(DET_UTIL_copd*('Comparator (DET)'!$DB683+'Comparator (DET)'!$DJ683))+(DET_UTIL_lc*('Comparator (DET)'!$DC683+'Comparator (DET)'!$DK683))+(DET_UTIL_stroke*('Comparator (DET)'!$DD683+'Comparator (DET)'!$DL683)))/((1+Discount_rate_QALYs)^$A683)</f>
        <v>512.25193432780236</v>
      </c>
      <c r="DT683" s="310">
        <f t="shared" ref="DT683:DT746" ca="1" si="308">DS683+DT682</f>
        <v>11153.59505184835</v>
      </c>
      <c r="DU683" s="309"/>
      <c r="DV683" s="308">
        <f t="shared" si="278"/>
        <v>17</v>
      </c>
      <c r="DW683" s="318">
        <f t="shared" ca="1" si="279"/>
        <v>11674.595201209951</v>
      </c>
      <c r="DX683" s="319">
        <f t="shared" ref="DX683:DX746" ca="1" si="309">DW683+DX682</f>
        <v>5486686.6065370906</v>
      </c>
      <c r="DZ683" s="95">
        <f t="shared" si="280"/>
        <v>17</v>
      </c>
      <c r="EA683" s="268">
        <f t="shared" ca="1" si="226"/>
        <v>0.88875288339580971</v>
      </c>
      <c r="EB683" s="268">
        <f t="shared" ca="1" si="227"/>
        <v>0.11124711660419034</v>
      </c>
      <c r="EC683" s="268">
        <f t="shared" ca="1" si="228"/>
        <v>2.0495600573296829E-3</v>
      </c>
      <c r="ED683" s="290">
        <f t="shared" ca="1" si="229"/>
        <v>0.3398977074901729</v>
      </c>
      <c r="EF683" s="95">
        <f t="shared" si="281"/>
        <v>17</v>
      </c>
      <c r="EG683" s="339">
        <f t="shared" ca="1" si="282"/>
        <v>11674.595201209951</v>
      </c>
      <c r="EH683" s="341">
        <f t="shared" ref="EH683:EH746" ca="1" si="310">EG683+EH682</f>
        <v>8586818.5423931815</v>
      </c>
      <c r="EJ683" s="308">
        <f t="shared" si="283"/>
        <v>17</v>
      </c>
      <c r="EK683" s="318">
        <f t="shared" ca="1" si="284"/>
        <v>11674.595201209951</v>
      </c>
      <c r="EL683" s="319">
        <f t="shared" ref="EL683:EL746" ca="1" si="311">EK683+EL682</f>
        <v>5486686.6065370906</v>
      </c>
      <c r="EN683" s="95">
        <f t="shared" si="285"/>
        <v>17</v>
      </c>
      <c r="EO683" s="339">
        <f t="shared" ca="1" si="286"/>
        <v>11674.595201209951</v>
      </c>
      <c r="EP683" s="341">
        <f t="shared" ref="EP683:EP746" ca="1" si="312">EO683+EP682</f>
        <v>8586818.5423931815</v>
      </c>
    </row>
    <row r="684" spans="1:208" s="266" customFormat="1" x14ac:dyDescent="0.25">
      <c r="A684" s="313">
        <v>18</v>
      </c>
      <c r="B684" s="314">
        <v>18</v>
      </c>
      <c r="C684" s="308">
        <f>VLOOKUP($B684,'Infant adult mortality'!$A$27:$I$128,3)</f>
        <v>1.8770000000000001E-4</v>
      </c>
      <c r="D684" s="309">
        <f t="shared" si="230"/>
        <v>0.27</v>
      </c>
      <c r="E684" s="309">
        <f>VLOOKUP($B684,'Infant pick up smoking rates'!$A$19:$I$104,3)</f>
        <v>0.13570367821769846</v>
      </c>
      <c r="F684" s="309">
        <f t="shared" si="231"/>
        <v>1.4701633923361213E-3</v>
      </c>
      <c r="G684" s="309">
        <f t="shared" si="232"/>
        <v>0.59263845838996543</v>
      </c>
      <c r="H684" s="309">
        <f>VLOOKUP($B684,'Infant adult mortality'!$A$27:$I$128,3)</f>
        <v>1.8770000000000001E-4</v>
      </c>
      <c r="I684" s="309">
        <f t="shared" si="233"/>
        <v>0.14000000000000001</v>
      </c>
      <c r="J684" s="309">
        <f>VLOOKUP($B684,'Infant pick up smoking rates'!$A$19:$I$104,2)</f>
        <v>6.5575634584596809E-2</v>
      </c>
      <c r="K684" s="309">
        <f t="shared" si="234"/>
        <v>1.4701633923361213E-3</v>
      </c>
      <c r="L684" s="309">
        <f t="shared" si="235"/>
        <v>0.79276650202306709</v>
      </c>
      <c r="M684" s="309">
        <f>VLOOKUP($B684,'Infant adult mortality'!$A$27:$I$128,3)</f>
        <v>1.8770000000000001E-4</v>
      </c>
      <c r="N684" s="309">
        <f t="shared" si="236"/>
        <v>0.5714285714285714</v>
      </c>
      <c r="O684" s="309">
        <f>VLOOKUP($B684,'Infant pick up smoking rates'!$A$19:$I$104,2)</f>
        <v>6.5575634584596809E-2</v>
      </c>
      <c r="P684" s="309">
        <f t="shared" si="237"/>
        <v>8.8935810153666615E-4</v>
      </c>
      <c r="Q684" s="309">
        <f t="shared" si="238"/>
        <v>0.36191873588529511</v>
      </c>
      <c r="R684" s="309">
        <f>VLOOKUP($B684,'Infant adult mortality'!$A$27:$I$128,3)</f>
        <v>1.8770000000000001E-4</v>
      </c>
      <c r="S684" s="309">
        <f t="shared" si="239"/>
        <v>8.6261668788331098E-3</v>
      </c>
      <c r="T684" s="309">
        <f>VLOOKUP($B684,'Infant pick up smoking rates'!$A$19:$I$104,2)</f>
        <v>6.5575634584596809E-2</v>
      </c>
      <c r="U684" s="309">
        <f t="shared" si="240"/>
        <v>8.8935810153666615E-4</v>
      </c>
      <c r="V684" s="309">
        <f t="shared" si="241"/>
        <v>0.9247211404350334</v>
      </c>
      <c r="W684" s="309">
        <f>VLOOKUP($B684,'Infant adult mortality'!$A$27:$I$128,3)</f>
        <v>1.8770000000000001E-4</v>
      </c>
      <c r="X684" s="309">
        <f>VLOOKUP($B684,'Infant pick up smoking rates'!$A$19:$I$104,2)</f>
        <v>6.5575634584596809E-2</v>
      </c>
      <c r="Y684" s="309">
        <f t="shared" si="242"/>
        <v>0.93423666541540318</v>
      </c>
      <c r="Z684" s="309">
        <f>VLOOKUP($B684,'Infant adult mortality'!$A$27:$I$128,5)</f>
        <v>1.8770000000000001E-4</v>
      </c>
      <c r="AA684" s="309">
        <f t="shared" si="243"/>
        <v>0.25</v>
      </c>
      <c r="AB684" s="309">
        <f t="shared" si="244"/>
        <v>0.74981229999999999</v>
      </c>
      <c r="AC684" s="309">
        <f>VLOOKUP($B684,'Infant adult mortality'!$A$27:$I$128,5)</f>
        <v>1.8770000000000001E-4</v>
      </c>
      <c r="AD684" s="309">
        <f t="shared" si="245"/>
        <v>0.14000000000000001</v>
      </c>
      <c r="AE684" s="309">
        <f t="shared" si="246"/>
        <v>0.85981229999999997</v>
      </c>
      <c r="AF684" s="309">
        <f>VLOOKUP($B684,'Infant adult mortality'!$A$27:$I$128,4)</f>
        <v>1.8770000000000001E-4</v>
      </c>
      <c r="AG684" s="309">
        <f t="shared" si="247"/>
        <v>0.5714285714285714</v>
      </c>
      <c r="AH684" s="309">
        <f t="shared" si="248"/>
        <v>0.42838372857142859</v>
      </c>
      <c r="AI684" s="309">
        <f>VLOOKUP($B684,'Infant adult mortality'!$A$27:$I$128,4)</f>
        <v>1.8770000000000001E-4</v>
      </c>
      <c r="AJ684" s="309">
        <f t="shared" si="249"/>
        <v>8.6261668788331098E-3</v>
      </c>
      <c r="AK684" s="309">
        <f t="shared" si="250"/>
        <v>0.99118613312116688</v>
      </c>
      <c r="AL684" s="309"/>
      <c r="AM684" s="315">
        <f t="shared" si="287"/>
        <v>111.31711692693396</v>
      </c>
      <c r="AN684" s="316">
        <f t="shared" si="288"/>
        <v>34.434293960601593</v>
      </c>
      <c r="AO684" s="316">
        <f t="shared" si="289"/>
        <v>5.774777297457617</v>
      </c>
      <c r="AP684" s="316">
        <f t="shared" si="290"/>
        <v>66.28030680582016</v>
      </c>
      <c r="AQ684" s="316">
        <f t="shared" si="291"/>
        <v>3.7780635863679288</v>
      </c>
      <c r="AR684" s="316">
        <f t="shared" si="292"/>
        <v>182.12739750424595</v>
      </c>
      <c r="AS684" s="316">
        <f t="shared" si="293"/>
        <v>41.780280076509868</v>
      </c>
      <c r="AT684" s="316">
        <f t="shared" si="294"/>
        <v>4.8432013013051547</v>
      </c>
      <c r="AU684" s="316">
        <f t="shared" si="295"/>
        <v>2.5990304246466125</v>
      </c>
      <c r="AV684" s="316">
        <f t="shared" si="296"/>
        <v>57.065532116111193</v>
      </c>
      <c r="AW684" s="317">
        <f t="shared" si="251"/>
        <v>510</v>
      </c>
      <c r="AX684" s="309"/>
      <c r="AY684" s="308">
        <f>VLOOKUP($B684,'Infant adult mortality'!$A$134:$I$234,3)</f>
        <v>1.083E-4</v>
      </c>
      <c r="AZ684" s="309">
        <f t="shared" si="252"/>
        <v>0.27</v>
      </c>
      <c r="BA684" s="309">
        <f ca="1">VLOOKUP($B684,'Infant pick up smoking rates'!$A$19:$I$104,7)</f>
        <v>8.4697080549516759E-2</v>
      </c>
      <c r="BB684" s="309">
        <f t="shared" si="253"/>
        <v>1.4701633923361213E-3</v>
      </c>
      <c r="BC684" s="309">
        <f t="shared" ca="1" si="254"/>
        <v>0.64372445605814721</v>
      </c>
      <c r="BD684" s="309">
        <f>VLOOKUP($B684,'Infant adult mortality'!$A$134:$I$234,3)</f>
        <v>1.083E-4</v>
      </c>
      <c r="BE684" s="309">
        <f t="shared" si="255"/>
        <v>0.14000000000000001</v>
      </c>
      <c r="BF684" s="309">
        <f>VLOOKUP($B684,'Infant pick up smoking rates'!$A$19:$I$104,6)</f>
        <v>4.0927886977295748E-2</v>
      </c>
      <c r="BG684" s="309">
        <f t="shared" si="256"/>
        <v>1.4701633923361213E-3</v>
      </c>
      <c r="BH684" s="309">
        <f t="shared" si="257"/>
        <v>0.81749364963036819</v>
      </c>
      <c r="BI684" s="309">
        <f>VLOOKUP($B684,'Infant adult mortality'!$A$134:$I$234,3)</f>
        <v>1.083E-4</v>
      </c>
      <c r="BJ684" s="309">
        <f t="shared" si="258"/>
        <v>0.5714285714285714</v>
      </c>
      <c r="BK684" s="309">
        <f>VLOOKUP($B684,'Infant pick up smoking rates'!$A$19:$I$104,6)</f>
        <v>4.0927886977295748E-2</v>
      </c>
      <c r="BL684" s="309">
        <f t="shared" si="259"/>
        <v>8.8935810153666615E-4</v>
      </c>
      <c r="BM684" s="309">
        <f t="shared" si="260"/>
        <v>0.38664588349259615</v>
      </c>
      <c r="BN684" s="309">
        <f>VLOOKUP($B684,'Infant adult mortality'!$A$134:$I$234,3)</f>
        <v>1.083E-4</v>
      </c>
      <c r="BO684" s="309">
        <f t="shared" si="261"/>
        <v>8.6261668788331098E-3</v>
      </c>
      <c r="BP684" s="309">
        <f>VLOOKUP($B684,'Infant pick up smoking rates'!$A$19:$I$104,6)</f>
        <v>4.0927886977295748E-2</v>
      </c>
      <c r="BQ684" s="309">
        <f t="shared" si="262"/>
        <v>8.8935810153666615E-4</v>
      </c>
      <c r="BR684" s="309">
        <f t="shared" si="263"/>
        <v>0.9494482880423345</v>
      </c>
      <c r="BS684" s="309">
        <f>VLOOKUP($B684,'Infant adult mortality'!$A$134:$I$234,3)</f>
        <v>1.083E-4</v>
      </c>
      <c r="BT684" s="309">
        <f>VLOOKUP($B684,'Infant pick up smoking rates'!$A$19:$I$104,6)</f>
        <v>4.0927886977295748E-2</v>
      </c>
      <c r="BU684" s="309">
        <f t="shared" si="264"/>
        <v>0.95896381302270428</v>
      </c>
      <c r="BV684" s="309">
        <f>VLOOKUP($B684,'Infant adult mortality'!$A$134:$I$234,5)</f>
        <v>1.083E-4</v>
      </c>
      <c r="BW684" s="309">
        <f t="shared" si="265"/>
        <v>0.27</v>
      </c>
      <c r="BX684" s="309">
        <f t="shared" si="266"/>
        <v>0.72989170000000003</v>
      </c>
      <c r="BY684" s="309">
        <f>VLOOKUP($B684,'Infant adult mortality'!$A$134:$I$234,5)</f>
        <v>1.083E-4</v>
      </c>
      <c r="BZ684" s="309">
        <f t="shared" si="267"/>
        <v>0.14000000000000001</v>
      </c>
      <c r="CA684" s="309">
        <f t="shared" si="268"/>
        <v>0.85989170000000004</v>
      </c>
      <c r="CB684" s="309">
        <f>VLOOKUP($B684,'Infant adult mortality'!$A$134:$I$234,4)</f>
        <v>1.083E-4</v>
      </c>
      <c r="CC684" s="309">
        <f t="shared" si="269"/>
        <v>0.5714285714285714</v>
      </c>
      <c r="CD684" s="309">
        <f t="shared" si="270"/>
        <v>0.4284631285714286</v>
      </c>
      <c r="CE684" s="309">
        <f>VLOOKUP($B684,'Infant adult mortality'!$A$134:$I$234,4)</f>
        <v>1.083E-4</v>
      </c>
      <c r="CF684" s="309">
        <f t="shared" si="271"/>
        <v>8.6261668788331098E-3</v>
      </c>
      <c r="CG684" s="309">
        <f t="shared" si="272"/>
        <v>0.99126553312116694</v>
      </c>
      <c r="CH684" s="309"/>
      <c r="CI684" s="315">
        <f t="shared" ca="1" si="297"/>
        <v>151.02351141816536</v>
      </c>
      <c r="CJ684" s="316">
        <f t="shared" ca="1" si="298"/>
        <v>44.591271418337612</v>
      </c>
      <c r="CK684" s="316">
        <f t="shared" ca="1" si="299"/>
        <v>7.0249685565449518</v>
      </c>
      <c r="CL684" s="316">
        <f t="shared" ca="1" si="300"/>
        <v>75.452223202351533</v>
      </c>
      <c r="CM684" s="316">
        <f t="shared" ca="1" si="301"/>
        <v>4.3818056015590123</v>
      </c>
      <c r="CN684" s="316">
        <f t="shared" ca="1" si="302"/>
        <v>119.27061447521437</v>
      </c>
      <c r="CO684" s="316">
        <f t="shared" ca="1" si="303"/>
        <v>29.04170490778386</v>
      </c>
      <c r="CP684" s="316">
        <f t="shared" ca="1" si="304"/>
        <v>3.2444682861270726</v>
      </c>
      <c r="CQ684" s="316">
        <f t="shared" ca="1" si="305"/>
        <v>1.6556259602936811</v>
      </c>
      <c r="CR684" s="316">
        <f t="shared" ca="1" si="306"/>
        <v>54.313806173622631</v>
      </c>
      <c r="CS684" s="317">
        <f t="shared" ca="1" si="273"/>
        <v>490.00000000000006</v>
      </c>
      <c r="CT684" s="309"/>
      <c r="CU684" s="309">
        <f t="shared" ca="1" si="274"/>
        <v>1000</v>
      </c>
      <c r="CV684" s="309" t="str">
        <f t="shared" ca="1" si="225"/>
        <v>OKAY</v>
      </c>
      <c r="CW684" s="309"/>
      <c r="CX684" s="315">
        <f>(SUM($AR684:$AS684))-((SUM($AR684:$AS684)*VLOOKUP($B684,Lifetime_morbidity_array!$A$30:$Y$48,4))+(SUM($AR684:$AS684)*VLOOKUP($B684,Lifetime_morbidity_array!$A$30:$Y$48,7))+(SUM($AR684:$AS684)*VLOOKUP($B684,Lifetime_morbidity_array!$A$30:$Y$48,10))+(SUM($AR684:$AS684)*VLOOKUP($B684,Lifetime_morbidity_array!$A$30:$Y$48,13)))</f>
        <v>223.61218379945868</v>
      </c>
      <c r="CY684" s="316">
        <f>(SUM($AT684:$AU684))-((SUM($AT684:$AU684)*(VLOOKUP($B684,Lifetime_morbidity_array!$A$30:$Y$48,3)))+(SUM($AT684:$AU684)*(VLOOKUP($B684,Lifetime_morbidity_array!$A$30:$Y$48,6)))+(SUM($AT684:$AU684)*(VLOOKUP($B684,Lifetime_morbidity_array!$A$30:$Y$48,9)))+(SUM($AT684:$AU684)*(VLOOKUP($B684,Lifetime_morbidity_array!$A$30:$Y$48,12))))</f>
        <v>7.4324101190388108</v>
      </c>
      <c r="CZ684" s="316">
        <f>(SUM($AM684:$AQ684))-((SUM($AM684:$AQ684)*VLOOKUP($B684,Lifetime_morbidity_array!$A$30:$Y$48,2))+(SUM($AM684:$AQ684)*VLOOKUP($B684,Lifetime_morbidity_array!$A$30:$Y$48,5))+(SUM($AM684:$AQ684)*VLOOKUP($B684,Lifetime_morbidity_array!$A$30:$Y$48,8))+(SUM($AM684:$AQ684)*VLOOKUP($B684,Lifetime_morbidity_array!$A$30:$Y$48,11)))</f>
        <v>221.29213064528318</v>
      </c>
      <c r="DA684" s="316">
        <f>(SUM($AM684:$AQ684)*VLOOKUP($B684,Lifetime_morbidity_array!$A$30:$Y$48,2))+(SUM($AR684:$AS684)*VLOOKUP($B684,Lifetime_morbidity_array!$A$30:$Y$48,4))+(SUM($AT684:$AU684)*(VLOOKUP($B684,Lifetime_morbidity_array!$A$30:$Y$48,3)))</f>
        <v>0.45293376387905648</v>
      </c>
      <c r="DB684" s="316">
        <f>(SUM($AM684:$AQ684)*VLOOKUP($B684,Lifetime_morbidity_array!$A$30:$Y$48,5))+(SUM($AR684:$AS684)*VLOOKUP($B684,Lifetime_morbidity_array!$A$30:$Y$48,7))+(SUM($AT684:$AU684)*(VLOOKUP($B684,Lifetime_morbidity_array!$A$30:$Y$48,6)))</f>
        <v>0.13575052666739837</v>
      </c>
      <c r="DC684" s="316">
        <f>(SUM($AM684:$AQ684)*VLOOKUP($B684,Lifetime_morbidity_array!$A$30:$Y$48,8))+(SUM($AR684:$AS684)*VLOOKUP($B684,Lifetime_morbidity_array!$A$30:$Y$48,10))+(SUM($AT684:$AU684)*(VLOOKUP($B684,Lifetime_morbidity_array!$A$30:$Y$48,9)))</f>
        <v>9.059029561704051E-3</v>
      </c>
      <c r="DD684" s="317">
        <f>(SUM($AM684:$AQ684)*VLOOKUP($B684,Lifetime_morbidity_array!$A$30:$Y$48,11))+(SUM($AR684:$AS684)*VLOOKUP($B684,Lifetime_morbidity_array!$A$30:$Y$48,13))+(SUM($AT684:$AU684)*(VLOOKUP($B684,Lifetime_morbidity_array!$A$30:$Y$48,12)))</f>
        <v>0</v>
      </c>
      <c r="DE684" s="309"/>
      <c r="DF684" s="315">
        <f ca="1">(SUM($CN684:$CO684))-((SUM($CN684:$CO684)*VLOOKUP($B684,Lifetime_morbidity_array!$A$6:$Y$24,4))+(SUM($CN684:$CO684)*VLOOKUP($B684,Lifetime_morbidity_array!$A$6:$Y$24,7))+(SUM($CN684:$CO684)*VLOOKUP($B684,Lifetime_morbidity_array!$A$6:$Y$24,10))+(SUM($CN684:$CO684)*VLOOKUP($B684,Lifetime_morbidity_array!$A$6:$Y$24,13)))</f>
        <v>147.81819689339892</v>
      </c>
      <c r="DG684" s="316">
        <f ca="1">(SUM($CP684:$CQ684))-(((SUM($CP684:$CQ684)*VLOOKUP($B684,Lifetime_morbidity_array!$A$6:$Y$24,3))+(SUM($CP684:$CQ684)*VLOOKUP($B684,Lifetime_morbidity_array!$A$6:$Y$24,6))+(SUM($CP684:$CQ684)*VLOOKUP($B684,Lifetime_morbidity_array!$A$6:$Y$24,9))+(SUM($CP684:$CQ684)*VLOOKUP($B684,Lifetime_morbidity_array!$A$6:$Y$24,12))))</f>
        <v>4.8837689217384517</v>
      </c>
      <c r="DH684" s="316">
        <f ca="1">(SUM($CI684:$CM684))-((SUM($CI684:$CM684)*VLOOKUP($B684,Lifetime_morbidity_array!$A$6:$Y$24,2))+(SUM($CI684:$CM684)*VLOOKUP($B684,Lifetime_morbidity_array!$A$6:$Y$24,5))+(SUM($CI684:$CM684)*VLOOKUP($B684,Lifetime_morbidity_array!$A$6:$Y$24,8))+(SUM($CI684:$CM684)*VLOOKUP($B684,Lifetime_morbidity_array!$A$6:$Y$24,11)))</f>
        <v>281.53268071110244</v>
      </c>
      <c r="DI684" s="316">
        <f ca="1">(SUM($CI684:$CM684)*VLOOKUP($B684,Lifetime_morbidity_array!$A$6:$Y$24,2))+(SUM($CN684:$CO684)*VLOOKUP($B684,Lifetime_morbidity_array!$A$6:$Y$24,4))+(SUM($CP684:$CQ684)*VLOOKUP($B684,Lifetime_morbidity_array!$A$6:$Y$24,3))</f>
        <v>0.43562334317159451</v>
      </c>
      <c r="DJ684" s="316">
        <f ca="1">(SUM($CI684:$CM684)*VLOOKUP($B684,Lifetime_morbidity_array!$A$6:$Y$24,5))+(SUM($CN684:$CO684)*VLOOKUP($B684,Lifetime_morbidity_array!$A$6:$Y$24,7))+(SUM($CP684:$CQ684)*VLOOKUP($B684,Lifetime_morbidity_array!$A$6:$Y$24,6))</f>
        <v>0.13647694448687825</v>
      </c>
      <c r="DK684" s="316">
        <f ca="1">(SUM($CI684:$CM684)*VLOOKUP($B684,Lifetime_morbidity_array!$A$6:$Y$24,8))+(SUM($CN684:$CO684)*VLOOKUP($B684,Lifetime_morbidity_array!$A$6:$Y$24,10))+(SUM($CP684:$CQ684)*VLOOKUP($B684,Lifetime_morbidity_array!$A$6:$Y$24,9))</f>
        <v>8.7158056062391596E-3</v>
      </c>
      <c r="DL684" s="317">
        <f ca="1">(SUM($CI684:$CM684)*VLOOKUP($B684,Lifetime_morbidity_array!$A$6:$Y$24,11))+(SUM($CN684:$CO684)*VLOOKUP($B684,Lifetime_morbidity_array!$A$6:$Y$24,13))+(SUM($CP684:$CQ684)*VLOOKUP($B684,Lifetime_morbidity_array!$A$6:$Y$24,12))</f>
        <v>0.87073120687291838</v>
      </c>
      <c r="DM684" s="309"/>
      <c r="DN684" s="308">
        <f t="shared" si="275"/>
        <v>18</v>
      </c>
      <c r="DO684" s="309">
        <f t="shared" ca="1" si="276"/>
        <v>478.39883206629503</v>
      </c>
      <c r="DP684" s="310">
        <f t="shared" ca="1" si="307"/>
        <v>11730.521479396954</v>
      </c>
      <c r="DQ684" s="309"/>
      <c r="DR684" s="308">
        <f t="shared" si="277"/>
        <v>18</v>
      </c>
      <c r="DS684" s="309">
        <f ca="1">((VLOOKUP($B684,'Mahawesran Tariff'!$A$21:$M$120,4)*'Comparator (DET)'!$CX684)+(VLOOKUP($B684,'Mahawesran Tariff'!$A$21:$M$120,3)*'Comparator (DET)'!$CY684)+(VLOOKUP($B684,'Mahawesran Tariff'!$A$21:$M$120,2)*'Comparator (DET)'!$CZ684)+(VLOOKUP($B684,'Mahawesran Tariff'!$A$21:$M$120,7)*'Comparator (DET)'!$DF684)+(VLOOKUP($B684,'Mahawesran Tariff'!$A$21:$M$120,6)*'Comparator (DET)'!$DG684)+(VLOOKUP($B684,'Mahawesran Tariff'!$A$21:$M$120,5)*'Comparator (DET)'!$DH684)+(DET_UTIL_chd*('Comparator (DET)'!$DA684+'Comparator (DET)'!$DI684))+(DET_UTIL_copd*('Comparator (DET)'!$DB684+'Comparator (DET)'!$DJ684))+(DET_UTIL_lc*('Comparator (DET)'!$DC684+'Comparator (DET)'!$DK684))+(DET_UTIL_stroke*('Comparator (DET)'!$DD684+'Comparator (DET)'!$DL684)))/((1+Discount_rate_QALYs)^$A684)</f>
        <v>493.9469845159436</v>
      </c>
      <c r="DT684" s="310">
        <f t="shared" ca="1" si="308"/>
        <v>11647.542036364293</v>
      </c>
      <c r="DU684" s="309"/>
      <c r="DV684" s="308">
        <f t="shared" si="278"/>
        <v>18</v>
      </c>
      <c r="DW684" s="318">
        <f t="shared" ca="1" si="279"/>
        <v>11278.53632266569</v>
      </c>
      <c r="DX684" s="319">
        <f t="shared" ca="1" si="309"/>
        <v>5497965.142859756</v>
      </c>
      <c r="DZ684" s="95">
        <f t="shared" si="280"/>
        <v>18</v>
      </c>
      <c r="EA684" s="268">
        <f t="shared" ca="1" si="226"/>
        <v>0.88862066171026621</v>
      </c>
      <c r="EB684" s="268">
        <f t="shared" ca="1" si="227"/>
        <v>0.11137933828973383</v>
      </c>
      <c r="EC684" s="268">
        <f t="shared" ca="1" si="228"/>
        <v>2.0492906202457892E-3</v>
      </c>
      <c r="ED684" s="290">
        <f t="shared" ca="1" si="229"/>
        <v>0.38456232293612658</v>
      </c>
      <c r="EF684" s="95">
        <f t="shared" si="281"/>
        <v>18</v>
      </c>
      <c r="EG684" s="339">
        <f t="shared" ca="1" si="282"/>
        <v>11278.53632266569</v>
      </c>
      <c r="EH684" s="341">
        <f t="shared" ca="1" si="310"/>
        <v>8598097.0787158478</v>
      </c>
      <c r="EJ684" s="308">
        <f t="shared" si="283"/>
        <v>18</v>
      </c>
      <c r="EK684" s="318">
        <f t="shared" ca="1" si="284"/>
        <v>11278.53632266569</v>
      </c>
      <c r="EL684" s="319">
        <f t="shared" ca="1" si="311"/>
        <v>5497965.142859756</v>
      </c>
      <c r="EN684" s="95">
        <f t="shared" si="285"/>
        <v>18</v>
      </c>
      <c r="EO684" s="339">
        <f t="shared" ca="1" si="286"/>
        <v>11278.53632266569</v>
      </c>
      <c r="EP684" s="341">
        <f t="shared" ca="1" si="312"/>
        <v>8598097.0787158478</v>
      </c>
    </row>
    <row r="685" spans="1:208" s="266" customFormat="1" x14ac:dyDescent="0.25">
      <c r="A685" s="313">
        <v>19</v>
      </c>
      <c r="B685" s="314">
        <v>19</v>
      </c>
      <c r="C685" s="308">
        <f>VLOOKUP($B685,'Infant adult mortality'!$A$27:$I$128,3)</f>
        <v>2.309E-4</v>
      </c>
      <c r="D685" s="309">
        <f t="shared" si="230"/>
        <v>0.27</v>
      </c>
      <c r="E685" s="309">
        <f>VLOOKUP($B685,'Infant pick up smoking rates'!$A$19:$I$104,3)</f>
        <v>0.13570367821769846</v>
      </c>
      <c r="F685" s="309">
        <f t="shared" si="231"/>
        <v>1.5360221746741876E-3</v>
      </c>
      <c r="G685" s="309">
        <f t="shared" si="232"/>
        <v>0.59252939960762729</v>
      </c>
      <c r="H685" s="309">
        <f>VLOOKUP($B685,'Infant adult mortality'!$A$27:$I$128,3)</f>
        <v>2.309E-4</v>
      </c>
      <c r="I685" s="309">
        <f t="shared" si="233"/>
        <v>0.14000000000000001</v>
      </c>
      <c r="J685" s="309">
        <f>VLOOKUP($B685,'Infant pick up smoking rates'!$A$19:$I$104,2)</f>
        <v>6.5575634584596809E-2</v>
      </c>
      <c r="K685" s="309">
        <f t="shared" si="234"/>
        <v>1.5360221746741876E-3</v>
      </c>
      <c r="L685" s="309">
        <f t="shared" si="235"/>
        <v>0.79265744324072895</v>
      </c>
      <c r="M685" s="309">
        <f>VLOOKUP($B685,'Infant adult mortality'!$A$27:$I$128,3)</f>
        <v>2.309E-4</v>
      </c>
      <c r="N685" s="309">
        <f t="shared" si="236"/>
        <v>0.5714285714285714</v>
      </c>
      <c r="O685" s="309">
        <f>VLOOKUP($B685,'Infant pick up smoking rates'!$A$19:$I$104,2)</f>
        <v>6.5575634584596809E-2</v>
      </c>
      <c r="P685" s="309">
        <f t="shared" si="237"/>
        <v>9.2919859949426174E-4</v>
      </c>
      <c r="Q685" s="309">
        <f t="shared" si="238"/>
        <v>0.36183569538733756</v>
      </c>
      <c r="R685" s="309">
        <f>VLOOKUP($B685,'Infant adult mortality'!$A$27:$I$128,3)</f>
        <v>2.309E-4</v>
      </c>
      <c r="S685" s="309">
        <f t="shared" si="239"/>
        <v>8.6261668788331098E-3</v>
      </c>
      <c r="T685" s="309">
        <f>VLOOKUP($B685,'Infant pick up smoking rates'!$A$19:$I$104,2)</f>
        <v>6.5575634584596809E-2</v>
      </c>
      <c r="U685" s="309">
        <f t="shared" si="240"/>
        <v>9.2919859949426174E-4</v>
      </c>
      <c r="V685" s="309">
        <f t="shared" si="241"/>
        <v>0.9246380999370758</v>
      </c>
      <c r="W685" s="309">
        <f>VLOOKUP($B685,'Infant adult mortality'!$A$27:$I$128,3)</f>
        <v>2.309E-4</v>
      </c>
      <c r="X685" s="309">
        <f>VLOOKUP($B685,'Infant pick up smoking rates'!$A$19:$I$104,2)</f>
        <v>6.5575634584596809E-2</v>
      </c>
      <c r="Y685" s="309">
        <f t="shared" si="242"/>
        <v>0.93419346541540316</v>
      </c>
      <c r="Z685" s="309">
        <f>VLOOKUP($B685,'Infant adult mortality'!$A$27:$I$128,5)</f>
        <v>2.309E-4</v>
      </c>
      <c r="AA685" s="309">
        <f t="shared" si="243"/>
        <v>0.25</v>
      </c>
      <c r="AB685" s="309">
        <f t="shared" si="244"/>
        <v>0.74976909999999997</v>
      </c>
      <c r="AC685" s="309">
        <f>VLOOKUP($B685,'Infant adult mortality'!$A$27:$I$128,5)</f>
        <v>2.309E-4</v>
      </c>
      <c r="AD685" s="309">
        <f t="shared" si="245"/>
        <v>0.14000000000000001</v>
      </c>
      <c r="AE685" s="309">
        <f t="shared" si="246"/>
        <v>0.85976909999999995</v>
      </c>
      <c r="AF685" s="309">
        <f>VLOOKUP($B685,'Infant adult mortality'!$A$27:$I$128,4)</f>
        <v>2.309E-4</v>
      </c>
      <c r="AG685" s="309">
        <f t="shared" si="247"/>
        <v>0.5714285714285714</v>
      </c>
      <c r="AH685" s="309">
        <f t="shared" si="248"/>
        <v>0.42834052857142862</v>
      </c>
      <c r="AI685" s="309">
        <f>VLOOKUP($B685,'Infant adult mortality'!$A$27:$I$128,4)</f>
        <v>2.309E-4</v>
      </c>
      <c r="AJ685" s="309">
        <f t="shared" si="249"/>
        <v>8.6261668788331098E-3</v>
      </c>
      <c r="AK685" s="309">
        <f t="shared" si="250"/>
        <v>0.99114293312116686</v>
      </c>
      <c r="AL685" s="309"/>
      <c r="AM685" s="315">
        <f t="shared" si="287"/>
        <v>95.914529415798199</v>
      </c>
      <c r="AN685" s="316">
        <f t="shared" si="288"/>
        <v>30.055621570272173</v>
      </c>
      <c r="AO685" s="316">
        <f t="shared" si="289"/>
        <v>4.8208011544842231</v>
      </c>
      <c r="AP685" s="316">
        <f t="shared" si="290"/>
        <v>64.585169689584333</v>
      </c>
      <c r="AQ685" s="316">
        <f t="shared" si="291"/>
        <v>3.820273196657312</v>
      </c>
      <c r="AR685" s="316">
        <f t="shared" si="292"/>
        <v>196.90884746258408</v>
      </c>
      <c r="AS685" s="316">
        <f t="shared" si="293"/>
        <v>45.531849376061487</v>
      </c>
      <c r="AT685" s="316">
        <f t="shared" si="294"/>
        <v>5.8492392107113824</v>
      </c>
      <c r="AU685" s="316">
        <f t="shared" si="295"/>
        <v>5.3435542391011985</v>
      </c>
      <c r="AV685" s="316">
        <f t="shared" si="296"/>
        <v>57.170114684745577</v>
      </c>
      <c r="AW685" s="317">
        <f t="shared" si="251"/>
        <v>509.99999999999994</v>
      </c>
      <c r="AX685" s="309"/>
      <c r="AY685" s="308">
        <f>VLOOKUP($B685,'Infant adult mortality'!$A$134:$I$234,3)</f>
        <v>1.1779999999999999E-4</v>
      </c>
      <c r="AZ685" s="309">
        <f t="shared" si="252"/>
        <v>0.27</v>
      </c>
      <c r="BA685" s="309">
        <f ca="1">VLOOKUP($B685,'Infant pick up smoking rates'!$A$19:$I$104,7)</f>
        <v>8.4697080549516759E-2</v>
      </c>
      <c r="BB685" s="309">
        <f t="shared" si="253"/>
        <v>1.5360221746741876E-3</v>
      </c>
      <c r="BC685" s="309">
        <f t="shared" ca="1" si="254"/>
        <v>0.6436490972758091</v>
      </c>
      <c r="BD685" s="309">
        <f>VLOOKUP($B685,'Infant adult mortality'!$A$134:$I$234,3)</f>
        <v>1.1779999999999999E-4</v>
      </c>
      <c r="BE685" s="309">
        <f t="shared" si="255"/>
        <v>0.14000000000000001</v>
      </c>
      <c r="BF685" s="309">
        <f>VLOOKUP($B685,'Infant pick up smoking rates'!$A$19:$I$104,6)</f>
        <v>4.0927886977295748E-2</v>
      </c>
      <c r="BG685" s="309">
        <f t="shared" si="256"/>
        <v>1.5360221746741876E-3</v>
      </c>
      <c r="BH685" s="309">
        <f t="shared" si="257"/>
        <v>0.81741829084803008</v>
      </c>
      <c r="BI685" s="309">
        <f>VLOOKUP($B685,'Infant adult mortality'!$A$134:$I$234,3)</f>
        <v>1.1779999999999999E-4</v>
      </c>
      <c r="BJ685" s="309">
        <f t="shared" si="258"/>
        <v>0.5714285714285714</v>
      </c>
      <c r="BK685" s="309">
        <f>VLOOKUP($B685,'Infant pick up smoking rates'!$A$19:$I$104,6)</f>
        <v>4.0927886977295748E-2</v>
      </c>
      <c r="BL685" s="309">
        <f t="shared" si="259"/>
        <v>9.2919859949426174E-4</v>
      </c>
      <c r="BM685" s="309">
        <f t="shared" si="260"/>
        <v>0.38659654299463858</v>
      </c>
      <c r="BN685" s="309">
        <f>VLOOKUP($B685,'Infant adult mortality'!$A$134:$I$234,3)</f>
        <v>1.1779999999999999E-4</v>
      </c>
      <c r="BO685" s="309">
        <f t="shared" si="261"/>
        <v>8.6261668788331098E-3</v>
      </c>
      <c r="BP685" s="309">
        <f>VLOOKUP($B685,'Infant pick up smoking rates'!$A$19:$I$104,6)</f>
        <v>4.0927886977295748E-2</v>
      </c>
      <c r="BQ685" s="309">
        <f t="shared" si="262"/>
        <v>9.2919859949426174E-4</v>
      </c>
      <c r="BR685" s="309">
        <f t="shared" si="263"/>
        <v>0.94939894754437693</v>
      </c>
      <c r="BS685" s="309">
        <f>VLOOKUP($B685,'Infant adult mortality'!$A$134:$I$234,3)</f>
        <v>1.1779999999999999E-4</v>
      </c>
      <c r="BT685" s="309">
        <f>VLOOKUP($B685,'Infant pick up smoking rates'!$A$19:$I$104,6)</f>
        <v>4.0927886977295748E-2</v>
      </c>
      <c r="BU685" s="309">
        <f t="shared" si="264"/>
        <v>0.95895431302270429</v>
      </c>
      <c r="BV685" s="309">
        <f>VLOOKUP($B685,'Infant adult mortality'!$A$134:$I$234,5)</f>
        <v>1.1779999999999999E-4</v>
      </c>
      <c r="BW685" s="309">
        <f t="shared" si="265"/>
        <v>0.27</v>
      </c>
      <c r="BX685" s="309">
        <f t="shared" si="266"/>
        <v>0.72988220000000004</v>
      </c>
      <c r="BY685" s="309">
        <f>VLOOKUP($B685,'Infant adult mortality'!$A$134:$I$234,5)</f>
        <v>1.1779999999999999E-4</v>
      </c>
      <c r="BZ685" s="309">
        <f t="shared" si="267"/>
        <v>0.14000000000000001</v>
      </c>
      <c r="CA685" s="309">
        <f t="shared" si="268"/>
        <v>0.85988220000000004</v>
      </c>
      <c r="CB685" s="309">
        <f>VLOOKUP($B685,'Infant adult mortality'!$A$134:$I$234,4)</f>
        <v>1.1779999999999999E-4</v>
      </c>
      <c r="CC685" s="309">
        <f t="shared" si="269"/>
        <v>0.5714285714285714</v>
      </c>
      <c r="CD685" s="309">
        <f t="shared" si="270"/>
        <v>0.4284536285714286</v>
      </c>
      <c r="CE685" s="309">
        <f>VLOOKUP($B685,'Infant adult mortality'!$A$134:$I$234,4)</f>
        <v>1.1779999999999999E-4</v>
      </c>
      <c r="CF685" s="309">
        <f t="shared" si="271"/>
        <v>8.6261668788331098E-3</v>
      </c>
      <c r="CG685" s="309">
        <f t="shared" si="272"/>
        <v>0.99125603312116695</v>
      </c>
      <c r="CH685" s="309"/>
      <c r="CI685" s="315">
        <f t="shared" ca="1" si="297"/>
        <v>137.02255968857187</v>
      </c>
      <c r="CJ685" s="316">
        <f t="shared" ca="1" si="298"/>
        <v>40.776348082904647</v>
      </c>
      <c r="CK685" s="316">
        <f t="shared" ca="1" si="299"/>
        <v>6.2427779985672665</v>
      </c>
      <c r="CL685" s="316">
        <f t="shared" ca="1" si="300"/>
        <v>75.648529044793079</v>
      </c>
      <c r="CM685" s="316">
        <f t="shared" ca="1" si="301"/>
        <v>4.5790577156455905</v>
      </c>
      <c r="CN685" s="316">
        <f t="shared" ca="1" si="302"/>
        <v>131.60156176734458</v>
      </c>
      <c r="CO685" s="316">
        <f t="shared" ca="1" si="303"/>
        <v>32.203065908307885</v>
      </c>
      <c r="CP685" s="316">
        <f t="shared" ca="1" si="304"/>
        <v>4.0658386870897409</v>
      </c>
      <c r="CQ685" s="316">
        <f t="shared" ca="1" si="305"/>
        <v>3.4951310995200355</v>
      </c>
      <c r="CR685" s="316">
        <f t="shared" ca="1" si="306"/>
        <v>54.365130007255374</v>
      </c>
      <c r="CS685" s="317">
        <f t="shared" ca="1" si="273"/>
        <v>490.00000000000011</v>
      </c>
      <c r="CT685" s="309"/>
      <c r="CU685" s="309">
        <f t="shared" ca="1" si="274"/>
        <v>1000</v>
      </c>
      <c r="CV685" s="309" t="str">
        <f t="shared" ca="1" si="225"/>
        <v>OKAY</v>
      </c>
      <c r="CW685" s="309"/>
      <c r="CX685" s="315">
        <f>(SUM($AR685:$AS685))-((SUM($AR685:$AS685)*VLOOKUP($B685,Lifetime_morbidity_array!$A$30:$Y$48,4))+(SUM($AR685:$AS685)*VLOOKUP($B685,Lifetime_morbidity_array!$A$30:$Y$48,7))+(SUM($AR685:$AS685)*VLOOKUP($B685,Lifetime_morbidity_array!$A$30:$Y$48,10))+(SUM($AR685:$AS685)*VLOOKUP($B685,Lifetime_morbidity_array!$A$30:$Y$48,13)))</f>
        <v>242.12074479848684</v>
      </c>
      <c r="CY685" s="316">
        <f>(SUM($AT685:$AU685))-((SUM($AT685:$AU685)*(VLOOKUP($B685,Lifetime_morbidity_array!$A$30:$Y$48,3)))+(SUM($AT685:$AU685)*(VLOOKUP($B685,Lifetime_morbidity_array!$A$30:$Y$48,6)))+(SUM($AT685:$AU685)*(VLOOKUP($B685,Lifetime_morbidity_array!$A$30:$Y$48,9)))+(SUM($AT685:$AU685)*(VLOOKUP($B685,Lifetime_morbidity_array!$A$30:$Y$48,12))))</f>
        <v>11.178022179369787</v>
      </c>
      <c r="CZ685" s="316">
        <f>(SUM($AM685:$AQ685))-((SUM($AM685:$AQ685)*VLOOKUP($B685,Lifetime_morbidity_array!$A$30:$Y$48,2))+(SUM($AM685:$AQ685)*VLOOKUP($B685,Lifetime_morbidity_array!$A$30:$Y$48,5))+(SUM($AM685:$AQ685)*VLOOKUP($B685,Lifetime_morbidity_array!$A$30:$Y$48,8))+(SUM($AM685:$AQ685)*VLOOKUP($B685,Lifetime_morbidity_array!$A$30:$Y$48,11)))</f>
        <v>198.93351303622222</v>
      </c>
      <c r="DA685" s="316">
        <f>(SUM($AM685:$AQ685)*VLOOKUP($B685,Lifetime_morbidity_array!$A$30:$Y$48,2))+(SUM($AR685:$AS685)*VLOOKUP($B685,Lifetime_morbidity_array!$A$30:$Y$48,4))+(SUM($AT685:$AU685)*(VLOOKUP($B685,Lifetime_morbidity_array!$A$30:$Y$48,3)))</f>
        <v>0.45282918147297679</v>
      </c>
      <c r="DB685" s="316">
        <f>(SUM($AM685:$AQ685)*VLOOKUP($B685,Lifetime_morbidity_array!$A$30:$Y$48,5))+(SUM($AR685:$AS685)*VLOOKUP($B685,Lifetime_morbidity_array!$A$30:$Y$48,7))+(SUM($AT685:$AU685)*(VLOOKUP($B685,Lifetime_morbidity_array!$A$30:$Y$48,6)))</f>
        <v>0.13571918187079085</v>
      </c>
      <c r="DC685" s="316">
        <f>(SUM($AM685:$AQ685)*VLOOKUP($B685,Lifetime_morbidity_array!$A$30:$Y$48,8))+(SUM($AR685:$AS685)*VLOOKUP($B685,Lifetime_morbidity_array!$A$30:$Y$48,10))+(SUM($AT685:$AU685)*(VLOOKUP($B685,Lifetime_morbidity_array!$A$30:$Y$48,9)))</f>
        <v>9.0569378317782515E-3</v>
      </c>
      <c r="DD685" s="317">
        <f>(SUM($AM685:$AQ685)*VLOOKUP($B685,Lifetime_morbidity_array!$A$30:$Y$48,11))+(SUM($AR685:$AS685)*VLOOKUP($B685,Lifetime_morbidity_array!$A$30:$Y$48,13))+(SUM($AT685:$AU685)*(VLOOKUP($B685,Lifetime_morbidity_array!$A$30:$Y$48,12)))</f>
        <v>0</v>
      </c>
      <c r="DE685" s="309"/>
      <c r="DF685" s="315">
        <f ca="1">(SUM($CN685:$CO685))-((SUM($CN685:$CO685)*VLOOKUP($B685,Lifetime_morbidity_array!$A$6:$Y$24,4))+(SUM($CN685:$CO685)*VLOOKUP($B685,Lifetime_morbidity_array!$A$6:$Y$24,7))+(SUM($CN685:$CO685)*VLOOKUP($B685,Lifetime_morbidity_array!$A$6:$Y$24,10))+(SUM($CN685:$CO685)*VLOOKUP($B685,Lifetime_morbidity_array!$A$6:$Y$24,13)))</f>
        <v>163.25889047208295</v>
      </c>
      <c r="DG685" s="316">
        <f ca="1">(SUM($CP685:$CQ685))-(((SUM($CP685:$CQ685)*VLOOKUP($B685,Lifetime_morbidity_array!$A$6:$Y$24,3))+(SUM($CP685:$CQ685)*VLOOKUP($B685,Lifetime_morbidity_array!$A$6:$Y$24,6))+(SUM($CP685:$CQ685)*VLOOKUP($B685,Lifetime_morbidity_array!$A$6:$Y$24,9))+(SUM($CP685:$CQ685)*VLOOKUP($B685,Lifetime_morbidity_array!$A$6:$Y$24,12))))</f>
        <v>7.5357793962882758</v>
      </c>
      <c r="DH685" s="316">
        <f ca="1">(SUM($CI685:$CM685))-((SUM($CI685:$CM685)*VLOOKUP($B685,Lifetime_morbidity_array!$A$6:$Y$24,2))+(SUM($CI685:$CM685)*VLOOKUP($B685,Lifetime_morbidity_array!$A$6:$Y$24,5))+(SUM($CI685:$CM685)*VLOOKUP($B685,Lifetime_morbidity_array!$A$6:$Y$24,8))+(SUM($CI685:$CM685)*VLOOKUP($B685,Lifetime_morbidity_array!$A$6:$Y$24,11)))</f>
        <v>263.38882381650785</v>
      </c>
      <c r="DI685" s="316">
        <f ca="1">(SUM($CI685:$CM685)*VLOOKUP($B685,Lifetime_morbidity_array!$A$6:$Y$24,2))+(SUM($CN685:$CO685)*VLOOKUP($B685,Lifetime_morbidity_array!$A$6:$Y$24,4))+(SUM($CP685:$CQ685)*VLOOKUP($B685,Lifetime_morbidity_array!$A$6:$Y$24,3))</f>
        <v>0.43557202674176898</v>
      </c>
      <c r="DJ685" s="316">
        <f ca="1">(SUM($CI685:$CM685)*VLOOKUP($B685,Lifetime_morbidity_array!$A$6:$Y$24,5))+(SUM($CN685:$CO685)*VLOOKUP($B685,Lifetime_morbidity_array!$A$6:$Y$24,7))+(SUM($CP685:$CQ685)*VLOOKUP($B685,Lifetime_morbidity_array!$A$6:$Y$24,6))</f>
        <v>0.13646086750281772</v>
      </c>
      <c r="DK685" s="316">
        <f ca="1">(SUM($CI685:$CM685)*VLOOKUP($B685,Lifetime_morbidity_array!$A$6:$Y$24,8))+(SUM($CN685:$CO685)*VLOOKUP($B685,Lifetime_morbidity_array!$A$6:$Y$24,10))+(SUM($CP685:$CQ685)*VLOOKUP($B685,Lifetime_morbidity_array!$A$6:$Y$24,9))</f>
        <v>8.7147788843387457E-3</v>
      </c>
      <c r="DL685" s="317">
        <f ca="1">(SUM($CI685:$CM685)*VLOOKUP($B685,Lifetime_morbidity_array!$A$6:$Y$24,11))+(SUM($CN685:$CO685)*VLOOKUP($B685,Lifetime_morbidity_array!$A$6:$Y$24,13))+(SUM($CP685:$CQ685)*VLOOKUP($B685,Lifetime_morbidity_array!$A$6:$Y$24,12))</f>
        <v>0.87062863473674901</v>
      </c>
      <c r="DM685" s="309"/>
      <c r="DN685" s="308">
        <f t="shared" si="275"/>
        <v>19</v>
      </c>
      <c r="DO685" s="309">
        <f t="shared" ca="1" si="276"/>
        <v>462.13999818155298</v>
      </c>
      <c r="DP685" s="310">
        <f t="shared" ca="1" si="307"/>
        <v>12192.661477578506</v>
      </c>
      <c r="DQ685" s="309"/>
      <c r="DR685" s="308">
        <f t="shared" si="277"/>
        <v>19</v>
      </c>
      <c r="DS685" s="309">
        <f ca="1">((VLOOKUP($B685,'Mahawesran Tariff'!$A$21:$M$120,4)*'Comparator (DET)'!$CX685)+(VLOOKUP($B685,'Mahawesran Tariff'!$A$21:$M$120,3)*'Comparator (DET)'!$CY685)+(VLOOKUP($B685,'Mahawesran Tariff'!$A$21:$M$120,2)*'Comparator (DET)'!$CZ685)+(VLOOKUP($B685,'Mahawesran Tariff'!$A$21:$M$120,7)*'Comparator (DET)'!$DF685)+(VLOOKUP($B685,'Mahawesran Tariff'!$A$21:$M$120,6)*'Comparator (DET)'!$DG685)+(VLOOKUP($B685,'Mahawesran Tariff'!$A$21:$M$120,5)*'Comparator (DET)'!$DH685)+(DET_UTIL_chd*('Comparator (DET)'!$DA685+'Comparator (DET)'!$DI685))+(DET_UTIL_copd*('Comparator (DET)'!$DB685+'Comparator (DET)'!$DJ685))+(DET_UTIL_lc*('Comparator (DET)'!$DC685+'Comparator (DET)'!$DK685))+(DET_UTIL_stroke*('Comparator (DET)'!$DD685+'Comparator (DET)'!$DL685)))/((1+Discount_rate_QALYs)^$A685)</f>
        <v>476.38140063996281</v>
      </c>
      <c r="DT685" s="310">
        <f t="shared" ca="1" si="308"/>
        <v>12123.923437004256</v>
      </c>
      <c r="DU685" s="309"/>
      <c r="DV685" s="308">
        <f t="shared" si="278"/>
        <v>19</v>
      </c>
      <c r="DW685" s="318">
        <f t="shared" ca="1" si="279"/>
        <v>10895.792039387505</v>
      </c>
      <c r="DX685" s="319">
        <f t="shared" ca="1" si="309"/>
        <v>5508860.9348991439</v>
      </c>
      <c r="DZ685" s="95">
        <f t="shared" si="280"/>
        <v>19</v>
      </c>
      <c r="EA685" s="268">
        <f t="shared" ca="1" si="226"/>
        <v>0.88846475530799918</v>
      </c>
      <c r="EB685" s="268">
        <f t="shared" ca="1" si="227"/>
        <v>0.11153524469200096</v>
      </c>
      <c r="EC685" s="268">
        <f t="shared" ca="1" si="228"/>
        <v>2.0489816090412203E-3</v>
      </c>
      <c r="ED685" s="290">
        <f t="shared" ca="1" si="229"/>
        <v>0.42499908775072037</v>
      </c>
      <c r="EF685" s="95">
        <f t="shared" si="281"/>
        <v>19</v>
      </c>
      <c r="EG685" s="339">
        <f t="shared" ca="1" si="282"/>
        <v>10895.792039387505</v>
      </c>
      <c r="EH685" s="341">
        <f t="shared" ca="1" si="310"/>
        <v>8608992.8707552347</v>
      </c>
      <c r="EJ685" s="308">
        <f t="shared" si="283"/>
        <v>19</v>
      </c>
      <c r="EK685" s="318">
        <f t="shared" ca="1" si="284"/>
        <v>10895.792039387505</v>
      </c>
      <c r="EL685" s="319">
        <f t="shared" ca="1" si="311"/>
        <v>5508860.9348991439</v>
      </c>
      <c r="EN685" s="95">
        <f t="shared" si="285"/>
        <v>19</v>
      </c>
      <c r="EO685" s="339">
        <f t="shared" ca="1" si="286"/>
        <v>10895.792039387505</v>
      </c>
      <c r="EP685" s="341">
        <f t="shared" ca="1" si="312"/>
        <v>8608992.8707552347</v>
      </c>
    </row>
    <row r="686" spans="1:208" s="266" customFormat="1" x14ac:dyDescent="0.25">
      <c r="A686" s="313">
        <v>20</v>
      </c>
      <c r="B686" s="314">
        <v>20</v>
      </c>
      <c r="C686" s="308">
        <f>VLOOKUP($B686,'Infant adult mortality'!$A$27:$I$128,3)</f>
        <v>2.7339999999999998E-4</v>
      </c>
      <c r="D686" s="309">
        <f t="shared" si="230"/>
        <v>0.27</v>
      </c>
      <c r="E686" s="309">
        <f>VLOOKUP($B686,'Infant pick up smoking rates'!$A$19:$I$104,3)</f>
        <v>2.6500909529550587E-2</v>
      </c>
      <c r="F686" s="309">
        <f t="shared" si="231"/>
        <v>1.6225209103287296E-3</v>
      </c>
      <c r="G686" s="309">
        <f t="shared" si="232"/>
        <v>0.70160316956012059</v>
      </c>
      <c r="H686" s="309">
        <f>VLOOKUP($B686,'Infant adult mortality'!$A$27:$I$128,3)</f>
        <v>2.7339999999999998E-4</v>
      </c>
      <c r="I686" s="309">
        <f t="shared" si="233"/>
        <v>0.14000000000000001</v>
      </c>
      <c r="J686" s="309">
        <f>VLOOKUP($B686,'Infant pick up smoking rates'!$A$19:$I$104,2)</f>
        <v>2.6500909529550587E-2</v>
      </c>
      <c r="K686" s="309">
        <f t="shared" si="234"/>
        <v>1.6225209103287296E-3</v>
      </c>
      <c r="L686" s="309">
        <f t="shared" si="235"/>
        <v>0.83160316956012059</v>
      </c>
      <c r="M686" s="309">
        <f>VLOOKUP($B686,'Infant adult mortality'!$A$27:$I$128,3)</f>
        <v>2.7339999999999998E-4</v>
      </c>
      <c r="N686" s="309">
        <f t="shared" si="236"/>
        <v>0.5714285714285714</v>
      </c>
      <c r="O686" s="309">
        <f>VLOOKUP($B686,'Infant pick up smoking rates'!$A$19:$I$104,2)</f>
        <v>2.6500909529550587E-2</v>
      </c>
      <c r="P686" s="309">
        <f t="shared" si="237"/>
        <v>9.8152499513713275E-4</v>
      </c>
      <c r="Q686" s="309">
        <f t="shared" si="238"/>
        <v>0.40081559404674083</v>
      </c>
      <c r="R686" s="309">
        <f>VLOOKUP($B686,'Infant adult mortality'!$A$27:$I$128,3)</f>
        <v>2.7339999999999998E-4</v>
      </c>
      <c r="S686" s="309">
        <f t="shared" si="239"/>
        <v>8.6261668788331098E-3</v>
      </c>
      <c r="T686" s="309">
        <f>VLOOKUP($B686,'Infant pick up smoking rates'!$A$19:$I$104,2)</f>
        <v>2.6500909529550587E-2</v>
      </c>
      <c r="U686" s="309">
        <f t="shared" si="240"/>
        <v>9.8152499513713275E-4</v>
      </c>
      <c r="V686" s="309">
        <f t="shared" si="241"/>
        <v>0.96361799859647912</v>
      </c>
      <c r="W686" s="309">
        <f>VLOOKUP($B686,'Infant adult mortality'!$A$27:$I$128,3)</f>
        <v>2.7339999999999998E-4</v>
      </c>
      <c r="X686" s="309">
        <f>VLOOKUP($B686,'Infant pick up smoking rates'!$A$19:$I$104,2)</f>
        <v>2.6500909529550587E-2</v>
      </c>
      <c r="Y686" s="309">
        <f t="shared" si="242"/>
        <v>0.97322569047044949</v>
      </c>
      <c r="Z686" s="309">
        <f>VLOOKUP($B686,'Infant adult mortality'!$A$27:$I$128,5)</f>
        <v>2.7339999999999998E-4</v>
      </c>
      <c r="AA686" s="309">
        <f t="shared" si="243"/>
        <v>0.25</v>
      </c>
      <c r="AB686" s="309">
        <f t="shared" si="244"/>
        <v>0.74972660000000002</v>
      </c>
      <c r="AC686" s="309">
        <f>VLOOKUP($B686,'Infant adult mortality'!$A$27:$I$128,5)</f>
        <v>2.7339999999999998E-4</v>
      </c>
      <c r="AD686" s="309">
        <f t="shared" si="245"/>
        <v>0.14000000000000001</v>
      </c>
      <c r="AE686" s="309">
        <f t="shared" si="246"/>
        <v>0.85972660000000001</v>
      </c>
      <c r="AF686" s="309">
        <f>VLOOKUP($B686,'Infant adult mortality'!$A$27:$I$128,4)</f>
        <v>2.7339999999999998E-4</v>
      </c>
      <c r="AG686" s="309">
        <f t="shared" si="247"/>
        <v>0.5714285714285714</v>
      </c>
      <c r="AH686" s="309">
        <f t="shared" si="248"/>
        <v>0.42829802857142862</v>
      </c>
      <c r="AI686" s="309">
        <f>VLOOKUP($B686,'Infant adult mortality'!$A$27:$I$128,4)</f>
        <v>2.7339999999999998E-4</v>
      </c>
      <c r="AJ686" s="309">
        <f t="shared" si="249"/>
        <v>8.6261668788331098E-3</v>
      </c>
      <c r="AK686" s="309">
        <f t="shared" si="250"/>
        <v>0.99110043312116691</v>
      </c>
      <c r="AL686" s="309"/>
      <c r="AM686" s="315">
        <f t="shared" si="287"/>
        <v>94.777662736085219</v>
      </c>
      <c r="AN686" s="316">
        <f t="shared" si="288"/>
        <v>25.896922942265515</v>
      </c>
      <c r="AO686" s="316">
        <f t="shared" si="289"/>
        <v>4.2077870198381042</v>
      </c>
      <c r="AP686" s="316">
        <f t="shared" si="290"/>
        <v>64.99017547213937</v>
      </c>
      <c r="AQ686" s="316">
        <f t="shared" si="291"/>
        <v>3.9905009188499423</v>
      </c>
      <c r="AR686" s="316">
        <f t="shared" si="292"/>
        <v>194.60294043023592</v>
      </c>
      <c r="AS686" s="316">
        <f t="shared" si="293"/>
        <v>49.227211865646019</v>
      </c>
      <c r="AT686" s="316">
        <f t="shared" si="294"/>
        <v>6.3744589126486089</v>
      </c>
      <c r="AU686" s="316">
        <f t="shared" si="295"/>
        <v>8.6384213269004348</v>
      </c>
      <c r="AV686" s="316">
        <f t="shared" si="296"/>
        <v>57.29391837539076</v>
      </c>
      <c r="AW686" s="317">
        <f t="shared" si="251"/>
        <v>509.99999999999989</v>
      </c>
      <c r="AX686" s="309"/>
      <c r="AY686" s="308">
        <f>VLOOKUP($B686,'Infant adult mortality'!$A$134:$I$234,3)</f>
        <v>1.2460000000000002E-4</v>
      </c>
      <c r="AZ686" s="309">
        <f t="shared" si="252"/>
        <v>0.27</v>
      </c>
      <c r="BA686" s="309">
        <f ca="1">VLOOKUP($B686,'Infant pick up smoking rates'!$A$19:$I$104,7)</f>
        <v>3.2485004477810379E-2</v>
      </c>
      <c r="BB686" s="309">
        <f t="shared" si="253"/>
        <v>1.6225209103287296E-3</v>
      </c>
      <c r="BC686" s="309">
        <f t="shared" ca="1" si="254"/>
        <v>0.69576787461186085</v>
      </c>
      <c r="BD686" s="309">
        <f>VLOOKUP($B686,'Infant adult mortality'!$A$134:$I$234,3)</f>
        <v>1.2460000000000002E-4</v>
      </c>
      <c r="BE686" s="309">
        <f t="shared" si="255"/>
        <v>0.14000000000000001</v>
      </c>
      <c r="BF686" s="309">
        <f>VLOOKUP($B686,'Infant pick up smoking rates'!$A$19:$I$104,6)</f>
        <v>1.5697620072600664E-2</v>
      </c>
      <c r="BG686" s="309">
        <f t="shared" si="256"/>
        <v>1.6225209103287296E-3</v>
      </c>
      <c r="BH686" s="309">
        <f t="shared" si="257"/>
        <v>0.84255525901707051</v>
      </c>
      <c r="BI686" s="309">
        <f>VLOOKUP($B686,'Infant adult mortality'!$A$134:$I$234,3)</f>
        <v>1.2460000000000002E-4</v>
      </c>
      <c r="BJ686" s="309">
        <f t="shared" si="258"/>
        <v>0.5714285714285714</v>
      </c>
      <c r="BK686" s="309">
        <f>VLOOKUP($B686,'Infant pick up smoking rates'!$A$19:$I$104,6)</f>
        <v>1.5697620072600664E-2</v>
      </c>
      <c r="BL686" s="309">
        <f t="shared" si="259"/>
        <v>9.8152499513713275E-4</v>
      </c>
      <c r="BM686" s="309">
        <f t="shared" si="260"/>
        <v>0.41176768350369081</v>
      </c>
      <c r="BN686" s="309">
        <f>VLOOKUP($B686,'Infant adult mortality'!$A$134:$I$234,3)</f>
        <v>1.2460000000000002E-4</v>
      </c>
      <c r="BO686" s="309">
        <f t="shared" si="261"/>
        <v>8.6261668788331098E-3</v>
      </c>
      <c r="BP686" s="309">
        <f>VLOOKUP($B686,'Infant pick up smoking rates'!$A$19:$I$104,6)</f>
        <v>1.5697620072600664E-2</v>
      </c>
      <c r="BQ686" s="309">
        <f t="shared" si="262"/>
        <v>9.8152499513713275E-4</v>
      </c>
      <c r="BR686" s="309">
        <f t="shared" si="263"/>
        <v>0.97457008805342904</v>
      </c>
      <c r="BS686" s="309">
        <f>VLOOKUP($B686,'Infant adult mortality'!$A$134:$I$234,3)</f>
        <v>1.2460000000000002E-4</v>
      </c>
      <c r="BT686" s="309">
        <f>VLOOKUP($B686,'Infant pick up smoking rates'!$A$19:$I$104,6)</f>
        <v>1.5697620072600664E-2</v>
      </c>
      <c r="BU686" s="309">
        <f t="shared" si="264"/>
        <v>0.9841777799273993</v>
      </c>
      <c r="BV686" s="309">
        <f>VLOOKUP($B686,'Infant adult mortality'!$A$134:$I$234,5)</f>
        <v>1.2460000000000002E-4</v>
      </c>
      <c r="BW686" s="309">
        <f t="shared" si="265"/>
        <v>0.27</v>
      </c>
      <c r="BX686" s="309">
        <f t="shared" si="266"/>
        <v>0.72987539999999995</v>
      </c>
      <c r="BY686" s="309">
        <f>VLOOKUP($B686,'Infant adult mortality'!$A$134:$I$234,5)</f>
        <v>1.2460000000000002E-4</v>
      </c>
      <c r="BZ686" s="309">
        <f t="shared" si="267"/>
        <v>0.14000000000000001</v>
      </c>
      <c r="CA686" s="309">
        <f t="shared" si="268"/>
        <v>0.85987539999999996</v>
      </c>
      <c r="CB686" s="309">
        <f>VLOOKUP($B686,'Infant adult mortality'!$A$134:$I$234,4)</f>
        <v>1.2460000000000002E-4</v>
      </c>
      <c r="CC686" s="309">
        <f t="shared" si="269"/>
        <v>0.5714285714285714</v>
      </c>
      <c r="CD686" s="309">
        <f t="shared" si="270"/>
        <v>0.42844682857142863</v>
      </c>
      <c r="CE686" s="309">
        <f>VLOOKUP($B686,'Infant adult mortality'!$A$134:$I$234,4)</f>
        <v>1.2460000000000002E-4</v>
      </c>
      <c r="CF686" s="309">
        <f t="shared" si="271"/>
        <v>8.6261668788331098E-3</v>
      </c>
      <c r="CG686" s="309">
        <f t="shared" si="272"/>
        <v>0.99124923312116686</v>
      </c>
      <c r="CH686" s="309"/>
      <c r="CI686" s="315">
        <f t="shared" ca="1" si="297"/>
        <v>132.91535271993294</v>
      </c>
      <c r="CJ686" s="316">
        <f t="shared" ca="1" si="298"/>
        <v>36.99609111591441</v>
      </c>
      <c r="CK686" s="316">
        <f t="shared" ca="1" si="299"/>
        <v>5.7086887316066512</v>
      </c>
      <c r="CL686" s="316">
        <f t="shared" ca="1" si="300"/>
        <v>77.292095325763384</v>
      </c>
      <c r="CM686" s="316">
        <f t="shared" ca="1" si="301"/>
        <v>4.8754676671838437</v>
      </c>
      <c r="CN686" s="316">
        <f t="shared" ca="1" si="302"/>
        <v>131.96416100851633</v>
      </c>
      <c r="CO686" s="316">
        <f t="shared" ca="1" si="303"/>
        <v>35.532421677183038</v>
      </c>
      <c r="CP686" s="316">
        <f t="shared" ca="1" si="304"/>
        <v>4.5084292271631039</v>
      </c>
      <c r="CQ686" s="316">
        <f t="shared" ca="1" si="305"/>
        <v>5.7878824146798848</v>
      </c>
      <c r="CR686" s="316">
        <f t="shared" ca="1" si="306"/>
        <v>54.419410112056461</v>
      </c>
      <c r="CS686" s="317">
        <f t="shared" ca="1" si="273"/>
        <v>490.00000000000006</v>
      </c>
      <c r="CT686" s="309"/>
      <c r="CU686" s="309">
        <f t="shared" ca="1" si="274"/>
        <v>1000</v>
      </c>
      <c r="CV686" s="309" t="str">
        <f t="shared" ca="1" si="225"/>
        <v>OKAY</v>
      </c>
      <c r="CW686" s="309"/>
      <c r="CX686" s="315">
        <f>(SUM($AR686:$AS686))-((SUM($AR686:$AS686)*VLOOKUP($B686,Lifetime_morbidity_array!$A$30:$Y$48,4))+(SUM($AR686:$AS686)*VLOOKUP($B686,Lifetime_morbidity_array!$A$30:$Y$48,7))+(SUM($AR686:$AS686)*VLOOKUP($B686,Lifetime_morbidity_array!$A$30:$Y$48,10))+(SUM($AR686:$AS686)*VLOOKUP($B686,Lifetime_morbidity_array!$A$30:$Y$48,13)))</f>
        <v>243.50852479527282</v>
      </c>
      <c r="CY686" s="316">
        <f>(SUM($AT686:$AU686))-((SUM($AT686:$AU686)*(VLOOKUP($B686,Lifetime_morbidity_array!$A$30:$Y$48,3)))+(SUM($AT686:$AU686)*(VLOOKUP($B686,Lifetime_morbidity_array!$A$30:$Y$48,6)))+(SUM($AT686:$AU686)*(VLOOKUP($B686,Lifetime_morbidity_array!$A$30:$Y$48,9)))+(SUM($AT686:$AU686)*(VLOOKUP($B686,Lifetime_morbidity_array!$A$30:$Y$48,12))))</f>
        <v>14.993077294331135</v>
      </c>
      <c r="CZ686" s="316">
        <f>(SUM($AM686:$AQ686))-((SUM($AM686:$AQ686)*VLOOKUP($B686,Lifetime_morbidity_array!$A$30:$Y$48,2))+(SUM($AM686:$AQ686)*VLOOKUP($B686,Lifetime_morbidity_array!$A$30:$Y$48,5))+(SUM($AM686:$AQ686)*VLOOKUP($B686,Lifetime_morbidity_array!$A$30:$Y$48,8))+(SUM($AM686:$AQ686)*VLOOKUP($B686,Lifetime_morbidity_array!$A$30:$Y$48,11)))</f>
        <v>193.60733138014211</v>
      </c>
      <c r="DA686" s="316">
        <f>(SUM($AM686:$AQ686)*VLOOKUP($B686,Lifetime_morbidity_array!$A$30:$Y$48,2))+(SUM($AR686:$AS686)*VLOOKUP($B686,Lifetime_morbidity_array!$A$30:$Y$48,4))+(SUM($AT686:$AU686)*(VLOOKUP($B686,Lifetime_morbidity_array!$A$30:$Y$48,3)))</f>
        <v>0.45216211985681276</v>
      </c>
      <c r="DB686" s="316">
        <f>(SUM($AM686:$AQ686)*VLOOKUP($B686,Lifetime_morbidity_array!$A$30:$Y$48,5))+(SUM($AR686:$AS686)*VLOOKUP($B686,Lifetime_morbidity_array!$A$30:$Y$48,7))+(SUM($AT686:$AU686)*(VLOOKUP($B686,Lifetime_morbidity_array!$A$30:$Y$48,6)))</f>
        <v>0.13594076238040842</v>
      </c>
      <c r="DC686" s="316">
        <f>(SUM($AM686:$AQ686)*VLOOKUP($B686,Lifetime_morbidity_array!$A$30:$Y$48,8))+(SUM($AR686:$AS686)*VLOOKUP($B686,Lifetime_morbidity_array!$A$30:$Y$48,10))+(SUM($AT686:$AU686)*(VLOOKUP($B686,Lifetime_morbidity_array!$A$30:$Y$48,9)))</f>
        <v>9.0452726258512233E-3</v>
      </c>
      <c r="DD686" s="317">
        <f>(SUM($AM686:$AQ686)*VLOOKUP($B686,Lifetime_morbidity_array!$A$30:$Y$48,11))+(SUM($AR686:$AS686)*VLOOKUP($B686,Lifetime_morbidity_array!$A$30:$Y$48,13))+(SUM($AT686:$AU686)*(VLOOKUP($B686,Lifetime_morbidity_array!$A$30:$Y$48,12)))</f>
        <v>0</v>
      </c>
      <c r="DE686" s="309"/>
      <c r="DF686" s="315">
        <f ca="1">(SUM($CN686:$CO686))-((SUM($CN686:$CO686)*VLOOKUP($B686,Lifetime_morbidity_array!$A$6:$Y$24,4))+(SUM($CN686:$CO686)*VLOOKUP($B686,Lifetime_morbidity_array!$A$6:$Y$24,7))+(SUM($CN686:$CO686)*VLOOKUP($B686,Lifetime_morbidity_array!$A$6:$Y$24,10))+(SUM($CN686:$CO686)*VLOOKUP($B686,Lifetime_morbidity_array!$A$6:$Y$24,13)))</f>
        <v>166.96902854132941</v>
      </c>
      <c r="DG686" s="316">
        <f ca="1">(SUM($CP686:$CQ686))-(((SUM($CP686:$CQ686)*VLOOKUP($B686,Lifetime_morbidity_array!$A$6:$Y$24,3))+(SUM($CP686:$CQ686)*VLOOKUP($B686,Lifetime_morbidity_array!$A$6:$Y$24,6))+(SUM($CP686:$CQ686)*VLOOKUP($B686,Lifetime_morbidity_array!$A$6:$Y$24,9))+(SUM($CP686:$CQ686)*VLOOKUP($B686,Lifetime_morbidity_array!$A$6:$Y$24,12))))</f>
        <v>10.263881954076931</v>
      </c>
      <c r="DH686" s="316">
        <f ca="1">(SUM($CI686:$CM686))-((SUM($CI686:$CM686)*VLOOKUP($B686,Lifetime_morbidity_array!$A$6:$Y$24,2))+(SUM($CI686:$CM686)*VLOOKUP($B686,Lifetime_morbidity_array!$A$6:$Y$24,5))+(SUM($CI686:$CM686)*VLOOKUP($B686,Lifetime_morbidity_array!$A$6:$Y$24,8))+(SUM($CI686:$CM686)*VLOOKUP($B686,Lifetime_morbidity_array!$A$6:$Y$24,11)))</f>
        <v>256.97575680332426</v>
      </c>
      <c r="DI686" s="316">
        <f ca="1">(SUM($CI686:$CM686)*VLOOKUP($B686,Lifetime_morbidity_array!$A$6:$Y$24,2))+(SUM($CN686:$CO686)*VLOOKUP($B686,Lifetime_morbidity_array!$A$6:$Y$24,4))+(SUM($CP686:$CQ686)*VLOOKUP($B686,Lifetime_morbidity_array!$A$6:$Y$24,3))</f>
        <v>0.43602562070501583</v>
      </c>
      <c r="DJ686" s="316">
        <f ca="1">(SUM($CI686:$CM686)*VLOOKUP($B686,Lifetime_morbidity_array!$A$6:$Y$24,5))+(SUM($CN686:$CO686)*VLOOKUP($B686,Lifetime_morbidity_array!$A$6:$Y$24,7))+(SUM($CP686:$CQ686)*VLOOKUP($B686,Lifetime_morbidity_array!$A$6:$Y$24,6))</f>
        <v>5.6285621653991154E-2</v>
      </c>
      <c r="DK686" s="316">
        <f ca="1">(SUM($CI686:$CM686)*VLOOKUP($B686,Lifetime_morbidity_array!$A$6:$Y$24,8))+(SUM($CN686:$CO686)*VLOOKUP($B686,Lifetime_morbidity_array!$A$6:$Y$24,10))+(SUM($CP686:$CQ686)*VLOOKUP($B686,Lifetime_morbidity_array!$A$6:$Y$24,9))</f>
        <v>8.706986310043123E-3</v>
      </c>
      <c r="DL686" s="317">
        <f ca="1">(SUM($CI686:$CM686)*VLOOKUP($B686,Lifetime_morbidity_array!$A$6:$Y$24,11))+(SUM($CN686:$CO686)*VLOOKUP($B686,Lifetime_morbidity_array!$A$6:$Y$24,13))+(SUM($CP686:$CQ686)*VLOOKUP($B686,Lifetime_morbidity_array!$A$6:$Y$24,12))</f>
        <v>0.87090436054394116</v>
      </c>
      <c r="DM686" s="309"/>
      <c r="DN686" s="308">
        <f t="shared" si="275"/>
        <v>20</v>
      </c>
      <c r="DO686" s="309">
        <f t="shared" ca="1" si="276"/>
        <v>446.42257669757095</v>
      </c>
      <c r="DP686" s="310">
        <f t="shared" ca="1" si="307"/>
        <v>12639.084054276076</v>
      </c>
      <c r="DQ686" s="309"/>
      <c r="DR686" s="308">
        <f t="shared" si="277"/>
        <v>20</v>
      </c>
      <c r="DS686" s="309">
        <f ca="1">((VLOOKUP($B686,'Mahawesran Tariff'!$A$21:$M$120,4)*'Comparator (DET)'!$CX686)+(VLOOKUP($B686,'Mahawesran Tariff'!$A$21:$M$120,3)*'Comparator (DET)'!$CY686)+(VLOOKUP($B686,'Mahawesran Tariff'!$A$21:$M$120,2)*'Comparator (DET)'!$CZ686)+(VLOOKUP($B686,'Mahawesran Tariff'!$A$21:$M$120,7)*'Comparator (DET)'!$DF686)+(VLOOKUP($B686,'Mahawesran Tariff'!$A$21:$M$120,6)*'Comparator (DET)'!$DG686)+(VLOOKUP($B686,'Mahawesran Tariff'!$A$21:$M$120,5)*'Comparator (DET)'!$DH686)+(DET_UTIL_chd*('Comparator (DET)'!$DA686+'Comparator (DET)'!$DI686))+(DET_UTIL_copd*('Comparator (DET)'!$DB686+'Comparator (DET)'!$DJ686))+(DET_UTIL_lc*('Comparator (DET)'!$DC686+'Comparator (DET)'!$DK686))+(DET_UTIL_stroke*('Comparator (DET)'!$DD686+'Comparator (DET)'!$DL686)))/((1+Discount_rate_QALYs)^$A686)</f>
        <v>460.01301342376826</v>
      </c>
      <c r="DT686" s="310">
        <f t="shared" ca="1" si="308"/>
        <v>12583.936450428024</v>
      </c>
      <c r="DU686" s="309"/>
      <c r="DV686" s="308">
        <f t="shared" si="278"/>
        <v>20</v>
      </c>
      <c r="DW686" s="318">
        <f t="shared" ca="1" si="279"/>
        <v>10496.15548136798</v>
      </c>
      <c r="DX686" s="319">
        <f t="shared" ca="1" si="309"/>
        <v>5519357.0903805122</v>
      </c>
      <c r="DZ686" s="95">
        <f t="shared" si="280"/>
        <v>20</v>
      </c>
      <c r="EA686" s="268">
        <f t="shared" ca="1" si="226"/>
        <v>0.88828667151255258</v>
      </c>
      <c r="EB686" s="268">
        <f t="shared" ca="1" si="227"/>
        <v>0.11171332848744722</v>
      </c>
      <c r="EC686" s="268">
        <f t="shared" ca="1" si="228"/>
        <v>1.9690707440760636E-3</v>
      </c>
      <c r="ED686" s="290">
        <f t="shared" ca="1" si="229"/>
        <v>0.43663592686297331</v>
      </c>
      <c r="EF686" s="95">
        <f t="shared" si="281"/>
        <v>20</v>
      </c>
      <c r="EG686" s="339">
        <f t="shared" ca="1" si="282"/>
        <v>10496.15548136798</v>
      </c>
      <c r="EH686" s="341">
        <f t="shared" ca="1" si="310"/>
        <v>8619489.026236603</v>
      </c>
      <c r="EJ686" s="308">
        <f t="shared" si="283"/>
        <v>20</v>
      </c>
      <c r="EK686" s="318">
        <f t="shared" ca="1" si="284"/>
        <v>10496.15548136798</v>
      </c>
      <c r="EL686" s="319">
        <f t="shared" ca="1" si="311"/>
        <v>5519357.0903805122</v>
      </c>
      <c r="EN686" s="95">
        <f t="shared" si="285"/>
        <v>20</v>
      </c>
      <c r="EO686" s="339">
        <f t="shared" ca="1" si="286"/>
        <v>10496.15548136798</v>
      </c>
      <c r="EP686" s="341">
        <f t="shared" ca="1" si="312"/>
        <v>8619489.026236603</v>
      </c>
    </row>
    <row r="687" spans="1:208" s="266" customFormat="1" x14ac:dyDescent="0.25">
      <c r="A687" s="313">
        <v>21</v>
      </c>
      <c r="B687" s="314">
        <v>21</v>
      </c>
      <c r="C687" s="308">
        <f>VLOOKUP($B687,'Infant adult mortality'!$A$27:$I$128,3)</f>
        <v>3.035E-4</v>
      </c>
      <c r="D687" s="309">
        <f t="shared" si="230"/>
        <v>0.27</v>
      </c>
      <c r="E687" s="309">
        <f>VLOOKUP($B687,'Infant pick up smoking rates'!$A$19:$I$104,3)</f>
        <v>2.6500909529550587E-2</v>
      </c>
      <c r="F687" s="309">
        <f t="shared" si="231"/>
        <v>1.7296595992997469E-3</v>
      </c>
      <c r="G687" s="309">
        <f t="shared" si="232"/>
        <v>0.70146593087114972</v>
      </c>
      <c r="H687" s="309">
        <f>VLOOKUP($B687,'Infant adult mortality'!$A$27:$I$128,3)</f>
        <v>3.035E-4</v>
      </c>
      <c r="I687" s="309">
        <f t="shared" si="233"/>
        <v>0.14000000000000001</v>
      </c>
      <c r="J687" s="309">
        <f>VLOOKUP($B687,'Infant pick up smoking rates'!$A$19:$I$104,2)</f>
        <v>2.6500909529550587E-2</v>
      </c>
      <c r="K687" s="309">
        <f t="shared" si="234"/>
        <v>1.7296595992997469E-3</v>
      </c>
      <c r="L687" s="309">
        <f t="shared" si="235"/>
        <v>0.83146593087114973</v>
      </c>
      <c r="M687" s="309">
        <f>VLOOKUP($B687,'Infant adult mortality'!$A$27:$I$128,3)</f>
        <v>3.035E-4</v>
      </c>
      <c r="N687" s="309">
        <f t="shared" si="236"/>
        <v>0.5714285714285714</v>
      </c>
      <c r="O687" s="309">
        <f>VLOOKUP($B687,'Infant pick up smoking rates'!$A$19:$I$104,2)</f>
        <v>2.6500909529550587E-2</v>
      </c>
      <c r="P687" s="309">
        <f t="shared" si="237"/>
        <v>1.0463372884652793E-3</v>
      </c>
      <c r="Q687" s="309">
        <f t="shared" si="238"/>
        <v>0.4007206817534128</v>
      </c>
      <c r="R687" s="309">
        <f>VLOOKUP($B687,'Infant adult mortality'!$A$27:$I$128,3)</f>
        <v>3.035E-4</v>
      </c>
      <c r="S687" s="309">
        <f t="shared" si="239"/>
        <v>8.6261668788331098E-3</v>
      </c>
      <c r="T687" s="309">
        <f>VLOOKUP($B687,'Infant pick up smoking rates'!$A$19:$I$104,2)</f>
        <v>2.6500909529550587E-2</v>
      </c>
      <c r="U687" s="309">
        <f t="shared" si="240"/>
        <v>1.0463372884652793E-3</v>
      </c>
      <c r="V687" s="309">
        <f t="shared" si="241"/>
        <v>0.96352308630315109</v>
      </c>
      <c r="W687" s="309">
        <f>VLOOKUP($B687,'Infant adult mortality'!$A$27:$I$128,3)</f>
        <v>3.035E-4</v>
      </c>
      <c r="X687" s="309">
        <f>VLOOKUP($B687,'Infant pick up smoking rates'!$A$19:$I$104,2)</f>
        <v>2.6500909529550587E-2</v>
      </c>
      <c r="Y687" s="309">
        <f t="shared" si="242"/>
        <v>0.97319559047044946</v>
      </c>
      <c r="Z687" s="309">
        <f>VLOOKUP($B687,'Infant adult mortality'!$A$27:$I$128,5)</f>
        <v>3.035E-4</v>
      </c>
      <c r="AA687" s="309">
        <f t="shared" si="243"/>
        <v>0.25</v>
      </c>
      <c r="AB687" s="309">
        <f t="shared" si="244"/>
        <v>0.74969649999999999</v>
      </c>
      <c r="AC687" s="309">
        <f>VLOOKUP($B687,'Infant adult mortality'!$A$27:$I$128,5)</f>
        <v>3.035E-4</v>
      </c>
      <c r="AD687" s="309">
        <f t="shared" si="245"/>
        <v>0.14000000000000001</v>
      </c>
      <c r="AE687" s="309">
        <f t="shared" si="246"/>
        <v>0.85969649999999997</v>
      </c>
      <c r="AF687" s="309">
        <f>VLOOKUP($B687,'Infant adult mortality'!$A$27:$I$128,4)</f>
        <v>3.035E-4</v>
      </c>
      <c r="AG687" s="309">
        <f t="shared" si="247"/>
        <v>0.5714285714285714</v>
      </c>
      <c r="AH687" s="309">
        <f t="shared" si="248"/>
        <v>0.42826792857142859</v>
      </c>
      <c r="AI687" s="309">
        <f>VLOOKUP($B687,'Infant adult mortality'!$A$27:$I$128,4)</f>
        <v>3.035E-4</v>
      </c>
      <c r="AJ687" s="309">
        <f t="shared" si="249"/>
        <v>8.6261668788331098E-3</v>
      </c>
      <c r="AK687" s="309">
        <f t="shared" si="250"/>
        <v>0.99107033312116688</v>
      </c>
      <c r="AL687" s="309"/>
      <c r="AM687" s="315">
        <f t="shared" si="287"/>
        <v>90.262473940219138</v>
      </c>
      <c r="AN687" s="316">
        <f t="shared" si="288"/>
        <v>25.589968938743009</v>
      </c>
      <c r="AO687" s="316">
        <f t="shared" si="289"/>
        <v>3.6255692119171723</v>
      </c>
      <c r="AP687" s="316">
        <f t="shared" si="290"/>
        <v>65.023984175920845</v>
      </c>
      <c r="AQ687" s="316">
        <f t="shared" si="291"/>
        <v>4.1646682619442981</v>
      </c>
      <c r="AR687" s="316">
        <f t="shared" si="292"/>
        <v>196.15564497916503</v>
      </c>
      <c r="AS687" s="316">
        <f t="shared" si="293"/>
        <v>48.65073510755898</v>
      </c>
      <c r="AT687" s="316">
        <f t="shared" si="294"/>
        <v>6.8918096611904431</v>
      </c>
      <c r="AU687" s="316">
        <f t="shared" si="295"/>
        <v>12.203831052177126</v>
      </c>
      <c r="AV687" s="316">
        <f t="shared" si="296"/>
        <v>57.431314671163818</v>
      </c>
      <c r="AW687" s="317">
        <f t="shared" si="251"/>
        <v>509.99999999999989</v>
      </c>
      <c r="AX687" s="309"/>
      <c r="AY687" s="308">
        <f>VLOOKUP($B687,'Infant adult mortality'!$A$134:$I$234,3)</f>
        <v>1.2909999999999999E-4</v>
      </c>
      <c r="AZ687" s="309">
        <f t="shared" si="252"/>
        <v>0.27</v>
      </c>
      <c r="BA687" s="309">
        <f ca="1">VLOOKUP($B687,'Infant pick up smoking rates'!$A$19:$I$104,7)</f>
        <v>3.2485004477810379E-2</v>
      </c>
      <c r="BB687" s="309">
        <f t="shared" si="253"/>
        <v>1.7296595992997469E-3</v>
      </c>
      <c r="BC687" s="309">
        <f t="shared" ca="1" si="254"/>
        <v>0.69565623592288994</v>
      </c>
      <c r="BD687" s="309">
        <f>VLOOKUP($B687,'Infant adult mortality'!$A$134:$I$234,3)</f>
        <v>1.2909999999999999E-4</v>
      </c>
      <c r="BE687" s="309">
        <f t="shared" si="255"/>
        <v>0.14000000000000001</v>
      </c>
      <c r="BF687" s="309">
        <f>VLOOKUP($B687,'Infant pick up smoking rates'!$A$19:$I$104,6)</f>
        <v>1.5697620072600664E-2</v>
      </c>
      <c r="BG687" s="309">
        <f t="shared" si="256"/>
        <v>1.7296595992997469E-3</v>
      </c>
      <c r="BH687" s="309">
        <f t="shared" si="257"/>
        <v>0.84244362032809961</v>
      </c>
      <c r="BI687" s="309">
        <f>VLOOKUP($B687,'Infant adult mortality'!$A$134:$I$234,3)</f>
        <v>1.2909999999999999E-4</v>
      </c>
      <c r="BJ687" s="309">
        <f t="shared" si="258"/>
        <v>0.5714285714285714</v>
      </c>
      <c r="BK687" s="309">
        <f>VLOOKUP($B687,'Infant pick up smoking rates'!$A$19:$I$104,6)</f>
        <v>1.5697620072600664E-2</v>
      </c>
      <c r="BL687" s="309">
        <f t="shared" si="259"/>
        <v>1.0463372884652793E-3</v>
      </c>
      <c r="BM687" s="309">
        <f t="shared" si="260"/>
        <v>0.41169837121036268</v>
      </c>
      <c r="BN687" s="309">
        <f>VLOOKUP($B687,'Infant adult mortality'!$A$134:$I$234,3)</f>
        <v>1.2909999999999999E-4</v>
      </c>
      <c r="BO687" s="309">
        <f t="shared" si="261"/>
        <v>8.6261668788331098E-3</v>
      </c>
      <c r="BP687" s="309">
        <f>VLOOKUP($B687,'Infant pick up smoking rates'!$A$19:$I$104,6)</f>
        <v>1.5697620072600664E-2</v>
      </c>
      <c r="BQ687" s="309">
        <f t="shared" si="262"/>
        <v>1.0463372884652793E-3</v>
      </c>
      <c r="BR687" s="309">
        <f t="shared" si="263"/>
        <v>0.97450077576010097</v>
      </c>
      <c r="BS687" s="309">
        <f>VLOOKUP($B687,'Infant adult mortality'!$A$134:$I$234,3)</f>
        <v>1.2909999999999999E-4</v>
      </c>
      <c r="BT687" s="309">
        <f>VLOOKUP($B687,'Infant pick up smoking rates'!$A$19:$I$104,6)</f>
        <v>1.5697620072600664E-2</v>
      </c>
      <c r="BU687" s="309">
        <f t="shared" si="264"/>
        <v>0.98417327992739934</v>
      </c>
      <c r="BV687" s="309">
        <f>VLOOKUP($B687,'Infant adult mortality'!$A$134:$I$234,5)</f>
        <v>1.2909999999999999E-4</v>
      </c>
      <c r="BW687" s="309">
        <f t="shared" si="265"/>
        <v>0.27</v>
      </c>
      <c r="BX687" s="309">
        <f t="shared" si="266"/>
        <v>0.72987089999999999</v>
      </c>
      <c r="BY687" s="309">
        <f>VLOOKUP($B687,'Infant adult mortality'!$A$134:$I$234,5)</f>
        <v>1.2909999999999999E-4</v>
      </c>
      <c r="BZ687" s="309">
        <f t="shared" si="267"/>
        <v>0.14000000000000001</v>
      </c>
      <c r="CA687" s="309">
        <f t="shared" si="268"/>
        <v>0.85987089999999999</v>
      </c>
      <c r="CB687" s="309">
        <f>VLOOKUP($B687,'Infant adult mortality'!$A$134:$I$234,4)</f>
        <v>1.2909999999999999E-4</v>
      </c>
      <c r="CC687" s="309">
        <f t="shared" si="269"/>
        <v>0.5714285714285714</v>
      </c>
      <c r="CD687" s="309">
        <f t="shared" si="270"/>
        <v>0.42844232857142861</v>
      </c>
      <c r="CE687" s="309">
        <f>VLOOKUP($B687,'Infant adult mortality'!$A$134:$I$234,4)</f>
        <v>1.2909999999999999E-4</v>
      </c>
      <c r="CF687" s="309">
        <f t="shared" si="271"/>
        <v>8.6261668788331098E-3</v>
      </c>
      <c r="CG687" s="309">
        <f t="shared" si="272"/>
        <v>0.9912447331211669</v>
      </c>
      <c r="CH687" s="309"/>
      <c r="CI687" s="315">
        <f t="shared" ca="1" si="297"/>
        <v>126.64750727243511</v>
      </c>
      <c r="CJ687" s="316">
        <f t="shared" ca="1" si="298"/>
        <v>35.887145234381897</v>
      </c>
      <c r="CK687" s="316">
        <f t="shared" ca="1" si="299"/>
        <v>5.1794527562280184</v>
      </c>
      <c r="CL687" s="316">
        <f t="shared" ca="1" si="300"/>
        <v>78.583314701712467</v>
      </c>
      <c r="CM687" s="316">
        <f t="shared" ca="1" si="301"/>
        <v>5.1790407803849439</v>
      </c>
      <c r="CN687" s="316">
        <f t="shared" ca="1" si="302"/>
        <v>135.12957994940095</v>
      </c>
      <c r="CO687" s="316">
        <f t="shared" ca="1" si="303"/>
        <v>35.630323472299409</v>
      </c>
      <c r="CP687" s="316">
        <f t="shared" ca="1" si="304"/>
        <v>4.974539034805626</v>
      </c>
      <c r="CQ687" s="316">
        <f t="shared" ca="1" si="305"/>
        <v>8.313453232140688</v>
      </c>
      <c r="CR687" s="316">
        <f t="shared" ca="1" si="306"/>
        <v>54.475643566210984</v>
      </c>
      <c r="CS687" s="317">
        <f t="shared" ca="1" si="273"/>
        <v>490.00000000000006</v>
      </c>
      <c r="CT687" s="309"/>
      <c r="CU687" s="309">
        <f t="shared" ca="1" si="274"/>
        <v>1000</v>
      </c>
      <c r="CV687" s="309" t="str">
        <f t="shared" ca="1" si="225"/>
        <v>OKAY</v>
      </c>
      <c r="CW687" s="309"/>
      <c r="CX687" s="315">
        <f>(SUM($AR687:$AS687))-((SUM($AR687:$AS687)*VLOOKUP($B687,Lifetime_morbidity_array!$A$30:$Y$48,4))+(SUM($AR687:$AS687)*VLOOKUP($B687,Lifetime_morbidity_array!$A$30:$Y$48,7))+(SUM($AR687:$AS687)*VLOOKUP($B687,Lifetime_morbidity_array!$A$30:$Y$48,10))+(SUM($AR687:$AS687)*VLOOKUP($B687,Lifetime_morbidity_array!$A$30:$Y$48,13)))</f>
        <v>244.48346487948206</v>
      </c>
      <c r="CY687" s="316">
        <f>(SUM($AT687:$AU687))-((SUM($AT687:$AU687)*(VLOOKUP($B687,Lifetime_morbidity_array!$A$30:$Y$48,3)))+(SUM($AT687:$AU687)*(VLOOKUP($B687,Lifetime_morbidity_array!$A$30:$Y$48,6)))+(SUM($AT687:$AU687)*(VLOOKUP($B687,Lifetime_morbidity_array!$A$30:$Y$48,9)))+(SUM($AT687:$AU687)*(VLOOKUP($B687,Lifetime_morbidity_array!$A$30:$Y$48,12))))</f>
        <v>19.070452347050523</v>
      </c>
      <c r="CZ687" s="316">
        <f>(SUM($AM687:$AQ687))-((SUM($AM687:$AQ687)*VLOOKUP($B687,Lifetime_morbidity_array!$A$30:$Y$48,2))+(SUM($AM687:$AQ687)*VLOOKUP($B687,Lifetime_morbidity_array!$A$30:$Y$48,5))+(SUM($AM687:$AQ687)*VLOOKUP($B687,Lifetime_morbidity_array!$A$30:$Y$48,8))+(SUM($AM687:$AQ687)*VLOOKUP($B687,Lifetime_morbidity_array!$A$30:$Y$48,11)))</f>
        <v>188.41780118190536</v>
      </c>
      <c r="DA687" s="316">
        <f>(SUM($AM687:$AQ687)*VLOOKUP($B687,Lifetime_morbidity_array!$A$30:$Y$48,2))+(SUM($AR687:$AS687)*VLOOKUP($B687,Lifetime_morbidity_array!$A$30:$Y$48,4))+(SUM($AT687:$AU687)*(VLOOKUP($B687,Lifetime_morbidity_array!$A$30:$Y$48,3)))</f>
        <v>0.45202488865343621</v>
      </c>
      <c r="DB687" s="316">
        <f>(SUM($AM687:$AQ687)*VLOOKUP($B687,Lifetime_morbidity_array!$A$30:$Y$48,5))+(SUM($AR687:$AS687)*VLOOKUP($B687,Lifetime_morbidity_array!$A$30:$Y$48,7))+(SUM($AT687:$AU687)*(VLOOKUP($B687,Lifetime_morbidity_array!$A$30:$Y$48,6)))</f>
        <v>0.13589950435902595</v>
      </c>
      <c r="DC687" s="316">
        <f>(SUM($AM687:$AQ687)*VLOOKUP($B687,Lifetime_morbidity_array!$A$30:$Y$48,8))+(SUM($AR687:$AS687)*VLOOKUP($B687,Lifetime_morbidity_array!$A$30:$Y$48,10))+(SUM($AT687:$AU687)*(VLOOKUP($B687,Lifetime_morbidity_array!$A$30:$Y$48,9)))</f>
        <v>9.0425273856092787E-3</v>
      </c>
      <c r="DD687" s="317">
        <f>(SUM($AM687:$AQ687)*VLOOKUP($B687,Lifetime_morbidity_array!$A$30:$Y$48,11))+(SUM($AR687:$AS687)*VLOOKUP($B687,Lifetime_morbidity_array!$A$30:$Y$48,13))+(SUM($AT687:$AU687)*(VLOOKUP($B687,Lifetime_morbidity_array!$A$30:$Y$48,12)))</f>
        <v>0</v>
      </c>
      <c r="DE687" s="309"/>
      <c r="DF687" s="315">
        <f ca="1">(SUM($CN687:$CO687))-((SUM($CN687:$CO687)*VLOOKUP($B687,Lifetime_morbidity_array!$A$6:$Y$24,4))+(SUM($CN687:$CO687)*VLOOKUP($B687,Lifetime_morbidity_array!$A$6:$Y$24,7))+(SUM($CN687:$CO687)*VLOOKUP($B687,Lifetime_morbidity_array!$A$6:$Y$24,10))+(SUM($CN687:$CO687)*VLOOKUP($B687,Lifetime_morbidity_array!$A$6:$Y$24,13)))</f>
        <v>170.22207098776127</v>
      </c>
      <c r="DG687" s="316">
        <f ca="1">(SUM($CP687:$CQ687))-(((SUM($CP687:$CQ687)*VLOOKUP($B687,Lifetime_morbidity_array!$A$6:$Y$24,3))+(SUM($CP687:$CQ687)*VLOOKUP($B687,Lifetime_morbidity_array!$A$6:$Y$24,6))+(SUM($CP687:$CQ687)*VLOOKUP($B687,Lifetime_morbidity_array!$A$6:$Y$24,9))+(SUM($CP687:$CQ687)*VLOOKUP($B687,Lifetime_morbidity_array!$A$6:$Y$24,12))))</f>
        <v>13.246139858506808</v>
      </c>
      <c r="DH687" s="316">
        <f ca="1">(SUM($CI687:$CM687))-((SUM($CI687:$CM687)*VLOOKUP($B687,Lifetime_morbidity_array!$A$6:$Y$24,2))+(SUM($CI687:$CM687)*VLOOKUP($B687,Lifetime_morbidity_array!$A$6:$Y$24,5))+(SUM($CI687:$CM687)*VLOOKUP($B687,Lifetime_morbidity_array!$A$6:$Y$24,8))+(SUM($CI687:$CM687)*VLOOKUP($B687,Lifetime_morbidity_array!$A$6:$Y$24,11)))</f>
        <v>250.6844001135143</v>
      </c>
      <c r="DI687" s="316">
        <f ca="1">(SUM($CI687:$CM687)*VLOOKUP($B687,Lifetime_morbidity_array!$A$6:$Y$24,2))+(SUM($CN687:$CO687)*VLOOKUP($B687,Lifetime_morbidity_array!$A$6:$Y$24,4))+(SUM($CP687:$CQ687)*VLOOKUP($B687,Lifetime_morbidity_array!$A$6:$Y$24,3))</f>
        <v>0.4359693297973829</v>
      </c>
      <c r="DJ687" s="316">
        <f ca="1">(SUM($CI687:$CM687)*VLOOKUP($B687,Lifetime_morbidity_array!$A$6:$Y$24,5))+(SUM($CN687:$CO687)*VLOOKUP($B687,Lifetime_morbidity_array!$A$6:$Y$24,7))+(SUM($CP687:$CQ687)*VLOOKUP($B687,Lifetime_morbidity_array!$A$6:$Y$24,6))</f>
        <v>5.6278355180235627E-2</v>
      </c>
      <c r="DK687" s="316">
        <f ca="1">(SUM($CI687:$CM687)*VLOOKUP($B687,Lifetime_morbidity_array!$A$6:$Y$24,8))+(SUM($CN687:$CO687)*VLOOKUP($B687,Lifetime_morbidity_array!$A$6:$Y$24,10))+(SUM($CP687:$CQ687)*VLOOKUP($B687,Lifetime_morbidity_array!$A$6:$Y$24,9))</f>
        <v>8.7058622381104966E-3</v>
      </c>
      <c r="DL687" s="317">
        <f ca="1">(SUM($CI687:$CM687)*VLOOKUP($B687,Lifetime_morbidity_array!$A$6:$Y$24,11))+(SUM($CN687:$CO687)*VLOOKUP($B687,Lifetime_morbidity_array!$A$6:$Y$24,13))+(SUM($CP687:$CQ687)*VLOOKUP($B687,Lifetime_morbidity_array!$A$6:$Y$24,12))</f>
        <v>0.87079192679099504</v>
      </c>
      <c r="DM687" s="309"/>
      <c r="DN687" s="308">
        <f t="shared" si="275"/>
        <v>21</v>
      </c>
      <c r="DO687" s="309">
        <f t="shared" ca="1" si="276"/>
        <v>431.23214008796748</v>
      </c>
      <c r="DP687" s="310">
        <f t="shared" ca="1" si="307"/>
        <v>13070.316194364044</v>
      </c>
      <c r="DQ687" s="309"/>
      <c r="DR687" s="308">
        <f t="shared" si="277"/>
        <v>21</v>
      </c>
      <c r="DS687" s="309">
        <f ca="1">((VLOOKUP($B687,'Mahawesran Tariff'!$A$21:$M$120,4)*'Comparator (DET)'!$CX687)+(VLOOKUP($B687,'Mahawesran Tariff'!$A$21:$M$120,3)*'Comparator (DET)'!$CY687)+(VLOOKUP($B687,'Mahawesran Tariff'!$A$21:$M$120,2)*'Comparator (DET)'!$CZ687)+(VLOOKUP($B687,'Mahawesran Tariff'!$A$21:$M$120,7)*'Comparator (DET)'!$DF687)+(VLOOKUP($B687,'Mahawesran Tariff'!$A$21:$M$120,6)*'Comparator (DET)'!$DG687)+(VLOOKUP($B687,'Mahawesran Tariff'!$A$21:$M$120,5)*'Comparator (DET)'!$DH687)+(DET_UTIL_chd*('Comparator (DET)'!$DA687+'Comparator (DET)'!$DI687))+(DET_UTIL_copd*('Comparator (DET)'!$DB687+'Comparator (DET)'!$DJ687))+(DET_UTIL_lc*('Comparator (DET)'!$DC687+'Comparator (DET)'!$DK687))+(DET_UTIL_stroke*('Comparator (DET)'!$DD687+'Comparator (DET)'!$DL687)))/((1+Discount_rate_QALYs)^$A687)</f>
        <v>444.19782591897268</v>
      </c>
      <c r="DT687" s="310">
        <f t="shared" ca="1" si="308"/>
        <v>13028.134276346997</v>
      </c>
      <c r="DU687" s="309"/>
      <c r="DV687" s="308">
        <f t="shared" si="278"/>
        <v>21</v>
      </c>
      <c r="DW687" s="318">
        <f t="shared" ca="1" si="279"/>
        <v>10139.816361628911</v>
      </c>
      <c r="DX687" s="319">
        <f t="shared" ca="1" si="309"/>
        <v>5529496.9067421407</v>
      </c>
      <c r="DZ687" s="95">
        <f t="shared" si="280"/>
        <v>21</v>
      </c>
      <c r="EA687" s="268">
        <f t="shared" ca="1" si="226"/>
        <v>0.88809304176262516</v>
      </c>
      <c r="EB687" s="268">
        <f t="shared" ca="1" si="227"/>
        <v>0.1119069582373748</v>
      </c>
      <c r="EC687" s="268">
        <f t="shared" ca="1" si="228"/>
        <v>1.9687123944047953E-3</v>
      </c>
      <c r="ED687" s="290">
        <f t="shared" ca="1" si="229"/>
        <v>0.44794991648873828</v>
      </c>
      <c r="EF687" s="95">
        <f t="shared" si="281"/>
        <v>21</v>
      </c>
      <c r="EG687" s="339">
        <f t="shared" ca="1" si="282"/>
        <v>10139.816361628911</v>
      </c>
      <c r="EH687" s="341">
        <f t="shared" ca="1" si="310"/>
        <v>8629628.8425982315</v>
      </c>
      <c r="EJ687" s="308">
        <f t="shared" si="283"/>
        <v>21</v>
      </c>
      <c r="EK687" s="318">
        <f t="shared" ca="1" si="284"/>
        <v>10139.816361628911</v>
      </c>
      <c r="EL687" s="319">
        <f t="shared" ca="1" si="311"/>
        <v>5529496.9067421407</v>
      </c>
      <c r="EN687" s="95">
        <f t="shared" si="285"/>
        <v>21</v>
      </c>
      <c r="EO687" s="339">
        <f t="shared" ca="1" si="286"/>
        <v>10139.816361628911</v>
      </c>
      <c r="EP687" s="341">
        <f t="shared" ca="1" si="312"/>
        <v>8629628.8425982315</v>
      </c>
    </row>
    <row r="688" spans="1:208" s="266" customFormat="1" x14ac:dyDescent="0.25">
      <c r="A688" s="313">
        <v>22</v>
      </c>
      <c r="B688" s="314">
        <v>22</v>
      </c>
      <c r="C688" s="308">
        <f>VLOOKUP($B688,'Infant adult mortality'!$A$27:$I$128,3)</f>
        <v>3.1710000000000001E-4</v>
      </c>
      <c r="D688" s="309">
        <f t="shared" si="230"/>
        <v>0.27</v>
      </c>
      <c r="E688" s="309">
        <f>VLOOKUP($B688,'Infant pick up smoking rates'!$A$19:$I$104,3)</f>
        <v>2.6500909529550587E-2</v>
      </c>
      <c r="F688" s="309">
        <f t="shared" si="231"/>
        <v>1.8664189846333396E-3</v>
      </c>
      <c r="G688" s="309">
        <f t="shared" si="232"/>
        <v>0.70131557148581614</v>
      </c>
      <c r="H688" s="309">
        <f>VLOOKUP($B688,'Infant adult mortality'!$A$27:$I$128,3)</f>
        <v>3.1710000000000001E-4</v>
      </c>
      <c r="I688" s="309">
        <f t="shared" si="233"/>
        <v>0.14000000000000001</v>
      </c>
      <c r="J688" s="309">
        <f>VLOOKUP($B688,'Infant pick up smoking rates'!$A$19:$I$104,2)</f>
        <v>2.6500909529550587E-2</v>
      </c>
      <c r="K688" s="309">
        <f t="shared" si="234"/>
        <v>1.8664189846333396E-3</v>
      </c>
      <c r="L688" s="309">
        <f t="shared" si="235"/>
        <v>0.83131557148581614</v>
      </c>
      <c r="M688" s="309">
        <f>VLOOKUP($B688,'Infant adult mortality'!$A$27:$I$128,3)</f>
        <v>3.1710000000000001E-4</v>
      </c>
      <c r="N688" s="309">
        <f t="shared" si="236"/>
        <v>0.5714285714285714</v>
      </c>
      <c r="O688" s="309">
        <f>VLOOKUP($B688,'Infant pick up smoking rates'!$A$19:$I$104,2)</f>
        <v>2.6500909529550587E-2</v>
      </c>
      <c r="P688" s="309">
        <f t="shared" si="237"/>
        <v>1.1290682746547365E-3</v>
      </c>
      <c r="Q688" s="309">
        <f t="shared" si="238"/>
        <v>0.4006243507672233</v>
      </c>
      <c r="R688" s="309">
        <f>VLOOKUP($B688,'Infant adult mortality'!$A$27:$I$128,3)</f>
        <v>3.1710000000000001E-4</v>
      </c>
      <c r="S688" s="309">
        <f t="shared" si="239"/>
        <v>8.6261668788331098E-3</v>
      </c>
      <c r="T688" s="309">
        <f>VLOOKUP($B688,'Infant pick up smoking rates'!$A$19:$I$104,2)</f>
        <v>2.6500909529550587E-2</v>
      </c>
      <c r="U688" s="309">
        <f t="shared" si="240"/>
        <v>1.1290682746547365E-3</v>
      </c>
      <c r="V688" s="309">
        <f t="shared" si="241"/>
        <v>0.96342675531696165</v>
      </c>
      <c r="W688" s="309">
        <f>VLOOKUP($B688,'Infant adult mortality'!$A$27:$I$128,3)</f>
        <v>3.1710000000000001E-4</v>
      </c>
      <c r="X688" s="309">
        <f>VLOOKUP($B688,'Infant pick up smoking rates'!$A$19:$I$104,2)</f>
        <v>2.6500909529550587E-2</v>
      </c>
      <c r="Y688" s="309">
        <f t="shared" si="242"/>
        <v>0.97318199047044951</v>
      </c>
      <c r="Z688" s="309">
        <f>VLOOKUP($B688,'Infant adult mortality'!$A$27:$I$128,5)</f>
        <v>3.1710000000000001E-4</v>
      </c>
      <c r="AA688" s="309">
        <f t="shared" si="243"/>
        <v>0.25</v>
      </c>
      <c r="AB688" s="309">
        <f t="shared" si="244"/>
        <v>0.74968290000000004</v>
      </c>
      <c r="AC688" s="309">
        <f>VLOOKUP($B688,'Infant adult mortality'!$A$27:$I$128,5)</f>
        <v>3.1710000000000001E-4</v>
      </c>
      <c r="AD688" s="309">
        <f t="shared" si="245"/>
        <v>0.14000000000000001</v>
      </c>
      <c r="AE688" s="309">
        <f t="shared" si="246"/>
        <v>0.85968290000000003</v>
      </c>
      <c r="AF688" s="309">
        <f>VLOOKUP($B688,'Infant adult mortality'!$A$27:$I$128,4)</f>
        <v>3.1710000000000001E-4</v>
      </c>
      <c r="AG688" s="309">
        <f t="shared" si="247"/>
        <v>0.5714285714285714</v>
      </c>
      <c r="AH688" s="309">
        <f t="shared" si="248"/>
        <v>0.42825432857142859</v>
      </c>
      <c r="AI688" s="309">
        <f>VLOOKUP($B688,'Infant adult mortality'!$A$27:$I$128,4)</f>
        <v>3.1710000000000001E-4</v>
      </c>
      <c r="AJ688" s="309">
        <f t="shared" si="249"/>
        <v>8.6261668788331098E-3</v>
      </c>
      <c r="AK688" s="309">
        <f t="shared" si="250"/>
        <v>0.99105673312116693</v>
      </c>
      <c r="AL688" s="309"/>
      <c r="AM688" s="315">
        <f t="shared" si="287"/>
        <v>86.589217198037844</v>
      </c>
      <c r="AN688" s="316">
        <f t="shared" si="288"/>
        <v>24.370867963859169</v>
      </c>
      <c r="AO688" s="316">
        <f t="shared" si="289"/>
        <v>3.5825956514240218</v>
      </c>
      <c r="AP688" s="316">
        <f t="shared" si="290"/>
        <v>64.717599927770124</v>
      </c>
      <c r="AQ688" s="316">
        <f t="shared" si="291"/>
        <v>4.346719380412928</v>
      </c>
      <c r="AR688" s="316">
        <f t="shared" si="292"/>
        <v>196.93529563397973</v>
      </c>
      <c r="AS688" s="316">
        <f t="shared" si="293"/>
        <v>49.038911244791258</v>
      </c>
      <c r="AT688" s="316">
        <f t="shared" si="294"/>
        <v>6.8111029150582576</v>
      </c>
      <c r="AU688" s="316">
        <f t="shared" si="295"/>
        <v>16.032865883384996</v>
      </c>
      <c r="AV688" s="316">
        <f t="shared" si="296"/>
        <v>57.574824201281587</v>
      </c>
      <c r="AW688" s="317">
        <f t="shared" si="251"/>
        <v>509.99999999999989</v>
      </c>
      <c r="AX688" s="309"/>
      <c r="AY688" s="308">
        <f>VLOOKUP($B688,'Infant adult mortality'!$A$134:$I$234,3)</f>
        <v>1.337E-4</v>
      </c>
      <c r="AZ688" s="309">
        <f t="shared" si="252"/>
        <v>0.27</v>
      </c>
      <c r="BA688" s="309">
        <f ca="1">VLOOKUP($B688,'Infant pick up smoking rates'!$A$19:$I$104,7)</f>
        <v>3.2485004477810379E-2</v>
      </c>
      <c r="BB688" s="309">
        <f t="shared" si="253"/>
        <v>1.8664189846333396E-3</v>
      </c>
      <c r="BC688" s="309">
        <f t="shared" ca="1" si="254"/>
        <v>0.69551487653755628</v>
      </c>
      <c r="BD688" s="309">
        <f>VLOOKUP($B688,'Infant adult mortality'!$A$134:$I$234,3)</f>
        <v>1.337E-4</v>
      </c>
      <c r="BE688" s="309">
        <f t="shared" si="255"/>
        <v>0.14000000000000001</v>
      </c>
      <c r="BF688" s="309">
        <f>VLOOKUP($B688,'Infant pick up smoking rates'!$A$19:$I$104,6)</f>
        <v>1.5697620072600664E-2</v>
      </c>
      <c r="BG688" s="309">
        <f t="shared" si="256"/>
        <v>1.8664189846333396E-3</v>
      </c>
      <c r="BH688" s="309">
        <f t="shared" si="257"/>
        <v>0.84230226094276595</v>
      </c>
      <c r="BI688" s="309">
        <f>VLOOKUP($B688,'Infant adult mortality'!$A$134:$I$234,3)</f>
        <v>1.337E-4</v>
      </c>
      <c r="BJ688" s="309">
        <f t="shared" si="258"/>
        <v>0.5714285714285714</v>
      </c>
      <c r="BK688" s="309">
        <f>VLOOKUP($B688,'Infant pick up smoking rates'!$A$19:$I$104,6)</f>
        <v>1.5697620072600664E-2</v>
      </c>
      <c r="BL688" s="309">
        <f t="shared" si="259"/>
        <v>1.1290682746547365E-3</v>
      </c>
      <c r="BM688" s="309">
        <f t="shared" si="260"/>
        <v>0.41161104022417316</v>
      </c>
      <c r="BN688" s="309">
        <f>VLOOKUP($B688,'Infant adult mortality'!$A$134:$I$234,3)</f>
        <v>1.337E-4</v>
      </c>
      <c r="BO688" s="309">
        <f t="shared" si="261"/>
        <v>8.6261668788331098E-3</v>
      </c>
      <c r="BP688" s="309">
        <f>VLOOKUP($B688,'Infant pick up smoking rates'!$A$19:$I$104,6)</f>
        <v>1.5697620072600664E-2</v>
      </c>
      <c r="BQ688" s="309">
        <f t="shared" si="262"/>
        <v>1.1290682746547365E-3</v>
      </c>
      <c r="BR688" s="309">
        <f t="shared" si="263"/>
        <v>0.97441344477391145</v>
      </c>
      <c r="BS688" s="309">
        <f>VLOOKUP($B688,'Infant adult mortality'!$A$134:$I$234,3)</f>
        <v>1.337E-4</v>
      </c>
      <c r="BT688" s="309">
        <f>VLOOKUP($B688,'Infant pick up smoking rates'!$A$19:$I$104,6)</f>
        <v>1.5697620072600664E-2</v>
      </c>
      <c r="BU688" s="309">
        <f t="shared" si="264"/>
        <v>0.98416867992739931</v>
      </c>
      <c r="BV688" s="309">
        <f>VLOOKUP($B688,'Infant adult mortality'!$A$134:$I$234,5)</f>
        <v>1.337E-4</v>
      </c>
      <c r="BW688" s="309">
        <f t="shared" si="265"/>
        <v>0.27</v>
      </c>
      <c r="BX688" s="309">
        <f t="shared" si="266"/>
        <v>0.72986629999999997</v>
      </c>
      <c r="BY688" s="309">
        <f>VLOOKUP($B688,'Infant adult mortality'!$A$134:$I$234,5)</f>
        <v>1.337E-4</v>
      </c>
      <c r="BZ688" s="309">
        <f t="shared" si="267"/>
        <v>0.14000000000000001</v>
      </c>
      <c r="CA688" s="309">
        <f t="shared" si="268"/>
        <v>0.85986629999999997</v>
      </c>
      <c r="CB688" s="309">
        <f>VLOOKUP($B688,'Infant adult mortality'!$A$134:$I$234,4)</f>
        <v>1.337E-4</v>
      </c>
      <c r="CC688" s="309">
        <f t="shared" si="269"/>
        <v>0.5714285714285714</v>
      </c>
      <c r="CD688" s="309">
        <f t="shared" si="270"/>
        <v>0.42843772857142859</v>
      </c>
      <c r="CE688" s="309">
        <f>VLOOKUP($B688,'Infant adult mortality'!$A$134:$I$234,4)</f>
        <v>1.337E-4</v>
      </c>
      <c r="CF688" s="309">
        <f t="shared" si="271"/>
        <v>8.6261668788331098E-3</v>
      </c>
      <c r="CG688" s="309">
        <f t="shared" si="272"/>
        <v>0.99124013312116688</v>
      </c>
      <c r="CH688" s="309"/>
      <c r="CI688" s="315">
        <f t="shared" ca="1" si="297"/>
        <v>121.12284167737006</v>
      </c>
      <c r="CJ688" s="316">
        <f t="shared" ca="1" si="298"/>
        <v>34.194826963557482</v>
      </c>
      <c r="CK688" s="316">
        <f t="shared" ca="1" si="299"/>
        <v>5.0242003328134661</v>
      </c>
      <c r="CL688" s="316">
        <f t="shared" ca="1" si="300"/>
        <v>79.532325669521157</v>
      </c>
      <c r="CM688" s="316">
        <f t="shared" ca="1" si="301"/>
        <v>5.4949813725551673</v>
      </c>
      <c r="CN688" s="316">
        <f t="shared" ca="1" si="302"/>
        <v>137.54049671635806</v>
      </c>
      <c r="CO688" s="316">
        <f t="shared" ca="1" si="303"/>
        <v>36.484986586338259</v>
      </c>
      <c r="CP688" s="316">
        <f t="shared" ca="1" si="304"/>
        <v>4.9882452861219173</v>
      </c>
      <c r="CQ688" s="316">
        <f t="shared" ca="1" si="305"/>
        <v>11.083222222698375</v>
      </c>
      <c r="CR688" s="316">
        <f t="shared" ca="1" si="306"/>
        <v>54.533873172666183</v>
      </c>
      <c r="CS688" s="317">
        <f t="shared" ca="1" si="273"/>
        <v>490.00000000000017</v>
      </c>
      <c r="CT688" s="309"/>
      <c r="CU688" s="309">
        <f t="shared" ca="1" si="274"/>
        <v>1000</v>
      </c>
      <c r="CV688" s="309" t="str">
        <f t="shared" ca="1" si="225"/>
        <v>OKAY</v>
      </c>
      <c r="CW688" s="309"/>
      <c r="CX688" s="315">
        <f>(SUM($AR688:$AS688))-((SUM($AR688:$AS688)*VLOOKUP($B688,Lifetime_morbidity_array!$A$30:$Y$48,4))+(SUM($AR688:$AS688)*VLOOKUP($B688,Lifetime_morbidity_array!$A$30:$Y$48,7))+(SUM($AR688:$AS688)*VLOOKUP($B688,Lifetime_morbidity_array!$A$30:$Y$48,10))+(SUM($AR688:$AS688)*VLOOKUP($B688,Lifetime_morbidity_array!$A$30:$Y$48,13)))</f>
        <v>245.64975123361054</v>
      </c>
      <c r="CY688" s="316">
        <f>(SUM($AT688:$AU688))-((SUM($AT688:$AU688)*(VLOOKUP($B688,Lifetime_morbidity_array!$A$30:$Y$48,3)))+(SUM($AT688:$AU688)*(VLOOKUP($B688,Lifetime_morbidity_array!$A$30:$Y$48,6)))+(SUM($AT688:$AU688)*(VLOOKUP($B688,Lifetime_morbidity_array!$A$30:$Y$48,9)))+(SUM($AT688:$AU688)*(VLOOKUP($B688,Lifetime_morbidity_array!$A$30:$Y$48,12))))</f>
        <v>22.813836148648079</v>
      </c>
      <c r="CZ688" s="316">
        <f>(SUM($AM688:$AQ688))-((SUM($AM688:$AQ688)*VLOOKUP($B688,Lifetime_morbidity_array!$A$30:$Y$48,2))+(SUM($AM688:$AQ688)*VLOOKUP($B688,Lifetime_morbidity_array!$A$30:$Y$48,5))+(SUM($AM688:$AQ688)*VLOOKUP($B688,Lifetime_morbidity_array!$A$30:$Y$48,8))+(SUM($AM688:$AQ688)*VLOOKUP($B688,Lifetime_morbidity_array!$A$30:$Y$48,11)))</f>
        <v>183.36481079427207</v>
      </c>
      <c r="DA688" s="316">
        <f>(SUM($AM688:$AQ688)*VLOOKUP($B688,Lifetime_morbidity_array!$A$30:$Y$48,2))+(SUM($AR688:$AS688)*VLOOKUP($B688,Lifetime_morbidity_array!$A$30:$Y$48,4))+(SUM($AT688:$AU688)*(VLOOKUP($B688,Lifetime_morbidity_array!$A$30:$Y$48,3)))</f>
        <v>0.45188155156124427</v>
      </c>
      <c r="DB688" s="316">
        <f>(SUM($AM688:$AQ688)*VLOOKUP($B688,Lifetime_morbidity_array!$A$30:$Y$48,5))+(SUM($AR688:$AS688)*VLOOKUP($B688,Lifetime_morbidity_array!$A$30:$Y$48,7))+(SUM($AT688:$AU688)*(VLOOKUP($B688,Lifetime_morbidity_array!$A$30:$Y$48,6)))</f>
        <v>0.13585641062619372</v>
      </c>
      <c r="DC688" s="316">
        <f>(SUM($AM688:$AQ688)*VLOOKUP($B688,Lifetime_morbidity_array!$A$30:$Y$48,8))+(SUM($AR688:$AS688)*VLOOKUP($B688,Lifetime_morbidity_array!$A$30:$Y$48,10))+(SUM($AT688:$AU688)*(VLOOKUP($B688,Lifetime_morbidity_array!$A$30:$Y$48,9)))</f>
        <v>9.0396600001753039E-3</v>
      </c>
      <c r="DD688" s="317">
        <f>(SUM($AM688:$AQ688)*VLOOKUP($B688,Lifetime_morbidity_array!$A$30:$Y$48,11))+(SUM($AR688:$AS688)*VLOOKUP($B688,Lifetime_morbidity_array!$A$30:$Y$48,13))+(SUM($AT688:$AU688)*(VLOOKUP($B688,Lifetime_morbidity_array!$A$30:$Y$48,12)))</f>
        <v>0</v>
      </c>
      <c r="DE688" s="309"/>
      <c r="DF688" s="315">
        <f ca="1">(SUM($CN688:$CO688))-((SUM($CN688:$CO688)*VLOOKUP($B688,Lifetime_morbidity_array!$A$6:$Y$24,4))+(SUM($CN688:$CO688)*VLOOKUP($B688,Lifetime_morbidity_array!$A$6:$Y$24,7))+(SUM($CN688:$CO688)*VLOOKUP($B688,Lifetime_morbidity_array!$A$6:$Y$24,10))+(SUM($CN688:$CO688)*VLOOKUP($B688,Lifetime_morbidity_array!$A$6:$Y$24,13)))</f>
        <v>173.47736546369185</v>
      </c>
      <c r="DG688" s="316">
        <f ca="1">(SUM($CP688:$CQ688))-(((SUM($CP688:$CQ688)*VLOOKUP($B688,Lifetime_morbidity_array!$A$6:$Y$24,3))+(SUM($CP688:$CQ688)*VLOOKUP($B688,Lifetime_morbidity_array!$A$6:$Y$24,6))+(SUM($CP688:$CQ688)*VLOOKUP($B688,Lifetime_morbidity_array!$A$6:$Y$24,9))+(SUM($CP688:$CQ688)*VLOOKUP($B688,Lifetime_morbidity_array!$A$6:$Y$24,12))))</f>
        <v>16.020848151968725</v>
      </c>
      <c r="DH688" s="316">
        <f ca="1">(SUM($CI688:$CM688))-((SUM($CI688:$CM688)*VLOOKUP($B688,Lifetime_morbidity_array!$A$6:$Y$24,2))+(SUM($CI688:$CM688)*VLOOKUP($B688,Lifetime_morbidity_array!$A$6:$Y$24,5))+(SUM($CI688:$CM688)*VLOOKUP($B688,Lifetime_morbidity_array!$A$6:$Y$24,8))+(SUM($CI688:$CM688)*VLOOKUP($B688,Lifetime_morbidity_array!$A$6:$Y$24,11)))</f>
        <v>244.59635114003655</v>
      </c>
      <c r="DI688" s="316">
        <f ca="1">(SUM($CI688:$CM688)*VLOOKUP($B688,Lifetime_morbidity_array!$A$6:$Y$24,2))+(SUM($CN688:$CO688)*VLOOKUP($B688,Lifetime_morbidity_array!$A$6:$Y$24,4))+(SUM($CP688:$CQ688)*VLOOKUP($B688,Lifetime_morbidity_array!$A$6:$Y$24,3))</f>
        <v>0.43591104069798908</v>
      </c>
      <c r="DJ688" s="316">
        <f ca="1">(SUM($CI688:$CM688)*VLOOKUP($B688,Lifetime_morbidity_array!$A$6:$Y$24,5))+(SUM($CN688:$CO688)*VLOOKUP($B688,Lifetime_morbidity_array!$A$6:$Y$24,7))+(SUM($CP688:$CQ688)*VLOOKUP($B688,Lifetime_morbidity_array!$A$6:$Y$24,6))</f>
        <v>5.6270830764148044E-2</v>
      </c>
      <c r="DK688" s="316">
        <f ca="1">(SUM($CI688:$CM688)*VLOOKUP($B688,Lifetime_morbidity_array!$A$6:$Y$24,8))+(SUM($CN688:$CO688)*VLOOKUP($B688,Lifetime_morbidity_array!$A$6:$Y$24,10))+(SUM($CP688:$CQ688)*VLOOKUP($B688,Lifetime_morbidity_array!$A$6:$Y$24,9))</f>
        <v>8.7046982643292619E-3</v>
      </c>
      <c r="DL688" s="317">
        <f ca="1">(SUM($CI688:$CM688)*VLOOKUP($B688,Lifetime_morbidity_array!$A$6:$Y$24,11))+(SUM($CN688:$CO688)*VLOOKUP($B688,Lifetime_morbidity_array!$A$6:$Y$24,13))+(SUM($CP688:$CQ688)*VLOOKUP($B688,Lifetime_morbidity_array!$A$6:$Y$24,12))</f>
        <v>0.87067550191038323</v>
      </c>
      <c r="DM688" s="309"/>
      <c r="DN688" s="308">
        <f t="shared" si="275"/>
        <v>22</v>
      </c>
      <c r="DO688" s="309">
        <f t="shared" ca="1" si="276"/>
        <v>416.55476466984078</v>
      </c>
      <c r="DP688" s="310">
        <f t="shared" ca="1" si="307"/>
        <v>13486.870959033886</v>
      </c>
      <c r="DQ688" s="309"/>
      <c r="DR688" s="308">
        <f t="shared" si="277"/>
        <v>22</v>
      </c>
      <c r="DS688" s="309">
        <f ca="1">((VLOOKUP($B688,'Mahawesran Tariff'!$A$21:$M$120,4)*'Comparator (DET)'!$CX688)+(VLOOKUP($B688,'Mahawesran Tariff'!$A$21:$M$120,3)*'Comparator (DET)'!$CY688)+(VLOOKUP($B688,'Mahawesran Tariff'!$A$21:$M$120,2)*'Comparator (DET)'!$CZ688)+(VLOOKUP($B688,'Mahawesran Tariff'!$A$21:$M$120,7)*'Comparator (DET)'!$DF688)+(VLOOKUP($B688,'Mahawesran Tariff'!$A$21:$M$120,6)*'Comparator (DET)'!$DG688)+(VLOOKUP($B688,'Mahawesran Tariff'!$A$21:$M$120,5)*'Comparator (DET)'!$DH688)+(DET_UTIL_chd*('Comparator (DET)'!$DA688+'Comparator (DET)'!$DI688))+(DET_UTIL_copd*('Comparator (DET)'!$DB688+'Comparator (DET)'!$DJ688))+(DET_UTIL_lc*('Comparator (DET)'!$DC688+'Comparator (DET)'!$DK688))+(DET_UTIL_stroke*('Comparator (DET)'!$DD688+'Comparator (DET)'!$DL688)))/((1+Discount_rate_QALYs)^$A688)</f>
        <v>428.924452279403</v>
      </c>
      <c r="DT688" s="310">
        <f t="shared" ca="1" si="308"/>
        <v>13457.0587286264</v>
      </c>
      <c r="DU688" s="309"/>
      <c r="DV688" s="308">
        <f t="shared" si="278"/>
        <v>22</v>
      </c>
      <c r="DW688" s="318">
        <f t="shared" ca="1" si="279"/>
        <v>9795.5253630958214</v>
      </c>
      <c r="DX688" s="319">
        <f t="shared" ca="1" si="309"/>
        <v>5539292.4321052367</v>
      </c>
      <c r="DZ688" s="95">
        <f t="shared" si="280"/>
        <v>22</v>
      </c>
      <c r="EA688" s="268">
        <f t="shared" ca="1" si="226"/>
        <v>0.88789130262605231</v>
      </c>
      <c r="EB688" s="268">
        <f t="shared" ca="1" si="227"/>
        <v>0.11210869737394777</v>
      </c>
      <c r="EC688" s="268">
        <f t="shared" ca="1" si="228"/>
        <v>1.9683396938244631E-3</v>
      </c>
      <c r="ED688" s="290">
        <f t="shared" ca="1" si="229"/>
        <v>0.45891512648873084</v>
      </c>
      <c r="EF688" s="95">
        <f t="shared" si="281"/>
        <v>22</v>
      </c>
      <c r="EG688" s="339">
        <f t="shared" ca="1" si="282"/>
        <v>9795.5253630958214</v>
      </c>
      <c r="EH688" s="341">
        <f t="shared" ca="1" si="310"/>
        <v>8639424.3679613266</v>
      </c>
      <c r="EJ688" s="308">
        <f t="shared" si="283"/>
        <v>22</v>
      </c>
      <c r="EK688" s="318">
        <f t="shared" ca="1" si="284"/>
        <v>9795.5253630958214</v>
      </c>
      <c r="EL688" s="319">
        <f t="shared" ca="1" si="311"/>
        <v>5539292.4321052367</v>
      </c>
      <c r="EN688" s="95">
        <f t="shared" si="285"/>
        <v>22</v>
      </c>
      <c r="EO688" s="339">
        <f t="shared" ca="1" si="286"/>
        <v>9795.5253630958214</v>
      </c>
      <c r="EP688" s="341">
        <f t="shared" ca="1" si="312"/>
        <v>8639424.3679613266</v>
      </c>
    </row>
    <row r="689" spans="1:146" s="266" customFormat="1" x14ac:dyDescent="0.25">
      <c r="A689" s="313">
        <v>23</v>
      </c>
      <c r="B689" s="314">
        <v>23</v>
      </c>
      <c r="C689" s="308">
        <f>VLOOKUP($B689,'Infant adult mortality'!$A$27:$I$128,3)</f>
        <v>3.1639999999999999E-4</v>
      </c>
      <c r="D689" s="309">
        <f t="shared" si="230"/>
        <v>0.27</v>
      </c>
      <c r="E689" s="309">
        <f>VLOOKUP($B689,'Infant pick up smoking rates'!$A$19:$I$104,3)</f>
        <v>2.6500909529550587E-2</v>
      </c>
      <c r="F689" s="309">
        <f t="shared" si="231"/>
        <v>2.1116572466693584E-3</v>
      </c>
      <c r="G689" s="309">
        <f t="shared" si="232"/>
        <v>0.70107103322377995</v>
      </c>
      <c r="H689" s="309">
        <f>VLOOKUP($B689,'Infant adult mortality'!$A$27:$I$128,3)</f>
        <v>3.1639999999999999E-4</v>
      </c>
      <c r="I689" s="309">
        <f t="shared" si="233"/>
        <v>0.14000000000000001</v>
      </c>
      <c r="J689" s="309">
        <f>VLOOKUP($B689,'Infant pick up smoking rates'!$A$19:$I$104,2)</f>
        <v>2.6500909529550587E-2</v>
      </c>
      <c r="K689" s="309">
        <f t="shared" si="234"/>
        <v>2.1116572466693584E-3</v>
      </c>
      <c r="L689" s="309">
        <f t="shared" si="235"/>
        <v>0.83107103322377995</v>
      </c>
      <c r="M689" s="309">
        <f>VLOOKUP($B689,'Infant adult mortality'!$A$27:$I$128,3)</f>
        <v>3.1639999999999999E-4</v>
      </c>
      <c r="N689" s="309">
        <f t="shared" si="236"/>
        <v>0.5714285714285714</v>
      </c>
      <c r="O689" s="309">
        <f>VLOOKUP($B689,'Infant pick up smoking rates'!$A$19:$I$104,2)</f>
        <v>2.6500909529550587E-2</v>
      </c>
      <c r="P689" s="309">
        <f t="shared" si="237"/>
        <v>1.2774222850222045E-3</v>
      </c>
      <c r="Q689" s="309">
        <f t="shared" si="238"/>
        <v>0.40047669675685582</v>
      </c>
      <c r="R689" s="309">
        <f>VLOOKUP($B689,'Infant adult mortality'!$A$27:$I$128,3)</f>
        <v>3.1639999999999999E-4</v>
      </c>
      <c r="S689" s="309">
        <f t="shared" si="239"/>
        <v>8.6261668788331098E-3</v>
      </c>
      <c r="T689" s="309">
        <f>VLOOKUP($B689,'Infant pick up smoking rates'!$A$19:$I$104,2)</f>
        <v>2.6500909529550587E-2</v>
      </c>
      <c r="U689" s="309">
        <f t="shared" si="240"/>
        <v>1.2774222850222045E-3</v>
      </c>
      <c r="V689" s="309">
        <f t="shared" si="241"/>
        <v>0.96327910130659411</v>
      </c>
      <c r="W689" s="309">
        <f>VLOOKUP($B689,'Infant adult mortality'!$A$27:$I$128,3)</f>
        <v>3.1639999999999999E-4</v>
      </c>
      <c r="X689" s="309">
        <f>VLOOKUP($B689,'Infant pick up smoking rates'!$A$19:$I$104,2)</f>
        <v>2.6500909529550587E-2</v>
      </c>
      <c r="Y689" s="309">
        <f t="shared" si="242"/>
        <v>0.97318269047044947</v>
      </c>
      <c r="Z689" s="309">
        <f>VLOOKUP($B689,'Infant adult mortality'!$A$27:$I$128,5)</f>
        <v>3.1639999999999999E-4</v>
      </c>
      <c r="AA689" s="309">
        <f t="shared" si="243"/>
        <v>0.25</v>
      </c>
      <c r="AB689" s="309">
        <f t="shared" si="244"/>
        <v>0.74968360000000001</v>
      </c>
      <c r="AC689" s="309">
        <f>VLOOKUP($B689,'Infant adult mortality'!$A$27:$I$128,5)</f>
        <v>3.1639999999999999E-4</v>
      </c>
      <c r="AD689" s="309">
        <f t="shared" si="245"/>
        <v>0.14000000000000001</v>
      </c>
      <c r="AE689" s="309">
        <f t="shared" si="246"/>
        <v>0.85968359999999999</v>
      </c>
      <c r="AF689" s="309">
        <f>VLOOKUP($B689,'Infant adult mortality'!$A$27:$I$128,4)</f>
        <v>3.1639999999999999E-4</v>
      </c>
      <c r="AG689" s="309">
        <f t="shared" si="247"/>
        <v>0.5714285714285714</v>
      </c>
      <c r="AH689" s="309">
        <f t="shared" si="248"/>
        <v>0.42825502857142861</v>
      </c>
      <c r="AI689" s="309">
        <f>VLOOKUP($B689,'Infant adult mortality'!$A$27:$I$128,4)</f>
        <v>3.1639999999999999E-4</v>
      </c>
      <c r="AJ689" s="309">
        <f t="shared" si="249"/>
        <v>8.6261668788331098E-3</v>
      </c>
      <c r="AK689" s="309">
        <f t="shared" si="250"/>
        <v>0.9910574331211669</v>
      </c>
      <c r="AL689" s="309"/>
      <c r="AM689" s="315">
        <f t="shared" si="287"/>
        <v>82.952125275623715</v>
      </c>
      <c r="AN689" s="316">
        <f t="shared" si="288"/>
        <v>23.379088643470219</v>
      </c>
      <c r="AO689" s="316">
        <f t="shared" si="289"/>
        <v>3.4119215149402842</v>
      </c>
      <c r="AP689" s="316">
        <f t="shared" si="290"/>
        <v>64.388309012241535</v>
      </c>
      <c r="AQ689" s="316">
        <f t="shared" si="291"/>
        <v>4.5517099211777055</v>
      </c>
      <c r="AR689" s="316">
        <f t="shared" si="292"/>
        <v>197.71805290630826</v>
      </c>
      <c r="AS689" s="316">
        <f t="shared" si="293"/>
        <v>49.233823908494934</v>
      </c>
      <c r="AT689" s="316">
        <f t="shared" si="294"/>
        <v>6.8654475742707763</v>
      </c>
      <c r="AU689" s="316">
        <f t="shared" si="295"/>
        <v>19.781549716568183</v>
      </c>
      <c r="AV689" s="316">
        <f t="shared" si="296"/>
        <v>57.7179715269043</v>
      </c>
      <c r="AW689" s="317">
        <f t="shared" si="251"/>
        <v>509.99999999999989</v>
      </c>
      <c r="AX689" s="309"/>
      <c r="AY689" s="308">
        <f>VLOOKUP($B689,'Infant adult mortality'!$A$134:$I$234,3)</f>
        <v>1.3779999999999999E-4</v>
      </c>
      <c r="AZ689" s="309">
        <f t="shared" si="252"/>
        <v>0.27</v>
      </c>
      <c r="BA689" s="309">
        <f ca="1">VLOOKUP($B689,'Infant pick up smoking rates'!$A$19:$I$104,7)</f>
        <v>3.2485004477810379E-2</v>
      </c>
      <c r="BB689" s="309">
        <f t="shared" si="253"/>
        <v>2.1116572466693584E-3</v>
      </c>
      <c r="BC689" s="309">
        <f t="shared" ca="1" si="254"/>
        <v>0.69526553827552029</v>
      </c>
      <c r="BD689" s="309">
        <f>VLOOKUP($B689,'Infant adult mortality'!$A$134:$I$234,3)</f>
        <v>1.3779999999999999E-4</v>
      </c>
      <c r="BE689" s="309">
        <f t="shared" si="255"/>
        <v>0.14000000000000001</v>
      </c>
      <c r="BF689" s="309">
        <f>VLOOKUP($B689,'Infant pick up smoking rates'!$A$19:$I$104,6)</f>
        <v>1.5697620072600664E-2</v>
      </c>
      <c r="BG689" s="309">
        <f t="shared" si="256"/>
        <v>2.1116572466693584E-3</v>
      </c>
      <c r="BH689" s="309">
        <f t="shared" si="257"/>
        <v>0.84205292268072995</v>
      </c>
      <c r="BI689" s="309">
        <f>VLOOKUP($B689,'Infant adult mortality'!$A$134:$I$234,3)</f>
        <v>1.3779999999999999E-4</v>
      </c>
      <c r="BJ689" s="309">
        <f t="shared" si="258"/>
        <v>0.5714285714285714</v>
      </c>
      <c r="BK689" s="309">
        <f>VLOOKUP($B689,'Infant pick up smoking rates'!$A$19:$I$104,6)</f>
        <v>1.5697620072600664E-2</v>
      </c>
      <c r="BL689" s="309">
        <f t="shared" si="259"/>
        <v>1.2774222850222045E-3</v>
      </c>
      <c r="BM689" s="309">
        <f t="shared" si="260"/>
        <v>0.41145858621380565</v>
      </c>
      <c r="BN689" s="309">
        <f>VLOOKUP($B689,'Infant adult mortality'!$A$134:$I$234,3)</f>
        <v>1.3779999999999999E-4</v>
      </c>
      <c r="BO689" s="309">
        <f t="shared" si="261"/>
        <v>8.6261668788331098E-3</v>
      </c>
      <c r="BP689" s="309">
        <f>VLOOKUP($B689,'Infant pick up smoking rates'!$A$19:$I$104,6)</f>
        <v>1.5697620072600664E-2</v>
      </c>
      <c r="BQ689" s="309">
        <f t="shared" si="262"/>
        <v>1.2774222850222045E-3</v>
      </c>
      <c r="BR689" s="309">
        <f t="shared" si="263"/>
        <v>0.974260990763544</v>
      </c>
      <c r="BS689" s="309">
        <f>VLOOKUP($B689,'Infant adult mortality'!$A$134:$I$234,3)</f>
        <v>1.3779999999999999E-4</v>
      </c>
      <c r="BT689" s="309">
        <f>VLOOKUP($B689,'Infant pick up smoking rates'!$A$19:$I$104,6)</f>
        <v>1.5697620072600664E-2</v>
      </c>
      <c r="BU689" s="309">
        <f t="shared" si="264"/>
        <v>0.98416457992739936</v>
      </c>
      <c r="BV689" s="309">
        <f>VLOOKUP($B689,'Infant adult mortality'!$A$134:$I$234,5)</f>
        <v>1.3779999999999999E-4</v>
      </c>
      <c r="BW689" s="309">
        <f t="shared" si="265"/>
        <v>0.27</v>
      </c>
      <c r="BX689" s="309">
        <f t="shared" si="266"/>
        <v>0.72986220000000002</v>
      </c>
      <c r="BY689" s="309">
        <f>VLOOKUP($B689,'Infant adult mortality'!$A$134:$I$234,5)</f>
        <v>1.3779999999999999E-4</v>
      </c>
      <c r="BZ689" s="309">
        <f t="shared" si="267"/>
        <v>0.14000000000000001</v>
      </c>
      <c r="CA689" s="309">
        <f t="shared" si="268"/>
        <v>0.85986220000000002</v>
      </c>
      <c r="CB689" s="309">
        <f>VLOOKUP($B689,'Infant adult mortality'!$A$134:$I$234,4)</f>
        <v>1.3779999999999999E-4</v>
      </c>
      <c r="CC689" s="309">
        <f t="shared" si="269"/>
        <v>0.5714285714285714</v>
      </c>
      <c r="CD689" s="309">
        <f t="shared" si="270"/>
        <v>0.42843362857142858</v>
      </c>
      <c r="CE689" s="309">
        <f>VLOOKUP($B689,'Infant adult mortality'!$A$134:$I$234,4)</f>
        <v>1.3779999999999999E-4</v>
      </c>
      <c r="CF689" s="309">
        <f t="shared" si="271"/>
        <v>8.6261668788331098E-3</v>
      </c>
      <c r="CG689" s="309">
        <f t="shared" si="272"/>
        <v>0.99123603312116693</v>
      </c>
      <c r="CH689" s="309"/>
      <c r="CI689" s="315">
        <f t="shared" ca="1" si="297"/>
        <v>115.75970118078409</v>
      </c>
      <c r="CJ689" s="316">
        <f t="shared" ca="1" si="298"/>
        <v>32.703167252889919</v>
      </c>
      <c r="CK689" s="316">
        <f t="shared" ca="1" si="299"/>
        <v>4.7872757748980481</v>
      </c>
      <c r="CL689" s="316">
        <f t="shared" ca="1" si="300"/>
        <v>80.356214023267086</v>
      </c>
      <c r="CM689" s="316">
        <f t="shared" ca="1" si="301"/>
        <v>5.8439581054104872</v>
      </c>
      <c r="CN689" s="316">
        <f t="shared" ca="1" si="302"/>
        <v>139.87545591429165</v>
      </c>
      <c r="CO689" s="316">
        <f t="shared" ca="1" si="303"/>
        <v>37.135934113416681</v>
      </c>
      <c r="CP689" s="316">
        <f t="shared" ca="1" si="304"/>
        <v>5.1078981220873567</v>
      </c>
      <c r="CQ689" s="316">
        <f t="shared" ca="1" si="305"/>
        <v>13.836515108011852</v>
      </c>
      <c r="CR689" s="316">
        <f t="shared" ca="1" si="306"/>
        <v>54.593880404942986</v>
      </c>
      <c r="CS689" s="317">
        <f t="shared" ca="1" si="273"/>
        <v>490.00000000000011</v>
      </c>
      <c r="CT689" s="309"/>
      <c r="CU689" s="309">
        <f t="shared" ca="1" si="274"/>
        <v>1000</v>
      </c>
      <c r="CV689" s="309" t="str">
        <f t="shared" ca="1" si="225"/>
        <v>OKAY</v>
      </c>
      <c r="CW689" s="309"/>
      <c r="CX689" s="315">
        <f>(SUM($AR689:$AS689))-((SUM($AR689:$AS689)*VLOOKUP($B689,Lifetime_morbidity_array!$A$30:$Y$48,4))+(SUM($AR689:$AS689)*VLOOKUP($B689,Lifetime_morbidity_array!$A$30:$Y$48,7))+(SUM($AR689:$AS689)*VLOOKUP($B689,Lifetime_morbidity_array!$A$30:$Y$48,10))+(SUM($AR689:$AS689)*VLOOKUP($B689,Lifetime_morbidity_array!$A$30:$Y$48,13)))</f>
        <v>246.6261315607286</v>
      </c>
      <c r="CY689" s="316">
        <f>(SUM($AT689:$AU689))-((SUM($AT689:$AU689)*(VLOOKUP($B689,Lifetime_morbidity_array!$A$30:$Y$48,3)))+(SUM($AT689:$AU689)*(VLOOKUP($B689,Lifetime_morbidity_array!$A$30:$Y$48,6)))+(SUM($AT689:$AU689)*(VLOOKUP($B689,Lifetime_morbidity_array!$A$30:$Y$48,9)))+(SUM($AT689:$AU689)*(VLOOKUP($B689,Lifetime_morbidity_array!$A$30:$Y$48,12))))</f>
        <v>26.611848204244492</v>
      </c>
      <c r="CZ689" s="316">
        <f>(SUM($AM689:$AQ689))-((SUM($AM689:$AQ689)*VLOOKUP($B689,Lifetime_morbidity_array!$A$30:$Y$48,2))+(SUM($AM689:$AQ689)*VLOOKUP($B689,Lifetime_morbidity_array!$A$30:$Y$48,5))+(SUM($AM689:$AQ689)*VLOOKUP($B689,Lifetime_morbidity_array!$A$30:$Y$48,8))+(SUM($AM689:$AQ689)*VLOOKUP($B689,Lifetime_morbidity_array!$A$30:$Y$48,11)))</f>
        <v>178.44745990637458</v>
      </c>
      <c r="DA689" s="316">
        <f>(SUM($AM689:$AQ689)*VLOOKUP($B689,Lifetime_morbidity_array!$A$30:$Y$48,2))+(SUM($AR689:$AS689)*VLOOKUP($B689,Lifetime_morbidity_array!$A$30:$Y$48,4))+(SUM($AT689:$AU689)*(VLOOKUP($B689,Lifetime_morbidity_array!$A$30:$Y$48,3)))</f>
        <v>0.4517385762383303</v>
      </c>
      <c r="DB689" s="316">
        <f>(SUM($AM689:$AQ689)*VLOOKUP($B689,Lifetime_morbidity_array!$A$30:$Y$48,5))+(SUM($AR689:$AS689)*VLOOKUP($B689,Lifetime_morbidity_array!$A$30:$Y$48,7))+(SUM($AT689:$AU689)*(VLOOKUP($B689,Lifetime_morbidity_array!$A$30:$Y$48,6)))</f>
        <v>0.13581342565787158</v>
      </c>
      <c r="DC689" s="316">
        <f>(SUM($AM689:$AQ689)*VLOOKUP($B689,Lifetime_morbidity_array!$A$30:$Y$48,8))+(SUM($AR689:$AS689)*VLOOKUP($B689,Lifetime_morbidity_array!$A$30:$Y$48,10))+(SUM($AT689:$AU689)*(VLOOKUP($B689,Lifetime_morbidity_array!$A$30:$Y$48,9)))</f>
        <v>9.0367998517512475E-3</v>
      </c>
      <c r="DD689" s="317">
        <f>(SUM($AM689:$AQ689)*VLOOKUP($B689,Lifetime_morbidity_array!$A$30:$Y$48,11))+(SUM($AR689:$AS689)*VLOOKUP($B689,Lifetime_morbidity_array!$A$30:$Y$48,13))+(SUM($AT689:$AU689)*(VLOOKUP($B689,Lifetime_morbidity_array!$A$30:$Y$48,12)))</f>
        <v>0</v>
      </c>
      <c r="DE689" s="309"/>
      <c r="DF689" s="315">
        <f ca="1">(SUM($CN689:$CO689))-((SUM($CN689:$CO689)*VLOOKUP($B689,Lifetime_morbidity_array!$A$6:$Y$24,4))+(SUM($CN689:$CO689)*VLOOKUP($B689,Lifetime_morbidity_array!$A$6:$Y$24,7))+(SUM($CN689:$CO689)*VLOOKUP($B689,Lifetime_morbidity_array!$A$6:$Y$24,10))+(SUM($CN689:$CO689)*VLOOKUP($B689,Lifetime_morbidity_array!$A$6:$Y$24,13)))</f>
        <v>176.45386765374425</v>
      </c>
      <c r="DG689" s="316">
        <f ca="1">(SUM($CP689:$CQ689))-(((SUM($CP689:$CQ689)*VLOOKUP($B689,Lifetime_morbidity_array!$A$6:$Y$24,3))+(SUM($CP689:$CQ689)*VLOOKUP($B689,Lifetime_morbidity_array!$A$6:$Y$24,6))+(SUM($CP689:$CQ689)*VLOOKUP($B689,Lifetime_morbidity_array!$A$6:$Y$24,9))+(SUM($CP689:$CQ689)*VLOOKUP($B689,Lifetime_morbidity_array!$A$6:$Y$24,12))))</f>
        <v>18.884745124923896</v>
      </c>
      <c r="DH689" s="316">
        <f ca="1">(SUM($CI689:$CM689))-((SUM($CI689:$CM689)*VLOOKUP($B689,Lifetime_morbidity_array!$A$6:$Y$24,2))+(SUM($CI689:$CM689)*VLOOKUP($B689,Lifetime_morbidity_array!$A$6:$Y$24,5))+(SUM($CI689:$CM689)*VLOOKUP($B689,Lifetime_morbidity_array!$A$6:$Y$24,8))+(SUM($CI689:$CM689)*VLOOKUP($B689,Lifetime_morbidity_array!$A$6:$Y$24,11)))</f>
        <v>238.69613374600561</v>
      </c>
      <c r="DI689" s="316">
        <f ca="1">(SUM($CI689:$CM689)*VLOOKUP($B689,Lifetime_morbidity_array!$A$6:$Y$24,2))+(SUM($CN689:$CO689)*VLOOKUP($B689,Lifetime_morbidity_array!$A$6:$Y$24,4))+(SUM($CP689:$CQ689)*VLOOKUP($B689,Lifetime_morbidity_array!$A$6:$Y$24,3))</f>
        <v>0.43585097215658081</v>
      </c>
      <c r="DJ689" s="316">
        <f ca="1">(SUM($CI689:$CM689)*VLOOKUP($B689,Lifetime_morbidity_array!$A$6:$Y$24,5))+(SUM($CN689:$CO689)*VLOOKUP($B689,Lifetime_morbidity_array!$A$6:$Y$24,7))+(SUM($CP689:$CQ689)*VLOOKUP($B689,Lifetime_morbidity_array!$A$6:$Y$24,6))</f>
        <v>5.6263076643668739E-2</v>
      </c>
      <c r="DK689" s="316">
        <f ca="1">(SUM($CI689:$CM689)*VLOOKUP($B689,Lifetime_morbidity_array!$A$6:$Y$24,8))+(SUM($CN689:$CO689)*VLOOKUP($B689,Lifetime_morbidity_array!$A$6:$Y$24,10))+(SUM($CP689:$CQ689)*VLOOKUP($B689,Lifetime_morbidity_array!$A$6:$Y$24,9))</f>
        <v>8.7034987569084357E-3</v>
      </c>
      <c r="DL689" s="317">
        <f ca="1">(SUM($CI689:$CM689)*VLOOKUP($B689,Lifetime_morbidity_array!$A$6:$Y$24,11))+(SUM($CN689:$CO689)*VLOOKUP($B689,Lifetime_morbidity_array!$A$6:$Y$24,13))+(SUM($CP689:$CQ689)*VLOOKUP($B689,Lifetime_morbidity_array!$A$6:$Y$24,12))</f>
        <v>0.87055552282621995</v>
      </c>
      <c r="DM689" s="309"/>
      <c r="DN689" s="308">
        <f t="shared" si="275"/>
        <v>23</v>
      </c>
      <c r="DO689" s="309">
        <f t="shared" ca="1" si="276"/>
        <v>402.37628461918962</v>
      </c>
      <c r="DP689" s="310">
        <f t="shared" ca="1" si="307"/>
        <v>13889.247243653075</v>
      </c>
      <c r="DQ689" s="309"/>
      <c r="DR689" s="308">
        <f t="shared" si="277"/>
        <v>23</v>
      </c>
      <c r="DS689" s="309">
        <f ca="1">((VLOOKUP($B689,'Mahawesran Tariff'!$A$21:$M$120,4)*'Comparator (DET)'!$CX689)+(VLOOKUP($B689,'Mahawesran Tariff'!$A$21:$M$120,3)*'Comparator (DET)'!$CY689)+(VLOOKUP($B689,'Mahawesran Tariff'!$A$21:$M$120,2)*'Comparator (DET)'!$CZ689)+(VLOOKUP($B689,'Mahawesran Tariff'!$A$21:$M$120,7)*'Comparator (DET)'!$DF689)+(VLOOKUP($B689,'Mahawesran Tariff'!$A$21:$M$120,6)*'Comparator (DET)'!$DG689)+(VLOOKUP($B689,'Mahawesran Tariff'!$A$21:$M$120,5)*'Comparator (DET)'!$DH689)+(DET_UTIL_chd*('Comparator (DET)'!$DA689+'Comparator (DET)'!$DI689))+(DET_UTIL_copd*('Comparator (DET)'!$DB689+'Comparator (DET)'!$DJ689))+(DET_UTIL_lc*('Comparator (DET)'!$DC689+'Comparator (DET)'!$DK689))+(DET_UTIL_stroke*('Comparator (DET)'!$DD689+'Comparator (DET)'!$DL689)))/((1+Discount_rate_QALYs)^$A689)</f>
        <v>414.18235671455182</v>
      </c>
      <c r="DT689" s="310">
        <f t="shared" ca="1" si="308"/>
        <v>13871.241085340951</v>
      </c>
      <c r="DU689" s="309"/>
      <c r="DV689" s="308">
        <f t="shared" si="278"/>
        <v>23</v>
      </c>
      <c r="DW689" s="318">
        <f t="shared" ca="1" si="279"/>
        <v>9462.888002321215</v>
      </c>
      <c r="DX689" s="319">
        <f t="shared" ca="1" si="309"/>
        <v>5548755.3201075578</v>
      </c>
      <c r="DZ689" s="95">
        <f t="shared" si="280"/>
        <v>23</v>
      </c>
      <c r="EA689" s="268">
        <f t="shared" ca="1" si="226"/>
        <v>0.88768814806815266</v>
      </c>
      <c r="EB689" s="268">
        <f t="shared" ca="1" si="227"/>
        <v>0.11231185193184728</v>
      </c>
      <c r="EC689" s="268">
        <f t="shared" ca="1" si="228"/>
        <v>1.967961872131331E-3</v>
      </c>
      <c r="ED689" s="290">
        <f t="shared" ca="1" si="229"/>
        <v>0.46955467736344969</v>
      </c>
      <c r="EF689" s="95">
        <f t="shared" si="281"/>
        <v>23</v>
      </c>
      <c r="EG689" s="339">
        <f t="shared" ca="1" si="282"/>
        <v>9462.888002321215</v>
      </c>
      <c r="EH689" s="341">
        <f t="shared" ca="1" si="310"/>
        <v>8648887.2559636477</v>
      </c>
      <c r="EJ689" s="308">
        <f t="shared" si="283"/>
        <v>23</v>
      </c>
      <c r="EK689" s="318">
        <f t="shared" ca="1" si="284"/>
        <v>9462.888002321215</v>
      </c>
      <c r="EL689" s="319">
        <f t="shared" ca="1" si="311"/>
        <v>5548755.3201075578</v>
      </c>
      <c r="EN689" s="95">
        <f t="shared" si="285"/>
        <v>23</v>
      </c>
      <c r="EO689" s="339">
        <f t="shared" ca="1" si="286"/>
        <v>9462.888002321215</v>
      </c>
      <c r="EP689" s="341">
        <f t="shared" ca="1" si="312"/>
        <v>8648887.2559636477</v>
      </c>
    </row>
    <row r="690" spans="1:146" s="266" customFormat="1" x14ac:dyDescent="0.25">
      <c r="A690" s="313">
        <v>24</v>
      </c>
      <c r="B690" s="314">
        <v>24</v>
      </c>
      <c r="C690" s="308">
        <f>VLOOKUP($B690,'Infant adult mortality'!$A$27:$I$128,3)</f>
        <v>3.0719999999999999E-4</v>
      </c>
      <c r="D690" s="309">
        <f t="shared" si="230"/>
        <v>0.27</v>
      </c>
      <c r="E690" s="309">
        <f>VLOOKUP($B690,'Infant pick up smoking rates'!$A$19:$I$104,3)</f>
        <v>2.6500909529550587E-2</v>
      </c>
      <c r="F690" s="309">
        <f t="shared" si="231"/>
        <v>2.3070448122729107E-3</v>
      </c>
      <c r="G690" s="309">
        <f t="shared" si="232"/>
        <v>0.70088484565817644</v>
      </c>
      <c r="H690" s="309">
        <f>VLOOKUP($B690,'Infant adult mortality'!$A$27:$I$128,3)</f>
        <v>3.0719999999999999E-4</v>
      </c>
      <c r="I690" s="309">
        <f t="shared" si="233"/>
        <v>0.14000000000000001</v>
      </c>
      <c r="J690" s="309">
        <f>VLOOKUP($B690,'Infant pick up smoking rates'!$A$19:$I$104,2)</f>
        <v>2.6500909529550587E-2</v>
      </c>
      <c r="K690" s="309">
        <f t="shared" si="234"/>
        <v>2.3070448122729107E-3</v>
      </c>
      <c r="L690" s="309">
        <f t="shared" si="235"/>
        <v>0.83088484565817644</v>
      </c>
      <c r="M690" s="309">
        <f>VLOOKUP($B690,'Infant adult mortality'!$A$27:$I$128,3)</f>
        <v>3.0719999999999999E-4</v>
      </c>
      <c r="N690" s="309">
        <f t="shared" si="236"/>
        <v>0.5714285714285714</v>
      </c>
      <c r="O690" s="309">
        <f>VLOOKUP($B690,'Infant pick up smoking rates'!$A$19:$I$104,2)</f>
        <v>2.6500909529550587E-2</v>
      </c>
      <c r="P690" s="309">
        <f t="shared" si="237"/>
        <v>1.395619701251514E-3</v>
      </c>
      <c r="Q690" s="309">
        <f t="shared" si="238"/>
        <v>0.4003676993406266</v>
      </c>
      <c r="R690" s="309">
        <f>VLOOKUP($B690,'Infant adult mortality'!$A$27:$I$128,3)</f>
        <v>3.0719999999999999E-4</v>
      </c>
      <c r="S690" s="309">
        <f t="shared" si="239"/>
        <v>8.6261668788331098E-3</v>
      </c>
      <c r="T690" s="309">
        <f>VLOOKUP($B690,'Infant pick up smoking rates'!$A$19:$I$104,2)</f>
        <v>2.6500909529550587E-2</v>
      </c>
      <c r="U690" s="309">
        <f t="shared" si="240"/>
        <v>1.395619701251514E-3</v>
      </c>
      <c r="V690" s="309">
        <f t="shared" si="241"/>
        <v>0.96317010389036495</v>
      </c>
      <c r="W690" s="309">
        <f>VLOOKUP($B690,'Infant adult mortality'!$A$27:$I$128,3)</f>
        <v>3.0719999999999999E-4</v>
      </c>
      <c r="X690" s="309">
        <f>VLOOKUP($B690,'Infant pick up smoking rates'!$A$19:$I$104,2)</f>
        <v>2.6500909529550587E-2</v>
      </c>
      <c r="Y690" s="309">
        <f t="shared" si="242"/>
        <v>0.97319189047044952</v>
      </c>
      <c r="Z690" s="309">
        <f>VLOOKUP($B690,'Infant adult mortality'!$A$27:$I$128,5)</f>
        <v>3.0719999999999999E-4</v>
      </c>
      <c r="AA690" s="309">
        <f t="shared" si="243"/>
        <v>0.25</v>
      </c>
      <c r="AB690" s="309">
        <f t="shared" si="244"/>
        <v>0.74969280000000005</v>
      </c>
      <c r="AC690" s="309">
        <f>VLOOKUP($B690,'Infant adult mortality'!$A$27:$I$128,5)</f>
        <v>3.0719999999999999E-4</v>
      </c>
      <c r="AD690" s="309">
        <f t="shared" si="245"/>
        <v>0.14000000000000001</v>
      </c>
      <c r="AE690" s="309">
        <f t="shared" si="246"/>
        <v>0.85969280000000003</v>
      </c>
      <c r="AF690" s="309">
        <f>VLOOKUP($B690,'Infant adult mortality'!$A$27:$I$128,4)</f>
        <v>3.0719999999999999E-4</v>
      </c>
      <c r="AG690" s="309">
        <f t="shared" si="247"/>
        <v>0.5714285714285714</v>
      </c>
      <c r="AH690" s="309">
        <f t="shared" si="248"/>
        <v>0.4282642285714286</v>
      </c>
      <c r="AI690" s="309">
        <f>VLOOKUP($B690,'Infant adult mortality'!$A$27:$I$128,4)</f>
        <v>3.0719999999999999E-4</v>
      </c>
      <c r="AJ690" s="309">
        <f t="shared" si="249"/>
        <v>8.6261668788331098E-3</v>
      </c>
      <c r="AK690" s="309">
        <f t="shared" si="250"/>
        <v>0.99106663312116694</v>
      </c>
      <c r="AL690" s="309"/>
      <c r="AM690" s="315">
        <f t="shared" si="287"/>
        <v>79.486665445834717</v>
      </c>
      <c r="AN690" s="316">
        <f t="shared" si="288"/>
        <v>22.397073824418403</v>
      </c>
      <c r="AO690" s="316">
        <f t="shared" si="289"/>
        <v>3.2730724100858311</v>
      </c>
      <c r="AP690" s="316">
        <f t="shared" si="290"/>
        <v>63.966563717754333</v>
      </c>
      <c r="AQ690" s="316">
        <f t="shared" si="291"/>
        <v>4.7696213959918881</v>
      </c>
      <c r="AR690" s="316">
        <f t="shared" si="292"/>
        <v>198.39989529099563</v>
      </c>
      <c r="AS690" s="316">
        <f t="shared" si="293"/>
        <v>49.429513226577065</v>
      </c>
      <c r="AT690" s="316">
        <f t="shared" si="294"/>
        <v>6.8927353471892916</v>
      </c>
      <c r="AU690" s="316">
        <f t="shared" si="295"/>
        <v>23.527946775101505</v>
      </c>
      <c r="AV690" s="316">
        <f t="shared" si="296"/>
        <v>57.856912566051243</v>
      </c>
      <c r="AW690" s="317">
        <f t="shared" si="251"/>
        <v>509.99999999999983</v>
      </c>
      <c r="AX690" s="309"/>
      <c r="AY690" s="308">
        <f>VLOOKUP($B690,'Infant adult mortality'!$A$134:$I$234,3)</f>
        <v>1.4230000000000002E-4</v>
      </c>
      <c r="AZ690" s="309">
        <f t="shared" si="252"/>
        <v>0.27</v>
      </c>
      <c r="BA690" s="309">
        <f ca="1">VLOOKUP($B690,'Infant pick up smoking rates'!$A$19:$I$104,7)</f>
        <v>3.2485004477810379E-2</v>
      </c>
      <c r="BB690" s="309">
        <f t="shared" si="253"/>
        <v>2.3070448122729107E-3</v>
      </c>
      <c r="BC690" s="309">
        <f t="shared" ca="1" si="254"/>
        <v>0.69506565070991666</v>
      </c>
      <c r="BD690" s="309">
        <f>VLOOKUP($B690,'Infant adult mortality'!$A$134:$I$234,3)</f>
        <v>1.4230000000000002E-4</v>
      </c>
      <c r="BE690" s="309">
        <f t="shared" si="255"/>
        <v>0.14000000000000001</v>
      </c>
      <c r="BF690" s="309">
        <f>VLOOKUP($B690,'Infant pick up smoking rates'!$A$19:$I$104,6)</f>
        <v>1.5697620072600664E-2</v>
      </c>
      <c r="BG690" s="309">
        <f t="shared" si="256"/>
        <v>2.3070448122729107E-3</v>
      </c>
      <c r="BH690" s="309">
        <f t="shared" si="257"/>
        <v>0.84185303511512632</v>
      </c>
      <c r="BI690" s="309">
        <f>VLOOKUP($B690,'Infant adult mortality'!$A$134:$I$234,3)</f>
        <v>1.4230000000000002E-4</v>
      </c>
      <c r="BJ690" s="309">
        <f t="shared" si="258"/>
        <v>0.5714285714285714</v>
      </c>
      <c r="BK690" s="309">
        <f>VLOOKUP($B690,'Infant pick up smoking rates'!$A$19:$I$104,6)</f>
        <v>1.5697620072600664E-2</v>
      </c>
      <c r="BL690" s="309">
        <f t="shared" si="259"/>
        <v>1.395619701251514E-3</v>
      </c>
      <c r="BM690" s="309">
        <f t="shared" si="260"/>
        <v>0.41133588879757649</v>
      </c>
      <c r="BN690" s="309">
        <f>VLOOKUP($B690,'Infant adult mortality'!$A$134:$I$234,3)</f>
        <v>1.4230000000000002E-4</v>
      </c>
      <c r="BO690" s="309">
        <f t="shared" si="261"/>
        <v>8.6261668788331098E-3</v>
      </c>
      <c r="BP690" s="309">
        <f>VLOOKUP($B690,'Infant pick up smoking rates'!$A$19:$I$104,6)</f>
        <v>1.5697620072600664E-2</v>
      </c>
      <c r="BQ690" s="309">
        <f t="shared" si="262"/>
        <v>1.395619701251514E-3</v>
      </c>
      <c r="BR690" s="309">
        <f t="shared" si="263"/>
        <v>0.97413829334731472</v>
      </c>
      <c r="BS690" s="309">
        <f>VLOOKUP($B690,'Infant adult mortality'!$A$134:$I$234,3)</f>
        <v>1.4230000000000002E-4</v>
      </c>
      <c r="BT690" s="309">
        <f>VLOOKUP($B690,'Infant pick up smoking rates'!$A$19:$I$104,6)</f>
        <v>1.5697620072600664E-2</v>
      </c>
      <c r="BU690" s="309">
        <f t="shared" si="264"/>
        <v>0.98416007992739929</v>
      </c>
      <c r="BV690" s="309">
        <f>VLOOKUP($B690,'Infant adult mortality'!$A$134:$I$234,5)</f>
        <v>1.4230000000000002E-4</v>
      </c>
      <c r="BW690" s="309">
        <f t="shared" si="265"/>
        <v>0.27</v>
      </c>
      <c r="BX690" s="309">
        <f t="shared" si="266"/>
        <v>0.72985769999999994</v>
      </c>
      <c r="BY690" s="309">
        <f>VLOOKUP($B690,'Infant adult mortality'!$A$134:$I$234,5)</f>
        <v>1.4230000000000002E-4</v>
      </c>
      <c r="BZ690" s="309">
        <f t="shared" si="267"/>
        <v>0.14000000000000001</v>
      </c>
      <c r="CA690" s="309">
        <f t="shared" si="268"/>
        <v>0.85985769999999995</v>
      </c>
      <c r="CB690" s="309">
        <f>VLOOKUP($B690,'Infant adult mortality'!$A$134:$I$234,4)</f>
        <v>1.4230000000000002E-4</v>
      </c>
      <c r="CC690" s="309">
        <f t="shared" si="269"/>
        <v>0.5714285714285714</v>
      </c>
      <c r="CD690" s="309">
        <f t="shared" si="270"/>
        <v>0.42842912857142862</v>
      </c>
      <c r="CE690" s="309">
        <f>VLOOKUP($B690,'Infant adult mortality'!$A$134:$I$234,4)</f>
        <v>1.4230000000000002E-4</v>
      </c>
      <c r="CF690" s="309">
        <f t="shared" si="271"/>
        <v>8.6261668788331098E-3</v>
      </c>
      <c r="CG690" s="309">
        <f t="shared" si="272"/>
        <v>0.99123153312116685</v>
      </c>
      <c r="CH690" s="309"/>
      <c r="CI690" s="315">
        <f t="shared" ca="1" si="297"/>
        <v>110.65419708463291</v>
      </c>
      <c r="CJ690" s="316">
        <f t="shared" ca="1" si="298"/>
        <v>31.255119318811708</v>
      </c>
      <c r="CK690" s="316">
        <f t="shared" ca="1" si="299"/>
        <v>4.578443415404589</v>
      </c>
      <c r="CL690" s="316">
        <f t="shared" ca="1" si="300"/>
        <v>81.013651345561556</v>
      </c>
      <c r="CM690" s="316">
        <f t="shared" ca="1" si="301"/>
        <v>6.2127286983438479</v>
      </c>
      <c r="CN690" s="316">
        <f t="shared" ca="1" si="302"/>
        <v>142.03062855827127</v>
      </c>
      <c r="CO690" s="316">
        <f t="shared" ca="1" si="303"/>
        <v>37.76637309685875</v>
      </c>
      <c r="CP690" s="316">
        <f t="shared" ca="1" si="304"/>
        <v>5.1990307758783363</v>
      </c>
      <c r="CQ690" s="316">
        <f t="shared" ca="1" si="305"/>
        <v>16.633989010475837</v>
      </c>
      <c r="CR690" s="316">
        <f t="shared" ca="1" si="306"/>
        <v>54.655838695761368</v>
      </c>
      <c r="CS690" s="317">
        <f t="shared" ca="1" si="273"/>
        <v>490.00000000000017</v>
      </c>
      <c r="CT690" s="309"/>
      <c r="CU690" s="309">
        <f t="shared" ca="1" si="274"/>
        <v>1000</v>
      </c>
      <c r="CV690" s="309" t="str">
        <f t="shared" ca="1" si="225"/>
        <v>OKAY</v>
      </c>
      <c r="CW690" s="309"/>
      <c r="CX690" s="315">
        <f>(SUM($AR690:$AS690))-((SUM($AR690:$AS690)*VLOOKUP($B690,Lifetime_morbidity_array!$A$30:$Y$48,4))+(SUM($AR690:$AS690)*VLOOKUP($B690,Lifetime_morbidity_array!$A$30:$Y$48,7))+(SUM($AR690:$AS690)*VLOOKUP($B690,Lifetime_morbidity_array!$A$30:$Y$48,10))+(SUM($AR690:$AS690)*VLOOKUP($B690,Lifetime_morbidity_array!$A$30:$Y$48,13)))</f>
        <v>247.50250574329144</v>
      </c>
      <c r="CY690" s="316">
        <f>(SUM($AT690:$AU690))-((SUM($AT690:$AU690)*(VLOOKUP($B690,Lifetime_morbidity_array!$A$30:$Y$48,3)))+(SUM($AT690:$AU690)*(VLOOKUP($B690,Lifetime_morbidity_array!$A$30:$Y$48,6)))+(SUM($AT690:$AU690)*(VLOOKUP($B690,Lifetime_morbidity_array!$A$30:$Y$48,9)))+(SUM($AT690:$AU690)*(VLOOKUP($B690,Lifetime_morbidity_array!$A$30:$Y$48,12))))</f>
        <v>30.380555305054738</v>
      </c>
      <c r="CZ690" s="316">
        <f>(SUM($AM690:$AQ690))-((SUM($AM690:$AQ690)*VLOOKUP($B690,Lifetime_morbidity_array!$A$30:$Y$48,2))+(SUM($AM690:$AQ690)*VLOOKUP($B690,Lifetime_morbidity_array!$A$30:$Y$48,5))+(SUM($AM690:$AQ690)*VLOOKUP($B690,Lifetime_morbidity_array!$A$30:$Y$48,8))+(SUM($AM690:$AQ690)*VLOOKUP($B690,Lifetime_morbidity_array!$A$30:$Y$48,11)))</f>
        <v>173.66362085593443</v>
      </c>
      <c r="DA690" s="316">
        <f>(SUM($AM690:$AQ690)*VLOOKUP($B690,Lifetime_morbidity_array!$A$30:$Y$48,2))+(SUM($AR690:$AS690)*VLOOKUP($B690,Lifetime_morbidity_array!$A$30:$Y$48,4))+(SUM($AT690:$AU690)*(VLOOKUP($B690,Lifetime_morbidity_array!$A$30:$Y$48,3)))</f>
        <v>0.45159980214770989</v>
      </c>
      <c r="DB690" s="316">
        <f>(SUM($AM690:$AQ690)*VLOOKUP($B690,Lifetime_morbidity_array!$A$30:$Y$48,5))+(SUM($AR690:$AS690)*VLOOKUP($B690,Lifetime_morbidity_array!$A$30:$Y$48,7))+(SUM($AT690:$AU690)*(VLOOKUP($B690,Lifetime_morbidity_array!$A$30:$Y$48,6)))</f>
        <v>0.13577170377350947</v>
      </c>
      <c r="DC690" s="316">
        <f>(SUM($AM690:$AQ690)*VLOOKUP($B690,Lifetime_morbidity_array!$A$30:$Y$48,8))+(SUM($AR690:$AS690)*VLOOKUP($B690,Lifetime_morbidity_array!$A$30:$Y$48,10))+(SUM($AT690:$AU690)*(VLOOKUP($B690,Lifetime_morbidity_array!$A$30:$Y$48,9)))</f>
        <v>9.034023746836789E-3</v>
      </c>
      <c r="DD690" s="317">
        <f>(SUM($AM690:$AQ690)*VLOOKUP($B690,Lifetime_morbidity_array!$A$30:$Y$48,11))+(SUM($AR690:$AS690)*VLOOKUP($B690,Lifetime_morbidity_array!$A$30:$Y$48,13))+(SUM($AT690:$AU690)*(VLOOKUP($B690,Lifetime_morbidity_array!$A$30:$Y$48,12)))</f>
        <v>0</v>
      </c>
      <c r="DE690" s="309"/>
      <c r="DF690" s="315">
        <f ca="1">(SUM($CN690:$CO690))-((SUM($CN690:$CO690)*VLOOKUP($B690,Lifetime_morbidity_array!$A$6:$Y$24,4))+(SUM($CN690:$CO690)*VLOOKUP($B690,Lifetime_morbidity_array!$A$6:$Y$24,7))+(SUM($CN690:$CO690)*VLOOKUP($B690,Lifetime_morbidity_array!$A$6:$Y$24,10))+(SUM($CN690:$CO690)*VLOOKUP($B690,Lifetime_morbidity_array!$A$6:$Y$24,13)))</f>
        <v>179.23070560390585</v>
      </c>
      <c r="DG690" s="316">
        <f ca="1">(SUM($CP690:$CQ690))-(((SUM($CP690:$CQ690)*VLOOKUP($B690,Lifetime_morbidity_array!$A$6:$Y$24,3))+(SUM($CP690:$CQ690)*VLOOKUP($B690,Lifetime_morbidity_array!$A$6:$Y$24,6))+(SUM($CP690:$CQ690)*VLOOKUP($B690,Lifetime_morbidity_array!$A$6:$Y$24,9))+(SUM($CP690:$CQ690)*VLOOKUP($B690,Lifetime_morbidity_array!$A$6:$Y$24,12))))</f>
        <v>21.764253606843418</v>
      </c>
      <c r="DH690" s="316">
        <f ca="1">(SUM($CI690:$CM690))-((SUM($CI690:$CM690)*VLOOKUP($B690,Lifetime_morbidity_array!$A$6:$Y$24,2))+(SUM($CI690:$CM690)*VLOOKUP($B690,Lifetime_morbidity_array!$A$6:$Y$24,5))+(SUM($CI690:$CM690)*VLOOKUP($B690,Lifetime_morbidity_array!$A$6:$Y$24,8))+(SUM($CI690:$CM690)*VLOOKUP($B690,Lifetime_morbidity_array!$A$6:$Y$24,11)))</f>
        <v>232.97802416949409</v>
      </c>
      <c r="DI690" s="316">
        <f ca="1">(SUM($CI690:$CM690)*VLOOKUP($B690,Lifetime_morbidity_array!$A$6:$Y$24,2))+(SUM($CN690:$CO690)*VLOOKUP($B690,Lifetime_morbidity_array!$A$6:$Y$24,4))+(SUM($CP690:$CQ690)*VLOOKUP($B690,Lifetime_morbidity_array!$A$6:$Y$24,3))</f>
        <v>0.43578895056324302</v>
      </c>
      <c r="DJ690" s="316">
        <f ca="1">(SUM($CI690:$CM690)*VLOOKUP($B690,Lifetime_morbidity_array!$A$6:$Y$24,5))+(SUM($CN690:$CO690)*VLOOKUP($B690,Lifetime_morbidity_array!$A$6:$Y$24,7))+(SUM($CP690:$CQ690)*VLOOKUP($B690,Lifetime_morbidity_array!$A$6:$Y$24,6))</f>
        <v>5.6255070407862352E-2</v>
      </c>
      <c r="DK690" s="316">
        <f ca="1">(SUM($CI690:$CM690)*VLOOKUP($B690,Lifetime_morbidity_array!$A$6:$Y$24,8))+(SUM($CN690:$CO690)*VLOOKUP($B690,Lifetime_morbidity_array!$A$6:$Y$24,10))+(SUM($CP690:$CQ690)*VLOOKUP($B690,Lifetime_morbidity_array!$A$6:$Y$24,9))</f>
        <v>8.7022602490353304E-3</v>
      </c>
      <c r="DL690" s="317">
        <f ca="1">(SUM($CI690:$CM690)*VLOOKUP($B690,Lifetime_morbidity_array!$A$6:$Y$24,11))+(SUM($CN690:$CO690)*VLOOKUP($B690,Lifetime_morbidity_array!$A$6:$Y$24,13))+(SUM($CP690:$CQ690)*VLOOKUP($B690,Lifetime_morbidity_array!$A$6:$Y$24,12))</f>
        <v>0.87043164277532181</v>
      </c>
      <c r="DM690" s="309"/>
      <c r="DN690" s="308">
        <f t="shared" si="275"/>
        <v>24</v>
      </c>
      <c r="DO690" s="309">
        <f t="shared" ca="1" si="276"/>
        <v>388.68137182523708</v>
      </c>
      <c r="DP690" s="310">
        <f t="shared" ca="1" si="307"/>
        <v>14277.928615478313</v>
      </c>
      <c r="DQ690" s="309"/>
      <c r="DR690" s="308">
        <f t="shared" si="277"/>
        <v>24</v>
      </c>
      <c r="DS690" s="309">
        <f ca="1">((VLOOKUP($B690,'Mahawesran Tariff'!$A$21:$M$120,4)*'Comparator (DET)'!$CX690)+(VLOOKUP($B690,'Mahawesran Tariff'!$A$21:$M$120,3)*'Comparator (DET)'!$CY690)+(VLOOKUP($B690,'Mahawesran Tariff'!$A$21:$M$120,2)*'Comparator (DET)'!$CZ690)+(VLOOKUP($B690,'Mahawesran Tariff'!$A$21:$M$120,7)*'Comparator (DET)'!$DF690)+(VLOOKUP($B690,'Mahawesran Tariff'!$A$21:$M$120,6)*'Comparator (DET)'!$DG690)+(VLOOKUP($B690,'Mahawesran Tariff'!$A$21:$M$120,5)*'Comparator (DET)'!$DH690)+(DET_UTIL_chd*('Comparator (DET)'!$DA690+'Comparator (DET)'!$DI690))+(DET_UTIL_copd*('Comparator (DET)'!$DB690+'Comparator (DET)'!$DJ690))+(DET_UTIL_lc*('Comparator (DET)'!$DC690+'Comparator (DET)'!$DK690))+(DET_UTIL_stroke*('Comparator (DET)'!$DD690+'Comparator (DET)'!$DL690)))/((1+Discount_rate_QALYs)^$A690)</f>
        <v>399.95321242190596</v>
      </c>
      <c r="DT690" s="310">
        <f t="shared" ca="1" si="308"/>
        <v>14271.194297762857</v>
      </c>
      <c r="DU690" s="309"/>
      <c r="DV690" s="308">
        <f t="shared" si="278"/>
        <v>24</v>
      </c>
      <c r="DW690" s="318">
        <f t="shared" ca="1" si="279"/>
        <v>9141.5114317041371</v>
      </c>
      <c r="DX690" s="319">
        <f t="shared" ca="1" si="309"/>
        <v>5557896.8315392621</v>
      </c>
      <c r="DZ690" s="95">
        <f t="shared" si="280"/>
        <v>24</v>
      </c>
      <c r="EA690" s="268">
        <f t="shared" ca="1" si="226"/>
        <v>0.88748724873818741</v>
      </c>
      <c r="EB690" s="268">
        <f t="shared" ca="1" si="227"/>
        <v>0.11251275126181261</v>
      </c>
      <c r="EC690" s="268">
        <f t="shared" ca="1" si="228"/>
        <v>1.9675834536635188E-3</v>
      </c>
      <c r="ED690" s="290">
        <f t="shared" ca="1" si="229"/>
        <v>0.47988011208134773</v>
      </c>
      <c r="EF690" s="95">
        <f t="shared" si="281"/>
        <v>24</v>
      </c>
      <c r="EG690" s="339">
        <f t="shared" ca="1" si="282"/>
        <v>9141.5114317041371</v>
      </c>
      <c r="EH690" s="341">
        <f t="shared" ca="1" si="310"/>
        <v>8658028.7673953511</v>
      </c>
      <c r="EJ690" s="308">
        <f t="shared" si="283"/>
        <v>24</v>
      </c>
      <c r="EK690" s="318">
        <f t="shared" ca="1" si="284"/>
        <v>9141.5114317041371</v>
      </c>
      <c r="EL690" s="319">
        <f t="shared" ca="1" si="311"/>
        <v>5557896.8315392621</v>
      </c>
      <c r="EN690" s="95">
        <f t="shared" si="285"/>
        <v>24</v>
      </c>
      <c r="EO690" s="339">
        <f t="shared" ca="1" si="286"/>
        <v>9141.5114317041371</v>
      </c>
      <c r="EP690" s="341">
        <f t="shared" ca="1" si="312"/>
        <v>8658028.7673953511</v>
      </c>
    </row>
    <row r="691" spans="1:146" s="266" customFormat="1" x14ac:dyDescent="0.25">
      <c r="A691" s="313">
        <v>25</v>
      </c>
      <c r="B691" s="314">
        <v>25</v>
      </c>
      <c r="C691" s="308">
        <f>VLOOKUP($B691,'Infant adult mortality'!$A$27:$I$128,3)</f>
        <v>3.0219999999999997E-4</v>
      </c>
      <c r="D691" s="309">
        <f t="shared" si="230"/>
        <v>0.27</v>
      </c>
      <c r="E691" s="309">
        <f>VLOOKUP($B691,'Infant pick up smoking rates'!$A$19:$I$104,3)</f>
        <v>1.5201831243956284E-3</v>
      </c>
      <c r="F691" s="309">
        <f t="shared" si="231"/>
        <v>2.5178017763423494E-3</v>
      </c>
      <c r="G691" s="309">
        <f t="shared" si="232"/>
        <v>0.72565981509926203</v>
      </c>
      <c r="H691" s="309">
        <f>VLOOKUP($B691,'Infant adult mortality'!$A$27:$I$128,3)</f>
        <v>3.0219999999999997E-4</v>
      </c>
      <c r="I691" s="309">
        <f t="shared" si="233"/>
        <v>0.14000000000000001</v>
      </c>
      <c r="J691" s="309">
        <f>VLOOKUP($B691,'Infant pick up smoking rates'!$A$19:$I$104,2)</f>
        <v>1.5201831243956284E-3</v>
      </c>
      <c r="K691" s="309">
        <f t="shared" si="234"/>
        <v>2.5178017763423494E-3</v>
      </c>
      <c r="L691" s="309">
        <f t="shared" si="235"/>
        <v>0.85565981509926203</v>
      </c>
      <c r="M691" s="309">
        <f>VLOOKUP($B691,'Infant adult mortality'!$A$27:$I$128,3)</f>
        <v>3.0219999999999997E-4</v>
      </c>
      <c r="N691" s="309">
        <f t="shared" si="236"/>
        <v>0.5714285714285714</v>
      </c>
      <c r="O691" s="309">
        <f>VLOOKUP($B691,'Infant pick up smoking rates'!$A$19:$I$104,2)</f>
        <v>1.5201831243956284E-3</v>
      </c>
      <c r="P691" s="309">
        <f t="shared" si="237"/>
        <v>1.5231146548243845E-3</v>
      </c>
      <c r="Q691" s="309">
        <f t="shared" si="238"/>
        <v>0.42522593079220866</v>
      </c>
      <c r="R691" s="309">
        <f>VLOOKUP($B691,'Infant adult mortality'!$A$27:$I$128,3)</f>
        <v>3.0219999999999997E-4</v>
      </c>
      <c r="S691" s="309">
        <f t="shared" si="239"/>
        <v>8.6261668788331098E-3</v>
      </c>
      <c r="T691" s="309">
        <f>VLOOKUP($B691,'Infant pick up smoking rates'!$A$19:$I$104,2)</f>
        <v>1.5201831243956284E-3</v>
      </c>
      <c r="U691" s="309">
        <f t="shared" si="240"/>
        <v>1.5231146548243845E-3</v>
      </c>
      <c r="V691" s="309">
        <f t="shared" si="241"/>
        <v>0.9880283353419469</v>
      </c>
      <c r="W691" s="309">
        <f>VLOOKUP($B691,'Infant adult mortality'!$A$27:$I$128,3)</f>
        <v>3.0219999999999997E-4</v>
      </c>
      <c r="X691" s="309">
        <f>VLOOKUP($B691,'Infant pick up smoking rates'!$A$19:$I$104,2)</f>
        <v>1.5201831243956284E-3</v>
      </c>
      <c r="Y691" s="309">
        <f t="shared" si="242"/>
        <v>0.99817761687560436</v>
      </c>
      <c r="Z691" s="309">
        <f>VLOOKUP($B691,'Infant adult mortality'!$A$27:$I$128,5)</f>
        <v>3.0219999999999997E-4</v>
      </c>
      <c r="AA691" s="309">
        <f t="shared" si="243"/>
        <v>0.25</v>
      </c>
      <c r="AB691" s="309">
        <f t="shared" si="244"/>
        <v>0.74969779999999997</v>
      </c>
      <c r="AC691" s="309">
        <f>VLOOKUP($B691,'Infant adult mortality'!$A$27:$I$128,5)</f>
        <v>3.0219999999999997E-4</v>
      </c>
      <c r="AD691" s="309">
        <f t="shared" si="245"/>
        <v>0.14000000000000001</v>
      </c>
      <c r="AE691" s="309">
        <f t="shared" si="246"/>
        <v>0.85969779999999996</v>
      </c>
      <c r="AF691" s="309">
        <f>VLOOKUP($B691,'Infant adult mortality'!$A$27:$I$128,4)</f>
        <v>3.0219999999999997E-4</v>
      </c>
      <c r="AG691" s="309">
        <f t="shared" si="247"/>
        <v>0.5714285714285714</v>
      </c>
      <c r="AH691" s="309">
        <f t="shared" si="248"/>
        <v>0.42826922857142863</v>
      </c>
      <c r="AI691" s="309">
        <f>VLOOKUP($B691,'Infant adult mortality'!$A$27:$I$128,4)</f>
        <v>3.0219999999999997E-4</v>
      </c>
      <c r="AJ691" s="309">
        <f t="shared" si="249"/>
        <v>8.6261668788331098E-3</v>
      </c>
      <c r="AK691" s="309">
        <f t="shared" si="250"/>
        <v>0.99107163312116686</v>
      </c>
      <c r="AL691" s="309"/>
      <c r="AM691" s="315">
        <f t="shared" si="287"/>
        <v>78.788136513071606</v>
      </c>
      <c r="AN691" s="316">
        <f t="shared" si="288"/>
        <v>21.461399670375375</v>
      </c>
      <c r="AO691" s="316">
        <f t="shared" si="289"/>
        <v>3.1355903354185766</v>
      </c>
      <c r="AP691" s="316">
        <f t="shared" si="290"/>
        <v>65.07110455907501</v>
      </c>
      <c r="AQ691" s="316">
        <f t="shared" si="291"/>
        <v>5.1198660533364926</v>
      </c>
      <c r="AR691" s="316">
        <f t="shared" si="292"/>
        <v>194.65366044011202</v>
      </c>
      <c r="AS691" s="316">
        <f t="shared" si="293"/>
        <v>49.599973822748908</v>
      </c>
      <c r="AT691" s="316">
        <f t="shared" si="294"/>
        <v>6.9201318517207895</v>
      </c>
      <c r="AU691" s="316">
        <f t="shared" si="295"/>
        <v>27.256586547067336</v>
      </c>
      <c r="AV691" s="316">
        <f t="shared" si="296"/>
        <v>57.993550207073788</v>
      </c>
      <c r="AW691" s="317">
        <f t="shared" si="251"/>
        <v>509.99999999999989</v>
      </c>
      <c r="AX691" s="309"/>
      <c r="AY691" s="308">
        <f>VLOOKUP($B691,'Infant adult mortality'!$A$134:$I$234,3)</f>
        <v>1.482E-4</v>
      </c>
      <c r="AZ691" s="309">
        <f t="shared" si="252"/>
        <v>0.27</v>
      </c>
      <c r="BA691" s="309">
        <f ca="1">VLOOKUP($B691,'Infant pick up smoking rates'!$A$19:$I$104,7)</f>
        <v>3.9916955482353625E-3</v>
      </c>
      <c r="BB691" s="309">
        <f t="shared" si="253"/>
        <v>2.5178017763423494E-3</v>
      </c>
      <c r="BC691" s="309">
        <f t="shared" ca="1" si="254"/>
        <v>0.72334230267542232</v>
      </c>
      <c r="BD691" s="309">
        <f>VLOOKUP($B691,'Infant adult mortality'!$A$134:$I$234,3)</f>
        <v>1.482E-4</v>
      </c>
      <c r="BE691" s="309">
        <f t="shared" si="255"/>
        <v>0.14000000000000001</v>
      </c>
      <c r="BF691" s="309">
        <f>VLOOKUP($B691,'Infant pick up smoking rates'!$A$19:$I$104,6)</f>
        <v>1.9288936901483743E-3</v>
      </c>
      <c r="BG691" s="309">
        <f t="shared" si="256"/>
        <v>2.5178017763423494E-3</v>
      </c>
      <c r="BH691" s="309">
        <f t="shared" si="257"/>
        <v>0.85540510453350926</v>
      </c>
      <c r="BI691" s="309">
        <f>VLOOKUP($B691,'Infant adult mortality'!$A$134:$I$234,3)</f>
        <v>1.482E-4</v>
      </c>
      <c r="BJ691" s="309">
        <f t="shared" si="258"/>
        <v>0.5714285714285714</v>
      </c>
      <c r="BK691" s="309">
        <f>VLOOKUP($B691,'Infant pick up smoking rates'!$A$19:$I$104,6)</f>
        <v>1.9288936901483743E-3</v>
      </c>
      <c r="BL691" s="309">
        <f t="shared" si="259"/>
        <v>1.5231146548243845E-3</v>
      </c>
      <c r="BM691" s="309">
        <f t="shared" si="260"/>
        <v>0.42497122022645589</v>
      </c>
      <c r="BN691" s="309">
        <f>VLOOKUP($B691,'Infant adult mortality'!$A$134:$I$234,3)</f>
        <v>1.482E-4</v>
      </c>
      <c r="BO691" s="309">
        <f t="shared" si="261"/>
        <v>8.6261668788331098E-3</v>
      </c>
      <c r="BP691" s="309">
        <f>VLOOKUP($B691,'Infant pick up smoking rates'!$A$19:$I$104,6)</f>
        <v>1.9288936901483743E-3</v>
      </c>
      <c r="BQ691" s="309">
        <f t="shared" si="262"/>
        <v>1.5231146548243845E-3</v>
      </c>
      <c r="BR691" s="309">
        <f t="shared" si="263"/>
        <v>0.98777362477619413</v>
      </c>
      <c r="BS691" s="309">
        <f>VLOOKUP($B691,'Infant adult mortality'!$A$134:$I$234,3)</f>
        <v>1.482E-4</v>
      </c>
      <c r="BT691" s="309">
        <f>VLOOKUP($B691,'Infant pick up smoking rates'!$A$19:$I$104,6)</f>
        <v>1.9288936901483743E-3</v>
      </c>
      <c r="BU691" s="309">
        <f t="shared" si="264"/>
        <v>0.99792290630985159</v>
      </c>
      <c r="BV691" s="309">
        <f>VLOOKUP($B691,'Infant adult mortality'!$A$134:$I$234,5)</f>
        <v>1.482E-4</v>
      </c>
      <c r="BW691" s="309">
        <f t="shared" si="265"/>
        <v>0.27</v>
      </c>
      <c r="BX691" s="309">
        <f t="shared" si="266"/>
        <v>0.72985179999999994</v>
      </c>
      <c r="BY691" s="309">
        <f>VLOOKUP($B691,'Infant adult mortality'!$A$134:$I$234,5)</f>
        <v>1.482E-4</v>
      </c>
      <c r="BZ691" s="309">
        <f t="shared" si="267"/>
        <v>0.14000000000000001</v>
      </c>
      <c r="CA691" s="309">
        <f t="shared" si="268"/>
        <v>0.85985179999999994</v>
      </c>
      <c r="CB691" s="309">
        <f>VLOOKUP($B691,'Infant adult mortality'!$A$134:$I$234,4)</f>
        <v>1.482E-4</v>
      </c>
      <c r="CC691" s="309">
        <f t="shared" si="269"/>
        <v>0.5714285714285714</v>
      </c>
      <c r="CD691" s="309">
        <f t="shared" si="270"/>
        <v>0.42842322857142862</v>
      </c>
      <c r="CE691" s="309">
        <f>VLOOKUP($B691,'Infant adult mortality'!$A$134:$I$234,4)</f>
        <v>1.482E-4</v>
      </c>
      <c r="CF691" s="309">
        <f t="shared" si="271"/>
        <v>8.6261668788331098E-3</v>
      </c>
      <c r="CG691" s="309">
        <f t="shared" si="272"/>
        <v>0.99122563312116685</v>
      </c>
      <c r="CH691" s="309"/>
      <c r="CI691" s="315">
        <f t="shared" ca="1" si="297"/>
        <v>109.42119428896649</v>
      </c>
      <c r="CJ691" s="316">
        <f t="shared" ca="1" si="298"/>
        <v>29.876633212850887</v>
      </c>
      <c r="CK691" s="316">
        <f t="shared" ca="1" si="299"/>
        <v>4.3757167046336392</v>
      </c>
      <c r="CL691" s="316">
        <f t="shared" ca="1" si="300"/>
        <v>82.639401426191341</v>
      </c>
      <c r="CM691" s="316">
        <f t="shared" ca="1" si="301"/>
        <v>6.6874903815535802</v>
      </c>
      <c r="CN691" s="316">
        <f t="shared" ca="1" si="302"/>
        <v>139.18473432373133</v>
      </c>
      <c r="CO691" s="316">
        <f t="shared" ca="1" si="303"/>
        <v>38.348269710733248</v>
      </c>
      <c r="CP691" s="316">
        <f t="shared" ca="1" si="304"/>
        <v>5.2872922335602253</v>
      </c>
      <c r="CQ691" s="316">
        <f t="shared" ca="1" si="305"/>
        <v>19.458911017312776</v>
      </c>
      <c r="CR691" s="316">
        <f t="shared" ca="1" si="306"/>
        <v>54.720356700466652</v>
      </c>
      <c r="CS691" s="317">
        <f t="shared" ca="1" si="273"/>
        <v>490.00000000000017</v>
      </c>
      <c r="CT691" s="309"/>
      <c r="CU691" s="309">
        <f t="shared" ca="1" si="274"/>
        <v>1000</v>
      </c>
      <c r="CV691" s="309" t="str">
        <f t="shared" ca="1" si="225"/>
        <v>OKAY</v>
      </c>
      <c r="CW691" s="309"/>
      <c r="CX691" s="315">
        <f>(SUM($AR691:$AS691))-((SUM($AR691:$AS691)*VLOOKUP($B691,Lifetime_morbidity_array!$A$30:$Y$48,4))+(SUM($AR691:$AS691)*VLOOKUP($B691,Lifetime_morbidity_array!$A$30:$Y$48,7))+(SUM($AR691:$AS691)*VLOOKUP($B691,Lifetime_morbidity_array!$A$30:$Y$48,10))+(SUM($AR691:$AS691)*VLOOKUP($B691,Lifetime_morbidity_array!$A$30:$Y$48,13)))</f>
        <v>243.66166710547637</v>
      </c>
      <c r="CY691" s="316">
        <f>(SUM($AT691:$AU691))-((SUM($AT691:$AU691)*(VLOOKUP($B691,Lifetime_morbidity_array!$A$30:$Y$48,3)))+(SUM($AT691:$AU691)*(VLOOKUP($B691,Lifetime_morbidity_array!$A$30:$Y$48,6)))+(SUM($AT691:$AU691)*(VLOOKUP($B691,Lifetime_morbidity_array!$A$30:$Y$48,9)))+(SUM($AT691:$AU691)*(VLOOKUP($B691,Lifetime_morbidity_array!$A$30:$Y$48,12))))</f>
        <v>34.09388853670513</v>
      </c>
      <c r="CZ691" s="316">
        <f>(SUM($AM691:$AQ691))-((SUM($AM691:$AQ691)*VLOOKUP($B691,Lifetime_morbidity_array!$A$30:$Y$48,2))+(SUM($AM691:$AQ691)*VLOOKUP($B691,Lifetime_morbidity_array!$A$30:$Y$48,5))+(SUM($AM691:$AQ691)*VLOOKUP($B691,Lifetime_morbidity_array!$A$30:$Y$48,8))+(SUM($AM691:$AQ691)*VLOOKUP($B691,Lifetime_morbidity_array!$A$30:$Y$48,11)))</f>
        <v>173.15542233100723</v>
      </c>
      <c r="DA691" s="316">
        <f>(SUM($AM691:$AQ691)*VLOOKUP($B691,Lifetime_morbidity_array!$A$30:$Y$48,2))+(SUM($AR691:$AS691)*VLOOKUP($B691,Lifetime_morbidity_array!$A$30:$Y$48,4))+(SUM($AT691:$AU691)*(VLOOKUP($B691,Lifetime_morbidity_array!$A$30:$Y$48,3)))</f>
        <v>0.90560289403007588</v>
      </c>
      <c r="DB691" s="316">
        <f>(SUM($AM691:$AQ691)*VLOOKUP($B691,Lifetime_morbidity_array!$A$30:$Y$48,5))+(SUM($AR691:$AS691)*VLOOKUP($B691,Lifetime_morbidity_array!$A$30:$Y$48,7))+(SUM($AT691:$AU691)*(VLOOKUP($B691,Lifetime_morbidity_array!$A$30:$Y$48,6)))</f>
        <v>0.18083553305766323</v>
      </c>
      <c r="DC691" s="316">
        <f>(SUM($AM691:$AQ691)*VLOOKUP($B691,Lifetime_morbidity_array!$A$30:$Y$48,8))+(SUM($AR691:$AS691)*VLOOKUP($B691,Lifetime_morbidity_array!$A$30:$Y$48,10))+(SUM($AT691:$AU691)*(VLOOKUP($B691,Lifetime_morbidity_array!$A$30:$Y$48,9)))</f>
        <v>9.0333926496727595E-3</v>
      </c>
      <c r="DD691" s="317">
        <f>(SUM($AM691:$AQ691)*VLOOKUP($B691,Lifetime_morbidity_array!$A$30:$Y$48,11))+(SUM($AR691:$AS691)*VLOOKUP($B691,Lifetime_morbidity_array!$A$30:$Y$48,13))+(SUM($AT691:$AU691)*(VLOOKUP($B691,Lifetime_morbidity_array!$A$30:$Y$48,12)))</f>
        <v>0</v>
      </c>
      <c r="DE691" s="309"/>
      <c r="DF691" s="315">
        <f ca="1">(SUM($CN691:$CO691))-((SUM($CN691:$CO691)*VLOOKUP($B691,Lifetime_morbidity_array!$A$6:$Y$24,4))+(SUM($CN691:$CO691)*VLOOKUP($B691,Lifetime_morbidity_array!$A$6:$Y$24,7))+(SUM($CN691:$CO691)*VLOOKUP($B691,Lifetime_morbidity_array!$A$6:$Y$24,10))+(SUM($CN691:$CO691)*VLOOKUP($B691,Lifetime_morbidity_array!$A$6:$Y$24,13)))</f>
        <v>177.13913893939835</v>
      </c>
      <c r="DG691" s="316">
        <f ca="1">(SUM($CP691:$CQ691))-(((SUM($CP691:$CQ691)*VLOOKUP($B691,Lifetime_morbidity_array!$A$6:$Y$24,3))+(SUM($CP691:$CQ691)*VLOOKUP($B691,Lifetime_morbidity_array!$A$6:$Y$24,6))+(SUM($CP691:$CQ691)*VLOOKUP($B691,Lifetime_morbidity_array!$A$6:$Y$24,9))+(SUM($CP691:$CQ691)*VLOOKUP($B691,Lifetime_morbidity_array!$A$6:$Y$24,12))))</f>
        <v>24.691302666336952</v>
      </c>
      <c r="DH691" s="316">
        <f ca="1">(SUM($CI691:$CM691))-((SUM($CI691:$CM691)*VLOOKUP($B691,Lifetime_morbidity_array!$A$6:$Y$24,2))+(SUM($CI691:$CM691)*VLOOKUP($B691,Lifetime_morbidity_array!$A$6:$Y$24,5))+(SUM($CI691:$CM691)*VLOOKUP($B691,Lifetime_morbidity_array!$A$6:$Y$24,8))+(SUM($CI691:$CM691)*VLOOKUP($B691,Lifetime_morbidity_array!$A$6:$Y$24,11)))</f>
        <v>232.48351388256015</v>
      </c>
      <c r="DI691" s="316">
        <f ca="1">(SUM($CI691:$CM691)*VLOOKUP($B691,Lifetime_morbidity_array!$A$6:$Y$24,2))+(SUM($CN691:$CO691)*VLOOKUP($B691,Lifetime_morbidity_array!$A$6:$Y$24,4))+(SUM($CP691:$CQ691)*VLOOKUP($B691,Lifetime_morbidity_array!$A$6:$Y$24,3))</f>
        <v>0.43591175311754377</v>
      </c>
      <c r="DJ691" s="316">
        <f ca="1">(SUM($CI691:$CM691)*VLOOKUP($B691,Lifetime_morbidity_array!$A$6:$Y$24,5))+(SUM($CN691:$CO691)*VLOOKUP($B691,Lifetime_morbidity_array!$A$6:$Y$24,7))+(SUM($CP691:$CQ691)*VLOOKUP($B691,Lifetime_morbidity_array!$A$6:$Y$24,6))</f>
        <v>8.5396809949192479E-2</v>
      </c>
      <c r="DK691" s="316">
        <f ca="1">(SUM($CI691:$CM691)*VLOOKUP($B691,Lifetime_morbidity_array!$A$6:$Y$24,8))+(SUM($CN691:$CO691)*VLOOKUP($B691,Lifetime_morbidity_array!$A$6:$Y$24,10))+(SUM($CP691:$CQ691)*VLOOKUP($B691,Lifetime_morbidity_array!$A$6:$Y$24,9))</f>
        <v>8.7190591319151068E-3</v>
      </c>
      <c r="DL691" s="317">
        <f ca="1">(SUM($CI691:$CM691)*VLOOKUP($B691,Lifetime_morbidity_array!$A$6:$Y$24,11))+(SUM($CN691:$CO691)*VLOOKUP($B691,Lifetime_morbidity_array!$A$6:$Y$24,13))+(SUM($CP691:$CQ691)*VLOOKUP($B691,Lifetime_morbidity_array!$A$6:$Y$24,12))</f>
        <v>0.43566018903940429</v>
      </c>
      <c r="DM691" s="309"/>
      <c r="DN691" s="308">
        <f t="shared" si="275"/>
        <v>25</v>
      </c>
      <c r="DO691" s="309">
        <f t="shared" ca="1" si="276"/>
        <v>375.4524389132053</v>
      </c>
      <c r="DP691" s="310">
        <f t="shared" ca="1" si="307"/>
        <v>14653.381054391519</v>
      </c>
      <c r="DQ691" s="309"/>
      <c r="DR691" s="308">
        <f t="shared" si="277"/>
        <v>25</v>
      </c>
      <c r="DS691" s="309">
        <f ca="1">((VLOOKUP($B691,'Mahawesran Tariff'!$A$21:$M$120,4)*'Comparator (DET)'!$CX691)+(VLOOKUP($B691,'Mahawesran Tariff'!$A$21:$M$120,3)*'Comparator (DET)'!$CY691)+(VLOOKUP($B691,'Mahawesran Tariff'!$A$21:$M$120,2)*'Comparator (DET)'!$CZ691)+(VLOOKUP($B691,'Mahawesran Tariff'!$A$21:$M$120,7)*'Comparator (DET)'!$DF691)+(VLOOKUP($B691,'Mahawesran Tariff'!$A$21:$M$120,6)*'Comparator (DET)'!$DG691)+(VLOOKUP($B691,'Mahawesran Tariff'!$A$21:$M$120,5)*'Comparator (DET)'!$DH691)+(DET_UTIL_chd*('Comparator (DET)'!$DA691+'Comparator (DET)'!$DI691))+(DET_UTIL_copd*('Comparator (DET)'!$DB691+'Comparator (DET)'!$DJ691))+(DET_UTIL_lc*('Comparator (DET)'!$DC691+'Comparator (DET)'!$DK691))+(DET_UTIL_stroke*('Comparator (DET)'!$DD691+'Comparator (DET)'!$DL691)))/((1+Discount_rate_QALYs)^$A691)</f>
        <v>373.99889085987706</v>
      </c>
      <c r="DT691" s="310">
        <f t="shared" ca="1" si="308"/>
        <v>14645.193188622734</v>
      </c>
      <c r="DU691" s="309"/>
      <c r="DV691" s="308">
        <f t="shared" si="278"/>
        <v>25</v>
      </c>
      <c r="DW691" s="318">
        <f t="shared" ca="1" si="279"/>
        <v>5215.4725159244917</v>
      </c>
      <c r="DX691" s="319">
        <f t="shared" ca="1" si="309"/>
        <v>5563112.3040551869</v>
      </c>
      <c r="DZ691" s="95">
        <f t="shared" si="280"/>
        <v>25</v>
      </c>
      <c r="EA691" s="268">
        <f t="shared" ca="1" si="226"/>
        <v>0.88728609309245965</v>
      </c>
      <c r="EB691" s="268">
        <f t="shared" ca="1" si="227"/>
        <v>0.11271390690754043</v>
      </c>
      <c r="EC691" s="268">
        <f t="shared" ca="1" si="228"/>
        <v>2.0611596309754675E-3</v>
      </c>
      <c r="ED691" s="290">
        <f t="shared" ca="1" si="229"/>
        <v>0.48070955994698666</v>
      </c>
      <c r="EF691" s="95">
        <f t="shared" si="281"/>
        <v>25</v>
      </c>
      <c r="EG691" s="339">
        <f t="shared" ca="1" si="282"/>
        <v>5215.4725159244917</v>
      </c>
      <c r="EH691" s="341">
        <f t="shared" ca="1" si="310"/>
        <v>8663244.239911275</v>
      </c>
      <c r="EJ691" s="308">
        <f t="shared" si="283"/>
        <v>25</v>
      </c>
      <c r="EK691" s="318">
        <f t="shared" ca="1" si="284"/>
        <v>5215.4725159244917</v>
      </c>
      <c r="EL691" s="319">
        <f t="shared" ca="1" si="311"/>
        <v>5563112.3040551869</v>
      </c>
      <c r="EN691" s="95">
        <f t="shared" si="285"/>
        <v>25</v>
      </c>
      <c r="EO691" s="339">
        <f t="shared" ca="1" si="286"/>
        <v>5215.4725159244917</v>
      </c>
      <c r="EP691" s="341">
        <f t="shared" ca="1" si="312"/>
        <v>8663244.239911275</v>
      </c>
    </row>
    <row r="692" spans="1:146" s="266" customFormat="1" x14ac:dyDescent="0.25">
      <c r="A692" s="313">
        <v>26</v>
      </c>
      <c r="B692" s="314">
        <v>26</v>
      </c>
      <c r="C692" s="308">
        <f>VLOOKUP($B692,'Infant adult mortality'!$A$27:$I$128,3)</f>
        <v>3.0370000000000001E-4</v>
      </c>
      <c r="D692" s="309">
        <f t="shared" si="230"/>
        <v>0.27</v>
      </c>
      <c r="E692" s="309">
        <f>VLOOKUP($B692,'Infant pick up smoking rates'!$A$19:$I$104,3)</f>
        <v>1.5201831243956284E-3</v>
      </c>
      <c r="F692" s="309">
        <f t="shared" si="231"/>
        <v>2.7506318126766247E-3</v>
      </c>
      <c r="G692" s="309">
        <f t="shared" si="232"/>
        <v>0.7254254850629277</v>
      </c>
      <c r="H692" s="309">
        <f>VLOOKUP($B692,'Infant adult mortality'!$A$27:$I$128,3)</f>
        <v>3.0370000000000001E-4</v>
      </c>
      <c r="I692" s="309">
        <f t="shared" si="233"/>
        <v>0.14000000000000001</v>
      </c>
      <c r="J692" s="309">
        <f>VLOOKUP($B692,'Infant pick up smoking rates'!$A$19:$I$104,2)</f>
        <v>1.5201831243956284E-3</v>
      </c>
      <c r="K692" s="309">
        <f t="shared" si="234"/>
        <v>2.7506318126766247E-3</v>
      </c>
      <c r="L692" s="309">
        <f t="shared" si="235"/>
        <v>0.8554254850629277</v>
      </c>
      <c r="M692" s="309">
        <f>VLOOKUP($B692,'Infant adult mortality'!$A$27:$I$128,3)</f>
        <v>3.0370000000000001E-4</v>
      </c>
      <c r="N692" s="309">
        <f t="shared" si="236"/>
        <v>0.5714285714285714</v>
      </c>
      <c r="O692" s="309">
        <f>VLOOKUP($B692,'Infant pick up smoking rates'!$A$19:$I$104,2)</f>
        <v>1.5201831243956284E-3</v>
      </c>
      <c r="P692" s="309">
        <f t="shared" si="237"/>
        <v>1.6639624545821557E-3</v>
      </c>
      <c r="Q692" s="309">
        <f t="shared" si="238"/>
        <v>0.42508358299245086</v>
      </c>
      <c r="R692" s="309">
        <f>VLOOKUP($B692,'Infant adult mortality'!$A$27:$I$128,3)</f>
        <v>3.0370000000000001E-4</v>
      </c>
      <c r="S692" s="309">
        <f t="shared" si="239"/>
        <v>8.6261668788331098E-3</v>
      </c>
      <c r="T692" s="309">
        <f>VLOOKUP($B692,'Infant pick up smoking rates'!$A$19:$I$104,2)</f>
        <v>1.5201831243956284E-3</v>
      </c>
      <c r="U692" s="309">
        <f t="shared" si="240"/>
        <v>1.6639624545821557E-3</v>
      </c>
      <c r="V692" s="309">
        <f t="shared" si="241"/>
        <v>0.98788598754218915</v>
      </c>
      <c r="W692" s="309">
        <f>VLOOKUP($B692,'Infant adult mortality'!$A$27:$I$128,3)</f>
        <v>3.0370000000000001E-4</v>
      </c>
      <c r="X692" s="309">
        <f>VLOOKUP($B692,'Infant pick up smoking rates'!$A$19:$I$104,2)</f>
        <v>1.5201831243956284E-3</v>
      </c>
      <c r="Y692" s="309">
        <f t="shared" si="242"/>
        <v>0.99817611687560437</v>
      </c>
      <c r="Z692" s="309">
        <f>VLOOKUP($B692,'Infant adult mortality'!$A$27:$I$128,5)</f>
        <v>3.0370000000000001E-4</v>
      </c>
      <c r="AA692" s="309">
        <f t="shared" si="243"/>
        <v>0.25</v>
      </c>
      <c r="AB692" s="309">
        <f t="shared" si="244"/>
        <v>0.74969629999999998</v>
      </c>
      <c r="AC692" s="309">
        <f>VLOOKUP($B692,'Infant adult mortality'!$A$27:$I$128,5)</f>
        <v>3.0370000000000001E-4</v>
      </c>
      <c r="AD692" s="309">
        <f t="shared" si="245"/>
        <v>0.14000000000000001</v>
      </c>
      <c r="AE692" s="309">
        <f t="shared" si="246"/>
        <v>0.85969629999999997</v>
      </c>
      <c r="AF692" s="309">
        <f>VLOOKUP($B692,'Infant adult mortality'!$A$27:$I$128,4)</f>
        <v>3.0370000000000001E-4</v>
      </c>
      <c r="AG692" s="309">
        <f t="shared" si="247"/>
        <v>0.5714285714285714</v>
      </c>
      <c r="AH692" s="309">
        <f t="shared" si="248"/>
        <v>0.42826772857142859</v>
      </c>
      <c r="AI692" s="309">
        <f>VLOOKUP($B692,'Infant adult mortality'!$A$27:$I$128,4)</f>
        <v>3.0370000000000001E-4</v>
      </c>
      <c r="AJ692" s="309">
        <f t="shared" si="249"/>
        <v>8.6261668788331098E-3</v>
      </c>
      <c r="AK692" s="309">
        <f t="shared" si="250"/>
        <v>0.99107013312116687</v>
      </c>
      <c r="AL692" s="309"/>
      <c r="AM692" s="315">
        <f t="shared" si="287"/>
        <v>77.407752551852155</v>
      </c>
      <c r="AN692" s="316">
        <f t="shared" si="288"/>
        <v>21.272796858529336</v>
      </c>
      <c r="AO692" s="316">
        <f t="shared" si="289"/>
        <v>3.0045959538525526</v>
      </c>
      <c r="AP692" s="316">
        <f t="shared" si="290"/>
        <v>66.074598293756338</v>
      </c>
      <c r="AQ692" s="316">
        <f t="shared" si="291"/>
        <v>5.4997709589304895</v>
      </c>
      <c r="AR692" s="316">
        <f t="shared" si="292"/>
        <v>192.03469945623345</v>
      </c>
      <c r="AS692" s="316">
        <f t="shared" si="293"/>
        <v>48.663415110028005</v>
      </c>
      <c r="AT692" s="316">
        <f t="shared" si="294"/>
        <v>6.9439963351848482</v>
      </c>
      <c r="AU692" s="316">
        <f t="shared" si="295"/>
        <v>30.967549915756795</v>
      </c>
      <c r="AV692" s="316">
        <f t="shared" si="296"/>
        <v>58.130824565875898</v>
      </c>
      <c r="AW692" s="317">
        <f t="shared" si="251"/>
        <v>509.99999999999989</v>
      </c>
      <c r="AX692" s="309"/>
      <c r="AY692" s="308">
        <f>VLOOKUP($B692,'Infant adult mortality'!$A$134:$I$234,3)</f>
        <v>1.585E-4</v>
      </c>
      <c r="AZ692" s="309">
        <f t="shared" si="252"/>
        <v>0.27</v>
      </c>
      <c r="BA692" s="309">
        <f ca="1">VLOOKUP($B692,'Infant pick up smoking rates'!$A$19:$I$104,7)</f>
        <v>3.9916955482353625E-3</v>
      </c>
      <c r="BB692" s="309">
        <f t="shared" si="253"/>
        <v>2.7506318126766247E-3</v>
      </c>
      <c r="BC692" s="309">
        <f t="shared" ca="1" si="254"/>
        <v>0.72309917263908807</v>
      </c>
      <c r="BD692" s="309">
        <f>VLOOKUP($B692,'Infant adult mortality'!$A$134:$I$234,3)</f>
        <v>1.585E-4</v>
      </c>
      <c r="BE692" s="309">
        <f t="shared" si="255"/>
        <v>0.14000000000000001</v>
      </c>
      <c r="BF692" s="309">
        <f>VLOOKUP($B692,'Infant pick up smoking rates'!$A$19:$I$104,6)</f>
        <v>1.9288936901483743E-3</v>
      </c>
      <c r="BG692" s="309">
        <f t="shared" si="256"/>
        <v>2.7506318126766247E-3</v>
      </c>
      <c r="BH692" s="309">
        <f t="shared" si="257"/>
        <v>0.85516197449717501</v>
      </c>
      <c r="BI692" s="309">
        <f>VLOOKUP($B692,'Infant adult mortality'!$A$134:$I$234,3)</f>
        <v>1.585E-4</v>
      </c>
      <c r="BJ692" s="309">
        <f t="shared" si="258"/>
        <v>0.5714285714285714</v>
      </c>
      <c r="BK692" s="309">
        <f>VLOOKUP($B692,'Infant pick up smoking rates'!$A$19:$I$104,6)</f>
        <v>1.9288936901483743E-3</v>
      </c>
      <c r="BL692" s="309">
        <f t="shared" si="259"/>
        <v>1.6639624545821557E-3</v>
      </c>
      <c r="BM692" s="309">
        <f t="shared" si="260"/>
        <v>0.42482007242669811</v>
      </c>
      <c r="BN692" s="309">
        <f>VLOOKUP($B692,'Infant adult mortality'!$A$134:$I$234,3)</f>
        <v>1.585E-4</v>
      </c>
      <c r="BO692" s="309">
        <f t="shared" si="261"/>
        <v>8.6261668788331098E-3</v>
      </c>
      <c r="BP692" s="309">
        <f>VLOOKUP($B692,'Infant pick up smoking rates'!$A$19:$I$104,6)</f>
        <v>1.9288936901483743E-3</v>
      </c>
      <c r="BQ692" s="309">
        <f t="shared" si="262"/>
        <v>1.6639624545821557E-3</v>
      </c>
      <c r="BR692" s="309">
        <f t="shared" si="263"/>
        <v>0.98762247697643646</v>
      </c>
      <c r="BS692" s="309">
        <f>VLOOKUP($B692,'Infant adult mortality'!$A$134:$I$234,3)</f>
        <v>1.585E-4</v>
      </c>
      <c r="BT692" s="309">
        <f>VLOOKUP($B692,'Infant pick up smoking rates'!$A$19:$I$104,6)</f>
        <v>1.9288936901483743E-3</v>
      </c>
      <c r="BU692" s="309">
        <f t="shared" si="264"/>
        <v>0.99791260630985168</v>
      </c>
      <c r="BV692" s="309">
        <f>VLOOKUP($B692,'Infant adult mortality'!$A$134:$I$234,5)</f>
        <v>1.585E-4</v>
      </c>
      <c r="BW692" s="309">
        <f t="shared" si="265"/>
        <v>0.27</v>
      </c>
      <c r="BX692" s="309">
        <f t="shared" si="266"/>
        <v>0.72984150000000003</v>
      </c>
      <c r="BY692" s="309">
        <f>VLOOKUP($B692,'Infant adult mortality'!$A$134:$I$234,5)</f>
        <v>1.585E-4</v>
      </c>
      <c r="BZ692" s="309">
        <f t="shared" si="267"/>
        <v>0.14000000000000001</v>
      </c>
      <c r="CA692" s="309">
        <f t="shared" si="268"/>
        <v>0.85984150000000004</v>
      </c>
      <c r="CB692" s="309">
        <f>VLOOKUP($B692,'Infant adult mortality'!$A$134:$I$234,4)</f>
        <v>1.585E-4</v>
      </c>
      <c r="CC692" s="309">
        <f t="shared" si="269"/>
        <v>0.5714285714285714</v>
      </c>
      <c r="CD692" s="309">
        <f t="shared" si="270"/>
        <v>0.4284129285714286</v>
      </c>
      <c r="CE692" s="309">
        <f>VLOOKUP($B692,'Infant adult mortality'!$A$134:$I$234,4)</f>
        <v>1.585E-4</v>
      </c>
      <c r="CF692" s="309">
        <f t="shared" si="271"/>
        <v>8.6261668788331098E-3</v>
      </c>
      <c r="CG692" s="309">
        <f t="shared" si="272"/>
        <v>0.99121533312116694</v>
      </c>
      <c r="CH692" s="309"/>
      <c r="CI692" s="315">
        <f t="shared" ca="1" si="297"/>
        <v>107.24348926401241</v>
      </c>
      <c r="CJ692" s="316">
        <f t="shared" ca="1" si="298"/>
        <v>29.543722458020955</v>
      </c>
      <c r="CK692" s="316">
        <f t="shared" ca="1" si="299"/>
        <v>4.1827286497991247</v>
      </c>
      <c r="CL692" s="316">
        <f t="shared" ca="1" si="300"/>
        <v>84.11693987789009</v>
      </c>
      <c r="CM692" s="316">
        <f t="shared" ca="1" si="301"/>
        <v>7.2014778816421607</v>
      </c>
      <c r="CN692" s="316">
        <f t="shared" ca="1" si="302"/>
        <v>137.6643765038462</v>
      </c>
      <c r="CO692" s="316">
        <f t="shared" ca="1" si="303"/>
        <v>37.579878267407466</v>
      </c>
      <c r="CP692" s="316">
        <f t="shared" ca="1" si="304"/>
        <v>5.368757759502655</v>
      </c>
      <c r="CQ692" s="316">
        <f t="shared" ca="1" si="305"/>
        <v>22.309280813949528</v>
      </c>
      <c r="CR692" s="316">
        <f t="shared" ca="1" si="306"/>
        <v>54.789348523929633</v>
      </c>
      <c r="CS692" s="317">
        <f t="shared" ca="1" si="273"/>
        <v>490.00000000000028</v>
      </c>
      <c r="CT692" s="309"/>
      <c r="CU692" s="309">
        <f t="shared" ca="1" si="274"/>
        <v>1000.0000000000002</v>
      </c>
      <c r="CV692" s="309" t="str">
        <f t="shared" ca="1" si="225"/>
        <v>OKAY</v>
      </c>
      <c r="CW692" s="309"/>
      <c r="CX692" s="315">
        <f>(SUM($AR692:$AS692))-((SUM($AR692:$AS692)*VLOOKUP($B692,Lifetime_morbidity_array!$A$30:$Y$48,4))+(SUM($AR692:$AS692)*VLOOKUP($B692,Lifetime_morbidity_array!$A$30:$Y$48,7))+(SUM($AR692:$AS692)*VLOOKUP($B692,Lifetime_morbidity_array!$A$30:$Y$48,10))+(SUM($AR692:$AS692)*VLOOKUP($B692,Lifetime_morbidity_array!$A$30:$Y$48,13)))</f>
        <v>240.11476447979243</v>
      </c>
      <c r="CY692" s="316">
        <f>(SUM($AT692:$AU692))-((SUM($AT692:$AU692)*(VLOOKUP($B692,Lifetime_morbidity_array!$A$30:$Y$48,3)))+(SUM($AT692:$AU692)*(VLOOKUP($B692,Lifetime_morbidity_array!$A$30:$Y$48,6)))+(SUM($AT692:$AU692)*(VLOOKUP($B692,Lifetime_morbidity_array!$A$30:$Y$48,9)))+(SUM($AT692:$AU692)*(VLOOKUP($B692,Lifetime_morbidity_array!$A$30:$Y$48,12))))</f>
        <v>37.819664751065687</v>
      </c>
      <c r="CZ692" s="316">
        <f>(SUM($AM692:$AQ692))-((SUM($AM692:$AQ692)*VLOOKUP($B692,Lifetime_morbidity_array!$A$30:$Y$48,2))+(SUM($AM692:$AQ692)*VLOOKUP($B692,Lifetime_morbidity_array!$A$30:$Y$48,5))+(SUM($AM692:$AQ692)*VLOOKUP($B692,Lifetime_morbidity_array!$A$30:$Y$48,8))+(SUM($AM692:$AQ692)*VLOOKUP($B692,Lifetime_morbidity_array!$A$30:$Y$48,11)))</f>
        <v>172.83960707832011</v>
      </c>
      <c r="DA692" s="316">
        <f>(SUM($AM692:$AQ692)*VLOOKUP($B692,Lifetime_morbidity_array!$A$30:$Y$48,2))+(SUM($AR692:$AS692)*VLOOKUP($B692,Lifetime_morbidity_array!$A$30:$Y$48,4))+(SUM($AT692:$AU692)*(VLOOKUP($B692,Lifetime_morbidity_array!$A$30:$Y$48,3)))</f>
        <v>0.90532786243115881</v>
      </c>
      <c r="DB692" s="316">
        <f>(SUM($AM692:$AQ692)*VLOOKUP($B692,Lifetime_morbidity_array!$A$30:$Y$48,5))+(SUM($AR692:$AS692)*VLOOKUP($B692,Lifetime_morbidity_array!$A$30:$Y$48,7))+(SUM($AT692:$AU692)*(VLOOKUP($B692,Lifetime_morbidity_array!$A$30:$Y$48,6)))</f>
        <v>0.1807806133062736</v>
      </c>
      <c r="DC692" s="316">
        <f>(SUM($AM692:$AQ692)*VLOOKUP($B692,Lifetime_morbidity_array!$A$30:$Y$48,8))+(SUM($AR692:$AS692)*VLOOKUP($B692,Lifetime_morbidity_array!$A$30:$Y$48,10))+(SUM($AT692:$AU692)*(VLOOKUP($B692,Lifetime_morbidity_array!$A$30:$Y$48,9)))</f>
        <v>9.0306492083250534E-3</v>
      </c>
      <c r="DD692" s="317">
        <f>(SUM($AM692:$AQ692)*VLOOKUP($B692,Lifetime_morbidity_array!$A$30:$Y$48,11))+(SUM($AR692:$AS692)*VLOOKUP($B692,Lifetime_morbidity_array!$A$30:$Y$48,13))+(SUM($AT692:$AU692)*(VLOOKUP($B692,Lifetime_morbidity_array!$A$30:$Y$48,12)))</f>
        <v>0</v>
      </c>
      <c r="DE692" s="309"/>
      <c r="DF692" s="315">
        <f ca="1">(SUM($CN692:$CO692))-((SUM($CN692:$CO692)*VLOOKUP($B692,Lifetime_morbidity_array!$A$6:$Y$24,4))+(SUM($CN692:$CO692)*VLOOKUP($B692,Lifetime_morbidity_array!$A$6:$Y$24,7))+(SUM($CN692:$CO692)*VLOOKUP($B692,Lifetime_morbidity_array!$A$6:$Y$24,10))+(SUM($CN692:$CO692)*VLOOKUP($B692,Lifetime_morbidity_array!$A$6:$Y$24,13)))</f>
        <v>174.85546737118304</v>
      </c>
      <c r="DG692" s="316">
        <f ca="1">(SUM($CP692:$CQ692))-(((SUM($CP692:$CQ692)*VLOOKUP($B692,Lifetime_morbidity_array!$A$6:$Y$24,3))+(SUM($CP692:$CQ692)*VLOOKUP($B692,Lifetime_morbidity_array!$A$6:$Y$24,6))+(SUM($CP692:$CQ692)*VLOOKUP($B692,Lifetime_morbidity_array!$A$6:$Y$24,9))+(SUM($CP692:$CQ692)*VLOOKUP($B692,Lifetime_morbidity_array!$A$6:$Y$24,12))))</f>
        <v>27.616633578064043</v>
      </c>
      <c r="DH692" s="316">
        <f ca="1">(SUM($CI692:$CM692))-((SUM($CI692:$CM692)*VLOOKUP($B692,Lifetime_morbidity_array!$A$6:$Y$24,2))+(SUM($CI692:$CM692)*VLOOKUP($B692,Lifetime_morbidity_array!$A$6:$Y$24,5))+(SUM($CI692:$CM692)*VLOOKUP($B692,Lifetime_morbidity_array!$A$6:$Y$24,8))+(SUM($CI692:$CM692)*VLOOKUP($B692,Lifetime_morbidity_array!$A$6:$Y$24,11)))</f>
        <v>231.77301577710352</v>
      </c>
      <c r="DI692" s="316">
        <f ca="1">(SUM($CI692:$CM692)*VLOOKUP($B692,Lifetime_morbidity_array!$A$6:$Y$24,2))+(SUM($CN692:$CO692)*VLOOKUP($B692,Lifetime_morbidity_array!$A$6:$Y$24,4))+(SUM($CP692:$CQ692)*VLOOKUP($B692,Lifetime_morbidity_array!$A$6:$Y$24,3))</f>
        <v>0.43584266110467468</v>
      </c>
      <c r="DJ692" s="316">
        <f ca="1">(SUM($CI692:$CM692)*VLOOKUP($B692,Lifetime_morbidity_array!$A$6:$Y$24,5))+(SUM($CN692:$CO692)*VLOOKUP($B692,Lifetime_morbidity_array!$A$6:$Y$24,7))+(SUM($CP692:$CQ692)*VLOOKUP($B692,Lifetime_morbidity_array!$A$6:$Y$24,6))</f>
        <v>8.538327455481555E-2</v>
      </c>
      <c r="DK692" s="316">
        <f ca="1">(SUM($CI692:$CM692)*VLOOKUP($B692,Lifetime_morbidity_array!$A$6:$Y$24,8))+(SUM($CN692:$CO692)*VLOOKUP($B692,Lifetime_morbidity_array!$A$6:$Y$24,10))+(SUM($CP692:$CQ692)*VLOOKUP($B692,Lifetime_morbidity_array!$A$6:$Y$24,9))</f>
        <v>8.7176771610427018E-3</v>
      </c>
      <c r="DL692" s="317">
        <f ca="1">(SUM($CI692:$CM692)*VLOOKUP($B692,Lifetime_morbidity_array!$A$6:$Y$24,11))+(SUM($CN692:$CO692)*VLOOKUP($B692,Lifetime_morbidity_array!$A$6:$Y$24,13))+(SUM($CP692:$CQ692)*VLOOKUP($B692,Lifetime_morbidity_array!$A$6:$Y$24,12))</f>
        <v>0.43559113689944157</v>
      </c>
      <c r="DM692" s="309"/>
      <c r="DN692" s="308">
        <f t="shared" si="275"/>
        <v>26</v>
      </c>
      <c r="DO692" s="309">
        <f t="shared" ca="1" si="276"/>
        <v>362.6716502407649</v>
      </c>
      <c r="DP692" s="310">
        <f t="shared" ca="1" si="307"/>
        <v>15016.052704632284</v>
      </c>
      <c r="DQ692" s="309"/>
      <c r="DR692" s="308">
        <f t="shared" si="277"/>
        <v>26</v>
      </c>
      <c r="DS692" s="309">
        <f ca="1">((VLOOKUP($B692,'Mahawesran Tariff'!$A$21:$M$120,4)*'Comparator (DET)'!$CX692)+(VLOOKUP($B692,'Mahawesran Tariff'!$A$21:$M$120,3)*'Comparator (DET)'!$CY692)+(VLOOKUP($B692,'Mahawesran Tariff'!$A$21:$M$120,2)*'Comparator (DET)'!$CZ692)+(VLOOKUP($B692,'Mahawesran Tariff'!$A$21:$M$120,7)*'Comparator (DET)'!$DF692)+(VLOOKUP($B692,'Mahawesran Tariff'!$A$21:$M$120,6)*'Comparator (DET)'!$DG692)+(VLOOKUP($B692,'Mahawesran Tariff'!$A$21:$M$120,5)*'Comparator (DET)'!$DH692)+(DET_UTIL_chd*('Comparator (DET)'!$DA692+'Comparator (DET)'!$DI692))+(DET_UTIL_copd*('Comparator (DET)'!$DB692+'Comparator (DET)'!$DJ692))+(DET_UTIL_lc*('Comparator (DET)'!$DC692+'Comparator (DET)'!$DK692))+(DET_UTIL_stroke*('Comparator (DET)'!$DD692+'Comparator (DET)'!$DL692)))/((1+Discount_rate_QALYs)^$A692)</f>
        <v>361.29766638342005</v>
      </c>
      <c r="DT692" s="310">
        <f t="shared" ca="1" si="308"/>
        <v>15006.490855006154</v>
      </c>
      <c r="DU692" s="309"/>
      <c r="DV692" s="308">
        <f t="shared" si="278"/>
        <v>26</v>
      </c>
      <c r="DW692" s="318">
        <f t="shared" ca="1" si="279"/>
        <v>5038.1921581762535</v>
      </c>
      <c r="DX692" s="319">
        <f t="shared" ca="1" si="309"/>
        <v>5568150.4962133635</v>
      </c>
      <c r="DZ692" s="95">
        <f t="shared" si="280"/>
        <v>26</v>
      </c>
      <c r="EA692" s="268">
        <f t="shared" ca="1" si="226"/>
        <v>0.88707982691019471</v>
      </c>
      <c r="EB692" s="268">
        <f t="shared" ca="1" si="227"/>
        <v>0.11292017308980554</v>
      </c>
      <c r="EC692" s="268">
        <f t="shared" ca="1" si="228"/>
        <v>2.0606738746657316E-3</v>
      </c>
      <c r="ED692" s="290">
        <f t="shared" ca="1" si="229"/>
        <v>0.48153195416190897</v>
      </c>
      <c r="EF692" s="95">
        <f t="shared" si="281"/>
        <v>26</v>
      </c>
      <c r="EG692" s="339">
        <f t="shared" ca="1" si="282"/>
        <v>5038.1921581762535</v>
      </c>
      <c r="EH692" s="341">
        <f t="shared" ca="1" si="310"/>
        <v>8668282.4320694506</v>
      </c>
      <c r="EJ692" s="308">
        <f t="shared" si="283"/>
        <v>26</v>
      </c>
      <c r="EK692" s="318">
        <f t="shared" ca="1" si="284"/>
        <v>5038.1921581762535</v>
      </c>
      <c r="EL692" s="319">
        <f t="shared" ca="1" si="311"/>
        <v>5568150.4962133635</v>
      </c>
      <c r="EN692" s="95">
        <f t="shared" si="285"/>
        <v>26</v>
      </c>
      <c r="EO692" s="339">
        <f t="shared" ca="1" si="286"/>
        <v>5038.1921581762535</v>
      </c>
      <c r="EP692" s="341">
        <f t="shared" ca="1" si="312"/>
        <v>8668282.4320694506</v>
      </c>
    </row>
    <row r="693" spans="1:146" s="266" customFormat="1" x14ac:dyDescent="0.25">
      <c r="A693" s="313">
        <v>27</v>
      </c>
      <c r="B693" s="314">
        <v>27</v>
      </c>
      <c r="C693" s="308">
        <f>VLOOKUP($B693,'Infant adult mortality'!$A$27:$I$128,3)</f>
        <v>3.1419999999999999E-4</v>
      </c>
      <c r="D693" s="309">
        <f t="shared" si="230"/>
        <v>0.27</v>
      </c>
      <c r="E693" s="309">
        <f>VLOOKUP($B693,'Infant pick up smoking rates'!$A$19:$I$104,3)</f>
        <v>1.5201831243956284E-3</v>
      </c>
      <c r="F693" s="309">
        <f t="shared" si="231"/>
        <v>3.0021013322567625E-3</v>
      </c>
      <c r="G693" s="309">
        <f t="shared" si="232"/>
        <v>0.72516351554334757</v>
      </c>
      <c r="H693" s="309">
        <f>VLOOKUP($B693,'Infant adult mortality'!$A$27:$I$128,3)</f>
        <v>3.1419999999999999E-4</v>
      </c>
      <c r="I693" s="309">
        <f t="shared" si="233"/>
        <v>0.14000000000000001</v>
      </c>
      <c r="J693" s="309">
        <f>VLOOKUP($B693,'Infant pick up smoking rates'!$A$19:$I$104,2)</f>
        <v>1.5201831243956284E-3</v>
      </c>
      <c r="K693" s="309">
        <f t="shared" si="234"/>
        <v>3.0021013322567625E-3</v>
      </c>
      <c r="L693" s="309">
        <f t="shared" si="235"/>
        <v>0.85516351554334757</v>
      </c>
      <c r="M693" s="309">
        <f>VLOOKUP($B693,'Infant adult mortality'!$A$27:$I$128,3)</f>
        <v>3.1419999999999999E-4</v>
      </c>
      <c r="N693" s="309">
        <f t="shared" si="236"/>
        <v>0.5714285714285714</v>
      </c>
      <c r="O693" s="309">
        <f>VLOOKUP($B693,'Infant pick up smoking rates'!$A$19:$I$104,2)</f>
        <v>1.5201831243956284E-3</v>
      </c>
      <c r="P693" s="309">
        <f t="shared" si="237"/>
        <v>1.8160859911182888E-3</v>
      </c>
      <c r="Q693" s="309">
        <f t="shared" si="238"/>
        <v>0.42492095945591474</v>
      </c>
      <c r="R693" s="309">
        <f>VLOOKUP($B693,'Infant adult mortality'!$A$27:$I$128,3)</f>
        <v>3.1419999999999999E-4</v>
      </c>
      <c r="S693" s="309">
        <f t="shared" si="239"/>
        <v>8.6261668788331098E-3</v>
      </c>
      <c r="T693" s="309">
        <f>VLOOKUP($B693,'Infant pick up smoking rates'!$A$19:$I$104,2)</f>
        <v>1.5201831243956284E-3</v>
      </c>
      <c r="U693" s="309">
        <f t="shared" si="240"/>
        <v>1.8160859911182888E-3</v>
      </c>
      <c r="V693" s="309">
        <f t="shared" si="241"/>
        <v>0.98772336400565297</v>
      </c>
      <c r="W693" s="309">
        <f>VLOOKUP($B693,'Infant adult mortality'!$A$27:$I$128,3)</f>
        <v>3.1419999999999999E-4</v>
      </c>
      <c r="X693" s="309">
        <f>VLOOKUP($B693,'Infant pick up smoking rates'!$A$19:$I$104,2)</f>
        <v>1.5201831243956284E-3</v>
      </c>
      <c r="Y693" s="309">
        <f t="shared" si="242"/>
        <v>0.99816561687560434</v>
      </c>
      <c r="Z693" s="309">
        <f>VLOOKUP($B693,'Infant adult mortality'!$A$27:$I$128,5)</f>
        <v>3.1419999999999999E-4</v>
      </c>
      <c r="AA693" s="309">
        <f t="shared" si="243"/>
        <v>0.25</v>
      </c>
      <c r="AB693" s="309">
        <f t="shared" si="244"/>
        <v>0.74968579999999996</v>
      </c>
      <c r="AC693" s="309">
        <f>VLOOKUP($B693,'Infant adult mortality'!$A$27:$I$128,5)</f>
        <v>3.1419999999999999E-4</v>
      </c>
      <c r="AD693" s="309">
        <f t="shared" si="245"/>
        <v>0.14000000000000001</v>
      </c>
      <c r="AE693" s="309">
        <f t="shared" si="246"/>
        <v>0.85968579999999994</v>
      </c>
      <c r="AF693" s="309">
        <f>VLOOKUP($B693,'Infant adult mortality'!$A$27:$I$128,4)</f>
        <v>3.1419999999999999E-4</v>
      </c>
      <c r="AG693" s="309">
        <f t="shared" si="247"/>
        <v>0.5714285714285714</v>
      </c>
      <c r="AH693" s="309">
        <f t="shared" si="248"/>
        <v>0.42825722857142862</v>
      </c>
      <c r="AI693" s="309">
        <f>VLOOKUP($B693,'Infant adult mortality'!$A$27:$I$128,4)</f>
        <v>3.1419999999999999E-4</v>
      </c>
      <c r="AJ693" s="309">
        <f t="shared" si="249"/>
        <v>8.6261668788331098E-3</v>
      </c>
      <c r="AK693" s="309">
        <f t="shared" si="250"/>
        <v>0.99105963312116685</v>
      </c>
      <c r="AL693" s="309"/>
      <c r="AM693" s="315">
        <f t="shared" si="287"/>
        <v>76.171684024612262</v>
      </c>
      <c r="AN693" s="316">
        <f t="shared" si="288"/>
        <v>20.900093189000085</v>
      </c>
      <c r="AO693" s="316">
        <f t="shared" si="289"/>
        <v>2.9781915601941074</v>
      </c>
      <c r="AP693" s="316">
        <f t="shared" si="290"/>
        <v>66.980336475661218</v>
      </c>
      <c r="AQ693" s="316">
        <f t="shared" si="291"/>
        <v>5.9113850376989436</v>
      </c>
      <c r="AR693" s="316">
        <f t="shared" si="292"/>
        <v>189.30526830858236</v>
      </c>
      <c r="AS693" s="316">
        <f t="shared" si="293"/>
        <v>48.008674864058364</v>
      </c>
      <c r="AT693" s="316">
        <f t="shared" si="294"/>
        <v>6.8128781154039215</v>
      </c>
      <c r="AU693" s="316">
        <f t="shared" si="295"/>
        <v>34.65868656399126</v>
      </c>
      <c r="AV693" s="316">
        <f t="shared" si="296"/>
        <v>58.272801860797294</v>
      </c>
      <c r="AW693" s="317">
        <f t="shared" si="251"/>
        <v>509.99999999999983</v>
      </c>
      <c r="AX693" s="309"/>
      <c r="AY693" s="308">
        <f>VLOOKUP($B693,'Infant adult mortality'!$A$134:$I$234,3)</f>
        <v>1.7140000000000002E-4</v>
      </c>
      <c r="AZ693" s="309">
        <f t="shared" si="252"/>
        <v>0.27</v>
      </c>
      <c r="BA693" s="309">
        <f ca="1">VLOOKUP($B693,'Infant pick up smoking rates'!$A$19:$I$104,7)</f>
        <v>3.9916955482353625E-3</v>
      </c>
      <c r="BB693" s="309">
        <f t="shared" si="253"/>
        <v>3.0021013322567625E-3</v>
      </c>
      <c r="BC693" s="309">
        <f t="shared" ca="1" si="254"/>
        <v>0.72283480311950787</v>
      </c>
      <c r="BD693" s="309">
        <f>VLOOKUP($B693,'Infant adult mortality'!$A$134:$I$234,3)</f>
        <v>1.7140000000000002E-4</v>
      </c>
      <c r="BE693" s="309">
        <f t="shared" si="255"/>
        <v>0.14000000000000001</v>
      </c>
      <c r="BF693" s="309">
        <f>VLOOKUP($B693,'Infant pick up smoking rates'!$A$19:$I$104,6)</f>
        <v>1.9288936901483743E-3</v>
      </c>
      <c r="BG693" s="309">
        <f t="shared" si="256"/>
        <v>3.0021013322567625E-3</v>
      </c>
      <c r="BH693" s="309">
        <f t="shared" si="257"/>
        <v>0.85489760497759482</v>
      </c>
      <c r="BI693" s="309">
        <f>VLOOKUP($B693,'Infant adult mortality'!$A$134:$I$234,3)</f>
        <v>1.7140000000000002E-4</v>
      </c>
      <c r="BJ693" s="309">
        <f t="shared" si="258"/>
        <v>0.5714285714285714</v>
      </c>
      <c r="BK693" s="309">
        <f>VLOOKUP($B693,'Infant pick up smoking rates'!$A$19:$I$104,6)</f>
        <v>1.9288936901483743E-3</v>
      </c>
      <c r="BL693" s="309">
        <f t="shared" si="259"/>
        <v>1.8160859911182888E-3</v>
      </c>
      <c r="BM693" s="309">
        <f t="shared" si="260"/>
        <v>0.42465504889016198</v>
      </c>
      <c r="BN693" s="309">
        <f>VLOOKUP($B693,'Infant adult mortality'!$A$134:$I$234,3)</f>
        <v>1.7140000000000002E-4</v>
      </c>
      <c r="BO693" s="309">
        <f t="shared" si="261"/>
        <v>8.6261668788331098E-3</v>
      </c>
      <c r="BP693" s="309">
        <f>VLOOKUP($B693,'Infant pick up smoking rates'!$A$19:$I$104,6)</f>
        <v>1.9288936901483743E-3</v>
      </c>
      <c r="BQ693" s="309">
        <f t="shared" si="262"/>
        <v>1.8160859911182888E-3</v>
      </c>
      <c r="BR693" s="309">
        <f t="shared" si="263"/>
        <v>0.98745745343990021</v>
      </c>
      <c r="BS693" s="309">
        <f>VLOOKUP($B693,'Infant adult mortality'!$A$134:$I$234,3)</f>
        <v>1.7140000000000002E-4</v>
      </c>
      <c r="BT693" s="309">
        <f>VLOOKUP($B693,'Infant pick up smoking rates'!$A$19:$I$104,6)</f>
        <v>1.9288936901483743E-3</v>
      </c>
      <c r="BU693" s="309">
        <f t="shared" si="264"/>
        <v>0.99789970630985159</v>
      </c>
      <c r="BV693" s="309">
        <f>VLOOKUP($B693,'Infant adult mortality'!$A$134:$I$234,5)</f>
        <v>1.7140000000000002E-4</v>
      </c>
      <c r="BW693" s="309">
        <f t="shared" si="265"/>
        <v>0.27</v>
      </c>
      <c r="BX693" s="309">
        <f t="shared" si="266"/>
        <v>0.72982859999999994</v>
      </c>
      <c r="BY693" s="309">
        <f>VLOOKUP($B693,'Infant adult mortality'!$A$134:$I$234,5)</f>
        <v>1.7140000000000002E-4</v>
      </c>
      <c r="BZ693" s="309">
        <f t="shared" si="267"/>
        <v>0.14000000000000001</v>
      </c>
      <c r="CA693" s="309">
        <f t="shared" si="268"/>
        <v>0.85982859999999994</v>
      </c>
      <c r="CB693" s="309">
        <f>VLOOKUP($B693,'Infant adult mortality'!$A$134:$I$234,4)</f>
        <v>1.7140000000000002E-4</v>
      </c>
      <c r="CC693" s="309">
        <f t="shared" si="269"/>
        <v>0.5714285714285714</v>
      </c>
      <c r="CD693" s="309">
        <f t="shared" si="270"/>
        <v>0.42840002857142861</v>
      </c>
      <c r="CE693" s="309">
        <f>VLOOKUP($B693,'Infant adult mortality'!$A$134:$I$234,4)</f>
        <v>1.7140000000000002E-4</v>
      </c>
      <c r="CF693" s="309">
        <f t="shared" si="271"/>
        <v>8.6261668788331098E-3</v>
      </c>
      <c r="CG693" s="309">
        <f t="shared" si="272"/>
        <v>0.99120243312116685</v>
      </c>
      <c r="CH693" s="309"/>
      <c r="CI693" s="315">
        <f t="shared" ca="1" si="297"/>
        <v>105.27800761948454</v>
      </c>
      <c r="CJ693" s="316">
        <f t="shared" ca="1" si="298"/>
        <v>28.955742101283352</v>
      </c>
      <c r="CK693" s="316">
        <f t="shared" ca="1" si="299"/>
        <v>4.1361211441229342</v>
      </c>
      <c r="CL693" s="316">
        <f t="shared" ca="1" si="300"/>
        <v>85.452029900006607</v>
      </c>
      <c r="CM693" s="316">
        <f t="shared" ca="1" si="301"/>
        <v>7.7573615246675338</v>
      </c>
      <c r="CN693" s="316">
        <f t="shared" ca="1" si="302"/>
        <v>135.94535446653828</v>
      </c>
      <c r="CO693" s="316">
        <f t="shared" ca="1" si="303"/>
        <v>37.169381656038475</v>
      </c>
      <c r="CP693" s="316">
        <f t="shared" ca="1" si="304"/>
        <v>5.2611829574370459</v>
      </c>
      <c r="CQ693" s="316">
        <f t="shared" ca="1" si="305"/>
        <v>25.180875000828799</v>
      </c>
      <c r="CR693" s="316">
        <f t="shared" ca="1" si="306"/>
        <v>54.863943629592626</v>
      </c>
      <c r="CS693" s="317">
        <f t="shared" ca="1" si="273"/>
        <v>490.00000000000011</v>
      </c>
      <c r="CT693" s="309"/>
      <c r="CU693" s="309">
        <f t="shared" ca="1" si="274"/>
        <v>1000</v>
      </c>
      <c r="CV693" s="309" t="str">
        <f t="shared" ca="1" si="225"/>
        <v>OKAY</v>
      </c>
      <c r="CW693" s="309"/>
      <c r="CX693" s="315">
        <f>(SUM($AR693:$AS693))-((SUM($AR693:$AS693)*VLOOKUP($B693,Lifetime_morbidity_array!$A$30:$Y$48,4))+(SUM($AR693:$AS693)*VLOOKUP($B693,Lifetime_morbidity_array!$A$30:$Y$48,7))+(SUM($AR693:$AS693)*VLOOKUP($B693,Lifetime_morbidity_array!$A$30:$Y$48,10))+(SUM($AR693:$AS693)*VLOOKUP($B693,Lifetime_morbidity_array!$A$30:$Y$48,13)))</f>
        <v>236.73879488151459</v>
      </c>
      <c r="CY693" s="316">
        <f>(SUM($AT693:$AU693))-((SUM($AT693:$AU693)*(VLOOKUP($B693,Lifetime_morbidity_array!$A$30:$Y$48,3)))+(SUM($AT693:$AU693)*(VLOOKUP($B693,Lifetime_morbidity_array!$A$30:$Y$48,6)))+(SUM($AT693:$AU693)*(VLOOKUP($B693,Lifetime_morbidity_array!$A$30:$Y$48,9)))+(SUM($AT693:$AU693)*(VLOOKUP($B693,Lifetime_morbidity_array!$A$30:$Y$48,12))))</f>
        <v>41.371055205586771</v>
      </c>
      <c r="CZ693" s="316">
        <f>(SUM($AM693:$AQ693))-((SUM($AM693:$AQ693)*VLOOKUP($B693,Lifetime_morbidity_array!$A$30:$Y$48,2))+(SUM($AM693:$AQ693)*VLOOKUP($B693,Lifetime_morbidity_array!$A$30:$Y$48,5))+(SUM($AM693:$AQ693)*VLOOKUP($B693,Lifetime_morbidity_array!$A$30:$Y$48,8))+(SUM($AM693:$AQ693)*VLOOKUP($B693,Lifetime_morbidity_array!$A$30:$Y$48,11)))</f>
        <v>172.5225530198685</v>
      </c>
      <c r="DA693" s="316">
        <f>(SUM($AM693:$AQ693)*VLOOKUP($B693,Lifetime_morbidity_array!$A$30:$Y$48,2))+(SUM($AR693:$AS693)*VLOOKUP($B693,Lifetime_morbidity_array!$A$30:$Y$48,4))+(SUM($AT693:$AU693)*(VLOOKUP($B693,Lifetime_morbidity_array!$A$30:$Y$48,3)))</f>
        <v>0.90504340841678288</v>
      </c>
      <c r="DB693" s="316">
        <f>(SUM($AM693:$AQ693)*VLOOKUP($B693,Lifetime_morbidity_array!$A$30:$Y$48,5))+(SUM($AR693:$AS693)*VLOOKUP($B693,Lifetime_morbidity_array!$A$30:$Y$48,7))+(SUM($AT693:$AU693)*(VLOOKUP($B693,Lifetime_morbidity_array!$A$30:$Y$48,6)))</f>
        <v>0.18072381203757273</v>
      </c>
      <c r="DC693" s="316">
        <f>(SUM($AM693:$AQ693)*VLOOKUP($B693,Lifetime_morbidity_array!$A$30:$Y$48,8))+(SUM($AR693:$AS693)*VLOOKUP($B693,Lifetime_morbidity_array!$A$30:$Y$48,10))+(SUM($AT693:$AU693)*(VLOOKUP($B693,Lifetime_morbidity_array!$A$30:$Y$48,9)))</f>
        <v>9.0278117783437976E-3</v>
      </c>
      <c r="DD693" s="317">
        <f>(SUM($AM693:$AQ693)*VLOOKUP($B693,Lifetime_morbidity_array!$A$30:$Y$48,11))+(SUM($AR693:$AS693)*VLOOKUP($B693,Lifetime_morbidity_array!$A$30:$Y$48,13))+(SUM($AT693:$AU693)*(VLOOKUP($B693,Lifetime_morbidity_array!$A$30:$Y$48,12)))</f>
        <v>0</v>
      </c>
      <c r="DE693" s="309"/>
      <c r="DF693" s="315">
        <f ca="1">(SUM($CN693:$CO693))-((SUM($CN693:$CO693)*VLOOKUP($B693,Lifetime_morbidity_array!$A$6:$Y$24,4))+(SUM($CN693:$CO693)*VLOOKUP($B693,Lifetime_morbidity_array!$A$6:$Y$24,7))+(SUM($CN693:$CO693)*VLOOKUP($B693,Lifetime_morbidity_array!$A$6:$Y$24,10))+(SUM($CN693:$CO693)*VLOOKUP($B693,Lifetime_morbidity_array!$A$6:$Y$24,13)))</f>
        <v>172.73067315709542</v>
      </c>
      <c r="DG693" s="316">
        <f ca="1">(SUM($CP693:$CQ693))-(((SUM($CP693:$CQ693)*VLOOKUP($B693,Lifetime_morbidity_array!$A$6:$Y$24,3))+(SUM($CP693:$CQ693)*VLOOKUP($B693,Lifetime_morbidity_array!$A$6:$Y$24,6))+(SUM($CP693:$CQ693)*VLOOKUP($B693,Lifetime_morbidity_array!$A$6:$Y$24,9))+(SUM($CP693:$CQ693)*VLOOKUP($B693,Lifetime_morbidity_array!$A$6:$Y$24,12))))</f>
        <v>30.374520859364416</v>
      </c>
      <c r="DH693" s="316">
        <f ca="1">(SUM($CI693:$CM693))-((SUM($CI693:$CM693)*VLOOKUP($B693,Lifetime_morbidity_array!$A$6:$Y$24,2))+(SUM($CI693:$CM693)*VLOOKUP($B693,Lifetime_morbidity_array!$A$6:$Y$24,5))+(SUM($CI693:$CM693)*VLOOKUP($B693,Lifetime_morbidity_array!$A$6:$Y$24,8))+(SUM($CI693:$CM693)*VLOOKUP($B693,Lifetime_morbidity_array!$A$6:$Y$24,11)))</f>
        <v>231.06549309688384</v>
      </c>
      <c r="DI693" s="316">
        <f ca="1">(SUM($CI693:$CM693)*VLOOKUP($B693,Lifetime_morbidity_array!$A$6:$Y$24,2))+(SUM($CN693:$CO693)*VLOOKUP($B693,Lifetime_morbidity_array!$A$6:$Y$24,4))+(SUM($CP693:$CQ693)*VLOOKUP($B693,Lifetime_morbidity_array!$A$6:$Y$24,3))</f>
        <v>0.43576795767256132</v>
      </c>
      <c r="DJ693" s="316">
        <f ca="1">(SUM($CI693:$CM693)*VLOOKUP($B693,Lifetime_morbidity_array!$A$6:$Y$24,5))+(SUM($CN693:$CO693)*VLOOKUP($B693,Lifetime_morbidity_array!$A$6:$Y$24,7))+(SUM($CP693:$CQ693)*VLOOKUP($B693,Lifetime_morbidity_array!$A$6:$Y$24,6))</f>
        <v>8.536863986155685E-2</v>
      </c>
      <c r="DK693" s="316">
        <f ca="1">(SUM($CI693:$CM693)*VLOOKUP($B693,Lifetime_morbidity_array!$A$6:$Y$24,8))+(SUM($CN693:$CO693)*VLOOKUP($B693,Lifetime_morbidity_array!$A$6:$Y$24,10))+(SUM($CP693:$CQ693)*VLOOKUP($B693,Lifetime_morbidity_array!$A$6:$Y$24,9))</f>
        <v>8.7161829511772978E-3</v>
      </c>
      <c r="DL693" s="317">
        <f ca="1">(SUM($CI693:$CM693)*VLOOKUP($B693,Lifetime_morbidity_array!$A$6:$Y$24,11))+(SUM($CN693:$CO693)*VLOOKUP($B693,Lifetime_morbidity_array!$A$6:$Y$24,13))+(SUM($CP693:$CQ693)*VLOOKUP($B693,Lifetime_morbidity_array!$A$6:$Y$24,12))</f>
        <v>0.43551647657857701</v>
      </c>
      <c r="DM693" s="309"/>
      <c r="DN693" s="308">
        <f t="shared" si="275"/>
        <v>27</v>
      </c>
      <c r="DO693" s="309">
        <f t="shared" ca="1" si="276"/>
        <v>350.32184278739322</v>
      </c>
      <c r="DP693" s="310">
        <f t="shared" ca="1" si="307"/>
        <v>15366.374547419677</v>
      </c>
      <c r="DQ693" s="309"/>
      <c r="DR693" s="308">
        <f t="shared" si="277"/>
        <v>27</v>
      </c>
      <c r="DS693" s="309">
        <f ca="1">((VLOOKUP($B693,'Mahawesran Tariff'!$A$21:$M$120,4)*'Comparator (DET)'!$CX693)+(VLOOKUP($B693,'Mahawesran Tariff'!$A$21:$M$120,3)*'Comparator (DET)'!$CY693)+(VLOOKUP($B693,'Mahawesran Tariff'!$A$21:$M$120,2)*'Comparator (DET)'!$CZ693)+(VLOOKUP($B693,'Mahawesran Tariff'!$A$21:$M$120,7)*'Comparator (DET)'!$DF693)+(VLOOKUP($B693,'Mahawesran Tariff'!$A$21:$M$120,6)*'Comparator (DET)'!$DG693)+(VLOOKUP($B693,'Mahawesran Tariff'!$A$21:$M$120,5)*'Comparator (DET)'!$DH693)+(DET_UTIL_chd*('Comparator (DET)'!$DA693+'Comparator (DET)'!$DI693))+(DET_UTIL_copd*('Comparator (DET)'!$DB693+'Comparator (DET)'!$DJ693))+(DET_UTIL_lc*('Comparator (DET)'!$DC693+'Comparator (DET)'!$DK693))+(DET_UTIL_stroke*('Comparator (DET)'!$DD693+'Comparator (DET)'!$DL693)))/((1+Discount_rate_QALYs)^$A693)</f>
        <v>349.02157981662953</v>
      </c>
      <c r="DT693" s="310">
        <f t="shared" ca="1" si="308"/>
        <v>15355.512434822784</v>
      </c>
      <c r="DU693" s="309"/>
      <c r="DV693" s="308">
        <f t="shared" si="278"/>
        <v>27</v>
      </c>
      <c r="DW693" s="318">
        <f t="shared" ca="1" si="279"/>
        <v>4866.8768019171739</v>
      </c>
      <c r="DX693" s="319">
        <f t="shared" ca="1" si="309"/>
        <v>5573017.3730152808</v>
      </c>
      <c r="DZ693" s="95">
        <f t="shared" si="280"/>
        <v>27</v>
      </c>
      <c r="EA693" s="268">
        <f t="shared" ca="1" si="226"/>
        <v>0.88686325450961001</v>
      </c>
      <c r="EB693" s="268">
        <f t="shared" ca="1" si="227"/>
        <v>0.11313674549038993</v>
      </c>
      <c r="EC693" s="268">
        <f t="shared" ca="1" si="228"/>
        <v>2.0601642892965721E-3</v>
      </c>
      <c r="ED693" s="290">
        <f t="shared" ca="1" si="229"/>
        <v>0.48234230193287853</v>
      </c>
      <c r="EF693" s="95">
        <f t="shared" si="281"/>
        <v>27</v>
      </c>
      <c r="EG693" s="339">
        <f t="shared" ca="1" si="282"/>
        <v>4866.8768019171739</v>
      </c>
      <c r="EH693" s="341">
        <f t="shared" ca="1" si="310"/>
        <v>8673149.3088713679</v>
      </c>
      <c r="EJ693" s="308">
        <f t="shared" si="283"/>
        <v>27</v>
      </c>
      <c r="EK693" s="318">
        <f t="shared" ca="1" si="284"/>
        <v>4866.8768019171739</v>
      </c>
      <c r="EL693" s="319">
        <f t="shared" ca="1" si="311"/>
        <v>5573017.3730152808</v>
      </c>
      <c r="EN693" s="95">
        <f t="shared" si="285"/>
        <v>27</v>
      </c>
      <c r="EO693" s="339">
        <f t="shared" ca="1" si="286"/>
        <v>4866.8768019171739</v>
      </c>
      <c r="EP693" s="341">
        <f t="shared" ca="1" si="312"/>
        <v>8673149.3088713679</v>
      </c>
    </row>
    <row r="694" spans="1:146" s="266" customFormat="1" x14ac:dyDescent="0.25">
      <c r="A694" s="313">
        <v>28</v>
      </c>
      <c r="B694" s="314">
        <v>28</v>
      </c>
      <c r="C694" s="308">
        <f>VLOOKUP($B694,'Infant adult mortality'!$A$27:$I$128,3)</f>
        <v>3.3189999999999999E-4</v>
      </c>
      <c r="D694" s="309">
        <f t="shared" si="230"/>
        <v>0.27</v>
      </c>
      <c r="E694" s="309">
        <f>VLOOKUP($B694,'Infant pick up smoking rates'!$A$19:$I$104,3)</f>
        <v>1.5201831243956284E-3</v>
      </c>
      <c r="F694" s="309">
        <f t="shared" si="231"/>
        <v>3.2724321486268175E-3</v>
      </c>
      <c r="G694" s="309">
        <f t="shared" si="232"/>
        <v>0.72487548472697749</v>
      </c>
      <c r="H694" s="309">
        <f>VLOOKUP($B694,'Infant adult mortality'!$A$27:$I$128,3)</f>
        <v>3.3189999999999999E-4</v>
      </c>
      <c r="I694" s="309">
        <f t="shared" si="233"/>
        <v>0.14000000000000001</v>
      </c>
      <c r="J694" s="309">
        <f>VLOOKUP($B694,'Infant pick up smoking rates'!$A$19:$I$104,2)</f>
        <v>1.5201831243956284E-3</v>
      </c>
      <c r="K694" s="309">
        <f t="shared" si="234"/>
        <v>3.2724321486268175E-3</v>
      </c>
      <c r="L694" s="309">
        <f t="shared" si="235"/>
        <v>0.8548754847269775</v>
      </c>
      <c r="M694" s="309">
        <f>VLOOKUP($B694,'Infant adult mortality'!$A$27:$I$128,3)</f>
        <v>3.3189999999999999E-4</v>
      </c>
      <c r="N694" s="309">
        <f t="shared" si="236"/>
        <v>0.5714285714285714</v>
      </c>
      <c r="O694" s="309">
        <f>VLOOKUP($B694,'Infant pick up smoking rates'!$A$19:$I$104,2)</f>
        <v>1.5201831243956284E-3</v>
      </c>
      <c r="P694" s="309">
        <f t="shared" si="237"/>
        <v>2.1601276252019388E-3</v>
      </c>
      <c r="Q694" s="309">
        <f t="shared" si="238"/>
        <v>0.42455921782183109</v>
      </c>
      <c r="R694" s="309">
        <f>VLOOKUP($B694,'Infant adult mortality'!$A$27:$I$128,3)</f>
        <v>3.3189999999999999E-4</v>
      </c>
      <c r="S694" s="309">
        <f t="shared" si="239"/>
        <v>8.6261668788331098E-3</v>
      </c>
      <c r="T694" s="309">
        <f>VLOOKUP($B694,'Infant pick up smoking rates'!$A$19:$I$104,2)</f>
        <v>1.5201831243956284E-3</v>
      </c>
      <c r="U694" s="309">
        <f t="shared" si="240"/>
        <v>2.1601276252019388E-3</v>
      </c>
      <c r="V694" s="309">
        <f t="shared" si="241"/>
        <v>0.98736162237156933</v>
      </c>
      <c r="W694" s="309">
        <f>VLOOKUP($B694,'Infant adult mortality'!$A$27:$I$128,3)</f>
        <v>3.3189999999999999E-4</v>
      </c>
      <c r="X694" s="309">
        <f>VLOOKUP($B694,'Infant pick up smoking rates'!$A$19:$I$104,2)</f>
        <v>1.5201831243956284E-3</v>
      </c>
      <c r="Y694" s="309">
        <f t="shared" si="242"/>
        <v>0.99814791687560434</v>
      </c>
      <c r="Z694" s="309">
        <f>VLOOKUP($B694,'Infant adult mortality'!$A$27:$I$128,5)</f>
        <v>3.3189999999999999E-4</v>
      </c>
      <c r="AA694" s="309">
        <f t="shared" si="243"/>
        <v>0.25</v>
      </c>
      <c r="AB694" s="309">
        <f t="shared" si="244"/>
        <v>0.74966809999999995</v>
      </c>
      <c r="AC694" s="309">
        <f>VLOOKUP($B694,'Infant adult mortality'!$A$27:$I$128,5)</f>
        <v>3.3189999999999999E-4</v>
      </c>
      <c r="AD694" s="309">
        <f t="shared" si="245"/>
        <v>0.14000000000000001</v>
      </c>
      <c r="AE694" s="309">
        <f t="shared" si="246"/>
        <v>0.85966809999999994</v>
      </c>
      <c r="AF694" s="309">
        <f>VLOOKUP($B694,'Infant adult mortality'!$A$27:$I$128,4)</f>
        <v>3.3189999999999999E-4</v>
      </c>
      <c r="AG694" s="309">
        <f t="shared" si="247"/>
        <v>0.5714285714285714</v>
      </c>
      <c r="AH694" s="309">
        <f t="shared" si="248"/>
        <v>0.42823952857142861</v>
      </c>
      <c r="AI694" s="309">
        <f>VLOOKUP($B694,'Infant adult mortality'!$A$27:$I$128,4)</f>
        <v>3.3189999999999999E-4</v>
      </c>
      <c r="AJ694" s="309">
        <f t="shared" si="249"/>
        <v>8.6261668788331098E-3</v>
      </c>
      <c r="AK694" s="309">
        <f t="shared" si="250"/>
        <v>0.99104193312116684</v>
      </c>
      <c r="AL694" s="309"/>
      <c r="AM694" s="315">
        <f t="shared" si="287"/>
        <v>74.924165914955466</v>
      </c>
      <c r="AN694" s="316">
        <f t="shared" si="288"/>
        <v>20.566354686645312</v>
      </c>
      <c r="AO694" s="316">
        <f t="shared" si="289"/>
        <v>2.926013046460012</v>
      </c>
      <c r="AP694" s="316">
        <f t="shared" si="290"/>
        <v>67.835637438284806</v>
      </c>
      <c r="AQ694" s="316">
        <f t="shared" si="291"/>
        <v>6.3692168147356973</v>
      </c>
      <c r="AR694" s="316">
        <f t="shared" si="292"/>
        <v>186.66706548232429</v>
      </c>
      <c r="AS694" s="316">
        <f t="shared" si="293"/>
        <v>47.326317077145589</v>
      </c>
      <c r="AT694" s="316">
        <f t="shared" si="294"/>
        <v>6.7212144809681718</v>
      </c>
      <c r="AU694" s="316">
        <f t="shared" si="295"/>
        <v>38.241284940620751</v>
      </c>
      <c r="AV694" s="316">
        <f t="shared" si="296"/>
        <v>58.422730117859693</v>
      </c>
      <c r="AW694" s="317">
        <f t="shared" si="251"/>
        <v>509.99999999999977</v>
      </c>
      <c r="AX694" s="309"/>
      <c r="AY694" s="308">
        <f>VLOOKUP($B694,'Infant adult mortality'!$A$134:$I$234,3)</f>
        <v>1.9100000000000001E-4</v>
      </c>
      <c r="AZ694" s="309">
        <f t="shared" si="252"/>
        <v>0.27</v>
      </c>
      <c r="BA694" s="309">
        <f ca="1">VLOOKUP($B694,'Infant pick up smoking rates'!$A$19:$I$104,7)</f>
        <v>3.9916955482353625E-3</v>
      </c>
      <c r="BB694" s="309">
        <f t="shared" si="253"/>
        <v>3.2724321486268175E-3</v>
      </c>
      <c r="BC694" s="309">
        <f t="shared" ca="1" si="254"/>
        <v>0.7225448723031378</v>
      </c>
      <c r="BD694" s="309">
        <f>VLOOKUP($B694,'Infant adult mortality'!$A$134:$I$234,3)</f>
        <v>1.9100000000000001E-4</v>
      </c>
      <c r="BE694" s="309">
        <f t="shared" si="255"/>
        <v>0.14000000000000001</v>
      </c>
      <c r="BF694" s="309">
        <f>VLOOKUP($B694,'Infant pick up smoking rates'!$A$19:$I$104,6)</f>
        <v>1.9288936901483743E-3</v>
      </c>
      <c r="BG694" s="309">
        <f t="shared" si="256"/>
        <v>3.2724321486268175E-3</v>
      </c>
      <c r="BH694" s="309">
        <f t="shared" si="257"/>
        <v>0.85460767416122474</v>
      </c>
      <c r="BI694" s="309">
        <f>VLOOKUP($B694,'Infant adult mortality'!$A$134:$I$234,3)</f>
        <v>1.9100000000000001E-4</v>
      </c>
      <c r="BJ694" s="309">
        <f t="shared" si="258"/>
        <v>0.5714285714285714</v>
      </c>
      <c r="BK694" s="309">
        <f>VLOOKUP($B694,'Infant pick up smoking rates'!$A$19:$I$104,6)</f>
        <v>1.9288936901483743E-3</v>
      </c>
      <c r="BL694" s="309">
        <f t="shared" si="259"/>
        <v>2.1601276252019388E-3</v>
      </c>
      <c r="BM694" s="309">
        <f t="shared" si="260"/>
        <v>0.42429140725607833</v>
      </c>
      <c r="BN694" s="309">
        <f>VLOOKUP($B694,'Infant adult mortality'!$A$134:$I$234,3)</f>
        <v>1.9100000000000001E-4</v>
      </c>
      <c r="BO694" s="309">
        <f t="shared" si="261"/>
        <v>8.6261668788331098E-3</v>
      </c>
      <c r="BP694" s="309">
        <f>VLOOKUP($B694,'Infant pick up smoking rates'!$A$19:$I$104,6)</f>
        <v>1.9288936901483743E-3</v>
      </c>
      <c r="BQ694" s="309">
        <f t="shared" si="262"/>
        <v>2.1601276252019388E-3</v>
      </c>
      <c r="BR694" s="309">
        <f t="shared" si="263"/>
        <v>0.98709381180581657</v>
      </c>
      <c r="BS694" s="309">
        <f>VLOOKUP($B694,'Infant adult mortality'!$A$134:$I$234,3)</f>
        <v>1.9100000000000001E-4</v>
      </c>
      <c r="BT694" s="309">
        <f>VLOOKUP($B694,'Infant pick up smoking rates'!$A$19:$I$104,6)</f>
        <v>1.9288936901483743E-3</v>
      </c>
      <c r="BU694" s="309">
        <f t="shared" si="264"/>
        <v>0.99788010630985158</v>
      </c>
      <c r="BV694" s="309">
        <f>VLOOKUP($B694,'Infant adult mortality'!$A$134:$I$234,5)</f>
        <v>1.9100000000000001E-4</v>
      </c>
      <c r="BW694" s="309">
        <f t="shared" si="265"/>
        <v>0.27</v>
      </c>
      <c r="BX694" s="309">
        <f t="shared" si="266"/>
        <v>0.72980899999999993</v>
      </c>
      <c r="BY694" s="309">
        <f>VLOOKUP($B694,'Infant adult mortality'!$A$134:$I$234,5)</f>
        <v>1.9100000000000001E-4</v>
      </c>
      <c r="BZ694" s="309">
        <f t="shared" si="267"/>
        <v>0.14000000000000001</v>
      </c>
      <c r="CA694" s="309">
        <f t="shared" si="268"/>
        <v>0.85980899999999993</v>
      </c>
      <c r="CB694" s="309">
        <f>VLOOKUP($B694,'Infant adult mortality'!$A$134:$I$234,4)</f>
        <v>1.9100000000000001E-4</v>
      </c>
      <c r="CC694" s="309">
        <f t="shared" si="269"/>
        <v>0.5714285714285714</v>
      </c>
      <c r="CD694" s="309">
        <f t="shared" si="270"/>
        <v>0.42838042857142861</v>
      </c>
      <c r="CE694" s="309">
        <f>VLOOKUP($B694,'Infant adult mortality'!$A$134:$I$234,4)</f>
        <v>1.9100000000000001E-4</v>
      </c>
      <c r="CF694" s="309">
        <f t="shared" si="271"/>
        <v>8.6261668788331098E-3</v>
      </c>
      <c r="CG694" s="309">
        <f t="shared" si="272"/>
        <v>0.99118283312116684</v>
      </c>
      <c r="CH694" s="309"/>
      <c r="CI694" s="315">
        <f t="shared" ca="1" si="297"/>
        <v>103.30592811341327</v>
      </c>
      <c r="CJ694" s="316">
        <f t="shared" ca="1" si="298"/>
        <v>28.425062057260828</v>
      </c>
      <c r="CK694" s="316">
        <f t="shared" ca="1" si="299"/>
        <v>4.0538038941796701</v>
      </c>
      <c r="CL694" s="316">
        <f t="shared" ca="1" si="300"/>
        <v>86.71266771718382</v>
      </c>
      <c r="CM694" s="316">
        <f t="shared" ca="1" si="301"/>
        <v>8.373709420897347</v>
      </c>
      <c r="CN694" s="316">
        <f t="shared" ca="1" si="302"/>
        <v>134.30757375771108</v>
      </c>
      <c r="CO694" s="316">
        <f t="shared" ca="1" si="303"/>
        <v>36.705245705965339</v>
      </c>
      <c r="CP694" s="316">
        <f t="shared" ca="1" si="304"/>
        <v>5.2037134318453866</v>
      </c>
      <c r="CQ694" s="316">
        <f t="shared" ca="1" si="305"/>
        <v>27.96524128518405</v>
      </c>
      <c r="CR694" s="316">
        <f t="shared" ca="1" si="306"/>
        <v>54.947054616359367</v>
      </c>
      <c r="CS694" s="317">
        <f t="shared" ca="1" si="273"/>
        <v>490.00000000000011</v>
      </c>
      <c r="CT694" s="309"/>
      <c r="CU694" s="309">
        <f t="shared" ca="1" si="274"/>
        <v>999.99999999999989</v>
      </c>
      <c r="CV694" s="309" t="str">
        <f t="shared" ca="1" si="225"/>
        <v>OKAY</v>
      </c>
      <c r="CW694" s="309"/>
      <c r="CX694" s="315">
        <f>(SUM($AR694:$AS694))-((SUM($AR694:$AS694)*VLOOKUP($B694,Lifetime_morbidity_array!$A$30:$Y$48,4))+(SUM($AR694:$AS694)*VLOOKUP($B694,Lifetime_morbidity_array!$A$30:$Y$48,7))+(SUM($AR694:$AS694)*VLOOKUP($B694,Lifetime_morbidity_array!$A$30:$Y$48,10))+(SUM($AR694:$AS694)*VLOOKUP($B694,Lifetime_morbidity_array!$A$30:$Y$48,13)))</f>
        <v>233.42628189814886</v>
      </c>
      <c r="CY694" s="316">
        <f>(SUM($AT694:$AU694))-((SUM($AT694:$AU694)*(VLOOKUP($B694,Lifetime_morbidity_array!$A$30:$Y$48,3)))+(SUM($AT694:$AU694)*(VLOOKUP($B694,Lifetime_morbidity_array!$A$30:$Y$48,6)))+(SUM($AT694:$AU694)*(VLOOKUP($B694,Lifetime_morbidity_array!$A$30:$Y$48,9)))+(SUM($AT694:$AU694)*(VLOOKUP($B694,Lifetime_morbidity_array!$A$30:$Y$48,12))))</f>
        <v>44.853529403387029</v>
      </c>
      <c r="CZ694" s="316">
        <f>(SUM($AM694:$AQ694))-((SUM($AM694:$AQ694)*VLOOKUP($B694,Lifetime_morbidity_array!$A$30:$Y$48,2))+(SUM($AM694:$AQ694)*VLOOKUP($B694,Lifetime_morbidity_array!$A$30:$Y$48,5))+(SUM($AM694:$AQ694)*VLOOKUP($B694,Lifetime_morbidity_array!$A$30:$Y$48,8))+(SUM($AM694:$AQ694)*VLOOKUP($B694,Lifetime_morbidity_array!$A$30:$Y$48,11)))</f>
        <v>172.20302691084268</v>
      </c>
      <c r="DA694" s="316">
        <f>(SUM($AM694:$AQ694)*VLOOKUP($B694,Lifetime_morbidity_array!$A$30:$Y$48,2))+(SUM($AR694:$AS694)*VLOOKUP($B694,Lifetime_morbidity_array!$A$30:$Y$48,4))+(SUM($AT694:$AU694)*(VLOOKUP($B694,Lifetime_morbidity_array!$A$30:$Y$48,3)))</f>
        <v>0.90474302450952915</v>
      </c>
      <c r="DB694" s="316">
        <f>(SUM($AM694:$AQ694)*VLOOKUP($B694,Lifetime_morbidity_array!$A$30:$Y$48,5))+(SUM($AR694:$AS694)*VLOOKUP($B694,Lifetime_morbidity_array!$A$30:$Y$48,7))+(SUM($AT694:$AU694)*(VLOOKUP($B694,Lifetime_morbidity_array!$A$30:$Y$48,6)))</f>
        <v>0.18066382980435744</v>
      </c>
      <c r="DC694" s="316">
        <f>(SUM($AM694:$AQ694)*VLOOKUP($B694,Lifetime_morbidity_array!$A$30:$Y$48,8))+(SUM($AR694:$AS694)*VLOOKUP($B694,Lifetime_morbidity_array!$A$30:$Y$48,10))+(SUM($AT694:$AU694)*(VLOOKUP($B694,Lifetime_morbidity_array!$A$30:$Y$48,9)))</f>
        <v>9.0248154476145637E-3</v>
      </c>
      <c r="DD694" s="317">
        <f>(SUM($AM694:$AQ694)*VLOOKUP($B694,Lifetime_morbidity_array!$A$30:$Y$48,11))+(SUM($AR694:$AS694)*VLOOKUP($B694,Lifetime_morbidity_array!$A$30:$Y$48,13))+(SUM($AT694:$AU694)*(VLOOKUP($B694,Lifetime_morbidity_array!$A$30:$Y$48,12)))</f>
        <v>0</v>
      </c>
      <c r="DE694" s="309"/>
      <c r="DF694" s="315">
        <f ca="1">(SUM($CN694:$CO694))-((SUM($CN694:$CO694)*VLOOKUP($B694,Lifetime_morbidity_array!$A$6:$Y$24,4))+(SUM($CN694:$CO694)*VLOOKUP($B694,Lifetime_morbidity_array!$A$6:$Y$24,7))+(SUM($CN694:$CO694)*VLOOKUP($B694,Lifetime_morbidity_array!$A$6:$Y$24,10))+(SUM($CN694:$CO694)*VLOOKUP($B694,Lifetime_morbidity_array!$A$6:$Y$24,13)))</f>
        <v>170.63341969650676</v>
      </c>
      <c r="DG694" s="316">
        <f ca="1">(SUM($CP694:$CQ694))-(((SUM($CP694:$CQ694)*VLOOKUP($B694,Lifetime_morbidity_array!$A$6:$Y$24,3))+(SUM($CP694:$CQ694)*VLOOKUP($B694,Lifetime_morbidity_array!$A$6:$Y$24,6))+(SUM($CP694:$CQ694)*VLOOKUP($B694,Lifetime_morbidity_array!$A$6:$Y$24,9))+(SUM($CP694:$CQ694)*VLOOKUP($B694,Lifetime_morbidity_array!$A$6:$Y$24,12))))</f>
        <v>33.095367872859697</v>
      </c>
      <c r="DH694" s="316">
        <f ca="1">(SUM($CI694:$CM694))-((SUM($CI694:$CM694)*VLOOKUP($B694,Lifetime_morbidity_array!$A$6:$Y$24,2))+(SUM($CI694:$CM694)*VLOOKUP($B694,Lifetime_morbidity_array!$A$6:$Y$24,5))+(SUM($CI694:$CM694)*VLOOKUP($B694,Lifetime_morbidity_array!$A$6:$Y$24,8))+(SUM($CI694:$CM694)*VLOOKUP($B694,Lifetime_morbidity_array!$A$6:$Y$24,11)))</f>
        <v>230.35897294273855</v>
      </c>
      <c r="DI694" s="316">
        <f ca="1">(SUM($CI694:$CM694)*VLOOKUP($B694,Lifetime_morbidity_array!$A$6:$Y$24,2))+(SUM($CN694:$CO694)*VLOOKUP($B694,Lifetime_morbidity_array!$A$6:$Y$24,4))+(SUM($CP694:$CQ694)*VLOOKUP($B694,Lifetime_morbidity_array!$A$6:$Y$24,3))</f>
        <v>0.43568472599264579</v>
      </c>
      <c r="DJ694" s="316">
        <f ca="1">(SUM($CI694:$CM694)*VLOOKUP($B694,Lifetime_morbidity_array!$A$6:$Y$24,5))+(SUM($CN694:$CO694)*VLOOKUP($B694,Lifetime_morbidity_array!$A$6:$Y$24,7))+(SUM($CP694:$CQ694)*VLOOKUP($B694,Lifetime_morbidity_array!$A$6:$Y$24,6))</f>
        <v>8.5352334451343284E-2</v>
      </c>
      <c r="DK694" s="316">
        <f ca="1">(SUM($CI694:$CM694)*VLOOKUP($B694,Lifetime_morbidity_array!$A$6:$Y$24,8))+(SUM($CN694:$CO694)*VLOOKUP($B694,Lifetime_morbidity_array!$A$6:$Y$24,10))+(SUM($CP694:$CQ694)*VLOOKUP($B694,Lifetime_morbidity_array!$A$6:$Y$24,9))</f>
        <v>8.7145181602336207E-3</v>
      </c>
      <c r="DL694" s="317">
        <f ca="1">(SUM($CI694:$CM694)*VLOOKUP($B694,Lifetime_morbidity_array!$A$6:$Y$24,11))+(SUM($CN694:$CO694)*VLOOKUP($B694,Lifetime_morbidity_array!$A$6:$Y$24,13))+(SUM($CP694:$CQ694)*VLOOKUP($B694,Lifetime_morbidity_array!$A$6:$Y$24,12))</f>
        <v>0.43543329293155042</v>
      </c>
      <c r="DM694" s="309"/>
      <c r="DN694" s="308">
        <f t="shared" si="275"/>
        <v>28</v>
      </c>
      <c r="DO694" s="309">
        <f t="shared" ca="1" si="276"/>
        <v>338.38626998371183</v>
      </c>
      <c r="DP694" s="310">
        <f t="shared" ca="1" si="307"/>
        <v>15704.760817403389</v>
      </c>
      <c r="DQ694" s="309"/>
      <c r="DR694" s="308">
        <f t="shared" si="277"/>
        <v>28</v>
      </c>
      <c r="DS694" s="309">
        <f ca="1">((VLOOKUP($B694,'Mahawesran Tariff'!$A$21:$M$120,4)*'Comparator (DET)'!$CX694)+(VLOOKUP($B694,'Mahawesran Tariff'!$A$21:$M$120,3)*'Comparator (DET)'!$CY694)+(VLOOKUP($B694,'Mahawesran Tariff'!$A$21:$M$120,2)*'Comparator (DET)'!$CZ694)+(VLOOKUP($B694,'Mahawesran Tariff'!$A$21:$M$120,7)*'Comparator (DET)'!$DF694)+(VLOOKUP($B694,'Mahawesran Tariff'!$A$21:$M$120,6)*'Comparator (DET)'!$DG694)+(VLOOKUP($B694,'Mahawesran Tariff'!$A$21:$M$120,5)*'Comparator (DET)'!$DH694)+(DET_UTIL_chd*('Comparator (DET)'!$DA694+'Comparator (DET)'!$DI694))+(DET_UTIL_copd*('Comparator (DET)'!$DB694+'Comparator (DET)'!$DJ694))+(DET_UTIL_lc*('Comparator (DET)'!$DC694+'Comparator (DET)'!$DK694))+(DET_UTIL_stroke*('Comparator (DET)'!$DD694+'Comparator (DET)'!$DL694)))/((1+Discount_rate_QALYs)^$A694)</f>
        <v>337.15576501164765</v>
      </c>
      <c r="DT694" s="310">
        <f t="shared" ca="1" si="308"/>
        <v>15692.668199834432</v>
      </c>
      <c r="DU694" s="309"/>
      <c r="DV694" s="308">
        <f t="shared" si="278"/>
        <v>28</v>
      </c>
      <c r="DW694" s="318">
        <f t="shared" ca="1" si="279"/>
        <v>4701.2959670959635</v>
      </c>
      <c r="DX694" s="319">
        <f t="shared" ca="1" si="309"/>
        <v>5577718.6689823763</v>
      </c>
      <c r="DZ694" s="95">
        <f t="shared" si="280"/>
        <v>28</v>
      </c>
      <c r="EA694" s="268">
        <f t="shared" ca="1" si="226"/>
        <v>0.8866302152657809</v>
      </c>
      <c r="EB694" s="268">
        <f t="shared" ca="1" si="227"/>
        <v>0.11336978473421905</v>
      </c>
      <c r="EC694" s="268">
        <f t="shared" ca="1" si="228"/>
        <v>2.0596165412972742E-3</v>
      </c>
      <c r="ED694" s="290">
        <f t="shared" ca="1" si="229"/>
        <v>0.48313765616176463</v>
      </c>
      <c r="EF694" s="95">
        <f t="shared" si="281"/>
        <v>28</v>
      </c>
      <c r="EG694" s="339">
        <f t="shared" ca="1" si="282"/>
        <v>4701.2959670959635</v>
      </c>
      <c r="EH694" s="341">
        <f t="shared" ca="1" si="310"/>
        <v>8677850.6048384644</v>
      </c>
      <c r="EJ694" s="308">
        <f t="shared" si="283"/>
        <v>28</v>
      </c>
      <c r="EK694" s="318">
        <f t="shared" ca="1" si="284"/>
        <v>4701.2959670959635</v>
      </c>
      <c r="EL694" s="319">
        <f t="shared" ca="1" si="311"/>
        <v>5577718.6689823763</v>
      </c>
      <c r="EN694" s="95">
        <f t="shared" si="285"/>
        <v>28</v>
      </c>
      <c r="EO694" s="339">
        <f t="shared" ca="1" si="286"/>
        <v>4701.2959670959635</v>
      </c>
      <c r="EP694" s="341">
        <f t="shared" ca="1" si="312"/>
        <v>8677850.6048384644</v>
      </c>
    </row>
    <row r="695" spans="1:146" s="266" customFormat="1" x14ac:dyDescent="0.25">
      <c r="A695" s="313">
        <v>29</v>
      </c>
      <c r="B695" s="314">
        <v>29</v>
      </c>
      <c r="C695" s="308">
        <f>VLOOKUP($B695,'Infant adult mortality'!$A$27:$I$128,3)</f>
        <v>3.5729999999999996E-4</v>
      </c>
      <c r="D695" s="309">
        <f t="shared" si="230"/>
        <v>0.27</v>
      </c>
      <c r="E695" s="309">
        <f>VLOOKUP($B695,'Infant pick up smoking rates'!$A$19:$I$104,3)</f>
        <v>1.5201831243956284E-3</v>
      </c>
      <c r="F695" s="309">
        <f t="shared" si="231"/>
        <v>3.5480726978998384E-3</v>
      </c>
      <c r="G695" s="309">
        <f t="shared" si="232"/>
        <v>0.72457444417770456</v>
      </c>
      <c r="H695" s="309">
        <f>VLOOKUP($B695,'Infant adult mortality'!$A$27:$I$128,3)</f>
        <v>3.5729999999999996E-4</v>
      </c>
      <c r="I695" s="309">
        <f t="shared" si="233"/>
        <v>0.14000000000000001</v>
      </c>
      <c r="J695" s="309">
        <f>VLOOKUP($B695,'Infant pick up smoking rates'!$A$19:$I$104,2)</f>
        <v>1.5201831243956284E-3</v>
      </c>
      <c r="K695" s="309">
        <f t="shared" si="234"/>
        <v>3.5480726978998384E-3</v>
      </c>
      <c r="L695" s="309">
        <f t="shared" si="235"/>
        <v>0.85457444417770456</v>
      </c>
      <c r="M695" s="309">
        <f>VLOOKUP($B695,'Infant adult mortality'!$A$27:$I$128,3)</f>
        <v>3.5729999999999996E-4</v>
      </c>
      <c r="N695" s="309">
        <f t="shared" si="236"/>
        <v>0.5714285714285714</v>
      </c>
      <c r="O695" s="309">
        <f>VLOOKUP($B695,'Infant pick up smoking rates'!$A$19:$I$104,2)</f>
        <v>1.5201831243956284E-3</v>
      </c>
      <c r="P695" s="309">
        <f t="shared" si="237"/>
        <v>2.342077544426494E-3</v>
      </c>
      <c r="Q695" s="309">
        <f t="shared" si="238"/>
        <v>0.42435186790260648</v>
      </c>
      <c r="R695" s="309">
        <f>VLOOKUP($B695,'Infant adult mortality'!$A$27:$I$128,3)</f>
        <v>3.5729999999999996E-4</v>
      </c>
      <c r="S695" s="309">
        <f t="shared" si="239"/>
        <v>8.6261668788331098E-3</v>
      </c>
      <c r="T695" s="309">
        <f>VLOOKUP($B695,'Infant pick up smoking rates'!$A$19:$I$104,2)</f>
        <v>1.5201831243956284E-3</v>
      </c>
      <c r="U695" s="309">
        <f t="shared" si="240"/>
        <v>2.342077544426494E-3</v>
      </c>
      <c r="V695" s="309">
        <f t="shared" si="241"/>
        <v>0.98715427245234477</v>
      </c>
      <c r="W695" s="309">
        <f>VLOOKUP($B695,'Infant adult mortality'!$A$27:$I$128,3)</f>
        <v>3.5729999999999996E-4</v>
      </c>
      <c r="X695" s="309">
        <f>VLOOKUP($B695,'Infant pick up smoking rates'!$A$19:$I$104,2)</f>
        <v>1.5201831243956284E-3</v>
      </c>
      <c r="Y695" s="309">
        <f t="shared" si="242"/>
        <v>0.99812251687560438</v>
      </c>
      <c r="Z695" s="309">
        <f>VLOOKUP($B695,'Infant adult mortality'!$A$27:$I$128,5)</f>
        <v>3.5729999999999996E-4</v>
      </c>
      <c r="AA695" s="309">
        <f t="shared" si="243"/>
        <v>0.25</v>
      </c>
      <c r="AB695" s="309">
        <f t="shared" si="244"/>
        <v>0.7496427</v>
      </c>
      <c r="AC695" s="309">
        <f>VLOOKUP($B695,'Infant adult mortality'!$A$27:$I$128,5)</f>
        <v>3.5729999999999996E-4</v>
      </c>
      <c r="AD695" s="309">
        <f t="shared" si="245"/>
        <v>0.14000000000000001</v>
      </c>
      <c r="AE695" s="309">
        <f t="shared" si="246"/>
        <v>0.85964269999999998</v>
      </c>
      <c r="AF695" s="309">
        <f>VLOOKUP($B695,'Infant adult mortality'!$A$27:$I$128,4)</f>
        <v>3.5729999999999996E-4</v>
      </c>
      <c r="AG695" s="309">
        <f t="shared" si="247"/>
        <v>0.5714285714285714</v>
      </c>
      <c r="AH695" s="309">
        <f t="shared" si="248"/>
        <v>0.4282141285714286</v>
      </c>
      <c r="AI695" s="309">
        <f>VLOOKUP($B695,'Infant adult mortality'!$A$27:$I$128,4)</f>
        <v>3.5729999999999996E-4</v>
      </c>
      <c r="AJ695" s="309">
        <f t="shared" si="249"/>
        <v>8.6261668788331098E-3</v>
      </c>
      <c r="AK695" s="309">
        <f t="shared" si="250"/>
        <v>0.99101653312116689</v>
      </c>
      <c r="AL695" s="309"/>
      <c r="AM695" s="315">
        <f t="shared" si="287"/>
        <v>73.690437629055779</v>
      </c>
      <c r="AN695" s="316">
        <f t="shared" si="288"/>
        <v>20.229524797037978</v>
      </c>
      <c r="AO695" s="316">
        <f t="shared" si="289"/>
        <v>2.8792896561303438</v>
      </c>
      <c r="AP695" s="316">
        <f t="shared" si="290"/>
        <v>68.636246776851095</v>
      </c>
      <c r="AQ695" s="316">
        <f t="shared" si="291"/>
        <v>6.8617952993120728</v>
      </c>
      <c r="AR695" s="316">
        <f t="shared" si="292"/>
        <v>184.08773679076515</v>
      </c>
      <c r="AS695" s="316">
        <f t="shared" si="293"/>
        <v>46.666766370581072</v>
      </c>
      <c r="AT695" s="316">
        <f t="shared" si="294"/>
        <v>6.6256843908003829</v>
      </c>
      <c r="AU695" s="316">
        <f t="shared" si="295"/>
        <v>41.738439613077333</v>
      </c>
      <c r="AV695" s="316">
        <f t="shared" si="296"/>
        <v>58.584078676388586</v>
      </c>
      <c r="AW695" s="317">
        <f t="shared" si="251"/>
        <v>509.99999999999977</v>
      </c>
      <c r="AX695" s="309"/>
      <c r="AY695" s="308">
        <f>VLOOKUP($B695,'Infant adult mortality'!$A$134:$I$234,3)</f>
        <v>2.1320000000000001E-4</v>
      </c>
      <c r="AZ695" s="309">
        <f t="shared" si="252"/>
        <v>0.27</v>
      </c>
      <c r="BA695" s="309">
        <f ca="1">VLOOKUP($B695,'Infant pick up smoking rates'!$A$19:$I$104,7)</f>
        <v>3.9916955482353625E-3</v>
      </c>
      <c r="BB695" s="309">
        <f t="shared" si="253"/>
        <v>3.5480726978998384E-3</v>
      </c>
      <c r="BC695" s="309">
        <f t="shared" ca="1" si="254"/>
        <v>0.72224703175386484</v>
      </c>
      <c r="BD695" s="309">
        <f>VLOOKUP($B695,'Infant adult mortality'!$A$134:$I$234,3)</f>
        <v>2.1320000000000001E-4</v>
      </c>
      <c r="BE695" s="309">
        <f t="shared" si="255"/>
        <v>0.14000000000000001</v>
      </c>
      <c r="BF695" s="309">
        <f>VLOOKUP($B695,'Infant pick up smoking rates'!$A$19:$I$104,6)</f>
        <v>1.9288936901483743E-3</v>
      </c>
      <c r="BG695" s="309">
        <f t="shared" si="256"/>
        <v>3.5480726978998384E-3</v>
      </c>
      <c r="BH695" s="309">
        <f t="shared" si="257"/>
        <v>0.85430983361195179</v>
      </c>
      <c r="BI695" s="309">
        <f>VLOOKUP($B695,'Infant adult mortality'!$A$134:$I$234,3)</f>
        <v>2.1320000000000001E-4</v>
      </c>
      <c r="BJ695" s="309">
        <f t="shared" si="258"/>
        <v>0.5714285714285714</v>
      </c>
      <c r="BK695" s="309">
        <f>VLOOKUP($B695,'Infant pick up smoking rates'!$A$19:$I$104,6)</f>
        <v>1.9288936901483743E-3</v>
      </c>
      <c r="BL695" s="309">
        <f t="shared" si="259"/>
        <v>2.342077544426494E-3</v>
      </c>
      <c r="BM695" s="309">
        <f t="shared" si="260"/>
        <v>0.42408725733685371</v>
      </c>
      <c r="BN695" s="309">
        <f>VLOOKUP($B695,'Infant adult mortality'!$A$134:$I$234,3)</f>
        <v>2.1320000000000001E-4</v>
      </c>
      <c r="BO695" s="309">
        <f t="shared" si="261"/>
        <v>8.6261668788331098E-3</v>
      </c>
      <c r="BP695" s="309">
        <f>VLOOKUP($B695,'Infant pick up smoking rates'!$A$19:$I$104,6)</f>
        <v>1.9288936901483743E-3</v>
      </c>
      <c r="BQ695" s="309">
        <f t="shared" si="262"/>
        <v>2.342077544426494E-3</v>
      </c>
      <c r="BR695" s="309">
        <f t="shared" si="263"/>
        <v>0.986889661886592</v>
      </c>
      <c r="BS695" s="309">
        <f>VLOOKUP($B695,'Infant adult mortality'!$A$134:$I$234,3)</f>
        <v>2.1320000000000001E-4</v>
      </c>
      <c r="BT695" s="309">
        <f>VLOOKUP($B695,'Infant pick up smoking rates'!$A$19:$I$104,6)</f>
        <v>1.9288936901483743E-3</v>
      </c>
      <c r="BU695" s="309">
        <f t="shared" si="264"/>
        <v>0.99785790630985161</v>
      </c>
      <c r="BV695" s="309">
        <f>VLOOKUP($B695,'Infant adult mortality'!$A$134:$I$234,5)</f>
        <v>2.1320000000000001E-4</v>
      </c>
      <c r="BW695" s="309">
        <f t="shared" si="265"/>
        <v>0.27</v>
      </c>
      <c r="BX695" s="309">
        <f t="shared" si="266"/>
        <v>0.72978679999999996</v>
      </c>
      <c r="BY695" s="309">
        <f>VLOOKUP($B695,'Infant adult mortality'!$A$134:$I$234,5)</f>
        <v>2.1320000000000001E-4</v>
      </c>
      <c r="BZ695" s="309">
        <f t="shared" si="267"/>
        <v>0.14000000000000001</v>
      </c>
      <c r="CA695" s="309">
        <f t="shared" si="268"/>
        <v>0.85978679999999996</v>
      </c>
      <c r="CB695" s="309">
        <f>VLOOKUP($B695,'Infant adult mortality'!$A$134:$I$234,4)</f>
        <v>2.1320000000000001E-4</v>
      </c>
      <c r="CC695" s="309">
        <f t="shared" si="269"/>
        <v>0.5714285714285714</v>
      </c>
      <c r="CD695" s="309">
        <f t="shared" si="270"/>
        <v>0.42835822857142858</v>
      </c>
      <c r="CE695" s="309">
        <f>VLOOKUP($B695,'Infant adult mortality'!$A$134:$I$234,4)</f>
        <v>2.1320000000000001E-4</v>
      </c>
      <c r="CF695" s="309">
        <f t="shared" si="271"/>
        <v>8.6261668788331098E-3</v>
      </c>
      <c r="CG695" s="309">
        <f t="shared" si="272"/>
        <v>0.99116063312116687</v>
      </c>
      <c r="CH695" s="309"/>
      <c r="CI695" s="315">
        <f t="shared" ca="1" si="297"/>
        <v>101.36337449654013</v>
      </c>
      <c r="CJ695" s="316">
        <f t="shared" ca="1" si="298"/>
        <v>27.892600590621587</v>
      </c>
      <c r="CK695" s="316">
        <f t="shared" ca="1" si="299"/>
        <v>3.9795086880165162</v>
      </c>
      <c r="CL695" s="316">
        <f t="shared" ca="1" si="300"/>
        <v>87.892294692798615</v>
      </c>
      <c r="CM695" s="316">
        <f t="shared" ca="1" si="301"/>
        <v>9.0357453954233868</v>
      </c>
      <c r="CN695" s="316">
        <f t="shared" ca="1" si="302"/>
        <v>132.70329212877539</v>
      </c>
      <c r="CO695" s="316">
        <f t="shared" ca="1" si="303"/>
        <v>36.263044914581997</v>
      </c>
      <c r="CP695" s="316">
        <f t="shared" ca="1" si="304"/>
        <v>5.1387343988351484</v>
      </c>
      <c r="CQ695" s="316">
        <f t="shared" ca="1" si="305"/>
        <v>30.691596790092294</v>
      </c>
      <c r="CR695" s="316">
        <f t="shared" ca="1" si="306"/>
        <v>55.039807904315154</v>
      </c>
      <c r="CS695" s="317">
        <f t="shared" ca="1" si="273"/>
        <v>490.00000000000023</v>
      </c>
      <c r="CT695" s="309"/>
      <c r="CU695" s="309">
        <f t="shared" ca="1" si="274"/>
        <v>1000</v>
      </c>
      <c r="CV695" s="309" t="str">
        <f t="shared" ca="1" si="225"/>
        <v>OKAY</v>
      </c>
      <c r="CW695" s="309"/>
      <c r="CX695" s="315">
        <f>(SUM($AR695:$AS695))-((SUM($AR695:$AS695)*VLOOKUP($B695,Lifetime_morbidity_array!$A$30:$Y$48,4))+(SUM($AR695:$AS695)*VLOOKUP($B695,Lifetime_morbidity_array!$A$30:$Y$48,7))+(SUM($AR695:$AS695)*VLOOKUP($B695,Lifetime_morbidity_array!$A$30:$Y$48,10))+(SUM($AR695:$AS695)*VLOOKUP($B695,Lifetime_morbidity_array!$A$30:$Y$48,13)))</f>
        <v>230.1952521692275</v>
      </c>
      <c r="CY695" s="316">
        <f>(SUM($AT695:$AU695))-((SUM($AT695:$AU695)*(VLOOKUP($B695,Lifetime_morbidity_array!$A$30:$Y$48,3)))+(SUM($AT695:$AU695)*(VLOOKUP($B695,Lifetime_morbidity_array!$A$30:$Y$48,6)))+(SUM($AT695:$AU695)*(VLOOKUP($B695,Lifetime_morbidity_array!$A$30:$Y$48,9)))+(SUM($AT695:$AU695)*(VLOOKUP($B695,Lifetime_morbidity_array!$A$30:$Y$48,12))))</f>
        <v>48.246909891210059</v>
      </c>
      <c r="CZ695" s="316">
        <f>(SUM($AM695:$AQ695))-((SUM($AM695:$AQ695)*VLOOKUP($B695,Lifetime_morbidity_array!$A$30:$Y$48,2))+(SUM($AM695:$AQ695)*VLOOKUP($B695,Lifetime_morbidity_array!$A$30:$Y$48,5))+(SUM($AM695:$AQ695)*VLOOKUP($B695,Lifetime_morbidity_array!$A$30:$Y$48,8))+(SUM($AM695:$AQ695)*VLOOKUP($B695,Lifetime_morbidity_array!$A$30:$Y$48,11)))</f>
        <v>171.87971863384777</v>
      </c>
      <c r="DA695" s="316">
        <f>(SUM($AM695:$AQ695)*VLOOKUP($B695,Lifetime_morbidity_array!$A$30:$Y$48,2))+(SUM($AR695:$AS695)*VLOOKUP($B695,Lifetime_morbidity_array!$A$30:$Y$48,4))+(SUM($AT695:$AU695)*(VLOOKUP($B695,Lifetime_morbidity_array!$A$30:$Y$48,3)))</f>
        <v>0.90441975982687206</v>
      </c>
      <c r="DB695" s="316">
        <f>(SUM($AM695:$AQ695)*VLOOKUP($B695,Lifetime_morbidity_array!$A$30:$Y$48,5))+(SUM($AR695:$AS695)*VLOOKUP($B695,Lifetime_morbidity_array!$A$30:$Y$48,7))+(SUM($AT695:$AU695)*(VLOOKUP($B695,Lifetime_morbidity_array!$A$30:$Y$48,6)))</f>
        <v>0.18059927861796835</v>
      </c>
      <c r="DC695" s="316">
        <f>(SUM($AM695:$AQ695)*VLOOKUP($B695,Lifetime_morbidity_array!$A$30:$Y$48,8))+(SUM($AR695:$AS695)*VLOOKUP($B695,Lifetime_morbidity_array!$A$30:$Y$48,10))+(SUM($AT695:$AU695)*(VLOOKUP($B695,Lifetime_morbidity_array!$A$30:$Y$48,9)))</f>
        <v>9.0215908810551328E-3</v>
      </c>
      <c r="DD695" s="317">
        <f>(SUM($AM695:$AQ695)*VLOOKUP($B695,Lifetime_morbidity_array!$A$30:$Y$48,11))+(SUM($AR695:$AS695)*VLOOKUP($B695,Lifetime_morbidity_array!$A$30:$Y$48,13))+(SUM($AT695:$AU695)*(VLOOKUP($B695,Lifetime_morbidity_array!$A$30:$Y$48,12)))</f>
        <v>0</v>
      </c>
      <c r="DE695" s="309"/>
      <c r="DF695" s="315">
        <f ca="1">(SUM($CN695:$CO695))-((SUM($CN695:$CO695)*VLOOKUP($B695,Lifetime_morbidity_array!$A$6:$Y$24,4))+(SUM($CN695:$CO695)*VLOOKUP($B695,Lifetime_morbidity_array!$A$6:$Y$24,7))+(SUM($CN695:$CO695)*VLOOKUP($B695,Lifetime_morbidity_array!$A$6:$Y$24,10))+(SUM($CN695:$CO695)*VLOOKUP($B695,Lifetime_morbidity_array!$A$6:$Y$24,13)))</f>
        <v>168.59147749110392</v>
      </c>
      <c r="DG695" s="316">
        <f ca="1">(SUM($CP695:$CQ695))-(((SUM($CP695:$CQ695)*VLOOKUP($B695,Lifetime_morbidity_array!$A$6:$Y$24,3))+(SUM($CP695:$CQ695)*VLOOKUP($B695,Lifetime_morbidity_array!$A$6:$Y$24,6))+(SUM($CP695:$CQ695)*VLOOKUP($B695,Lifetime_morbidity_array!$A$6:$Y$24,9))+(SUM($CP695:$CQ695)*VLOOKUP($B695,Lifetime_morbidity_array!$A$6:$Y$24,12))))</f>
        <v>35.750839959244644</v>
      </c>
      <c r="DH695" s="316">
        <f ca="1">(SUM($CI695:$CM695))-((SUM($CI695:$CM695)*VLOOKUP($B695,Lifetime_morbidity_array!$A$6:$Y$24,2))+(SUM($CI695:$CM695)*VLOOKUP($B695,Lifetime_morbidity_array!$A$6:$Y$24,5))+(SUM($CI695:$CM695)*VLOOKUP($B695,Lifetime_morbidity_array!$A$6:$Y$24,8))+(SUM($CI695:$CM695)*VLOOKUP($B695,Lifetime_morbidity_array!$A$6:$Y$24,11)))</f>
        <v>229.65289555121532</v>
      </c>
      <c r="DI695" s="316">
        <f ca="1">(SUM($CI695:$CM695)*VLOOKUP($B695,Lifetime_morbidity_array!$A$6:$Y$24,2))+(SUM($CN695:$CO695)*VLOOKUP($B695,Lifetime_morbidity_array!$A$6:$Y$24,4))+(SUM($CP695:$CQ695)*VLOOKUP($B695,Lifetime_morbidity_array!$A$6:$Y$24,3))</f>
        <v>0.4355918380090642</v>
      </c>
      <c r="DJ695" s="316">
        <f ca="1">(SUM($CI695:$CM695)*VLOOKUP($B695,Lifetime_morbidity_array!$A$6:$Y$24,5))+(SUM($CN695:$CO695)*VLOOKUP($B695,Lifetime_morbidity_array!$A$6:$Y$24,7))+(SUM($CP695:$CQ695)*VLOOKUP($B695,Lifetime_morbidity_array!$A$6:$Y$24,6))</f>
        <v>8.5334137333638274E-2</v>
      </c>
      <c r="DK695" s="316">
        <f ca="1">(SUM($CI695:$CM695)*VLOOKUP($B695,Lifetime_morbidity_array!$A$6:$Y$24,8))+(SUM($CN695:$CO695)*VLOOKUP($B695,Lifetime_morbidity_array!$A$6:$Y$24,10))+(SUM($CP695:$CQ695)*VLOOKUP($B695,Lifetime_morbidity_array!$A$6:$Y$24,9))</f>
        <v>8.7126602249618622E-3</v>
      </c>
      <c r="DL695" s="317">
        <f ca="1">(SUM($CI695:$CM695)*VLOOKUP($B695,Lifetime_morbidity_array!$A$6:$Y$24,11))+(SUM($CN695:$CO695)*VLOOKUP($B695,Lifetime_morbidity_array!$A$6:$Y$24,13))+(SUM($CP695:$CQ695)*VLOOKUP($B695,Lifetime_morbidity_array!$A$6:$Y$24,12))</f>
        <v>0.43534045855349751</v>
      </c>
      <c r="DM695" s="309"/>
      <c r="DN695" s="308">
        <f t="shared" si="275"/>
        <v>29</v>
      </c>
      <c r="DO695" s="309">
        <f t="shared" ca="1" si="276"/>
        <v>326.84955643584357</v>
      </c>
      <c r="DP695" s="310">
        <f t="shared" ca="1" si="307"/>
        <v>16031.610373839232</v>
      </c>
      <c r="DQ695" s="309"/>
      <c r="DR695" s="308">
        <f t="shared" si="277"/>
        <v>29</v>
      </c>
      <c r="DS695" s="309">
        <f ca="1">((VLOOKUP($B695,'Mahawesran Tariff'!$A$21:$M$120,4)*'Comparator (DET)'!$CX695)+(VLOOKUP($B695,'Mahawesran Tariff'!$A$21:$M$120,3)*'Comparator (DET)'!$CY695)+(VLOOKUP($B695,'Mahawesran Tariff'!$A$21:$M$120,2)*'Comparator (DET)'!$CZ695)+(VLOOKUP($B695,'Mahawesran Tariff'!$A$21:$M$120,7)*'Comparator (DET)'!$DF695)+(VLOOKUP($B695,'Mahawesran Tariff'!$A$21:$M$120,6)*'Comparator (DET)'!$DG695)+(VLOOKUP($B695,'Mahawesran Tariff'!$A$21:$M$120,5)*'Comparator (DET)'!$DH695)+(DET_UTIL_chd*('Comparator (DET)'!$DA695+'Comparator (DET)'!$DI695))+(DET_UTIL_copd*('Comparator (DET)'!$DB695+'Comparator (DET)'!$DJ695))+(DET_UTIL_lc*('Comparator (DET)'!$DC695+'Comparator (DET)'!$DK695))+(DET_UTIL_stroke*('Comparator (DET)'!$DD695+'Comparator (DET)'!$DL695)))/((1+Discount_rate_QALYs)^$A695)</f>
        <v>325.68475694111373</v>
      </c>
      <c r="DT695" s="310">
        <f t="shared" ca="1" si="308"/>
        <v>16018.352956775545</v>
      </c>
      <c r="DU695" s="309"/>
      <c r="DV695" s="308">
        <f t="shared" si="278"/>
        <v>29</v>
      </c>
      <c r="DW695" s="318">
        <f t="shared" ca="1" si="279"/>
        <v>4541.2454496958098</v>
      </c>
      <c r="DX695" s="319">
        <f t="shared" ca="1" si="309"/>
        <v>5582259.9144320721</v>
      </c>
      <c r="DZ695" s="95">
        <f t="shared" si="280"/>
        <v>29</v>
      </c>
      <c r="EA695" s="268">
        <f t="shared" ca="1" si="226"/>
        <v>0.88637611341929623</v>
      </c>
      <c r="EB695" s="268">
        <f t="shared" ca="1" si="227"/>
        <v>0.11362388658070374</v>
      </c>
      <c r="EC695" s="268">
        <f t="shared" ca="1" si="228"/>
        <v>2.0590197234470571E-3</v>
      </c>
      <c r="ED695" s="290">
        <f t="shared" ca="1" si="229"/>
        <v>0.48391529539750877</v>
      </c>
      <c r="EF695" s="95">
        <f t="shared" si="281"/>
        <v>29</v>
      </c>
      <c r="EG695" s="339">
        <f t="shared" ca="1" si="282"/>
        <v>4541.2454496958098</v>
      </c>
      <c r="EH695" s="341">
        <f t="shared" ca="1" si="310"/>
        <v>8682391.8502881601</v>
      </c>
      <c r="EJ695" s="308">
        <f t="shared" si="283"/>
        <v>29</v>
      </c>
      <c r="EK695" s="318">
        <f t="shared" ca="1" si="284"/>
        <v>4541.2454496958098</v>
      </c>
      <c r="EL695" s="319">
        <f t="shared" ca="1" si="311"/>
        <v>5582259.9144320721</v>
      </c>
      <c r="EN695" s="95">
        <f t="shared" si="285"/>
        <v>29</v>
      </c>
      <c r="EO695" s="339">
        <f t="shared" ca="1" si="286"/>
        <v>4541.2454496958098</v>
      </c>
      <c r="EP695" s="341">
        <f t="shared" ca="1" si="312"/>
        <v>8682391.8502881601</v>
      </c>
    </row>
    <row r="696" spans="1:146" s="266" customFormat="1" x14ac:dyDescent="0.25">
      <c r="A696" s="313">
        <v>30</v>
      </c>
      <c r="B696" s="314">
        <v>30</v>
      </c>
      <c r="C696" s="308">
        <f>VLOOKUP($B696,'Infant adult mortality'!$A$27:$I$128,3)</f>
        <v>3.8759999999999999E-4</v>
      </c>
      <c r="D696" s="309">
        <f t="shared" si="230"/>
        <v>0.27</v>
      </c>
      <c r="E696" s="309">
        <f>VLOOKUP($B696,'Infant pick up smoking rates'!$A$19:$I$104,3)</f>
        <v>1.5201831243956284E-3</v>
      </c>
      <c r="F696" s="309">
        <f t="shared" si="231"/>
        <v>3.8415864297253635E-3</v>
      </c>
      <c r="G696" s="309">
        <f t="shared" si="232"/>
        <v>0.72425063044587901</v>
      </c>
      <c r="H696" s="309">
        <f>VLOOKUP($B696,'Infant adult mortality'!$A$27:$I$128,3)</f>
        <v>3.8759999999999999E-4</v>
      </c>
      <c r="I696" s="309">
        <f t="shared" si="233"/>
        <v>0.14000000000000001</v>
      </c>
      <c r="J696" s="309">
        <f>VLOOKUP($B696,'Infant pick up smoking rates'!$A$19:$I$104,2)</f>
        <v>1.5201831243956284E-3</v>
      </c>
      <c r="K696" s="309">
        <f t="shared" si="234"/>
        <v>3.8415864297253635E-3</v>
      </c>
      <c r="L696" s="309">
        <f t="shared" si="235"/>
        <v>0.85425063044587901</v>
      </c>
      <c r="M696" s="309">
        <f>VLOOKUP($B696,'Infant adult mortality'!$A$27:$I$128,3)</f>
        <v>3.8759999999999999E-4</v>
      </c>
      <c r="N696" s="309">
        <f t="shared" si="236"/>
        <v>0.5714285714285714</v>
      </c>
      <c r="O696" s="309">
        <f>VLOOKUP($B696,'Infant pick up smoking rates'!$A$19:$I$104,2)</f>
        <v>1.5201831243956284E-3</v>
      </c>
      <c r="P696" s="309">
        <f t="shared" si="237"/>
        <v>2.5358255250403877E-3</v>
      </c>
      <c r="Q696" s="309">
        <f t="shared" si="238"/>
        <v>0.42412781992199261</v>
      </c>
      <c r="R696" s="309">
        <f>VLOOKUP($B696,'Infant adult mortality'!$A$27:$I$128,3)</f>
        <v>3.8759999999999999E-4</v>
      </c>
      <c r="S696" s="309">
        <f t="shared" si="239"/>
        <v>8.6261668788331098E-3</v>
      </c>
      <c r="T696" s="309">
        <f>VLOOKUP($B696,'Infant pick up smoking rates'!$A$19:$I$104,2)</f>
        <v>1.5201831243956284E-3</v>
      </c>
      <c r="U696" s="309">
        <f t="shared" si="240"/>
        <v>2.5358255250403877E-3</v>
      </c>
      <c r="V696" s="309">
        <f t="shared" si="241"/>
        <v>0.98693022447173084</v>
      </c>
      <c r="W696" s="309">
        <f>VLOOKUP($B696,'Infant adult mortality'!$A$27:$I$128,3)</f>
        <v>3.8759999999999999E-4</v>
      </c>
      <c r="X696" s="309">
        <f>VLOOKUP($B696,'Infant pick up smoking rates'!$A$19:$I$104,2)</f>
        <v>1.5201831243956284E-3</v>
      </c>
      <c r="Y696" s="309">
        <f t="shared" si="242"/>
        <v>0.99809221687560434</v>
      </c>
      <c r="Z696" s="309">
        <f>VLOOKUP($B696,'Infant adult mortality'!$A$27:$I$128,5)</f>
        <v>3.8759999999999999E-4</v>
      </c>
      <c r="AA696" s="309">
        <f t="shared" si="243"/>
        <v>0.25</v>
      </c>
      <c r="AB696" s="309">
        <f t="shared" si="244"/>
        <v>0.74961239999999996</v>
      </c>
      <c r="AC696" s="309">
        <f>VLOOKUP($B696,'Infant adult mortality'!$A$27:$I$128,5)</f>
        <v>3.8759999999999999E-4</v>
      </c>
      <c r="AD696" s="309">
        <f t="shared" si="245"/>
        <v>0.14000000000000001</v>
      </c>
      <c r="AE696" s="309">
        <f t="shared" si="246"/>
        <v>0.85961239999999994</v>
      </c>
      <c r="AF696" s="309">
        <f>VLOOKUP($B696,'Infant adult mortality'!$A$27:$I$128,4)</f>
        <v>3.8759999999999999E-4</v>
      </c>
      <c r="AG696" s="309">
        <f t="shared" si="247"/>
        <v>0.5714285714285714</v>
      </c>
      <c r="AH696" s="309">
        <f t="shared" si="248"/>
        <v>0.42818382857142862</v>
      </c>
      <c r="AI696" s="309">
        <f>VLOOKUP($B696,'Infant adult mortality'!$A$27:$I$128,4)</f>
        <v>3.8759999999999999E-4</v>
      </c>
      <c r="AJ696" s="309">
        <f t="shared" si="249"/>
        <v>8.6261668788331098E-3</v>
      </c>
      <c r="AK696" s="309">
        <f t="shared" si="250"/>
        <v>0.99098623312116685</v>
      </c>
      <c r="AL696" s="309"/>
      <c r="AM696" s="315">
        <f t="shared" si="287"/>
        <v>72.464684785578996</v>
      </c>
      <c r="AN696" s="316">
        <f t="shared" si="288"/>
        <v>19.896418159845062</v>
      </c>
      <c r="AO696" s="316">
        <f t="shared" si="289"/>
        <v>2.8321334715853173</v>
      </c>
      <c r="AP696" s="316">
        <f t="shared" si="290"/>
        <v>69.384494813306389</v>
      </c>
      <c r="AQ696" s="316">
        <f t="shared" si="291"/>
        <v>7.3908570578970956</v>
      </c>
      <c r="AR696" s="316">
        <f t="shared" si="292"/>
        <v>181.56875832003021</v>
      </c>
      <c r="AS696" s="316">
        <f t="shared" si="293"/>
        <v>46.021934197691287</v>
      </c>
      <c r="AT696" s="316">
        <f t="shared" si="294"/>
        <v>6.5333472918813511</v>
      </c>
      <c r="AU696" s="316">
        <f t="shared" si="295"/>
        <v>45.148324414690443</v>
      </c>
      <c r="AV696" s="316">
        <f t="shared" si="296"/>
        <v>58.759047487493618</v>
      </c>
      <c r="AW696" s="317">
        <f t="shared" si="251"/>
        <v>509.99999999999972</v>
      </c>
      <c r="AX696" s="309"/>
      <c r="AY696" s="308">
        <f>VLOOKUP($B696,'Infant adult mortality'!$A$134:$I$234,3)</f>
        <v>2.386E-4</v>
      </c>
      <c r="AZ696" s="309">
        <f t="shared" si="252"/>
        <v>0.27</v>
      </c>
      <c r="BA696" s="309">
        <f ca="1">VLOOKUP($B696,'Infant pick up smoking rates'!$A$19:$I$104,7)</f>
        <v>3.9916955482353625E-3</v>
      </c>
      <c r="BB696" s="309">
        <f t="shared" si="253"/>
        <v>3.8415864297253635E-3</v>
      </c>
      <c r="BC696" s="309">
        <f t="shared" ca="1" si="254"/>
        <v>0.72192811802203938</v>
      </c>
      <c r="BD696" s="309">
        <f>VLOOKUP($B696,'Infant adult mortality'!$A$134:$I$234,3)</f>
        <v>2.386E-4</v>
      </c>
      <c r="BE696" s="309">
        <f t="shared" si="255"/>
        <v>0.14000000000000001</v>
      </c>
      <c r="BF696" s="309">
        <f>VLOOKUP($B696,'Infant pick up smoking rates'!$A$19:$I$104,6)</f>
        <v>1.9288936901483743E-3</v>
      </c>
      <c r="BG696" s="309">
        <f t="shared" si="256"/>
        <v>3.8415864297253635E-3</v>
      </c>
      <c r="BH696" s="309">
        <f t="shared" si="257"/>
        <v>0.85399091988012632</v>
      </c>
      <c r="BI696" s="309">
        <f>VLOOKUP($B696,'Infant adult mortality'!$A$134:$I$234,3)</f>
        <v>2.386E-4</v>
      </c>
      <c r="BJ696" s="309">
        <f t="shared" si="258"/>
        <v>0.5714285714285714</v>
      </c>
      <c r="BK696" s="309">
        <f>VLOOKUP($B696,'Infant pick up smoking rates'!$A$19:$I$104,6)</f>
        <v>1.9288936901483743E-3</v>
      </c>
      <c r="BL696" s="309">
        <f t="shared" si="259"/>
        <v>2.5358255250403877E-3</v>
      </c>
      <c r="BM696" s="309">
        <f t="shared" si="260"/>
        <v>0.42386810935623986</v>
      </c>
      <c r="BN696" s="309">
        <f>VLOOKUP($B696,'Infant adult mortality'!$A$134:$I$234,3)</f>
        <v>2.386E-4</v>
      </c>
      <c r="BO696" s="309">
        <f t="shared" si="261"/>
        <v>8.6261668788331098E-3</v>
      </c>
      <c r="BP696" s="309">
        <f>VLOOKUP($B696,'Infant pick up smoking rates'!$A$19:$I$104,6)</f>
        <v>1.9288936901483743E-3</v>
      </c>
      <c r="BQ696" s="309">
        <f t="shared" si="262"/>
        <v>2.5358255250403877E-3</v>
      </c>
      <c r="BR696" s="309">
        <f t="shared" si="263"/>
        <v>0.98667051390597815</v>
      </c>
      <c r="BS696" s="309">
        <f>VLOOKUP($B696,'Infant adult mortality'!$A$134:$I$234,3)</f>
        <v>2.386E-4</v>
      </c>
      <c r="BT696" s="309">
        <f>VLOOKUP($B696,'Infant pick up smoking rates'!$A$19:$I$104,6)</f>
        <v>1.9288936901483743E-3</v>
      </c>
      <c r="BU696" s="309">
        <f t="shared" si="264"/>
        <v>0.99783250630985165</v>
      </c>
      <c r="BV696" s="309">
        <f>VLOOKUP($B696,'Infant adult mortality'!$A$134:$I$234,5)</f>
        <v>2.386E-4</v>
      </c>
      <c r="BW696" s="309">
        <f t="shared" si="265"/>
        <v>0.27</v>
      </c>
      <c r="BX696" s="309">
        <f t="shared" si="266"/>
        <v>0.7297614</v>
      </c>
      <c r="BY696" s="309">
        <f>VLOOKUP($B696,'Infant adult mortality'!$A$134:$I$234,5)</f>
        <v>2.386E-4</v>
      </c>
      <c r="BZ696" s="309">
        <f t="shared" si="267"/>
        <v>0.14000000000000001</v>
      </c>
      <c r="CA696" s="309">
        <f t="shared" si="268"/>
        <v>0.85976140000000001</v>
      </c>
      <c r="CB696" s="309">
        <f>VLOOKUP($B696,'Infant adult mortality'!$A$134:$I$234,4)</f>
        <v>2.386E-4</v>
      </c>
      <c r="CC696" s="309">
        <f t="shared" si="269"/>
        <v>0.5714285714285714</v>
      </c>
      <c r="CD696" s="309">
        <f t="shared" si="270"/>
        <v>0.42833282857142863</v>
      </c>
      <c r="CE696" s="309">
        <f>VLOOKUP($B696,'Infant adult mortality'!$A$134:$I$234,4)</f>
        <v>2.386E-4</v>
      </c>
      <c r="CF696" s="309">
        <f t="shared" si="271"/>
        <v>8.6261668788331098E-3</v>
      </c>
      <c r="CG696" s="309">
        <f t="shared" si="272"/>
        <v>0.99113523312116691</v>
      </c>
      <c r="CH696" s="309"/>
      <c r="CI696" s="315">
        <f t="shared" ca="1" si="297"/>
        <v>99.442058248024239</v>
      </c>
      <c r="CJ696" s="316">
        <f t="shared" ca="1" si="298"/>
        <v>27.368111114065837</v>
      </c>
      <c r="CK696" s="316">
        <f t="shared" ca="1" si="299"/>
        <v>3.9049640826870227</v>
      </c>
      <c r="CL696" s="316">
        <f t="shared" ca="1" si="300"/>
        <v>88.994740537500149</v>
      </c>
      <c r="CM696" s="316">
        <f t="shared" ca="1" si="301"/>
        <v>9.7456793381933426</v>
      </c>
      <c r="CN696" s="316">
        <f t="shared" ca="1" si="302"/>
        <v>131.13819951468341</v>
      </c>
      <c r="CO696" s="316">
        <f t="shared" ca="1" si="303"/>
        <v>35.82988887476936</v>
      </c>
      <c r="CP696" s="316">
        <f t="shared" ca="1" si="304"/>
        <v>5.0768262880414801</v>
      </c>
      <c r="CQ696" s="316">
        <f t="shared" ca="1" si="305"/>
        <v>33.355942595886212</v>
      </c>
      <c r="CR696" s="316">
        <f t="shared" ca="1" si="306"/>
        <v>55.143589406149182</v>
      </c>
      <c r="CS696" s="317">
        <f t="shared" ca="1" si="273"/>
        <v>490.00000000000034</v>
      </c>
      <c r="CT696" s="309"/>
      <c r="CU696" s="309">
        <f t="shared" ca="1" si="274"/>
        <v>1000</v>
      </c>
      <c r="CV696" s="309" t="str">
        <f t="shared" ca="1" si="225"/>
        <v>OKAY</v>
      </c>
      <c r="CW696" s="309"/>
      <c r="CX696" s="315">
        <f>(SUM($AR696:$AS696))-((SUM($AR696:$AS696)*VLOOKUP($B696,Lifetime_morbidity_array!$A$30:$Y$48,4))+(SUM($AR696:$AS696)*VLOOKUP($B696,Lifetime_morbidity_array!$A$30:$Y$48,7))+(SUM($AR696:$AS696)*VLOOKUP($B696,Lifetime_morbidity_array!$A$30:$Y$48,10))+(SUM($AR696:$AS696)*VLOOKUP($B696,Lifetime_morbidity_array!$A$30:$Y$48,13)))</f>
        <v>227.01747957874531</v>
      </c>
      <c r="CY696" s="316">
        <f>(SUM($AT696:$AU696))-((SUM($AT696:$AU696)*(VLOOKUP($B696,Lifetime_morbidity_array!$A$30:$Y$48,3)))+(SUM($AT696:$AU696)*(VLOOKUP($B696,Lifetime_morbidity_array!$A$30:$Y$48,6)))+(SUM($AT696:$AU696)*(VLOOKUP($B696,Lifetime_morbidity_array!$A$30:$Y$48,9)))+(SUM($AT696:$AU696)*(VLOOKUP($B696,Lifetime_morbidity_array!$A$30:$Y$48,12))))</f>
        <v>51.551505562243108</v>
      </c>
      <c r="CZ696" s="316">
        <f>(SUM($AM696:$AQ696))-((SUM($AM696:$AQ696)*VLOOKUP($B696,Lifetime_morbidity_array!$A$30:$Y$48,2))+(SUM($AM696:$AQ696)*VLOOKUP($B696,Lifetime_morbidity_array!$A$30:$Y$48,5))+(SUM($AM696:$AQ696)*VLOOKUP($B696,Lifetime_morbidity_array!$A$30:$Y$48,8))+(SUM($AM696:$AQ696)*VLOOKUP($B696,Lifetime_morbidity_array!$A$30:$Y$48,11)))</f>
        <v>171.53546591921881</v>
      </c>
      <c r="DA696" s="316">
        <f>(SUM($AM696:$AQ696)*VLOOKUP($B696,Lifetime_morbidity_array!$A$30:$Y$48,2))+(SUM($AR696:$AS696)*VLOOKUP($B696,Lifetime_morbidity_array!$A$30:$Y$48,4))+(SUM($AT696:$AU696)*(VLOOKUP($B696,Lifetime_morbidity_array!$A$30:$Y$48,3)))</f>
        <v>0.90211367411328125</v>
      </c>
      <c r="DB696" s="316">
        <f>(SUM($AM696:$AQ696)*VLOOKUP($B696,Lifetime_morbidity_array!$A$30:$Y$48,5))+(SUM($AR696:$AS696)*VLOOKUP($B696,Lifetime_morbidity_array!$A$30:$Y$48,7))+(SUM($AT696:$AU696)*(VLOOKUP($B696,Lifetime_morbidity_array!$A$30:$Y$48,6)))</f>
        <v>0.22536951941714117</v>
      </c>
      <c r="DC696" s="316">
        <f>(SUM($AM696:$AQ696)*VLOOKUP($B696,Lifetime_morbidity_array!$A$30:$Y$48,8))+(SUM($AR696:$AS696)*VLOOKUP($B696,Lifetime_morbidity_array!$A$30:$Y$48,10))+(SUM($AT696:$AU696)*(VLOOKUP($B696,Lifetime_morbidity_array!$A$30:$Y$48,9)))</f>
        <v>9.0182587684924948E-3</v>
      </c>
      <c r="DD696" s="317">
        <f>(SUM($AM696:$AQ696)*VLOOKUP($B696,Lifetime_morbidity_array!$A$30:$Y$48,11))+(SUM($AR696:$AS696)*VLOOKUP($B696,Lifetime_morbidity_array!$A$30:$Y$48,13))+(SUM($AT696:$AU696)*(VLOOKUP($B696,Lifetime_morbidity_array!$A$30:$Y$48,12)))</f>
        <v>0</v>
      </c>
      <c r="DE696" s="309"/>
      <c r="DF696" s="315">
        <f ca="1">(SUM($CN696:$CO696))-((SUM($CN696:$CO696)*VLOOKUP($B696,Lifetime_morbidity_array!$A$6:$Y$24,4))+(SUM($CN696:$CO696)*VLOOKUP($B696,Lifetime_morbidity_array!$A$6:$Y$24,7))+(SUM($CN696:$CO696)*VLOOKUP($B696,Lifetime_morbidity_array!$A$6:$Y$24,10))+(SUM($CN696:$CO696)*VLOOKUP($B696,Lifetime_morbidity_array!$A$6:$Y$24,13)))</f>
        <v>166.57009209573556</v>
      </c>
      <c r="DG696" s="316">
        <f ca="1">(SUM($CP696:$CQ696))-(((SUM($CP696:$CQ696)*VLOOKUP($B696,Lifetime_morbidity_array!$A$6:$Y$24,3))+(SUM($CP696:$CQ696)*VLOOKUP($B696,Lifetime_morbidity_array!$A$6:$Y$24,6))+(SUM($CP696:$CQ696)*VLOOKUP($B696,Lifetime_morbidity_array!$A$6:$Y$24,9))+(SUM($CP696:$CQ696)*VLOOKUP($B696,Lifetime_morbidity_array!$A$6:$Y$24,12))))</f>
        <v>38.341157967610471</v>
      </c>
      <c r="DH696" s="316">
        <f ca="1">(SUM($CI696:$CM696))-((SUM($CI696:$CM696)*VLOOKUP($B696,Lifetime_morbidity_array!$A$6:$Y$24,2))+(SUM($CI696:$CM696)*VLOOKUP($B696,Lifetime_morbidity_array!$A$6:$Y$24,5))+(SUM($CI696:$CM696)*VLOOKUP($B696,Lifetime_morbidity_array!$A$6:$Y$24,8))+(SUM($CI696:$CM696)*VLOOKUP($B696,Lifetime_morbidity_array!$A$6:$Y$24,11)))</f>
        <v>228.90860772939834</v>
      </c>
      <c r="DI696" s="316">
        <f ca="1">(SUM($CI696:$CM696)*VLOOKUP($B696,Lifetime_morbidity_array!$A$6:$Y$24,2))+(SUM($CN696:$CO696)*VLOOKUP($B696,Lifetime_morbidity_array!$A$6:$Y$24,4))+(SUM($CP696:$CQ696)*VLOOKUP($B696,Lifetime_morbidity_array!$A$6:$Y$24,3))</f>
        <v>0.43338773055962504</v>
      </c>
      <c r="DJ696" s="316">
        <f ca="1">(SUM($CI696:$CM696)*VLOOKUP($B696,Lifetime_morbidity_array!$A$6:$Y$24,5))+(SUM($CN696:$CO696)*VLOOKUP($B696,Lifetime_morbidity_array!$A$6:$Y$24,7))+(SUM($CP696:$CQ696)*VLOOKUP($B696,Lifetime_morbidity_array!$A$6:$Y$24,6))</f>
        <v>0.15887374025858483</v>
      </c>
      <c r="DK696" s="316">
        <f ca="1">(SUM($CI696:$CM696)*VLOOKUP($B696,Lifetime_morbidity_array!$A$6:$Y$24,8))+(SUM($CN696:$CO696)*VLOOKUP($B696,Lifetime_morbidity_array!$A$6:$Y$24,10))+(SUM($CP696:$CQ696)*VLOOKUP($B696,Lifetime_morbidity_array!$A$6:$Y$24,9))</f>
        <v>8.6938834167627783E-3</v>
      </c>
      <c r="DL696" s="317">
        <f ca="1">(SUM($CI696:$CM696)*VLOOKUP($B696,Lifetime_morbidity_array!$A$6:$Y$24,11))+(SUM($CN696:$CO696)*VLOOKUP($B696,Lifetime_morbidity_array!$A$6:$Y$24,13))+(SUM($CP696:$CQ696)*VLOOKUP($B696,Lifetime_morbidity_array!$A$6:$Y$24,12))</f>
        <v>0.43559744687170304</v>
      </c>
      <c r="DM696" s="309"/>
      <c r="DN696" s="308">
        <f t="shared" si="275"/>
        <v>30</v>
      </c>
      <c r="DO696" s="309">
        <f t="shared" ca="1" si="276"/>
        <v>315.69736016642412</v>
      </c>
      <c r="DP696" s="310">
        <f t="shared" ca="1" si="307"/>
        <v>16347.307734005657</v>
      </c>
      <c r="DQ696" s="309"/>
      <c r="DR696" s="308">
        <f t="shared" si="277"/>
        <v>30</v>
      </c>
      <c r="DS696" s="309">
        <f ca="1">((VLOOKUP($B696,'Mahawesran Tariff'!$A$21:$M$120,4)*'Comparator (DET)'!$CX696)+(VLOOKUP($B696,'Mahawesran Tariff'!$A$21:$M$120,3)*'Comparator (DET)'!$CY696)+(VLOOKUP($B696,'Mahawesran Tariff'!$A$21:$M$120,2)*'Comparator (DET)'!$CZ696)+(VLOOKUP($B696,'Mahawesran Tariff'!$A$21:$M$120,7)*'Comparator (DET)'!$DF696)+(VLOOKUP($B696,'Mahawesran Tariff'!$A$21:$M$120,6)*'Comparator (DET)'!$DG696)+(VLOOKUP($B696,'Mahawesran Tariff'!$A$21:$M$120,5)*'Comparator (DET)'!$DH696)+(DET_UTIL_chd*('Comparator (DET)'!$DA696+'Comparator (DET)'!$DI696))+(DET_UTIL_copd*('Comparator (DET)'!$DB696+'Comparator (DET)'!$DJ696))+(DET_UTIL_lc*('Comparator (DET)'!$DC696+'Comparator (DET)'!$DK696))+(DET_UTIL_stroke*('Comparator (DET)'!$DD696+'Comparator (DET)'!$DL696)))/((1+Discount_rate_QALYs)^$A696)</f>
        <v>314.58364230450849</v>
      </c>
      <c r="DT696" s="310">
        <f t="shared" ca="1" si="308"/>
        <v>16332.936599080054</v>
      </c>
      <c r="DU696" s="309"/>
      <c r="DV696" s="308">
        <f t="shared" si="278"/>
        <v>30</v>
      </c>
      <c r="DW696" s="318">
        <f t="shared" ca="1" si="279"/>
        <v>4422.197087104887</v>
      </c>
      <c r="DX696" s="319">
        <f t="shared" ca="1" si="309"/>
        <v>5586682.1115191765</v>
      </c>
      <c r="DZ696" s="95">
        <f t="shared" si="280"/>
        <v>30</v>
      </c>
      <c r="EA696" s="268">
        <f t="shared" ca="1" si="226"/>
        <v>0.88609736310635734</v>
      </c>
      <c r="EB696" s="268">
        <f t="shared" ca="1" si="227"/>
        <v>0.1139026368936428</v>
      </c>
      <c r="EC696" s="268">
        <f t="shared" ca="1" si="228"/>
        <v>2.1730542534055906E-3</v>
      </c>
      <c r="ED696" s="290">
        <f t="shared" ca="1" si="229"/>
        <v>0.48467322149767367</v>
      </c>
      <c r="EF696" s="95">
        <f t="shared" si="281"/>
        <v>30</v>
      </c>
      <c r="EG696" s="339">
        <f t="shared" ca="1" si="282"/>
        <v>4422.197087104887</v>
      </c>
      <c r="EH696" s="341">
        <f t="shared" ca="1" si="310"/>
        <v>8686814.0473752655</v>
      </c>
      <c r="EJ696" s="308">
        <f t="shared" si="283"/>
        <v>30</v>
      </c>
      <c r="EK696" s="318">
        <f t="shared" ca="1" si="284"/>
        <v>4422.197087104887</v>
      </c>
      <c r="EL696" s="319">
        <f t="shared" ca="1" si="311"/>
        <v>5586682.1115191765</v>
      </c>
      <c r="EN696" s="95">
        <f t="shared" si="285"/>
        <v>30</v>
      </c>
      <c r="EO696" s="339">
        <f t="shared" ca="1" si="286"/>
        <v>4422.197087104887</v>
      </c>
      <c r="EP696" s="341">
        <f t="shared" ca="1" si="312"/>
        <v>8686814.0473752655</v>
      </c>
    </row>
    <row r="697" spans="1:146" s="266" customFormat="1" x14ac:dyDescent="0.25">
      <c r="A697" s="313">
        <v>31</v>
      </c>
      <c r="B697" s="314">
        <v>31</v>
      </c>
      <c r="C697" s="308">
        <f>VLOOKUP($B697,'Infant adult mortality'!$A$27:$I$128,3)</f>
        <v>4.2200000000000001E-4</v>
      </c>
      <c r="D697" s="309">
        <f t="shared" si="230"/>
        <v>0.27</v>
      </c>
      <c r="E697" s="309">
        <f>VLOOKUP($B697,'Infant pick up smoking rates'!$A$19:$I$104,3)</f>
        <v>1.5201831243956284E-3</v>
      </c>
      <c r="F697" s="309">
        <f t="shared" si="231"/>
        <v>4.1541211631663973E-3</v>
      </c>
      <c r="G697" s="309">
        <f t="shared" si="232"/>
        <v>0.72390369571243796</v>
      </c>
      <c r="H697" s="309">
        <f>VLOOKUP($B697,'Infant adult mortality'!$A$27:$I$128,3)</f>
        <v>4.2200000000000001E-4</v>
      </c>
      <c r="I697" s="309">
        <f t="shared" si="233"/>
        <v>0.14000000000000001</v>
      </c>
      <c r="J697" s="309">
        <f>VLOOKUP($B697,'Infant pick up smoking rates'!$A$19:$I$104,2)</f>
        <v>1.5201831243956284E-3</v>
      </c>
      <c r="K697" s="309">
        <f t="shared" si="234"/>
        <v>4.1541211631663973E-3</v>
      </c>
      <c r="L697" s="309">
        <f t="shared" si="235"/>
        <v>0.85390369571243796</v>
      </c>
      <c r="M697" s="309">
        <f>VLOOKUP($B697,'Infant adult mortality'!$A$27:$I$128,3)</f>
        <v>4.2200000000000001E-4</v>
      </c>
      <c r="N697" s="309">
        <f t="shared" si="236"/>
        <v>0.5714285714285714</v>
      </c>
      <c r="O697" s="309">
        <f>VLOOKUP($B697,'Infant pick up smoking rates'!$A$19:$I$104,2)</f>
        <v>1.5201831243956284E-3</v>
      </c>
      <c r="P697" s="309">
        <f t="shared" si="237"/>
        <v>2.7421292407108235E-3</v>
      </c>
      <c r="Q697" s="309">
        <f t="shared" si="238"/>
        <v>0.42388711620632219</v>
      </c>
      <c r="R697" s="309">
        <f>VLOOKUP($B697,'Infant adult mortality'!$A$27:$I$128,3)</f>
        <v>4.2200000000000001E-4</v>
      </c>
      <c r="S697" s="309">
        <f t="shared" si="239"/>
        <v>8.6261668788331098E-3</v>
      </c>
      <c r="T697" s="309">
        <f>VLOOKUP($B697,'Infant pick up smoking rates'!$A$19:$I$104,2)</f>
        <v>1.5201831243956284E-3</v>
      </c>
      <c r="U697" s="309">
        <f t="shared" si="240"/>
        <v>2.7421292407108235E-3</v>
      </c>
      <c r="V697" s="309">
        <f t="shared" si="241"/>
        <v>0.98668952075606042</v>
      </c>
      <c r="W697" s="309">
        <f>VLOOKUP($B697,'Infant adult mortality'!$A$27:$I$128,3)</f>
        <v>4.2200000000000001E-4</v>
      </c>
      <c r="X697" s="309">
        <f>VLOOKUP($B697,'Infant pick up smoking rates'!$A$19:$I$104,2)</f>
        <v>1.5201831243956284E-3</v>
      </c>
      <c r="Y697" s="309">
        <f t="shared" si="242"/>
        <v>0.99805781687560435</v>
      </c>
      <c r="Z697" s="309">
        <f>VLOOKUP($B697,'Infant adult mortality'!$A$27:$I$128,5)</f>
        <v>4.2200000000000001E-4</v>
      </c>
      <c r="AA697" s="309">
        <f t="shared" si="243"/>
        <v>0.25</v>
      </c>
      <c r="AB697" s="309">
        <f t="shared" si="244"/>
        <v>0.74957799999999997</v>
      </c>
      <c r="AC697" s="309">
        <f>VLOOKUP($B697,'Infant adult mortality'!$A$27:$I$128,5)</f>
        <v>4.2200000000000001E-4</v>
      </c>
      <c r="AD697" s="309">
        <f t="shared" si="245"/>
        <v>0.14000000000000001</v>
      </c>
      <c r="AE697" s="309">
        <f t="shared" si="246"/>
        <v>0.85957799999999995</v>
      </c>
      <c r="AF697" s="309">
        <f>VLOOKUP($B697,'Infant adult mortality'!$A$27:$I$128,4)</f>
        <v>4.2200000000000001E-4</v>
      </c>
      <c r="AG697" s="309">
        <f t="shared" si="247"/>
        <v>0.5714285714285714</v>
      </c>
      <c r="AH697" s="309">
        <f t="shared" si="248"/>
        <v>0.42814942857142863</v>
      </c>
      <c r="AI697" s="309">
        <f>VLOOKUP($B697,'Infant adult mortality'!$A$27:$I$128,4)</f>
        <v>4.2200000000000001E-4</v>
      </c>
      <c r="AJ697" s="309">
        <f t="shared" si="249"/>
        <v>8.6261668788331098E-3</v>
      </c>
      <c r="AK697" s="309">
        <f t="shared" si="250"/>
        <v>0.99095183312116686</v>
      </c>
      <c r="AL697" s="309"/>
      <c r="AM697" s="315">
        <f t="shared" si="287"/>
        <v>71.246105244094082</v>
      </c>
      <c r="AN697" s="316">
        <f t="shared" si="288"/>
        <v>19.565464892106331</v>
      </c>
      <c r="AO697" s="316">
        <f t="shared" si="289"/>
        <v>2.785498542378309</v>
      </c>
      <c r="AP697" s="316">
        <f t="shared" si="290"/>
        <v>70.07931591900568</v>
      </c>
      <c r="AQ697" s="316">
        <f t="shared" si="291"/>
        <v>7.95820920052895</v>
      </c>
      <c r="AR697" s="316">
        <f t="shared" si="292"/>
        <v>179.10751851401511</v>
      </c>
      <c r="AS697" s="316">
        <f t="shared" si="293"/>
        <v>45.392189580007553</v>
      </c>
      <c r="AT697" s="316">
        <f t="shared" si="294"/>
        <v>6.4430707876767812</v>
      </c>
      <c r="AU697" s="316">
        <f t="shared" si="295"/>
        <v>48.473156150733111</v>
      </c>
      <c r="AV697" s="316">
        <f t="shared" si="296"/>
        <v>58.949471169453886</v>
      </c>
      <c r="AW697" s="317">
        <f t="shared" si="251"/>
        <v>509.99999999999983</v>
      </c>
      <c r="AX697" s="309"/>
      <c r="AY697" s="308">
        <f>VLOOKUP($B697,'Infant adult mortality'!$A$134:$I$234,3)</f>
        <v>2.6340000000000001E-4</v>
      </c>
      <c r="AZ697" s="309">
        <f t="shared" si="252"/>
        <v>0.27</v>
      </c>
      <c r="BA697" s="309">
        <f ca="1">VLOOKUP($B697,'Infant pick up smoking rates'!$A$19:$I$104,7)</f>
        <v>3.9916955482353625E-3</v>
      </c>
      <c r="BB697" s="309">
        <f t="shared" si="253"/>
        <v>4.1541211631663973E-3</v>
      </c>
      <c r="BC697" s="309">
        <f t="shared" ca="1" si="254"/>
        <v>0.72159078328859827</v>
      </c>
      <c r="BD697" s="309">
        <f>VLOOKUP($B697,'Infant adult mortality'!$A$134:$I$234,3)</f>
        <v>2.6340000000000001E-4</v>
      </c>
      <c r="BE697" s="309">
        <f t="shared" si="255"/>
        <v>0.14000000000000001</v>
      </c>
      <c r="BF697" s="309">
        <f>VLOOKUP($B697,'Infant pick up smoking rates'!$A$19:$I$104,6)</f>
        <v>1.9288936901483743E-3</v>
      </c>
      <c r="BG697" s="309">
        <f t="shared" si="256"/>
        <v>4.1541211631663973E-3</v>
      </c>
      <c r="BH697" s="309">
        <f t="shared" si="257"/>
        <v>0.85365358514668521</v>
      </c>
      <c r="BI697" s="309">
        <f>VLOOKUP($B697,'Infant adult mortality'!$A$134:$I$234,3)</f>
        <v>2.6340000000000001E-4</v>
      </c>
      <c r="BJ697" s="309">
        <f t="shared" si="258"/>
        <v>0.5714285714285714</v>
      </c>
      <c r="BK697" s="309">
        <f>VLOOKUP($B697,'Infant pick up smoking rates'!$A$19:$I$104,6)</f>
        <v>1.9288936901483743E-3</v>
      </c>
      <c r="BL697" s="309">
        <f t="shared" si="259"/>
        <v>2.7421292407108235E-3</v>
      </c>
      <c r="BM697" s="309">
        <f t="shared" si="260"/>
        <v>0.42363700564056939</v>
      </c>
      <c r="BN697" s="309">
        <f>VLOOKUP($B697,'Infant adult mortality'!$A$134:$I$234,3)</f>
        <v>2.6340000000000001E-4</v>
      </c>
      <c r="BO697" s="309">
        <f t="shared" si="261"/>
        <v>8.6261668788331098E-3</v>
      </c>
      <c r="BP697" s="309">
        <f>VLOOKUP($B697,'Infant pick up smoking rates'!$A$19:$I$104,6)</f>
        <v>1.9288936901483743E-3</v>
      </c>
      <c r="BQ697" s="309">
        <f t="shared" si="262"/>
        <v>2.7421292407108235E-3</v>
      </c>
      <c r="BR697" s="309">
        <f t="shared" si="263"/>
        <v>0.98643941019030768</v>
      </c>
      <c r="BS697" s="309">
        <f>VLOOKUP($B697,'Infant adult mortality'!$A$134:$I$234,3)</f>
        <v>2.6340000000000001E-4</v>
      </c>
      <c r="BT697" s="309">
        <f>VLOOKUP($B697,'Infant pick up smoking rates'!$A$19:$I$104,6)</f>
        <v>1.9288936901483743E-3</v>
      </c>
      <c r="BU697" s="309">
        <f t="shared" si="264"/>
        <v>0.99780770630985161</v>
      </c>
      <c r="BV697" s="309">
        <f>VLOOKUP($B697,'Infant adult mortality'!$A$134:$I$234,5)</f>
        <v>2.6340000000000001E-4</v>
      </c>
      <c r="BW697" s="309">
        <f t="shared" si="265"/>
        <v>0.27</v>
      </c>
      <c r="BX697" s="309">
        <f t="shared" si="266"/>
        <v>0.72973659999999996</v>
      </c>
      <c r="BY697" s="309">
        <f>VLOOKUP($B697,'Infant adult mortality'!$A$134:$I$234,5)</f>
        <v>2.6340000000000001E-4</v>
      </c>
      <c r="BZ697" s="309">
        <f t="shared" si="267"/>
        <v>0.14000000000000001</v>
      </c>
      <c r="CA697" s="309">
        <f t="shared" si="268"/>
        <v>0.85973659999999996</v>
      </c>
      <c r="CB697" s="309">
        <f>VLOOKUP($B697,'Infant adult mortality'!$A$134:$I$234,4)</f>
        <v>2.6340000000000001E-4</v>
      </c>
      <c r="CC697" s="309">
        <f t="shared" si="269"/>
        <v>0.5714285714285714</v>
      </c>
      <c r="CD697" s="309">
        <f t="shared" si="270"/>
        <v>0.42830802857142858</v>
      </c>
      <c r="CE697" s="309">
        <f>VLOOKUP($B697,'Infant adult mortality'!$A$134:$I$234,4)</f>
        <v>2.6340000000000001E-4</v>
      </c>
      <c r="CF697" s="309">
        <f t="shared" si="271"/>
        <v>8.6261668788331098E-3</v>
      </c>
      <c r="CG697" s="309">
        <f t="shared" si="272"/>
        <v>0.99111043312116687</v>
      </c>
      <c r="CH697" s="309"/>
      <c r="CI697" s="315">
        <f t="shared" ca="1" si="297"/>
        <v>97.541329648575797</v>
      </c>
      <c r="CJ697" s="316">
        <f t="shared" ca="1" si="298"/>
        <v>26.849355726966547</v>
      </c>
      <c r="CK697" s="316">
        <f t="shared" ca="1" si="299"/>
        <v>3.8315355559692175</v>
      </c>
      <c r="CL697" s="316">
        <f t="shared" ca="1" si="300"/>
        <v>90.019327413100839</v>
      </c>
      <c r="CM697" s="316">
        <f t="shared" ca="1" si="301"/>
        <v>10.505841751618199</v>
      </c>
      <c r="CN697" s="316">
        <f t="shared" ca="1" si="302"/>
        <v>129.61051470109771</v>
      </c>
      <c r="CO697" s="316">
        <f t="shared" ca="1" si="303"/>
        <v>35.407313868964522</v>
      </c>
      <c r="CP697" s="316">
        <f t="shared" ca="1" si="304"/>
        <v>5.0161844424677104</v>
      </c>
      <c r="CQ697" s="316">
        <f t="shared" ca="1" si="305"/>
        <v>35.960466306540127</v>
      </c>
      <c r="CR697" s="316">
        <f t="shared" ca="1" si="306"/>
        <v>55.2581305846996</v>
      </c>
      <c r="CS697" s="317">
        <f t="shared" ca="1" si="273"/>
        <v>490.00000000000023</v>
      </c>
      <c r="CT697" s="309"/>
      <c r="CU697" s="309">
        <f t="shared" ca="1" si="274"/>
        <v>1000</v>
      </c>
      <c r="CV697" s="309" t="str">
        <f t="shared" ca="1" si="225"/>
        <v>OKAY</v>
      </c>
      <c r="CW697" s="309"/>
      <c r="CX697" s="315">
        <f>(SUM($AR697:$AS697))-((SUM($AR697:$AS697)*VLOOKUP($B697,Lifetime_morbidity_array!$A$30:$Y$48,4))+(SUM($AR697:$AS697)*VLOOKUP($B697,Lifetime_morbidity_array!$A$30:$Y$48,7))+(SUM($AR697:$AS697)*VLOOKUP($B697,Lifetime_morbidity_array!$A$30:$Y$48,10))+(SUM($AR697:$AS697)*VLOOKUP($B697,Lifetime_morbidity_array!$A$30:$Y$48,13)))</f>
        <v>223.93428014944249</v>
      </c>
      <c r="CY697" s="316">
        <f>(SUM($AT697:$AU697))-((SUM($AT697:$AU697)*(VLOOKUP($B697,Lifetime_morbidity_array!$A$30:$Y$48,3)))+(SUM($AT697:$AU697)*(VLOOKUP($B697,Lifetime_morbidity_array!$A$30:$Y$48,6)))+(SUM($AT697:$AU697)*(VLOOKUP($B697,Lifetime_morbidity_array!$A$30:$Y$48,9)))+(SUM($AT697:$AU697)*(VLOOKUP($B697,Lifetime_morbidity_array!$A$30:$Y$48,12))))</f>
        <v>54.777914200342195</v>
      </c>
      <c r="CZ697" s="316">
        <f>(SUM($AM697:$AQ697))-((SUM($AM697:$AQ697)*VLOOKUP($B697,Lifetime_morbidity_array!$A$30:$Y$48,2))+(SUM($AM697:$AQ697)*VLOOKUP($B697,Lifetime_morbidity_array!$A$30:$Y$48,5))+(SUM($AM697:$AQ697)*VLOOKUP($B697,Lifetime_morbidity_array!$A$30:$Y$48,8))+(SUM($AM697:$AQ697)*VLOOKUP($B697,Lifetime_morbidity_array!$A$30:$Y$48,11)))</f>
        <v>171.20231263207515</v>
      </c>
      <c r="DA697" s="316">
        <f>(SUM($AM697:$AQ697)*VLOOKUP($B697,Lifetime_morbidity_array!$A$30:$Y$48,2))+(SUM($AR697:$AS697)*VLOOKUP($B697,Lifetime_morbidity_array!$A$30:$Y$48,4))+(SUM($AT697:$AU697)*(VLOOKUP($B697,Lifetime_morbidity_array!$A$30:$Y$48,3)))</f>
        <v>0.90173298214280551</v>
      </c>
      <c r="DB697" s="316">
        <f>(SUM($AM697:$AQ697)*VLOOKUP($B697,Lifetime_morbidity_array!$A$30:$Y$48,5))+(SUM($AR697:$AS697)*VLOOKUP($B697,Lifetime_morbidity_array!$A$30:$Y$48,7))+(SUM($AT697:$AU697)*(VLOOKUP($B697,Lifetime_morbidity_array!$A$30:$Y$48,6)))</f>
        <v>0.22527441347994712</v>
      </c>
      <c r="DC697" s="316">
        <f>(SUM($AM697:$AQ697)*VLOOKUP($B697,Lifetime_morbidity_array!$A$30:$Y$48,8))+(SUM($AR697:$AS697)*VLOOKUP($B697,Lifetime_morbidity_array!$A$30:$Y$48,10))+(SUM($AT697:$AU697)*(VLOOKUP($B697,Lifetime_morbidity_array!$A$30:$Y$48,9)))</f>
        <v>9.0144530632921896E-3</v>
      </c>
      <c r="DD697" s="317">
        <f>(SUM($AM697:$AQ697)*VLOOKUP($B697,Lifetime_morbidity_array!$A$30:$Y$48,11))+(SUM($AR697:$AS697)*VLOOKUP($B697,Lifetime_morbidity_array!$A$30:$Y$48,13))+(SUM($AT697:$AU697)*(VLOOKUP($B697,Lifetime_morbidity_array!$A$30:$Y$48,12)))</f>
        <v>0</v>
      </c>
      <c r="DE697" s="309"/>
      <c r="DF697" s="315">
        <f ca="1">(SUM($CN697:$CO697))-((SUM($CN697:$CO697)*VLOOKUP($B697,Lifetime_morbidity_array!$A$6:$Y$24,4))+(SUM($CN697:$CO697)*VLOOKUP($B697,Lifetime_morbidity_array!$A$6:$Y$24,7))+(SUM($CN697:$CO697)*VLOOKUP($B697,Lifetime_morbidity_array!$A$6:$Y$24,10))+(SUM($CN697:$CO697)*VLOOKUP($B697,Lifetime_morbidity_array!$A$6:$Y$24,13)))</f>
        <v>164.62448104598354</v>
      </c>
      <c r="DG697" s="316">
        <f ca="1">(SUM($CP697:$CQ697))-(((SUM($CP697:$CQ697)*VLOOKUP($B697,Lifetime_morbidity_array!$A$6:$Y$24,3))+(SUM($CP697:$CQ697)*VLOOKUP($B697,Lifetime_morbidity_array!$A$6:$Y$24,6))+(SUM($CP697:$CQ697)*VLOOKUP($B697,Lifetime_morbidity_array!$A$6:$Y$24,9))+(SUM($CP697:$CQ697)*VLOOKUP($B697,Lifetime_morbidity_array!$A$6:$Y$24,12))))</f>
        <v>40.878976065873125</v>
      </c>
      <c r="DH697" s="316">
        <f ca="1">(SUM($CI697:$CM697))-((SUM($CI697:$CM697)*VLOOKUP($B697,Lifetime_morbidity_array!$A$6:$Y$24,2))+(SUM($CI697:$CM697)*VLOOKUP($B697,Lifetime_morbidity_array!$A$6:$Y$24,5))+(SUM($CI697:$CM697)*VLOOKUP($B697,Lifetime_morbidity_array!$A$6:$Y$24,8))+(SUM($CI697:$CM697)*VLOOKUP($B697,Lifetime_morbidity_array!$A$6:$Y$24,11)))</f>
        <v>228.20213253034512</v>
      </c>
      <c r="DI697" s="316">
        <f ca="1">(SUM($CI697:$CM697)*VLOOKUP($B697,Lifetime_morbidity_array!$A$6:$Y$24,2))+(SUM($CN697:$CO697)*VLOOKUP($B697,Lifetime_morbidity_array!$A$6:$Y$24,4))+(SUM($CP697:$CQ697)*VLOOKUP($B697,Lifetime_morbidity_array!$A$6:$Y$24,3))</f>
        <v>0.43327357623139567</v>
      </c>
      <c r="DJ697" s="316">
        <f ca="1">(SUM($CI697:$CM697)*VLOOKUP($B697,Lifetime_morbidity_array!$A$6:$Y$24,5))+(SUM($CN697:$CO697)*VLOOKUP($B697,Lifetime_morbidity_array!$A$6:$Y$24,7))+(SUM($CP697:$CQ697)*VLOOKUP($B697,Lifetime_morbidity_array!$A$6:$Y$24,6))</f>
        <v>0.15883189291540073</v>
      </c>
      <c r="DK697" s="316">
        <f ca="1">(SUM($CI697:$CM697)*VLOOKUP($B697,Lifetime_morbidity_array!$A$6:$Y$24,8))+(SUM($CN697:$CO697)*VLOOKUP($B697,Lifetime_morbidity_array!$A$6:$Y$24,10))+(SUM($CP697:$CQ697)*VLOOKUP($B697,Lifetime_morbidity_array!$A$6:$Y$24,9))</f>
        <v>8.6915934478708056E-3</v>
      </c>
      <c r="DL697" s="317">
        <f ca="1">(SUM($CI697:$CM697)*VLOOKUP($B697,Lifetime_morbidity_array!$A$6:$Y$24,11))+(SUM($CN697:$CO697)*VLOOKUP($B697,Lifetime_morbidity_array!$A$6:$Y$24,13))+(SUM($CP697:$CQ697)*VLOOKUP($B697,Lifetime_morbidity_array!$A$6:$Y$24,12))</f>
        <v>0.43548271050419701</v>
      </c>
      <c r="DM697" s="309"/>
      <c r="DN697" s="308">
        <f t="shared" si="275"/>
        <v>31</v>
      </c>
      <c r="DO697" s="309">
        <f t="shared" ca="1" si="276"/>
        <v>304.91662586534477</v>
      </c>
      <c r="DP697" s="310">
        <f t="shared" ca="1" si="307"/>
        <v>16652.224359871001</v>
      </c>
      <c r="DQ697" s="309"/>
      <c r="DR697" s="308">
        <f t="shared" si="277"/>
        <v>31</v>
      </c>
      <c r="DS697" s="309">
        <f ca="1">((VLOOKUP($B697,'Mahawesran Tariff'!$A$21:$M$120,4)*'Comparator (DET)'!$CX697)+(VLOOKUP($B697,'Mahawesran Tariff'!$A$21:$M$120,3)*'Comparator (DET)'!$CY697)+(VLOOKUP($B697,'Mahawesran Tariff'!$A$21:$M$120,2)*'Comparator (DET)'!$CZ697)+(VLOOKUP($B697,'Mahawesran Tariff'!$A$21:$M$120,7)*'Comparator (DET)'!$DF697)+(VLOOKUP($B697,'Mahawesran Tariff'!$A$21:$M$120,6)*'Comparator (DET)'!$DG697)+(VLOOKUP($B697,'Mahawesran Tariff'!$A$21:$M$120,5)*'Comparator (DET)'!$DH697)+(DET_UTIL_chd*('Comparator (DET)'!$DA697+'Comparator (DET)'!$DI697))+(DET_UTIL_copd*('Comparator (DET)'!$DB697+'Comparator (DET)'!$DJ697))+(DET_UTIL_lc*('Comparator (DET)'!$DC697+'Comparator (DET)'!$DK697))+(DET_UTIL_stroke*('Comparator (DET)'!$DD697+'Comparator (DET)'!$DL697)))/((1+Discount_rate_QALYs)^$A697)</f>
        <v>303.86168319146907</v>
      </c>
      <c r="DT697" s="310">
        <f t="shared" ca="1" si="308"/>
        <v>16636.798282271524</v>
      </c>
      <c r="DU697" s="309"/>
      <c r="DV697" s="308">
        <f t="shared" si="278"/>
        <v>31</v>
      </c>
      <c r="DW697" s="318">
        <f t="shared" ca="1" si="279"/>
        <v>4271.4231348409494</v>
      </c>
      <c r="DX697" s="319">
        <f t="shared" ca="1" si="309"/>
        <v>5590953.5346540175</v>
      </c>
      <c r="DZ697" s="95">
        <f t="shared" si="280"/>
        <v>31</v>
      </c>
      <c r="EA697" s="268">
        <f t="shared" ca="1" si="226"/>
        <v>0.88579239824584655</v>
      </c>
      <c r="EB697" s="268">
        <f t="shared" ca="1" si="227"/>
        <v>0.11420760175415348</v>
      </c>
      <c r="EC697" s="268">
        <f t="shared" ca="1" si="228"/>
        <v>2.1723016217849089E-3</v>
      </c>
      <c r="ED697" s="290">
        <f t="shared" ca="1" si="229"/>
        <v>0.48541041435150267</v>
      </c>
      <c r="EF697" s="95">
        <f t="shared" si="281"/>
        <v>31</v>
      </c>
      <c r="EG697" s="339">
        <f t="shared" ca="1" si="282"/>
        <v>4271.4231348409494</v>
      </c>
      <c r="EH697" s="341">
        <f t="shared" ca="1" si="310"/>
        <v>8691085.4705101065</v>
      </c>
      <c r="EJ697" s="308">
        <f t="shared" si="283"/>
        <v>31</v>
      </c>
      <c r="EK697" s="318">
        <f t="shared" ca="1" si="284"/>
        <v>4271.4231348409494</v>
      </c>
      <c r="EL697" s="319">
        <f t="shared" ca="1" si="311"/>
        <v>5590953.5346540175</v>
      </c>
      <c r="EN697" s="95">
        <f t="shared" si="285"/>
        <v>31</v>
      </c>
      <c r="EO697" s="339">
        <f t="shared" ca="1" si="286"/>
        <v>4271.4231348409494</v>
      </c>
      <c r="EP697" s="341">
        <f t="shared" ca="1" si="312"/>
        <v>8691085.4705101065</v>
      </c>
    </row>
    <row r="698" spans="1:146" s="266" customFormat="1" x14ac:dyDescent="0.25">
      <c r="A698" s="313">
        <v>32</v>
      </c>
      <c r="B698" s="314">
        <v>32</v>
      </c>
      <c r="C698" s="308">
        <f>VLOOKUP($B698,'Infant adult mortality'!$A$27:$I$128,3)</f>
        <v>4.55E-4</v>
      </c>
      <c r="D698" s="309">
        <f t="shared" si="230"/>
        <v>0.27</v>
      </c>
      <c r="E698" s="309">
        <f>VLOOKUP($B698,'Infant pick up smoking rates'!$A$19:$I$104,3)</f>
        <v>1.5201831243956284E-3</v>
      </c>
      <c r="F698" s="309">
        <f t="shared" si="231"/>
        <v>4.4855129240710823E-3</v>
      </c>
      <c r="G698" s="309">
        <f t="shared" si="232"/>
        <v>0.72353930395153332</v>
      </c>
      <c r="H698" s="309">
        <f>VLOOKUP($B698,'Infant adult mortality'!$A$27:$I$128,3)</f>
        <v>4.55E-4</v>
      </c>
      <c r="I698" s="309">
        <f t="shared" si="233"/>
        <v>0.14000000000000001</v>
      </c>
      <c r="J698" s="309">
        <f>VLOOKUP($B698,'Infant pick up smoking rates'!$A$19:$I$104,2)</f>
        <v>1.5201831243956284E-3</v>
      </c>
      <c r="K698" s="309">
        <f t="shared" si="234"/>
        <v>4.4855129240710823E-3</v>
      </c>
      <c r="L698" s="309">
        <f t="shared" si="235"/>
        <v>0.85353930395153332</v>
      </c>
      <c r="M698" s="309">
        <f>VLOOKUP($B698,'Infant adult mortality'!$A$27:$I$128,3)</f>
        <v>4.55E-4</v>
      </c>
      <c r="N698" s="309">
        <f t="shared" si="236"/>
        <v>0.5714285714285714</v>
      </c>
      <c r="O698" s="309">
        <f>VLOOKUP($B698,'Infant pick up smoking rates'!$A$19:$I$104,2)</f>
        <v>1.5201831243956284E-3</v>
      </c>
      <c r="P698" s="309">
        <f t="shared" si="237"/>
        <v>2.9608804523424876E-3</v>
      </c>
      <c r="Q698" s="309">
        <f t="shared" si="238"/>
        <v>0.42363536499469057</v>
      </c>
      <c r="R698" s="309">
        <f>VLOOKUP($B698,'Infant adult mortality'!$A$27:$I$128,3)</f>
        <v>4.55E-4</v>
      </c>
      <c r="S698" s="309">
        <f t="shared" si="239"/>
        <v>8.6261668788331098E-3</v>
      </c>
      <c r="T698" s="309">
        <f>VLOOKUP($B698,'Infant pick up smoking rates'!$A$19:$I$104,2)</f>
        <v>1.5201831243956284E-3</v>
      </c>
      <c r="U698" s="309">
        <f t="shared" si="240"/>
        <v>2.9608804523424876E-3</v>
      </c>
      <c r="V698" s="309">
        <f t="shared" si="241"/>
        <v>0.98643776954442886</v>
      </c>
      <c r="W698" s="309">
        <f>VLOOKUP($B698,'Infant adult mortality'!$A$27:$I$128,3)</f>
        <v>4.55E-4</v>
      </c>
      <c r="X698" s="309">
        <f>VLOOKUP($B698,'Infant pick up smoking rates'!$A$19:$I$104,2)</f>
        <v>1.5201831243956284E-3</v>
      </c>
      <c r="Y698" s="309">
        <f t="shared" si="242"/>
        <v>0.9980248168756044</v>
      </c>
      <c r="Z698" s="309">
        <f>VLOOKUP($B698,'Infant adult mortality'!$A$27:$I$128,5)</f>
        <v>4.55E-4</v>
      </c>
      <c r="AA698" s="309">
        <f t="shared" si="243"/>
        <v>0.25</v>
      </c>
      <c r="AB698" s="309">
        <f t="shared" si="244"/>
        <v>0.74954500000000002</v>
      </c>
      <c r="AC698" s="309">
        <f>VLOOKUP($B698,'Infant adult mortality'!$A$27:$I$128,5)</f>
        <v>4.55E-4</v>
      </c>
      <c r="AD698" s="309">
        <f t="shared" si="245"/>
        <v>0.14000000000000001</v>
      </c>
      <c r="AE698" s="309">
        <f t="shared" si="246"/>
        <v>0.859545</v>
      </c>
      <c r="AF698" s="309">
        <f>VLOOKUP($B698,'Infant adult mortality'!$A$27:$I$128,4)</f>
        <v>4.55E-4</v>
      </c>
      <c r="AG698" s="309">
        <f t="shared" si="247"/>
        <v>0.5714285714285714</v>
      </c>
      <c r="AH698" s="309">
        <f t="shared" si="248"/>
        <v>0.42811642857142862</v>
      </c>
      <c r="AI698" s="309">
        <f>VLOOKUP($B698,'Infant adult mortality'!$A$27:$I$128,4)</f>
        <v>4.55E-4</v>
      </c>
      <c r="AJ698" s="309">
        <f t="shared" si="249"/>
        <v>8.6261668788331098E-3</v>
      </c>
      <c r="AK698" s="309">
        <f t="shared" si="250"/>
        <v>0.99091883312116691</v>
      </c>
      <c r="AL698" s="309"/>
      <c r="AM698" s="315">
        <f t="shared" si="287"/>
        <v>70.033802248630536</v>
      </c>
      <c r="AN698" s="316">
        <f t="shared" si="288"/>
        <v>19.236448415905404</v>
      </c>
      <c r="AO698" s="316">
        <f t="shared" si="289"/>
        <v>2.7391650848948865</v>
      </c>
      <c r="AP698" s="316">
        <f t="shared" si="290"/>
        <v>70.720597539130949</v>
      </c>
      <c r="AQ698" s="316">
        <f t="shared" si="291"/>
        <v>8.565570756319044</v>
      </c>
      <c r="AR698" s="316">
        <f t="shared" si="292"/>
        <v>176.70321255894248</v>
      </c>
      <c r="AS698" s="316">
        <f t="shared" si="293"/>
        <v>44.776879628503778</v>
      </c>
      <c r="AT698" s="316">
        <f t="shared" si="294"/>
        <v>6.3549065412010579</v>
      </c>
      <c r="AU698" s="316">
        <f t="shared" si="295"/>
        <v>51.714718066399875</v>
      </c>
      <c r="AV698" s="316">
        <f t="shared" si="296"/>
        <v>59.154699160071793</v>
      </c>
      <c r="AW698" s="317">
        <f t="shared" si="251"/>
        <v>509.99999999999977</v>
      </c>
      <c r="AX698" s="309"/>
      <c r="AY698" s="308">
        <f>VLOOKUP($B698,'Infant adult mortality'!$A$134:$I$234,3)</f>
        <v>2.8620000000000002E-4</v>
      </c>
      <c r="AZ698" s="309">
        <f t="shared" si="252"/>
        <v>0.27</v>
      </c>
      <c r="BA698" s="309">
        <f ca="1">VLOOKUP($B698,'Infant pick up smoking rates'!$A$19:$I$104,7)</f>
        <v>3.9916955482353625E-3</v>
      </c>
      <c r="BB698" s="309">
        <f t="shared" si="253"/>
        <v>4.4855129240710823E-3</v>
      </c>
      <c r="BC698" s="309">
        <f t="shared" ca="1" si="254"/>
        <v>0.72123659152769359</v>
      </c>
      <c r="BD698" s="309">
        <f>VLOOKUP($B698,'Infant adult mortality'!$A$134:$I$234,3)</f>
        <v>2.8620000000000002E-4</v>
      </c>
      <c r="BE698" s="309">
        <f t="shared" si="255"/>
        <v>0.14000000000000001</v>
      </c>
      <c r="BF698" s="309">
        <f>VLOOKUP($B698,'Infant pick up smoking rates'!$A$19:$I$104,6)</f>
        <v>1.9288936901483743E-3</v>
      </c>
      <c r="BG698" s="309">
        <f t="shared" si="256"/>
        <v>4.4855129240710823E-3</v>
      </c>
      <c r="BH698" s="309">
        <f t="shared" si="257"/>
        <v>0.85329939338578054</v>
      </c>
      <c r="BI698" s="309">
        <f>VLOOKUP($B698,'Infant adult mortality'!$A$134:$I$234,3)</f>
        <v>2.8620000000000002E-4</v>
      </c>
      <c r="BJ698" s="309">
        <f t="shared" si="258"/>
        <v>0.5714285714285714</v>
      </c>
      <c r="BK698" s="309">
        <f>VLOOKUP($B698,'Infant pick up smoking rates'!$A$19:$I$104,6)</f>
        <v>1.9288936901483743E-3</v>
      </c>
      <c r="BL698" s="309">
        <f t="shared" si="259"/>
        <v>2.9608804523424876E-3</v>
      </c>
      <c r="BM698" s="309">
        <f t="shared" si="260"/>
        <v>0.42339545442893778</v>
      </c>
      <c r="BN698" s="309">
        <f>VLOOKUP($B698,'Infant adult mortality'!$A$134:$I$234,3)</f>
        <v>2.8620000000000002E-4</v>
      </c>
      <c r="BO698" s="309">
        <f t="shared" si="261"/>
        <v>8.6261668788331098E-3</v>
      </c>
      <c r="BP698" s="309">
        <f>VLOOKUP($B698,'Infant pick up smoking rates'!$A$19:$I$104,6)</f>
        <v>1.9288936901483743E-3</v>
      </c>
      <c r="BQ698" s="309">
        <f t="shared" si="262"/>
        <v>2.9608804523424876E-3</v>
      </c>
      <c r="BR698" s="309">
        <f t="shared" si="263"/>
        <v>0.98619785897867607</v>
      </c>
      <c r="BS698" s="309">
        <f>VLOOKUP($B698,'Infant adult mortality'!$A$134:$I$234,3)</f>
        <v>2.8620000000000002E-4</v>
      </c>
      <c r="BT698" s="309">
        <f>VLOOKUP($B698,'Infant pick up smoking rates'!$A$19:$I$104,6)</f>
        <v>1.9288936901483743E-3</v>
      </c>
      <c r="BU698" s="309">
        <f t="shared" si="264"/>
        <v>0.99778490630985162</v>
      </c>
      <c r="BV698" s="309">
        <f>VLOOKUP($B698,'Infant adult mortality'!$A$134:$I$234,5)</f>
        <v>2.8620000000000002E-4</v>
      </c>
      <c r="BW698" s="309">
        <f t="shared" si="265"/>
        <v>0.27</v>
      </c>
      <c r="BX698" s="309">
        <f t="shared" si="266"/>
        <v>0.72971379999999997</v>
      </c>
      <c r="BY698" s="309">
        <f>VLOOKUP($B698,'Infant adult mortality'!$A$134:$I$234,5)</f>
        <v>2.8620000000000002E-4</v>
      </c>
      <c r="BZ698" s="309">
        <f t="shared" si="267"/>
        <v>0.14000000000000001</v>
      </c>
      <c r="CA698" s="309">
        <f t="shared" si="268"/>
        <v>0.85971379999999997</v>
      </c>
      <c r="CB698" s="309">
        <f>VLOOKUP($B698,'Infant adult mortality'!$A$134:$I$234,4)</f>
        <v>2.8620000000000002E-4</v>
      </c>
      <c r="CC698" s="309">
        <f t="shared" si="269"/>
        <v>0.5714285714285714</v>
      </c>
      <c r="CD698" s="309">
        <f t="shared" si="270"/>
        <v>0.42828522857142859</v>
      </c>
      <c r="CE698" s="309">
        <f>VLOOKUP($B698,'Infant adult mortality'!$A$134:$I$234,4)</f>
        <v>2.8620000000000002E-4</v>
      </c>
      <c r="CF698" s="309">
        <f t="shared" si="271"/>
        <v>8.6261668788331098E-3</v>
      </c>
      <c r="CG698" s="309">
        <f t="shared" si="272"/>
        <v>0.99108763312116688</v>
      </c>
      <c r="CH698" s="309"/>
      <c r="CI698" s="315">
        <f t="shared" ca="1" si="297"/>
        <v>95.6596915619035</v>
      </c>
      <c r="CJ698" s="316">
        <f t="shared" ca="1" si="298"/>
        <v>26.336159005115466</v>
      </c>
      <c r="CK698" s="316">
        <f t="shared" ca="1" si="299"/>
        <v>3.7589098017753169</v>
      </c>
      <c r="CL698" s="316">
        <f t="shared" ca="1" si="300"/>
        <v>90.966316850625759</v>
      </c>
      <c r="CM698" s="316">
        <f t="shared" ca="1" si="301"/>
        <v>11.31840754033114</v>
      </c>
      <c r="CN698" s="316">
        <f t="shared" ca="1" si="302"/>
        <v>128.11973407390755</v>
      </c>
      <c r="CO698" s="316">
        <f t="shared" ca="1" si="303"/>
        <v>34.994838969296381</v>
      </c>
      <c r="CP698" s="316">
        <f t="shared" ca="1" si="304"/>
        <v>4.9570239416550335</v>
      </c>
      <c r="CQ698" s="316">
        <f t="shared" ca="1" si="305"/>
        <v>38.506364547663871</v>
      </c>
      <c r="CR698" s="316">
        <f t="shared" ca="1" si="306"/>
        <v>55.38255370772626</v>
      </c>
      <c r="CS698" s="317">
        <f t="shared" ca="1" si="273"/>
        <v>490.00000000000034</v>
      </c>
      <c r="CT698" s="309"/>
      <c r="CU698" s="309">
        <f t="shared" ca="1" si="274"/>
        <v>1000.0000000000001</v>
      </c>
      <c r="CV698" s="309" t="str">
        <f t="shared" ca="1" si="225"/>
        <v>OKAY</v>
      </c>
      <c r="CW698" s="309"/>
      <c r="CX698" s="315">
        <f>(SUM($AR698:$AS698))-((SUM($AR698:$AS698)*VLOOKUP($B698,Lifetime_morbidity_array!$A$30:$Y$48,4))+(SUM($AR698:$AS698)*VLOOKUP($B698,Lifetime_morbidity_array!$A$30:$Y$48,7))+(SUM($AR698:$AS698)*VLOOKUP($B698,Lifetime_morbidity_array!$A$30:$Y$48,10))+(SUM($AR698:$AS698)*VLOOKUP($B698,Lifetime_morbidity_array!$A$30:$Y$48,13)))</f>
        <v>220.9222694875676</v>
      </c>
      <c r="CY698" s="316">
        <f>(SUM($AT698:$AU698))-((SUM($AT698:$AU698)*(VLOOKUP($B698,Lifetime_morbidity_array!$A$30:$Y$48,3)))+(SUM($AT698:$AU698)*(VLOOKUP($B698,Lifetime_morbidity_array!$A$30:$Y$48,6)))+(SUM($AT698:$AU698)*(VLOOKUP($B698,Lifetime_morbidity_array!$A$30:$Y$48,9)))+(SUM($AT698:$AU698)*(VLOOKUP($B698,Lifetime_morbidity_array!$A$30:$Y$48,12))))</f>
        <v>57.92336968030871</v>
      </c>
      <c r="CZ698" s="316">
        <f>(SUM($AM698:$AQ698))-((SUM($AM698:$AQ698)*VLOOKUP($B698,Lifetime_morbidity_array!$A$30:$Y$48,2))+(SUM($AM698:$AQ698)*VLOOKUP($B698,Lifetime_morbidity_array!$A$30:$Y$48,5))+(SUM($AM698:$AQ698)*VLOOKUP($B698,Lifetime_morbidity_array!$A$30:$Y$48,8))+(SUM($AM698:$AQ698)*VLOOKUP($B698,Lifetime_morbidity_array!$A$30:$Y$48,11)))</f>
        <v>170.86415671330678</v>
      </c>
      <c r="DA698" s="316">
        <f>(SUM($AM698:$AQ698)*VLOOKUP($B698,Lifetime_morbidity_array!$A$30:$Y$48,2))+(SUM($AR698:$AS698)*VLOOKUP($B698,Lifetime_morbidity_array!$A$30:$Y$48,4))+(SUM($AT698:$AU698)*(VLOOKUP($B698,Lifetime_morbidity_array!$A$30:$Y$48,3)))</f>
        <v>0.90132269363593054</v>
      </c>
      <c r="DB698" s="316">
        <f>(SUM($AM698:$AQ698)*VLOOKUP($B698,Lifetime_morbidity_array!$A$30:$Y$48,5))+(SUM($AR698:$AS698)*VLOOKUP($B698,Lifetime_morbidity_array!$A$30:$Y$48,7))+(SUM($AT698:$AU698)*(VLOOKUP($B698,Lifetime_morbidity_array!$A$30:$Y$48,6)))</f>
        <v>0.22517191362181377</v>
      </c>
      <c r="DC698" s="316">
        <f>(SUM($AM698:$AQ698)*VLOOKUP($B698,Lifetime_morbidity_array!$A$30:$Y$48,8))+(SUM($AR698:$AS698)*VLOOKUP($B698,Lifetime_morbidity_array!$A$30:$Y$48,10))+(SUM($AT698:$AU698)*(VLOOKUP($B698,Lifetime_morbidity_array!$A$30:$Y$48,9)))</f>
        <v>9.0103514871483926E-3</v>
      </c>
      <c r="DD698" s="317">
        <f>(SUM($AM698:$AQ698)*VLOOKUP($B698,Lifetime_morbidity_array!$A$30:$Y$48,11))+(SUM($AR698:$AS698)*VLOOKUP($B698,Lifetime_morbidity_array!$A$30:$Y$48,13))+(SUM($AT698:$AU698)*(VLOOKUP($B698,Lifetime_morbidity_array!$A$30:$Y$48,12)))</f>
        <v>0</v>
      </c>
      <c r="DE698" s="309"/>
      <c r="DF698" s="315">
        <f ca="1">(SUM($CN698:$CO698))-((SUM($CN698:$CO698)*VLOOKUP($B698,Lifetime_morbidity_array!$A$6:$Y$24,4))+(SUM($CN698:$CO698)*VLOOKUP($B698,Lifetime_morbidity_array!$A$6:$Y$24,7))+(SUM($CN698:$CO698)*VLOOKUP($B698,Lifetime_morbidity_array!$A$6:$Y$24,10))+(SUM($CN698:$CO698)*VLOOKUP($B698,Lifetime_morbidity_array!$A$6:$Y$24,13)))</f>
        <v>162.72576224619084</v>
      </c>
      <c r="DG698" s="316">
        <f ca="1">(SUM($CP698:$CQ698))-(((SUM($CP698:$CQ698)*VLOOKUP($B698,Lifetime_morbidity_array!$A$6:$Y$24,3))+(SUM($CP698:$CQ698)*VLOOKUP($B698,Lifetime_morbidity_array!$A$6:$Y$24,6))+(SUM($CP698:$CQ698)*VLOOKUP($B698,Lifetime_morbidity_array!$A$6:$Y$24,9))+(SUM($CP698:$CQ698)*VLOOKUP($B698,Lifetime_morbidity_array!$A$6:$Y$24,12))))</f>
        <v>43.359786251921349</v>
      </c>
      <c r="DH698" s="316">
        <f ca="1">(SUM($CI698:$CM698))-((SUM($CI698:$CM698)*VLOOKUP($B698,Lifetime_morbidity_array!$A$6:$Y$24,2))+(SUM($CI698:$CM698)*VLOOKUP($B698,Lifetime_morbidity_array!$A$6:$Y$24,5))+(SUM($CI698:$CM698)*VLOOKUP($B698,Lifetime_morbidity_array!$A$6:$Y$24,8))+(SUM($CI698:$CM698)*VLOOKUP($B698,Lifetime_morbidity_array!$A$6:$Y$24,11)))</f>
        <v>227.49591460433405</v>
      </c>
      <c r="DI698" s="316">
        <f ca="1">(SUM($CI698:$CM698)*VLOOKUP($B698,Lifetime_morbidity_array!$A$6:$Y$24,2))+(SUM($CN698:$CO698)*VLOOKUP($B698,Lifetime_morbidity_array!$A$6:$Y$24,4))+(SUM($CP698:$CQ698)*VLOOKUP($B698,Lifetime_morbidity_array!$A$6:$Y$24,3))</f>
        <v>0.43314957333387827</v>
      </c>
      <c r="DJ698" s="316">
        <f ca="1">(SUM($CI698:$CM698)*VLOOKUP($B698,Lifetime_morbidity_array!$A$6:$Y$24,5))+(SUM($CN698:$CO698)*VLOOKUP($B698,Lifetime_morbidity_array!$A$6:$Y$24,7))+(SUM($CP698:$CQ698)*VLOOKUP($B698,Lifetime_morbidity_array!$A$6:$Y$24,6))</f>
        <v>0.15878643522764835</v>
      </c>
      <c r="DK698" s="316">
        <f ca="1">(SUM($CI698:$CM698)*VLOOKUP($B698,Lifetime_morbidity_array!$A$6:$Y$24,8))+(SUM($CN698:$CO698)*VLOOKUP($B698,Lifetime_morbidity_array!$A$6:$Y$24,10))+(SUM($CP698:$CQ698)*VLOOKUP($B698,Lifetime_morbidity_array!$A$6:$Y$24,9))</f>
        <v>8.6891059138260243E-3</v>
      </c>
      <c r="DL698" s="317">
        <f ca="1">(SUM($CI698:$CM698)*VLOOKUP($B698,Lifetime_morbidity_array!$A$6:$Y$24,11))+(SUM($CN698:$CO698)*VLOOKUP($B698,Lifetime_morbidity_array!$A$6:$Y$24,13))+(SUM($CP698:$CQ698)*VLOOKUP($B698,Lifetime_morbidity_array!$A$6:$Y$24,12))</f>
        <v>0.43535807535245069</v>
      </c>
      <c r="DM698" s="309"/>
      <c r="DN698" s="308">
        <f t="shared" si="275"/>
        <v>32</v>
      </c>
      <c r="DO698" s="309">
        <f t="shared" ca="1" si="276"/>
        <v>294.49579705086177</v>
      </c>
      <c r="DP698" s="310">
        <f t="shared" ca="1" si="307"/>
        <v>16946.720156921863</v>
      </c>
      <c r="DQ698" s="309"/>
      <c r="DR698" s="308">
        <f t="shared" si="277"/>
        <v>32</v>
      </c>
      <c r="DS698" s="309">
        <f ca="1">((VLOOKUP($B698,'Mahawesran Tariff'!$A$21:$M$120,4)*'Comparator (DET)'!$CX698)+(VLOOKUP($B698,'Mahawesran Tariff'!$A$21:$M$120,3)*'Comparator (DET)'!$CY698)+(VLOOKUP($B698,'Mahawesran Tariff'!$A$21:$M$120,2)*'Comparator (DET)'!$CZ698)+(VLOOKUP($B698,'Mahawesran Tariff'!$A$21:$M$120,7)*'Comparator (DET)'!$DF698)+(VLOOKUP($B698,'Mahawesran Tariff'!$A$21:$M$120,6)*'Comparator (DET)'!$DG698)+(VLOOKUP($B698,'Mahawesran Tariff'!$A$21:$M$120,5)*'Comparator (DET)'!$DH698)+(DET_UTIL_chd*('Comparator (DET)'!$DA698+'Comparator (DET)'!$DI698))+(DET_UTIL_copd*('Comparator (DET)'!$DB698+'Comparator (DET)'!$DJ698))+(DET_UTIL_lc*('Comparator (DET)'!$DC698+'Comparator (DET)'!$DK698))+(DET_UTIL_stroke*('Comparator (DET)'!$DD698+'Comparator (DET)'!$DL698)))/((1+Discount_rate_QALYs)^$A698)</f>
        <v>293.49628093032021</v>
      </c>
      <c r="DT698" s="310">
        <f t="shared" ca="1" si="308"/>
        <v>16930.294563201845</v>
      </c>
      <c r="DU698" s="309"/>
      <c r="DV698" s="308">
        <f t="shared" si="278"/>
        <v>32</v>
      </c>
      <c r="DW698" s="318">
        <f t="shared" ca="1" si="279"/>
        <v>4125.6891484071512</v>
      </c>
      <c r="DX698" s="319">
        <f t="shared" ca="1" si="309"/>
        <v>5595079.223802425</v>
      </c>
      <c r="DZ698" s="95">
        <f t="shared" si="280"/>
        <v>32</v>
      </c>
      <c r="EA698" s="268">
        <f t="shared" ca="1" si="226"/>
        <v>0.88546274713220208</v>
      </c>
      <c r="EB698" s="268">
        <f t="shared" ca="1" si="227"/>
        <v>0.11453725286779806</v>
      </c>
      <c r="EC698" s="268">
        <f t="shared" ca="1" si="228"/>
        <v>2.1714881485726959E-3</v>
      </c>
      <c r="ED698" s="290">
        <f t="shared" ca="1" si="229"/>
        <v>0.48612767832757003</v>
      </c>
      <c r="EF698" s="95">
        <f t="shared" si="281"/>
        <v>32</v>
      </c>
      <c r="EG698" s="339">
        <f t="shared" ca="1" si="282"/>
        <v>4125.6891484071512</v>
      </c>
      <c r="EH698" s="341">
        <f t="shared" ca="1" si="310"/>
        <v>8695211.159658514</v>
      </c>
      <c r="EJ698" s="308">
        <f t="shared" si="283"/>
        <v>32</v>
      </c>
      <c r="EK698" s="318">
        <f t="shared" ca="1" si="284"/>
        <v>4125.6891484071512</v>
      </c>
      <c r="EL698" s="319">
        <f t="shared" ca="1" si="311"/>
        <v>5595079.223802425</v>
      </c>
      <c r="EN698" s="95">
        <f t="shared" si="285"/>
        <v>32</v>
      </c>
      <c r="EO698" s="339">
        <f t="shared" ca="1" si="286"/>
        <v>4125.6891484071512</v>
      </c>
      <c r="EP698" s="341">
        <f t="shared" ca="1" si="312"/>
        <v>8695211.159658514</v>
      </c>
    </row>
    <row r="699" spans="1:146" s="266" customFormat="1" x14ac:dyDescent="0.25">
      <c r="A699" s="313">
        <v>33</v>
      </c>
      <c r="B699" s="314">
        <v>33</v>
      </c>
      <c r="C699" s="308">
        <f>VLOOKUP($B699,'Infant adult mortality'!$A$27:$I$128,3)</f>
        <v>4.9159999999999991E-4</v>
      </c>
      <c r="D699" s="309">
        <f t="shared" si="230"/>
        <v>0.27</v>
      </c>
      <c r="E699" s="309">
        <f>VLOOKUP($B699,'Infant pick up smoking rates'!$A$19:$I$104,3)</f>
        <v>1.5201831243956284E-3</v>
      </c>
      <c r="F699" s="309">
        <f t="shared" si="231"/>
        <v>5.0037481196724054E-3</v>
      </c>
      <c r="G699" s="309">
        <f t="shared" si="232"/>
        <v>0.72298446875593192</v>
      </c>
      <c r="H699" s="309">
        <f>VLOOKUP($B699,'Infant adult mortality'!$A$27:$I$128,3)</f>
        <v>4.9159999999999991E-4</v>
      </c>
      <c r="I699" s="309">
        <f t="shared" si="233"/>
        <v>0.14000000000000001</v>
      </c>
      <c r="J699" s="309">
        <f>VLOOKUP($B699,'Infant pick up smoking rates'!$A$19:$I$104,2)</f>
        <v>1.5201831243956284E-3</v>
      </c>
      <c r="K699" s="309">
        <f t="shared" si="234"/>
        <v>5.0037481196724054E-3</v>
      </c>
      <c r="L699" s="309">
        <f t="shared" si="235"/>
        <v>0.85298446875593192</v>
      </c>
      <c r="M699" s="309">
        <f>VLOOKUP($B699,'Infant adult mortality'!$A$27:$I$128,3)</f>
        <v>4.9159999999999991E-4</v>
      </c>
      <c r="N699" s="309">
        <f t="shared" si="236"/>
        <v>0.5714285714285714</v>
      </c>
      <c r="O699" s="309">
        <f>VLOOKUP($B699,'Infant pick up smoking rates'!$A$19:$I$104,2)</f>
        <v>1.5201831243956284E-3</v>
      </c>
      <c r="P699" s="309">
        <f t="shared" si="237"/>
        <v>3.3029667390941002E-3</v>
      </c>
      <c r="Q699" s="309">
        <f t="shared" si="238"/>
        <v>0.42325667870793887</v>
      </c>
      <c r="R699" s="309">
        <f>VLOOKUP($B699,'Infant adult mortality'!$A$27:$I$128,3)</f>
        <v>4.9159999999999991E-4</v>
      </c>
      <c r="S699" s="309">
        <f t="shared" si="239"/>
        <v>8.6261668788331098E-3</v>
      </c>
      <c r="T699" s="309">
        <f>VLOOKUP($B699,'Infant pick up smoking rates'!$A$19:$I$104,2)</f>
        <v>1.5201831243956284E-3</v>
      </c>
      <c r="U699" s="309">
        <f t="shared" si="240"/>
        <v>3.3029667390941002E-3</v>
      </c>
      <c r="V699" s="309">
        <f t="shared" si="241"/>
        <v>0.9860590832576771</v>
      </c>
      <c r="W699" s="309">
        <f>VLOOKUP($B699,'Infant adult mortality'!$A$27:$I$128,3)</f>
        <v>4.9159999999999991E-4</v>
      </c>
      <c r="X699" s="309">
        <f>VLOOKUP($B699,'Infant pick up smoking rates'!$A$19:$I$104,2)</f>
        <v>1.5201831243956284E-3</v>
      </c>
      <c r="Y699" s="309">
        <f t="shared" si="242"/>
        <v>0.99798821687560435</v>
      </c>
      <c r="Z699" s="309">
        <f>VLOOKUP($B699,'Infant adult mortality'!$A$27:$I$128,5)</f>
        <v>4.9159999999999991E-4</v>
      </c>
      <c r="AA699" s="309">
        <f t="shared" si="243"/>
        <v>0.25</v>
      </c>
      <c r="AB699" s="309">
        <f t="shared" si="244"/>
        <v>0.74950839999999996</v>
      </c>
      <c r="AC699" s="309">
        <f>VLOOKUP($B699,'Infant adult mortality'!$A$27:$I$128,5)</f>
        <v>4.9159999999999991E-4</v>
      </c>
      <c r="AD699" s="309">
        <f t="shared" si="245"/>
        <v>0.14000000000000001</v>
      </c>
      <c r="AE699" s="309">
        <f t="shared" si="246"/>
        <v>0.85950839999999995</v>
      </c>
      <c r="AF699" s="309">
        <f>VLOOKUP($B699,'Infant adult mortality'!$A$27:$I$128,4)</f>
        <v>4.9159999999999991E-4</v>
      </c>
      <c r="AG699" s="309">
        <f t="shared" si="247"/>
        <v>0.5714285714285714</v>
      </c>
      <c r="AH699" s="309">
        <f t="shared" si="248"/>
        <v>0.42807982857142862</v>
      </c>
      <c r="AI699" s="309">
        <f>VLOOKUP($B699,'Infant adult mortality'!$A$27:$I$128,4)</f>
        <v>4.9159999999999991E-4</v>
      </c>
      <c r="AJ699" s="309">
        <f t="shared" si="249"/>
        <v>8.6261668788331098E-3</v>
      </c>
      <c r="AK699" s="309">
        <f t="shared" si="250"/>
        <v>0.99088223312116686</v>
      </c>
      <c r="AL699" s="309"/>
      <c r="AM699" s="315">
        <f t="shared" si="287"/>
        <v>68.8111606388848</v>
      </c>
      <c r="AN699" s="316">
        <f t="shared" si="288"/>
        <v>18.909126607130247</v>
      </c>
      <c r="AO699" s="316">
        <f t="shared" si="289"/>
        <v>2.6931027782267569</v>
      </c>
      <c r="AP699" s="316">
        <f t="shared" si="290"/>
        <v>71.299924768239109</v>
      </c>
      <c r="AQ699" s="316">
        <f t="shared" si="291"/>
        <v>9.2376596871349257</v>
      </c>
      <c r="AR699" s="316">
        <f t="shared" si="292"/>
        <v>174.35355403342666</v>
      </c>
      <c r="AS699" s="316">
        <f t="shared" si="293"/>
        <v>44.175803139735621</v>
      </c>
      <c r="AT699" s="316">
        <f t="shared" si="294"/>
        <v>6.2687631479905299</v>
      </c>
      <c r="AU699" s="316">
        <f t="shared" si="295"/>
        <v>54.874570489266461</v>
      </c>
      <c r="AV699" s="316">
        <f t="shared" si="296"/>
        <v>59.376334709964702</v>
      </c>
      <c r="AW699" s="317">
        <f t="shared" si="251"/>
        <v>509.99999999999977</v>
      </c>
      <c r="AX699" s="309"/>
      <c r="AY699" s="308">
        <f>VLOOKUP($B699,'Infant adult mortality'!$A$134:$I$234,3)</f>
        <v>3.0899999999999998E-4</v>
      </c>
      <c r="AZ699" s="309">
        <f t="shared" si="252"/>
        <v>0.27</v>
      </c>
      <c r="BA699" s="309">
        <f ca="1">VLOOKUP($B699,'Infant pick up smoking rates'!$A$19:$I$104,7)</f>
        <v>3.9916955482353625E-3</v>
      </c>
      <c r="BB699" s="309">
        <f t="shared" si="253"/>
        <v>5.0037481196724054E-3</v>
      </c>
      <c r="BC699" s="309">
        <f t="shared" ca="1" si="254"/>
        <v>0.72069555633209226</v>
      </c>
      <c r="BD699" s="309">
        <f>VLOOKUP($B699,'Infant adult mortality'!$A$134:$I$234,3)</f>
        <v>3.0899999999999998E-4</v>
      </c>
      <c r="BE699" s="309">
        <f t="shared" si="255"/>
        <v>0.14000000000000001</v>
      </c>
      <c r="BF699" s="309">
        <f>VLOOKUP($B699,'Infant pick up smoking rates'!$A$19:$I$104,6)</f>
        <v>1.9288936901483743E-3</v>
      </c>
      <c r="BG699" s="309">
        <f t="shared" si="256"/>
        <v>5.0037481196724054E-3</v>
      </c>
      <c r="BH699" s="309">
        <f t="shared" si="257"/>
        <v>0.8527583581901792</v>
      </c>
      <c r="BI699" s="309">
        <f>VLOOKUP($B699,'Infant adult mortality'!$A$134:$I$234,3)</f>
        <v>3.0899999999999998E-4</v>
      </c>
      <c r="BJ699" s="309">
        <f t="shared" si="258"/>
        <v>0.5714285714285714</v>
      </c>
      <c r="BK699" s="309">
        <f>VLOOKUP($B699,'Infant pick up smoking rates'!$A$19:$I$104,6)</f>
        <v>1.9288936901483743E-3</v>
      </c>
      <c r="BL699" s="309">
        <f t="shared" si="259"/>
        <v>3.3029667390941002E-3</v>
      </c>
      <c r="BM699" s="309">
        <f t="shared" si="260"/>
        <v>0.42303056814218609</v>
      </c>
      <c r="BN699" s="309">
        <f>VLOOKUP($B699,'Infant adult mortality'!$A$134:$I$234,3)</f>
        <v>3.0899999999999998E-4</v>
      </c>
      <c r="BO699" s="309">
        <f t="shared" si="261"/>
        <v>8.6261668788331098E-3</v>
      </c>
      <c r="BP699" s="309">
        <f>VLOOKUP($B699,'Infant pick up smoking rates'!$A$19:$I$104,6)</f>
        <v>1.9288936901483743E-3</v>
      </c>
      <c r="BQ699" s="309">
        <f t="shared" si="262"/>
        <v>3.3029667390941002E-3</v>
      </c>
      <c r="BR699" s="309">
        <f t="shared" si="263"/>
        <v>0.98583297269192438</v>
      </c>
      <c r="BS699" s="309">
        <f>VLOOKUP($B699,'Infant adult mortality'!$A$134:$I$234,3)</f>
        <v>3.0899999999999998E-4</v>
      </c>
      <c r="BT699" s="309">
        <f>VLOOKUP($B699,'Infant pick up smoking rates'!$A$19:$I$104,6)</f>
        <v>1.9288936901483743E-3</v>
      </c>
      <c r="BU699" s="309">
        <f t="shared" si="264"/>
        <v>0.99776210630985163</v>
      </c>
      <c r="BV699" s="309">
        <f>VLOOKUP($B699,'Infant adult mortality'!$A$134:$I$234,5)</f>
        <v>3.0899999999999998E-4</v>
      </c>
      <c r="BW699" s="309">
        <f t="shared" si="265"/>
        <v>0.27</v>
      </c>
      <c r="BX699" s="309">
        <f t="shared" si="266"/>
        <v>0.72969099999999998</v>
      </c>
      <c r="BY699" s="309">
        <f>VLOOKUP($B699,'Infant adult mortality'!$A$134:$I$234,5)</f>
        <v>3.0899999999999998E-4</v>
      </c>
      <c r="BZ699" s="309">
        <f t="shared" si="267"/>
        <v>0.14000000000000001</v>
      </c>
      <c r="CA699" s="309">
        <f t="shared" si="268"/>
        <v>0.85969099999999998</v>
      </c>
      <c r="CB699" s="309">
        <f>VLOOKUP($B699,'Infant adult mortality'!$A$134:$I$234,4)</f>
        <v>3.0899999999999998E-4</v>
      </c>
      <c r="CC699" s="309">
        <f t="shared" si="269"/>
        <v>0.5714285714285714</v>
      </c>
      <c r="CD699" s="309">
        <f t="shared" si="270"/>
        <v>0.4282624285714286</v>
      </c>
      <c r="CE699" s="309">
        <f>VLOOKUP($B699,'Infant adult mortality'!$A$134:$I$234,4)</f>
        <v>3.0899999999999998E-4</v>
      </c>
      <c r="CF699" s="309">
        <f t="shared" si="271"/>
        <v>8.6261668788331098E-3</v>
      </c>
      <c r="CG699" s="309">
        <f t="shared" si="272"/>
        <v>0.99106483312116689</v>
      </c>
      <c r="CH699" s="309"/>
      <c r="CI699" s="315">
        <f t="shared" ca="1" si="297"/>
        <v>93.774718721546705</v>
      </c>
      <c r="CJ699" s="316">
        <f t="shared" ca="1" si="298"/>
        <v>25.828116721713947</v>
      </c>
      <c r="CK699" s="316">
        <f t="shared" ca="1" si="299"/>
        <v>3.6870622607161656</v>
      </c>
      <c r="CL699" s="316">
        <f t="shared" ca="1" si="300"/>
        <v>91.82554301384522</v>
      </c>
      <c r="CM699" s="316">
        <f t="shared" ca="1" si="301"/>
        <v>12.216388928382694</v>
      </c>
      <c r="CN699" s="316">
        <f t="shared" ca="1" si="302"/>
        <v>126.66482533545799</v>
      </c>
      <c r="CO699" s="316">
        <f t="shared" ca="1" si="303"/>
        <v>34.592328199955041</v>
      </c>
      <c r="CP699" s="316">
        <f t="shared" ca="1" si="304"/>
        <v>4.899277455701494</v>
      </c>
      <c r="CQ699" s="316">
        <f t="shared" ca="1" si="305"/>
        <v>40.994888864050473</v>
      </c>
      <c r="CR699" s="316">
        <f t="shared" ca="1" si="306"/>
        <v>55.516850498630575</v>
      </c>
      <c r="CS699" s="317">
        <f t="shared" ca="1" si="273"/>
        <v>490.00000000000028</v>
      </c>
      <c r="CT699" s="309"/>
      <c r="CU699" s="309">
        <f t="shared" ca="1" si="274"/>
        <v>1000</v>
      </c>
      <c r="CV699" s="309" t="str">
        <f t="shared" ca="1" si="225"/>
        <v>OKAY</v>
      </c>
      <c r="CW699" s="309"/>
      <c r="CX699" s="315">
        <f>(SUM($AR699:$AS699))-((SUM($AR699:$AS699)*VLOOKUP($B699,Lifetime_morbidity_array!$A$30:$Y$48,4))+(SUM($AR699:$AS699)*VLOOKUP($B699,Lifetime_morbidity_array!$A$30:$Y$48,7))+(SUM($AR699:$AS699)*VLOOKUP($B699,Lifetime_morbidity_array!$A$30:$Y$48,10))+(SUM($AR699:$AS699)*VLOOKUP($B699,Lifetime_morbidity_array!$A$30:$Y$48,13)))</f>
        <v>217.9789662336556</v>
      </c>
      <c r="CY699" s="316">
        <f>(SUM($AT699:$AU699))-((SUM($AT699:$AU699)*(VLOOKUP($B699,Lifetime_morbidity_array!$A$30:$Y$48,3)))+(SUM($AT699:$AU699)*(VLOOKUP($B699,Lifetime_morbidity_array!$A$30:$Y$48,6)))+(SUM($AT699:$AU699)*(VLOOKUP($B699,Lifetime_morbidity_array!$A$30:$Y$48,9)))+(SUM($AT699:$AU699)*(VLOOKUP($B699,Lifetime_morbidity_array!$A$30:$Y$48,12))))</f>
        <v>60.989337225605468</v>
      </c>
      <c r="CZ699" s="316">
        <f>(SUM($AM699:$AQ699))-((SUM($AM699:$AQ699)*VLOOKUP($B699,Lifetime_morbidity_array!$A$30:$Y$48,2))+(SUM($AM699:$AQ699)*VLOOKUP($B699,Lifetime_morbidity_array!$A$30:$Y$48,5))+(SUM($AM699:$AQ699)*VLOOKUP($B699,Lifetime_morbidity_array!$A$30:$Y$48,8))+(SUM($AM699:$AQ699)*VLOOKUP($B699,Lifetime_morbidity_array!$A$30:$Y$48,11)))</f>
        <v>170.52041508626687</v>
      </c>
      <c r="DA699" s="316">
        <f>(SUM($AM699:$AQ699)*VLOOKUP($B699,Lifetime_morbidity_array!$A$30:$Y$48,2))+(SUM($AR699:$AS699)*VLOOKUP($B699,Lifetime_morbidity_array!$A$30:$Y$48,4))+(SUM($AT699:$AU699)*(VLOOKUP($B699,Lifetime_morbidity_array!$A$30:$Y$48,3)))</f>
        <v>0.90087960339973905</v>
      </c>
      <c r="DB699" s="316">
        <f>(SUM($AM699:$AQ699)*VLOOKUP($B699,Lifetime_morbidity_array!$A$30:$Y$48,5))+(SUM($AR699:$AS699)*VLOOKUP($B699,Lifetime_morbidity_array!$A$30:$Y$48,7))+(SUM($AT699:$AU699)*(VLOOKUP($B699,Lifetime_morbidity_array!$A$30:$Y$48,6)))</f>
        <v>0.22506121910907728</v>
      </c>
      <c r="DC699" s="316">
        <f>(SUM($AM699:$AQ699)*VLOOKUP($B699,Lifetime_morbidity_array!$A$30:$Y$48,8))+(SUM($AR699:$AS699)*VLOOKUP($B699,Lifetime_morbidity_array!$A$30:$Y$48,10))+(SUM($AT699:$AU699)*(VLOOKUP($B699,Lifetime_morbidity_array!$A$30:$Y$48,9)))</f>
        <v>9.0059219983573118E-3</v>
      </c>
      <c r="DD699" s="317">
        <f>(SUM($AM699:$AQ699)*VLOOKUP($B699,Lifetime_morbidity_array!$A$30:$Y$48,11))+(SUM($AR699:$AS699)*VLOOKUP($B699,Lifetime_morbidity_array!$A$30:$Y$48,13))+(SUM($AT699:$AU699)*(VLOOKUP($B699,Lifetime_morbidity_array!$A$30:$Y$48,12)))</f>
        <v>0</v>
      </c>
      <c r="DE699" s="309"/>
      <c r="DF699" s="315">
        <f ca="1">(SUM($CN699:$CO699))-((SUM($CN699:$CO699)*VLOOKUP($B699,Lifetime_morbidity_array!$A$6:$Y$24,4))+(SUM($CN699:$CO699)*VLOOKUP($B699,Lifetime_morbidity_array!$A$6:$Y$24,7))+(SUM($CN699:$CO699)*VLOOKUP($B699,Lifetime_morbidity_array!$A$6:$Y$24,10))+(SUM($CN699:$CO699)*VLOOKUP($B699,Lifetime_morbidity_array!$A$6:$Y$24,13)))</f>
        <v>160.87277020766732</v>
      </c>
      <c r="DG699" s="316">
        <f ca="1">(SUM($CP699:$CQ699))-(((SUM($CP699:$CQ699)*VLOOKUP($B699,Lifetime_morbidity_array!$A$6:$Y$24,3))+(SUM($CP699:$CQ699)*VLOOKUP($B699,Lifetime_morbidity_array!$A$6:$Y$24,6))+(SUM($CP699:$CQ699)*VLOOKUP($B699,Lifetime_morbidity_array!$A$6:$Y$24,9))+(SUM($CP699:$CQ699)*VLOOKUP($B699,Lifetime_morbidity_array!$A$6:$Y$24,12))))</f>
        <v>45.784769917872481</v>
      </c>
      <c r="DH699" s="316">
        <f ca="1">(SUM($CI699:$CM699))-((SUM($CI699:$CM699)*VLOOKUP($B699,Lifetime_morbidity_array!$A$6:$Y$24,2))+(SUM($CI699:$CM699)*VLOOKUP($B699,Lifetime_morbidity_array!$A$6:$Y$24,5))+(SUM($CI699:$CM699)*VLOOKUP($B699,Lifetime_morbidity_array!$A$6:$Y$24,8))+(SUM($CI699:$CM699)*VLOOKUP($B699,Lifetime_morbidity_array!$A$6:$Y$24,11)))</f>
        <v>226.78994630480776</v>
      </c>
      <c r="DI699" s="316">
        <f ca="1">(SUM($CI699:$CM699)*VLOOKUP($B699,Lifetime_morbidity_array!$A$6:$Y$24,2))+(SUM($CN699:$CO699)*VLOOKUP($B699,Lifetime_morbidity_array!$A$6:$Y$24,4))+(SUM($CP699:$CQ699)*VLOOKUP($B699,Lifetime_morbidity_array!$A$6:$Y$24,3))</f>
        <v>0.43301573011571809</v>
      </c>
      <c r="DJ699" s="316">
        <f ca="1">(SUM($CI699:$CM699)*VLOOKUP($B699,Lifetime_morbidity_array!$A$6:$Y$24,5))+(SUM($CN699:$CO699)*VLOOKUP($B699,Lifetime_morbidity_array!$A$6:$Y$24,7))+(SUM($CP699:$CQ699)*VLOOKUP($B699,Lifetime_morbidity_array!$A$6:$Y$24,6))</f>
        <v>0.15873737021916301</v>
      </c>
      <c r="DK699" s="316">
        <f ca="1">(SUM($CI699:$CM699)*VLOOKUP($B699,Lifetime_morbidity_array!$A$6:$Y$24,8))+(SUM($CN699:$CO699)*VLOOKUP($B699,Lifetime_morbidity_array!$A$6:$Y$24,10))+(SUM($CP699:$CQ699)*VLOOKUP($B699,Lifetime_morbidity_array!$A$6:$Y$24,9))</f>
        <v>8.6864209800986518E-3</v>
      </c>
      <c r="DL699" s="317">
        <f ca="1">(SUM($CI699:$CM699)*VLOOKUP($B699,Lifetime_morbidity_array!$A$6:$Y$24,11))+(SUM($CN699:$CO699)*VLOOKUP($B699,Lifetime_morbidity_array!$A$6:$Y$24,13))+(SUM($CP699:$CQ699)*VLOOKUP($B699,Lifetime_morbidity_array!$A$6:$Y$24,12))</f>
        <v>0.43522354970716681</v>
      </c>
      <c r="DM699" s="309"/>
      <c r="DN699" s="308">
        <f t="shared" si="275"/>
        <v>33</v>
      </c>
      <c r="DO699" s="309">
        <f t="shared" ca="1" si="276"/>
        <v>284.42262571724865</v>
      </c>
      <c r="DP699" s="310">
        <f t="shared" ca="1" si="307"/>
        <v>17231.142782639112</v>
      </c>
      <c r="DQ699" s="309"/>
      <c r="DR699" s="308">
        <f t="shared" si="277"/>
        <v>33</v>
      </c>
      <c r="DS699" s="309">
        <f ca="1">((VLOOKUP($B699,'Mahawesran Tariff'!$A$21:$M$120,4)*'Comparator (DET)'!$CX699)+(VLOOKUP($B699,'Mahawesran Tariff'!$A$21:$M$120,3)*'Comparator (DET)'!$CY699)+(VLOOKUP($B699,'Mahawesran Tariff'!$A$21:$M$120,2)*'Comparator (DET)'!$CZ699)+(VLOOKUP($B699,'Mahawesran Tariff'!$A$21:$M$120,7)*'Comparator (DET)'!$DF699)+(VLOOKUP($B699,'Mahawesran Tariff'!$A$21:$M$120,6)*'Comparator (DET)'!$DG699)+(VLOOKUP($B699,'Mahawesran Tariff'!$A$21:$M$120,5)*'Comparator (DET)'!$DH699)+(DET_UTIL_chd*('Comparator (DET)'!$DA699+'Comparator (DET)'!$DI699))+(DET_UTIL_copd*('Comparator (DET)'!$DB699+'Comparator (DET)'!$DJ699))+(DET_UTIL_lc*('Comparator (DET)'!$DC699+'Comparator (DET)'!$DK699))+(DET_UTIL_stroke*('Comparator (DET)'!$DD699+'Comparator (DET)'!$DL699)))/((1+Discount_rate_QALYs)^$A699)</f>
        <v>283.47538361360182</v>
      </c>
      <c r="DT699" s="310">
        <f t="shared" ca="1" si="308"/>
        <v>17213.769946815446</v>
      </c>
      <c r="DU699" s="309"/>
      <c r="DV699" s="308">
        <f t="shared" si="278"/>
        <v>33</v>
      </c>
      <c r="DW699" s="318">
        <f t="shared" ca="1" si="279"/>
        <v>3984.8279248855174</v>
      </c>
      <c r="DX699" s="319">
        <f t="shared" ca="1" si="309"/>
        <v>5599064.0517273108</v>
      </c>
      <c r="DZ699" s="95">
        <f t="shared" si="280"/>
        <v>33</v>
      </c>
      <c r="EA699" s="268">
        <f t="shared" ca="1" si="226"/>
        <v>0.88510681479140474</v>
      </c>
      <c r="EB699" s="268">
        <f t="shared" ca="1" si="227"/>
        <v>0.11489318520859527</v>
      </c>
      <c r="EC699" s="268">
        <f t="shared" ca="1" si="228"/>
        <v>2.1706098155293203E-3</v>
      </c>
      <c r="ED699" s="290">
        <f t="shared" ca="1" si="229"/>
        <v>0.48682401066558428</v>
      </c>
      <c r="EF699" s="95">
        <f t="shared" si="281"/>
        <v>33</v>
      </c>
      <c r="EG699" s="339">
        <f t="shared" ca="1" si="282"/>
        <v>3984.8279248855174</v>
      </c>
      <c r="EH699" s="341">
        <f t="shared" ca="1" si="310"/>
        <v>8699195.9875833988</v>
      </c>
      <c r="EJ699" s="308">
        <f t="shared" si="283"/>
        <v>33</v>
      </c>
      <c r="EK699" s="318">
        <f t="shared" ca="1" si="284"/>
        <v>3984.8279248855174</v>
      </c>
      <c r="EL699" s="319">
        <f t="shared" ca="1" si="311"/>
        <v>5599064.0517273108</v>
      </c>
      <c r="EN699" s="95">
        <f t="shared" si="285"/>
        <v>33</v>
      </c>
      <c r="EO699" s="339">
        <f t="shared" ca="1" si="286"/>
        <v>3984.8279248855174</v>
      </c>
      <c r="EP699" s="341">
        <f t="shared" ca="1" si="312"/>
        <v>8699195.9875833988</v>
      </c>
    </row>
    <row r="700" spans="1:146" s="266" customFormat="1" x14ac:dyDescent="0.25">
      <c r="A700" s="313">
        <v>34</v>
      </c>
      <c r="B700" s="314">
        <v>34</v>
      </c>
      <c r="C700" s="308">
        <f>VLOOKUP($B700,'Infant adult mortality'!$A$27:$I$128,3)</f>
        <v>5.3229999999999998E-4</v>
      </c>
      <c r="D700" s="309">
        <f t="shared" si="230"/>
        <v>0.27</v>
      </c>
      <c r="E700" s="309">
        <f>VLOOKUP($B700,'Infant pick up smoking rates'!$A$19:$I$104,3)</f>
        <v>1.5201831243956284E-3</v>
      </c>
      <c r="F700" s="309">
        <f t="shared" si="231"/>
        <v>5.3971602874811975E-3</v>
      </c>
      <c r="G700" s="309">
        <f t="shared" si="232"/>
        <v>0.72255035658812317</v>
      </c>
      <c r="H700" s="309">
        <f>VLOOKUP($B700,'Infant adult mortality'!$A$27:$I$128,3)</f>
        <v>5.3229999999999998E-4</v>
      </c>
      <c r="I700" s="309">
        <f t="shared" si="233"/>
        <v>0.14000000000000001</v>
      </c>
      <c r="J700" s="309">
        <f>VLOOKUP($B700,'Infant pick up smoking rates'!$A$19:$I$104,2)</f>
        <v>1.5201831243956284E-3</v>
      </c>
      <c r="K700" s="309">
        <f t="shared" si="234"/>
        <v>5.3971602874811975E-3</v>
      </c>
      <c r="L700" s="309">
        <f t="shared" si="235"/>
        <v>0.85255035658812317</v>
      </c>
      <c r="M700" s="309">
        <f>VLOOKUP($B700,'Infant adult mortality'!$A$27:$I$128,3)</f>
        <v>5.3229999999999998E-4</v>
      </c>
      <c r="N700" s="309">
        <f t="shared" si="236"/>
        <v>0.5714285714285714</v>
      </c>
      <c r="O700" s="309">
        <f>VLOOKUP($B700,'Infant pick up smoking rates'!$A$19:$I$104,2)</f>
        <v>1.5201831243956284E-3</v>
      </c>
      <c r="P700" s="309">
        <f t="shared" si="237"/>
        <v>3.562657529667391E-3</v>
      </c>
      <c r="Q700" s="309">
        <f t="shared" si="238"/>
        <v>0.42295628791736556</v>
      </c>
      <c r="R700" s="309">
        <f>VLOOKUP($B700,'Infant adult mortality'!$A$27:$I$128,3)</f>
        <v>5.3229999999999998E-4</v>
      </c>
      <c r="S700" s="309">
        <f t="shared" si="239"/>
        <v>8.6261668788331098E-3</v>
      </c>
      <c r="T700" s="309">
        <f>VLOOKUP($B700,'Infant pick up smoking rates'!$A$19:$I$104,2)</f>
        <v>1.5201831243956284E-3</v>
      </c>
      <c r="U700" s="309">
        <f t="shared" si="240"/>
        <v>3.562657529667391E-3</v>
      </c>
      <c r="V700" s="309">
        <f t="shared" si="241"/>
        <v>0.98575869246710379</v>
      </c>
      <c r="W700" s="309">
        <f>VLOOKUP($B700,'Infant adult mortality'!$A$27:$I$128,3)</f>
        <v>5.3229999999999998E-4</v>
      </c>
      <c r="X700" s="309">
        <f>VLOOKUP($B700,'Infant pick up smoking rates'!$A$19:$I$104,2)</f>
        <v>1.5201831243956284E-3</v>
      </c>
      <c r="Y700" s="309">
        <f t="shared" si="242"/>
        <v>0.99794751687560435</v>
      </c>
      <c r="Z700" s="309">
        <f>VLOOKUP($B700,'Infant adult mortality'!$A$27:$I$128,5)</f>
        <v>5.3229999999999998E-4</v>
      </c>
      <c r="AA700" s="309">
        <f t="shared" si="243"/>
        <v>0.25</v>
      </c>
      <c r="AB700" s="309">
        <f t="shared" si="244"/>
        <v>0.74946769999999996</v>
      </c>
      <c r="AC700" s="309">
        <f>VLOOKUP($B700,'Infant adult mortality'!$A$27:$I$128,5)</f>
        <v>5.3229999999999998E-4</v>
      </c>
      <c r="AD700" s="309">
        <f t="shared" si="245"/>
        <v>0.14000000000000001</v>
      </c>
      <c r="AE700" s="309">
        <f t="shared" si="246"/>
        <v>0.85946769999999995</v>
      </c>
      <c r="AF700" s="309">
        <f>VLOOKUP($B700,'Infant adult mortality'!$A$27:$I$128,4)</f>
        <v>5.3229999999999998E-4</v>
      </c>
      <c r="AG700" s="309">
        <f t="shared" si="247"/>
        <v>0.5714285714285714</v>
      </c>
      <c r="AH700" s="309">
        <f t="shared" si="248"/>
        <v>0.42803912857142862</v>
      </c>
      <c r="AI700" s="309">
        <f>VLOOKUP($B700,'Infant adult mortality'!$A$27:$I$128,4)</f>
        <v>5.3229999999999998E-4</v>
      </c>
      <c r="AJ700" s="309">
        <f t="shared" si="249"/>
        <v>8.6261668788331098E-3</v>
      </c>
      <c r="AK700" s="309">
        <f t="shared" si="250"/>
        <v>0.99084153312116685</v>
      </c>
      <c r="AL700" s="309"/>
      <c r="AM700" s="315">
        <f t="shared" si="287"/>
        <v>67.594621092105513</v>
      </c>
      <c r="AN700" s="316">
        <f t="shared" si="288"/>
        <v>18.579013372498899</v>
      </c>
      <c r="AO700" s="316">
        <f t="shared" si="289"/>
        <v>2.6472777249982347</v>
      </c>
      <c r="AP700" s="316">
        <f t="shared" si="290"/>
        <v>71.823436485814682</v>
      </c>
      <c r="AQ700" s="316">
        <f t="shared" si="291"/>
        <v>9.9557518139801111</v>
      </c>
      <c r="AR700" s="316">
        <f t="shared" si="292"/>
        <v>172.05654295245347</v>
      </c>
      <c r="AS700" s="316">
        <f t="shared" si="293"/>
        <v>43.588388508356665</v>
      </c>
      <c r="AT700" s="316">
        <f t="shared" si="294"/>
        <v>6.1846124395629873</v>
      </c>
      <c r="AU700" s="316">
        <f t="shared" si="295"/>
        <v>57.954153923230621</v>
      </c>
      <c r="AV700" s="316">
        <f t="shared" si="296"/>
        <v>59.6162016869986</v>
      </c>
      <c r="AW700" s="317">
        <f t="shared" si="251"/>
        <v>509.99999999999977</v>
      </c>
      <c r="AX700" s="309"/>
      <c r="AY700" s="308">
        <f>VLOOKUP($B700,'Infant adult mortality'!$A$134:$I$234,3)</f>
        <v>3.3179999999999999E-4</v>
      </c>
      <c r="AZ700" s="309">
        <f t="shared" si="252"/>
        <v>0.27</v>
      </c>
      <c r="BA700" s="309">
        <f ca="1">VLOOKUP($B700,'Infant pick up smoking rates'!$A$19:$I$104,7)</f>
        <v>3.9916955482353625E-3</v>
      </c>
      <c r="BB700" s="309">
        <f t="shared" si="253"/>
        <v>5.3971602874811975E-3</v>
      </c>
      <c r="BC700" s="309">
        <f t="shared" ca="1" si="254"/>
        <v>0.72027934416428352</v>
      </c>
      <c r="BD700" s="309">
        <f>VLOOKUP($B700,'Infant adult mortality'!$A$134:$I$234,3)</f>
        <v>3.3179999999999999E-4</v>
      </c>
      <c r="BE700" s="309">
        <f t="shared" si="255"/>
        <v>0.14000000000000001</v>
      </c>
      <c r="BF700" s="309">
        <f>VLOOKUP($B700,'Infant pick up smoking rates'!$A$19:$I$104,6)</f>
        <v>1.9288936901483743E-3</v>
      </c>
      <c r="BG700" s="309">
        <f t="shared" si="256"/>
        <v>5.3971602874811975E-3</v>
      </c>
      <c r="BH700" s="309">
        <f t="shared" si="257"/>
        <v>0.85234214602237046</v>
      </c>
      <c r="BI700" s="309">
        <f>VLOOKUP($B700,'Infant adult mortality'!$A$134:$I$234,3)</f>
        <v>3.3179999999999999E-4</v>
      </c>
      <c r="BJ700" s="309">
        <f t="shared" si="258"/>
        <v>0.5714285714285714</v>
      </c>
      <c r="BK700" s="309">
        <f>VLOOKUP($B700,'Infant pick up smoking rates'!$A$19:$I$104,6)</f>
        <v>1.9288936901483743E-3</v>
      </c>
      <c r="BL700" s="309">
        <f t="shared" si="259"/>
        <v>3.562657529667391E-3</v>
      </c>
      <c r="BM700" s="309">
        <f t="shared" si="260"/>
        <v>0.42274807735161279</v>
      </c>
      <c r="BN700" s="309">
        <f>VLOOKUP($B700,'Infant adult mortality'!$A$134:$I$234,3)</f>
        <v>3.3179999999999999E-4</v>
      </c>
      <c r="BO700" s="309">
        <f t="shared" si="261"/>
        <v>8.6261668788331098E-3</v>
      </c>
      <c r="BP700" s="309">
        <f>VLOOKUP($B700,'Infant pick up smoking rates'!$A$19:$I$104,6)</f>
        <v>1.9288936901483743E-3</v>
      </c>
      <c r="BQ700" s="309">
        <f t="shared" si="262"/>
        <v>3.562657529667391E-3</v>
      </c>
      <c r="BR700" s="309">
        <f t="shared" si="263"/>
        <v>0.98555048190135108</v>
      </c>
      <c r="BS700" s="309">
        <f>VLOOKUP($B700,'Infant adult mortality'!$A$134:$I$234,3)</f>
        <v>3.3179999999999999E-4</v>
      </c>
      <c r="BT700" s="309">
        <f>VLOOKUP($B700,'Infant pick up smoking rates'!$A$19:$I$104,6)</f>
        <v>1.9288936901483743E-3</v>
      </c>
      <c r="BU700" s="309">
        <f t="shared" si="264"/>
        <v>0.99773930630985164</v>
      </c>
      <c r="BV700" s="309">
        <f>VLOOKUP($B700,'Infant adult mortality'!$A$134:$I$234,5)</f>
        <v>3.3179999999999999E-4</v>
      </c>
      <c r="BW700" s="309">
        <f t="shared" si="265"/>
        <v>0.27</v>
      </c>
      <c r="BX700" s="309">
        <f t="shared" si="266"/>
        <v>0.72966819999999999</v>
      </c>
      <c r="BY700" s="309">
        <f>VLOOKUP($B700,'Infant adult mortality'!$A$134:$I$234,5)</f>
        <v>3.3179999999999999E-4</v>
      </c>
      <c r="BZ700" s="309">
        <f t="shared" si="267"/>
        <v>0.14000000000000001</v>
      </c>
      <c r="CA700" s="309">
        <f t="shared" si="268"/>
        <v>0.85966819999999999</v>
      </c>
      <c r="CB700" s="309">
        <f>VLOOKUP($B700,'Infant adult mortality'!$A$134:$I$234,4)</f>
        <v>3.3179999999999999E-4</v>
      </c>
      <c r="CC700" s="309">
        <f t="shared" si="269"/>
        <v>0.5714285714285714</v>
      </c>
      <c r="CD700" s="309">
        <f t="shared" si="270"/>
        <v>0.42823962857142861</v>
      </c>
      <c r="CE700" s="309">
        <f>VLOOKUP($B700,'Infant adult mortality'!$A$134:$I$234,4)</f>
        <v>3.3179999999999999E-4</v>
      </c>
      <c r="CF700" s="309">
        <f t="shared" si="271"/>
        <v>8.6261668788331098E-3</v>
      </c>
      <c r="CG700" s="309">
        <f t="shared" si="272"/>
        <v>0.9910420331211669</v>
      </c>
      <c r="CH700" s="309"/>
      <c r="CI700" s="315">
        <f t="shared" ca="1" si="297"/>
        <v>91.909186273818108</v>
      </c>
      <c r="CJ700" s="316">
        <f t="shared" ca="1" si="298"/>
        <v>25.319174054817612</v>
      </c>
      <c r="CK700" s="316">
        <f t="shared" ca="1" si="299"/>
        <v>3.6159363410399528</v>
      </c>
      <c r="CL700" s="316">
        <f t="shared" ca="1" si="300"/>
        <v>92.605600888557632</v>
      </c>
      <c r="CM700" s="316">
        <f t="shared" ca="1" si="301"/>
        <v>13.17456579109998</v>
      </c>
      <c r="CN700" s="316">
        <f t="shared" ca="1" si="302"/>
        <v>125.24485072951597</v>
      </c>
      <c r="CO700" s="316">
        <f t="shared" ca="1" si="303"/>
        <v>34.199502840573658</v>
      </c>
      <c r="CP700" s="316">
        <f t="shared" ca="1" si="304"/>
        <v>4.8429259479937059</v>
      </c>
      <c r="CQ700" s="316">
        <f t="shared" ca="1" si="305"/>
        <v>43.427245124948577</v>
      </c>
      <c r="CR700" s="316">
        <f t="shared" ca="1" si="306"/>
        <v>55.661012007635129</v>
      </c>
      <c r="CS700" s="317">
        <f t="shared" ca="1" si="273"/>
        <v>490.00000000000028</v>
      </c>
      <c r="CT700" s="309"/>
      <c r="CU700" s="309">
        <f t="shared" ca="1" si="274"/>
        <v>1000</v>
      </c>
      <c r="CV700" s="309" t="str">
        <f t="shared" ca="1" si="225"/>
        <v>OKAY</v>
      </c>
      <c r="CW700" s="309"/>
      <c r="CX700" s="315">
        <f>(SUM($AR700:$AS700))-((SUM($AR700:$AS700)*VLOOKUP($B700,Lifetime_morbidity_array!$A$30:$Y$48,4))+(SUM($AR700:$AS700)*VLOOKUP($B700,Lifetime_morbidity_array!$A$30:$Y$48,7))+(SUM($AR700:$AS700)*VLOOKUP($B700,Lifetime_morbidity_array!$A$30:$Y$48,10))+(SUM($AR700:$AS700)*VLOOKUP($B700,Lifetime_morbidity_array!$A$30:$Y$48,13)))</f>
        <v>215.10180527418746</v>
      </c>
      <c r="CY700" s="316">
        <f>(SUM($AT700:$AU700))-((SUM($AT700:$AU700)*(VLOOKUP($B700,Lifetime_morbidity_array!$A$30:$Y$48,3)))+(SUM($AT700:$AU700)*(VLOOKUP($B700,Lifetime_morbidity_array!$A$30:$Y$48,6)))+(SUM($AT700:$AU700)*(VLOOKUP($B700,Lifetime_morbidity_array!$A$30:$Y$48,9)))+(SUM($AT700:$AU700)*(VLOOKUP($B700,Lifetime_morbidity_array!$A$30:$Y$48,12))))</f>
        <v>63.977225614521302</v>
      </c>
      <c r="CZ700" s="316">
        <f>(SUM($AM700:$AQ700))-((SUM($AM700:$AQ700)*VLOOKUP($B700,Lifetime_morbidity_array!$A$30:$Y$48,2))+(SUM($AM700:$AQ700)*VLOOKUP($B700,Lifetime_morbidity_array!$A$30:$Y$48,5))+(SUM($AM700:$AQ700)*VLOOKUP($B700,Lifetime_morbidity_array!$A$30:$Y$48,8))+(SUM($AM700:$AQ700)*VLOOKUP($B700,Lifetime_morbidity_array!$A$30:$Y$48,11)))</f>
        <v>170.17042481193738</v>
      </c>
      <c r="DA700" s="316">
        <f>(SUM($AM700:$AQ700)*VLOOKUP($B700,Lifetime_morbidity_array!$A$30:$Y$48,2))+(SUM($AR700:$AS700)*VLOOKUP($B700,Lifetime_morbidity_array!$A$30:$Y$48,4))+(SUM($AT700:$AU700)*(VLOOKUP($B700,Lifetime_morbidity_array!$A$30:$Y$48,3)))</f>
        <v>0.90040006518684945</v>
      </c>
      <c r="DB700" s="316">
        <f>(SUM($AM700:$AQ700)*VLOOKUP($B700,Lifetime_morbidity_array!$A$30:$Y$48,5))+(SUM($AR700:$AS700)*VLOOKUP($B700,Lifetime_morbidity_array!$A$30:$Y$48,7))+(SUM($AT700:$AU700)*(VLOOKUP($B700,Lifetime_morbidity_array!$A$30:$Y$48,6)))</f>
        <v>0.22494141902214548</v>
      </c>
      <c r="DC700" s="316">
        <f>(SUM($AM700:$AQ700)*VLOOKUP($B700,Lifetime_morbidity_array!$A$30:$Y$48,8))+(SUM($AR700:$AS700)*VLOOKUP($B700,Lifetime_morbidity_array!$A$30:$Y$48,10))+(SUM($AT700:$AU700)*(VLOOKUP($B700,Lifetime_morbidity_array!$A$30:$Y$48,9)))</f>
        <v>9.0011281460775847E-3</v>
      </c>
      <c r="DD700" s="317">
        <f>(SUM($AM700:$AQ700)*VLOOKUP($B700,Lifetime_morbidity_array!$A$30:$Y$48,11))+(SUM($AR700:$AS700)*VLOOKUP($B700,Lifetime_morbidity_array!$A$30:$Y$48,13))+(SUM($AT700:$AU700)*(VLOOKUP($B700,Lifetime_morbidity_array!$A$30:$Y$48,12)))</f>
        <v>0</v>
      </c>
      <c r="DE700" s="309"/>
      <c r="DF700" s="315">
        <f ca="1">(SUM($CN700:$CO700))-((SUM($CN700:$CO700)*VLOOKUP($B700,Lifetime_morbidity_array!$A$6:$Y$24,4))+(SUM($CN700:$CO700)*VLOOKUP($B700,Lifetime_morbidity_array!$A$6:$Y$24,7))+(SUM($CN700:$CO700)*VLOOKUP($B700,Lifetime_morbidity_array!$A$6:$Y$24,10))+(SUM($CN700:$CO700)*VLOOKUP($B700,Lifetime_morbidity_array!$A$6:$Y$24,13)))</f>
        <v>159.06429135348802</v>
      </c>
      <c r="DG700" s="316">
        <f ca="1">(SUM($CP700:$CQ700))-(((SUM($CP700:$CQ700)*VLOOKUP($B700,Lifetime_morbidity_array!$A$6:$Y$24,3))+(SUM($CP700:$CQ700)*VLOOKUP($B700,Lifetime_morbidity_array!$A$6:$Y$24,6))+(SUM($CP700:$CQ700)*VLOOKUP($B700,Lifetime_morbidity_array!$A$6:$Y$24,9))+(SUM($CP700:$CQ700)*VLOOKUP($B700,Lifetime_morbidity_array!$A$6:$Y$24,12))))</f>
        <v>48.155111067348187</v>
      </c>
      <c r="DH700" s="316">
        <f ca="1">(SUM($CI700:$CM700))-((SUM($CI700:$CM700)*VLOOKUP($B700,Lifetime_morbidity_array!$A$6:$Y$24,2))+(SUM($CI700:$CM700)*VLOOKUP($B700,Lifetime_morbidity_array!$A$6:$Y$24,5))+(SUM($CI700:$CM700)*VLOOKUP($B700,Lifetime_morbidity_array!$A$6:$Y$24,8))+(SUM($CI700:$CM700)*VLOOKUP($B700,Lifetime_morbidity_array!$A$6:$Y$24,11)))</f>
        <v>226.08426613351384</v>
      </c>
      <c r="DI700" s="316">
        <f ca="1">(SUM($CI700:$CM700)*VLOOKUP($B700,Lifetime_morbidity_array!$A$6:$Y$24,2))+(SUM($CN700:$CO700)*VLOOKUP($B700,Lifetime_morbidity_array!$A$6:$Y$24,4))+(SUM($CP700:$CQ700)*VLOOKUP($B700,Lifetime_morbidity_array!$A$6:$Y$24,3))</f>
        <v>0.43287205549646574</v>
      </c>
      <c r="DJ700" s="316">
        <f ca="1">(SUM($CI700:$CM700)*VLOOKUP($B700,Lifetime_morbidity_array!$A$6:$Y$24,5))+(SUM($CN700:$CO700)*VLOOKUP($B700,Lifetime_morbidity_array!$A$6:$Y$24,7))+(SUM($CP700:$CQ700)*VLOOKUP($B700,Lifetime_morbidity_array!$A$6:$Y$24,6))</f>
        <v>0.1586847011597243</v>
      </c>
      <c r="DK700" s="316">
        <f ca="1">(SUM($CI700:$CM700)*VLOOKUP($B700,Lifetime_morbidity_array!$A$6:$Y$24,8))+(SUM($CN700:$CO700)*VLOOKUP($B700,Lifetime_morbidity_array!$A$6:$Y$24,10))+(SUM($CP700:$CQ700)*VLOOKUP($B700,Lifetime_morbidity_array!$A$6:$Y$24,9))</f>
        <v>8.6835388256174557E-3</v>
      </c>
      <c r="DL700" s="317">
        <f ca="1">(SUM($CI700:$CM700)*VLOOKUP($B700,Lifetime_morbidity_array!$A$6:$Y$24,11))+(SUM($CN700:$CO700)*VLOOKUP($B700,Lifetime_morbidity_array!$A$6:$Y$24,13))+(SUM($CP700:$CQ700)*VLOOKUP($B700,Lifetime_morbidity_array!$A$6:$Y$24,12))</f>
        <v>0.43507914253337404</v>
      </c>
      <c r="DM700" s="309"/>
      <c r="DN700" s="308">
        <f t="shared" si="275"/>
        <v>34</v>
      </c>
      <c r="DO700" s="309">
        <f t="shared" ca="1" si="276"/>
        <v>274.68523764389755</v>
      </c>
      <c r="DP700" s="310">
        <f t="shared" ca="1" si="307"/>
        <v>17505.82802028301</v>
      </c>
      <c r="DQ700" s="309"/>
      <c r="DR700" s="308">
        <f t="shared" si="277"/>
        <v>34</v>
      </c>
      <c r="DS700" s="309">
        <f ca="1">((VLOOKUP($B700,'Mahawesran Tariff'!$A$21:$M$120,4)*'Comparator (DET)'!$CX700)+(VLOOKUP($B700,'Mahawesran Tariff'!$A$21:$M$120,3)*'Comparator (DET)'!$CY700)+(VLOOKUP($B700,'Mahawesran Tariff'!$A$21:$M$120,2)*'Comparator (DET)'!$CZ700)+(VLOOKUP($B700,'Mahawesran Tariff'!$A$21:$M$120,7)*'Comparator (DET)'!$DF700)+(VLOOKUP($B700,'Mahawesran Tariff'!$A$21:$M$120,6)*'Comparator (DET)'!$DG700)+(VLOOKUP($B700,'Mahawesran Tariff'!$A$21:$M$120,5)*'Comparator (DET)'!$DH700)+(DET_UTIL_chd*('Comparator (DET)'!$DA700+'Comparator (DET)'!$DI700))+(DET_UTIL_copd*('Comparator (DET)'!$DB700+'Comparator (DET)'!$DJ700))+(DET_UTIL_lc*('Comparator (DET)'!$DC700+'Comparator (DET)'!$DK700))+(DET_UTIL_stroke*('Comparator (DET)'!$DD700+'Comparator (DET)'!$DL700)))/((1+Discount_rate_QALYs)^$A700)</f>
        <v>273.78730235090734</v>
      </c>
      <c r="DT700" s="310">
        <f t="shared" ca="1" si="308"/>
        <v>17487.557249166355</v>
      </c>
      <c r="DU700" s="309"/>
      <c r="DV700" s="308">
        <f t="shared" si="278"/>
        <v>34</v>
      </c>
      <c r="DW700" s="318">
        <f t="shared" ca="1" si="279"/>
        <v>3848.6775480118185</v>
      </c>
      <c r="DX700" s="319">
        <f t="shared" ca="1" si="309"/>
        <v>5602912.7292753225</v>
      </c>
      <c r="DZ700" s="95">
        <f t="shared" si="280"/>
        <v>34</v>
      </c>
      <c r="EA700" s="268">
        <f t="shared" ca="1" si="226"/>
        <v>0.88472278630536627</v>
      </c>
      <c r="EB700" s="268">
        <f t="shared" ca="1" si="227"/>
        <v>0.11527721369463373</v>
      </c>
      <c r="EC700" s="268">
        <f t="shared" ca="1" si="228"/>
        <v>2.1696620503702541E-3</v>
      </c>
      <c r="ED700" s="290">
        <f t="shared" ca="1" si="229"/>
        <v>0.48749822246663566</v>
      </c>
      <c r="EF700" s="95">
        <f t="shared" si="281"/>
        <v>34</v>
      </c>
      <c r="EG700" s="339">
        <f t="shared" ca="1" si="282"/>
        <v>3848.6775480118185</v>
      </c>
      <c r="EH700" s="341">
        <f t="shared" ca="1" si="310"/>
        <v>8703044.6651314106</v>
      </c>
      <c r="EJ700" s="308">
        <f t="shared" si="283"/>
        <v>34</v>
      </c>
      <c r="EK700" s="318">
        <f t="shared" ca="1" si="284"/>
        <v>3848.6775480118185</v>
      </c>
      <c r="EL700" s="319">
        <f t="shared" ca="1" si="311"/>
        <v>5602912.7292753225</v>
      </c>
      <c r="EN700" s="95">
        <f t="shared" si="285"/>
        <v>34</v>
      </c>
      <c r="EO700" s="339">
        <f t="shared" ca="1" si="286"/>
        <v>3848.6775480118185</v>
      </c>
      <c r="EP700" s="341">
        <f t="shared" ca="1" si="312"/>
        <v>8703044.6651314106</v>
      </c>
    </row>
    <row r="701" spans="1:146" s="266" customFormat="1" x14ac:dyDescent="0.25">
      <c r="A701" s="313">
        <v>35</v>
      </c>
      <c r="B701" s="314">
        <v>35</v>
      </c>
      <c r="C701" s="308">
        <f>VLOOKUP($B701,'Infant adult mortality'!$A$27:$I$128,3)</f>
        <v>4.717718940936863E-4</v>
      </c>
      <c r="D701" s="309">
        <f t="shared" si="230"/>
        <v>0.27</v>
      </c>
      <c r="E701" s="309">
        <f>VLOOKUP($B701,'Infant pick up smoking rates'!$A$19:$I$104,3)</f>
        <v>1.5201831243956284E-3</v>
      </c>
      <c r="F701" s="309">
        <f t="shared" si="231"/>
        <v>5.8190732074210267E-3</v>
      </c>
      <c r="G701" s="309">
        <f t="shared" si="232"/>
        <v>0.72218897177408969</v>
      </c>
      <c r="H701" s="309">
        <f>VLOOKUP($B701,'Infant adult mortality'!$A$27:$I$128,3)</f>
        <v>4.717718940936863E-4</v>
      </c>
      <c r="I701" s="309">
        <f t="shared" si="233"/>
        <v>0.14000000000000001</v>
      </c>
      <c r="J701" s="309">
        <f>VLOOKUP($B701,'Infant pick up smoking rates'!$A$19:$I$104,2)</f>
        <v>1.5201831243956284E-3</v>
      </c>
      <c r="K701" s="309">
        <f t="shared" si="234"/>
        <v>5.8190732074210267E-3</v>
      </c>
      <c r="L701" s="309">
        <f t="shared" si="235"/>
        <v>0.8521889717740897</v>
      </c>
      <c r="M701" s="309">
        <f>VLOOKUP($B701,'Infant adult mortality'!$A$27:$I$128,3)</f>
        <v>4.717718940936863E-4</v>
      </c>
      <c r="N701" s="309">
        <f t="shared" si="236"/>
        <v>0.5714285714285714</v>
      </c>
      <c r="O701" s="309">
        <f>VLOOKUP($B701,'Infant pick up smoking rates'!$A$19:$I$104,2)</f>
        <v>1.5201831243956284E-3</v>
      </c>
      <c r="P701" s="309">
        <f t="shared" si="237"/>
        <v>3.8411616246030421E-3</v>
      </c>
      <c r="Q701" s="309">
        <f t="shared" si="238"/>
        <v>0.42273831192833627</v>
      </c>
      <c r="R701" s="309">
        <f>VLOOKUP($B701,'Infant adult mortality'!$A$27:$I$128,3)</f>
        <v>4.717718940936863E-4</v>
      </c>
      <c r="S701" s="309">
        <f t="shared" si="239"/>
        <v>8.6261668788331098E-3</v>
      </c>
      <c r="T701" s="309">
        <f>VLOOKUP($B701,'Infant pick up smoking rates'!$A$19:$I$104,2)</f>
        <v>1.5201831243956284E-3</v>
      </c>
      <c r="U701" s="309">
        <f t="shared" si="240"/>
        <v>3.8411616246030421E-3</v>
      </c>
      <c r="V701" s="309">
        <f t="shared" si="241"/>
        <v>0.98554071647807462</v>
      </c>
      <c r="W701" s="309">
        <f>VLOOKUP($B701,'Infant adult mortality'!$A$27:$I$128,3)</f>
        <v>4.717718940936863E-4</v>
      </c>
      <c r="X701" s="309">
        <f>VLOOKUP($B701,'Infant pick up smoking rates'!$A$19:$I$104,2)</f>
        <v>1.5201831243956284E-3</v>
      </c>
      <c r="Y701" s="309">
        <f t="shared" si="242"/>
        <v>0.99800804498151074</v>
      </c>
      <c r="Z701" s="309">
        <f>VLOOKUP($B701,'Infant adult mortality'!$A$27:$I$128,5)</f>
        <v>8.2560081466395089E-4</v>
      </c>
      <c r="AA701" s="309">
        <f t="shared" si="243"/>
        <v>0.25</v>
      </c>
      <c r="AB701" s="309">
        <f t="shared" si="244"/>
        <v>0.74917439918533602</v>
      </c>
      <c r="AC701" s="309">
        <f>VLOOKUP($B701,'Infant adult mortality'!$A$27:$I$128,5)</f>
        <v>8.2560081466395089E-4</v>
      </c>
      <c r="AD701" s="309">
        <f t="shared" si="245"/>
        <v>0.14000000000000001</v>
      </c>
      <c r="AE701" s="309">
        <f t="shared" si="246"/>
        <v>0.859174399185336</v>
      </c>
      <c r="AF701" s="309">
        <f>VLOOKUP($B701,'Infant adult mortality'!$A$27:$I$128,4)</f>
        <v>5.897148676171079E-4</v>
      </c>
      <c r="AG701" s="309">
        <f t="shared" si="247"/>
        <v>0.5714285714285714</v>
      </c>
      <c r="AH701" s="309">
        <f t="shared" si="248"/>
        <v>0.42798171370381149</v>
      </c>
      <c r="AI701" s="309">
        <f>VLOOKUP($B701,'Infant adult mortality'!$A$27:$I$128,4)</f>
        <v>5.897148676171079E-4</v>
      </c>
      <c r="AJ701" s="309">
        <f t="shared" si="249"/>
        <v>8.6261668788331098E-3</v>
      </c>
      <c r="AK701" s="309">
        <f t="shared" si="250"/>
        <v>0.99078411825354984</v>
      </c>
      <c r="AL701" s="309"/>
      <c r="AM701" s="315">
        <f t="shared" si="287"/>
        <v>66.387586872062926</v>
      </c>
      <c r="AN701" s="316">
        <f t="shared" si="288"/>
        <v>18.250547694868491</v>
      </c>
      <c r="AO701" s="316">
        <f t="shared" si="289"/>
        <v>2.6010618721498462</v>
      </c>
      <c r="AP701" s="316">
        <f t="shared" si="290"/>
        <v>72.297651182717715</v>
      </c>
      <c r="AQ701" s="316">
        <f t="shared" si="291"/>
        <v>10.723425141273847</v>
      </c>
      <c r="AR701" s="316">
        <f t="shared" si="292"/>
        <v>169.75655132776023</v>
      </c>
      <c r="AS701" s="316">
        <f t="shared" si="293"/>
        <v>43.014135738113367</v>
      </c>
      <c r="AT701" s="316">
        <f t="shared" si="294"/>
        <v>6.102374391169934</v>
      </c>
      <c r="AU701" s="316">
        <f t="shared" si="295"/>
        <v>60.954119545137402</v>
      </c>
      <c r="AV701" s="316">
        <f t="shared" si="296"/>
        <v>59.912546234746017</v>
      </c>
      <c r="AW701" s="317">
        <f t="shared" si="251"/>
        <v>509.99999999999983</v>
      </c>
      <c r="AX701" s="309"/>
      <c r="AY701" s="308">
        <f>VLOOKUP($B701,'Infant adult mortality'!$A$134:$I$234,3)</f>
        <v>2.9287169042769857E-4</v>
      </c>
      <c r="AZ701" s="309">
        <f t="shared" si="252"/>
        <v>0.27</v>
      </c>
      <c r="BA701" s="309">
        <f ca="1">VLOOKUP($B701,'Infant pick up smoking rates'!$A$19:$I$104,7)</f>
        <v>3.9916955482353625E-3</v>
      </c>
      <c r="BB701" s="309">
        <f t="shared" si="253"/>
        <v>5.8190732074210267E-3</v>
      </c>
      <c r="BC701" s="309">
        <f t="shared" ca="1" si="254"/>
        <v>0.71989635955391595</v>
      </c>
      <c r="BD701" s="309">
        <f>VLOOKUP($B701,'Infant adult mortality'!$A$134:$I$234,3)</f>
        <v>2.9287169042769857E-4</v>
      </c>
      <c r="BE701" s="309">
        <f t="shared" si="255"/>
        <v>0.14000000000000001</v>
      </c>
      <c r="BF701" s="309">
        <f>VLOOKUP($B701,'Infant pick up smoking rates'!$A$19:$I$104,6)</f>
        <v>1.9288936901483743E-3</v>
      </c>
      <c r="BG701" s="309">
        <f t="shared" si="256"/>
        <v>5.8190732074210267E-3</v>
      </c>
      <c r="BH701" s="309">
        <f t="shared" si="257"/>
        <v>0.8519591614120029</v>
      </c>
      <c r="BI701" s="309">
        <f>VLOOKUP($B701,'Infant adult mortality'!$A$134:$I$234,3)</f>
        <v>2.9287169042769857E-4</v>
      </c>
      <c r="BJ701" s="309">
        <f t="shared" si="258"/>
        <v>0.5714285714285714</v>
      </c>
      <c r="BK701" s="309">
        <f>VLOOKUP($B701,'Infant pick up smoking rates'!$A$19:$I$104,6)</f>
        <v>1.9288936901483743E-3</v>
      </c>
      <c r="BL701" s="309">
        <f t="shared" si="259"/>
        <v>3.8411616246030421E-3</v>
      </c>
      <c r="BM701" s="309">
        <f t="shared" si="260"/>
        <v>0.42250850156624953</v>
      </c>
      <c r="BN701" s="309">
        <f>VLOOKUP($B701,'Infant adult mortality'!$A$134:$I$234,3)</f>
        <v>2.9287169042769857E-4</v>
      </c>
      <c r="BO701" s="309">
        <f t="shared" si="261"/>
        <v>8.6261668788331098E-3</v>
      </c>
      <c r="BP701" s="309">
        <f>VLOOKUP($B701,'Infant pick up smoking rates'!$A$19:$I$104,6)</f>
        <v>1.9288936901483743E-3</v>
      </c>
      <c r="BQ701" s="309">
        <f t="shared" si="262"/>
        <v>3.8411616246030421E-3</v>
      </c>
      <c r="BR701" s="309">
        <f t="shared" si="263"/>
        <v>0.98531090611598782</v>
      </c>
      <c r="BS701" s="309">
        <f>VLOOKUP($B701,'Infant adult mortality'!$A$134:$I$234,3)</f>
        <v>2.9287169042769857E-4</v>
      </c>
      <c r="BT701" s="309">
        <f>VLOOKUP($B701,'Infant pick up smoking rates'!$A$19:$I$104,6)</f>
        <v>1.9288936901483743E-3</v>
      </c>
      <c r="BU701" s="309">
        <f t="shared" si="264"/>
        <v>0.99777823461942394</v>
      </c>
      <c r="BV701" s="309">
        <f>VLOOKUP($B701,'Infant adult mortality'!$A$134:$I$234,5)</f>
        <v>5.1252545824847248E-4</v>
      </c>
      <c r="BW701" s="309">
        <f t="shared" si="265"/>
        <v>0.27</v>
      </c>
      <c r="BX701" s="309">
        <f t="shared" si="266"/>
        <v>0.72948747454175156</v>
      </c>
      <c r="BY701" s="309">
        <f>VLOOKUP($B701,'Infant adult mortality'!$A$134:$I$234,5)</f>
        <v>5.1252545824847248E-4</v>
      </c>
      <c r="BZ701" s="309">
        <f t="shared" si="267"/>
        <v>0.14000000000000001</v>
      </c>
      <c r="CA701" s="309">
        <f t="shared" si="268"/>
        <v>0.85948747454175156</v>
      </c>
      <c r="CB701" s="309">
        <f>VLOOKUP($B701,'Infant adult mortality'!$A$134:$I$234,4)</f>
        <v>3.6608961303462323E-4</v>
      </c>
      <c r="CC701" s="309">
        <f t="shared" si="269"/>
        <v>0.5714285714285714</v>
      </c>
      <c r="CD701" s="309">
        <f t="shared" si="270"/>
        <v>0.42820533895839397</v>
      </c>
      <c r="CE701" s="309">
        <f>VLOOKUP($B701,'Infant adult mortality'!$A$134:$I$234,4)</f>
        <v>3.6608961303462323E-4</v>
      </c>
      <c r="CF701" s="309">
        <f t="shared" si="271"/>
        <v>8.6261668788331098E-3</v>
      </c>
      <c r="CG701" s="309">
        <f t="shared" si="272"/>
        <v>0.99100774350813225</v>
      </c>
      <c r="CH701" s="309"/>
      <c r="CI701" s="315">
        <f t="shared" ca="1" si="297"/>
        <v>90.062586115862416</v>
      </c>
      <c r="CJ701" s="316">
        <f t="shared" ca="1" si="298"/>
        <v>24.815480293930889</v>
      </c>
      <c r="CK701" s="316">
        <f t="shared" ca="1" si="299"/>
        <v>3.5446843676744662</v>
      </c>
      <c r="CL701" s="316">
        <f t="shared" ca="1" si="300"/>
        <v>93.311557860657359</v>
      </c>
      <c r="CM701" s="316">
        <f t="shared" ca="1" si="301"/>
        <v>14.197057883926098</v>
      </c>
      <c r="CN701" s="316">
        <f t="shared" ca="1" si="302"/>
        <v>123.83369653331691</v>
      </c>
      <c r="CO701" s="316">
        <f t="shared" ca="1" si="303"/>
        <v>33.816109696969313</v>
      </c>
      <c r="CP701" s="316">
        <f t="shared" ca="1" si="304"/>
        <v>4.7879303976803129</v>
      </c>
      <c r="CQ701" s="316">
        <f t="shared" ca="1" si="305"/>
        <v>45.80412245404623</v>
      </c>
      <c r="CR701" s="316">
        <f t="shared" ca="1" si="306"/>
        <v>55.826774395936361</v>
      </c>
      <c r="CS701" s="317">
        <f t="shared" ca="1" si="273"/>
        <v>490.0000000000004</v>
      </c>
      <c r="CT701" s="309"/>
      <c r="CU701" s="309">
        <f t="shared" ca="1" si="274"/>
        <v>1000.0000000000002</v>
      </c>
      <c r="CV701" s="309" t="str">
        <f t="shared" ca="1" si="225"/>
        <v>OKAY</v>
      </c>
      <c r="CW701" s="309"/>
      <c r="CX701" s="315">
        <f>(SUM($AR701:$AS701))-((SUM($AR701:$AS701)*VLOOKUP($B701,Lifetime_morbidity_array!$A$30:$Y$48,4))+(SUM($AR701:$AS701)*VLOOKUP($B701,Lifetime_morbidity_array!$A$30:$Y$48,7))+(SUM($AR701:$AS701)*VLOOKUP($B701,Lifetime_morbidity_array!$A$30:$Y$48,10))+(SUM($AR701:$AS701)*VLOOKUP($B701,Lifetime_morbidity_array!$A$30:$Y$48,13)))</f>
        <v>207.737705065912</v>
      </c>
      <c r="CY701" s="316">
        <f>(SUM($AT701:$AU701))-((SUM($AT701:$AU701)*(VLOOKUP($B701,Lifetime_morbidity_array!$A$30:$Y$48,3)))+(SUM($AT701:$AU701)*(VLOOKUP($B701,Lifetime_morbidity_array!$A$30:$Y$48,6)))+(SUM($AT701:$AU701)*(VLOOKUP($B701,Lifetime_morbidity_array!$A$30:$Y$48,9)))+(SUM($AT701:$AU701)*(VLOOKUP($B701,Lifetime_morbidity_array!$A$30:$Y$48,12))))</f>
        <v>66.321361067724254</v>
      </c>
      <c r="CZ701" s="316">
        <f>(SUM($AM701:$AQ701))-((SUM($AM701:$AQ701)*VLOOKUP($B701,Lifetime_morbidity_array!$A$30:$Y$48,2))+(SUM($AM701:$AQ701)*VLOOKUP($B701,Lifetime_morbidity_array!$A$30:$Y$48,5))+(SUM($AM701:$AQ701)*VLOOKUP($B701,Lifetime_morbidity_array!$A$30:$Y$48,8))+(SUM($AM701:$AQ701)*VLOOKUP($B701,Lifetime_morbidity_array!$A$30:$Y$48,11)))</f>
        <v>168.99165549119883</v>
      </c>
      <c r="DA701" s="316">
        <f>(SUM($AM701:$AQ701)*VLOOKUP($B701,Lifetime_morbidity_array!$A$30:$Y$48,2))+(SUM($AR701:$AS701)*VLOOKUP($B701,Lifetime_morbidity_array!$A$30:$Y$48,4))+(SUM($AT701:$AU701)*(VLOOKUP($B701,Lifetime_morbidity_array!$A$30:$Y$48,3)))</f>
        <v>3.6417767707370459</v>
      </c>
      <c r="DB701" s="316">
        <f>(SUM($AM701:$AQ701)*VLOOKUP($B701,Lifetime_morbidity_array!$A$30:$Y$48,5))+(SUM($AR701:$AS701)*VLOOKUP($B701,Lifetime_morbidity_array!$A$30:$Y$48,7))+(SUM($AT701:$AU701)*(VLOOKUP($B701,Lifetime_morbidity_array!$A$30:$Y$48,6)))</f>
        <v>0.55432999827279839</v>
      </c>
      <c r="DC701" s="316">
        <f>(SUM($AM701:$AQ701)*VLOOKUP($B701,Lifetime_morbidity_array!$A$30:$Y$48,8))+(SUM($AR701:$AS701)*VLOOKUP($B701,Lifetime_morbidity_array!$A$30:$Y$48,10))+(SUM($AT701:$AU701)*(VLOOKUP($B701,Lifetime_morbidity_array!$A$30:$Y$48,9)))</f>
        <v>1.4703593042969892E-2</v>
      </c>
      <c r="DD701" s="317">
        <f>(SUM($AM701:$AQ701)*VLOOKUP($B701,Lifetime_morbidity_array!$A$30:$Y$48,11))+(SUM($AR701:$AS701)*VLOOKUP($B701,Lifetime_morbidity_array!$A$30:$Y$48,13))+(SUM($AT701:$AU701)*(VLOOKUP($B701,Lifetime_morbidity_array!$A$30:$Y$48,12)))</f>
        <v>2.8259217783658985</v>
      </c>
      <c r="DE701" s="309"/>
      <c r="DF701" s="315">
        <f ca="1">(SUM($CN701:$CO701))-((SUM($CN701:$CO701)*VLOOKUP($B701,Lifetime_morbidity_array!$A$6:$Y$24,4))+(SUM($CN701:$CO701)*VLOOKUP($B701,Lifetime_morbidity_array!$A$6:$Y$24,7))+(SUM($CN701:$CO701)*VLOOKUP($B701,Lifetime_morbidity_array!$A$6:$Y$24,10))+(SUM($CN701:$CO701)*VLOOKUP($B701,Lifetime_morbidity_array!$A$6:$Y$24,13)))</f>
        <v>154.88703006999367</v>
      </c>
      <c r="DG701" s="316">
        <f ca="1">(SUM($CP701:$CQ701))-(((SUM($CP701:$CQ701)*VLOOKUP($B701,Lifetime_morbidity_array!$A$6:$Y$24,3))+(SUM($CP701:$CQ701)*VLOOKUP($B701,Lifetime_morbidity_array!$A$6:$Y$24,6))+(SUM($CP701:$CQ701)*VLOOKUP($B701,Lifetime_morbidity_array!$A$6:$Y$24,9))+(SUM($CP701:$CQ701)*VLOOKUP($B701,Lifetime_morbidity_array!$A$6:$Y$24,12))))</f>
        <v>50.230483241310537</v>
      </c>
      <c r="DH701" s="316">
        <f ca="1">(SUM($CI701:$CM701))-((SUM($CI701:$CM701)*VLOOKUP($B701,Lifetime_morbidity_array!$A$6:$Y$24,2))+(SUM($CI701:$CM701)*VLOOKUP($B701,Lifetime_morbidity_array!$A$6:$Y$24,5))+(SUM($CI701:$CM701)*VLOOKUP($B701,Lifetime_morbidity_array!$A$6:$Y$24,8))+(SUM($CI701:$CM701)*VLOOKUP($B701,Lifetime_morbidity_array!$A$6:$Y$24,11)))</f>
        <v>224.80451416437089</v>
      </c>
      <c r="DI701" s="316">
        <f ca="1">(SUM($CI701:$CM701)*VLOOKUP($B701,Lifetime_morbidity_array!$A$6:$Y$24,2))+(SUM($CN701:$CO701)*VLOOKUP($B701,Lifetime_morbidity_array!$A$6:$Y$24,4))+(SUM($CP701:$CQ701)*VLOOKUP($B701,Lifetime_morbidity_array!$A$6:$Y$24,3))</f>
        <v>1.6672432288444943</v>
      </c>
      <c r="DJ701" s="316">
        <f ca="1">(SUM($CI701:$CM701)*VLOOKUP($B701,Lifetime_morbidity_array!$A$6:$Y$24,5))+(SUM($CN701:$CO701)*VLOOKUP($B701,Lifetime_morbidity_array!$A$6:$Y$24,7))+(SUM($CP701:$CQ701)*VLOOKUP($B701,Lifetime_morbidity_array!$A$6:$Y$24,6))</f>
        <v>0.51080804671812985</v>
      </c>
      <c r="DK701" s="316">
        <f ca="1">(SUM($CI701:$CM701)*VLOOKUP($B701,Lifetime_morbidity_array!$A$6:$Y$24,8))+(SUM($CN701:$CO701)*VLOOKUP($B701,Lifetime_morbidity_array!$A$6:$Y$24,10))+(SUM($CP701:$CQ701)*VLOOKUP($B701,Lifetime_morbidity_array!$A$6:$Y$24,9))</f>
        <v>1.3163631379969001E-2</v>
      </c>
      <c r="DL701" s="317">
        <f ca="1">(SUM($CI701:$CM701)*VLOOKUP($B701,Lifetime_morbidity_array!$A$6:$Y$24,11))+(SUM($CN701:$CO701)*VLOOKUP($B701,Lifetime_morbidity_array!$A$6:$Y$24,13))+(SUM($CP701:$CQ701)*VLOOKUP($B701,Lifetime_morbidity_array!$A$6:$Y$24,12))</f>
        <v>2.0599832214462963</v>
      </c>
      <c r="DM701" s="309"/>
      <c r="DN701" s="308">
        <f t="shared" si="275"/>
        <v>35</v>
      </c>
      <c r="DO701" s="309">
        <f t="shared" ca="1" si="276"/>
        <v>265.25774348490467</v>
      </c>
      <c r="DP701" s="310">
        <f t="shared" ca="1" si="307"/>
        <v>17771.085763767915</v>
      </c>
      <c r="DQ701" s="309"/>
      <c r="DR701" s="308">
        <f t="shared" si="277"/>
        <v>35</v>
      </c>
      <c r="DS701" s="309">
        <f ca="1">((VLOOKUP($B701,'Mahawesran Tariff'!$A$21:$M$120,4)*'Comparator (DET)'!$CX701)+(VLOOKUP($B701,'Mahawesran Tariff'!$A$21:$M$120,3)*'Comparator (DET)'!$CY701)+(VLOOKUP($B701,'Mahawesran Tariff'!$A$21:$M$120,2)*'Comparator (DET)'!$CZ701)+(VLOOKUP($B701,'Mahawesran Tariff'!$A$21:$M$120,7)*'Comparator (DET)'!$DF701)+(VLOOKUP($B701,'Mahawesran Tariff'!$A$21:$M$120,6)*'Comparator (DET)'!$DG701)+(VLOOKUP($B701,'Mahawesran Tariff'!$A$21:$M$120,5)*'Comparator (DET)'!$DH701)+(DET_UTIL_chd*('Comparator (DET)'!$DA701+'Comparator (DET)'!$DI701))+(DET_UTIL_copd*('Comparator (DET)'!$DB701+'Comparator (DET)'!$DJ701))+(DET_UTIL_lc*('Comparator (DET)'!$DC701+'Comparator (DET)'!$DK701))+(DET_UTIL_stroke*('Comparator (DET)'!$DD701+'Comparator (DET)'!$DL701)))/((1+Discount_rate_QALYs)^$A701)</f>
        <v>260.28580569475849</v>
      </c>
      <c r="DT701" s="310">
        <f t="shared" ca="1" si="308"/>
        <v>17747.843054861114</v>
      </c>
      <c r="DU701" s="309"/>
      <c r="DV701" s="308">
        <f t="shared" si="278"/>
        <v>35</v>
      </c>
      <c r="DW701" s="318">
        <f t="shared" ca="1" si="279"/>
        <v>35118.856030328316</v>
      </c>
      <c r="DX701" s="319">
        <f t="shared" ca="1" si="309"/>
        <v>5638031.5853056507</v>
      </c>
      <c r="DZ701" s="95">
        <f t="shared" si="280"/>
        <v>35</v>
      </c>
      <c r="EA701" s="268">
        <f t="shared" ca="1" si="226"/>
        <v>0.88426067936931785</v>
      </c>
      <c r="EB701" s="268">
        <f t="shared" ca="1" si="227"/>
        <v>0.11573932063068239</v>
      </c>
      <c r="EC701" s="268">
        <f t="shared" ca="1" si="228"/>
        <v>1.1287930268807603E-2</v>
      </c>
      <c r="ED701" s="290">
        <f t="shared" ca="1" si="229"/>
        <v>0.48806904008419372</v>
      </c>
      <c r="EF701" s="95">
        <f t="shared" si="281"/>
        <v>35</v>
      </c>
      <c r="EG701" s="339">
        <f t="shared" ca="1" si="282"/>
        <v>35118.856030328316</v>
      </c>
      <c r="EH701" s="341">
        <f t="shared" ca="1" si="310"/>
        <v>8738163.5211617388</v>
      </c>
      <c r="EJ701" s="308">
        <f t="shared" si="283"/>
        <v>35</v>
      </c>
      <c r="EK701" s="318">
        <f t="shared" ca="1" si="284"/>
        <v>35118.856030328316</v>
      </c>
      <c r="EL701" s="319">
        <f t="shared" ca="1" si="311"/>
        <v>5638031.5853056507</v>
      </c>
      <c r="EN701" s="95">
        <f t="shared" si="285"/>
        <v>35</v>
      </c>
      <c r="EO701" s="339">
        <f t="shared" ca="1" si="286"/>
        <v>35118.856030328316</v>
      </c>
      <c r="EP701" s="341">
        <f t="shared" ca="1" si="312"/>
        <v>8738163.5211617388</v>
      </c>
    </row>
    <row r="702" spans="1:146" s="266" customFormat="1" x14ac:dyDescent="0.25">
      <c r="A702" s="313">
        <v>36</v>
      </c>
      <c r="B702" s="314">
        <v>36</v>
      </c>
      <c r="C702" s="308">
        <f>VLOOKUP($B702,'Infant adult mortality'!$A$27:$I$128,3)</f>
        <v>5.1731160896130348E-4</v>
      </c>
      <c r="D702" s="309">
        <f t="shared" si="230"/>
        <v>0.27</v>
      </c>
      <c r="E702" s="309">
        <f>VLOOKUP($B702,'Infant pick up smoking rates'!$A$19:$I$104,3)</f>
        <v>1.5201831243956284E-3</v>
      </c>
      <c r="F702" s="309">
        <f t="shared" si="231"/>
        <v>6.2740673575129536E-3</v>
      </c>
      <c r="G702" s="309">
        <f t="shared" si="232"/>
        <v>0.72168843790913018</v>
      </c>
      <c r="H702" s="309">
        <f>VLOOKUP($B702,'Infant adult mortality'!$A$27:$I$128,3)</f>
        <v>5.1731160896130348E-4</v>
      </c>
      <c r="I702" s="309">
        <f t="shared" si="233"/>
        <v>0.14000000000000001</v>
      </c>
      <c r="J702" s="309">
        <f>VLOOKUP($B702,'Infant pick up smoking rates'!$A$19:$I$104,2)</f>
        <v>1.5201831243956284E-3</v>
      </c>
      <c r="K702" s="309">
        <f t="shared" si="234"/>
        <v>6.2740673575129536E-3</v>
      </c>
      <c r="L702" s="309">
        <f t="shared" si="235"/>
        <v>0.85168843790913018</v>
      </c>
      <c r="M702" s="309">
        <f>VLOOKUP($B702,'Infant adult mortality'!$A$27:$I$128,3)</f>
        <v>5.1731160896130348E-4</v>
      </c>
      <c r="N702" s="309">
        <f t="shared" si="236"/>
        <v>0.5714285714285714</v>
      </c>
      <c r="O702" s="309">
        <f>VLOOKUP($B702,'Infant pick up smoking rates'!$A$19:$I$104,2)</f>
        <v>1.5201831243956284E-3</v>
      </c>
      <c r="P702" s="309">
        <f t="shared" si="237"/>
        <v>4.1415025906735752E-3</v>
      </c>
      <c r="Q702" s="309">
        <f t="shared" si="238"/>
        <v>0.42239243124739811</v>
      </c>
      <c r="R702" s="309">
        <f>VLOOKUP($B702,'Infant adult mortality'!$A$27:$I$128,3)</f>
        <v>5.1731160896130348E-4</v>
      </c>
      <c r="S702" s="309">
        <f t="shared" si="239"/>
        <v>8.6261668788331098E-3</v>
      </c>
      <c r="T702" s="309">
        <f>VLOOKUP($B702,'Infant pick up smoking rates'!$A$19:$I$104,2)</f>
        <v>1.5201831243956284E-3</v>
      </c>
      <c r="U702" s="309">
        <f t="shared" si="240"/>
        <v>4.1415025906735752E-3</v>
      </c>
      <c r="V702" s="309">
        <f t="shared" si="241"/>
        <v>0.9851948357971364</v>
      </c>
      <c r="W702" s="309">
        <f>VLOOKUP($B702,'Infant adult mortality'!$A$27:$I$128,3)</f>
        <v>5.1731160896130348E-4</v>
      </c>
      <c r="X702" s="309">
        <f>VLOOKUP($B702,'Infant pick up smoking rates'!$A$19:$I$104,2)</f>
        <v>1.5201831243956284E-3</v>
      </c>
      <c r="Y702" s="309">
        <f t="shared" si="242"/>
        <v>0.9979625052666431</v>
      </c>
      <c r="Z702" s="309">
        <f>VLOOKUP($B702,'Infant adult mortality'!$A$27:$I$128,5)</f>
        <v>9.0529531568228096E-4</v>
      </c>
      <c r="AA702" s="309">
        <f t="shared" si="243"/>
        <v>0.25</v>
      </c>
      <c r="AB702" s="309">
        <f t="shared" si="244"/>
        <v>0.74909470468431771</v>
      </c>
      <c r="AC702" s="309">
        <f>VLOOKUP($B702,'Infant adult mortality'!$A$27:$I$128,5)</f>
        <v>9.0529531568228096E-4</v>
      </c>
      <c r="AD702" s="309">
        <f t="shared" si="245"/>
        <v>0.14000000000000001</v>
      </c>
      <c r="AE702" s="309">
        <f t="shared" si="246"/>
        <v>0.8590947046843177</v>
      </c>
      <c r="AF702" s="309">
        <f>VLOOKUP($B702,'Infant adult mortality'!$A$27:$I$128,4)</f>
        <v>6.4663951120162938E-4</v>
      </c>
      <c r="AG702" s="309">
        <f t="shared" si="247"/>
        <v>0.5714285714285714</v>
      </c>
      <c r="AH702" s="309">
        <f t="shared" si="248"/>
        <v>0.42792478906022696</v>
      </c>
      <c r="AI702" s="309">
        <f>VLOOKUP($B702,'Infant adult mortality'!$A$27:$I$128,4)</f>
        <v>6.4663951120162938E-4</v>
      </c>
      <c r="AJ702" s="309">
        <f t="shared" si="249"/>
        <v>8.6261668788331098E-3</v>
      </c>
      <c r="AK702" s="309">
        <f t="shared" si="250"/>
        <v>0.99072719360996531</v>
      </c>
      <c r="AL702" s="309"/>
      <c r="AM702" s="315">
        <f t="shared" si="287"/>
        <v>65.177254775536454</v>
      </c>
      <c r="AN702" s="316">
        <f t="shared" si="288"/>
        <v>17.924648455456992</v>
      </c>
      <c r="AO702" s="316">
        <f t="shared" si="289"/>
        <v>2.5550766772815892</v>
      </c>
      <c r="AP702" s="316">
        <f t="shared" si="290"/>
        <v>72.713593655276142</v>
      </c>
      <c r="AQ702" s="316">
        <f t="shared" si="291"/>
        <v>11.542794790466978</v>
      </c>
      <c r="AR702" s="316">
        <f t="shared" si="292"/>
        <v>167.51293439894846</v>
      </c>
      <c r="AS702" s="316">
        <f t="shared" si="293"/>
        <v>42.439137831940059</v>
      </c>
      <c r="AT702" s="316">
        <f t="shared" si="294"/>
        <v>6.021979003335872</v>
      </c>
      <c r="AU702" s="316">
        <f t="shared" si="295"/>
        <v>63.875974876588849</v>
      </c>
      <c r="AV702" s="316">
        <f t="shared" si="296"/>
        <v>60.23660553516838</v>
      </c>
      <c r="AW702" s="317">
        <f t="shared" si="251"/>
        <v>509.99999999999977</v>
      </c>
      <c r="AX702" s="309"/>
      <c r="AY702" s="308">
        <f>VLOOKUP($B702,'Infant adult mortality'!$A$134:$I$234,3)</f>
        <v>3.1690427698574333E-4</v>
      </c>
      <c r="AZ702" s="309">
        <f t="shared" si="252"/>
        <v>0.27</v>
      </c>
      <c r="BA702" s="309">
        <f ca="1">VLOOKUP($B702,'Infant pick up smoking rates'!$A$19:$I$104,7)</f>
        <v>3.9916955482353625E-3</v>
      </c>
      <c r="BB702" s="309">
        <f t="shared" si="253"/>
        <v>6.2740673575129536E-3</v>
      </c>
      <c r="BC702" s="309">
        <f t="shared" ca="1" si="254"/>
        <v>0.71941733281726605</v>
      </c>
      <c r="BD702" s="309">
        <f>VLOOKUP($B702,'Infant adult mortality'!$A$134:$I$234,3)</f>
        <v>3.1690427698574333E-4</v>
      </c>
      <c r="BE702" s="309">
        <f t="shared" si="255"/>
        <v>0.14000000000000001</v>
      </c>
      <c r="BF702" s="309">
        <f>VLOOKUP($B702,'Infant pick up smoking rates'!$A$19:$I$104,6)</f>
        <v>1.9288936901483743E-3</v>
      </c>
      <c r="BG702" s="309">
        <f t="shared" si="256"/>
        <v>6.2740673575129536E-3</v>
      </c>
      <c r="BH702" s="309">
        <f t="shared" si="257"/>
        <v>0.851480134675353</v>
      </c>
      <c r="BI702" s="309">
        <f>VLOOKUP($B702,'Infant adult mortality'!$A$134:$I$234,3)</f>
        <v>3.1690427698574333E-4</v>
      </c>
      <c r="BJ702" s="309">
        <f t="shared" si="258"/>
        <v>0.5714285714285714</v>
      </c>
      <c r="BK702" s="309">
        <f>VLOOKUP($B702,'Infant pick up smoking rates'!$A$19:$I$104,6)</f>
        <v>1.9288936901483743E-3</v>
      </c>
      <c r="BL702" s="309">
        <f t="shared" si="259"/>
        <v>4.1415025906735752E-3</v>
      </c>
      <c r="BM702" s="309">
        <f t="shared" si="260"/>
        <v>0.42218412801362093</v>
      </c>
      <c r="BN702" s="309">
        <f>VLOOKUP($B702,'Infant adult mortality'!$A$134:$I$234,3)</f>
        <v>3.1690427698574333E-4</v>
      </c>
      <c r="BO702" s="309">
        <f t="shared" si="261"/>
        <v>8.6261668788331098E-3</v>
      </c>
      <c r="BP702" s="309">
        <f>VLOOKUP($B702,'Infant pick up smoking rates'!$A$19:$I$104,6)</f>
        <v>1.9288936901483743E-3</v>
      </c>
      <c r="BQ702" s="309">
        <f t="shared" si="262"/>
        <v>4.1415025906735752E-3</v>
      </c>
      <c r="BR702" s="309">
        <f t="shared" si="263"/>
        <v>0.98498653256335922</v>
      </c>
      <c r="BS702" s="309">
        <f>VLOOKUP($B702,'Infant adult mortality'!$A$134:$I$234,3)</f>
        <v>3.1690427698574333E-4</v>
      </c>
      <c r="BT702" s="309">
        <f>VLOOKUP($B702,'Infant pick up smoking rates'!$A$19:$I$104,6)</f>
        <v>1.9288936901483743E-3</v>
      </c>
      <c r="BU702" s="309">
        <f t="shared" si="264"/>
        <v>0.99775420203286591</v>
      </c>
      <c r="BV702" s="309">
        <f>VLOOKUP($B702,'Infant adult mortality'!$A$134:$I$234,5)</f>
        <v>5.5458248472505076E-4</v>
      </c>
      <c r="BW702" s="309">
        <f t="shared" si="265"/>
        <v>0.27</v>
      </c>
      <c r="BX702" s="309">
        <f t="shared" si="266"/>
        <v>0.72944541751527492</v>
      </c>
      <c r="BY702" s="309">
        <f>VLOOKUP($B702,'Infant adult mortality'!$A$134:$I$234,5)</f>
        <v>5.5458248472505076E-4</v>
      </c>
      <c r="BZ702" s="309">
        <f t="shared" si="267"/>
        <v>0.14000000000000001</v>
      </c>
      <c r="CA702" s="309">
        <f t="shared" si="268"/>
        <v>0.85944541751527492</v>
      </c>
      <c r="CB702" s="309">
        <f>VLOOKUP($B702,'Infant adult mortality'!$A$134:$I$234,4)</f>
        <v>3.9613034623217917E-4</v>
      </c>
      <c r="CC702" s="309">
        <f t="shared" si="269"/>
        <v>0.5714285714285714</v>
      </c>
      <c r="CD702" s="309">
        <f t="shared" si="270"/>
        <v>0.4281752982251964</v>
      </c>
      <c r="CE702" s="309">
        <f>VLOOKUP($B702,'Infant adult mortality'!$A$134:$I$234,4)</f>
        <v>3.9613034623217917E-4</v>
      </c>
      <c r="CF702" s="309">
        <f t="shared" si="271"/>
        <v>8.6261668788331098E-3</v>
      </c>
      <c r="CG702" s="309">
        <f t="shared" si="272"/>
        <v>0.99097770277493469</v>
      </c>
      <c r="CH702" s="309"/>
      <c r="CI702" s="315">
        <f t="shared" ca="1" si="297"/>
        <v>88.223904541488992</v>
      </c>
      <c r="CJ702" s="316">
        <f t="shared" ca="1" si="298"/>
        <v>24.316898251282854</v>
      </c>
      <c r="CK702" s="316">
        <f t="shared" ca="1" si="299"/>
        <v>3.474167241150325</v>
      </c>
      <c r="CL702" s="316">
        <f t="shared" ca="1" si="300"/>
        <v>93.936161749639567</v>
      </c>
      <c r="CM702" s="316">
        <f t="shared" ca="1" si="301"/>
        <v>15.287057264858523</v>
      </c>
      <c r="CN702" s="316">
        <f t="shared" ca="1" si="302"/>
        <v>122.45978937466958</v>
      </c>
      <c r="CO702" s="316">
        <f t="shared" ca="1" si="303"/>
        <v>33.435098063995568</v>
      </c>
      <c r="CP702" s="316">
        <f t="shared" ca="1" si="304"/>
        <v>4.7342553575757043</v>
      </c>
      <c r="CQ702" s="316">
        <f t="shared" ca="1" si="305"/>
        <v>48.126824274378428</v>
      </c>
      <c r="CR702" s="316">
        <f t="shared" ca="1" si="306"/>
        <v>56.005843880960811</v>
      </c>
      <c r="CS702" s="317">
        <f t="shared" ca="1" si="273"/>
        <v>490.00000000000028</v>
      </c>
      <c r="CT702" s="309"/>
      <c r="CU702" s="309">
        <f t="shared" ca="1" si="274"/>
        <v>1000</v>
      </c>
      <c r="CV702" s="309" t="str">
        <f t="shared" ca="1" si="225"/>
        <v>OKAY</v>
      </c>
      <c r="CW702" s="309"/>
      <c r="CX702" s="315">
        <f>(SUM($AR702:$AS702))-((SUM($AR702:$AS702)*VLOOKUP($B702,Lifetime_morbidity_array!$A$30:$Y$48,4))+(SUM($AR702:$AS702)*VLOOKUP($B702,Lifetime_morbidity_array!$A$30:$Y$48,7))+(SUM($AR702:$AS702)*VLOOKUP($B702,Lifetime_morbidity_array!$A$30:$Y$48,10))+(SUM($AR702:$AS702)*VLOOKUP($B702,Lifetime_morbidity_array!$A$30:$Y$48,13)))</f>
        <v>204.98576312616888</v>
      </c>
      <c r="CY702" s="316">
        <f>(SUM($AT702:$AU702))-((SUM($AT702:$AU702)*(VLOOKUP($B702,Lifetime_morbidity_array!$A$30:$Y$48,3)))+(SUM($AT702:$AU702)*(VLOOKUP($B702,Lifetime_morbidity_array!$A$30:$Y$48,6)))+(SUM($AT702:$AU702)*(VLOOKUP($B702,Lifetime_morbidity_array!$A$30:$Y$48,9)))+(SUM($AT702:$AU702)*(VLOOKUP($B702,Lifetime_morbidity_array!$A$30:$Y$48,12))))</f>
        <v>69.131670402702611</v>
      </c>
      <c r="CZ702" s="316">
        <f>(SUM($AM702:$AQ702))-((SUM($AM702:$AQ702)*VLOOKUP($B702,Lifetime_morbidity_array!$A$30:$Y$48,2))+(SUM($AM702:$AQ702)*VLOOKUP($B702,Lifetime_morbidity_array!$A$30:$Y$48,5))+(SUM($AM702:$AQ702)*VLOOKUP($B702,Lifetime_morbidity_array!$A$30:$Y$48,8))+(SUM($AM702:$AQ702)*VLOOKUP($B702,Lifetime_morbidity_array!$A$30:$Y$48,11)))</f>
        <v>168.64733588315423</v>
      </c>
      <c r="DA702" s="316">
        <f>(SUM($AM702:$AQ702)*VLOOKUP($B702,Lifetime_morbidity_array!$A$30:$Y$48,2))+(SUM($AR702:$AS702)*VLOOKUP($B702,Lifetime_morbidity_array!$A$30:$Y$48,4))+(SUM($AT702:$AU702)*(VLOOKUP($B702,Lifetime_morbidity_array!$A$30:$Y$48,3)))</f>
        <v>3.6219704275556523</v>
      </c>
      <c r="DB702" s="316">
        <f>(SUM($AM702:$AQ702)*VLOOKUP($B702,Lifetime_morbidity_array!$A$30:$Y$48,5))+(SUM($AR702:$AS702)*VLOOKUP($B702,Lifetime_morbidity_array!$A$30:$Y$48,7))+(SUM($AT702:$AU702)*(VLOOKUP($B702,Lifetime_morbidity_array!$A$30:$Y$48,6)))</f>
        <v>0.55143309120150175</v>
      </c>
      <c r="DC702" s="316">
        <f>(SUM($AM702:$AQ702)*VLOOKUP($B702,Lifetime_morbidity_array!$A$30:$Y$48,8))+(SUM($AR702:$AS702)*VLOOKUP($B702,Lifetime_morbidity_array!$A$30:$Y$48,10))+(SUM($AT702:$AU702)*(VLOOKUP($B702,Lifetime_morbidity_array!$A$30:$Y$48,9)))</f>
        <v>1.4585459178892778E-2</v>
      </c>
      <c r="DD702" s="317">
        <f>(SUM($AM702:$AQ702)*VLOOKUP($B702,Lifetime_morbidity_array!$A$30:$Y$48,11))+(SUM($AR702:$AS702)*VLOOKUP($B702,Lifetime_morbidity_array!$A$30:$Y$48,13))+(SUM($AT702:$AU702)*(VLOOKUP($B702,Lifetime_morbidity_array!$A$30:$Y$48,12)))</f>
        <v>2.8106360748696382</v>
      </c>
      <c r="DE702" s="309"/>
      <c r="DF702" s="315">
        <f ca="1">(SUM($CN702:$CO702))-((SUM($CN702:$CO702)*VLOOKUP($B702,Lifetime_morbidity_array!$A$6:$Y$24,4))+(SUM($CN702:$CO702)*VLOOKUP($B702,Lifetime_morbidity_array!$A$6:$Y$24,7))+(SUM($CN702:$CO702)*VLOOKUP($B702,Lifetime_morbidity_array!$A$6:$Y$24,10))+(SUM($CN702:$CO702)*VLOOKUP($B702,Lifetime_morbidity_array!$A$6:$Y$24,13)))</f>
        <v>153.16286582172836</v>
      </c>
      <c r="DG702" s="316">
        <f ca="1">(SUM($CP702:$CQ702))-(((SUM($CP702:$CQ702)*VLOOKUP($B702,Lifetime_morbidity_array!$A$6:$Y$24,3))+(SUM($CP702:$CQ702)*VLOOKUP($B702,Lifetime_morbidity_array!$A$6:$Y$24,6))+(SUM($CP702:$CQ702)*VLOOKUP($B702,Lifetime_morbidity_array!$A$6:$Y$24,9))+(SUM($CP702:$CQ702)*VLOOKUP($B702,Lifetime_morbidity_array!$A$6:$Y$24,12))))</f>
        <v>52.483293815974086</v>
      </c>
      <c r="DH702" s="316">
        <f ca="1">(SUM($CI702:$CM702))-((SUM($CI702:$CM702)*VLOOKUP($B702,Lifetime_morbidity_array!$A$6:$Y$24,2))+(SUM($CI702:$CM702)*VLOOKUP($B702,Lifetime_morbidity_array!$A$6:$Y$24,5))+(SUM($CI702:$CM702)*VLOOKUP($B702,Lifetime_morbidity_array!$A$6:$Y$24,8))+(SUM($CI702:$CM702)*VLOOKUP($B702,Lifetime_morbidity_array!$A$6:$Y$24,11)))</f>
        <v>224.11479397373023</v>
      </c>
      <c r="DI702" s="316">
        <f ca="1">(SUM($CI702:$CM702)*VLOOKUP($B702,Lifetime_morbidity_array!$A$6:$Y$24,2))+(SUM($CN702:$CO702)*VLOOKUP($B702,Lifetime_morbidity_array!$A$6:$Y$24,4))+(SUM($CP702:$CQ702)*VLOOKUP($B702,Lifetime_morbidity_array!$A$6:$Y$24,3))</f>
        <v>1.6607562049781872</v>
      </c>
      <c r="DJ702" s="316">
        <f ca="1">(SUM($CI702:$CM702)*VLOOKUP($B702,Lifetime_morbidity_array!$A$6:$Y$24,5))+(SUM($CN702:$CO702)*VLOOKUP($B702,Lifetime_morbidity_array!$A$6:$Y$24,7))+(SUM($CP702:$CQ702)*VLOOKUP($B702,Lifetime_morbidity_array!$A$6:$Y$24,6))</f>
        <v>0.5078273680833858</v>
      </c>
      <c r="DK702" s="316">
        <f ca="1">(SUM($CI702:$CM702)*VLOOKUP($B702,Lifetime_morbidity_array!$A$6:$Y$24,8))+(SUM($CN702:$CO702)*VLOOKUP($B702,Lifetime_morbidity_array!$A$6:$Y$24,10))+(SUM($CP702:$CQ702)*VLOOKUP($B702,Lifetime_morbidity_array!$A$6:$Y$24,9))</f>
        <v>1.3066932141824717E-2</v>
      </c>
      <c r="DL702" s="317">
        <f ca="1">(SUM($CI702:$CM702)*VLOOKUP($B702,Lifetime_morbidity_array!$A$6:$Y$24,11))+(SUM($CN702:$CO702)*VLOOKUP($B702,Lifetime_morbidity_array!$A$6:$Y$24,13))+(SUM($CP702:$CQ702)*VLOOKUP($B702,Lifetime_morbidity_array!$A$6:$Y$24,12))</f>
        <v>2.0515520024034481</v>
      </c>
      <c r="DM702" s="309"/>
      <c r="DN702" s="308">
        <f t="shared" si="275"/>
        <v>36</v>
      </c>
      <c r="DO702" s="309">
        <f t="shared" ca="1" si="276"/>
        <v>256.14185168196764</v>
      </c>
      <c r="DP702" s="310">
        <f t="shared" ca="1" si="307"/>
        <v>18027.227615449883</v>
      </c>
      <c r="DQ702" s="309"/>
      <c r="DR702" s="308">
        <f t="shared" si="277"/>
        <v>36</v>
      </c>
      <c r="DS702" s="309">
        <f ca="1">((VLOOKUP($B702,'Mahawesran Tariff'!$A$21:$M$120,4)*'Comparator (DET)'!$CX702)+(VLOOKUP($B702,'Mahawesran Tariff'!$A$21:$M$120,3)*'Comparator (DET)'!$CY702)+(VLOOKUP($B702,'Mahawesran Tariff'!$A$21:$M$120,2)*'Comparator (DET)'!$CZ702)+(VLOOKUP($B702,'Mahawesran Tariff'!$A$21:$M$120,7)*'Comparator (DET)'!$DF702)+(VLOOKUP($B702,'Mahawesran Tariff'!$A$21:$M$120,6)*'Comparator (DET)'!$DG702)+(VLOOKUP($B702,'Mahawesran Tariff'!$A$21:$M$120,5)*'Comparator (DET)'!$DH702)+(DET_UTIL_chd*('Comparator (DET)'!$DA702+'Comparator (DET)'!$DI702))+(DET_UTIL_copd*('Comparator (DET)'!$DB702+'Comparator (DET)'!$DJ702))+(DET_UTIL_lc*('Comparator (DET)'!$DC702+'Comparator (DET)'!$DK702))+(DET_UTIL_stroke*('Comparator (DET)'!$DD702+'Comparator (DET)'!$DL702)))/((1+Discount_rate_QALYs)^$A702)</f>
        <v>251.35942967057045</v>
      </c>
      <c r="DT702" s="310">
        <f t="shared" ca="1" si="308"/>
        <v>17999.202484531685</v>
      </c>
      <c r="DU702" s="309"/>
      <c r="DV702" s="308">
        <f t="shared" si="278"/>
        <v>36</v>
      </c>
      <c r="DW702" s="318">
        <f t="shared" ca="1" si="279"/>
        <v>33765.882637000344</v>
      </c>
      <c r="DX702" s="319">
        <f t="shared" ca="1" si="309"/>
        <v>5671797.4679426514</v>
      </c>
      <c r="DZ702" s="95">
        <f t="shared" si="280"/>
        <v>36</v>
      </c>
      <c r="EA702" s="268">
        <f t="shared" ca="1" si="226"/>
        <v>0.88375755058387084</v>
      </c>
      <c r="EB702" s="268">
        <f t="shared" ca="1" si="227"/>
        <v>0.11624244941612918</v>
      </c>
      <c r="EC702" s="268">
        <f t="shared" ca="1" si="228"/>
        <v>1.123182756041253E-2</v>
      </c>
      <c r="ED702" s="290">
        <f t="shared" ca="1" si="229"/>
        <v>0.4886059931814325</v>
      </c>
      <c r="EF702" s="95">
        <f t="shared" si="281"/>
        <v>36</v>
      </c>
      <c r="EG702" s="339">
        <f t="shared" ca="1" si="282"/>
        <v>33765.882637000344</v>
      </c>
      <c r="EH702" s="341">
        <f t="shared" ca="1" si="310"/>
        <v>8771929.4037987385</v>
      </c>
      <c r="EJ702" s="308">
        <f t="shared" si="283"/>
        <v>36</v>
      </c>
      <c r="EK702" s="318">
        <f t="shared" ca="1" si="284"/>
        <v>33765.882637000344</v>
      </c>
      <c r="EL702" s="319">
        <f t="shared" ca="1" si="311"/>
        <v>5671797.4679426514</v>
      </c>
      <c r="EN702" s="95">
        <f t="shared" si="285"/>
        <v>36</v>
      </c>
      <c r="EO702" s="339">
        <f t="shared" ca="1" si="286"/>
        <v>33765.882637000344</v>
      </c>
      <c r="EP702" s="341">
        <f t="shared" ca="1" si="312"/>
        <v>8771929.4037987385</v>
      </c>
    </row>
    <row r="703" spans="1:146" s="266" customFormat="1" x14ac:dyDescent="0.25">
      <c r="A703" s="313">
        <v>37</v>
      </c>
      <c r="B703" s="314">
        <v>37</v>
      </c>
      <c r="C703" s="308">
        <f>VLOOKUP($B703,'Infant adult mortality'!$A$27:$I$128,3)</f>
        <v>5.7401221995926667E-4</v>
      </c>
      <c r="D703" s="309">
        <f t="shared" si="230"/>
        <v>0.27</v>
      </c>
      <c r="E703" s="309">
        <f>VLOOKUP($B703,'Infant pick up smoking rates'!$A$19:$I$104,3)</f>
        <v>1.5201831243956284E-3</v>
      </c>
      <c r="F703" s="309">
        <f t="shared" si="231"/>
        <v>6.7594283804111657E-3</v>
      </c>
      <c r="G703" s="309">
        <f t="shared" si="232"/>
        <v>0.72114637627523392</v>
      </c>
      <c r="H703" s="309">
        <f>VLOOKUP($B703,'Infant adult mortality'!$A$27:$I$128,3)</f>
        <v>5.7401221995926667E-4</v>
      </c>
      <c r="I703" s="309">
        <f t="shared" si="233"/>
        <v>0.14000000000000001</v>
      </c>
      <c r="J703" s="309">
        <f>VLOOKUP($B703,'Infant pick up smoking rates'!$A$19:$I$104,2)</f>
        <v>1.5201831243956284E-3</v>
      </c>
      <c r="K703" s="309">
        <f t="shared" si="234"/>
        <v>6.7594283804111657E-3</v>
      </c>
      <c r="L703" s="309">
        <f t="shared" si="235"/>
        <v>0.85114637627523393</v>
      </c>
      <c r="M703" s="309">
        <f>VLOOKUP($B703,'Infant adult mortality'!$A$27:$I$128,3)</f>
        <v>5.7401221995926667E-4</v>
      </c>
      <c r="N703" s="309">
        <f t="shared" si="236"/>
        <v>0.5714285714285714</v>
      </c>
      <c r="O703" s="309">
        <f>VLOOKUP($B703,'Infant pick up smoking rates'!$A$19:$I$104,2)</f>
        <v>1.5201831243956284E-3</v>
      </c>
      <c r="P703" s="309">
        <f t="shared" si="237"/>
        <v>4.4618886846063853E-3</v>
      </c>
      <c r="Q703" s="309">
        <f t="shared" si="238"/>
        <v>0.42201534454246731</v>
      </c>
      <c r="R703" s="309">
        <f>VLOOKUP($B703,'Infant adult mortality'!$A$27:$I$128,3)</f>
        <v>5.7401221995926667E-4</v>
      </c>
      <c r="S703" s="309">
        <f t="shared" si="239"/>
        <v>8.6261668788331098E-3</v>
      </c>
      <c r="T703" s="309">
        <f>VLOOKUP($B703,'Infant pick up smoking rates'!$A$19:$I$104,2)</f>
        <v>1.5201831243956284E-3</v>
      </c>
      <c r="U703" s="309">
        <f t="shared" si="240"/>
        <v>4.4618886846063853E-3</v>
      </c>
      <c r="V703" s="309">
        <f t="shared" si="241"/>
        <v>0.98481774909220565</v>
      </c>
      <c r="W703" s="309">
        <f>VLOOKUP($B703,'Infant adult mortality'!$A$27:$I$128,3)</f>
        <v>5.7401221995926667E-4</v>
      </c>
      <c r="X703" s="309">
        <f>VLOOKUP($B703,'Infant pick up smoking rates'!$A$19:$I$104,2)</f>
        <v>1.5201831243956284E-3</v>
      </c>
      <c r="Y703" s="309">
        <f t="shared" si="242"/>
        <v>0.99790580465564516</v>
      </c>
      <c r="Z703" s="309">
        <f>VLOOKUP($B703,'Infant adult mortality'!$A$27:$I$128,5)</f>
        <v>1.0045213849287165E-3</v>
      </c>
      <c r="AA703" s="309">
        <f t="shared" si="243"/>
        <v>0.25</v>
      </c>
      <c r="AB703" s="309">
        <f t="shared" si="244"/>
        <v>0.74899547861507132</v>
      </c>
      <c r="AC703" s="309">
        <f>VLOOKUP($B703,'Infant adult mortality'!$A$27:$I$128,5)</f>
        <v>1.0045213849287165E-3</v>
      </c>
      <c r="AD703" s="309">
        <f t="shared" si="245"/>
        <v>0.14000000000000001</v>
      </c>
      <c r="AE703" s="309">
        <f t="shared" si="246"/>
        <v>0.85899547861507131</v>
      </c>
      <c r="AF703" s="309">
        <f>VLOOKUP($B703,'Infant adult mortality'!$A$27:$I$128,4)</f>
        <v>7.1751527494908331E-4</v>
      </c>
      <c r="AG703" s="309">
        <f t="shared" si="247"/>
        <v>0.5714285714285714</v>
      </c>
      <c r="AH703" s="309">
        <f t="shared" si="248"/>
        <v>0.42785391329647954</v>
      </c>
      <c r="AI703" s="309">
        <f>VLOOKUP($B703,'Infant adult mortality'!$A$27:$I$128,4)</f>
        <v>7.1751527494908331E-4</v>
      </c>
      <c r="AJ703" s="309">
        <f t="shared" si="249"/>
        <v>8.6261668788331098E-3</v>
      </c>
      <c r="AK703" s="309">
        <f t="shared" si="250"/>
        <v>0.99065631784621777</v>
      </c>
      <c r="AL703" s="309"/>
      <c r="AM703" s="315">
        <f t="shared" si="287"/>
        <v>63.964361833340966</v>
      </c>
      <c r="AN703" s="316">
        <f t="shared" si="288"/>
        <v>17.597858789394845</v>
      </c>
      <c r="AO703" s="316">
        <f t="shared" si="289"/>
        <v>2.5094507837639792</v>
      </c>
      <c r="AP703" s="316">
        <f t="shared" si="290"/>
        <v>73.069681447583818</v>
      </c>
      <c r="AQ703" s="316">
        <f t="shared" si="291"/>
        <v>12.416183714983905</v>
      </c>
      <c r="AR703" s="316">
        <f t="shared" si="292"/>
        <v>165.30728952469488</v>
      </c>
      <c r="AS703" s="316">
        <f t="shared" si="293"/>
        <v>41.878233599737115</v>
      </c>
      <c r="AT703" s="316">
        <f t="shared" si="294"/>
        <v>5.9414792964716092</v>
      </c>
      <c r="AU703" s="316">
        <f t="shared" si="295"/>
        <v>66.720268929128096</v>
      </c>
      <c r="AV703" s="316">
        <f t="shared" si="296"/>
        <v>60.595192080900581</v>
      </c>
      <c r="AW703" s="317">
        <f t="shared" si="251"/>
        <v>509.99999999999977</v>
      </c>
      <c r="AX703" s="309"/>
      <c r="AY703" s="308">
        <f>VLOOKUP($B703,'Infant adult mortality'!$A$134:$I$234,3)</f>
        <v>3.4386965376782076E-4</v>
      </c>
      <c r="AZ703" s="309">
        <f t="shared" si="252"/>
        <v>0.27</v>
      </c>
      <c r="BA703" s="309">
        <f ca="1">VLOOKUP($B703,'Infant pick up smoking rates'!$A$19:$I$104,7)</f>
        <v>3.9916955482353625E-3</v>
      </c>
      <c r="BB703" s="309">
        <f t="shared" si="253"/>
        <v>6.7594283804111657E-3</v>
      </c>
      <c r="BC703" s="309">
        <f t="shared" ca="1" si="254"/>
        <v>0.71890500641758559</v>
      </c>
      <c r="BD703" s="309">
        <f>VLOOKUP($B703,'Infant adult mortality'!$A$134:$I$234,3)</f>
        <v>3.4386965376782076E-4</v>
      </c>
      <c r="BE703" s="309">
        <f t="shared" si="255"/>
        <v>0.14000000000000001</v>
      </c>
      <c r="BF703" s="309">
        <f>VLOOKUP($B703,'Infant pick up smoking rates'!$A$19:$I$104,6)</f>
        <v>1.9288936901483743E-3</v>
      </c>
      <c r="BG703" s="309">
        <f t="shared" si="256"/>
        <v>6.7594283804111657E-3</v>
      </c>
      <c r="BH703" s="309">
        <f t="shared" si="257"/>
        <v>0.85096780827567253</v>
      </c>
      <c r="BI703" s="309">
        <f>VLOOKUP($B703,'Infant adult mortality'!$A$134:$I$234,3)</f>
        <v>3.4386965376782076E-4</v>
      </c>
      <c r="BJ703" s="309">
        <f t="shared" si="258"/>
        <v>0.5714285714285714</v>
      </c>
      <c r="BK703" s="309">
        <f>VLOOKUP($B703,'Infant pick up smoking rates'!$A$19:$I$104,6)</f>
        <v>1.9288936901483743E-3</v>
      </c>
      <c r="BL703" s="309">
        <f t="shared" si="259"/>
        <v>4.4618886846063853E-3</v>
      </c>
      <c r="BM703" s="309">
        <f t="shared" si="260"/>
        <v>0.42183677654290602</v>
      </c>
      <c r="BN703" s="309">
        <f>VLOOKUP($B703,'Infant adult mortality'!$A$134:$I$234,3)</f>
        <v>3.4386965376782076E-4</v>
      </c>
      <c r="BO703" s="309">
        <f t="shared" si="261"/>
        <v>8.6261668788331098E-3</v>
      </c>
      <c r="BP703" s="309">
        <f>VLOOKUP($B703,'Infant pick up smoking rates'!$A$19:$I$104,6)</f>
        <v>1.9288936901483743E-3</v>
      </c>
      <c r="BQ703" s="309">
        <f t="shared" si="262"/>
        <v>4.4618886846063853E-3</v>
      </c>
      <c r="BR703" s="309">
        <f t="shared" si="263"/>
        <v>0.98463918109264426</v>
      </c>
      <c r="BS703" s="309">
        <f>VLOOKUP($B703,'Infant adult mortality'!$A$134:$I$234,3)</f>
        <v>3.4386965376782076E-4</v>
      </c>
      <c r="BT703" s="309">
        <f>VLOOKUP($B703,'Infant pick up smoking rates'!$A$19:$I$104,6)</f>
        <v>1.9288936901483743E-3</v>
      </c>
      <c r="BU703" s="309">
        <f t="shared" si="264"/>
        <v>0.99772723665608376</v>
      </c>
      <c r="BV703" s="309">
        <f>VLOOKUP($B703,'Infant adult mortality'!$A$134:$I$234,5)</f>
        <v>6.0177189409368621E-4</v>
      </c>
      <c r="BW703" s="309">
        <f t="shared" si="265"/>
        <v>0.27</v>
      </c>
      <c r="BX703" s="309">
        <f t="shared" si="266"/>
        <v>0.72939822810590627</v>
      </c>
      <c r="BY703" s="309">
        <f>VLOOKUP($B703,'Infant adult mortality'!$A$134:$I$234,5)</f>
        <v>6.0177189409368621E-4</v>
      </c>
      <c r="BZ703" s="309">
        <f t="shared" si="267"/>
        <v>0.14000000000000001</v>
      </c>
      <c r="CA703" s="309">
        <f t="shared" si="268"/>
        <v>0.85939822810590627</v>
      </c>
      <c r="CB703" s="309">
        <f>VLOOKUP($B703,'Infant adult mortality'!$A$134:$I$234,4)</f>
        <v>4.2983706720977596E-4</v>
      </c>
      <c r="CC703" s="309">
        <f t="shared" si="269"/>
        <v>0.5714285714285714</v>
      </c>
      <c r="CD703" s="309">
        <f t="shared" si="270"/>
        <v>0.42814159150421882</v>
      </c>
      <c r="CE703" s="309">
        <f>VLOOKUP($B703,'Infant adult mortality'!$A$134:$I$234,4)</f>
        <v>4.2983706720977596E-4</v>
      </c>
      <c r="CF703" s="309">
        <f t="shared" si="271"/>
        <v>8.6261668788331098E-3</v>
      </c>
      <c r="CG703" s="309">
        <f t="shared" si="272"/>
        <v>0.99094399605395711</v>
      </c>
      <c r="CH703" s="309"/>
      <c r="CI703" s="315">
        <f t="shared" ca="1" si="297"/>
        <v>86.393344786927571</v>
      </c>
      <c r="CJ703" s="316">
        <f t="shared" ca="1" si="298"/>
        <v>23.820454226202028</v>
      </c>
      <c r="CK703" s="316">
        <f t="shared" ca="1" si="299"/>
        <v>3.4043657551796001</v>
      </c>
      <c r="CL703" s="316">
        <f t="shared" ca="1" si="300"/>
        <v>94.478463803665747</v>
      </c>
      <c r="CM703" s="316">
        <f t="shared" ca="1" si="301"/>
        <v>16.447658942510113</v>
      </c>
      <c r="CN703" s="316">
        <f t="shared" ca="1" si="302"/>
        <v>121.11454801362221</v>
      </c>
      <c r="CO703" s="316">
        <f t="shared" ca="1" si="303"/>
        <v>33.06414313116079</v>
      </c>
      <c r="CP703" s="316">
        <f t="shared" ca="1" si="304"/>
        <v>4.6809137289593803</v>
      </c>
      <c r="CQ703" s="316">
        <f t="shared" ca="1" si="305"/>
        <v>50.396276339596689</v>
      </c>
      <c r="CR703" s="316">
        <f t="shared" ca="1" si="306"/>
        <v>56.199831272176205</v>
      </c>
      <c r="CS703" s="317">
        <f t="shared" ca="1" si="273"/>
        <v>490.00000000000028</v>
      </c>
      <c r="CT703" s="309"/>
      <c r="CU703" s="309">
        <f t="shared" ca="1" si="274"/>
        <v>1000</v>
      </c>
      <c r="CV703" s="309" t="str">
        <f t="shared" ca="1" si="225"/>
        <v>OKAY</v>
      </c>
      <c r="CW703" s="309"/>
      <c r="CX703" s="315">
        <f>(SUM($AR703:$AS703))-((SUM($AR703:$AS703)*VLOOKUP($B703,Lifetime_morbidity_array!$A$30:$Y$48,4))+(SUM($AR703:$AS703)*VLOOKUP($B703,Lifetime_morbidity_array!$A$30:$Y$48,7))+(SUM($AR703:$AS703)*VLOOKUP($B703,Lifetime_morbidity_array!$A$30:$Y$48,10))+(SUM($AR703:$AS703)*VLOOKUP($B703,Lifetime_morbidity_array!$A$30:$Y$48,13)))</f>
        <v>202.28465532672141</v>
      </c>
      <c r="CY703" s="316">
        <f>(SUM($AT703:$AU703))-((SUM($AT703:$AU703)*(VLOOKUP($B703,Lifetime_morbidity_array!$A$30:$Y$48,3)))+(SUM($AT703:$AU703)*(VLOOKUP($B703,Lifetime_morbidity_array!$A$30:$Y$48,6)))+(SUM($AT703:$AU703)*(VLOOKUP($B703,Lifetime_morbidity_array!$A$30:$Y$48,9)))+(SUM($AT703:$AU703)*(VLOOKUP($B703,Lifetime_morbidity_array!$A$30:$Y$48,12))))</f>
        <v>71.865165579031824</v>
      </c>
      <c r="CZ703" s="316">
        <f>(SUM($AM703:$AQ703))-((SUM($AM703:$AQ703)*VLOOKUP($B703,Lifetime_morbidity_array!$A$30:$Y$48,2))+(SUM($AM703:$AQ703)*VLOOKUP($B703,Lifetime_morbidity_array!$A$30:$Y$48,5))+(SUM($AM703:$AQ703)*VLOOKUP($B703,Lifetime_morbidity_array!$A$30:$Y$48,8))+(SUM($AM703:$AQ703)*VLOOKUP($B703,Lifetime_morbidity_array!$A$30:$Y$48,11)))</f>
        <v>168.29415541750987</v>
      </c>
      <c r="DA703" s="316">
        <f>(SUM($AM703:$AQ703)*VLOOKUP($B703,Lifetime_morbidity_array!$A$30:$Y$48,2))+(SUM($AR703:$AS703)*VLOOKUP($B703,Lifetime_morbidity_array!$A$30:$Y$48,4))+(SUM($AT703:$AU703)*(VLOOKUP($B703,Lifetime_morbidity_array!$A$30:$Y$48,3)))</f>
        <v>3.6023300026060334</v>
      </c>
      <c r="DB703" s="316">
        <f>(SUM($AM703:$AQ703)*VLOOKUP($B703,Lifetime_morbidity_array!$A$30:$Y$48,5))+(SUM($AR703:$AS703)*VLOOKUP($B703,Lifetime_morbidity_array!$A$30:$Y$48,7))+(SUM($AT703:$AU703)*(VLOOKUP($B703,Lifetime_morbidity_array!$A$30:$Y$48,6)))</f>
        <v>0.54855861061116007</v>
      </c>
      <c r="DC703" s="316">
        <f>(SUM($AM703:$AQ703)*VLOOKUP($B703,Lifetime_morbidity_array!$A$30:$Y$48,8))+(SUM($AR703:$AS703)*VLOOKUP($B703,Lifetime_morbidity_array!$A$30:$Y$48,10))+(SUM($AT703:$AU703)*(VLOOKUP($B703,Lifetime_morbidity_array!$A$30:$Y$48,9)))</f>
        <v>1.4468979827569171E-2</v>
      </c>
      <c r="DD703" s="317">
        <f>(SUM($AM703:$AQ703)*VLOOKUP($B703,Lifetime_morbidity_array!$A$30:$Y$48,11))+(SUM($AR703:$AS703)*VLOOKUP($B703,Lifetime_morbidity_array!$A$30:$Y$48,13))+(SUM($AT703:$AU703)*(VLOOKUP($B703,Lifetime_morbidity_array!$A$30:$Y$48,12)))</f>
        <v>2.7954740027913507</v>
      </c>
      <c r="DE703" s="309"/>
      <c r="DF703" s="315">
        <f ca="1">(SUM($CN703:$CO703))-((SUM($CN703:$CO703)*VLOOKUP($B703,Lifetime_morbidity_array!$A$6:$Y$24,4))+(SUM($CN703:$CO703)*VLOOKUP($B703,Lifetime_morbidity_array!$A$6:$Y$24,7))+(SUM($CN703:$CO703)*VLOOKUP($B703,Lifetime_morbidity_array!$A$6:$Y$24,10))+(SUM($CN703:$CO703)*VLOOKUP($B703,Lifetime_morbidity_array!$A$6:$Y$24,13)))</f>
        <v>151.476745468442</v>
      </c>
      <c r="DG703" s="316">
        <f ca="1">(SUM($CP703:$CQ703))-(((SUM($CP703:$CQ703)*VLOOKUP($B703,Lifetime_morbidity_array!$A$6:$Y$24,3))+(SUM($CP703:$CQ703)*VLOOKUP($B703,Lifetime_morbidity_array!$A$6:$Y$24,6))+(SUM($CP703:$CQ703)*VLOOKUP($B703,Lifetime_morbidity_array!$A$6:$Y$24,9))+(SUM($CP703:$CQ703)*VLOOKUP($B703,Lifetime_morbidity_array!$A$6:$Y$24,12))))</f>
        <v>54.683566227786848</v>
      </c>
      <c r="DH703" s="316">
        <f ca="1">(SUM($CI703:$CM703))-((SUM($CI703:$CM703)*VLOOKUP($B703,Lifetime_morbidity_array!$A$6:$Y$24,2))+(SUM($CI703:$CM703)*VLOOKUP($B703,Lifetime_morbidity_array!$A$6:$Y$24,5))+(SUM($CI703:$CM703)*VLOOKUP($B703,Lifetime_morbidity_array!$A$6:$Y$24,8))+(SUM($CI703:$CM703)*VLOOKUP($B703,Lifetime_morbidity_array!$A$6:$Y$24,11)))</f>
        <v>223.42435333409912</v>
      </c>
      <c r="DI703" s="316">
        <f ca="1">(SUM($CI703:$CM703)*VLOOKUP($B703,Lifetime_morbidity_array!$A$6:$Y$24,2))+(SUM($CN703:$CO703)*VLOOKUP($B703,Lifetime_morbidity_array!$A$6:$Y$24,4))+(SUM($CP703:$CQ703)*VLOOKUP($B703,Lifetime_morbidity_array!$A$6:$Y$24,3))</f>
        <v>1.654379125088433</v>
      </c>
      <c r="DJ703" s="316">
        <f ca="1">(SUM($CI703:$CM703)*VLOOKUP($B703,Lifetime_morbidity_array!$A$6:$Y$24,5))+(SUM($CN703:$CO703)*VLOOKUP($B703,Lifetime_morbidity_array!$A$6:$Y$24,7))+(SUM($CP703:$CQ703)*VLOOKUP($B703,Lifetime_morbidity_array!$A$6:$Y$24,6))</f>
        <v>0.50490430082686666</v>
      </c>
      <c r="DK703" s="316">
        <f ca="1">(SUM($CI703:$CM703)*VLOOKUP($B703,Lifetime_morbidity_array!$A$6:$Y$24,8))+(SUM($CN703:$CO703)*VLOOKUP($B703,Lifetime_morbidity_array!$A$6:$Y$24,10))+(SUM($CP703:$CQ703)*VLOOKUP($B703,Lifetime_morbidity_array!$A$6:$Y$24,9))</f>
        <v>1.2972240410517767E-2</v>
      </c>
      <c r="DL703" s="317">
        <f ca="1">(SUM($CI703:$CM703)*VLOOKUP($B703,Lifetime_morbidity_array!$A$6:$Y$24,11))+(SUM($CN703:$CO703)*VLOOKUP($B703,Lifetime_morbidity_array!$A$6:$Y$24,13))+(SUM($CP703:$CQ703)*VLOOKUP($B703,Lifetime_morbidity_array!$A$6:$Y$24,12))</f>
        <v>2.0432480311703185</v>
      </c>
      <c r="DM703" s="309"/>
      <c r="DN703" s="308">
        <f t="shared" si="275"/>
        <v>37</v>
      </c>
      <c r="DO703" s="309">
        <f t="shared" ca="1" si="276"/>
        <v>247.32531176493904</v>
      </c>
      <c r="DP703" s="310">
        <f t="shared" ca="1" si="307"/>
        <v>18274.552927214823</v>
      </c>
      <c r="DQ703" s="309"/>
      <c r="DR703" s="308">
        <f t="shared" si="277"/>
        <v>37</v>
      </c>
      <c r="DS703" s="309">
        <f ca="1">((VLOOKUP($B703,'Mahawesran Tariff'!$A$21:$M$120,4)*'Comparator (DET)'!$CX703)+(VLOOKUP($B703,'Mahawesran Tariff'!$A$21:$M$120,3)*'Comparator (DET)'!$CY703)+(VLOOKUP($B703,'Mahawesran Tariff'!$A$21:$M$120,2)*'Comparator (DET)'!$CZ703)+(VLOOKUP($B703,'Mahawesran Tariff'!$A$21:$M$120,7)*'Comparator (DET)'!$DF703)+(VLOOKUP($B703,'Mahawesran Tariff'!$A$21:$M$120,6)*'Comparator (DET)'!$DG703)+(VLOOKUP($B703,'Mahawesran Tariff'!$A$21:$M$120,5)*'Comparator (DET)'!$DH703)+(DET_UTIL_chd*('Comparator (DET)'!$DA703+'Comparator (DET)'!$DI703))+(DET_UTIL_copd*('Comparator (DET)'!$DB703+'Comparator (DET)'!$DJ703))+(DET_UTIL_lc*('Comparator (DET)'!$DC703+'Comparator (DET)'!$DK703))+(DET_UTIL_stroke*('Comparator (DET)'!$DD703+'Comparator (DET)'!$DL703)))/((1+Discount_rate_QALYs)^$A703)</f>
        <v>242.72497845162425</v>
      </c>
      <c r="DT703" s="310">
        <f t="shared" ca="1" si="308"/>
        <v>18241.927462983309</v>
      </c>
      <c r="DU703" s="309"/>
      <c r="DV703" s="308">
        <f t="shared" si="278"/>
        <v>37</v>
      </c>
      <c r="DW703" s="318">
        <f t="shared" ca="1" si="279"/>
        <v>32465.951505095953</v>
      </c>
      <c r="DX703" s="319">
        <f t="shared" ca="1" si="309"/>
        <v>5704263.4194477471</v>
      </c>
      <c r="DZ703" s="95">
        <f t="shared" si="280"/>
        <v>37</v>
      </c>
      <c r="EA703" s="268">
        <f t="shared" ca="1" si="226"/>
        <v>0.88320497664692332</v>
      </c>
      <c r="EB703" s="268">
        <f t="shared" ca="1" si="227"/>
        <v>0.11679502335307679</v>
      </c>
      <c r="EC703" s="268">
        <f t="shared" ca="1" si="228"/>
        <v>1.117633529333225E-2</v>
      </c>
      <c r="ED703" s="290">
        <f t="shared" ca="1" si="229"/>
        <v>0.48910315256337072</v>
      </c>
      <c r="EF703" s="95">
        <f t="shared" si="281"/>
        <v>37</v>
      </c>
      <c r="EG703" s="339">
        <f t="shared" ca="1" si="282"/>
        <v>32465.951505095953</v>
      </c>
      <c r="EH703" s="341">
        <f t="shared" ca="1" si="310"/>
        <v>8804395.3553038351</v>
      </c>
      <c r="EJ703" s="308">
        <f t="shared" si="283"/>
        <v>37</v>
      </c>
      <c r="EK703" s="318">
        <f t="shared" ca="1" si="284"/>
        <v>32465.951505095953</v>
      </c>
      <c r="EL703" s="319">
        <f t="shared" ca="1" si="311"/>
        <v>5704263.4194477471</v>
      </c>
      <c r="EN703" s="95">
        <f t="shared" si="285"/>
        <v>37</v>
      </c>
      <c r="EO703" s="339">
        <f t="shared" ca="1" si="286"/>
        <v>32465.951505095953</v>
      </c>
      <c r="EP703" s="341">
        <f t="shared" ca="1" si="312"/>
        <v>8804395.3553038351</v>
      </c>
    </row>
    <row r="704" spans="1:146" s="266" customFormat="1" x14ac:dyDescent="0.25">
      <c r="A704" s="313">
        <v>38</v>
      </c>
      <c r="B704" s="314">
        <v>38</v>
      </c>
      <c r="C704" s="308">
        <f>VLOOKUP($B704,'Infant adult mortality'!$A$27:$I$128,3)</f>
        <v>6.3902240325865579E-4</v>
      </c>
      <c r="D704" s="309">
        <f t="shared" si="230"/>
        <v>0.27</v>
      </c>
      <c r="E704" s="309">
        <f>VLOOKUP($B704,'Infant pick up smoking rates'!$A$19:$I$104,3)</f>
        <v>1.5201831243956284E-3</v>
      </c>
      <c r="F704" s="309">
        <f t="shared" si="231"/>
        <v>6.991058684958083E-3</v>
      </c>
      <c r="G704" s="309">
        <f t="shared" si="232"/>
        <v>0.72084973578738765</v>
      </c>
      <c r="H704" s="309">
        <f>VLOOKUP($B704,'Infant adult mortality'!$A$27:$I$128,3)</f>
        <v>6.3902240325865579E-4</v>
      </c>
      <c r="I704" s="309">
        <f t="shared" si="233"/>
        <v>0.14000000000000001</v>
      </c>
      <c r="J704" s="309">
        <f>VLOOKUP($B704,'Infant pick up smoking rates'!$A$19:$I$104,2)</f>
        <v>1.5201831243956284E-3</v>
      </c>
      <c r="K704" s="309">
        <f t="shared" si="234"/>
        <v>6.991058684958083E-3</v>
      </c>
      <c r="L704" s="309">
        <f t="shared" si="235"/>
        <v>0.85084973578738765</v>
      </c>
      <c r="M704" s="309">
        <f>VLOOKUP($B704,'Infant adult mortality'!$A$27:$I$128,3)</f>
        <v>6.3902240325865579E-4</v>
      </c>
      <c r="N704" s="309">
        <f t="shared" si="236"/>
        <v>0.5714285714285714</v>
      </c>
      <c r="O704" s="309">
        <f>VLOOKUP($B704,'Infant pick up smoking rates'!$A$19:$I$104,2)</f>
        <v>1.5201831243956284E-3</v>
      </c>
      <c r="P704" s="309">
        <f t="shared" si="237"/>
        <v>4.7003713711633076E-3</v>
      </c>
      <c r="Q704" s="309">
        <f t="shared" si="238"/>
        <v>0.42171185167261105</v>
      </c>
      <c r="R704" s="309">
        <f>VLOOKUP($B704,'Infant adult mortality'!$A$27:$I$128,3)</f>
        <v>6.3902240325865579E-4</v>
      </c>
      <c r="S704" s="309">
        <f t="shared" si="239"/>
        <v>8.6261668788331098E-3</v>
      </c>
      <c r="T704" s="309">
        <f>VLOOKUP($B704,'Infant pick up smoking rates'!$A$19:$I$104,2)</f>
        <v>1.5201831243956284E-3</v>
      </c>
      <c r="U704" s="309">
        <f t="shared" si="240"/>
        <v>4.7003713711633076E-3</v>
      </c>
      <c r="V704" s="309">
        <f t="shared" si="241"/>
        <v>0.98451425622234934</v>
      </c>
      <c r="W704" s="309">
        <f>VLOOKUP($B704,'Infant adult mortality'!$A$27:$I$128,3)</f>
        <v>6.3902240325865579E-4</v>
      </c>
      <c r="X704" s="309">
        <f>VLOOKUP($B704,'Infant pick up smoking rates'!$A$19:$I$104,2)</f>
        <v>1.5201831243956284E-3</v>
      </c>
      <c r="Y704" s="309">
        <f t="shared" si="242"/>
        <v>0.99784079447234575</v>
      </c>
      <c r="Z704" s="309">
        <f>VLOOKUP($B704,'Infant adult mortality'!$A$27:$I$128,5)</f>
        <v>1.1182892057026476E-3</v>
      </c>
      <c r="AA704" s="309">
        <f t="shared" si="243"/>
        <v>0.25</v>
      </c>
      <c r="AB704" s="309">
        <f t="shared" si="244"/>
        <v>0.74888171079429733</v>
      </c>
      <c r="AC704" s="309">
        <f>VLOOKUP($B704,'Infant adult mortality'!$A$27:$I$128,5)</f>
        <v>1.1182892057026476E-3</v>
      </c>
      <c r="AD704" s="309">
        <f t="shared" si="245"/>
        <v>0.14000000000000001</v>
      </c>
      <c r="AE704" s="309">
        <f t="shared" si="246"/>
        <v>0.85888171079429732</v>
      </c>
      <c r="AF704" s="309">
        <f>VLOOKUP($B704,'Infant adult mortality'!$A$27:$I$128,4)</f>
        <v>7.9877800407331979E-4</v>
      </c>
      <c r="AG704" s="309">
        <f t="shared" si="247"/>
        <v>0.5714285714285714</v>
      </c>
      <c r="AH704" s="309">
        <f t="shared" si="248"/>
        <v>0.42777265056735531</v>
      </c>
      <c r="AI704" s="309">
        <f>VLOOKUP($B704,'Infant adult mortality'!$A$27:$I$128,4)</f>
        <v>7.9877800407331979E-4</v>
      </c>
      <c r="AJ704" s="309">
        <f t="shared" si="249"/>
        <v>8.6261668788331098E-3</v>
      </c>
      <c r="AK704" s="309">
        <f t="shared" si="250"/>
        <v>0.99057505511709354</v>
      </c>
      <c r="AL704" s="309"/>
      <c r="AM704" s="315">
        <f t="shared" si="287"/>
        <v>62.770403231405488</v>
      </c>
      <c r="AN704" s="316">
        <f t="shared" si="288"/>
        <v>17.270377695002061</v>
      </c>
      <c r="AO704" s="316">
        <f t="shared" si="289"/>
        <v>2.4637002305152786</v>
      </c>
      <c r="AP704" s="316">
        <f t="shared" si="290"/>
        <v>73.372114959208545</v>
      </c>
      <c r="AQ704" s="316">
        <f t="shared" si="291"/>
        <v>13.314830882720779</v>
      </c>
      <c r="AR704" s="316">
        <f t="shared" si="292"/>
        <v>163.13895573183959</v>
      </c>
      <c r="AS704" s="316">
        <f t="shared" si="293"/>
        <v>41.32682238117372</v>
      </c>
      <c r="AT704" s="316">
        <f t="shared" si="294"/>
        <v>5.862952703963197</v>
      </c>
      <c r="AU704" s="316">
        <f t="shared" si="295"/>
        <v>69.486565098453568</v>
      </c>
      <c r="AV704" s="316">
        <f t="shared" si="296"/>
        <v>60.993277085717587</v>
      </c>
      <c r="AW704" s="317">
        <f t="shared" si="251"/>
        <v>509.99999999999977</v>
      </c>
      <c r="AX704" s="309"/>
      <c r="AY704" s="308">
        <f>VLOOKUP($B704,'Infant adult mortality'!$A$134:$I$234,3)</f>
        <v>3.7425661914460283E-4</v>
      </c>
      <c r="AZ704" s="309">
        <f t="shared" si="252"/>
        <v>0.27</v>
      </c>
      <c r="BA704" s="309">
        <f ca="1">VLOOKUP($B704,'Infant pick up smoking rates'!$A$19:$I$104,7)</f>
        <v>3.9916955482353625E-3</v>
      </c>
      <c r="BB704" s="309">
        <f t="shared" si="253"/>
        <v>6.991058684958083E-3</v>
      </c>
      <c r="BC704" s="309">
        <f t="shared" ca="1" si="254"/>
        <v>0.718642989147662</v>
      </c>
      <c r="BD704" s="309">
        <f>VLOOKUP($B704,'Infant adult mortality'!$A$134:$I$234,3)</f>
        <v>3.7425661914460283E-4</v>
      </c>
      <c r="BE704" s="309">
        <f t="shared" si="255"/>
        <v>0.14000000000000001</v>
      </c>
      <c r="BF704" s="309">
        <f>VLOOKUP($B704,'Infant pick up smoking rates'!$A$19:$I$104,6)</f>
        <v>1.9288936901483743E-3</v>
      </c>
      <c r="BG704" s="309">
        <f t="shared" si="256"/>
        <v>6.991058684958083E-3</v>
      </c>
      <c r="BH704" s="309">
        <f t="shared" si="257"/>
        <v>0.85070579100574895</v>
      </c>
      <c r="BI704" s="309">
        <f>VLOOKUP($B704,'Infant adult mortality'!$A$134:$I$234,3)</f>
        <v>3.7425661914460283E-4</v>
      </c>
      <c r="BJ704" s="309">
        <f t="shared" si="258"/>
        <v>0.5714285714285714</v>
      </c>
      <c r="BK704" s="309">
        <f>VLOOKUP($B704,'Infant pick up smoking rates'!$A$19:$I$104,6)</f>
        <v>1.9288936901483743E-3</v>
      </c>
      <c r="BL704" s="309">
        <f t="shared" si="259"/>
        <v>4.7003713711633076E-3</v>
      </c>
      <c r="BM704" s="309">
        <f t="shared" si="260"/>
        <v>0.42156790689097234</v>
      </c>
      <c r="BN704" s="309">
        <f>VLOOKUP($B704,'Infant adult mortality'!$A$134:$I$234,3)</f>
        <v>3.7425661914460283E-4</v>
      </c>
      <c r="BO704" s="309">
        <f t="shared" si="261"/>
        <v>8.6261668788331098E-3</v>
      </c>
      <c r="BP704" s="309">
        <f>VLOOKUP($B704,'Infant pick up smoking rates'!$A$19:$I$104,6)</f>
        <v>1.9288936901483743E-3</v>
      </c>
      <c r="BQ704" s="309">
        <f t="shared" si="262"/>
        <v>4.7003713711633076E-3</v>
      </c>
      <c r="BR704" s="309">
        <f t="shared" si="263"/>
        <v>0.98437031144071063</v>
      </c>
      <c r="BS704" s="309">
        <f>VLOOKUP($B704,'Infant adult mortality'!$A$134:$I$234,3)</f>
        <v>3.7425661914460283E-4</v>
      </c>
      <c r="BT704" s="309">
        <f>VLOOKUP($B704,'Infant pick up smoking rates'!$A$19:$I$104,6)</f>
        <v>1.9288936901483743E-3</v>
      </c>
      <c r="BU704" s="309">
        <f t="shared" si="264"/>
        <v>0.99769684969070704</v>
      </c>
      <c r="BV704" s="309">
        <f>VLOOKUP($B704,'Infant adult mortality'!$A$134:$I$234,5)</f>
        <v>6.5494908350305489E-4</v>
      </c>
      <c r="BW704" s="309">
        <f t="shared" si="265"/>
        <v>0.27</v>
      </c>
      <c r="BX704" s="309">
        <f t="shared" si="266"/>
        <v>0.72934505091649693</v>
      </c>
      <c r="BY704" s="309">
        <f>VLOOKUP($B704,'Infant adult mortality'!$A$134:$I$234,5)</f>
        <v>6.5494908350305489E-4</v>
      </c>
      <c r="BZ704" s="309">
        <f t="shared" si="267"/>
        <v>0.14000000000000001</v>
      </c>
      <c r="CA704" s="309">
        <f t="shared" si="268"/>
        <v>0.85934505091649693</v>
      </c>
      <c r="CB704" s="309">
        <f>VLOOKUP($B704,'Infant adult mortality'!$A$134:$I$234,4)</f>
        <v>4.6782077393075355E-4</v>
      </c>
      <c r="CC704" s="309">
        <f t="shared" si="269"/>
        <v>0.5714285714285714</v>
      </c>
      <c r="CD704" s="309">
        <f t="shared" si="270"/>
        <v>0.42810360779749784</v>
      </c>
      <c r="CE704" s="309">
        <f>VLOOKUP($B704,'Infant adult mortality'!$A$134:$I$234,4)</f>
        <v>4.6782077393075355E-4</v>
      </c>
      <c r="CF704" s="309">
        <f t="shared" si="271"/>
        <v>8.6261668788331098E-3</v>
      </c>
      <c r="CG704" s="309">
        <f t="shared" si="272"/>
        <v>0.99090601234723619</v>
      </c>
      <c r="CH704" s="309"/>
      <c r="CI704" s="315">
        <f t="shared" ca="1" si="297"/>
        <v>84.600328235688238</v>
      </c>
      <c r="CJ704" s="316">
        <f t="shared" ca="1" si="298"/>
        <v>23.326203092470447</v>
      </c>
      <c r="CK704" s="316">
        <f t="shared" ca="1" si="299"/>
        <v>3.3348635916682841</v>
      </c>
      <c r="CL704" s="316">
        <f t="shared" ca="1" si="300"/>
        <v>94.947146698956985</v>
      </c>
      <c r="CM704" s="316">
        <f t="shared" ca="1" si="301"/>
        <v>17.640374298309347</v>
      </c>
      <c r="CN704" s="316">
        <f t="shared" ca="1" si="302"/>
        <v>119.79778110671342</v>
      </c>
      <c r="CO704" s="316">
        <f t="shared" ca="1" si="303"/>
        <v>32.700927963677998</v>
      </c>
      <c r="CP704" s="316">
        <f t="shared" ca="1" si="304"/>
        <v>4.6289800383625108</v>
      </c>
      <c r="CQ704" s="316">
        <f t="shared" ca="1" si="305"/>
        <v>52.612781069938769</v>
      </c>
      <c r="CR704" s="316">
        <f t="shared" ca="1" si="306"/>
        <v>56.410613904214394</v>
      </c>
      <c r="CS704" s="317">
        <f t="shared" ca="1" si="273"/>
        <v>490.0000000000004</v>
      </c>
      <c r="CT704" s="309"/>
      <c r="CU704" s="309">
        <f t="shared" ca="1" si="274"/>
        <v>1000.0000000000002</v>
      </c>
      <c r="CV704" s="309" t="str">
        <f t="shared" ca="1" si="225"/>
        <v>OKAY</v>
      </c>
      <c r="CW704" s="309"/>
      <c r="CX704" s="315">
        <f>(SUM($AR704:$AS704))-((SUM($AR704:$AS704)*VLOOKUP($B704,Lifetime_morbidity_array!$A$30:$Y$48,4))+(SUM($AR704:$AS704)*VLOOKUP($B704,Lifetime_morbidity_array!$A$30:$Y$48,7))+(SUM($AR704:$AS704)*VLOOKUP($B704,Lifetime_morbidity_array!$A$30:$Y$48,10))+(SUM($AR704:$AS704)*VLOOKUP($B704,Lifetime_morbidity_array!$A$30:$Y$48,13)))</f>
        <v>199.62924449533341</v>
      </c>
      <c r="CY704" s="316">
        <f>(SUM($AT704:$AU704))-((SUM($AT704:$AU704)*(VLOOKUP($B704,Lifetime_morbidity_array!$A$30:$Y$48,3)))+(SUM($AT704:$AU704)*(VLOOKUP($B704,Lifetime_morbidity_array!$A$30:$Y$48,6)))+(SUM($AT704:$AU704)*(VLOOKUP($B704,Lifetime_morbidity_array!$A$30:$Y$48,9)))+(SUM($AT704:$AU704)*(VLOOKUP($B704,Lifetime_morbidity_array!$A$30:$Y$48,12))))</f>
        <v>74.523469437570029</v>
      </c>
      <c r="CZ704" s="316">
        <f>(SUM($AM704:$AQ704))-((SUM($AM704:$AQ704)*VLOOKUP($B704,Lifetime_morbidity_array!$A$30:$Y$48,2))+(SUM($AM704:$AQ704)*VLOOKUP($B704,Lifetime_morbidity_array!$A$30:$Y$48,5))+(SUM($AM704:$AQ704)*VLOOKUP($B704,Lifetime_morbidity_array!$A$30:$Y$48,8))+(SUM($AM704:$AQ704)*VLOOKUP($B704,Lifetime_morbidity_array!$A$30:$Y$48,11)))</f>
        <v>167.93077374686047</v>
      </c>
      <c r="DA704" s="316">
        <f>(SUM($AM704:$AQ704)*VLOOKUP($B704,Lifetime_morbidity_array!$A$30:$Y$48,2))+(SUM($AR704:$AS704)*VLOOKUP($B704,Lifetime_morbidity_array!$A$30:$Y$48,4))+(SUM($AT704:$AU704)*(VLOOKUP($B704,Lifetime_morbidity_array!$A$30:$Y$48,3)))</f>
        <v>3.5827944064135759</v>
      </c>
      <c r="DB704" s="316">
        <f>(SUM($AM704:$AQ704)*VLOOKUP($B704,Lifetime_morbidity_array!$A$30:$Y$48,5))+(SUM($AR704:$AS704)*VLOOKUP($B704,Lifetime_morbidity_array!$A$30:$Y$48,7))+(SUM($AT704:$AU704)*(VLOOKUP($B704,Lifetime_morbidity_array!$A$30:$Y$48,6)))</f>
        <v>0.54569729275270529</v>
      </c>
      <c r="DC704" s="316">
        <f>(SUM($AM704:$AQ704)*VLOOKUP($B704,Lifetime_morbidity_array!$A$30:$Y$48,8))+(SUM($AR704:$AS704)*VLOOKUP($B704,Lifetime_morbidity_array!$A$30:$Y$48,10))+(SUM($AT704:$AU704)*(VLOOKUP($B704,Lifetime_morbidity_array!$A$30:$Y$48,9)))</f>
        <v>1.4353864081378219E-2</v>
      </c>
      <c r="DD704" s="317">
        <f>(SUM($AM704:$AQ704)*VLOOKUP($B704,Lifetime_morbidity_array!$A$30:$Y$48,11))+(SUM($AR704:$AS704)*VLOOKUP($B704,Lifetime_morbidity_array!$A$30:$Y$48,13))+(SUM($AT704:$AU704)*(VLOOKUP($B704,Lifetime_morbidity_array!$A$30:$Y$48,12)))</f>
        <v>2.7803896712706258</v>
      </c>
      <c r="DE704" s="309"/>
      <c r="DF704" s="315">
        <f ca="1">(SUM($CN704:$CO704))-((SUM($CN704:$CO704)*VLOOKUP($B704,Lifetime_morbidity_array!$A$6:$Y$24,4))+(SUM($CN704:$CO704)*VLOOKUP($B704,Lifetime_morbidity_array!$A$6:$Y$24,7))+(SUM($CN704:$CO704)*VLOOKUP($B704,Lifetime_morbidity_array!$A$6:$Y$24,10))+(SUM($CN704:$CO704)*VLOOKUP($B704,Lifetime_morbidity_array!$A$6:$Y$24,13)))</f>
        <v>149.82620468887873</v>
      </c>
      <c r="DG704" s="316">
        <f ca="1">(SUM($CP704:$CQ704))-(((SUM($CP704:$CQ704)*VLOOKUP($B704,Lifetime_morbidity_array!$A$6:$Y$24,3))+(SUM($CP704:$CQ704)*VLOOKUP($B704,Lifetime_morbidity_array!$A$6:$Y$24,6))+(SUM($CP704:$CQ704)*VLOOKUP($B704,Lifetime_morbidity_array!$A$6:$Y$24,9))+(SUM($CP704:$CQ704)*VLOOKUP($B704,Lifetime_morbidity_array!$A$6:$Y$24,12))))</f>
        <v>56.832667582800106</v>
      </c>
      <c r="DH704" s="316">
        <f ca="1">(SUM($CI704:$CM704))-((SUM($CI704:$CM704)*VLOOKUP($B704,Lifetime_morbidity_array!$A$6:$Y$24,2))+(SUM($CI704:$CM704)*VLOOKUP($B704,Lifetime_morbidity_array!$A$6:$Y$24,5))+(SUM($CI704:$CM704)*VLOOKUP($B704,Lifetime_morbidity_array!$A$6:$Y$24,8))+(SUM($CI704:$CM704)*VLOOKUP($B704,Lifetime_morbidity_array!$A$6:$Y$24,11)))</f>
        <v>222.73244996308091</v>
      </c>
      <c r="DI704" s="316">
        <f ca="1">(SUM($CI704:$CM704)*VLOOKUP($B704,Lifetime_morbidity_array!$A$6:$Y$24,2))+(SUM($CN704:$CO704)*VLOOKUP($B704,Lifetime_morbidity_array!$A$6:$Y$24,4))+(SUM($CP704:$CQ704)*VLOOKUP($B704,Lifetime_morbidity_array!$A$6:$Y$24,3))</f>
        <v>1.6480969068309785</v>
      </c>
      <c r="DJ704" s="316">
        <f ca="1">(SUM($CI704:$CM704)*VLOOKUP($B704,Lifetime_morbidity_array!$A$6:$Y$24,5))+(SUM($CN704:$CO704)*VLOOKUP($B704,Lifetime_morbidity_array!$A$6:$Y$24,7))+(SUM($CP704:$CQ704)*VLOOKUP($B704,Lifetime_morbidity_array!$A$6:$Y$24,6))</f>
        <v>0.50203335574658481</v>
      </c>
      <c r="DK704" s="316">
        <f ca="1">(SUM($CI704:$CM704)*VLOOKUP($B704,Lifetime_morbidity_array!$A$6:$Y$24,8))+(SUM($CN704:$CO704)*VLOOKUP($B704,Lifetime_morbidity_array!$A$6:$Y$24,10))+(SUM($CP704:$CQ704)*VLOOKUP($B704,Lifetime_morbidity_array!$A$6:$Y$24,9))</f>
        <v>1.2879392883983178E-2</v>
      </c>
      <c r="DL704" s="317">
        <f ca="1">(SUM($CI704:$CM704)*VLOOKUP($B704,Lifetime_morbidity_array!$A$6:$Y$24,11))+(SUM($CN704:$CO704)*VLOOKUP($B704,Lifetime_morbidity_array!$A$6:$Y$24,13))+(SUM($CP704:$CQ704)*VLOOKUP($B704,Lifetime_morbidity_array!$A$6:$Y$24,12))</f>
        <v>2.0350542055647027</v>
      </c>
      <c r="DM704" s="309"/>
      <c r="DN704" s="308">
        <f t="shared" si="275"/>
        <v>38</v>
      </c>
      <c r="DO704" s="309">
        <f t="shared" ca="1" si="276"/>
        <v>238.79691746877248</v>
      </c>
      <c r="DP704" s="310">
        <f t="shared" ca="1" si="307"/>
        <v>18513.349844683595</v>
      </c>
      <c r="DQ704" s="309"/>
      <c r="DR704" s="308">
        <f t="shared" si="277"/>
        <v>38</v>
      </c>
      <c r="DS704" s="309">
        <f ca="1">((VLOOKUP($B704,'Mahawesran Tariff'!$A$21:$M$120,4)*'Comparator (DET)'!$CX704)+(VLOOKUP($B704,'Mahawesran Tariff'!$A$21:$M$120,3)*'Comparator (DET)'!$CY704)+(VLOOKUP($B704,'Mahawesran Tariff'!$A$21:$M$120,2)*'Comparator (DET)'!$CZ704)+(VLOOKUP($B704,'Mahawesran Tariff'!$A$21:$M$120,7)*'Comparator (DET)'!$DF704)+(VLOOKUP($B704,'Mahawesran Tariff'!$A$21:$M$120,6)*'Comparator (DET)'!$DG704)+(VLOOKUP($B704,'Mahawesran Tariff'!$A$21:$M$120,5)*'Comparator (DET)'!$DH704)+(DET_UTIL_chd*('Comparator (DET)'!$DA704+'Comparator (DET)'!$DI704))+(DET_UTIL_copd*('Comparator (DET)'!$DB704+'Comparator (DET)'!$DJ704))+(DET_UTIL_lc*('Comparator (DET)'!$DC704+'Comparator (DET)'!$DK704))+(DET_UTIL_stroke*('Comparator (DET)'!$DD704+'Comparator (DET)'!$DL704)))/((1+Discount_rate_QALYs)^$A704)</f>
        <v>234.37160279811974</v>
      </c>
      <c r="DT704" s="310">
        <f t="shared" ca="1" si="308"/>
        <v>18476.29906578143</v>
      </c>
      <c r="DU704" s="309"/>
      <c r="DV704" s="308">
        <f t="shared" si="278"/>
        <v>38</v>
      </c>
      <c r="DW704" s="318">
        <f t="shared" ca="1" si="279"/>
        <v>31216.552339461559</v>
      </c>
      <c r="DX704" s="319">
        <f t="shared" ca="1" si="309"/>
        <v>5735479.9717872087</v>
      </c>
      <c r="DZ704" s="95">
        <f t="shared" si="280"/>
        <v>38</v>
      </c>
      <c r="EA704" s="268">
        <f t="shared" ca="1" si="226"/>
        <v>0.88259610901006813</v>
      </c>
      <c r="EB704" s="268">
        <f t="shared" ca="1" si="227"/>
        <v>0.11740389098993198</v>
      </c>
      <c r="EC704" s="268">
        <f t="shared" ca="1" si="228"/>
        <v>1.1121299095544534E-2</v>
      </c>
      <c r="ED704" s="290">
        <f t="shared" ca="1" si="229"/>
        <v>0.48955576609412277</v>
      </c>
      <c r="EF704" s="95">
        <f t="shared" si="281"/>
        <v>38</v>
      </c>
      <c r="EG704" s="339">
        <f t="shared" ca="1" si="282"/>
        <v>31216.552339461559</v>
      </c>
      <c r="EH704" s="341">
        <f t="shared" ca="1" si="310"/>
        <v>8835611.9076432958</v>
      </c>
      <c r="EJ704" s="308">
        <f t="shared" si="283"/>
        <v>38</v>
      </c>
      <c r="EK704" s="318">
        <f t="shared" ca="1" si="284"/>
        <v>31216.552339461559</v>
      </c>
      <c r="EL704" s="319">
        <f t="shared" ca="1" si="311"/>
        <v>5735479.9717872087</v>
      </c>
      <c r="EN704" s="95">
        <f t="shared" si="285"/>
        <v>38</v>
      </c>
      <c r="EO704" s="339">
        <f t="shared" ca="1" si="286"/>
        <v>31216.552339461559</v>
      </c>
      <c r="EP704" s="341">
        <f t="shared" ca="1" si="312"/>
        <v>8835611.9076432958</v>
      </c>
    </row>
    <row r="705" spans="1:146" s="266" customFormat="1" x14ac:dyDescent="0.25">
      <c r="A705" s="313">
        <v>39</v>
      </c>
      <c r="B705" s="314">
        <v>39</v>
      </c>
      <c r="C705" s="308">
        <f>VLOOKUP($B705,'Infant adult mortality'!$A$27:$I$128,3)</f>
        <v>7.0989816700611004E-4</v>
      </c>
      <c r="D705" s="309">
        <f t="shared" si="230"/>
        <v>0.27</v>
      </c>
      <c r="E705" s="309">
        <f>VLOOKUP($B705,'Infant pick up smoking rates'!$A$19:$I$104,3)</f>
        <v>1.5201831243956284E-3</v>
      </c>
      <c r="F705" s="309">
        <f t="shared" si="231"/>
        <v>7.543511397491859E-3</v>
      </c>
      <c r="G705" s="309">
        <f t="shared" si="232"/>
        <v>0.72022640731110643</v>
      </c>
      <c r="H705" s="309">
        <f>VLOOKUP($B705,'Infant adult mortality'!$A$27:$I$128,3)</f>
        <v>7.0989816700611004E-4</v>
      </c>
      <c r="I705" s="309">
        <f t="shared" si="233"/>
        <v>0.14000000000000001</v>
      </c>
      <c r="J705" s="309">
        <f>VLOOKUP($B705,'Infant pick up smoking rates'!$A$19:$I$104,2)</f>
        <v>1.5201831243956284E-3</v>
      </c>
      <c r="K705" s="309">
        <f t="shared" si="234"/>
        <v>7.543511397491859E-3</v>
      </c>
      <c r="L705" s="309">
        <f t="shared" si="235"/>
        <v>0.85022640731110644</v>
      </c>
      <c r="M705" s="309">
        <f>VLOOKUP($B705,'Infant adult mortality'!$A$27:$I$128,3)</f>
        <v>7.0989816700611004E-4</v>
      </c>
      <c r="N705" s="309">
        <f t="shared" si="236"/>
        <v>0.5714285714285714</v>
      </c>
      <c r="O705" s="309">
        <f>VLOOKUP($B705,'Infant pick up smoking rates'!$A$19:$I$104,2)</f>
        <v>1.5201831243956284E-3</v>
      </c>
      <c r="P705" s="309">
        <f t="shared" si="237"/>
        <v>5.0718076629945276E-3</v>
      </c>
      <c r="Q705" s="309">
        <f t="shared" si="238"/>
        <v>0.42126953961703234</v>
      </c>
      <c r="R705" s="309">
        <f>VLOOKUP($B705,'Infant adult mortality'!$A$27:$I$128,3)</f>
        <v>7.0989816700611004E-4</v>
      </c>
      <c r="S705" s="309">
        <f t="shared" si="239"/>
        <v>8.6261668788331098E-3</v>
      </c>
      <c r="T705" s="309">
        <f>VLOOKUP($B705,'Infant pick up smoking rates'!$A$19:$I$104,2)</f>
        <v>1.5201831243956284E-3</v>
      </c>
      <c r="U705" s="309">
        <f t="shared" si="240"/>
        <v>5.0718076629945276E-3</v>
      </c>
      <c r="V705" s="309">
        <f t="shared" si="241"/>
        <v>0.98407194416677068</v>
      </c>
      <c r="W705" s="309">
        <f>VLOOKUP($B705,'Infant adult mortality'!$A$27:$I$128,3)</f>
        <v>7.0989816700611004E-4</v>
      </c>
      <c r="X705" s="309">
        <f>VLOOKUP($B705,'Infant pick up smoking rates'!$A$19:$I$104,2)</f>
        <v>1.5201831243956284E-3</v>
      </c>
      <c r="Y705" s="309">
        <f t="shared" si="242"/>
        <v>0.99776991870859832</v>
      </c>
      <c r="Z705" s="309">
        <f>VLOOKUP($B705,'Infant adult mortality'!$A$27:$I$128,5)</f>
        <v>1.2423217922606924E-3</v>
      </c>
      <c r="AA705" s="309">
        <f t="shared" si="243"/>
        <v>0.25</v>
      </c>
      <c r="AB705" s="309">
        <f t="shared" si="244"/>
        <v>0.74875767820773931</v>
      </c>
      <c r="AC705" s="309">
        <f>VLOOKUP($B705,'Infant adult mortality'!$A$27:$I$128,5)</f>
        <v>1.2423217922606924E-3</v>
      </c>
      <c r="AD705" s="309">
        <f t="shared" si="245"/>
        <v>0.14000000000000001</v>
      </c>
      <c r="AE705" s="309">
        <f t="shared" si="246"/>
        <v>0.85875767820773929</v>
      </c>
      <c r="AF705" s="309">
        <f>VLOOKUP($B705,'Infant adult mortality'!$A$27:$I$128,4)</f>
        <v>8.8737270875763753E-4</v>
      </c>
      <c r="AG705" s="309">
        <f t="shared" si="247"/>
        <v>0.5714285714285714</v>
      </c>
      <c r="AH705" s="309">
        <f t="shared" si="248"/>
        <v>0.42768405586267094</v>
      </c>
      <c r="AI705" s="309">
        <f>VLOOKUP($B705,'Infant adult mortality'!$A$27:$I$128,4)</f>
        <v>8.8737270875763753E-4</v>
      </c>
      <c r="AJ705" s="309">
        <f t="shared" si="249"/>
        <v>8.6261668788331098E-3</v>
      </c>
      <c r="AK705" s="309">
        <f t="shared" si="250"/>
        <v>0.99048646041240929</v>
      </c>
      <c r="AL705" s="309"/>
      <c r="AM705" s="315">
        <f t="shared" si="287"/>
        <v>61.563435155106717</v>
      </c>
      <c r="AN705" s="316">
        <f t="shared" si="288"/>
        <v>16.948008872479484</v>
      </c>
      <c r="AO705" s="316">
        <f t="shared" si="289"/>
        <v>2.4178528773002887</v>
      </c>
      <c r="AP705" s="316">
        <f t="shared" si="290"/>
        <v>73.611268518687751</v>
      </c>
      <c r="AQ705" s="316">
        <f t="shared" si="291"/>
        <v>14.273550939262229</v>
      </c>
      <c r="AR705" s="316">
        <f t="shared" si="292"/>
        <v>161.00536780502196</v>
      </c>
      <c r="AS705" s="316">
        <f t="shared" si="293"/>
        <v>40.784738932959897</v>
      </c>
      <c r="AT705" s="316">
        <f t="shared" si="294"/>
        <v>5.7857551333643213</v>
      </c>
      <c r="AU705" s="316">
        <f t="shared" si="295"/>
        <v>72.17576059856269</v>
      </c>
      <c r="AV705" s="316">
        <f t="shared" si="296"/>
        <v>61.434261167254469</v>
      </c>
      <c r="AW705" s="317">
        <f t="shared" si="251"/>
        <v>509.99999999999989</v>
      </c>
      <c r="AX705" s="309"/>
      <c r="AY705" s="308">
        <f>VLOOKUP($B705,'Infant adult mortality'!$A$134:$I$234,3)</f>
        <v>4.0562118126272911E-4</v>
      </c>
      <c r="AZ705" s="309">
        <f t="shared" si="252"/>
        <v>0.27</v>
      </c>
      <c r="BA705" s="309">
        <f ca="1">VLOOKUP($B705,'Infant pick up smoking rates'!$A$19:$I$104,7)</f>
        <v>3.9916955482353625E-3</v>
      </c>
      <c r="BB705" s="309">
        <f t="shared" si="253"/>
        <v>7.543511397491859E-3</v>
      </c>
      <c r="BC705" s="309">
        <f t="shared" ca="1" si="254"/>
        <v>0.71805917187301005</v>
      </c>
      <c r="BD705" s="309">
        <f>VLOOKUP($B705,'Infant adult mortality'!$A$134:$I$234,3)</f>
        <v>4.0562118126272911E-4</v>
      </c>
      <c r="BE705" s="309">
        <f t="shared" si="255"/>
        <v>0.14000000000000001</v>
      </c>
      <c r="BF705" s="309">
        <f>VLOOKUP($B705,'Infant pick up smoking rates'!$A$19:$I$104,6)</f>
        <v>1.9288936901483743E-3</v>
      </c>
      <c r="BG705" s="309">
        <f t="shared" si="256"/>
        <v>7.543511397491859E-3</v>
      </c>
      <c r="BH705" s="309">
        <f t="shared" si="257"/>
        <v>0.85012197373109699</v>
      </c>
      <c r="BI705" s="309">
        <f>VLOOKUP($B705,'Infant adult mortality'!$A$134:$I$234,3)</f>
        <v>4.0562118126272911E-4</v>
      </c>
      <c r="BJ705" s="309">
        <f t="shared" si="258"/>
        <v>0.5714285714285714</v>
      </c>
      <c r="BK705" s="309">
        <f>VLOOKUP($B705,'Infant pick up smoking rates'!$A$19:$I$104,6)</f>
        <v>1.9288936901483743E-3</v>
      </c>
      <c r="BL705" s="309">
        <f t="shared" si="259"/>
        <v>5.0718076629945276E-3</v>
      </c>
      <c r="BM705" s="309">
        <f t="shared" si="260"/>
        <v>0.42116510603702295</v>
      </c>
      <c r="BN705" s="309">
        <f>VLOOKUP($B705,'Infant adult mortality'!$A$134:$I$234,3)</f>
        <v>4.0562118126272911E-4</v>
      </c>
      <c r="BO705" s="309">
        <f t="shared" si="261"/>
        <v>8.6261668788331098E-3</v>
      </c>
      <c r="BP705" s="309">
        <f>VLOOKUP($B705,'Infant pick up smoking rates'!$A$19:$I$104,6)</f>
        <v>1.9288936901483743E-3</v>
      </c>
      <c r="BQ705" s="309">
        <f t="shared" si="262"/>
        <v>5.0718076629945276E-3</v>
      </c>
      <c r="BR705" s="309">
        <f t="shared" si="263"/>
        <v>0.98396751058676124</v>
      </c>
      <c r="BS705" s="309">
        <f>VLOOKUP($B705,'Infant adult mortality'!$A$134:$I$234,3)</f>
        <v>4.0562118126272911E-4</v>
      </c>
      <c r="BT705" s="309">
        <f>VLOOKUP($B705,'Infant pick up smoking rates'!$A$19:$I$104,6)</f>
        <v>1.9288936901483743E-3</v>
      </c>
      <c r="BU705" s="309">
        <f t="shared" si="264"/>
        <v>0.99766548512858888</v>
      </c>
      <c r="BV705" s="309">
        <f>VLOOKUP($B705,'Infant adult mortality'!$A$134:$I$234,5)</f>
        <v>7.0983706720977589E-4</v>
      </c>
      <c r="BW705" s="309">
        <f t="shared" si="265"/>
        <v>0.27</v>
      </c>
      <c r="BX705" s="309">
        <f t="shared" si="266"/>
        <v>0.72929016293279025</v>
      </c>
      <c r="BY705" s="309">
        <f>VLOOKUP($B705,'Infant adult mortality'!$A$134:$I$234,5)</f>
        <v>7.0983706720977589E-4</v>
      </c>
      <c r="BZ705" s="309">
        <f t="shared" si="267"/>
        <v>0.14000000000000001</v>
      </c>
      <c r="CA705" s="309">
        <f t="shared" si="268"/>
        <v>0.85929016293279026</v>
      </c>
      <c r="CB705" s="309">
        <f>VLOOKUP($B705,'Infant adult mortality'!$A$134:$I$234,4)</f>
        <v>5.0702647657841133E-4</v>
      </c>
      <c r="CC705" s="309">
        <f t="shared" si="269"/>
        <v>0.5714285714285714</v>
      </c>
      <c r="CD705" s="309">
        <f t="shared" si="270"/>
        <v>0.42806440209485019</v>
      </c>
      <c r="CE705" s="309">
        <f>VLOOKUP($B705,'Infant adult mortality'!$A$134:$I$234,4)</f>
        <v>5.0702647657841133E-4</v>
      </c>
      <c r="CF705" s="309">
        <f t="shared" si="271"/>
        <v>8.6261668788331098E-3</v>
      </c>
      <c r="CG705" s="309">
        <f t="shared" si="272"/>
        <v>0.99086680664458848</v>
      </c>
      <c r="CH705" s="309"/>
      <c r="CI705" s="315">
        <f t="shared" ca="1" si="297"/>
        <v>82.801717556024755</v>
      </c>
      <c r="CJ705" s="316">
        <f t="shared" ca="1" si="298"/>
        <v>22.842088623635824</v>
      </c>
      <c r="CK705" s="316">
        <f t="shared" ca="1" si="299"/>
        <v>3.265668432945863</v>
      </c>
      <c r="CL705" s="316">
        <f t="shared" ca="1" si="300"/>
        <v>95.33054391278489</v>
      </c>
      <c r="CM705" s="316">
        <f t="shared" ca="1" si="301"/>
        <v>18.91180505426491</v>
      </c>
      <c r="CN705" s="316">
        <f t="shared" ca="1" si="302"/>
        <v>118.50857169790189</v>
      </c>
      <c r="CO705" s="316">
        <f t="shared" ca="1" si="303"/>
        <v>32.345400898812628</v>
      </c>
      <c r="CP705" s="316">
        <f t="shared" ca="1" si="304"/>
        <v>4.5781299149149204</v>
      </c>
      <c r="CQ705" s="316">
        <f t="shared" ca="1" si="305"/>
        <v>54.777389817953946</v>
      </c>
      <c r="CR705" s="316">
        <f t="shared" ca="1" si="306"/>
        <v>56.638684090760748</v>
      </c>
      <c r="CS705" s="317">
        <f t="shared" ca="1" si="273"/>
        <v>490.00000000000034</v>
      </c>
      <c r="CT705" s="309"/>
      <c r="CU705" s="309">
        <f t="shared" ca="1" si="274"/>
        <v>1000.0000000000002</v>
      </c>
      <c r="CV705" s="309" t="str">
        <f t="shared" ca="1" si="225"/>
        <v>OKAY</v>
      </c>
      <c r="CW705" s="309"/>
      <c r="CX705" s="315">
        <f>(SUM($AR705:$AS705))-((SUM($AR705:$AS705)*VLOOKUP($B705,Lifetime_morbidity_array!$A$30:$Y$48,4))+(SUM($AR705:$AS705)*VLOOKUP($B705,Lifetime_morbidity_array!$A$30:$Y$48,7))+(SUM($AR705:$AS705)*VLOOKUP($B705,Lifetime_morbidity_array!$A$30:$Y$48,10))+(SUM($AR705:$AS705)*VLOOKUP($B705,Lifetime_morbidity_array!$A$30:$Y$48,13)))</f>
        <v>197.01686476096006</v>
      </c>
      <c r="CY705" s="316">
        <f>(SUM($AT705:$AU705))-((SUM($AT705:$AU705)*(VLOOKUP($B705,Lifetime_morbidity_array!$A$30:$Y$48,3)))+(SUM($AT705:$AU705)*(VLOOKUP($B705,Lifetime_morbidity_array!$A$30:$Y$48,6)))+(SUM($AT705:$AU705)*(VLOOKUP($B705,Lifetime_morbidity_array!$A$30:$Y$48,9)))+(SUM($AT705:$AU705)*(VLOOKUP($B705,Lifetime_morbidity_array!$A$30:$Y$48,12))))</f>
        <v>77.106832324924937</v>
      </c>
      <c r="CZ705" s="316">
        <f>(SUM($AM705:$AQ705))-((SUM($AM705:$AQ705)*VLOOKUP($B705,Lifetime_morbidity_array!$A$30:$Y$48,2))+(SUM($AM705:$AQ705)*VLOOKUP($B705,Lifetime_morbidity_array!$A$30:$Y$48,5))+(SUM($AM705:$AQ705)*VLOOKUP($B705,Lifetime_morbidity_array!$A$30:$Y$48,8))+(SUM($AM705:$AQ705)*VLOOKUP($B705,Lifetime_morbidity_array!$A$30:$Y$48,11)))</f>
        <v>167.55627447007706</v>
      </c>
      <c r="DA705" s="316">
        <f>(SUM($AM705:$AQ705)*VLOOKUP($B705,Lifetime_morbidity_array!$A$30:$Y$48,2))+(SUM($AR705:$AS705)*VLOOKUP($B705,Lifetime_morbidity_array!$A$30:$Y$48,4))+(SUM($AT705:$AU705)*(VLOOKUP($B705,Lifetime_morbidity_array!$A$30:$Y$48,3)))</f>
        <v>3.5633276477030442</v>
      </c>
      <c r="DB705" s="316">
        <f>(SUM($AM705:$AQ705)*VLOOKUP($B705,Lifetime_morbidity_array!$A$30:$Y$48,5))+(SUM($AR705:$AS705)*VLOOKUP($B705,Lifetime_morbidity_array!$A$30:$Y$48,7))+(SUM($AT705:$AU705)*(VLOOKUP($B705,Lifetime_morbidity_array!$A$30:$Y$48,6)))</f>
        <v>0.54284365350557606</v>
      </c>
      <c r="DC705" s="316">
        <f>(SUM($AM705:$AQ705)*VLOOKUP($B705,Lifetime_morbidity_array!$A$30:$Y$48,8))+(SUM($AR705:$AS705)*VLOOKUP($B705,Lifetime_morbidity_array!$A$30:$Y$48,10))+(SUM($AT705:$AU705)*(VLOOKUP($B705,Lifetime_morbidity_array!$A$30:$Y$48,9)))</f>
        <v>1.4239949031067546E-2</v>
      </c>
      <c r="DD705" s="317">
        <f>(SUM($AM705:$AQ705)*VLOOKUP($B705,Lifetime_morbidity_array!$A$30:$Y$48,11))+(SUM($AR705:$AS705)*VLOOKUP($B705,Lifetime_morbidity_array!$A$30:$Y$48,13))+(SUM($AT705:$AU705)*(VLOOKUP($B705,Lifetime_morbidity_array!$A$30:$Y$48,12)))</f>
        <v>2.7653560265436243</v>
      </c>
      <c r="DE705" s="309"/>
      <c r="DF705" s="315">
        <f ca="1">(SUM($CN705:$CO705))-((SUM($CN705:$CO705)*VLOOKUP($B705,Lifetime_morbidity_array!$A$6:$Y$24,4))+(SUM($CN705:$CO705)*VLOOKUP($B705,Lifetime_morbidity_array!$A$6:$Y$24,7))+(SUM($CN705:$CO705)*VLOOKUP($B705,Lifetime_morbidity_array!$A$6:$Y$24,10))+(SUM($CN705:$CO705)*VLOOKUP($B705,Lifetime_morbidity_array!$A$6:$Y$24,13)))</f>
        <v>148.21029183908121</v>
      </c>
      <c r="DG705" s="316">
        <f ca="1">(SUM($CP705:$CQ705))-(((SUM($CP705:$CQ705)*VLOOKUP($B705,Lifetime_morbidity_array!$A$6:$Y$24,3))+(SUM($CP705:$CQ705)*VLOOKUP($B705,Lifetime_morbidity_array!$A$6:$Y$24,6))+(SUM($CP705:$CQ705)*VLOOKUP($B705,Lifetime_morbidity_array!$A$6:$Y$24,9))+(SUM($CP705:$CQ705)*VLOOKUP($B705,Lifetime_morbidity_array!$A$6:$Y$24,12))))</f>
        <v>58.931319667124335</v>
      </c>
      <c r="DH705" s="316">
        <f ca="1">(SUM($CI705:$CM705))-((SUM($CI705:$CM705)*VLOOKUP($B705,Lifetime_morbidity_array!$A$6:$Y$24,2))+(SUM($CI705:$CM705)*VLOOKUP($B705,Lifetime_morbidity_array!$A$6:$Y$24,5))+(SUM($CI705:$CM705)*VLOOKUP($B705,Lifetime_morbidity_array!$A$6:$Y$24,8))+(SUM($CI705:$CM705)*VLOOKUP($B705,Lifetime_morbidity_array!$A$6:$Y$24,11)))</f>
        <v>222.03883443435817</v>
      </c>
      <c r="DI705" s="316">
        <f ca="1">(SUM($CI705:$CM705)*VLOOKUP($B705,Lifetime_morbidity_array!$A$6:$Y$24,2))+(SUM($CN705:$CO705)*VLOOKUP($B705,Lifetime_morbidity_array!$A$6:$Y$24,4))+(SUM($CP705:$CQ705)*VLOOKUP($B705,Lifetime_morbidity_array!$A$6:$Y$24,3))</f>
        <v>1.6419044272939842</v>
      </c>
      <c r="DJ705" s="316">
        <f ca="1">(SUM($CI705:$CM705)*VLOOKUP($B705,Lifetime_morbidity_array!$A$6:$Y$24,5))+(SUM($CN705:$CO705)*VLOOKUP($B705,Lifetime_morbidity_array!$A$6:$Y$24,7))+(SUM($CP705:$CQ705)*VLOOKUP($B705,Lifetime_morbidity_array!$A$6:$Y$24,6))</f>
        <v>0.49921256580942563</v>
      </c>
      <c r="DK705" s="316">
        <f ca="1">(SUM($CI705:$CM705)*VLOOKUP($B705,Lifetime_morbidity_array!$A$6:$Y$24,8))+(SUM($CN705:$CO705)*VLOOKUP($B705,Lifetime_morbidity_array!$A$6:$Y$24,10))+(SUM($CP705:$CQ705)*VLOOKUP($B705,Lifetime_morbidity_array!$A$6:$Y$24,9))</f>
        <v>1.2788329462989167E-2</v>
      </c>
      <c r="DL705" s="317">
        <f ca="1">(SUM($CI705:$CM705)*VLOOKUP($B705,Lifetime_morbidity_array!$A$6:$Y$24,11))+(SUM($CN705:$CO705)*VLOOKUP($B705,Lifetime_morbidity_array!$A$6:$Y$24,13))+(SUM($CP705:$CQ705)*VLOOKUP($B705,Lifetime_morbidity_array!$A$6:$Y$24,12))</f>
        <v>2.0269646461095072</v>
      </c>
      <c r="DM705" s="309"/>
      <c r="DN705" s="308">
        <f t="shared" si="275"/>
        <v>39</v>
      </c>
      <c r="DO705" s="309">
        <f t="shared" ca="1" si="276"/>
        <v>230.54676023819786</v>
      </c>
      <c r="DP705" s="310">
        <f t="shared" ca="1" si="307"/>
        <v>18743.896604921792</v>
      </c>
      <c r="DQ705" s="309"/>
      <c r="DR705" s="308">
        <f t="shared" si="277"/>
        <v>39</v>
      </c>
      <c r="DS705" s="309">
        <f ca="1">((VLOOKUP($B705,'Mahawesran Tariff'!$A$21:$M$120,4)*'Comparator (DET)'!$CX705)+(VLOOKUP($B705,'Mahawesran Tariff'!$A$21:$M$120,3)*'Comparator (DET)'!$CY705)+(VLOOKUP($B705,'Mahawesran Tariff'!$A$21:$M$120,2)*'Comparator (DET)'!$CZ705)+(VLOOKUP($B705,'Mahawesran Tariff'!$A$21:$M$120,7)*'Comparator (DET)'!$DF705)+(VLOOKUP($B705,'Mahawesran Tariff'!$A$21:$M$120,6)*'Comparator (DET)'!$DG705)+(VLOOKUP($B705,'Mahawesran Tariff'!$A$21:$M$120,5)*'Comparator (DET)'!$DH705)+(DET_UTIL_chd*('Comparator (DET)'!$DA705+'Comparator (DET)'!$DI705))+(DET_UTIL_copd*('Comparator (DET)'!$DB705+'Comparator (DET)'!$DJ705))+(DET_UTIL_lc*('Comparator (DET)'!$DC705+'Comparator (DET)'!$DK705))+(DET_UTIL_stroke*('Comparator (DET)'!$DD705+'Comparator (DET)'!$DL705)))/((1+Discount_rate_QALYs)^$A705)</f>
        <v>226.28969996997827</v>
      </c>
      <c r="DT705" s="310">
        <f t="shared" ca="1" si="308"/>
        <v>18702.588765751407</v>
      </c>
      <c r="DU705" s="309"/>
      <c r="DV705" s="308">
        <f t="shared" si="278"/>
        <v>39</v>
      </c>
      <c r="DW705" s="318">
        <f t="shared" ca="1" si="279"/>
        <v>30015.503571945017</v>
      </c>
      <c r="DX705" s="319">
        <f t="shared" ca="1" si="309"/>
        <v>5765495.4753591539</v>
      </c>
      <c r="DZ705" s="95">
        <f t="shared" si="280"/>
        <v>39</v>
      </c>
      <c r="EA705" s="268">
        <f t="shared" ca="1" si="226"/>
        <v>0.88192705474198496</v>
      </c>
      <c r="EB705" s="268">
        <f t="shared" ca="1" si="227"/>
        <v>0.11807294525801521</v>
      </c>
      <c r="EC705" s="268">
        <f t="shared" ca="1" si="228"/>
        <v>1.106663724545922E-2</v>
      </c>
      <c r="ED705" s="290">
        <f t="shared" ca="1" si="229"/>
        <v>0.48996111479949223</v>
      </c>
      <c r="EF705" s="95">
        <f t="shared" si="281"/>
        <v>39</v>
      </c>
      <c r="EG705" s="339">
        <f t="shared" ca="1" si="282"/>
        <v>30015.503571945017</v>
      </c>
      <c r="EH705" s="341">
        <f t="shared" ca="1" si="310"/>
        <v>8865627.4112152401</v>
      </c>
      <c r="EJ705" s="308">
        <f t="shared" si="283"/>
        <v>39</v>
      </c>
      <c r="EK705" s="318">
        <f t="shared" ca="1" si="284"/>
        <v>30015.503571945017</v>
      </c>
      <c r="EL705" s="319">
        <f t="shared" ca="1" si="311"/>
        <v>5765495.4753591539</v>
      </c>
      <c r="EN705" s="95">
        <f t="shared" si="285"/>
        <v>39</v>
      </c>
      <c r="EO705" s="339">
        <f t="shared" ca="1" si="286"/>
        <v>30015.503571945017</v>
      </c>
      <c r="EP705" s="341">
        <f t="shared" ca="1" si="312"/>
        <v>8865627.4112152401</v>
      </c>
    </row>
    <row r="706" spans="1:146" s="266" customFormat="1" x14ac:dyDescent="0.25">
      <c r="A706" s="313">
        <v>40</v>
      </c>
      <c r="B706" s="314">
        <v>40</v>
      </c>
      <c r="C706" s="308">
        <f>VLOOKUP($B706,'Infant adult mortality'!$A$27:$I$128,3)</f>
        <v>7.8061099796334005E-4</v>
      </c>
      <c r="D706" s="309">
        <f t="shared" si="230"/>
        <v>0.27</v>
      </c>
      <c r="E706" s="309">
        <f>VLOOKUP($B706,'Infant pick up smoking rates'!$A$19:$I$104,3)</f>
        <v>1.5201831243956284E-3</v>
      </c>
      <c r="F706" s="309">
        <f t="shared" si="231"/>
        <v>8.146438716829487E-3</v>
      </c>
      <c r="G706" s="309">
        <f t="shared" si="232"/>
        <v>0.71955276716081151</v>
      </c>
      <c r="H706" s="309">
        <f>VLOOKUP($B706,'Infant adult mortality'!$A$27:$I$128,3)</f>
        <v>7.8061099796334005E-4</v>
      </c>
      <c r="I706" s="309">
        <f t="shared" si="233"/>
        <v>0.14000000000000001</v>
      </c>
      <c r="J706" s="309">
        <f>VLOOKUP($B706,'Infant pick up smoking rates'!$A$19:$I$104,2)</f>
        <v>1.5201831243956284E-3</v>
      </c>
      <c r="K706" s="309">
        <f t="shared" si="234"/>
        <v>8.146438716829487E-3</v>
      </c>
      <c r="L706" s="309">
        <f t="shared" si="235"/>
        <v>0.84955276716081152</v>
      </c>
      <c r="M706" s="309">
        <f>VLOOKUP($B706,'Infant adult mortality'!$A$27:$I$128,3)</f>
        <v>7.8061099796334005E-4</v>
      </c>
      <c r="N706" s="309">
        <f t="shared" si="236"/>
        <v>0.5714285714285714</v>
      </c>
      <c r="O706" s="309">
        <f>VLOOKUP($B706,'Infant pick up smoking rates'!$A$19:$I$104,2)</f>
        <v>1.5201831243956284E-3</v>
      </c>
      <c r="P706" s="309">
        <f t="shared" si="237"/>
        <v>5.4771800734428047E-3</v>
      </c>
      <c r="Q706" s="309">
        <f t="shared" si="238"/>
        <v>0.42079345437562687</v>
      </c>
      <c r="R706" s="309">
        <f>VLOOKUP($B706,'Infant adult mortality'!$A$27:$I$128,3)</f>
        <v>7.8061099796334005E-4</v>
      </c>
      <c r="S706" s="309">
        <f t="shared" si="239"/>
        <v>8.6261668788331098E-3</v>
      </c>
      <c r="T706" s="309">
        <f>VLOOKUP($B706,'Infant pick up smoking rates'!$A$19:$I$104,2)</f>
        <v>1.5201831243956284E-3</v>
      </c>
      <c r="U706" s="309">
        <f t="shared" si="240"/>
        <v>5.4771800734428047E-3</v>
      </c>
      <c r="V706" s="309">
        <f t="shared" si="241"/>
        <v>0.98359585892536516</v>
      </c>
      <c r="W706" s="309">
        <f>VLOOKUP($B706,'Infant adult mortality'!$A$27:$I$128,3)</f>
        <v>7.8061099796334005E-4</v>
      </c>
      <c r="X706" s="309">
        <f>VLOOKUP($B706,'Infant pick up smoking rates'!$A$19:$I$104,2)</f>
        <v>1.5201831243956284E-3</v>
      </c>
      <c r="Y706" s="309">
        <f t="shared" si="242"/>
        <v>0.99769920587764105</v>
      </c>
      <c r="Z706" s="309">
        <f>VLOOKUP($B706,'Infant adult mortality'!$A$27:$I$128,5)</f>
        <v>1.366069246435845E-3</v>
      </c>
      <c r="AA706" s="309">
        <f t="shared" si="243"/>
        <v>0.25</v>
      </c>
      <c r="AB706" s="309">
        <f t="shared" si="244"/>
        <v>0.7486339307535641</v>
      </c>
      <c r="AC706" s="309">
        <f>VLOOKUP($B706,'Infant adult mortality'!$A$27:$I$128,5)</f>
        <v>1.366069246435845E-3</v>
      </c>
      <c r="AD706" s="309">
        <f t="shared" si="245"/>
        <v>0.14000000000000001</v>
      </c>
      <c r="AE706" s="309">
        <f t="shared" si="246"/>
        <v>0.85863393075356409</v>
      </c>
      <c r="AF706" s="309">
        <f>VLOOKUP($B706,'Infant adult mortality'!$A$27:$I$128,4)</f>
        <v>9.7576374745417509E-4</v>
      </c>
      <c r="AG706" s="309">
        <f t="shared" si="247"/>
        <v>0.5714285714285714</v>
      </c>
      <c r="AH706" s="309">
        <f t="shared" si="248"/>
        <v>0.42759566482397443</v>
      </c>
      <c r="AI706" s="309">
        <f>VLOOKUP($B706,'Infant adult mortality'!$A$27:$I$128,4)</f>
        <v>9.7576374745417509E-4</v>
      </c>
      <c r="AJ706" s="309">
        <f t="shared" si="249"/>
        <v>8.6261668788331098E-3</v>
      </c>
      <c r="AK706" s="309">
        <f t="shared" si="250"/>
        <v>0.99039806937371266</v>
      </c>
      <c r="AL706" s="309"/>
      <c r="AM706" s="315">
        <f t="shared" si="287"/>
        <v>60.34876770807918</v>
      </c>
      <c r="AN706" s="316">
        <f t="shared" si="288"/>
        <v>16.622127491878814</v>
      </c>
      <c r="AO706" s="316">
        <f t="shared" si="289"/>
        <v>2.372721242147128</v>
      </c>
      <c r="AP706" s="316">
        <f t="shared" si="290"/>
        <v>73.785369100824539</v>
      </c>
      <c r="AQ706" s="316">
        <f t="shared" si="291"/>
        <v>15.296724293207973</v>
      </c>
      <c r="AR706" s="316">
        <f t="shared" si="292"/>
        <v>158.90643441620631</v>
      </c>
      <c r="AS706" s="316">
        <f t="shared" si="293"/>
        <v>40.25134195125549</v>
      </c>
      <c r="AT706" s="316">
        <f t="shared" si="294"/>
        <v>5.7098634506143862</v>
      </c>
      <c r="AU706" s="316">
        <f t="shared" si="295"/>
        <v>74.788879742889662</v>
      </c>
      <c r="AV706" s="316">
        <f t="shared" si="296"/>
        <v>61.917770602896319</v>
      </c>
      <c r="AW706" s="317">
        <f t="shared" si="251"/>
        <v>509.99999999999977</v>
      </c>
      <c r="AX706" s="309"/>
      <c r="AY706" s="308">
        <f>VLOOKUP($B706,'Infant adult mortality'!$A$134:$I$234,3)</f>
        <v>4.3657841140529538E-4</v>
      </c>
      <c r="AZ706" s="309">
        <f t="shared" si="252"/>
        <v>0.27</v>
      </c>
      <c r="BA706" s="309">
        <f ca="1">VLOOKUP($B706,'Infant pick up smoking rates'!$A$19:$I$104,7)</f>
        <v>3.9916955482353625E-3</v>
      </c>
      <c r="BB706" s="309">
        <f t="shared" si="253"/>
        <v>8.146438716829487E-3</v>
      </c>
      <c r="BC706" s="309">
        <f t="shared" ca="1" si="254"/>
        <v>0.71742528732352984</v>
      </c>
      <c r="BD706" s="309">
        <f>VLOOKUP($B706,'Infant adult mortality'!$A$134:$I$234,3)</f>
        <v>4.3657841140529538E-4</v>
      </c>
      <c r="BE706" s="309">
        <f t="shared" si="255"/>
        <v>0.14000000000000001</v>
      </c>
      <c r="BF706" s="309">
        <f>VLOOKUP($B706,'Infant pick up smoking rates'!$A$19:$I$104,6)</f>
        <v>1.9288936901483743E-3</v>
      </c>
      <c r="BG706" s="309">
        <f t="shared" si="256"/>
        <v>8.146438716829487E-3</v>
      </c>
      <c r="BH706" s="309">
        <f t="shared" si="257"/>
        <v>0.84948808918161678</v>
      </c>
      <c r="BI706" s="309">
        <f>VLOOKUP($B706,'Infant adult mortality'!$A$134:$I$234,3)</f>
        <v>4.3657841140529538E-4</v>
      </c>
      <c r="BJ706" s="309">
        <f t="shared" si="258"/>
        <v>0.5714285714285714</v>
      </c>
      <c r="BK706" s="309">
        <f>VLOOKUP($B706,'Infant pick up smoking rates'!$A$19:$I$104,6)</f>
        <v>1.9288936901483743E-3</v>
      </c>
      <c r="BL706" s="309">
        <f t="shared" si="259"/>
        <v>5.4771800734428047E-3</v>
      </c>
      <c r="BM706" s="309">
        <f t="shared" si="260"/>
        <v>0.42072877639643214</v>
      </c>
      <c r="BN706" s="309">
        <f>VLOOKUP($B706,'Infant adult mortality'!$A$134:$I$234,3)</f>
        <v>4.3657841140529538E-4</v>
      </c>
      <c r="BO706" s="309">
        <f t="shared" si="261"/>
        <v>8.6261668788331098E-3</v>
      </c>
      <c r="BP706" s="309">
        <f>VLOOKUP($B706,'Infant pick up smoking rates'!$A$19:$I$104,6)</f>
        <v>1.9288936901483743E-3</v>
      </c>
      <c r="BQ706" s="309">
        <f t="shared" si="262"/>
        <v>5.4771800734428047E-3</v>
      </c>
      <c r="BR706" s="309">
        <f t="shared" si="263"/>
        <v>0.98353118094617042</v>
      </c>
      <c r="BS706" s="309">
        <f>VLOOKUP($B706,'Infant adult mortality'!$A$134:$I$234,3)</f>
        <v>4.3657841140529538E-4</v>
      </c>
      <c r="BT706" s="309">
        <f>VLOOKUP($B706,'Infant pick up smoking rates'!$A$19:$I$104,6)</f>
        <v>1.9288936901483743E-3</v>
      </c>
      <c r="BU706" s="309">
        <f t="shared" si="264"/>
        <v>0.99763452789844631</v>
      </c>
      <c r="BV706" s="309">
        <f>VLOOKUP($B706,'Infant adult mortality'!$A$134:$I$234,5)</f>
        <v>7.6401221995926684E-4</v>
      </c>
      <c r="BW706" s="309">
        <f t="shared" si="265"/>
        <v>0.27</v>
      </c>
      <c r="BX706" s="309">
        <f t="shared" si="266"/>
        <v>0.72923598778004073</v>
      </c>
      <c r="BY706" s="309">
        <f>VLOOKUP($B706,'Infant adult mortality'!$A$134:$I$234,5)</f>
        <v>7.6401221995926684E-4</v>
      </c>
      <c r="BZ706" s="309">
        <f t="shared" si="267"/>
        <v>0.14000000000000001</v>
      </c>
      <c r="CA706" s="309">
        <f t="shared" si="268"/>
        <v>0.85923598778004073</v>
      </c>
      <c r="CB706" s="309">
        <f>VLOOKUP($B706,'Infant adult mortality'!$A$134:$I$234,4)</f>
        <v>5.4572301425661923E-4</v>
      </c>
      <c r="CC706" s="309">
        <f t="shared" si="269"/>
        <v>0.5714285714285714</v>
      </c>
      <c r="CD706" s="309">
        <f t="shared" si="270"/>
        <v>0.42802570555717201</v>
      </c>
      <c r="CE706" s="309">
        <f>VLOOKUP($B706,'Infant adult mortality'!$A$134:$I$234,4)</f>
        <v>5.4572301425661923E-4</v>
      </c>
      <c r="CF706" s="309">
        <f t="shared" si="271"/>
        <v>8.6261668788331098E-3</v>
      </c>
      <c r="CG706" s="309">
        <f t="shared" si="272"/>
        <v>0.9908281101069103</v>
      </c>
      <c r="CH706" s="309"/>
      <c r="CI706" s="315">
        <f t="shared" ca="1" si="297"/>
        <v>81.004426090673746</v>
      </c>
      <c r="CJ706" s="316">
        <f t="shared" ca="1" si="298"/>
        <v>22.356463740126685</v>
      </c>
      <c r="CK706" s="316">
        <f t="shared" ca="1" si="299"/>
        <v>3.1978924073090158</v>
      </c>
      <c r="CL706" s="316">
        <f t="shared" ca="1" si="300"/>
        <v>95.626658682179723</v>
      </c>
      <c r="CM706" s="316">
        <f t="shared" ca="1" si="301"/>
        <v>20.267719709451214</v>
      </c>
      <c r="CN706" s="316">
        <f t="shared" ca="1" si="302"/>
        <v>117.24636370794963</v>
      </c>
      <c r="CO706" s="316">
        <f t="shared" ca="1" si="303"/>
        <v>31.99731435843351</v>
      </c>
      <c r="CP706" s="316">
        <f t="shared" ca="1" si="304"/>
        <v>4.5283561258337679</v>
      </c>
      <c r="CQ706" s="316">
        <f t="shared" ca="1" si="305"/>
        <v>56.891051867007057</v>
      </c>
      <c r="CR706" s="316">
        <f t="shared" ca="1" si="306"/>
        <v>56.883753311036031</v>
      </c>
      <c r="CS706" s="317">
        <f t="shared" ca="1" si="273"/>
        <v>490.00000000000045</v>
      </c>
      <c r="CT706" s="309"/>
      <c r="CU706" s="309">
        <f t="shared" ca="1" si="274"/>
        <v>1000.0000000000002</v>
      </c>
      <c r="CV706" s="309" t="str">
        <f t="shared" ca="1" si="225"/>
        <v>OKAY</v>
      </c>
      <c r="CW706" s="309"/>
      <c r="CX706" s="315">
        <f>(SUM($AR706:$AS706))-((SUM($AR706:$AS706)*VLOOKUP($B706,Lifetime_morbidity_array!$A$30:$Y$48,4))+(SUM($AR706:$AS706)*VLOOKUP($B706,Lifetime_morbidity_array!$A$30:$Y$48,7))+(SUM($AR706:$AS706)*VLOOKUP($B706,Lifetime_morbidity_array!$A$30:$Y$48,10))+(SUM($AR706:$AS706)*VLOOKUP($B706,Lifetime_morbidity_array!$A$30:$Y$48,13)))</f>
        <v>193.87889101253842</v>
      </c>
      <c r="CY706" s="316">
        <f>(SUM($AT706:$AU706))-((SUM($AT706:$AU706)*(VLOOKUP($B706,Lifetime_morbidity_array!$A$30:$Y$48,3)))+(SUM($AT706:$AU706)*(VLOOKUP($B706,Lifetime_morbidity_array!$A$30:$Y$48,6)))+(SUM($AT706:$AU706)*(VLOOKUP($B706,Lifetime_morbidity_array!$A$30:$Y$48,9)))+(SUM($AT706:$AU706)*(VLOOKUP($B706,Lifetime_morbidity_array!$A$30:$Y$48,12))))</f>
        <v>79.502291651257181</v>
      </c>
      <c r="CZ706" s="316">
        <f>(SUM($AM706:$AQ706))-((SUM($AM706:$AQ706)*VLOOKUP($B706,Lifetime_morbidity_array!$A$30:$Y$48,2))+(SUM($AM706:$AQ706)*VLOOKUP($B706,Lifetime_morbidity_array!$A$30:$Y$48,5))+(SUM($AM706:$AQ706)*VLOOKUP($B706,Lifetime_morbidity_array!$A$30:$Y$48,8))+(SUM($AM706:$AQ706)*VLOOKUP($B706,Lifetime_morbidity_array!$A$30:$Y$48,11)))</f>
        <v>167.0633039741297</v>
      </c>
      <c r="DA706" s="316">
        <f>(SUM($AM706:$AQ706)*VLOOKUP($B706,Lifetime_morbidity_array!$A$30:$Y$48,2))+(SUM($AR706:$AS706)*VLOOKUP($B706,Lifetime_morbidity_array!$A$30:$Y$48,4))+(SUM($AT706:$AU706)*(VLOOKUP($B706,Lifetime_morbidity_array!$A$30:$Y$48,3)))</f>
        <v>3.5541123640331094</v>
      </c>
      <c r="DB706" s="316">
        <f>(SUM($AM706:$AQ706)*VLOOKUP($B706,Lifetime_morbidity_array!$A$30:$Y$48,5))+(SUM($AR706:$AS706)*VLOOKUP($B706,Lifetime_morbidity_array!$A$30:$Y$48,7))+(SUM($AT706:$AU706)*(VLOOKUP($B706,Lifetime_morbidity_array!$A$30:$Y$48,6)))</f>
        <v>1.3209125711493352</v>
      </c>
      <c r="DC706" s="316">
        <f>(SUM($AM706:$AQ706)*VLOOKUP($B706,Lifetime_morbidity_array!$A$30:$Y$48,8))+(SUM($AR706:$AS706)*VLOOKUP($B706,Lifetime_morbidity_array!$A$30:$Y$48,10))+(SUM($AT706:$AU706)*(VLOOKUP($B706,Lifetime_morbidity_array!$A$30:$Y$48,9)))</f>
        <v>1.4148777296682881E-2</v>
      </c>
      <c r="DD706" s="317">
        <f>(SUM($AM706:$AQ706)*VLOOKUP($B706,Lifetime_morbidity_array!$A$30:$Y$48,11))+(SUM($AR706:$AS706)*VLOOKUP($B706,Lifetime_morbidity_array!$A$30:$Y$48,13))+(SUM($AT706:$AU706)*(VLOOKUP($B706,Lifetime_morbidity_array!$A$30:$Y$48,12)))</f>
        <v>2.748569046699076</v>
      </c>
      <c r="DE706" s="309"/>
      <c r="DF706" s="315">
        <f ca="1">(SUM($CN706:$CO706))-((SUM($CN706:$CO706)*VLOOKUP($B706,Lifetime_morbidity_array!$A$6:$Y$24,4))+(SUM($CN706:$CO706)*VLOOKUP($B706,Lifetime_morbidity_array!$A$6:$Y$24,7))+(SUM($CN706:$CO706)*VLOOKUP($B706,Lifetime_morbidity_array!$A$6:$Y$24,10))+(SUM($CN706:$CO706)*VLOOKUP($B706,Lifetime_morbidity_array!$A$6:$Y$24,13)))</f>
        <v>146.02344033856295</v>
      </c>
      <c r="DG706" s="316">
        <f ca="1">(SUM($CP706:$CQ706))-(((SUM($CP706:$CQ706)*VLOOKUP($B706,Lifetime_morbidity_array!$A$6:$Y$24,3))+(SUM($CP706:$CQ706)*VLOOKUP($B706,Lifetime_morbidity_array!$A$6:$Y$24,6))+(SUM($CP706:$CQ706)*VLOOKUP($B706,Lifetime_morbidity_array!$A$6:$Y$24,9))+(SUM($CP706:$CQ706)*VLOOKUP($B706,Lifetime_morbidity_array!$A$6:$Y$24,12))))</f>
        <v>60.908821075616366</v>
      </c>
      <c r="DH706" s="316">
        <f ca="1">(SUM($CI706:$CM706))-((SUM($CI706:$CM706)*VLOOKUP($B706,Lifetime_morbidity_array!$A$6:$Y$24,2))+(SUM($CI706:$CM706)*VLOOKUP($B706,Lifetime_morbidity_array!$A$6:$Y$24,5))+(SUM($CI706:$CM706)*VLOOKUP($B706,Lifetime_morbidity_array!$A$6:$Y$24,8))+(SUM($CI706:$CM706)*VLOOKUP($B706,Lifetime_morbidity_array!$A$6:$Y$24,11)))</f>
        <v>221.20351100915605</v>
      </c>
      <c r="DI706" s="316">
        <f ca="1">(SUM($CI706:$CM706)*VLOOKUP($B706,Lifetime_morbidity_array!$A$6:$Y$24,2))+(SUM($CN706:$CO706)*VLOOKUP($B706,Lifetime_morbidity_array!$A$6:$Y$24,4))+(SUM($CP706:$CQ706)*VLOOKUP($B706,Lifetime_morbidity_array!$A$6:$Y$24,3))</f>
        <v>1.636697792271651</v>
      </c>
      <c r="DJ706" s="316">
        <f ca="1">(SUM($CI706:$CM706)*VLOOKUP($B706,Lifetime_morbidity_array!$A$6:$Y$24,5))+(SUM($CN706:$CO706)*VLOOKUP($B706,Lifetime_morbidity_array!$A$6:$Y$24,7))+(SUM($CP706:$CQ706)*VLOOKUP($B706,Lifetime_morbidity_array!$A$6:$Y$24,6))</f>
        <v>1.3125121507778237</v>
      </c>
      <c r="DK706" s="316">
        <f ca="1">(SUM($CI706:$CM706)*VLOOKUP($B706,Lifetime_morbidity_array!$A$6:$Y$24,8))+(SUM($CN706:$CO706)*VLOOKUP($B706,Lifetime_morbidity_array!$A$6:$Y$24,10))+(SUM($CP706:$CQ706)*VLOOKUP($B706,Lifetime_morbidity_array!$A$6:$Y$24,9))</f>
        <v>1.2703299858688786E-2</v>
      </c>
      <c r="DL706" s="317">
        <f ca="1">(SUM($CI706:$CM706)*VLOOKUP($B706,Lifetime_morbidity_array!$A$6:$Y$24,11))+(SUM($CN706:$CO706)*VLOOKUP($B706,Lifetime_morbidity_array!$A$6:$Y$24,13))+(SUM($CP706:$CQ706)*VLOOKUP($B706,Lifetime_morbidity_array!$A$6:$Y$24,12))</f>
        <v>2.0185610227208355</v>
      </c>
      <c r="DM706" s="309"/>
      <c r="DN706" s="308">
        <f t="shared" si="275"/>
        <v>40</v>
      </c>
      <c r="DO706" s="309">
        <f t="shared" ca="1" si="276"/>
        <v>222.56647407436719</v>
      </c>
      <c r="DP706" s="310">
        <f t="shared" ca="1" si="307"/>
        <v>18966.463078996159</v>
      </c>
      <c r="DQ706" s="309"/>
      <c r="DR706" s="308">
        <f t="shared" si="277"/>
        <v>40</v>
      </c>
      <c r="DS706" s="309">
        <f ca="1">((VLOOKUP($B706,'Mahawesran Tariff'!$A$21:$M$120,4)*'Comparator (DET)'!$CX706)+(VLOOKUP($B706,'Mahawesran Tariff'!$A$21:$M$120,3)*'Comparator (DET)'!$CY706)+(VLOOKUP($B706,'Mahawesran Tariff'!$A$21:$M$120,2)*'Comparator (DET)'!$CZ706)+(VLOOKUP($B706,'Mahawesran Tariff'!$A$21:$M$120,7)*'Comparator (DET)'!$DF706)+(VLOOKUP($B706,'Mahawesran Tariff'!$A$21:$M$120,6)*'Comparator (DET)'!$DG706)+(VLOOKUP($B706,'Mahawesran Tariff'!$A$21:$M$120,5)*'Comparator (DET)'!$DH706)+(DET_UTIL_chd*('Comparator (DET)'!$DA706+'Comparator (DET)'!$DI706))+(DET_UTIL_copd*('Comparator (DET)'!$DB706+'Comparator (DET)'!$DJ706))+(DET_UTIL_lc*('Comparator (DET)'!$DC706+'Comparator (DET)'!$DK706))+(DET_UTIL_stroke*('Comparator (DET)'!$DD706+'Comparator (DET)'!$DL706)))/((1+Discount_rate_QALYs)^$A706)</f>
        <v>218.37291487400526</v>
      </c>
      <c r="DT706" s="310">
        <f t="shared" ca="1" si="308"/>
        <v>18920.961680625413</v>
      </c>
      <c r="DU706" s="309"/>
      <c r="DV706" s="308">
        <f t="shared" si="278"/>
        <v>40</v>
      </c>
      <c r="DW706" s="318">
        <f t="shared" ca="1" si="279"/>
        <v>29194.233926905177</v>
      </c>
      <c r="DX706" s="319">
        <f t="shared" ca="1" si="309"/>
        <v>5794689.7092860593</v>
      </c>
      <c r="DZ706" s="95">
        <f t="shared" si="280"/>
        <v>40</v>
      </c>
      <c r="EA706" s="268">
        <f t="shared" ca="1" si="226"/>
        <v>0.88119847608606783</v>
      </c>
      <c r="EB706" s="268">
        <f t="shared" ca="1" si="227"/>
        <v>0.11880152391393235</v>
      </c>
      <c r="EC706" s="268">
        <f t="shared" ca="1" si="228"/>
        <v>1.2618217024807202E-2</v>
      </c>
      <c r="ED706" s="290">
        <f t="shared" ca="1" si="229"/>
        <v>0.49031960562018978</v>
      </c>
      <c r="EF706" s="95">
        <f t="shared" si="281"/>
        <v>40</v>
      </c>
      <c r="EG706" s="339">
        <f t="shared" ca="1" si="282"/>
        <v>29194.233926905177</v>
      </c>
      <c r="EH706" s="341">
        <f t="shared" ca="1" si="310"/>
        <v>8894821.6451421455</v>
      </c>
      <c r="EJ706" s="308">
        <f t="shared" si="283"/>
        <v>40</v>
      </c>
      <c r="EK706" s="318">
        <f t="shared" ca="1" si="284"/>
        <v>29194.233926905177</v>
      </c>
      <c r="EL706" s="319">
        <f t="shared" ca="1" si="311"/>
        <v>5794689.7092860593</v>
      </c>
      <c r="EN706" s="95">
        <f t="shared" si="285"/>
        <v>40</v>
      </c>
      <c r="EO706" s="339">
        <f t="shared" ca="1" si="286"/>
        <v>29194.233926905177</v>
      </c>
      <c r="EP706" s="341">
        <f t="shared" ca="1" si="312"/>
        <v>8894821.6451421455</v>
      </c>
    </row>
    <row r="707" spans="1:146" s="266" customFormat="1" x14ac:dyDescent="0.25">
      <c r="A707" s="313">
        <v>41</v>
      </c>
      <c r="B707" s="314">
        <v>41</v>
      </c>
      <c r="C707" s="308">
        <f>VLOOKUP($B707,'Infant adult mortality'!$A$27:$I$128,3)</f>
        <v>8.4749490835030552E-4</v>
      </c>
      <c r="D707" s="309">
        <f t="shared" si="230"/>
        <v>0.27</v>
      </c>
      <c r="E707" s="309">
        <f>VLOOKUP($B707,'Infant pick up smoking rates'!$A$19:$I$104,3)</f>
        <v>1.5201831243956284E-3</v>
      </c>
      <c r="F707" s="309">
        <f t="shared" si="231"/>
        <v>8.8475472874662252E-3</v>
      </c>
      <c r="G707" s="309">
        <f t="shared" si="232"/>
        <v>0.71878477467978785</v>
      </c>
      <c r="H707" s="309">
        <f>VLOOKUP($B707,'Infant adult mortality'!$A$27:$I$128,3)</f>
        <v>8.4749490835030552E-4</v>
      </c>
      <c r="I707" s="309">
        <f t="shared" si="233"/>
        <v>0.14000000000000001</v>
      </c>
      <c r="J707" s="309">
        <f>VLOOKUP($B707,'Infant pick up smoking rates'!$A$19:$I$104,2)</f>
        <v>1.5201831243956284E-3</v>
      </c>
      <c r="K707" s="309">
        <f t="shared" si="234"/>
        <v>8.8475472874662252E-3</v>
      </c>
      <c r="L707" s="309">
        <f t="shared" si="235"/>
        <v>0.84878477467978786</v>
      </c>
      <c r="M707" s="309">
        <f>VLOOKUP($B707,'Infant adult mortality'!$A$27:$I$128,3)</f>
        <v>8.4749490835030552E-4</v>
      </c>
      <c r="N707" s="309">
        <f t="shared" si="236"/>
        <v>0.5714285714285714</v>
      </c>
      <c r="O707" s="309">
        <f>VLOOKUP($B707,'Infant pick up smoking rates'!$A$19:$I$104,2)</f>
        <v>1.5201831243956284E-3</v>
      </c>
      <c r="P707" s="309">
        <f t="shared" si="237"/>
        <v>5.9485637081687819E-3</v>
      </c>
      <c r="Q707" s="309">
        <f t="shared" si="238"/>
        <v>0.42025518683051394</v>
      </c>
      <c r="R707" s="309">
        <f>VLOOKUP($B707,'Infant adult mortality'!$A$27:$I$128,3)</f>
        <v>8.4749490835030552E-4</v>
      </c>
      <c r="S707" s="309">
        <f t="shared" si="239"/>
        <v>8.6261668788331098E-3</v>
      </c>
      <c r="T707" s="309">
        <f>VLOOKUP($B707,'Infant pick up smoking rates'!$A$19:$I$104,2)</f>
        <v>1.5201831243956284E-3</v>
      </c>
      <c r="U707" s="309">
        <f t="shared" si="240"/>
        <v>5.9485637081687819E-3</v>
      </c>
      <c r="V707" s="309">
        <f t="shared" si="241"/>
        <v>0.98305759138025217</v>
      </c>
      <c r="W707" s="309">
        <f>VLOOKUP($B707,'Infant adult mortality'!$A$27:$I$128,3)</f>
        <v>8.4749490835030552E-4</v>
      </c>
      <c r="X707" s="309">
        <f>VLOOKUP($B707,'Infant pick up smoking rates'!$A$19:$I$104,2)</f>
        <v>1.5201831243956284E-3</v>
      </c>
      <c r="Y707" s="309">
        <f t="shared" si="242"/>
        <v>0.99763232196725404</v>
      </c>
      <c r="Z707" s="309">
        <f>VLOOKUP($B707,'Infant adult mortality'!$A$27:$I$128,5)</f>
        <v>1.4831160896130345E-3</v>
      </c>
      <c r="AA707" s="309">
        <f t="shared" si="243"/>
        <v>0.25</v>
      </c>
      <c r="AB707" s="309">
        <f t="shared" si="244"/>
        <v>0.74851688391038695</v>
      </c>
      <c r="AC707" s="309">
        <f>VLOOKUP($B707,'Infant adult mortality'!$A$27:$I$128,5)</f>
        <v>1.4831160896130345E-3</v>
      </c>
      <c r="AD707" s="309">
        <f t="shared" si="245"/>
        <v>0.14000000000000001</v>
      </c>
      <c r="AE707" s="309">
        <f t="shared" si="246"/>
        <v>0.85851688391038694</v>
      </c>
      <c r="AF707" s="309">
        <f>VLOOKUP($B707,'Infant adult mortality'!$A$27:$I$128,4)</f>
        <v>1.059368635437882E-3</v>
      </c>
      <c r="AG707" s="309">
        <f t="shared" si="247"/>
        <v>0.5714285714285714</v>
      </c>
      <c r="AH707" s="309">
        <f t="shared" si="248"/>
        <v>0.42751205993599073</v>
      </c>
      <c r="AI707" s="309">
        <f>VLOOKUP($B707,'Infant adult mortality'!$A$27:$I$128,4)</f>
        <v>1.059368635437882E-3</v>
      </c>
      <c r="AJ707" s="309">
        <f t="shared" si="249"/>
        <v>8.6261668788331098E-3</v>
      </c>
      <c r="AK707" s="309">
        <f t="shared" si="250"/>
        <v>0.99031446448572902</v>
      </c>
      <c r="AL707" s="309"/>
      <c r="AM707" s="315">
        <f t="shared" si="287"/>
        <v>59.1200174531429</v>
      </c>
      <c r="AN707" s="316">
        <f t="shared" si="288"/>
        <v>16.29416728118138</v>
      </c>
      <c r="AO707" s="316">
        <f t="shared" si="289"/>
        <v>2.3270978488630343</v>
      </c>
      <c r="AP707" s="316">
        <f t="shared" si="290"/>
        <v>73.891107937157813</v>
      </c>
      <c r="AQ707" s="316">
        <f t="shared" si="291"/>
        <v>16.394541462463849</v>
      </c>
      <c r="AR707" s="316">
        <f t="shared" si="292"/>
        <v>156.84282055260809</v>
      </c>
      <c r="AS707" s="316">
        <f t="shared" si="293"/>
        <v>39.726608604051577</v>
      </c>
      <c r="AT707" s="316">
        <f t="shared" si="294"/>
        <v>5.6351878731757692</v>
      </c>
      <c r="AU707" s="316">
        <f t="shared" si="295"/>
        <v>77.32728850670415</v>
      </c>
      <c r="AV707" s="316">
        <f t="shared" si="296"/>
        <v>62.441162480651229</v>
      </c>
      <c r="AW707" s="317">
        <f t="shared" si="251"/>
        <v>509.99999999999977</v>
      </c>
      <c r="AX707" s="309"/>
      <c r="AY707" s="308">
        <f>VLOOKUP($B707,'Infant adult mortality'!$A$134:$I$234,3)</f>
        <v>4.6533604887983709E-4</v>
      </c>
      <c r="AZ707" s="309">
        <f t="shared" si="252"/>
        <v>0.27</v>
      </c>
      <c r="BA707" s="309">
        <f ca="1">VLOOKUP($B707,'Infant pick up smoking rates'!$A$19:$I$104,7)</f>
        <v>3.9916955482353625E-3</v>
      </c>
      <c r="BB707" s="309">
        <f t="shared" si="253"/>
        <v>8.8475472874662252E-3</v>
      </c>
      <c r="BC707" s="309">
        <f t="shared" ca="1" si="254"/>
        <v>0.71669542111541862</v>
      </c>
      <c r="BD707" s="309">
        <f>VLOOKUP($B707,'Infant adult mortality'!$A$134:$I$234,3)</f>
        <v>4.6533604887983709E-4</v>
      </c>
      <c r="BE707" s="309">
        <f t="shared" si="255"/>
        <v>0.14000000000000001</v>
      </c>
      <c r="BF707" s="309">
        <f>VLOOKUP($B707,'Infant pick up smoking rates'!$A$19:$I$104,6)</f>
        <v>1.9288936901483743E-3</v>
      </c>
      <c r="BG707" s="309">
        <f t="shared" si="256"/>
        <v>8.8475472874662252E-3</v>
      </c>
      <c r="BH707" s="309">
        <f t="shared" si="257"/>
        <v>0.84875822297350556</v>
      </c>
      <c r="BI707" s="309">
        <f>VLOOKUP($B707,'Infant adult mortality'!$A$134:$I$234,3)</f>
        <v>4.6533604887983709E-4</v>
      </c>
      <c r="BJ707" s="309">
        <f t="shared" si="258"/>
        <v>0.5714285714285714</v>
      </c>
      <c r="BK707" s="309">
        <f>VLOOKUP($B707,'Infant pick up smoking rates'!$A$19:$I$104,6)</f>
        <v>1.9288936901483743E-3</v>
      </c>
      <c r="BL707" s="309">
        <f t="shared" si="259"/>
        <v>5.9485637081687819E-3</v>
      </c>
      <c r="BM707" s="309">
        <f t="shared" si="260"/>
        <v>0.42022863512423164</v>
      </c>
      <c r="BN707" s="309">
        <f>VLOOKUP($B707,'Infant adult mortality'!$A$134:$I$234,3)</f>
        <v>4.6533604887983709E-4</v>
      </c>
      <c r="BO707" s="309">
        <f t="shared" si="261"/>
        <v>8.6261668788331098E-3</v>
      </c>
      <c r="BP707" s="309">
        <f>VLOOKUP($B707,'Infant pick up smoking rates'!$A$19:$I$104,6)</f>
        <v>1.9288936901483743E-3</v>
      </c>
      <c r="BQ707" s="309">
        <f t="shared" si="262"/>
        <v>5.9485637081687819E-3</v>
      </c>
      <c r="BR707" s="309">
        <f t="shared" si="263"/>
        <v>0.98303103967396988</v>
      </c>
      <c r="BS707" s="309">
        <f>VLOOKUP($B707,'Infant adult mortality'!$A$134:$I$234,3)</f>
        <v>4.6533604887983709E-4</v>
      </c>
      <c r="BT707" s="309">
        <f>VLOOKUP($B707,'Infant pick up smoking rates'!$A$19:$I$104,6)</f>
        <v>1.9288936901483743E-3</v>
      </c>
      <c r="BU707" s="309">
        <f t="shared" si="264"/>
        <v>0.99760577026097175</v>
      </c>
      <c r="BV707" s="309">
        <f>VLOOKUP($B707,'Infant adult mortality'!$A$134:$I$234,5)</f>
        <v>8.1433808553971481E-4</v>
      </c>
      <c r="BW707" s="309">
        <f t="shared" si="265"/>
        <v>0.27</v>
      </c>
      <c r="BX707" s="309">
        <f t="shared" si="266"/>
        <v>0.72918566191446021</v>
      </c>
      <c r="BY707" s="309">
        <f>VLOOKUP($B707,'Infant adult mortality'!$A$134:$I$234,5)</f>
        <v>8.1433808553971481E-4</v>
      </c>
      <c r="BZ707" s="309">
        <f t="shared" si="267"/>
        <v>0.14000000000000001</v>
      </c>
      <c r="CA707" s="309">
        <f t="shared" si="268"/>
        <v>0.85918566191446022</v>
      </c>
      <c r="CB707" s="309">
        <f>VLOOKUP($B707,'Infant adult mortality'!$A$134:$I$234,4)</f>
        <v>5.816700610997964E-4</v>
      </c>
      <c r="CC707" s="309">
        <f t="shared" si="269"/>
        <v>0.5714285714285714</v>
      </c>
      <c r="CD707" s="309">
        <f t="shared" si="270"/>
        <v>0.42798975851032883</v>
      </c>
      <c r="CE707" s="309">
        <f>VLOOKUP($B707,'Infant adult mortality'!$A$134:$I$234,4)</f>
        <v>5.816700610997964E-4</v>
      </c>
      <c r="CF707" s="309">
        <f t="shared" si="271"/>
        <v>8.6261668788331098E-3</v>
      </c>
      <c r="CG707" s="309">
        <f t="shared" si="272"/>
        <v>0.99079216306006712</v>
      </c>
      <c r="CH707" s="309"/>
      <c r="CI707" s="315">
        <f t="shared" ca="1" si="297"/>
        <v>79.199471182765066</v>
      </c>
      <c r="CJ707" s="316">
        <f t="shared" ca="1" si="298"/>
        <v>21.871195044481912</v>
      </c>
      <c r="CK707" s="316">
        <f t="shared" ca="1" si="299"/>
        <v>3.1299049236177363</v>
      </c>
      <c r="CL707" s="316">
        <f t="shared" ca="1" si="300"/>
        <v>95.831340794781866</v>
      </c>
      <c r="CM707" s="316">
        <f t="shared" ca="1" si="301"/>
        <v>21.721548630720157</v>
      </c>
      <c r="CN707" s="316">
        <f t="shared" ca="1" si="302"/>
        <v>116.01102737458746</v>
      </c>
      <c r="CO707" s="316">
        <f t="shared" ca="1" si="303"/>
        <v>31.656518201146401</v>
      </c>
      <c r="CP707" s="316">
        <f t="shared" ca="1" si="304"/>
        <v>4.4796240101806921</v>
      </c>
      <c r="CQ707" s="316">
        <f t="shared" ca="1" si="305"/>
        <v>58.954840409979404</v>
      </c>
      <c r="CR707" s="316">
        <f t="shared" ca="1" si="306"/>
        <v>57.144529427739705</v>
      </c>
      <c r="CS707" s="317">
        <f t="shared" ca="1" si="273"/>
        <v>490.0000000000004</v>
      </c>
      <c r="CT707" s="309"/>
      <c r="CU707" s="309">
        <f t="shared" ca="1" si="274"/>
        <v>1000.0000000000002</v>
      </c>
      <c r="CV707" s="309" t="str">
        <f t="shared" ca="1" si="225"/>
        <v>OKAY</v>
      </c>
      <c r="CW707" s="309"/>
      <c r="CX707" s="315">
        <f>(SUM($AR707:$AS707))-((SUM($AR707:$AS707)*VLOOKUP($B707,Lifetime_morbidity_array!$A$30:$Y$48,4))+(SUM($AR707:$AS707)*VLOOKUP($B707,Lifetime_morbidity_array!$A$30:$Y$48,7))+(SUM($AR707:$AS707)*VLOOKUP($B707,Lifetime_morbidity_array!$A$30:$Y$48,10))+(SUM($AR707:$AS707)*VLOOKUP($B707,Lifetime_morbidity_array!$A$30:$Y$48,13)))</f>
        <v>191.35915065422168</v>
      </c>
      <c r="CY707" s="316">
        <f>(SUM($AT707:$AU707))-((SUM($AT707:$AU707)*(VLOOKUP($B707,Lifetime_morbidity_array!$A$30:$Y$48,3)))+(SUM($AT707:$AU707)*(VLOOKUP($B707,Lifetime_morbidity_array!$A$30:$Y$48,6)))+(SUM($AT707:$AU707)*(VLOOKUP($B707,Lifetime_morbidity_array!$A$30:$Y$48,9)))+(SUM($AT707:$AU707)*(VLOOKUP($B707,Lifetime_morbidity_array!$A$30:$Y$48,12))))</f>
        <v>81.935527582199526</v>
      </c>
      <c r="CZ707" s="316">
        <f>(SUM($AM707:$AQ707))-((SUM($AM707:$AQ707)*VLOOKUP($B707,Lifetime_morbidity_array!$A$30:$Y$48,2))+(SUM($AM707:$AQ707)*VLOOKUP($B707,Lifetime_morbidity_array!$A$30:$Y$48,5))+(SUM($AM707:$AQ707)*VLOOKUP($B707,Lifetime_morbidity_array!$A$30:$Y$48,8))+(SUM($AM707:$AQ707)*VLOOKUP($B707,Lifetime_morbidity_array!$A$30:$Y$48,11)))</f>
        <v>166.6677518592322</v>
      </c>
      <c r="DA707" s="316">
        <f>(SUM($AM707:$AQ707)*VLOOKUP($B707,Lifetime_morbidity_array!$A$30:$Y$48,2))+(SUM($AR707:$AS707)*VLOOKUP($B707,Lifetime_morbidity_array!$A$30:$Y$48,4))+(SUM($AT707:$AU707)*(VLOOKUP($B707,Lifetime_morbidity_array!$A$30:$Y$48,3)))</f>
        <v>3.5347399419004137</v>
      </c>
      <c r="DB707" s="316">
        <f>(SUM($AM707:$AQ707)*VLOOKUP($B707,Lifetime_morbidity_array!$A$30:$Y$48,5))+(SUM($AR707:$AS707)*VLOOKUP($B707,Lifetime_morbidity_array!$A$30:$Y$48,7))+(SUM($AT707:$AU707)*(VLOOKUP($B707,Lifetime_morbidity_array!$A$30:$Y$48,6)))</f>
        <v>1.3139745570301467</v>
      </c>
      <c r="DC707" s="316">
        <f>(SUM($AM707:$AQ707)*VLOOKUP($B707,Lifetime_morbidity_array!$A$30:$Y$48,8))+(SUM($AR707:$AS707)*VLOOKUP($B707,Lifetime_morbidity_array!$A$30:$Y$48,10))+(SUM($AT707:$AU707)*(VLOOKUP($B707,Lifetime_morbidity_array!$A$30:$Y$48,9)))</f>
        <v>1.4037108332978877E-2</v>
      </c>
      <c r="DD707" s="317">
        <f>(SUM($AM707:$AQ707)*VLOOKUP($B707,Lifetime_morbidity_array!$A$30:$Y$48,11))+(SUM($AR707:$AS707)*VLOOKUP($B707,Lifetime_morbidity_array!$A$30:$Y$48,13))+(SUM($AT707:$AU707)*(VLOOKUP($B707,Lifetime_morbidity_array!$A$30:$Y$48,12)))</f>
        <v>2.73365581643163</v>
      </c>
      <c r="DE707" s="309"/>
      <c r="DF707" s="315">
        <f ca="1">(SUM($CN707:$CO707))-((SUM($CN707:$CO707)*VLOOKUP($B707,Lifetime_morbidity_array!$A$6:$Y$24,4))+(SUM($CN707:$CO707)*VLOOKUP($B707,Lifetime_morbidity_array!$A$6:$Y$24,7))+(SUM($CN707:$CO707)*VLOOKUP($B707,Lifetime_morbidity_array!$A$6:$Y$24,10))+(SUM($CN707:$CO707)*VLOOKUP($B707,Lifetime_morbidity_array!$A$6:$Y$24,13)))</f>
        <v>144.48131613138801</v>
      </c>
      <c r="DG707" s="316">
        <f ca="1">(SUM($CP707:$CQ707))-(((SUM($CP707:$CQ707)*VLOOKUP($B707,Lifetime_morbidity_array!$A$6:$Y$24,3))+(SUM($CP707:$CQ707)*VLOOKUP($B707,Lifetime_morbidity_array!$A$6:$Y$24,6))+(SUM($CP707:$CQ707)*VLOOKUP($B707,Lifetime_morbidity_array!$A$6:$Y$24,9))+(SUM($CP707:$CQ707)*VLOOKUP($B707,Lifetime_morbidity_array!$A$6:$Y$24,12))))</f>
        <v>62.907126096777866</v>
      </c>
      <c r="DH707" s="316">
        <f ca="1">(SUM($CI707:$CM707))-((SUM($CI707:$CM707)*VLOOKUP($B707,Lifetime_morbidity_array!$A$6:$Y$24,2))+(SUM($CI707:$CM707)*VLOOKUP($B707,Lifetime_morbidity_array!$A$6:$Y$24,5))+(SUM($CI707:$CM707)*VLOOKUP($B707,Lifetime_morbidity_array!$A$6:$Y$24,8))+(SUM($CI707:$CM707)*VLOOKUP($B707,Lifetime_morbidity_array!$A$6:$Y$24,11)))</f>
        <v>220.50774158056532</v>
      </c>
      <c r="DI707" s="316">
        <f ca="1">(SUM($CI707:$CM707)*VLOOKUP($B707,Lifetime_morbidity_array!$A$6:$Y$24,2))+(SUM($CN707:$CO707)*VLOOKUP($B707,Lifetime_morbidity_array!$A$6:$Y$24,4))+(SUM($CP707:$CQ707)*VLOOKUP($B707,Lifetime_morbidity_array!$A$6:$Y$24,3))</f>
        <v>1.6306784480610996</v>
      </c>
      <c r="DJ707" s="316">
        <f ca="1">(SUM($CI707:$CM707)*VLOOKUP($B707,Lifetime_morbidity_array!$A$6:$Y$24,5))+(SUM($CN707:$CO707)*VLOOKUP($B707,Lifetime_morbidity_array!$A$6:$Y$24,7))+(SUM($CP707:$CQ707)*VLOOKUP($B707,Lifetime_morbidity_array!$A$6:$Y$24,6))</f>
        <v>1.3053136539406549</v>
      </c>
      <c r="DK707" s="316">
        <f ca="1">(SUM($CI707:$CM707)*VLOOKUP($B707,Lifetime_morbidity_array!$A$6:$Y$24,8))+(SUM($CN707:$CO707)*VLOOKUP($B707,Lifetime_morbidity_array!$A$6:$Y$24,10))+(SUM($CP707:$CQ707)*VLOOKUP($B707,Lifetime_morbidity_array!$A$6:$Y$24,9))</f>
        <v>1.2615686342790398E-2</v>
      </c>
      <c r="DL707" s="317">
        <f ca="1">(SUM($CI707:$CM707)*VLOOKUP($B707,Lifetime_morbidity_array!$A$6:$Y$24,11))+(SUM($CN707:$CO707)*VLOOKUP($B707,Lifetime_morbidity_array!$A$6:$Y$24,13))+(SUM($CP707:$CQ707)*VLOOKUP($B707,Lifetime_morbidity_array!$A$6:$Y$24,12))</f>
        <v>2.0106789751849394</v>
      </c>
      <c r="DM707" s="309"/>
      <c r="DN707" s="308">
        <f t="shared" si="275"/>
        <v>41</v>
      </c>
      <c r="DO707" s="309">
        <f t="shared" ca="1" si="276"/>
        <v>214.84870997925373</v>
      </c>
      <c r="DP707" s="310">
        <f t="shared" ca="1" si="307"/>
        <v>19181.311788975414</v>
      </c>
      <c r="DQ707" s="309"/>
      <c r="DR707" s="308">
        <f t="shared" si="277"/>
        <v>41</v>
      </c>
      <c r="DS707" s="309">
        <f ca="1">((VLOOKUP($B707,'Mahawesran Tariff'!$A$21:$M$120,4)*'Comparator (DET)'!$CX707)+(VLOOKUP($B707,'Mahawesran Tariff'!$A$21:$M$120,3)*'Comparator (DET)'!$CY707)+(VLOOKUP($B707,'Mahawesran Tariff'!$A$21:$M$120,2)*'Comparator (DET)'!$CZ707)+(VLOOKUP($B707,'Mahawesran Tariff'!$A$21:$M$120,7)*'Comparator (DET)'!$DF707)+(VLOOKUP($B707,'Mahawesran Tariff'!$A$21:$M$120,6)*'Comparator (DET)'!$DG707)+(VLOOKUP($B707,'Mahawesran Tariff'!$A$21:$M$120,5)*'Comparator (DET)'!$DH707)+(DET_UTIL_chd*('Comparator (DET)'!$DA707+'Comparator (DET)'!$DI707))+(DET_UTIL_copd*('Comparator (DET)'!$DB707+'Comparator (DET)'!$DJ707))+(DET_UTIL_lc*('Comparator (DET)'!$DC707+'Comparator (DET)'!$DK707))+(DET_UTIL_stroke*('Comparator (DET)'!$DD707+'Comparator (DET)'!$DL707)))/((1+Discount_rate_QALYs)^$A707)</f>
        <v>210.81445356930283</v>
      </c>
      <c r="DT707" s="310">
        <f t="shared" ca="1" si="308"/>
        <v>19131.776134194715</v>
      </c>
      <c r="DU707" s="309"/>
      <c r="DV707" s="308">
        <f t="shared" si="278"/>
        <v>41</v>
      </c>
      <c r="DW707" s="318">
        <f t="shared" ca="1" si="279"/>
        <v>28071.371044210129</v>
      </c>
      <c r="DX707" s="319">
        <f t="shared" ca="1" si="309"/>
        <v>5822761.0803302694</v>
      </c>
      <c r="DZ707" s="95">
        <f t="shared" si="280"/>
        <v>41</v>
      </c>
      <c r="EA707" s="268">
        <f t="shared" ca="1" si="226"/>
        <v>0.88041430809160925</v>
      </c>
      <c r="EB707" s="268">
        <f t="shared" ca="1" si="227"/>
        <v>0.11958569190839094</v>
      </c>
      <c r="EC707" s="268">
        <f t="shared" ca="1" si="228"/>
        <v>1.2555694187224653E-2</v>
      </c>
      <c r="ED707" s="290">
        <f t="shared" ca="1" si="229"/>
        <v>0.49063391553243357</v>
      </c>
      <c r="EF707" s="95">
        <f t="shared" si="281"/>
        <v>41</v>
      </c>
      <c r="EG707" s="339">
        <f t="shared" ca="1" si="282"/>
        <v>28071.371044210129</v>
      </c>
      <c r="EH707" s="341">
        <f t="shared" ca="1" si="310"/>
        <v>8922893.0161863547</v>
      </c>
      <c r="EJ707" s="308">
        <f t="shared" si="283"/>
        <v>41</v>
      </c>
      <c r="EK707" s="318">
        <f t="shared" ca="1" si="284"/>
        <v>28071.371044210129</v>
      </c>
      <c r="EL707" s="319">
        <f t="shared" ca="1" si="311"/>
        <v>5822761.0803302694</v>
      </c>
      <c r="EN707" s="95">
        <f t="shared" si="285"/>
        <v>41</v>
      </c>
      <c r="EO707" s="339">
        <f t="shared" ca="1" si="286"/>
        <v>28071.371044210129</v>
      </c>
      <c r="EP707" s="341">
        <f t="shared" ca="1" si="312"/>
        <v>8922893.0161863547</v>
      </c>
    </row>
    <row r="708" spans="1:146" s="266" customFormat="1" x14ac:dyDescent="0.25">
      <c r="A708" s="313">
        <v>42</v>
      </c>
      <c r="B708" s="314">
        <v>42</v>
      </c>
      <c r="C708" s="308">
        <f>VLOOKUP($B708,'Infant adult mortality'!$A$27:$I$128,3)</f>
        <v>9.0281059063136444E-4</v>
      </c>
      <c r="D708" s="309">
        <f t="shared" si="230"/>
        <v>0.27</v>
      </c>
      <c r="E708" s="309">
        <f>VLOOKUP($B708,'Infant pick up smoking rates'!$A$19:$I$104,3)</f>
        <v>1.5201831243956284E-3</v>
      </c>
      <c r="F708" s="309">
        <f t="shared" si="231"/>
        <v>9.6556294602646725E-3</v>
      </c>
      <c r="G708" s="309">
        <f t="shared" si="232"/>
        <v>0.71792137682470836</v>
      </c>
      <c r="H708" s="309">
        <f>VLOOKUP($B708,'Infant adult mortality'!$A$27:$I$128,3)</f>
        <v>9.0281059063136444E-4</v>
      </c>
      <c r="I708" s="309">
        <f t="shared" si="233"/>
        <v>0.14000000000000001</v>
      </c>
      <c r="J708" s="309">
        <f>VLOOKUP($B708,'Infant pick up smoking rates'!$A$19:$I$104,2)</f>
        <v>1.5201831243956284E-3</v>
      </c>
      <c r="K708" s="309">
        <f t="shared" si="234"/>
        <v>9.6556294602646725E-3</v>
      </c>
      <c r="L708" s="309">
        <f t="shared" si="235"/>
        <v>0.84792137682470836</v>
      </c>
      <c r="M708" s="309">
        <f>VLOOKUP($B708,'Infant adult mortality'!$A$27:$I$128,3)</f>
        <v>9.0281059063136444E-4</v>
      </c>
      <c r="N708" s="309">
        <f t="shared" si="236"/>
        <v>0.5714285714285714</v>
      </c>
      <c r="O708" s="309">
        <f>VLOOKUP($B708,'Infant pick up smoking rates'!$A$19:$I$104,2)</f>
        <v>1.5201831243956284E-3</v>
      </c>
      <c r="P708" s="309">
        <f t="shared" si="237"/>
        <v>6.4918700200928435E-3</v>
      </c>
      <c r="Q708" s="309">
        <f t="shared" si="238"/>
        <v>0.41965656483630875</v>
      </c>
      <c r="R708" s="309">
        <f>VLOOKUP($B708,'Infant adult mortality'!$A$27:$I$128,3)</f>
        <v>9.0281059063136444E-4</v>
      </c>
      <c r="S708" s="309">
        <f t="shared" si="239"/>
        <v>8.6261668788331098E-3</v>
      </c>
      <c r="T708" s="309">
        <f>VLOOKUP($B708,'Infant pick up smoking rates'!$A$19:$I$104,2)</f>
        <v>1.5201831243956284E-3</v>
      </c>
      <c r="U708" s="309">
        <f t="shared" si="240"/>
        <v>6.4918700200928435E-3</v>
      </c>
      <c r="V708" s="309">
        <f t="shared" si="241"/>
        <v>0.98245896938604704</v>
      </c>
      <c r="W708" s="309">
        <f>VLOOKUP($B708,'Infant adult mortality'!$A$27:$I$128,3)</f>
        <v>9.0281059063136444E-4</v>
      </c>
      <c r="X708" s="309">
        <f>VLOOKUP($B708,'Infant pick up smoking rates'!$A$19:$I$104,2)</f>
        <v>1.5201831243956284E-3</v>
      </c>
      <c r="Y708" s="309">
        <f t="shared" si="242"/>
        <v>0.99757700628497303</v>
      </c>
      <c r="Z708" s="309">
        <f>VLOOKUP($B708,'Infant adult mortality'!$A$27:$I$128,5)</f>
        <v>1.5799185336048875E-3</v>
      </c>
      <c r="AA708" s="309">
        <f t="shared" si="243"/>
        <v>0.25</v>
      </c>
      <c r="AB708" s="309">
        <f t="shared" si="244"/>
        <v>0.74842008146639516</v>
      </c>
      <c r="AC708" s="309">
        <f>VLOOKUP($B708,'Infant adult mortality'!$A$27:$I$128,5)</f>
        <v>1.5799185336048875E-3</v>
      </c>
      <c r="AD708" s="309">
        <f t="shared" si="245"/>
        <v>0.14000000000000001</v>
      </c>
      <c r="AE708" s="309">
        <f t="shared" si="246"/>
        <v>0.85842008146639515</v>
      </c>
      <c r="AF708" s="309">
        <f>VLOOKUP($B708,'Infant adult mortality'!$A$27:$I$128,4)</f>
        <v>1.1285132382892055E-3</v>
      </c>
      <c r="AG708" s="309">
        <f t="shared" si="247"/>
        <v>0.5714285714285714</v>
      </c>
      <c r="AH708" s="309">
        <f t="shared" si="248"/>
        <v>0.42744291533313938</v>
      </c>
      <c r="AI708" s="309">
        <f>VLOOKUP($B708,'Infant adult mortality'!$A$27:$I$128,4)</f>
        <v>1.1285132382892055E-3</v>
      </c>
      <c r="AJ708" s="309">
        <f t="shared" si="249"/>
        <v>8.6261668788331098E-3</v>
      </c>
      <c r="AK708" s="309">
        <f t="shared" si="250"/>
        <v>0.99024531988287767</v>
      </c>
      <c r="AL708" s="309"/>
      <c r="AM708" s="315">
        <f t="shared" si="287"/>
        <v>57.873676000352184</v>
      </c>
      <c r="AN708" s="316">
        <f t="shared" si="288"/>
        <v>15.962404712348585</v>
      </c>
      <c r="AO708" s="316">
        <f t="shared" si="289"/>
        <v>2.2811834193653935</v>
      </c>
      <c r="AP708" s="316">
        <f t="shared" si="290"/>
        <v>73.924751950083532</v>
      </c>
      <c r="AQ708" s="316">
        <f t="shared" si="291"/>
        <v>17.577787700509671</v>
      </c>
      <c r="AR708" s="316">
        <f t="shared" si="292"/>
        <v>154.81762606402663</v>
      </c>
      <c r="AS708" s="316">
        <f t="shared" si="293"/>
        <v>39.210705138152022</v>
      </c>
      <c r="AT708" s="316">
        <f t="shared" si="294"/>
        <v>5.561725204567221</v>
      </c>
      <c r="AU708" s="316">
        <f t="shared" si="295"/>
        <v>79.79309289909726</v>
      </c>
      <c r="AV708" s="316">
        <f t="shared" si="296"/>
        <v>62.9970469114973</v>
      </c>
      <c r="AW708" s="317">
        <f t="shared" si="251"/>
        <v>509.99999999999977</v>
      </c>
      <c r="AX708" s="309"/>
      <c r="AY708" s="308">
        <f>VLOOKUP($B708,'Infant adult mortality'!$A$134:$I$234,3)</f>
        <v>4.8716904276985745E-4</v>
      </c>
      <c r="AZ708" s="309">
        <f t="shared" si="252"/>
        <v>0.27</v>
      </c>
      <c r="BA708" s="309">
        <f ca="1">VLOOKUP($B708,'Infant pick up smoking rates'!$A$19:$I$104,7)</f>
        <v>3.9916955482353625E-3</v>
      </c>
      <c r="BB708" s="309">
        <f t="shared" si="253"/>
        <v>9.6556294602646725E-3</v>
      </c>
      <c r="BC708" s="309">
        <f t="shared" ca="1" si="254"/>
        <v>0.71586550594873011</v>
      </c>
      <c r="BD708" s="309">
        <f>VLOOKUP($B708,'Infant adult mortality'!$A$134:$I$234,3)</f>
        <v>4.8716904276985745E-4</v>
      </c>
      <c r="BE708" s="309">
        <f t="shared" si="255"/>
        <v>0.14000000000000001</v>
      </c>
      <c r="BF708" s="309">
        <f>VLOOKUP($B708,'Infant pick up smoking rates'!$A$19:$I$104,6)</f>
        <v>1.9288936901483743E-3</v>
      </c>
      <c r="BG708" s="309">
        <f t="shared" si="256"/>
        <v>9.6556294602646725E-3</v>
      </c>
      <c r="BH708" s="309">
        <f t="shared" si="257"/>
        <v>0.84792830780681705</v>
      </c>
      <c r="BI708" s="309">
        <f>VLOOKUP($B708,'Infant adult mortality'!$A$134:$I$234,3)</f>
        <v>4.8716904276985745E-4</v>
      </c>
      <c r="BJ708" s="309">
        <f t="shared" si="258"/>
        <v>0.5714285714285714</v>
      </c>
      <c r="BK708" s="309">
        <f>VLOOKUP($B708,'Infant pick up smoking rates'!$A$19:$I$104,6)</f>
        <v>1.9288936901483743E-3</v>
      </c>
      <c r="BL708" s="309">
        <f t="shared" si="259"/>
        <v>6.4918700200928435E-3</v>
      </c>
      <c r="BM708" s="309">
        <f t="shared" si="260"/>
        <v>0.4196634958184175</v>
      </c>
      <c r="BN708" s="309">
        <f>VLOOKUP($B708,'Infant adult mortality'!$A$134:$I$234,3)</f>
        <v>4.8716904276985745E-4</v>
      </c>
      <c r="BO708" s="309">
        <f t="shared" si="261"/>
        <v>8.6261668788331098E-3</v>
      </c>
      <c r="BP708" s="309">
        <f>VLOOKUP($B708,'Infant pick up smoking rates'!$A$19:$I$104,6)</f>
        <v>1.9288936901483743E-3</v>
      </c>
      <c r="BQ708" s="309">
        <f t="shared" si="262"/>
        <v>6.4918700200928435E-3</v>
      </c>
      <c r="BR708" s="309">
        <f t="shared" si="263"/>
        <v>0.98246590036815573</v>
      </c>
      <c r="BS708" s="309">
        <f>VLOOKUP($B708,'Infant adult mortality'!$A$134:$I$234,3)</f>
        <v>4.8716904276985745E-4</v>
      </c>
      <c r="BT708" s="309">
        <f>VLOOKUP($B708,'Infant pick up smoking rates'!$A$19:$I$104,6)</f>
        <v>1.9288936901483743E-3</v>
      </c>
      <c r="BU708" s="309">
        <f t="shared" si="264"/>
        <v>0.99758393726708172</v>
      </c>
      <c r="BV708" s="309">
        <f>VLOOKUP($B708,'Infant adult mortality'!$A$134:$I$234,5)</f>
        <v>8.5254582484725042E-4</v>
      </c>
      <c r="BW708" s="309">
        <f t="shared" si="265"/>
        <v>0.27</v>
      </c>
      <c r="BX708" s="309">
        <f t="shared" si="266"/>
        <v>0.7291474541751527</v>
      </c>
      <c r="BY708" s="309">
        <f>VLOOKUP($B708,'Infant adult mortality'!$A$134:$I$234,5)</f>
        <v>8.5254582484725042E-4</v>
      </c>
      <c r="BZ708" s="309">
        <f t="shared" si="267"/>
        <v>0.14000000000000001</v>
      </c>
      <c r="CA708" s="309">
        <f t="shared" si="268"/>
        <v>0.8591474541751527</v>
      </c>
      <c r="CB708" s="309">
        <f>VLOOKUP($B708,'Infant adult mortality'!$A$134:$I$234,4)</f>
        <v>6.0896130346232177E-4</v>
      </c>
      <c r="CC708" s="309">
        <f t="shared" si="269"/>
        <v>0.5714285714285714</v>
      </c>
      <c r="CD708" s="309">
        <f t="shared" si="270"/>
        <v>0.42796246726796627</v>
      </c>
      <c r="CE708" s="309">
        <f>VLOOKUP($B708,'Infant adult mortality'!$A$134:$I$234,4)</f>
        <v>6.0896130346232177E-4</v>
      </c>
      <c r="CF708" s="309">
        <f t="shared" si="271"/>
        <v>8.6261668788331098E-3</v>
      </c>
      <c r="CG708" s="309">
        <f t="shared" si="272"/>
        <v>0.99076487181770456</v>
      </c>
      <c r="CH708" s="309"/>
      <c r="CI708" s="315">
        <f t="shared" ca="1" si="297"/>
        <v>77.381538892645182</v>
      </c>
      <c r="CJ708" s="316">
        <f t="shared" ca="1" si="298"/>
        <v>21.38385721934657</v>
      </c>
      <c r="CK708" s="316">
        <f t="shared" ca="1" si="299"/>
        <v>3.0619673062274679</v>
      </c>
      <c r="CL708" s="316">
        <f t="shared" ca="1" si="300"/>
        <v>95.939541616643083</v>
      </c>
      <c r="CM708" s="316">
        <f t="shared" ca="1" si="301"/>
        <v>23.287412453194907</v>
      </c>
      <c r="CN708" s="316">
        <f t="shared" ca="1" si="302"/>
        <v>114.80353918969955</v>
      </c>
      <c r="CO708" s="316">
        <f t="shared" ca="1" si="303"/>
        <v>31.322977391138615</v>
      </c>
      <c r="CP708" s="316">
        <f t="shared" ca="1" si="304"/>
        <v>4.4319125481604962</v>
      </c>
      <c r="CQ708" s="316">
        <f t="shared" ca="1" si="305"/>
        <v>60.970170050501153</v>
      </c>
      <c r="CR708" s="316">
        <f t="shared" ca="1" si="306"/>
        <v>57.417083332443376</v>
      </c>
      <c r="CS708" s="317">
        <f t="shared" ca="1" si="273"/>
        <v>490.00000000000045</v>
      </c>
      <c r="CT708" s="309"/>
      <c r="CU708" s="309">
        <f t="shared" ca="1" si="274"/>
        <v>1000.0000000000002</v>
      </c>
      <c r="CV708" s="309" t="str">
        <f t="shared" ca="1" si="225"/>
        <v>OKAY</v>
      </c>
      <c r="CW708" s="309"/>
      <c r="CX708" s="315">
        <f>(SUM($AR708:$AS708))-((SUM($AR708:$AS708)*VLOOKUP($B708,Lifetime_morbidity_array!$A$30:$Y$48,4))+(SUM($AR708:$AS708)*VLOOKUP($B708,Lifetime_morbidity_array!$A$30:$Y$48,7))+(SUM($AR708:$AS708)*VLOOKUP($B708,Lifetime_morbidity_array!$A$30:$Y$48,10))+(SUM($AR708:$AS708)*VLOOKUP($B708,Lifetime_morbidity_array!$A$30:$Y$48,13)))</f>
        <v>188.88540716122344</v>
      </c>
      <c r="CY708" s="316">
        <f>(SUM($AT708:$AU708))-((SUM($AT708:$AU708)*(VLOOKUP($B708,Lifetime_morbidity_array!$A$30:$Y$48,3)))+(SUM($AT708:$AU708)*(VLOOKUP($B708,Lifetime_morbidity_array!$A$30:$Y$48,6)))+(SUM($AT708:$AU708)*(VLOOKUP($B708,Lifetime_morbidity_array!$A$30:$Y$48,9)))+(SUM($AT708:$AU708)*(VLOOKUP($B708,Lifetime_morbidity_array!$A$30:$Y$48,12))))</f>
        <v>84.298255767863182</v>
      </c>
      <c r="CZ708" s="316">
        <f>(SUM($AM708:$AQ708))-((SUM($AM708:$AQ708)*VLOOKUP($B708,Lifetime_morbidity_array!$A$30:$Y$48,2))+(SUM($AM708:$AQ708)*VLOOKUP($B708,Lifetime_morbidity_array!$A$30:$Y$48,5))+(SUM($AM708:$AQ708)*VLOOKUP($B708,Lifetime_morbidity_array!$A$30:$Y$48,8))+(SUM($AM708:$AQ708)*VLOOKUP($B708,Lifetime_morbidity_array!$A$30:$Y$48,11)))</f>
        <v>166.26391694397961</v>
      </c>
      <c r="DA708" s="316">
        <f>(SUM($AM708:$AQ708)*VLOOKUP($B708,Lifetime_morbidity_array!$A$30:$Y$48,2))+(SUM($AR708:$AS708)*VLOOKUP($B708,Lifetime_morbidity_array!$A$30:$Y$48,4))+(SUM($AT708:$AU708)*(VLOOKUP($B708,Lifetime_morbidity_array!$A$30:$Y$48,3)))</f>
        <v>3.5155122689174991</v>
      </c>
      <c r="DB708" s="316">
        <f>(SUM($AM708:$AQ708)*VLOOKUP($B708,Lifetime_morbidity_array!$A$30:$Y$48,5))+(SUM($AR708:$AS708)*VLOOKUP($B708,Lifetime_morbidity_array!$A$30:$Y$48,7))+(SUM($AT708:$AU708)*(VLOOKUP($B708,Lifetime_morbidity_array!$A$30:$Y$48,6)))</f>
        <v>1.3070839031059098</v>
      </c>
      <c r="DC708" s="316">
        <f>(SUM($AM708:$AQ708)*VLOOKUP($B708,Lifetime_morbidity_array!$A$30:$Y$48,8))+(SUM($AR708:$AS708)*VLOOKUP($B708,Lifetime_morbidity_array!$A$30:$Y$48,10))+(SUM($AT708:$AU708)*(VLOOKUP($B708,Lifetime_morbidity_array!$A$30:$Y$48,9)))</f>
        <v>1.3926925289214553E-2</v>
      </c>
      <c r="DD708" s="317">
        <f>(SUM($AM708:$AQ708)*VLOOKUP($B708,Lifetime_morbidity_array!$A$30:$Y$48,11))+(SUM($AR708:$AS708)*VLOOKUP($B708,Lifetime_morbidity_array!$A$30:$Y$48,13))+(SUM($AT708:$AU708)*(VLOOKUP($B708,Lifetime_morbidity_array!$A$30:$Y$48,12)))</f>
        <v>2.718850118123679</v>
      </c>
      <c r="DE708" s="309"/>
      <c r="DF708" s="315">
        <f ca="1">(SUM($CN708:$CO708))-((SUM($CN708:$CO708)*VLOOKUP($B708,Lifetime_morbidity_array!$A$6:$Y$24,4))+(SUM($CN708:$CO708)*VLOOKUP($B708,Lifetime_morbidity_array!$A$6:$Y$24,7))+(SUM($CN708:$CO708)*VLOOKUP($B708,Lifetime_morbidity_array!$A$6:$Y$24,10))+(SUM($CN708:$CO708)*VLOOKUP($B708,Lifetime_morbidity_array!$A$6:$Y$24,13)))</f>
        <v>142.97353799021909</v>
      </c>
      <c r="DG708" s="316">
        <f ca="1">(SUM($CP708:$CQ708))-(((SUM($CP708:$CQ708)*VLOOKUP($B708,Lifetime_morbidity_array!$A$6:$Y$24,3))+(SUM($CP708:$CQ708)*VLOOKUP($B708,Lifetime_morbidity_array!$A$6:$Y$24,6))+(SUM($CP708:$CQ708)*VLOOKUP($B708,Lifetime_morbidity_array!$A$6:$Y$24,9))+(SUM($CP708:$CQ708)*VLOOKUP($B708,Lifetime_morbidity_array!$A$6:$Y$24,12))))</f>
        <v>64.85838722898302</v>
      </c>
      <c r="DH708" s="316">
        <f ca="1">(SUM($CI708:$CM708))-((SUM($CI708:$CM708)*VLOOKUP($B708,Lifetime_morbidity_array!$A$6:$Y$24,2))+(SUM($CI708:$CM708)*VLOOKUP($B708,Lifetime_morbidity_array!$A$6:$Y$24,5))+(SUM($CI708:$CM708)*VLOOKUP($B708,Lifetime_morbidity_array!$A$6:$Y$24,8))+(SUM($CI708:$CM708)*VLOOKUP($B708,Lifetime_morbidity_array!$A$6:$Y$24,11)))</f>
        <v>219.81252598824</v>
      </c>
      <c r="DI708" s="316">
        <f ca="1">(SUM($CI708:$CM708)*VLOOKUP($B708,Lifetime_morbidity_array!$A$6:$Y$24,2))+(SUM($CN708:$CO708)*VLOOKUP($B708,Lifetime_morbidity_array!$A$6:$Y$24,4))+(SUM($CP708:$CQ708)*VLOOKUP($B708,Lifetime_morbidity_array!$A$6:$Y$24,3))</f>
        <v>1.6247623909707645</v>
      </c>
      <c r="DJ708" s="316">
        <f ca="1">(SUM($CI708:$CM708)*VLOOKUP($B708,Lifetime_morbidity_array!$A$6:$Y$24,5))+(SUM($CN708:$CO708)*VLOOKUP($B708,Lifetime_morbidity_array!$A$6:$Y$24,7))+(SUM($CP708:$CQ708)*VLOOKUP($B708,Lifetime_morbidity_array!$A$6:$Y$24,6))</f>
        <v>1.2982554642989734</v>
      </c>
      <c r="DK708" s="316">
        <f ca="1">(SUM($CI708:$CM708)*VLOOKUP($B708,Lifetime_morbidity_array!$A$6:$Y$24,8))+(SUM($CN708:$CO708)*VLOOKUP($B708,Lifetime_morbidity_array!$A$6:$Y$24,10))+(SUM($CP708:$CQ708)*VLOOKUP($B708,Lifetime_morbidity_array!$A$6:$Y$24,9))</f>
        <v>1.25299073695051E-2</v>
      </c>
      <c r="DL708" s="317">
        <f ca="1">(SUM($CI708:$CM708)*VLOOKUP($B708,Lifetime_morbidity_array!$A$6:$Y$24,11))+(SUM($CN708:$CO708)*VLOOKUP($B708,Lifetime_morbidity_array!$A$6:$Y$24,13))+(SUM($CP708:$CQ708)*VLOOKUP($B708,Lifetime_morbidity_array!$A$6:$Y$24,12))</f>
        <v>2.0029176974757066</v>
      </c>
      <c r="DM708" s="309"/>
      <c r="DN708" s="308">
        <f t="shared" si="275"/>
        <v>42</v>
      </c>
      <c r="DO708" s="309">
        <f t="shared" ca="1" si="276"/>
        <v>207.38796621939449</v>
      </c>
      <c r="DP708" s="310">
        <f t="shared" ca="1" si="307"/>
        <v>19388.699755194808</v>
      </c>
      <c r="DQ708" s="309"/>
      <c r="DR708" s="308">
        <f t="shared" si="277"/>
        <v>42</v>
      </c>
      <c r="DS708" s="309">
        <f ca="1">((VLOOKUP($B708,'Mahawesran Tariff'!$A$21:$M$120,4)*'Comparator (DET)'!$CX708)+(VLOOKUP($B708,'Mahawesran Tariff'!$A$21:$M$120,3)*'Comparator (DET)'!$CY708)+(VLOOKUP($B708,'Mahawesran Tariff'!$A$21:$M$120,2)*'Comparator (DET)'!$CZ708)+(VLOOKUP($B708,'Mahawesran Tariff'!$A$21:$M$120,7)*'Comparator (DET)'!$DF708)+(VLOOKUP($B708,'Mahawesran Tariff'!$A$21:$M$120,6)*'Comparator (DET)'!$DG708)+(VLOOKUP($B708,'Mahawesran Tariff'!$A$21:$M$120,5)*'Comparator (DET)'!$DH708)+(DET_UTIL_chd*('Comparator (DET)'!$DA708+'Comparator (DET)'!$DI708))+(DET_UTIL_copd*('Comparator (DET)'!$DB708+'Comparator (DET)'!$DJ708))+(DET_UTIL_lc*('Comparator (DET)'!$DC708+'Comparator (DET)'!$DK708))+(DET_UTIL_stroke*('Comparator (DET)'!$DD708+'Comparator (DET)'!$DL708)))/((1+Discount_rate_QALYs)^$A708)</f>
        <v>203.5068008301202</v>
      </c>
      <c r="DT708" s="310">
        <f t="shared" ca="1" si="308"/>
        <v>19335.282935024836</v>
      </c>
      <c r="DU708" s="309"/>
      <c r="DV708" s="308">
        <f t="shared" si="278"/>
        <v>42</v>
      </c>
      <c r="DW708" s="318">
        <f t="shared" ca="1" si="279"/>
        <v>26992.387255364079</v>
      </c>
      <c r="DX708" s="319">
        <f t="shared" ca="1" si="309"/>
        <v>5849753.4675856335</v>
      </c>
      <c r="DZ708" s="95">
        <f t="shared" si="280"/>
        <v>42</v>
      </c>
      <c r="EA708" s="268">
        <f t="shared" ca="1" si="226"/>
        <v>0.87958586975605957</v>
      </c>
      <c r="EB708" s="268">
        <f t="shared" ca="1" si="227"/>
        <v>0.12041413024394068</v>
      </c>
      <c r="EC708" s="268">
        <f t="shared" ca="1" si="228"/>
        <v>1.2493838675551252E-2</v>
      </c>
      <c r="ED708" s="290">
        <f t="shared" ca="1" si="229"/>
        <v>0.49091174848534291</v>
      </c>
      <c r="EF708" s="95">
        <f t="shared" si="281"/>
        <v>42</v>
      </c>
      <c r="EG708" s="339">
        <f t="shared" ca="1" si="282"/>
        <v>26992.387255364079</v>
      </c>
      <c r="EH708" s="341">
        <f t="shared" ca="1" si="310"/>
        <v>8949885.4034417178</v>
      </c>
      <c r="EJ708" s="308">
        <f t="shared" si="283"/>
        <v>42</v>
      </c>
      <c r="EK708" s="318">
        <f t="shared" ca="1" si="284"/>
        <v>26992.387255364079</v>
      </c>
      <c r="EL708" s="319">
        <f t="shared" ca="1" si="311"/>
        <v>5849753.4675856335</v>
      </c>
      <c r="EN708" s="95">
        <f t="shared" si="285"/>
        <v>42</v>
      </c>
      <c r="EO708" s="339">
        <f t="shared" ca="1" si="286"/>
        <v>26992.387255364079</v>
      </c>
      <c r="EP708" s="341">
        <f t="shared" ca="1" si="312"/>
        <v>8949885.4034417178</v>
      </c>
    </row>
    <row r="709" spans="1:146" s="266" customFormat="1" x14ac:dyDescent="0.25">
      <c r="A709" s="313">
        <v>43</v>
      </c>
      <c r="B709" s="314">
        <v>43</v>
      </c>
      <c r="C709" s="308">
        <f>VLOOKUP($B709,'Infant adult mortality'!$A$27:$I$128,3)</f>
        <v>9.466395112016293E-4</v>
      </c>
      <c r="D709" s="309">
        <f t="shared" si="230"/>
        <v>0.27</v>
      </c>
      <c r="E709" s="309">
        <f>VLOOKUP($B709,'Infant pick up smoking rates'!$A$19:$I$104,3)</f>
        <v>1.5201831243956284E-3</v>
      </c>
      <c r="F709" s="309">
        <f t="shared" si="231"/>
        <v>1.0508487493937506E-2</v>
      </c>
      <c r="G709" s="309">
        <f t="shared" si="232"/>
        <v>0.71702468987046519</v>
      </c>
      <c r="H709" s="309">
        <f>VLOOKUP($B709,'Infant adult mortality'!$A$27:$I$128,3)</f>
        <v>9.466395112016293E-4</v>
      </c>
      <c r="I709" s="309">
        <f t="shared" si="233"/>
        <v>0.14000000000000001</v>
      </c>
      <c r="J709" s="309">
        <f>VLOOKUP($B709,'Infant pick up smoking rates'!$A$19:$I$104,2)</f>
        <v>1.5201831243956284E-3</v>
      </c>
      <c r="K709" s="309">
        <f t="shared" si="234"/>
        <v>1.0508487493937506E-2</v>
      </c>
      <c r="L709" s="309">
        <f t="shared" si="235"/>
        <v>0.8470246898704652</v>
      </c>
      <c r="M709" s="309">
        <f>VLOOKUP($B709,'Infant adult mortality'!$A$27:$I$128,3)</f>
        <v>9.466395112016293E-4</v>
      </c>
      <c r="N709" s="309">
        <f t="shared" si="236"/>
        <v>0.5714285714285714</v>
      </c>
      <c r="O709" s="309">
        <f>VLOOKUP($B709,'Infant pick up smoking rates'!$A$19:$I$104,2)</f>
        <v>1.5201831243956284E-3</v>
      </c>
      <c r="P709" s="309">
        <f t="shared" si="237"/>
        <v>7.0652809533707488E-3</v>
      </c>
      <c r="Q709" s="309">
        <f t="shared" si="238"/>
        <v>0.4190393249824606</v>
      </c>
      <c r="R709" s="309">
        <f>VLOOKUP($B709,'Infant adult mortality'!$A$27:$I$128,3)</f>
        <v>9.466395112016293E-4</v>
      </c>
      <c r="S709" s="309">
        <f t="shared" si="239"/>
        <v>8.6261668788331098E-3</v>
      </c>
      <c r="T709" s="309">
        <f>VLOOKUP($B709,'Infant pick up smoking rates'!$A$19:$I$104,2)</f>
        <v>1.5201831243956284E-3</v>
      </c>
      <c r="U709" s="309">
        <f t="shared" si="240"/>
        <v>7.0652809533707488E-3</v>
      </c>
      <c r="V709" s="309">
        <f t="shared" si="241"/>
        <v>0.98184172953219884</v>
      </c>
      <c r="W709" s="309">
        <f>VLOOKUP($B709,'Infant adult mortality'!$A$27:$I$128,3)</f>
        <v>9.466395112016293E-4</v>
      </c>
      <c r="X709" s="309">
        <f>VLOOKUP($B709,'Infant pick up smoking rates'!$A$19:$I$104,2)</f>
        <v>1.5201831243956284E-3</v>
      </c>
      <c r="Y709" s="309">
        <f t="shared" si="242"/>
        <v>0.99753317736440272</v>
      </c>
      <c r="Z709" s="309">
        <f>VLOOKUP($B709,'Infant adult mortality'!$A$27:$I$128,5)</f>
        <v>1.656619144602851E-3</v>
      </c>
      <c r="AA709" s="309">
        <f t="shared" si="243"/>
        <v>0.25</v>
      </c>
      <c r="AB709" s="309">
        <f t="shared" si="244"/>
        <v>0.7483433808553972</v>
      </c>
      <c r="AC709" s="309">
        <f>VLOOKUP($B709,'Infant adult mortality'!$A$27:$I$128,5)</f>
        <v>1.656619144602851E-3</v>
      </c>
      <c r="AD709" s="309">
        <f t="shared" si="245"/>
        <v>0.14000000000000001</v>
      </c>
      <c r="AE709" s="309">
        <f t="shared" si="246"/>
        <v>0.85834338085539719</v>
      </c>
      <c r="AF709" s="309">
        <f>VLOOKUP($B709,'Infant adult mortality'!$A$27:$I$128,4)</f>
        <v>1.1832993890020366E-3</v>
      </c>
      <c r="AG709" s="309">
        <f t="shared" si="247"/>
        <v>0.5714285714285714</v>
      </c>
      <c r="AH709" s="309">
        <f t="shared" si="248"/>
        <v>0.42738812918242658</v>
      </c>
      <c r="AI709" s="309">
        <f>VLOOKUP($B709,'Infant adult mortality'!$A$27:$I$128,4)</f>
        <v>1.1832993890020366E-3</v>
      </c>
      <c r="AJ709" s="309">
        <f t="shared" si="249"/>
        <v>8.6261668788331098E-3</v>
      </c>
      <c r="AK709" s="309">
        <f t="shared" si="250"/>
        <v>0.99019053373216481</v>
      </c>
      <c r="AL709" s="309"/>
      <c r="AM709" s="315">
        <f t="shared" si="287"/>
        <v>56.610998293890042</v>
      </c>
      <c r="AN709" s="316">
        <f t="shared" si="288"/>
        <v>15.625892520095091</v>
      </c>
      <c r="AO709" s="316">
        <f t="shared" si="289"/>
        <v>2.2347366597288021</v>
      </c>
      <c r="AP709" s="316">
        <f t="shared" si="290"/>
        <v>73.885939692403312</v>
      </c>
      <c r="AQ709" s="316">
        <f t="shared" si="291"/>
        <v>18.848748290396674</v>
      </c>
      <c r="AR709" s="316">
        <f t="shared" si="292"/>
        <v>152.83313158112335</v>
      </c>
      <c r="AS709" s="316">
        <f t="shared" si="293"/>
        <v>38.704406516006657</v>
      </c>
      <c r="AT709" s="316">
        <f t="shared" si="294"/>
        <v>5.4894987193412836</v>
      </c>
      <c r="AU709" s="316">
        <f t="shared" si="295"/>
        <v>82.188493934221455</v>
      </c>
      <c r="AV709" s="316">
        <f t="shared" si="296"/>
        <v>63.578153792793152</v>
      </c>
      <c r="AW709" s="317">
        <f t="shared" si="251"/>
        <v>509.99999999999983</v>
      </c>
      <c r="AX709" s="309"/>
      <c r="AY709" s="308">
        <f>VLOOKUP($B709,'Infant adult mortality'!$A$134:$I$234,3)</f>
        <v>5.0639511201629325E-4</v>
      </c>
      <c r="AZ709" s="309">
        <f t="shared" si="252"/>
        <v>0.27</v>
      </c>
      <c r="BA709" s="309">
        <f ca="1">VLOOKUP($B709,'Infant pick up smoking rates'!$A$19:$I$104,7)</f>
        <v>3.9916955482353625E-3</v>
      </c>
      <c r="BB709" s="309">
        <f t="shared" si="253"/>
        <v>1.0508487493937506E-2</v>
      </c>
      <c r="BC709" s="309">
        <f t="shared" ca="1" si="254"/>
        <v>0.71499342184581083</v>
      </c>
      <c r="BD709" s="309">
        <f>VLOOKUP($B709,'Infant adult mortality'!$A$134:$I$234,3)</f>
        <v>5.0639511201629325E-4</v>
      </c>
      <c r="BE709" s="309">
        <f t="shared" si="255"/>
        <v>0.14000000000000001</v>
      </c>
      <c r="BF709" s="309">
        <f>VLOOKUP($B709,'Infant pick up smoking rates'!$A$19:$I$104,6)</f>
        <v>1.9288936901483743E-3</v>
      </c>
      <c r="BG709" s="309">
        <f t="shared" si="256"/>
        <v>1.0508487493937506E-2</v>
      </c>
      <c r="BH709" s="309">
        <f t="shared" si="257"/>
        <v>0.84705622370389777</v>
      </c>
      <c r="BI709" s="309">
        <f>VLOOKUP($B709,'Infant adult mortality'!$A$134:$I$234,3)</f>
        <v>5.0639511201629325E-4</v>
      </c>
      <c r="BJ709" s="309">
        <f t="shared" si="258"/>
        <v>0.5714285714285714</v>
      </c>
      <c r="BK709" s="309">
        <f>VLOOKUP($B709,'Infant pick up smoking rates'!$A$19:$I$104,6)</f>
        <v>1.9288936901483743E-3</v>
      </c>
      <c r="BL709" s="309">
        <f t="shared" si="259"/>
        <v>7.0652809533707488E-3</v>
      </c>
      <c r="BM709" s="309">
        <f t="shared" si="260"/>
        <v>0.41907085881589318</v>
      </c>
      <c r="BN709" s="309">
        <f>VLOOKUP($B709,'Infant adult mortality'!$A$134:$I$234,3)</f>
        <v>5.0639511201629325E-4</v>
      </c>
      <c r="BO709" s="309">
        <f t="shared" si="261"/>
        <v>8.6261668788331098E-3</v>
      </c>
      <c r="BP709" s="309">
        <f>VLOOKUP($B709,'Infant pick up smoking rates'!$A$19:$I$104,6)</f>
        <v>1.9288936901483743E-3</v>
      </c>
      <c r="BQ709" s="309">
        <f t="shared" si="262"/>
        <v>7.0652809533707488E-3</v>
      </c>
      <c r="BR709" s="309">
        <f t="shared" si="263"/>
        <v>0.98187326336563141</v>
      </c>
      <c r="BS709" s="309">
        <f>VLOOKUP($B709,'Infant adult mortality'!$A$134:$I$234,3)</f>
        <v>5.0639511201629325E-4</v>
      </c>
      <c r="BT709" s="309">
        <f>VLOOKUP($B709,'Infant pick up smoking rates'!$A$19:$I$104,6)</f>
        <v>1.9288936901483743E-3</v>
      </c>
      <c r="BU709" s="309">
        <f t="shared" si="264"/>
        <v>0.9975647111978353</v>
      </c>
      <c r="BV709" s="309">
        <f>VLOOKUP($B709,'Infant adult mortality'!$A$134:$I$234,5)</f>
        <v>8.861914460285131E-4</v>
      </c>
      <c r="BW709" s="309">
        <f t="shared" si="265"/>
        <v>0.27</v>
      </c>
      <c r="BX709" s="309">
        <f t="shared" si="266"/>
        <v>0.72911380855397145</v>
      </c>
      <c r="BY709" s="309">
        <f>VLOOKUP($B709,'Infant adult mortality'!$A$134:$I$234,5)</f>
        <v>8.861914460285131E-4</v>
      </c>
      <c r="BZ709" s="309">
        <f t="shared" si="267"/>
        <v>0.14000000000000001</v>
      </c>
      <c r="CA709" s="309">
        <f t="shared" si="268"/>
        <v>0.85911380855397146</v>
      </c>
      <c r="CB709" s="309">
        <f>VLOOKUP($B709,'Infant adult mortality'!$A$134:$I$234,4)</f>
        <v>6.3299389002036653E-4</v>
      </c>
      <c r="CC709" s="309">
        <f t="shared" si="269"/>
        <v>0.5714285714285714</v>
      </c>
      <c r="CD709" s="309">
        <f t="shared" si="270"/>
        <v>0.42793843468140824</v>
      </c>
      <c r="CE709" s="309">
        <f>VLOOKUP($B709,'Infant adult mortality'!$A$134:$I$234,4)</f>
        <v>6.3299389002036653E-4</v>
      </c>
      <c r="CF709" s="309">
        <f t="shared" si="271"/>
        <v>8.6261668788331098E-3</v>
      </c>
      <c r="CG709" s="309">
        <f t="shared" si="272"/>
        <v>0.99074083923114653</v>
      </c>
      <c r="CH709" s="309"/>
      <c r="CI709" s="315">
        <f t="shared" ca="1" si="297"/>
        <v>75.551392389940972</v>
      </c>
      <c r="CJ709" s="316">
        <f t="shared" ca="1" si="298"/>
        <v>20.893015501014201</v>
      </c>
      <c r="CK709" s="316">
        <f t="shared" ca="1" si="299"/>
        <v>2.9937400107085201</v>
      </c>
      <c r="CL709" s="316">
        <f t="shared" ca="1" si="300"/>
        <v>95.950166416494696</v>
      </c>
      <c r="CM709" s="316">
        <f t="shared" ca="1" si="301"/>
        <v>24.968049283640621</v>
      </c>
      <c r="CN709" s="316">
        <f t="shared" ca="1" si="302"/>
        <v>113.6233857362113</v>
      </c>
      <c r="CO709" s="316">
        <f t="shared" ca="1" si="303"/>
        <v>30.996955581218881</v>
      </c>
      <c r="CP709" s="316">
        <f t="shared" ca="1" si="304"/>
        <v>4.3852168347594063</v>
      </c>
      <c r="CQ709" s="316">
        <f t="shared" ca="1" si="305"/>
        <v>62.938158899990945</v>
      </c>
      <c r="CR709" s="316">
        <f t="shared" ca="1" si="306"/>
        <v>57.69991934602087</v>
      </c>
      <c r="CS709" s="317">
        <f t="shared" ca="1" si="273"/>
        <v>490.0000000000004</v>
      </c>
      <c r="CT709" s="309"/>
      <c r="CU709" s="309">
        <f t="shared" ca="1" si="274"/>
        <v>1000.0000000000002</v>
      </c>
      <c r="CV709" s="309" t="str">
        <f t="shared" ca="1" si="225"/>
        <v>OKAY</v>
      </c>
      <c r="CW709" s="309"/>
      <c r="CX709" s="315">
        <f>(SUM($AR709:$AS709))-((SUM($AR709:$AS709)*VLOOKUP($B709,Lifetime_morbidity_array!$A$30:$Y$48,4))+(SUM($AR709:$AS709)*VLOOKUP($B709,Lifetime_morbidity_array!$A$30:$Y$48,7))+(SUM($AR709:$AS709)*VLOOKUP($B709,Lifetime_morbidity_array!$A$30:$Y$48,10))+(SUM($AR709:$AS709)*VLOOKUP($B709,Lifetime_morbidity_array!$A$30:$Y$48,13)))</f>
        <v>186.46063513496071</v>
      </c>
      <c r="CY709" s="316">
        <f>(SUM($AT709:$AU709))-((SUM($AT709:$AU709)*(VLOOKUP($B709,Lifetime_morbidity_array!$A$30:$Y$48,3)))+(SUM($AT709:$AU709)*(VLOOKUP($B709,Lifetime_morbidity_array!$A$30:$Y$48,6)))+(SUM($AT709:$AU709)*(VLOOKUP($B709,Lifetime_morbidity_array!$A$30:$Y$48,9)))+(SUM($AT709:$AU709)*(VLOOKUP($B709,Lifetime_morbidity_array!$A$30:$Y$48,12))))</f>
        <v>86.592672963654792</v>
      </c>
      <c r="CZ709" s="316">
        <f>(SUM($AM709:$AQ709))-((SUM($AM709:$AQ709)*VLOOKUP($B709,Lifetime_morbidity_array!$A$30:$Y$48,2))+(SUM($AM709:$AQ709)*VLOOKUP($B709,Lifetime_morbidity_array!$A$30:$Y$48,5))+(SUM($AM709:$AQ709)*VLOOKUP($B709,Lifetime_morbidity_array!$A$30:$Y$48,8))+(SUM($AM709:$AQ709)*VLOOKUP($B709,Lifetime_morbidity_array!$A$30:$Y$48,11)))</f>
        <v>165.85377335017913</v>
      </c>
      <c r="DA709" s="316">
        <f>(SUM($AM709:$AQ709)*VLOOKUP($B709,Lifetime_morbidity_array!$A$30:$Y$48,2))+(SUM($AR709:$AS709)*VLOOKUP($B709,Lifetime_morbidity_array!$A$30:$Y$48,4))+(SUM($AT709:$AU709)*(VLOOKUP($B709,Lifetime_morbidity_array!$A$30:$Y$48,3)))</f>
        <v>3.4964878462461764</v>
      </c>
      <c r="DB709" s="316">
        <f>(SUM($AM709:$AQ709)*VLOOKUP($B709,Lifetime_morbidity_array!$A$30:$Y$48,5))+(SUM($AR709:$AS709)*VLOOKUP($B709,Lifetime_morbidity_array!$A$30:$Y$48,7))+(SUM($AT709:$AU709)*(VLOOKUP($B709,Lifetime_morbidity_array!$A$30:$Y$48,6)))</f>
        <v>1.3002625859846526</v>
      </c>
      <c r="DC709" s="316">
        <f>(SUM($AM709:$AQ709)*VLOOKUP($B709,Lifetime_morbidity_array!$A$30:$Y$48,8))+(SUM($AR709:$AS709)*VLOOKUP($B709,Lifetime_morbidity_array!$A$30:$Y$48,10))+(SUM($AT709:$AU709)*(VLOOKUP($B709,Lifetime_morbidity_array!$A$30:$Y$48,9)))</f>
        <v>1.3818460994380799E-2</v>
      </c>
      <c r="DD709" s="317">
        <f>(SUM($AM709:$AQ709)*VLOOKUP($B709,Lifetime_morbidity_array!$A$30:$Y$48,11))+(SUM($AR709:$AS709)*VLOOKUP($B709,Lifetime_morbidity_array!$A$30:$Y$48,13))+(SUM($AT709:$AU709)*(VLOOKUP($B709,Lifetime_morbidity_array!$A$30:$Y$48,12)))</f>
        <v>2.7041958651868425</v>
      </c>
      <c r="DE709" s="309"/>
      <c r="DF709" s="315">
        <f ca="1">(SUM($CN709:$CO709))-((SUM($CN709:$CO709)*VLOOKUP($B709,Lifetime_morbidity_array!$A$6:$Y$24,4))+(SUM($CN709:$CO709)*VLOOKUP($B709,Lifetime_morbidity_array!$A$6:$Y$24,7))+(SUM($CN709:$CO709)*VLOOKUP($B709,Lifetime_morbidity_array!$A$6:$Y$24,10))+(SUM($CN709:$CO709)*VLOOKUP($B709,Lifetime_morbidity_array!$A$6:$Y$24,13)))</f>
        <v>141.49986153996537</v>
      </c>
      <c r="DG709" s="316">
        <f ca="1">(SUM($CP709:$CQ709))-(((SUM($CP709:$CQ709)*VLOOKUP($B709,Lifetime_morbidity_array!$A$6:$Y$24,3))+(SUM($CP709:$CQ709)*VLOOKUP($B709,Lifetime_morbidity_array!$A$6:$Y$24,6))+(SUM($CP709:$CQ709)*VLOOKUP($B709,Lifetime_morbidity_array!$A$6:$Y$24,9))+(SUM($CP709:$CQ709)*VLOOKUP($B709,Lifetime_morbidity_array!$A$6:$Y$24,12))))</f>
        <v>66.763708424418141</v>
      </c>
      <c r="DH709" s="316">
        <f ca="1">(SUM($CI709:$CM709))-((SUM($CI709:$CM709)*VLOOKUP($B709,Lifetime_morbidity_array!$A$6:$Y$24,2))+(SUM($CI709:$CM709)*VLOOKUP($B709,Lifetime_morbidity_array!$A$6:$Y$24,5))+(SUM($CI709:$CM709)*VLOOKUP($B709,Lifetime_morbidity_array!$A$6:$Y$24,8))+(SUM($CI709:$CM709)*VLOOKUP($B709,Lifetime_morbidity_array!$A$6:$Y$24,11)))</f>
        <v>219.11849291752191</v>
      </c>
      <c r="DI709" s="316">
        <f ca="1">(SUM($CI709:$CM709)*VLOOKUP($B709,Lifetime_morbidity_array!$A$6:$Y$24,2))+(SUM($CN709:$CO709)*VLOOKUP($B709,Lifetime_morbidity_array!$A$6:$Y$24,4))+(SUM($CP709:$CQ709)*VLOOKUP($B709,Lifetime_morbidity_array!$A$6:$Y$24,3))</f>
        <v>1.6189523979733949</v>
      </c>
      <c r="DJ709" s="316">
        <f ca="1">(SUM($CI709:$CM709)*VLOOKUP($B709,Lifetime_morbidity_array!$A$6:$Y$24,5))+(SUM($CN709:$CO709)*VLOOKUP($B709,Lifetime_morbidity_array!$A$6:$Y$24,7))+(SUM($CP709:$CQ709)*VLOOKUP($B709,Lifetime_morbidity_array!$A$6:$Y$24,6))</f>
        <v>1.2913386816110068</v>
      </c>
      <c r="DK709" s="316">
        <f ca="1">(SUM($CI709:$CM709)*VLOOKUP($B709,Lifetime_morbidity_array!$A$6:$Y$24,8))+(SUM($CN709:$CO709)*VLOOKUP($B709,Lifetime_morbidity_array!$A$6:$Y$24,10))+(SUM($CP709:$CQ709)*VLOOKUP($B709,Lifetime_morbidity_array!$A$6:$Y$24,9))</f>
        <v>1.2445964275013184E-2</v>
      </c>
      <c r="DL709" s="317">
        <f ca="1">(SUM($CI709:$CM709)*VLOOKUP($B709,Lifetime_morbidity_array!$A$6:$Y$24,11))+(SUM($CN709:$CO709)*VLOOKUP($B709,Lifetime_morbidity_array!$A$6:$Y$24,13))+(SUM($CP709:$CQ709)*VLOOKUP($B709,Lifetime_morbidity_array!$A$6:$Y$24,12))</f>
        <v>1.9952807282147185</v>
      </c>
      <c r="DM709" s="309"/>
      <c r="DN709" s="308">
        <f t="shared" si="275"/>
        <v>43</v>
      </c>
      <c r="DO709" s="309">
        <f t="shared" ca="1" si="276"/>
        <v>200.17803530409705</v>
      </c>
      <c r="DP709" s="310">
        <f t="shared" ca="1" si="307"/>
        <v>19588.877790498904</v>
      </c>
      <c r="DQ709" s="309"/>
      <c r="DR709" s="308">
        <f t="shared" si="277"/>
        <v>43</v>
      </c>
      <c r="DS709" s="309">
        <f ca="1">((VLOOKUP($B709,'Mahawesran Tariff'!$A$21:$M$120,4)*'Comparator (DET)'!$CX709)+(VLOOKUP($B709,'Mahawesran Tariff'!$A$21:$M$120,3)*'Comparator (DET)'!$CY709)+(VLOOKUP($B709,'Mahawesran Tariff'!$A$21:$M$120,2)*'Comparator (DET)'!$CZ709)+(VLOOKUP($B709,'Mahawesran Tariff'!$A$21:$M$120,7)*'Comparator (DET)'!$DF709)+(VLOOKUP($B709,'Mahawesran Tariff'!$A$21:$M$120,6)*'Comparator (DET)'!$DG709)+(VLOOKUP($B709,'Mahawesran Tariff'!$A$21:$M$120,5)*'Comparator (DET)'!$DH709)+(DET_UTIL_chd*('Comparator (DET)'!$DA709+'Comparator (DET)'!$DI709))+(DET_UTIL_copd*('Comparator (DET)'!$DB709+'Comparator (DET)'!$DJ709))+(DET_UTIL_lc*('Comparator (DET)'!$DC709+'Comparator (DET)'!$DK709))+(DET_UTIL_stroke*('Comparator (DET)'!$DD709+'Comparator (DET)'!$DL709)))/((1+Discount_rate_QALYs)^$A709)</f>
        <v>196.44396169990594</v>
      </c>
      <c r="DT709" s="310">
        <f t="shared" ca="1" si="308"/>
        <v>19531.72689672474</v>
      </c>
      <c r="DU709" s="309"/>
      <c r="DV709" s="308">
        <f t="shared" si="278"/>
        <v>43</v>
      </c>
      <c r="DW709" s="318">
        <f t="shared" ca="1" si="279"/>
        <v>25955.819699317384</v>
      </c>
      <c r="DX709" s="319">
        <f t="shared" ca="1" si="309"/>
        <v>5875709.2872849507</v>
      </c>
      <c r="DZ709" s="95">
        <f t="shared" si="280"/>
        <v>43</v>
      </c>
      <c r="EA709" s="268">
        <f t="shared" ca="1" si="226"/>
        <v>0.87872192686118611</v>
      </c>
      <c r="EB709" s="268">
        <f t="shared" ca="1" si="227"/>
        <v>0.12127807313881402</v>
      </c>
      <c r="EC709" s="268">
        <f t="shared" ca="1" si="228"/>
        <v>1.2432782530486186E-2</v>
      </c>
      <c r="ED709" s="290">
        <f t="shared" ca="1" si="229"/>
        <v>0.49115924780287329</v>
      </c>
      <c r="EF709" s="95">
        <f t="shared" si="281"/>
        <v>43</v>
      </c>
      <c r="EG709" s="339">
        <f t="shared" ca="1" si="282"/>
        <v>25955.819699317384</v>
      </c>
      <c r="EH709" s="341">
        <f t="shared" ca="1" si="310"/>
        <v>8975841.2231410351</v>
      </c>
      <c r="EJ709" s="308">
        <f t="shared" si="283"/>
        <v>43</v>
      </c>
      <c r="EK709" s="318">
        <f t="shared" ca="1" si="284"/>
        <v>25955.819699317384</v>
      </c>
      <c r="EL709" s="319">
        <f t="shared" ca="1" si="311"/>
        <v>5875709.2872849507</v>
      </c>
      <c r="EN709" s="95">
        <f t="shared" si="285"/>
        <v>43</v>
      </c>
      <c r="EO709" s="339">
        <f t="shared" ca="1" si="286"/>
        <v>25955.819699317384</v>
      </c>
      <c r="EP709" s="341">
        <f t="shared" ca="1" si="312"/>
        <v>8975841.2231410351</v>
      </c>
    </row>
    <row r="710" spans="1:146" s="266" customFormat="1" x14ac:dyDescent="0.25">
      <c r="A710" s="313">
        <v>44</v>
      </c>
      <c r="B710" s="314">
        <v>44</v>
      </c>
      <c r="C710" s="308">
        <f>VLOOKUP($B710,'Infant adult mortality'!$A$27:$I$128,3)</f>
        <v>9.765376782077393E-4</v>
      </c>
      <c r="D710" s="309">
        <f t="shared" si="230"/>
        <v>0.27</v>
      </c>
      <c r="E710" s="309">
        <f>VLOOKUP($B710,'Infant pick up smoking rates'!$A$19:$I$104,3)</f>
        <v>1.5201831243956284E-3</v>
      </c>
      <c r="F710" s="309">
        <f t="shared" si="231"/>
        <v>1.138218665558096E-2</v>
      </c>
      <c r="G710" s="309">
        <f t="shared" si="232"/>
        <v>0.71612109254181566</v>
      </c>
      <c r="H710" s="309">
        <f>VLOOKUP($B710,'Infant adult mortality'!$A$27:$I$128,3)</f>
        <v>9.765376782077393E-4</v>
      </c>
      <c r="I710" s="309">
        <f t="shared" si="233"/>
        <v>0.14000000000000001</v>
      </c>
      <c r="J710" s="309">
        <f>VLOOKUP($B710,'Infant pick up smoking rates'!$A$19:$I$104,2)</f>
        <v>1.5201831243956284E-3</v>
      </c>
      <c r="K710" s="309">
        <f t="shared" si="234"/>
        <v>1.138218665558096E-2</v>
      </c>
      <c r="L710" s="309">
        <f t="shared" si="235"/>
        <v>0.84612109254181567</v>
      </c>
      <c r="M710" s="309">
        <f>VLOOKUP($B710,'Infant adult mortality'!$A$27:$I$128,3)</f>
        <v>9.765376782077393E-4</v>
      </c>
      <c r="N710" s="309">
        <f t="shared" si="236"/>
        <v>0.5714285714285714</v>
      </c>
      <c r="O710" s="309">
        <f>VLOOKUP($B710,'Infant pick up smoking rates'!$A$19:$I$104,2)</f>
        <v>1.5201831243956284E-3</v>
      </c>
      <c r="P710" s="309">
        <f t="shared" si="237"/>
        <v>7.6527042194969872E-3</v>
      </c>
      <c r="Q710" s="309">
        <f t="shared" si="238"/>
        <v>0.41842200354932824</v>
      </c>
      <c r="R710" s="309">
        <f>VLOOKUP($B710,'Infant adult mortality'!$A$27:$I$128,3)</f>
        <v>9.765376782077393E-4</v>
      </c>
      <c r="S710" s="309">
        <f t="shared" si="239"/>
        <v>8.6261668788331098E-3</v>
      </c>
      <c r="T710" s="309">
        <f>VLOOKUP($B710,'Infant pick up smoking rates'!$A$19:$I$104,2)</f>
        <v>1.5201831243956284E-3</v>
      </c>
      <c r="U710" s="309">
        <f t="shared" si="240"/>
        <v>7.6527042194969872E-3</v>
      </c>
      <c r="V710" s="309">
        <f t="shared" si="241"/>
        <v>0.98122440809906653</v>
      </c>
      <c r="W710" s="309">
        <f>VLOOKUP($B710,'Infant adult mortality'!$A$27:$I$128,3)</f>
        <v>9.765376782077393E-4</v>
      </c>
      <c r="X710" s="309">
        <f>VLOOKUP($B710,'Infant pick up smoking rates'!$A$19:$I$104,2)</f>
        <v>1.5201831243956284E-3</v>
      </c>
      <c r="Y710" s="309">
        <f t="shared" si="242"/>
        <v>0.99750327919739668</v>
      </c>
      <c r="Z710" s="309">
        <f>VLOOKUP($B710,'Infant adult mortality'!$A$27:$I$128,5)</f>
        <v>1.7089409368635435E-3</v>
      </c>
      <c r="AA710" s="309">
        <f t="shared" si="243"/>
        <v>0.25</v>
      </c>
      <c r="AB710" s="309">
        <f t="shared" si="244"/>
        <v>0.74829105906313642</v>
      </c>
      <c r="AC710" s="309">
        <f>VLOOKUP($B710,'Infant adult mortality'!$A$27:$I$128,5)</f>
        <v>1.7089409368635435E-3</v>
      </c>
      <c r="AD710" s="309">
        <f t="shared" si="245"/>
        <v>0.14000000000000001</v>
      </c>
      <c r="AE710" s="309">
        <f t="shared" si="246"/>
        <v>0.85829105906313641</v>
      </c>
      <c r="AF710" s="309">
        <f>VLOOKUP($B710,'Infant adult mortality'!$A$27:$I$128,4)</f>
        <v>1.2206720977596742E-3</v>
      </c>
      <c r="AG710" s="309">
        <f t="shared" si="247"/>
        <v>0.5714285714285714</v>
      </c>
      <c r="AH710" s="309">
        <f t="shared" si="248"/>
        <v>0.42735075647366894</v>
      </c>
      <c r="AI710" s="309">
        <f>VLOOKUP($B710,'Infant adult mortality'!$A$27:$I$128,4)</f>
        <v>1.2206720977596742E-3</v>
      </c>
      <c r="AJ710" s="309">
        <f t="shared" si="249"/>
        <v>8.6261668788331098E-3</v>
      </c>
      <c r="AK710" s="309">
        <f t="shared" si="250"/>
        <v>0.99015316102340722</v>
      </c>
      <c r="AL710" s="309"/>
      <c r="AM710" s="315">
        <f t="shared" si="287"/>
        <v>55.334142635502175</v>
      </c>
      <c r="AN710" s="316">
        <f t="shared" si="288"/>
        <v>15.284969539350312</v>
      </c>
      <c r="AO710" s="316">
        <f t="shared" si="289"/>
        <v>2.1876249528133132</v>
      </c>
      <c r="AP710" s="316">
        <f t="shared" si="290"/>
        <v>73.775679818509659</v>
      </c>
      <c r="AQ710" s="316">
        <f t="shared" si="291"/>
        <v>20.206431024211536</v>
      </c>
      <c r="AR710" s="316">
        <f t="shared" si="292"/>
        <v>150.89240926342561</v>
      </c>
      <c r="AS710" s="316">
        <f t="shared" si="293"/>
        <v>38.208282895280838</v>
      </c>
      <c r="AT710" s="316">
        <f t="shared" si="294"/>
        <v>5.4186169122409327</v>
      </c>
      <c r="AU710" s="316">
        <f t="shared" si="295"/>
        <v>84.516053479774669</v>
      </c>
      <c r="AV710" s="316">
        <f t="shared" si="296"/>
        <v>64.175789478890749</v>
      </c>
      <c r="AW710" s="317">
        <f t="shared" si="251"/>
        <v>509.99999999999972</v>
      </c>
      <c r="AX710" s="309"/>
      <c r="AY710" s="308">
        <f>VLOOKUP($B710,'Infant adult mortality'!$A$134:$I$234,3)</f>
        <v>5.2602851323828911E-4</v>
      </c>
      <c r="AZ710" s="309">
        <f t="shared" si="252"/>
        <v>0.27</v>
      </c>
      <c r="BA710" s="309">
        <f ca="1">VLOOKUP($B710,'Infant pick up smoking rates'!$A$19:$I$104,7)</f>
        <v>3.9916955482353625E-3</v>
      </c>
      <c r="BB710" s="309">
        <f t="shared" si="253"/>
        <v>1.138218665558096E-2</v>
      </c>
      <c r="BC710" s="309">
        <f t="shared" ca="1" si="254"/>
        <v>0.71410008928294544</v>
      </c>
      <c r="BD710" s="309">
        <f>VLOOKUP($B710,'Infant adult mortality'!$A$134:$I$234,3)</f>
        <v>5.2602851323828911E-4</v>
      </c>
      <c r="BE710" s="309">
        <f t="shared" si="255"/>
        <v>0.14000000000000001</v>
      </c>
      <c r="BF710" s="309">
        <f>VLOOKUP($B710,'Infant pick up smoking rates'!$A$19:$I$104,6)</f>
        <v>1.9288936901483743E-3</v>
      </c>
      <c r="BG710" s="309">
        <f t="shared" si="256"/>
        <v>1.138218665558096E-2</v>
      </c>
      <c r="BH710" s="309">
        <f t="shared" si="257"/>
        <v>0.84616289114103238</v>
      </c>
      <c r="BI710" s="309">
        <f>VLOOKUP($B710,'Infant adult mortality'!$A$134:$I$234,3)</f>
        <v>5.2602851323828911E-4</v>
      </c>
      <c r="BJ710" s="309">
        <f t="shared" si="258"/>
        <v>0.5714285714285714</v>
      </c>
      <c r="BK710" s="309">
        <f>VLOOKUP($B710,'Infant pick up smoking rates'!$A$19:$I$104,6)</f>
        <v>1.9288936901483743E-3</v>
      </c>
      <c r="BL710" s="309">
        <f t="shared" si="259"/>
        <v>7.6527042194969872E-3</v>
      </c>
      <c r="BM710" s="309">
        <f t="shared" si="260"/>
        <v>0.41846380214854489</v>
      </c>
      <c r="BN710" s="309">
        <f>VLOOKUP($B710,'Infant adult mortality'!$A$134:$I$234,3)</f>
        <v>5.2602851323828911E-4</v>
      </c>
      <c r="BO710" s="309">
        <f t="shared" si="261"/>
        <v>8.6261668788331098E-3</v>
      </c>
      <c r="BP710" s="309">
        <f>VLOOKUP($B710,'Infant pick up smoking rates'!$A$19:$I$104,6)</f>
        <v>1.9288936901483743E-3</v>
      </c>
      <c r="BQ710" s="309">
        <f t="shared" si="262"/>
        <v>7.6527042194969872E-3</v>
      </c>
      <c r="BR710" s="309">
        <f t="shared" si="263"/>
        <v>0.98126620669828324</v>
      </c>
      <c r="BS710" s="309">
        <f>VLOOKUP($B710,'Infant adult mortality'!$A$134:$I$234,3)</f>
        <v>5.2602851323828911E-4</v>
      </c>
      <c r="BT710" s="309">
        <f>VLOOKUP($B710,'Infant pick up smoking rates'!$A$19:$I$104,6)</f>
        <v>1.9288936901483743E-3</v>
      </c>
      <c r="BU710" s="309">
        <f t="shared" si="264"/>
        <v>0.99754507779661339</v>
      </c>
      <c r="BV710" s="309">
        <f>VLOOKUP($B710,'Infant adult mortality'!$A$134:$I$234,5)</f>
        <v>9.2054989816700583E-4</v>
      </c>
      <c r="BW710" s="309">
        <f t="shared" si="265"/>
        <v>0.27</v>
      </c>
      <c r="BX710" s="309">
        <f t="shared" si="266"/>
        <v>0.72907945010183295</v>
      </c>
      <c r="BY710" s="309">
        <f>VLOOKUP($B710,'Infant adult mortality'!$A$134:$I$234,5)</f>
        <v>9.2054989816700583E-4</v>
      </c>
      <c r="BZ710" s="309">
        <f t="shared" si="267"/>
        <v>0.14000000000000001</v>
      </c>
      <c r="CA710" s="309">
        <f t="shared" si="268"/>
        <v>0.85907945010183295</v>
      </c>
      <c r="CB710" s="309">
        <f>VLOOKUP($B710,'Infant adult mortality'!$A$134:$I$234,4)</f>
        <v>6.5753564154786138E-4</v>
      </c>
      <c r="CC710" s="309">
        <f t="shared" si="269"/>
        <v>0.5714285714285714</v>
      </c>
      <c r="CD710" s="309">
        <f t="shared" si="270"/>
        <v>0.42791389292988075</v>
      </c>
      <c r="CE710" s="309">
        <f>VLOOKUP($B710,'Infant adult mortality'!$A$134:$I$234,4)</f>
        <v>6.5753564154786138E-4</v>
      </c>
      <c r="CF710" s="309">
        <f t="shared" si="271"/>
        <v>8.6261668788331098E-3</v>
      </c>
      <c r="CG710" s="309">
        <f t="shared" si="272"/>
        <v>0.99071629747961898</v>
      </c>
      <c r="CH710" s="309"/>
      <c r="CI710" s="315">
        <f t="shared" ca="1" si="297"/>
        <v>73.710604427186084</v>
      </c>
      <c r="CJ710" s="316">
        <f t="shared" ca="1" si="298"/>
        <v>20.398875945284065</v>
      </c>
      <c r="CK710" s="316">
        <f t="shared" ca="1" si="299"/>
        <v>2.9250221701419883</v>
      </c>
      <c r="CL710" s="316">
        <f t="shared" ca="1" si="300"/>
        <v>95.863364409130483</v>
      </c>
      <c r="CM710" s="316">
        <f t="shared" ca="1" si="301"/>
        <v>26.761691367789769</v>
      </c>
      <c r="CN710" s="316">
        <f t="shared" ca="1" si="302"/>
        <v>112.46962496756981</v>
      </c>
      <c r="CO710" s="316">
        <f t="shared" ca="1" si="303"/>
        <v>30.678314148777055</v>
      </c>
      <c r="CP710" s="316">
        <f t="shared" ca="1" si="304"/>
        <v>4.3395737813706434</v>
      </c>
      <c r="CQ710" s="316">
        <f t="shared" ca="1" si="305"/>
        <v>64.85969794687405</v>
      </c>
      <c r="CR710" s="316">
        <f t="shared" ca="1" si="306"/>
        <v>57.99323083587646</v>
      </c>
      <c r="CS710" s="317">
        <f t="shared" ca="1" si="273"/>
        <v>490.00000000000045</v>
      </c>
      <c r="CT710" s="309"/>
      <c r="CU710" s="309">
        <f t="shared" ca="1" si="274"/>
        <v>1000.0000000000002</v>
      </c>
      <c r="CV710" s="309" t="str">
        <f t="shared" ca="1" si="225"/>
        <v>OKAY</v>
      </c>
      <c r="CW710" s="309"/>
      <c r="CX710" s="315">
        <f>(SUM($AR710:$AS710))-((SUM($AR710:$AS710)*VLOOKUP($B710,Lifetime_morbidity_array!$A$30:$Y$48,4))+(SUM($AR710:$AS710)*VLOOKUP($B710,Lifetime_morbidity_array!$A$30:$Y$48,7))+(SUM($AR710:$AS710)*VLOOKUP($B710,Lifetime_morbidity_array!$A$30:$Y$48,10))+(SUM($AR710:$AS710)*VLOOKUP($B710,Lifetime_morbidity_array!$A$30:$Y$48,13)))</f>
        <v>184.088380349196</v>
      </c>
      <c r="CY710" s="316">
        <f>(SUM($AT710:$AU710))-((SUM($AT710:$AU710)*(VLOOKUP($B710,Lifetime_morbidity_array!$A$30:$Y$48,3)))+(SUM($AT710:$AU710)*(VLOOKUP($B710,Lifetime_morbidity_array!$A$30:$Y$48,6)))+(SUM($AT710:$AU710)*(VLOOKUP($B710,Lifetime_morbidity_array!$A$30:$Y$48,9)))+(SUM($AT710:$AU710)*(VLOOKUP($B710,Lifetime_morbidity_array!$A$30:$Y$48,12))))</f>
        <v>88.821416477005158</v>
      </c>
      <c r="CZ710" s="316">
        <f>(SUM($AM710:$AQ710))-((SUM($AM710:$AQ710)*VLOOKUP($B710,Lifetime_morbidity_array!$A$30:$Y$48,2))+(SUM($AM710:$AQ710)*VLOOKUP($B710,Lifetime_morbidity_array!$A$30:$Y$48,5))+(SUM($AM710:$AQ710)*VLOOKUP($B710,Lifetime_morbidity_array!$A$30:$Y$48,8))+(SUM($AM710:$AQ710)*VLOOKUP($B710,Lifetime_morbidity_array!$A$30:$Y$48,11)))</f>
        <v>165.43968278406544</v>
      </c>
      <c r="DA710" s="316">
        <f>(SUM($AM710:$AQ710)*VLOOKUP($B710,Lifetime_morbidity_array!$A$30:$Y$48,2))+(SUM($AR710:$AS710)*VLOOKUP($B710,Lifetime_morbidity_array!$A$30:$Y$48,4))+(SUM($AT710:$AU710)*(VLOOKUP($B710,Lifetime_morbidity_array!$A$30:$Y$48,3)))</f>
        <v>3.4777365496566013</v>
      </c>
      <c r="DB710" s="316">
        <f>(SUM($AM710:$AQ710)*VLOOKUP($B710,Lifetime_morbidity_array!$A$30:$Y$48,5))+(SUM($AR710:$AS710)*VLOOKUP($B710,Lifetime_morbidity_array!$A$30:$Y$48,7))+(SUM($AT710:$AU710)*(VLOOKUP($B710,Lifetime_morbidity_array!$A$30:$Y$48,6)))</f>
        <v>1.2935368562800138</v>
      </c>
      <c r="DC710" s="316">
        <f>(SUM($AM710:$AQ710)*VLOOKUP($B710,Lifetime_morbidity_array!$A$30:$Y$48,8))+(SUM($AR710:$AS710)*VLOOKUP($B710,Lifetime_morbidity_array!$A$30:$Y$48,10))+(SUM($AT710:$AU710)*(VLOOKUP($B710,Lifetime_morbidity_array!$A$30:$Y$48,9)))</f>
        <v>1.3711993370280931E-2</v>
      </c>
      <c r="DD710" s="317">
        <f>(SUM($AM710:$AQ710)*VLOOKUP($B710,Lifetime_morbidity_array!$A$30:$Y$48,11))+(SUM($AR710:$AS710)*VLOOKUP($B710,Lifetime_morbidity_array!$A$30:$Y$48,13))+(SUM($AT710:$AU710)*(VLOOKUP($B710,Lifetime_morbidity_array!$A$30:$Y$48,12)))</f>
        <v>2.6897455115355182</v>
      </c>
      <c r="DE710" s="309"/>
      <c r="DF710" s="315">
        <f ca="1">(SUM($CN710:$CO710))-((SUM($CN710:$CO710)*VLOOKUP($B710,Lifetime_morbidity_array!$A$6:$Y$24,4))+(SUM($CN710:$CO710)*VLOOKUP($B710,Lifetime_morbidity_array!$A$6:$Y$24,7))+(SUM($CN710:$CO710)*VLOOKUP($B710,Lifetime_morbidity_array!$A$6:$Y$24,10))+(SUM($CN710:$CO710)*VLOOKUP($B710,Lifetime_morbidity_array!$A$6:$Y$24,13)))</f>
        <v>140.05922942911224</v>
      </c>
      <c r="DG710" s="316">
        <f ca="1">(SUM($CP710:$CQ710))-(((SUM($CP710:$CQ710)*VLOOKUP($B710,Lifetime_morbidity_array!$A$6:$Y$24,3))+(SUM($CP710:$CQ710)*VLOOKUP($B710,Lifetime_morbidity_array!$A$6:$Y$24,6))+(SUM($CP710:$CQ710)*VLOOKUP($B710,Lifetime_morbidity_array!$A$6:$Y$24,9))+(SUM($CP710:$CQ710)*VLOOKUP($B710,Lifetime_morbidity_array!$A$6:$Y$24,12))))</f>
        <v>68.624009869159039</v>
      </c>
      <c r="DH710" s="316">
        <f ca="1">(SUM($CI710:$CM710))-((SUM($CI710:$CM710)*VLOOKUP($B710,Lifetime_morbidity_array!$A$6:$Y$24,2))+(SUM($CI710:$CM710)*VLOOKUP($B710,Lifetime_morbidity_array!$A$6:$Y$24,5))+(SUM($CI710:$CM710)*VLOOKUP($B710,Lifetime_morbidity_array!$A$6:$Y$24,8))+(SUM($CI710:$CM710)*VLOOKUP($B710,Lifetime_morbidity_array!$A$6:$Y$24,11)))</f>
        <v>218.42560199841446</v>
      </c>
      <c r="DI710" s="316">
        <f ca="1">(SUM($CI710:$CM710)*VLOOKUP($B710,Lifetime_morbidity_array!$A$6:$Y$24,2))+(SUM($CN710:$CO710)*VLOOKUP($B710,Lifetime_morbidity_array!$A$6:$Y$24,4))+(SUM($CP710:$CQ710)*VLOOKUP($B710,Lifetime_morbidity_array!$A$6:$Y$24,3))</f>
        <v>1.6132434919462684</v>
      </c>
      <c r="DJ710" s="316">
        <f ca="1">(SUM($CI710:$CM710)*VLOOKUP($B710,Lifetime_morbidity_array!$A$6:$Y$24,5))+(SUM($CN710:$CO710)*VLOOKUP($B710,Lifetime_morbidity_array!$A$6:$Y$24,7))+(SUM($CP710:$CQ710)*VLOOKUP($B710,Lifetime_morbidity_array!$A$6:$Y$24,6))</f>
        <v>1.2845579648413405</v>
      </c>
      <c r="DK710" s="316">
        <f ca="1">(SUM($CI710:$CM710)*VLOOKUP($B710,Lifetime_morbidity_array!$A$6:$Y$24,8))+(SUM($CN710:$CO710)*VLOOKUP($B710,Lifetime_morbidity_array!$A$6:$Y$24,10))+(SUM($CP710:$CQ710)*VLOOKUP($B710,Lifetime_morbidity_array!$A$6:$Y$24,9))</f>
        <v>1.2363792920201925E-2</v>
      </c>
      <c r="DL710" s="317">
        <f ca="1">(SUM($CI710:$CM710)*VLOOKUP($B710,Lifetime_morbidity_array!$A$6:$Y$24,11))+(SUM($CN710:$CO710)*VLOOKUP($B710,Lifetime_morbidity_array!$A$6:$Y$24,13))+(SUM($CP710:$CQ710)*VLOOKUP($B710,Lifetime_morbidity_array!$A$6:$Y$24,12))</f>
        <v>1.9877626177304284</v>
      </c>
      <c r="DM710" s="309"/>
      <c r="DN710" s="308">
        <f t="shared" si="275"/>
        <v>44</v>
      </c>
      <c r="DO710" s="309">
        <f t="shared" ca="1" si="276"/>
        <v>193.21263022703172</v>
      </c>
      <c r="DP710" s="310">
        <f t="shared" ca="1" si="307"/>
        <v>19782.090420725937</v>
      </c>
      <c r="DQ710" s="309"/>
      <c r="DR710" s="308">
        <f t="shared" si="277"/>
        <v>44</v>
      </c>
      <c r="DS710" s="309">
        <f ca="1">((VLOOKUP($B710,'Mahawesran Tariff'!$A$21:$M$120,4)*'Comparator (DET)'!$CX710)+(VLOOKUP($B710,'Mahawesran Tariff'!$A$21:$M$120,3)*'Comparator (DET)'!$CY710)+(VLOOKUP($B710,'Mahawesran Tariff'!$A$21:$M$120,2)*'Comparator (DET)'!$CZ710)+(VLOOKUP($B710,'Mahawesran Tariff'!$A$21:$M$120,7)*'Comparator (DET)'!$DF710)+(VLOOKUP($B710,'Mahawesran Tariff'!$A$21:$M$120,6)*'Comparator (DET)'!$DG710)+(VLOOKUP($B710,'Mahawesran Tariff'!$A$21:$M$120,5)*'Comparator (DET)'!$DH710)+(DET_UTIL_chd*('Comparator (DET)'!$DA710+'Comparator (DET)'!$DI710))+(DET_UTIL_copd*('Comparator (DET)'!$DB710+'Comparator (DET)'!$DJ710))+(DET_UTIL_lc*('Comparator (DET)'!$DC710+'Comparator (DET)'!$DK710))+(DET_UTIL_stroke*('Comparator (DET)'!$DD710+'Comparator (DET)'!$DL710)))/((1+Discount_rate_QALYs)^$A710)</f>
        <v>189.6198616622124</v>
      </c>
      <c r="DT710" s="310">
        <f t="shared" ca="1" si="308"/>
        <v>19721.346758386953</v>
      </c>
      <c r="DU710" s="309"/>
      <c r="DV710" s="308">
        <f t="shared" si="278"/>
        <v>44</v>
      </c>
      <c r="DW710" s="318">
        <f t="shared" ca="1" si="279"/>
        <v>24960.236711375248</v>
      </c>
      <c r="DX710" s="319">
        <f t="shared" ca="1" si="309"/>
        <v>5900669.5239963261</v>
      </c>
      <c r="DZ710" s="95">
        <f t="shared" si="280"/>
        <v>44</v>
      </c>
      <c r="EA710" s="268">
        <f t="shared" ca="1" si="226"/>
        <v>0.87783097968523294</v>
      </c>
      <c r="EB710" s="268">
        <f t="shared" ca="1" si="227"/>
        <v>0.12216902031476722</v>
      </c>
      <c r="EC710" s="268">
        <f t="shared" ca="1" si="228"/>
        <v>1.2372658778280653E-2</v>
      </c>
      <c r="ED710" s="290">
        <f t="shared" ca="1" si="229"/>
        <v>0.49138257339531355</v>
      </c>
      <c r="EF710" s="95">
        <f t="shared" si="281"/>
        <v>44</v>
      </c>
      <c r="EG710" s="339">
        <f t="shared" ca="1" si="282"/>
        <v>24960.236711375248</v>
      </c>
      <c r="EH710" s="341">
        <f t="shared" ca="1" si="310"/>
        <v>9000801.4598524105</v>
      </c>
      <c r="EJ710" s="308">
        <f t="shared" si="283"/>
        <v>44</v>
      </c>
      <c r="EK710" s="318">
        <f t="shared" ca="1" si="284"/>
        <v>24960.236711375248</v>
      </c>
      <c r="EL710" s="319">
        <f t="shared" ca="1" si="311"/>
        <v>5900669.5239963261</v>
      </c>
      <c r="EN710" s="95">
        <f t="shared" si="285"/>
        <v>44</v>
      </c>
      <c r="EO710" s="339">
        <f t="shared" ca="1" si="286"/>
        <v>24960.236711375248</v>
      </c>
      <c r="EP710" s="341">
        <f t="shared" ca="1" si="312"/>
        <v>9000801.4598524105</v>
      </c>
    </row>
    <row r="711" spans="1:146" s="266" customFormat="1" x14ac:dyDescent="0.25">
      <c r="A711" s="313">
        <v>45</v>
      </c>
      <c r="B711" s="314">
        <v>45</v>
      </c>
      <c r="C711" s="308">
        <f>VLOOKUP($B711,'Infant adult mortality'!$A$27:$I$128,3)</f>
        <v>9.4853141412176614E-4</v>
      </c>
      <c r="D711" s="309">
        <f t="shared" si="230"/>
        <v>0.27</v>
      </c>
      <c r="E711" s="309">
        <f>VLOOKUP($B711,'Infant pick up smoking rates'!$A$19:$I$104,3)</f>
        <v>1.5201831243956284E-3</v>
      </c>
      <c r="F711" s="309">
        <f t="shared" si="231"/>
        <v>1.2306034781403729E-2</v>
      </c>
      <c r="G711" s="309">
        <f t="shared" si="232"/>
        <v>0.71522525068007892</v>
      </c>
      <c r="H711" s="309">
        <f>VLOOKUP($B711,'Infant adult mortality'!$A$27:$I$128,3)</f>
        <v>9.4853141412176614E-4</v>
      </c>
      <c r="I711" s="309">
        <f t="shared" si="233"/>
        <v>0.14000000000000001</v>
      </c>
      <c r="J711" s="309">
        <f>VLOOKUP($B711,'Infant pick up smoking rates'!$A$19:$I$104,2)</f>
        <v>1.5201831243956284E-3</v>
      </c>
      <c r="K711" s="309">
        <f t="shared" si="234"/>
        <v>1.2306034781403729E-2</v>
      </c>
      <c r="L711" s="309">
        <f t="shared" si="235"/>
        <v>0.84522525068007892</v>
      </c>
      <c r="M711" s="309">
        <f>VLOOKUP($B711,'Infant adult mortality'!$A$27:$I$128,3)</f>
        <v>9.4853141412176614E-4</v>
      </c>
      <c r="N711" s="309">
        <f t="shared" si="236"/>
        <v>0.5714285714285714</v>
      </c>
      <c r="O711" s="309">
        <f>VLOOKUP($B711,'Infant pick up smoking rates'!$A$19:$I$104,2)</f>
        <v>1.5201831243956284E-3</v>
      </c>
      <c r="P711" s="309">
        <f t="shared" si="237"/>
        <v>8.2738446615395287E-3</v>
      </c>
      <c r="Q711" s="309">
        <f t="shared" si="238"/>
        <v>0.41782886937137165</v>
      </c>
      <c r="R711" s="309">
        <f>VLOOKUP($B711,'Infant adult mortality'!$A$27:$I$128,3)</f>
        <v>9.4853141412176614E-4</v>
      </c>
      <c r="S711" s="309">
        <f t="shared" si="239"/>
        <v>8.6261668788331098E-3</v>
      </c>
      <c r="T711" s="309">
        <f>VLOOKUP($B711,'Infant pick up smoking rates'!$A$19:$I$104,2)</f>
        <v>1.5201831243956284E-3</v>
      </c>
      <c r="U711" s="309">
        <f t="shared" si="240"/>
        <v>8.2738446615395287E-3</v>
      </c>
      <c r="V711" s="309">
        <f t="shared" si="241"/>
        <v>0.98063127392110994</v>
      </c>
      <c r="W711" s="309">
        <f>VLOOKUP($B711,'Infant adult mortality'!$A$27:$I$128,3)</f>
        <v>9.4853141412176614E-4</v>
      </c>
      <c r="X711" s="309">
        <f>VLOOKUP($B711,'Infant pick up smoking rates'!$A$19:$I$104,2)</f>
        <v>1.5201831243956284E-3</v>
      </c>
      <c r="Y711" s="309">
        <f t="shared" si="242"/>
        <v>0.99753128546148262</v>
      </c>
      <c r="Z711" s="309">
        <f>VLOOKUP($B711,'Infant adult mortality'!$A$27:$I$128,5)</f>
        <v>1.9207761135965763E-3</v>
      </c>
      <c r="AA711" s="309">
        <f t="shared" si="243"/>
        <v>0.25</v>
      </c>
      <c r="AB711" s="309">
        <f t="shared" si="244"/>
        <v>0.74807922388640347</v>
      </c>
      <c r="AC711" s="309">
        <f>VLOOKUP($B711,'Infant adult mortality'!$A$27:$I$128,5)</f>
        <v>1.9207761135965763E-3</v>
      </c>
      <c r="AD711" s="309">
        <f t="shared" si="245"/>
        <v>0.14000000000000001</v>
      </c>
      <c r="AE711" s="309">
        <f t="shared" si="246"/>
        <v>0.85807922388640345</v>
      </c>
      <c r="AF711" s="309">
        <f>VLOOKUP($B711,'Infant adult mortality'!$A$27:$I$128,4)</f>
        <v>1.1619509822991636E-3</v>
      </c>
      <c r="AG711" s="309">
        <f t="shared" si="247"/>
        <v>0.5714285714285714</v>
      </c>
      <c r="AH711" s="309">
        <f t="shared" si="248"/>
        <v>0.42740947758912945</v>
      </c>
      <c r="AI711" s="309">
        <f>VLOOKUP($B711,'Infant adult mortality'!$A$27:$I$128,4)</f>
        <v>1.1619509822991636E-3</v>
      </c>
      <c r="AJ711" s="309">
        <f t="shared" si="249"/>
        <v>8.6261668788331098E-3</v>
      </c>
      <c r="AK711" s="309">
        <f t="shared" si="250"/>
        <v>0.99021188213886768</v>
      </c>
      <c r="AL711" s="309"/>
      <c r="AM711" s="315">
        <f t="shared" si="287"/>
        <v>54.046072434535439</v>
      </c>
      <c r="AN711" s="316">
        <f t="shared" si="288"/>
        <v>14.940218511585588</v>
      </c>
      <c r="AO711" s="316">
        <f t="shared" si="289"/>
        <v>2.139895735509044</v>
      </c>
      <c r="AP711" s="316">
        <f t="shared" si="290"/>
        <v>73.596810286428664</v>
      </c>
      <c r="AQ711" s="316">
        <f t="shared" si="291"/>
        <v>21.654096948481214</v>
      </c>
      <c r="AR711" s="316">
        <f t="shared" si="292"/>
        <v>148.9637775419431</v>
      </c>
      <c r="AS711" s="316">
        <f t="shared" si="293"/>
        <v>37.723102315856401</v>
      </c>
      <c r="AT711" s="316">
        <f t="shared" si="294"/>
        <v>5.3491596053393176</v>
      </c>
      <c r="AU711" s="316">
        <f t="shared" si="295"/>
        <v>86.785152908437411</v>
      </c>
      <c r="AV711" s="316">
        <f t="shared" si="296"/>
        <v>64.801713711883593</v>
      </c>
      <c r="AW711" s="317">
        <f t="shared" si="251"/>
        <v>509.99999999999977</v>
      </c>
      <c r="AX711" s="309"/>
      <c r="AY711" s="308">
        <f>VLOOKUP($B711,'Infant adult mortality'!$A$134:$I$234,3)</f>
        <v>5.2122155222719311E-4</v>
      </c>
      <c r="AZ711" s="309">
        <f t="shared" si="252"/>
        <v>0.27</v>
      </c>
      <c r="BA711" s="309">
        <f ca="1">VLOOKUP($B711,'Infant pick up smoking rates'!$A$19:$I$104,7)</f>
        <v>3.9916955482353625E-3</v>
      </c>
      <c r="BB711" s="309">
        <f t="shared" si="253"/>
        <v>1.2306034781403729E-2</v>
      </c>
      <c r="BC711" s="309">
        <f t="shared" ca="1" si="254"/>
        <v>0.71318104811813376</v>
      </c>
      <c r="BD711" s="309">
        <f>VLOOKUP($B711,'Infant adult mortality'!$A$134:$I$234,3)</f>
        <v>5.2122155222719311E-4</v>
      </c>
      <c r="BE711" s="309">
        <f t="shared" si="255"/>
        <v>0.14000000000000001</v>
      </c>
      <c r="BF711" s="309">
        <f>VLOOKUP($B711,'Infant pick up smoking rates'!$A$19:$I$104,6)</f>
        <v>1.9288936901483743E-3</v>
      </c>
      <c r="BG711" s="309">
        <f t="shared" si="256"/>
        <v>1.2306034781403729E-2</v>
      </c>
      <c r="BH711" s="309">
        <f t="shared" si="257"/>
        <v>0.84524384997622071</v>
      </c>
      <c r="BI711" s="309">
        <f>VLOOKUP($B711,'Infant adult mortality'!$A$134:$I$234,3)</f>
        <v>5.2122155222719311E-4</v>
      </c>
      <c r="BJ711" s="309">
        <f t="shared" si="258"/>
        <v>0.5714285714285714</v>
      </c>
      <c r="BK711" s="309">
        <f>VLOOKUP($B711,'Infant pick up smoking rates'!$A$19:$I$104,6)</f>
        <v>1.9288936901483743E-3</v>
      </c>
      <c r="BL711" s="309">
        <f t="shared" si="259"/>
        <v>8.2738446615395287E-3</v>
      </c>
      <c r="BM711" s="309">
        <f t="shared" si="260"/>
        <v>0.41784746866751349</v>
      </c>
      <c r="BN711" s="309">
        <f>VLOOKUP($B711,'Infant adult mortality'!$A$134:$I$234,3)</f>
        <v>5.2122155222719311E-4</v>
      </c>
      <c r="BO711" s="309">
        <f t="shared" si="261"/>
        <v>8.6261668788331098E-3</v>
      </c>
      <c r="BP711" s="309">
        <f>VLOOKUP($B711,'Infant pick up smoking rates'!$A$19:$I$104,6)</f>
        <v>1.9288936901483743E-3</v>
      </c>
      <c r="BQ711" s="309">
        <f t="shared" si="262"/>
        <v>8.2738446615395287E-3</v>
      </c>
      <c r="BR711" s="309">
        <f t="shared" si="263"/>
        <v>0.98064987321725172</v>
      </c>
      <c r="BS711" s="309">
        <f>VLOOKUP($B711,'Infant adult mortality'!$A$134:$I$234,3)</f>
        <v>5.2122155222719311E-4</v>
      </c>
      <c r="BT711" s="309">
        <f>VLOOKUP($B711,'Infant pick up smoking rates'!$A$19:$I$104,6)</f>
        <v>1.9288936901483743E-3</v>
      </c>
      <c r="BU711" s="309">
        <f t="shared" si="264"/>
        <v>0.99754988475762441</v>
      </c>
      <c r="BV711" s="309">
        <f>VLOOKUP($B711,'Infant adult mortality'!$A$134:$I$234,5)</f>
        <v>1.055473643260066E-3</v>
      </c>
      <c r="BW711" s="309">
        <f t="shared" si="265"/>
        <v>0.27</v>
      </c>
      <c r="BX711" s="309">
        <f t="shared" si="266"/>
        <v>0.7289445263567399</v>
      </c>
      <c r="BY711" s="309">
        <f>VLOOKUP($B711,'Infant adult mortality'!$A$134:$I$234,5)</f>
        <v>1.055473643260066E-3</v>
      </c>
      <c r="BZ711" s="309">
        <f t="shared" si="267"/>
        <v>0.14000000000000001</v>
      </c>
      <c r="CA711" s="309">
        <f t="shared" si="268"/>
        <v>0.8589445263567399</v>
      </c>
      <c r="CB711" s="309">
        <f>VLOOKUP($B711,'Infant adult mortality'!$A$134:$I$234,4)</f>
        <v>6.3849640147831165E-4</v>
      </c>
      <c r="CC711" s="309">
        <f t="shared" si="269"/>
        <v>0.5714285714285714</v>
      </c>
      <c r="CD711" s="309">
        <f t="shared" si="270"/>
        <v>0.42793293216995026</v>
      </c>
      <c r="CE711" s="309">
        <f>VLOOKUP($B711,'Infant adult mortality'!$A$134:$I$234,4)</f>
        <v>6.3849640147831165E-4</v>
      </c>
      <c r="CF711" s="309">
        <f t="shared" si="271"/>
        <v>8.6261668788331098E-3</v>
      </c>
      <c r="CG711" s="309">
        <f t="shared" si="272"/>
        <v>0.99073533671968861</v>
      </c>
      <c r="CH711" s="309"/>
      <c r="CI711" s="315">
        <f t="shared" ca="1" si="297"/>
        <v>71.86017705053068</v>
      </c>
      <c r="CJ711" s="316">
        <f t="shared" ca="1" si="298"/>
        <v>19.901863195340244</v>
      </c>
      <c r="CK711" s="316">
        <f t="shared" ca="1" si="299"/>
        <v>2.8558426323397694</v>
      </c>
      <c r="CL711" s="316">
        <f t="shared" ca="1" si="300"/>
        <v>95.679837394074141</v>
      </c>
      <c r="CM711" s="316">
        <f t="shared" ca="1" si="301"/>
        <v>28.67159644350226</v>
      </c>
      <c r="CN711" s="316">
        <f t="shared" ca="1" si="302"/>
        <v>111.32737493607659</v>
      </c>
      <c r="CO711" s="316">
        <f t="shared" ca="1" si="303"/>
        <v>30.366798741243851</v>
      </c>
      <c r="CP711" s="316">
        <f t="shared" ca="1" si="304"/>
        <v>4.2949639808287881</v>
      </c>
      <c r="CQ711" s="316">
        <f t="shared" ca="1" si="305"/>
        <v>66.738551131431066</v>
      </c>
      <c r="CR711" s="316">
        <f t="shared" ca="1" si="306"/>
        <v>58.302994494633012</v>
      </c>
      <c r="CS711" s="317">
        <f t="shared" ca="1" si="273"/>
        <v>490.0000000000004</v>
      </c>
      <c r="CT711" s="309"/>
      <c r="CU711" s="309">
        <f t="shared" ca="1" si="274"/>
        <v>1000.0000000000002</v>
      </c>
      <c r="CV711" s="309" t="str">
        <f t="shared" ca="1" si="225"/>
        <v>OKAY</v>
      </c>
      <c r="CW711" s="309"/>
      <c r="CX711" s="315">
        <f>(SUM($AR711:$AS711))-((SUM($AR711:$AS711)*VLOOKUP($B711,Lifetime_morbidity_array!$A$30:$Y$48,4))+(SUM($AR711:$AS711)*VLOOKUP($B711,Lifetime_morbidity_array!$A$30:$Y$48,7))+(SUM($AR711:$AS711)*VLOOKUP($B711,Lifetime_morbidity_array!$A$30:$Y$48,10))+(SUM($AR711:$AS711)*VLOOKUP($B711,Lifetime_morbidity_array!$A$30:$Y$48,13)))</f>
        <v>165.70632751679705</v>
      </c>
      <c r="CY711" s="316">
        <f>(SUM($AT711:$AU711))-((SUM($AT711:$AU711)*(VLOOKUP($B711,Lifetime_morbidity_array!$A$30:$Y$48,3)))+(SUM($AT711:$AU711)*(VLOOKUP($B711,Lifetime_morbidity_array!$A$30:$Y$48,6)))+(SUM($AT711:$AU711)*(VLOOKUP($B711,Lifetime_morbidity_array!$A$30:$Y$48,9)))+(SUM($AT711:$AU711)*(VLOOKUP($B711,Lifetime_morbidity_array!$A$30:$Y$48,12))))</f>
        <v>87.347802694059197</v>
      </c>
      <c r="CZ711" s="316">
        <f>(SUM($AM711:$AQ711))-((SUM($AM711:$AQ711)*VLOOKUP($B711,Lifetime_morbidity_array!$A$30:$Y$48,2))+(SUM($AM711:$AQ711)*VLOOKUP($B711,Lifetime_morbidity_array!$A$30:$Y$48,5))+(SUM($AM711:$AQ711)*VLOOKUP($B711,Lifetime_morbidity_array!$A$30:$Y$48,8))+(SUM($AM711:$AQ711)*VLOOKUP($B711,Lifetime_morbidity_array!$A$30:$Y$48,11)))</f>
        <v>161.18812422118759</v>
      </c>
      <c r="DA711" s="316">
        <f>(SUM($AM711:$AQ711)*VLOOKUP($B711,Lifetime_morbidity_array!$A$30:$Y$48,2))+(SUM($AR711:$AS711)*VLOOKUP($B711,Lifetime_morbidity_array!$A$30:$Y$48,4))+(SUM($AT711:$AU711)*(VLOOKUP($B711,Lifetime_morbidity_array!$A$30:$Y$48,3)))</f>
        <v>20.680159711330347</v>
      </c>
      <c r="DB711" s="316">
        <f>(SUM($AM711:$AQ711)*VLOOKUP($B711,Lifetime_morbidity_array!$A$30:$Y$48,5))+(SUM($AR711:$AS711)*VLOOKUP($B711,Lifetime_morbidity_array!$A$30:$Y$48,7))+(SUM($AT711:$AU711)*(VLOOKUP($B711,Lifetime_morbidity_array!$A$30:$Y$48,6)))</f>
        <v>2.8058441476989477</v>
      </c>
      <c r="DC711" s="316">
        <f>(SUM($AM711:$AQ711)*VLOOKUP($B711,Lifetime_morbidity_array!$A$30:$Y$48,8))+(SUM($AR711:$AS711)*VLOOKUP($B711,Lifetime_morbidity_array!$A$30:$Y$48,10))+(SUM($AT711:$AU711)*(VLOOKUP($B711,Lifetime_morbidity_array!$A$30:$Y$48,9)))</f>
        <v>1.0401136668830386</v>
      </c>
      <c r="DD711" s="317">
        <f>(SUM($AM711:$AQ711)*VLOOKUP($B711,Lifetime_morbidity_array!$A$30:$Y$48,11))+(SUM($AR711:$AS711)*VLOOKUP($B711,Lifetime_morbidity_array!$A$30:$Y$48,13))+(SUM($AT711:$AU711)*(VLOOKUP($B711,Lifetime_morbidity_array!$A$30:$Y$48,12)))</f>
        <v>6.4299143301600221</v>
      </c>
      <c r="DE711" s="309"/>
      <c r="DF711" s="315">
        <f ca="1">(SUM($CN711:$CO711))-((SUM($CN711:$CO711)*VLOOKUP($B711,Lifetime_morbidity_array!$A$6:$Y$24,4))+(SUM($CN711:$CO711)*VLOOKUP($B711,Lifetime_morbidity_array!$A$6:$Y$24,7))+(SUM($CN711:$CO711)*VLOOKUP($B711,Lifetime_morbidity_array!$A$6:$Y$24,10))+(SUM($CN711:$CO711)*VLOOKUP($B711,Lifetime_morbidity_array!$A$6:$Y$24,13)))</f>
        <v>132.22665184376007</v>
      </c>
      <c r="DG711" s="316">
        <f ca="1">(SUM($CP711:$CQ711))-(((SUM($CP711:$CQ711)*VLOOKUP($B711,Lifetime_morbidity_array!$A$6:$Y$24,3))+(SUM($CP711:$CQ711)*VLOOKUP($B711,Lifetime_morbidity_array!$A$6:$Y$24,6))+(SUM($CP711:$CQ711)*VLOOKUP($B711,Lifetime_morbidity_array!$A$6:$Y$24,9))+(SUM($CP711:$CQ711)*VLOOKUP($B711,Lifetime_morbidity_array!$A$6:$Y$24,12))))</f>
        <v>69.170876279838438</v>
      </c>
      <c r="DH711" s="316">
        <f ca="1">(SUM($CI711:$CM711))-((SUM($CI711:$CM711)*VLOOKUP($B711,Lifetime_morbidity_array!$A$6:$Y$24,2))+(SUM($CI711:$CM711)*VLOOKUP($B711,Lifetime_morbidity_array!$A$6:$Y$24,5))+(SUM($CI711:$CM711)*VLOOKUP($B711,Lifetime_morbidity_array!$A$6:$Y$24,8))+(SUM($CI711:$CM711)*VLOOKUP($B711,Lifetime_morbidity_array!$A$6:$Y$24,11)))</f>
        <v>215.46670171576727</v>
      </c>
      <c r="DI711" s="316">
        <f ca="1">(SUM($CI711:$CM711)*VLOOKUP($B711,Lifetime_morbidity_array!$A$6:$Y$24,2))+(SUM($CN711:$CO711)*VLOOKUP($B711,Lifetime_morbidity_array!$A$6:$Y$24,4))+(SUM($CP711:$CQ711)*VLOOKUP($B711,Lifetime_morbidity_array!$A$6:$Y$24,3))</f>
        <v>6.9666558067278208</v>
      </c>
      <c r="DJ711" s="316">
        <f ca="1">(SUM($CI711:$CM711)*VLOOKUP($B711,Lifetime_morbidity_array!$A$6:$Y$24,5))+(SUM($CN711:$CO711)*VLOOKUP($B711,Lifetime_morbidity_array!$A$6:$Y$24,7))+(SUM($CP711:$CQ711)*VLOOKUP($B711,Lifetime_morbidity_array!$A$6:$Y$24,6))</f>
        <v>2.9828664918011758</v>
      </c>
      <c r="DK711" s="316">
        <f ca="1">(SUM($CI711:$CM711)*VLOOKUP($B711,Lifetime_morbidity_array!$A$6:$Y$24,8))+(SUM($CN711:$CO711)*VLOOKUP($B711,Lifetime_morbidity_array!$A$6:$Y$24,10))+(SUM($CP711:$CQ711)*VLOOKUP($B711,Lifetime_morbidity_array!$A$6:$Y$24,9))</f>
        <v>0.42463494941523794</v>
      </c>
      <c r="DL711" s="317">
        <f ca="1">(SUM($CI711:$CM711)*VLOOKUP($B711,Lifetime_morbidity_array!$A$6:$Y$24,11))+(SUM($CN711:$CO711)*VLOOKUP($B711,Lifetime_morbidity_array!$A$6:$Y$24,13))+(SUM($CP711:$CQ711)*VLOOKUP($B711,Lifetime_morbidity_array!$A$6:$Y$24,12))</f>
        <v>4.4586184180573634</v>
      </c>
      <c r="DM711" s="309"/>
      <c r="DN711" s="308">
        <f t="shared" si="275"/>
        <v>45</v>
      </c>
      <c r="DO711" s="309">
        <f t="shared" ca="1" si="276"/>
        <v>186.4798871077864</v>
      </c>
      <c r="DP711" s="310">
        <f t="shared" ca="1" si="307"/>
        <v>19968.570307833725</v>
      </c>
      <c r="DQ711" s="309"/>
      <c r="DR711" s="308">
        <f t="shared" si="277"/>
        <v>45</v>
      </c>
      <c r="DS711" s="309">
        <f ca="1">((VLOOKUP($B711,'Mahawesran Tariff'!$A$21:$M$120,4)*'Comparator (DET)'!$CX711)+(VLOOKUP($B711,'Mahawesran Tariff'!$A$21:$M$120,3)*'Comparator (DET)'!$CY711)+(VLOOKUP($B711,'Mahawesran Tariff'!$A$21:$M$120,2)*'Comparator (DET)'!$CZ711)+(VLOOKUP($B711,'Mahawesran Tariff'!$A$21:$M$120,7)*'Comparator (DET)'!$DF711)+(VLOOKUP($B711,'Mahawesran Tariff'!$A$21:$M$120,6)*'Comparator (DET)'!$DG711)+(VLOOKUP($B711,'Mahawesran Tariff'!$A$21:$M$120,5)*'Comparator (DET)'!$DH711)+(DET_UTIL_chd*('Comparator (DET)'!$DA711+'Comparator (DET)'!$DI711))+(DET_UTIL_copd*('Comparator (DET)'!$DB711+'Comparator (DET)'!$DJ711))+(DET_UTIL_lc*('Comparator (DET)'!$DC711+'Comparator (DET)'!$DK711))+(DET_UTIL_stroke*('Comparator (DET)'!$DD711+'Comparator (DET)'!$DL711)))/((1+Discount_rate_QALYs)^$A711)</f>
        <v>175.22484945534123</v>
      </c>
      <c r="DT711" s="310">
        <f t="shared" ca="1" si="308"/>
        <v>19896.571607842296</v>
      </c>
      <c r="DU711" s="309"/>
      <c r="DV711" s="308">
        <f t="shared" si="278"/>
        <v>45</v>
      </c>
      <c r="DW711" s="318">
        <f t="shared" ca="1" si="279"/>
        <v>65129.761923534323</v>
      </c>
      <c r="DX711" s="319">
        <f t="shared" ca="1" si="309"/>
        <v>5965799.28591986</v>
      </c>
      <c r="DZ711" s="95">
        <f t="shared" si="280"/>
        <v>45</v>
      </c>
      <c r="EA711" s="268">
        <f t="shared" ca="1" si="226"/>
        <v>0.87689529179348358</v>
      </c>
      <c r="EB711" s="268">
        <f t="shared" ca="1" si="227"/>
        <v>0.1231047082065166</v>
      </c>
      <c r="EC711" s="268">
        <f t="shared" ca="1" si="228"/>
        <v>4.5788807522073954E-2</v>
      </c>
      <c r="ED711" s="290">
        <f t="shared" ca="1" si="229"/>
        <v>0.49154888116115647</v>
      </c>
      <c r="EF711" s="95">
        <f t="shared" si="281"/>
        <v>45</v>
      </c>
      <c r="EG711" s="339">
        <f t="shared" ca="1" si="282"/>
        <v>65129.761923534323</v>
      </c>
      <c r="EH711" s="341">
        <f t="shared" ca="1" si="310"/>
        <v>9065931.2217759453</v>
      </c>
      <c r="EJ711" s="308">
        <f t="shared" si="283"/>
        <v>45</v>
      </c>
      <c r="EK711" s="318">
        <f t="shared" ca="1" si="284"/>
        <v>65129.761923534323</v>
      </c>
      <c r="EL711" s="319">
        <f t="shared" ca="1" si="311"/>
        <v>5965799.28591986</v>
      </c>
      <c r="EN711" s="95">
        <f t="shared" si="285"/>
        <v>45</v>
      </c>
      <c r="EO711" s="339">
        <f t="shared" ca="1" si="286"/>
        <v>65129.761923534323</v>
      </c>
      <c r="EP711" s="341">
        <f t="shared" ca="1" si="312"/>
        <v>9065931.2217759453</v>
      </c>
    </row>
    <row r="712" spans="1:146" s="266" customFormat="1" x14ac:dyDescent="0.25">
      <c r="A712" s="313">
        <v>46</v>
      </c>
      <c r="B712" s="314">
        <v>46</v>
      </c>
      <c r="C712" s="308">
        <f>VLOOKUP($B712,'Infant adult mortality'!$A$27:$I$128,3)</f>
        <v>9.5141023147247614E-4</v>
      </c>
      <c r="D712" s="309">
        <f t="shared" si="230"/>
        <v>0.27</v>
      </c>
      <c r="E712" s="309">
        <f>VLOOKUP($B712,'Infant pick up smoking rates'!$A$19:$I$104,3)</f>
        <v>1.5201831243956284E-3</v>
      </c>
      <c r="F712" s="309">
        <f t="shared" si="231"/>
        <v>1.3352975819302986E-2</v>
      </c>
      <c r="G712" s="309">
        <f t="shared" si="232"/>
        <v>0.71417543082482893</v>
      </c>
      <c r="H712" s="309">
        <f>VLOOKUP($B712,'Infant adult mortality'!$A$27:$I$128,3)</f>
        <v>9.5141023147247614E-4</v>
      </c>
      <c r="I712" s="309">
        <f t="shared" si="233"/>
        <v>0.14000000000000001</v>
      </c>
      <c r="J712" s="309">
        <f>VLOOKUP($B712,'Infant pick up smoking rates'!$A$19:$I$104,2)</f>
        <v>1.5201831243956284E-3</v>
      </c>
      <c r="K712" s="309">
        <f t="shared" si="234"/>
        <v>1.3352975819302986E-2</v>
      </c>
      <c r="L712" s="309">
        <f t="shared" si="235"/>
        <v>0.84417543082482893</v>
      </c>
      <c r="M712" s="309">
        <f>VLOOKUP($B712,'Infant adult mortality'!$A$27:$I$128,3)</f>
        <v>9.5141023147247614E-4</v>
      </c>
      <c r="N712" s="309">
        <f t="shared" si="236"/>
        <v>0.5714285714285714</v>
      </c>
      <c r="O712" s="309">
        <f>VLOOKUP($B712,'Infant pick up smoking rates'!$A$19:$I$104,2)</f>
        <v>1.5201831243956284E-3</v>
      </c>
      <c r="P712" s="309">
        <f t="shared" si="237"/>
        <v>8.9777454444675414E-3</v>
      </c>
      <c r="Q712" s="309">
        <f t="shared" si="238"/>
        <v>0.417122089771093</v>
      </c>
      <c r="R712" s="309">
        <f>VLOOKUP($B712,'Infant adult mortality'!$A$27:$I$128,3)</f>
        <v>9.5141023147247614E-4</v>
      </c>
      <c r="S712" s="309">
        <f t="shared" si="239"/>
        <v>8.6261668788331098E-3</v>
      </c>
      <c r="T712" s="309">
        <f>VLOOKUP($B712,'Infant pick up smoking rates'!$A$19:$I$104,2)</f>
        <v>1.5201831243956284E-3</v>
      </c>
      <c r="U712" s="309">
        <f t="shared" si="240"/>
        <v>8.9777454444675414E-3</v>
      </c>
      <c r="V712" s="309">
        <f t="shared" si="241"/>
        <v>0.97992449432083129</v>
      </c>
      <c r="W712" s="309">
        <f>VLOOKUP($B712,'Infant adult mortality'!$A$27:$I$128,3)</f>
        <v>9.5141023147247614E-4</v>
      </c>
      <c r="X712" s="309">
        <f>VLOOKUP($B712,'Infant pick up smoking rates'!$A$19:$I$104,2)</f>
        <v>1.5201831243956284E-3</v>
      </c>
      <c r="Y712" s="309">
        <f t="shared" si="242"/>
        <v>0.99752840664413189</v>
      </c>
      <c r="Z712" s="309">
        <f>VLOOKUP($B712,'Infant adult mortality'!$A$27:$I$128,5)</f>
        <v>1.9266057187317641E-3</v>
      </c>
      <c r="AA712" s="309">
        <f t="shared" si="243"/>
        <v>0.25</v>
      </c>
      <c r="AB712" s="309">
        <f t="shared" si="244"/>
        <v>0.74807339428126829</v>
      </c>
      <c r="AC712" s="309">
        <f>VLOOKUP($B712,'Infant adult mortality'!$A$27:$I$128,5)</f>
        <v>1.9266057187317641E-3</v>
      </c>
      <c r="AD712" s="309">
        <f t="shared" si="245"/>
        <v>0.14000000000000001</v>
      </c>
      <c r="AE712" s="309">
        <f t="shared" si="246"/>
        <v>0.85807339428126828</v>
      </c>
      <c r="AF712" s="309">
        <f>VLOOKUP($B712,'Infant adult mortality'!$A$27:$I$128,4)</f>
        <v>1.1654775335537835E-3</v>
      </c>
      <c r="AG712" s="309">
        <f t="shared" si="247"/>
        <v>0.5714285714285714</v>
      </c>
      <c r="AH712" s="309">
        <f t="shared" si="248"/>
        <v>0.42740595103787482</v>
      </c>
      <c r="AI712" s="309">
        <f>VLOOKUP($B712,'Infant adult mortality'!$A$27:$I$128,4)</f>
        <v>1.1654775335537835E-3</v>
      </c>
      <c r="AJ712" s="309">
        <f t="shared" si="249"/>
        <v>8.6261668788331098E-3</v>
      </c>
      <c r="AK712" s="309">
        <f t="shared" si="250"/>
        <v>0.99020835558761311</v>
      </c>
      <c r="AL712" s="309"/>
      <c r="AM712" s="315">
        <f t="shared" si="287"/>
        <v>52.737998612327445</v>
      </c>
      <c r="AN712" s="316">
        <f t="shared" si="288"/>
        <v>14.592439557324569</v>
      </c>
      <c r="AO712" s="316">
        <f t="shared" si="289"/>
        <v>2.0916305916219824</v>
      </c>
      <c r="AP712" s="316">
        <f t="shared" si="290"/>
        <v>73.342114666702784</v>
      </c>
      <c r="AQ712" s="316">
        <f t="shared" si="291"/>
        <v>23.201693968670408</v>
      </c>
      <c r="AR712" s="316">
        <f t="shared" si="292"/>
        <v>147.0928386481722</v>
      </c>
      <c r="AS712" s="316">
        <f t="shared" si="293"/>
        <v>37.240944385485776</v>
      </c>
      <c r="AT712" s="316">
        <f t="shared" si="294"/>
        <v>5.2812343242198967</v>
      </c>
      <c r="AU712" s="316">
        <f t="shared" si="295"/>
        <v>88.992046182505845</v>
      </c>
      <c r="AV712" s="316">
        <f t="shared" si="296"/>
        <v>65.427059062968908</v>
      </c>
      <c r="AW712" s="317">
        <f t="shared" si="251"/>
        <v>509.99999999999983</v>
      </c>
      <c r="AX712" s="309"/>
      <c r="AY712" s="308">
        <f>VLOOKUP($B712,'Infant adult mortality'!$A$134:$I$234,3)</f>
        <v>5.4510795565065168E-4</v>
      </c>
      <c r="AZ712" s="309">
        <f t="shared" si="252"/>
        <v>0.27</v>
      </c>
      <c r="BA712" s="309">
        <f ca="1">VLOOKUP($B712,'Infant pick up smoking rates'!$A$19:$I$104,7)</f>
        <v>3.9916955482353625E-3</v>
      </c>
      <c r="BB712" s="309">
        <f t="shared" si="253"/>
        <v>1.3352975819302986E-2</v>
      </c>
      <c r="BC712" s="309">
        <f t="shared" ca="1" si="254"/>
        <v>0.71211022067681107</v>
      </c>
      <c r="BD712" s="309">
        <f>VLOOKUP($B712,'Infant adult mortality'!$A$134:$I$234,3)</f>
        <v>5.4510795565065168E-4</v>
      </c>
      <c r="BE712" s="309">
        <f t="shared" si="255"/>
        <v>0.14000000000000001</v>
      </c>
      <c r="BF712" s="309">
        <f>VLOOKUP($B712,'Infant pick up smoking rates'!$A$19:$I$104,6)</f>
        <v>1.9288936901483743E-3</v>
      </c>
      <c r="BG712" s="309">
        <f t="shared" si="256"/>
        <v>1.3352975819302986E-2</v>
      </c>
      <c r="BH712" s="309">
        <f t="shared" si="257"/>
        <v>0.84417302253489801</v>
      </c>
      <c r="BI712" s="309">
        <f>VLOOKUP($B712,'Infant adult mortality'!$A$134:$I$234,3)</f>
        <v>5.4510795565065168E-4</v>
      </c>
      <c r="BJ712" s="309">
        <f t="shared" si="258"/>
        <v>0.5714285714285714</v>
      </c>
      <c r="BK712" s="309">
        <f>VLOOKUP($B712,'Infant pick up smoking rates'!$A$19:$I$104,6)</f>
        <v>1.9288936901483743E-3</v>
      </c>
      <c r="BL712" s="309">
        <f t="shared" si="259"/>
        <v>8.9777454444675414E-3</v>
      </c>
      <c r="BM712" s="309">
        <f t="shared" si="260"/>
        <v>0.41711968148116207</v>
      </c>
      <c r="BN712" s="309">
        <f>VLOOKUP($B712,'Infant adult mortality'!$A$134:$I$234,3)</f>
        <v>5.4510795565065168E-4</v>
      </c>
      <c r="BO712" s="309">
        <f t="shared" si="261"/>
        <v>8.6261668788331098E-3</v>
      </c>
      <c r="BP712" s="309">
        <f>VLOOKUP($B712,'Infant pick up smoking rates'!$A$19:$I$104,6)</f>
        <v>1.9288936901483743E-3</v>
      </c>
      <c r="BQ712" s="309">
        <f t="shared" si="262"/>
        <v>8.9777454444675414E-3</v>
      </c>
      <c r="BR712" s="309">
        <f t="shared" si="263"/>
        <v>0.97992208603090036</v>
      </c>
      <c r="BS712" s="309">
        <f>VLOOKUP($B712,'Infant adult mortality'!$A$134:$I$234,3)</f>
        <v>5.4510795565065168E-4</v>
      </c>
      <c r="BT712" s="309">
        <f>VLOOKUP($B712,'Infant pick up smoking rates'!$A$19:$I$104,6)</f>
        <v>1.9288936901483743E-3</v>
      </c>
      <c r="BU712" s="309">
        <f t="shared" si="264"/>
        <v>0.99752599835420097</v>
      </c>
      <c r="BV712" s="309">
        <f>VLOOKUP($B712,'Infant adult mortality'!$A$134:$I$234,5)</f>
        <v>1.1038436101925696E-3</v>
      </c>
      <c r="BW712" s="309">
        <f t="shared" si="265"/>
        <v>0.27</v>
      </c>
      <c r="BX712" s="309">
        <f t="shared" si="266"/>
        <v>0.72889615638980743</v>
      </c>
      <c r="BY712" s="309">
        <f>VLOOKUP($B712,'Infant adult mortality'!$A$134:$I$234,5)</f>
        <v>1.1038436101925696E-3</v>
      </c>
      <c r="BZ712" s="309">
        <f t="shared" si="267"/>
        <v>0.14000000000000001</v>
      </c>
      <c r="CA712" s="309">
        <f t="shared" si="268"/>
        <v>0.85889615638980743</v>
      </c>
      <c r="CB712" s="309">
        <f>VLOOKUP($B712,'Infant adult mortality'!$A$134:$I$234,4)</f>
        <v>6.677572456720484E-4</v>
      </c>
      <c r="CC712" s="309">
        <f t="shared" si="269"/>
        <v>0.5714285714285714</v>
      </c>
      <c r="CD712" s="309">
        <f t="shared" si="270"/>
        <v>0.42790367132575657</v>
      </c>
      <c r="CE712" s="309">
        <f>VLOOKUP($B712,'Infant adult mortality'!$A$134:$I$234,4)</f>
        <v>6.677572456720484E-4</v>
      </c>
      <c r="CF712" s="309">
        <f t="shared" si="271"/>
        <v>8.6261668788331098E-3</v>
      </c>
      <c r="CG712" s="309">
        <f t="shared" si="272"/>
        <v>0.99070607587549486</v>
      </c>
      <c r="CH712" s="309"/>
      <c r="CI712" s="315">
        <f t="shared" ca="1" si="297"/>
        <v>69.989560958477327</v>
      </c>
      <c r="CJ712" s="316">
        <f t="shared" ca="1" si="298"/>
        <v>19.402247803643284</v>
      </c>
      <c r="CK712" s="316">
        <f t="shared" ca="1" si="299"/>
        <v>2.7862608473476342</v>
      </c>
      <c r="CL712" s="316">
        <f t="shared" ca="1" si="300"/>
        <v>95.390695925921207</v>
      </c>
      <c r="CM712" s="316">
        <f t="shared" ca="1" si="301"/>
        <v>30.710587423721019</v>
      </c>
      <c r="CN712" s="316">
        <f t="shared" ca="1" si="302"/>
        <v>110.21215298760168</v>
      </c>
      <c r="CO712" s="316">
        <f t="shared" ca="1" si="303"/>
        <v>30.058391232740682</v>
      </c>
      <c r="CP712" s="316">
        <f t="shared" ca="1" si="304"/>
        <v>4.2513518237741392</v>
      </c>
      <c r="CQ712" s="316">
        <f t="shared" ca="1" si="305"/>
        <v>68.572553232938304</v>
      </c>
      <c r="CR712" s="316">
        <f t="shared" ca="1" si="306"/>
        <v>58.626197763835165</v>
      </c>
      <c r="CS712" s="317">
        <f t="shared" ca="1" si="273"/>
        <v>490.00000000000045</v>
      </c>
      <c r="CT712" s="309"/>
      <c r="CU712" s="309">
        <f t="shared" ca="1" si="274"/>
        <v>1000.0000000000002</v>
      </c>
      <c r="CV712" s="309" t="str">
        <f t="shared" ca="1" si="225"/>
        <v>OKAY</v>
      </c>
      <c r="CW712" s="309"/>
      <c r="CX712" s="315">
        <f>(SUM($AR712:$AS712))-((SUM($AR712:$AS712)*VLOOKUP($B712,Lifetime_morbidity_array!$A$30:$Y$48,4))+(SUM($AR712:$AS712)*VLOOKUP($B712,Lifetime_morbidity_array!$A$30:$Y$48,7))+(SUM($AR712:$AS712)*VLOOKUP($B712,Lifetime_morbidity_array!$A$30:$Y$48,10))+(SUM($AR712:$AS712)*VLOOKUP($B712,Lifetime_morbidity_array!$A$30:$Y$48,13)))</f>
        <v>163.61768029468411</v>
      </c>
      <c r="CY712" s="316">
        <f>(SUM($AT712:$AU712))-((SUM($AT712:$AU712)*(VLOOKUP($B712,Lifetime_morbidity_array!$A$30:$Y$48,3)))+(SUM($AT712:$AU712)*(VLOOKUP($B712,Lifetime_morbidity_array!$A$30:$Y$48,6)))+(SUM($AT712:$AU712)*(VLOOKUP($B712,Lifetime_morbidity_array!$A$30:$Y$48,9)))+(SUM($AT712:$AU712)*(VLOOKUP($B712,Lifetime_morbidity_array!$A$30:$Y$48,12))))</f>
        <v>89.375648228686487</v>
      </c>
      <c r="CZ712" s="316">
        <f>(SUM($AM712:$AQ712))-((SUM($AM712:$AQ712)*VLOOKUP($B712,Lifetime_morbidity_array!$A$30:$Y$48,2))+(SUM($AM712:$AQ712)*VLOOKUP($B712,Lifetime_morbidity_array!$A$30:$Y$48,5))+(SUM($AM712:$AQ712)*VLOOKUP($B712,Lifetime_morbidity_array!$A$30:$Y$48,8))+(SUM($AM712:$AQ712)*VLOOKUP($B712,Lifetime_morbidity_array!$A$30:$Y$48,11)))</f>
        <v>160.78973272431764</v>
      </c>
      <c r="DA712" s="316">
        <f>(SUM($AM712:$AQ712)*VLOOKUP($B712,Lifetime_morbidity_array!$A$30:$Y$48,2))+(SUM($AR712:$AS712)*VLOOKUP($B712,Lifetime_morbidity_array!$A$30:$Y$48,4))+(SUM($AT712:$AU712)*(VLOOKUP($B712,Lifetime_morbidity_array!$A$30:$Y$48,3)))</f>
        <v>20.570311182404474</v>
      </c>
      <c r="DB712" s="316">
        <f>(SUM($AM712:$AQ712)*VLOOKUP($B712,Lifetime_morbidity_array!$A$30:$Y$48,5))+(SUM($AR712:$AS712)*VLOOKUP($B712,Lifetime_morbidity_array!$A$30:$Y$48,7))+(SUM($AT712:$AU712)*(VLOOKUP($B712,Lifetime_morbidity_array!$A$30:$Y$48,6)))</f>
        <v>2.7914564065630478</v>
      </c>
      <c r="DC712" s="316">
        <f>(SUM($AM712:$AQ712)*VLOOKUP($B712,Lifetime_morbidity_array!$A$30:$Y$48,8))+(SUM($AR712:$AS712)*VLOOKUP($B712,Lifetime_morbidity_array!$A$30:$Y$48,10))+(SUM($AT712:$AU712)*(VLOOKUP($B712,Lifetime_morbidity_array!$A$30:$Y$48,9)))</f>
        <v>1.0321951880254436</v>
      </c>
      <c r="DD712" s="317">
        <f>(SUM($AM712:$AQ712)*VLOOKUP($B712,Lifetime_morbidity_array!$A$30:$Y$48,11))+(SUM($AR712:$AS712)*VLOOKUP($B712,Lifetime_morbidity_array!$A$30:$Y$48,13))+(SUM($AT712:$AU712)*(VLOOKUP($B712,Lifetime_morbidity_array!$A$30:$Y$48,12)))</f>
        <v>6.3959169123497173</v>
      </c>
      <c r="DE712" s="309"/>
      <c r="DF712" s="315">
        <f ca="1">(SUM($CN712:$CO712))-((SUM($CN712:$CO712)*VLOOKUP($B712,Lifetime_morbidity_array!$A$6:$Y$24,4))+(SUM($CN712:$CO712)*VLOOKUP($B712,Lifetime_morbidity_array!$A$6:$Y$24,7))+(SUM($CN712:$CO712)*VLOOKUP($B712,Lifetime_morbidity_array!$A$6:$Y$24,10))+(SUM($CN712:$CO712)*VLOOKUP($B712,Lifetime_morbidity_array!$A$6:$Y$24,13)))</f>
        <v>130.89814445579194</v>
      </c>
      <c r="DG712" s="316">
        <f ca="1">(SUM($CP712:$CQ712))-(((SUM($CP712:$CQ712)*VLOOKUP($B712,Lifetime_morbidity_array!$A$6:$Y$24,3))+(SUM($CP712:$CQ712)*VLOOKUP($B712,Lifetime_morbidity_array!$A$6:$Y$24,6))+(SUM($CP712:$CQ712)*VLOOKUP($B712,Lifetime_morbidity_array!$A$6:$Y$24,9))+(SUM($CP712:$CQ712)*VLOOKUP($B712,Lifetime_morbidity_array!$A$6:$Y$24,12))))</f>
        <v>70.914318669598799</v>
      </c>
      <c r="DH712" s="316">
        <f ca="1">(SUM($CI712:$CM712))-((SUM($CI712:$CM712)*VLOOKUP($B712,Lifetime_morbidity_array!$A$6:$Y$24,2))+(SUM($CI712:$CM712)*VLOOKUP($B712,Lifetime_morbidity_array!$A$6:$Y$24,5))+(SUM($CI712:$CM712)*VLOOKUP($B712,Lifetime_morbidity_array!$A$6:$Y$24,8))+(SUM($CI712:$CM712)*VLOOKUP($B712,Lifetime_morbidity_array!$A$6:$Y$24,11)))</f>
        <v>214.78777456202593</v>
      </c>
      <c r="DI712" s="316">
        <f ca="1">(SUM($CI712:$CM712)*VLOOKUP($B712,Lifetime_morbidity_array!$A$6:$Y$24,2))+(SUM($CN712:$CO712)*VLOOKUP($B712,Lifetime_morbidity_array!$A$6:$Y$24,4))+(SUM($CP712:$CQ712)*VLOOKUP($B712,Lifetime_morbidity_array!$A$6:$Y$24,3))</f>
        <v>6.9422948312667394</v>
      </c>
      <c r="DJ712" s="316">
        <f ca="1">(SUM($CI712:$CM712)*VLOOKUP($B712,Lifetime_morbidity_array!$A$6:$Y$24,5))+(SUM($CN712:$CO712)*VLOOKUP($B712,Lifetime_morbidity_array!$A$6:$Y$24,7))+(SUM($CP712:$CQ712)*VLOOKUP($B712,Lifetime_morbidity_array!$A$6:$Y$24,6))</f>
        <v>2.967421769605219</v>
      </c>
      <c r="DK712" s="316">
        <f ca="1">(SUM($CI712:$CM712)*VLOOKUP($B712,Lifetime_morbidity_array!$A$6:$Y$24,8))+(SUM($CN712:$CO712)*VLOOKUP($B712,Lifetime_morbidity_array!$A$6:$Y$24,10))+(SUM($CP712:$CQ712)*VLOOKUP($B712,Lifetime_morbidity_array!$A$6:$Y$24,9))</f>
        <v>0.42187372701383014</v>
      </c>
      <c r="DL712" s="317">
        <f ca="1">(SUM($CI712:$CM712)*VLOOKUP($B712,Lifetime_morbidity_array!$A$6:$Y$24,11))+(SUM($CN712:$CO712)*VLOOKUP($B712,Lifetime_morbidity_array!$A$6:$Y$24,13))+(SUM($CP712:$CQ712)*VLOOKUP($B712,Lifetime_morbidity_array!$A$6:$Y$24,12))</f>
        <v>4.4419742208628117</v>
      </c>
      <c r="DM712" s="309"/>
      <c r="DN712" s="308">
        <f t="shared" si="275"/>
        <v>46</v>
      </c>
      <c r="DO712" s="309">
        <f t="shared" ca="1" si="276"/>
        <v>179.97890770843728</v>
      </c>
      <c r="DP712" s="310">
        <f t="shared" ca="1" si="307"/>
        <v>20148.549215542163</v>
      </c>
      <c r="DQ712" s="309"/>
      <c r="DR712" s="308">
        <f t="shared" si="277"/>
        <v>46</v>
      </c>
      <c r="DS712" s="309">
        <f ca="1">((VLOOKUP($B712,'Mahawesran Tariff'!$A$21:$M$120,4)*'Comparator (DET)'!$CX712)+(VLOOKUP($B712,'Mahawesran Tariff'!$A$21:$M$120,3)*'Comparator (DET)'!$CY712)+(VLOOKUP($B712,'Mahawesran Tariff'!$A$21:$M$120,2)*'Comparator (DET)'!$CZ712)+(VLOOKUP($B712,'Mahawesran Tariff'!$A$21:$M$120,7)*'Comparator (DET)'!$DF712)+(VLOOKUP($B712,'Mahawesran Tariff'!$A$21:$M$120,6)*'Comparator (DET)'!$DG712)+(VLOOKUP($B712,'Mahawesran Tariff'!$A$21:$M$120,5)*'Comparator (DET)'!$DH712)+(DET_UTIL_chd*('Comparator (DET)'!$DA712+'Comparator (DET)'!$DI712))+(DET_UTIL_copd*('Comparator (DET)'!$DB712+'Comparator (DET)'!$DJ712))+(DET_UTIL_lc*('Comparator (DET)'!$DC712+'Comparator (DET)'!$DK712))+(DET_UTIL_stroke*('Comparator (DET)'!$DD712+'Comparator (DET)'!$DL712)))/((1+Discount_rate_QALYs)^$A712)</f>
        <v>169.13140914106037</v>
      </c>
      <c r="DT712" s="310">
        <f t="shared" ca="1" si="308"/>
        <v>20065.703016983356</v>
      </c>
      <c r="DU712" s="309"/>
      <c r="DV712" s="308">
        <f t="shared" si="278"/>
        <v>46</v>
      </c>
      <c r="DW712" s="318">
        <f t="shared" ca="1" si="279"/>
        <v>62624.414420736663</v>
      </c>
      <c r="DX712" s="319">
        <f t="shared" ca="1" si="309"/>
        <v>6028423.700340597</v>
      </c>
      <c r="DZ712" s="95">
        <f t="shared" si="280"/>
        <v>46</v>
      </c>
      <c r="EA712" s="268">
        <f t="shared" ca="1" si="226"/>
        <v>0.87594674317319621</v>
      </c>
      <c r="EB712" s="268">
        <f t="shared" ca="1" si="227"/>
        <v>0.12405325682680407</v>
      </c>
      <c r="EC712" s="268">
        <f t="shared" ca="1" si="228"/>
        <v>4.5563444238091277E-2</v>
      </c>
      <c r="ED712" s="290">
        <f t="shared" ca="1" si="229"/>
        <v>0.49170151281743851</v>
      </c>
      <c r="EF712" s="95">
        <f t="shared" si="281"/>
        <v>46</v>
      </c>
      <c r="EG712" s="339">
        <f t="shared" ca="1" si="282"/>
        <v>62624.414420736663</v>
      </c>
      <c r="EH712" s="341">
        <f t="shared" ca="1" si="310"/>
        <v>9128555.6361966822</v>
      </c>
      <c r="EJ712" s="308">
        <f t="shared" si="283"/>
        <v>46</v>
      </c>
      <c r="EK712" s="318">
        <f t="shared" ca="1" si="284"/>
        <v>62624.414420736663</v>
      </c>
      <c r="EL712" s="319">
        <f t="shared" ca="1" si="311"/>
        <v>6028423.700340597</v>
      </c>
      <c r="EN712" s="95">
        <f t="shared" si="285"/>
        <v>46</v>
      </c>
      <c r="EO712" s="339">
        <f t="shared" ca="1" si="286"/>
        <v>62624.414420736663</v>
      </c>
      <c r="EP712" s="341">
        <f t="shared" ca="1" si="312"/>
        <v>9128555.6361966822</v>
      </c>
    </row>
    <row r="713" spans="1:146" s="266" customFormat="1" x14ac:dyDescent="0.25">
      <c r="A713" s="313">
        <v>47</v>
      </c>
      <c r="B713" s="314">
        <v>47</v>
      </c>
      <c r="C713" s="308">
        <f>VLOOKUP($B713,'Infant adult mortality'!$A$27:$I$128,3)</f>
        <v>9.4565259677105635E-4</v>
      </c>
      <c r="D713" s="309">
        <f t="shared" si="230"/>
        <v>0.27</v>
      </c>
      <c r="E713" s="309">
        <f>VLOOKUP($B713,'Infant pick up smoking rates'!$A$19:$I$104,3)</f>
        <v>1.5201831243956284E-3</v>
      </c>
      <c r="F713" s="309">
        <f t="shared" si="231"/>
        <v>1.4538314972632162E-2</v>
      </c>
      <c r="G713" s="309">
        <f t="shared" si="232"/>
        <v>0.71299584930620119</v>
      </c>
      <c r="H713" s="309">
        <f>VLOOKUP($B713,'Infant adult mortality'!$A$27:$I$128,3)</f>
        <v>9.4565259677105635E-4</v>
      </c>
      <c r="I713" s="309">
        <f t="shared" si="233"/>
        <v>0.14000000000000001</v>
      </c>
      <c r="J713" s="309">
        <f>VLOOKUP($B713,'Infant pick up smoking rates'!$A$19:$I$104,2)</f>
        <v>1.5201831243956284E-3</v>
      </c>
      <c r="K713" s="309">
        <f t="shared" si="234"/>
        <v>1.4538314972632162E-2</v>
      </c>
      <c r="L713" s="309">
        <f t="shared" si="235"/>
        <v>0.84299584930620119</v>
      </c>
      <c r="M713" s="309">
        <f>VLOOKUP($B713,'Infant adult mortality'!$A$27:$I$128,3)</f>
        <v>9.4565259677105635E-4</v>
      </c>
      <c r="N713" s="309">
        <f t="shared" si="236"/>
        <v>0.5714285714285714</v>
      </c>
      <c r="O713" s="309">
        <f>VLOOKUP($B713,'Infant pick up smoking rates'!$A$19:$I$104,2)</f>
        <v>1.5201831243956284E-3</v>
      </c>
      <c r="P713" s="309">
        <f t="shared" si="237"/>
        <v>9.7746968752165184E-3</v>
      </c>
      <c r="Q713" s="309">
        <f t="shared" si="238"/>
        <v>0.41633089597504547</v>
      </c>
      <c r="R713" s="309">
        <f>VLOOKUP($B713,'Infant adult mortality'!$A$27:$I$128,3)</f>
        <v>9.4565259677105635E-4</v>
      </c>
      <c r="S713" s="309">
        <f t="shared" si="239"/>
        <v>8.6261668788331098E-3</v>
      </c>
      <c r="T713" s="309">
        <f>VLOOKUP($B713,'Infant pick up smoking rates'!$A$19:$I$104,2)</f>
        <v>1.5201831243956284E-3</v>
      </c>
      <c r="U713" s="309">
        <f t="shared" si="240"/>
        <v>9.7746968752165184E-3</v>
      </c>
      <c r="V713" s="309">
        <f t="shared" si="241"/>
        <v>0.97913330052478376</v>
      </c>
      <c r="W713" s="309">
        <f>VLOOKUP($B713,'Infant adult mortality'!$A$27:$I$128,3)</f>
        <v>9.4565259677105635E-4</v>
      </c>
      <c r="X713" s="309">
        <f>VLOOKUP($B713,'Infant pick up smoking rates'!$A$19:$I$104,2)</f>
        <v>1.5201831243956284E-3</v>
      </c>
      <c r="Y713" s="309">
        <f t="shared" si="242"/>
        <v>0.99753416427883335</v>
      </c>
      <c r="Z713" s="309">
        <f>VLOOKUP($B713,'Infant adult mortality'!$A$27:$I$128,5)</f>
        <v>1.9149465084613889E-3</v>
      </c>
      <c r="AA713" s="309">
        <f t="shared" ref="AA713:AA744" si="313">DET_P_01Q_CS_MALE</f>
        <v>0.25</v>
      </c>
      <c r="AB713" s="309">
        <f t="shared" si="244"/>
        <v>0.74808505349153864</v>
      </c>
      <c r="AC713" s="309">
        <f>VLOOKUP($B713,'Infant adult mortality'!$A$27:$I$128,5)</f>
        <v>1.9149465084613889E-3</v>
      </c>
      <c r="AD713" s="309">
        <f t="shared" ref="AD713:AD744" si="314">DET_P_12Q_01Q</f>
        <v>0.14000000000000001</v>
      </c>
      <c r="AE713" s="309">
        <f t="shared" si="246"/>
        <v>0.85808505349153863</v>
      </c>
      <c r="AF713" s="309">
        <f>VLOOKUP($B713,'Infant adult mortality'!$A$27:$I$128,4)</f>
        <v>1.1584244310445442E-3</v>
      </c>
      <c r="AG713" s="309">
        <f t="shared" ref="AG713:AG744" si="315">DET_P_LTQ_12Q</f>
        <v>0.5714285714285714</v>
      </c>
      <c r="AH713" s="309">
        <f t="shared" si="248"/>
        <v>0.42741300414038408</v>
      </c>
      <c r="AI713" s="309">
        <f>VLOOKUP($B713,'Infant adult mortality'!$A$27:$I$128,4)</f>
        <v>1.1584244310445442E-3</v>
      </c>
      <c r="AJ713" s="309">
        <f t="shared" ref="AJ713:AJ744" si="316">DET_P_CS_LTQ</f>
        <v>8.6261668788331098E-3</v>
      </c>
      <c r="AK713" s="309">
        <f t="shared" si="250"/>
        <v>0.99021540869012237</v>
      </c>
      <c r="AL713" s="309"/>
      <c r="AM713" s="315">
        <f t="shared" si="287"/>
        <v>51.406811848002185</v>
      </c>
      <c r="AN713" s="316">
        <f t="shared" si="288"/>
        <v>14.239259625328412</v>
      </c>
      <c r="AO713" s="316">
        <f t="shared" si="289"/>
        <v>2.0429415380254401</v>
      </c>
      <c r="AP713" s="316">
        <f t="shared" si="290"/>
        <v>73.006924282002686</v>
      </c>
      <c r="AQ713" s="316">
        <f t="shared" si="291"/>
        <v>24.860695514309047</v>
      </c>
      <c r="AR713" s="316">
        <f t="shared" si="292"/>
        <v>145.27107881882228</v>
      </c>
      <c r="AS713" s="316">
        <f t="shared" si="293"/>
        <v>36.773209662043051</v>
      </c>
      <c r="AT713" s="316">
        <f t="shared" si="294"/>
        <v>5.2137322139680089</v>
      </c>
      <c r="AU713" s="316">
        <f t="shared" si="295"/>
        <v>91.139143566048773</v>
      </c>
      <c r="AV713" s="316">
        <f t="shared" si="296"/>
        <v>66.046202931449912</v>
      </c>
      <c r="AW713" s="317">
        <f t="shared" si="251"/>
        <v>509.99999999999977</v>
      </c>
      <c r="AX713" s="309"/>
      <c r="AY713" s="308">
        <f>VLOOKUP($B713,'Infant adult mortality'!$A$134:$I$234,3)</f>
        <v>5.7739739350320951E-4</v>
      </c>
      <c r="AZ713" s="309">
        <f t="shared" si="252"/>
        <v>0.27</v>
      </c>
      <c r="BA713" s="309">
        <f ca="1">VLOOKUP($B713,'Infant pick up smoking rates'!$A$19:$I$104,7)</f>
        <v>3.9916955482353625E-3</v>
      </c>
      <c r="BB713" s="309">
        <f t="shared" si="253"/>
        <v>1.4538314972632162E-2</v>
      </c>
      <c r="BC713" s="309">
        <f t="shared" ca="1" si="254"/>
        <v>0.71089259208562927</v>
      </c>
      <c r="BD713" s="309">
        <f>VLOOKUP($B713,'Infant adult mortality'!$A$134:$I$234,3)</f>
        <v>5.7739739350320951E-4</v>
      </c>
      <c r="BE713" s="309">
        <f t="shared" si="255"/>
        <v>0.14000000000000001</v>
      </c>
      <c r="BF713" s="309">
        <f>VLOOKUP($B713,'Infant pick up smoking rates'!$A$19:$I$104,6)</f>
        <v>1.9288936901483743E-3</v>
      </c>
      <c r="BG713" s="309">
        <f t="shared" si="256"/>
        <v>1.4538314972632162E-2</v>
      </c>
      <c r="BH713" s="309">
        <f t="shared" si="257"/>
        <v>0.84295539394371621</v>
      </c>
      <c r="BI713" s="309">
        <f>VLOOKUP($B713,'Infant adult mortality'!$A$134:$I$234,3)</f>
        <v>5.7739739350320951E-4</v>
      </c>
      <c r="BJ713" s="309">
        <f t="shared" si="258"/>
        <v>0.5714285714285714</v>
      </c>
      <c r="BK713" s="309">
        <f>VLOOKUP($B713,'Infant pick up smoking rates'!$A$19:$I$104,6)</f>
        <v>1.9288936901483743E-3</v>
      </c>
      <c r="BL713" s="309">
        <f t="shared" si="259"/>
        <v>9.7746968752165184E-3</v>
      </c>
      <c r="BM713" s="309">
        <f t="shared" si="260"/>
        <v>0.41629044061256054</v>
      </c>
      <c r="BN713" s="309">
        <f>VLOOKUP($B713,'Infant adult mortality'!$A$134:$I$234,3)</f>
        <v>5.7739739350320951E-4</v>
      </c>
      <c r="BO713" s="309">
        <f t="shared" si="261"/>
        <v>8.6261668788331098E-3</v>
      </c>
      <c r="BP713" s="309">
        <f>VLOOKUP($B713,'Infant pick up smoking rates'!$A$19:$I$104,6)</f>
        <v>1.9288936901483743E-3</v>
      </c>
      <c r="BQ713" s="309">
        <f t="shared" si="262"/>
        <v>9.7746968752165184E-3</v>
      </c>
      <c r="BR713" s="309">
        <f t="shared" si="263"/>
        <v>0.97909284516229889</v>
      </c>
      <c r="BS713" s="309">
        <f>VLOOKUP($B713,'Infant adult mortality'!$A$134:$I$234,3)</f>
        <v>5.7739739350320951E-4</v>
      </c>
      <c r="BT713" s="309">
        <f>VLOOKUP($B713,'Infant pick up smoking rates'!$A$19:$I$104,6)</f>
        <v>1.9288936901483743E-3</v>
      </c>
      <c r="BU713" s="309">
        <f t="shared" si="264"/>
        <v>0.99749370891634848</v>
      </c>
      <c r="BV713" s="309">
        <f>VLOOKUP($B713,'Infant adult mortality'!$A$134:$I$234,5)</f>
        <v>1.1692297218439992E-3</v>
      </c>
      <c r="BW713" s="309">
        <f t="shared" si="265"/>
        <v>0.27</v>
      </c>
      <c r="BX713" s="309">
        <f t="shared" si="266"/>
        <v>0.72883077027815601</v>
      </c>
      <c r="BY713" s="309">
        <f>VLOOKUP($B713,'Infant adult mortality'!$A$134:$I$234,5)</f>
        <v>1.1692297218439992E-3</v>
      </c>
      <c r="BZ713" s="309">
        <f t="shared" si="267"/>
        <v>0.14000000000000001</v>
      </c>
      <c r="CA713" s="309">
        <f t="shared" si="268"/>
        <v>0.85883077027815602</v>
      </c>
      <c r="CB713" s="309">
        <f>VLOOKUP($B713,'Infant adult mortality'!$A$134:$I$234,4)</f>
        <v>7.0731180704143169E-4</v>
      </c>
      <c r="CC713" s="309">
        <f t="shared" si="269"/>
        <v>0.5714285714285714</v>
      </c>
      <c r="CD713" s="309">
        <f t="shared" si="270"/>
        <v>0.42786411676438718</v>
      </c>
      <c r="CE713" s="309">
        <f>VLOOKUP($B713,'Infant adult mortality'!$A$134:$I$234,4)</f>
        <v>7.0731180704143169E-4</v>
      </c>
      <c r="CF713" s="309">
        <f t="shared" si="271"/>
        <v>8.6261668788331098E-3</v>
      </c>
      <c r="CG713" s="309">
        <f t="shared" si="272"/>
        <v>0.99066652131412547</v>
      </c>
      <c r="CH713" s="309"/>
      <c r="CI713" s="315">
        <f t="shared" ca="1" si="297"/>
        <v>68.093039666969744</v>
      </c>
      <c r="CJ713" s="316">
        <f t="shared" ca="1" si="298"/>
        <v>18.897181458788879</v>
      </c>
      <c r="CK713" s="316">
        <f t="shared" ca="1" si="299"/>
        <v>2.7163146925100601</v>
      </c>
      <c r="CL713" s="316">
        <f t="shared" ca="1" si="300"/>
        <v>94.988496931749125</v>
      </c>
      <c r="CM713" s="316">
        <f t="shared" ca="1" si="301"/>
        <v>32.892874016634195</v>
      </c>
      <c r="CN713" s="316">
        <f t="shared" ca="1" si="302"/>
        <v>109.11701109533769</v>
      </c>
      <c r="CO713" s="316">
        <f t="shared" ca="1" si="303"/>
        <v>29.757281306652455</v>
      </c>
      <c r="CP713" s="316">
        <f t="shared" ca="1" si="304"/>
        <v>4.2081747725836962</v>
      </c>
      <c r="CQ713" s="316">
        <f t="shared" ca="1" si="305"/>
        <v>70.361876668202186</v>
      </c>
      <c r="CR713" s="316">
        <f t="shared" ca="1" si="306"/>
        <v>58.967749390572472</v>
      </c>
      <c r="CS713" s="317">
        <f t="shared" ca="1" si="273"/>
        <v>490.0000000000004</v>
      </c>
      <c r="CT713" s="309"/>
      <c r="CU713" s="309">
        <f t="shared" ca="1" si="274"/>
        <v>1000.0000000000002</v>
      </c>
      <c r="CV713" s="309" t="str">
        <f t="shared" ref="CV713:CV744" ca="1" si="317">IF(CU713=Cohort,"OKAY",IF(CU713&lt;Cohort,"Too few","Too many"))</f>
        <v>OKAY</v>
      </c>
      <c r="CW713" s="309"/>
      <c r="CX713" s="315">
        <f>(SUM($AR713:$AS713))-((SUM($AR713:$AS713)*VLOOKUP($B713,Lifetime_morbidity_array!$A$30:$Y$48,4))+(SUM($AR713:$AS713)*VLOOKUP($B713,Lifetime_morbidity_array!$A$30:$Y$48,7))+(SUM($AR713:$AS713)*VLOOKUP($B713,Lifetime_morbidity_array!$A$30:$Y$48,10))+(SUM($AR713:$AS713)*VLOOKUP($B713,Lifetime_morbidity_array!$A$30:$Y$48,13)))</f>
        <v>161.58548748873028</v>
      </c>
      <c r="CY713" s="316">
        <f>(SUM($AT713:$AU713))-((SUM($AT713:$AU713)*(VLOOKUP($B713,Lifetime_morbidity_array!$A$30:$Y$48,3)))+(SUM($AT713:$AU713)*(VLOOKUP($B713,Lifetime_morbidity_array!$A$30:$Y$48,6)))+(SUM($AT713:$AU713)*(VLOOKUP($B713,Lifetime_morbidity_array!$A$30:$Y$48,9)))+(SUM($AT713:$AU713)*(VLOOKUP($B713,Lifetime_morbidity_array!$A$30:$Y$48,12))))</f>
        <v>91.34720554168824</v>
      </c>
      <c r="CZ713" s="316">
        <f>(SUM($AM713:$AQ713))-((SUM($AM713:$AQ713)*VLOOKUP($B713,Lifetime_morbidity_array!$A$30:$Y$48,2))+(SUM($AM713:$AQ713)*VLOOKUP($B713,Lifetime_morbidity_array!$A$30:$Y$48,5))+(SUM($AM713:$AQ713)*VLOOKUP($B713,Lifetime_morbidity_array!$A$30:$Y$48,8))+(SUM($AM713:$AQ713)*VLOOKUP($B713,Lifetime_morbidity_array!$A$30:$Y$48,11)))</f>
        <v>160.39325165776918</v>
      </c>
      <c r="DA713" s="316">
        <f>(SUM($AM713:$AQ713)*VLOOKUP($B713,Lifetime_morbidity_array!$A$30:$Y$48,2))+(SUM($AR713:$AS713)*VLOOKUP($B713,Lifetime_morbidity_array!$A$30:$Y$48,4))+(SUM($AT713:$AU713)*(VLOOKUP($B713,Lifetime_morbidity_array!$A$30:$Y$48,3)))</f>
        <v>20.463197615170824</v>
      </c>
      <c r="DB713" s="316">
        <f>(SUM($AM713:$AQ713)*VLOOKUP($B713,Lifetime_morbidity_array!$A$30:$Y$48,5))+(SUM($AR713:$AS713)*VLOOKUP($B713,Lifetime_morbidity_array!$A$30:$Y$48,7))+(SUM($AT713:$AU713)*(VLOOKUP($B713,Lifetime_morbidity_array!$A$30:$Y$48,6)))</f>
        <v>2.777428220192641</v>
      </c>
      <c r="DC713" s="316">
        <f>(SUM($AM713:$AQ713)*VLOOKUP($B713,Lifetime_morbidity_array!$A$30:$Y$48,8))+(SUM($AR713:$AS713)*VLOOKUP($B713,Lifetime_morbidity_array!$A$30:$Y$48,10))+(SUM($AT713:$AU713)*(VLOOKUP($B713,Lifetime_morbidity_array!$A$30:$Y$48,9)))</f>
        <v>1.0244856141908461</v>
      </c>
      <c r="DD713" s="317">
        <f>(SUM($AM713:$AQ713)*VLOOKUP($B713,Lifetime_morbidity_array!$A$30:$Y$48,11))+(SUM($AR713:$AS713)*VLOOKUP($B713,Lifetime_morbidity_array!$A$30:$Y$48,13))+(SUM($AT713:$AU713)*(VLOOKUP($B713,Lifetime_morbidity_array!$A$30:$Y$48,12)))</f>
        <v>6.3627409308078686</v>
      </c>
      <c r="DE713" s="309"/>
      <c r="DF713" s="315">
        <f ca="1">(SUM($CN713:$CO713))-((SUM($CN713:$CO713)*VLOOKUP($B713,Lifetime_morbidity_array!$A$6:$Y$24,4))+(SUM($CN713:$CO713)*VLOOKUP($B713,Lifetime_morbidity_array!$A$6:$Y$24,7))+(SUM($CN713:$CO713)*VLOOKUP($B713,Lifetime_morbidity_array!$A$6:$Y$24,10))+(SUM($CN713:$CO713)*VLOOKUP($B713,Lifetime_morbidity_array!$A$6:$Y$24,13)))</f>
        <v>129.5951854259315</v>
      </c>
      <c r="DG713" s="316">
        <f ca="1">(SUM($CP713:$CQ713))-(((SUM($CP713:$CQ713)*VLOOKUP($B713,Lifetime_morbidity_array!$A$6:$Y$24,3))+(SUM($CP713:$CQ713)*VLOOKUP($B713,Lifetime_morbidity_array!$A$6:$Y$24,6))+(SUM($CP713:$CQ713)*VLOOKUP($B713,Lifetime_morbidity_array!$A$6:$Y$24,9))+(SUM($CP713:$CQ713)*VLOOKUP($B713,Lifetime_morbidity_array!$A$6:$Y$24,12))))</f>
        <v>72.614677652374027</v>
      </c>
      <c r="DH713" s="316">
        <f ca="1">(SUM($CI713:$CM713))-((SUM($CI713:$CM713)*VLOOKUP($B713,Lifetime_morbidity_array!$A$6:$Y$24,2))+(SUM($CI713:$CM713)*VLOOKUP($B713,Lifetime_morbidity_array!$A$6:$Y$24,5))+(SUM($CI713:$CM713)*VLOOKUP($B713,Lifetime_morbidity_array!$A$6:$Y$24,8))+(SUM($CI713:$CM713)*VLOOKUP($B713,Lifetime_morbidity_array!$A$6:$Y$24,11)))</f>
        <v>214.10738868542239</v>
      </c>
      <c r="DI713" s="316">
        <f ca="1">(SUM($CI713:$CM713)*VLOOKUP($B713,Lifetime_morbidity_array!$A$6:$Y$24,2))+(SUM($CN713:$CO713)*VLOOKUP($B713,Lifetime_morbidity_array!$A$6:$Y$24,4))+(SUM($CP713:$CQ713)*VLOOKUP($B713,Lifetime_morbidity_array!$A$6:$Y$24,3))</f>
        <v>6.918166686820185</v>
      </c>
      <c r="DJ713" s="316">
        <f ca="1">(SUM($CI713:$CM713)*VLOOKUP($B713,Lifetime_morbidity_array!$A$6:$Y$24,5))+(SUM($CN713:$CO713)*VLOOKUP($B713,Lifetime_morbidity_array!$A$6:$Y$24,7))+(SUM($CP713:$CQ713)*VLOOKUP($B713,Lifetime_morbidity_array!$A$6:$Y$24,6))</f>
        <v>2.9521962568647941</v>
      </c>
      <c r="DK713" s="316">
        <f ca="1">(SUM($CI713:$CM713)*VLOOKUP($B713,Lifetime_morbidity_array!$A$6:$Y$24,8))+(SUM($CN713:$CO713)*VLOOKUP($B713,Lifetime_morbidity_array!$A$6:$Y$24,10))+(SUM($CP713:$CQ713)*VLOOKUP($B713,Lifetime_morbidity_array!$A$6:$Y$24,9))</f>
        <v>0.4191580697230558</v>
      </c>
      <c r="DL713" s="317">
        <f ca="1">(SUM($CI713:$CM713)*VLOOKUP($B713,Lifetime_morbidity_array!$A$6:$Y$24,11))+(SUM($CN713:$CO713)*VLOOKUP($B713,Lifetime_morbidity_array!$A$6:$Y$24,13))+(SUM($CP713:$CQ713)*VLOOKUP($B713,Lifetime_morbidity_array!$A$6:$Y$24,12))</f>
        <v>4.4254778322920627</v>
      </c>
      <c r="DM713" s="309"/>
      <c r="DN713" s="308">
        <f t="shared" si="275"/>
        <v>47</v>
      </c>
      <c r="DO713" s="309">
        <f t="shared" ca="1" si="276"/>
        <v>173.70194749326862</v>
      </c>
      <c r="DP713" s="310">
        <f t="shared" ca="1" si="307"/>
        <v>20322.251163035431</v>
      </c>
      <c r="DQ713" s="309"/>
      <c r="DR713" s="308">
        <f t="shared" si="277"/>
        <v>47</v>
      </c>
      <c r="DS713" s="309">
        <f ca="1">((VLOOKUP($B713,'Mahawesran Tariff'!$A$21:$M$120,4)*'Comparator (DET)'!$CX713)+(VLOOKUP($B713,'Mahawesran Tariff'!$A$21:$M$120,3)*'Comparator (DET)'!$CY713)+(VLOOKUP($B713,'Mahawesran Tariff'!$A$21:$M$120,2)*'Comparator (DET)'!$CZ713)+(VLOOKUP($B713,'Mahawesran Tariff'!$A$21:$M$120,7)*'Comparator (DET)'!$DF713)+(VLOOKUP($B713,'Mahawesran Tariff'!$A$21:$M$120,6)*'Comparator (DET)'!$DG713)+(VLOOKUP($B713,'Mahawesran Tariff'!$A$21:$M$120,5)*'Comparator (DET)'!$DH713)+(DET_UTIL_chd*('Comparator (DET)'!$DA713+'Comparator (DET)'!$DI713))+(DET_UTIL_copd*('Comparator (DET)'!$DB713+'Comparator (DET)'!$DJ713))+(DET_UTIL_lc*('Comparator (DET)'!$DC713+'Comparator (DET)'!$DK713))+(DET_UTIL_stroke*('Comparator (DET)'!$DD713+'Comparator (DET)'!$DL713)))/((1+Discount_rate_QALYs)^$A713)</f>
        <v>163.24697327993727</v>
      </c>
      <c r="DT713" s="310">
        <f t="shared" ca="1" si="308"/>
        <v>20228.949990263292</v>
      </c>
      <c r="DU713" s="309"/>
      <c r="DV713" s="308">
        <f t="shared" si="278"/>
        <v>47</v>
      </c>
      <c r="DW713" s="318">
        <f t="shared" ca="1" si="279"/>
        <v>60219.87458471251</v>
      </c>
      <c r="DX713" s="319">
        <f t="shared" ca="1" si="309"/>
        <v>6088643.574925309</v>
      </c>
      <c r="DZ713" s="95">
        <f t="shared" si="280"/>
        <v>47</v>
      </c>
      <c r="EA713" s="268">
        <f t="shared" ref="EA713:EA744" ca="1" si="318">(SUM($AM713:$AU713)+SUM($CI713:$CQ713))/Cohort</f>
        <v>0.87498604767797783</v>
      </c>
      <c r="EB713" s="268">
        <f t="shared" ref="EB713:EB744" ca="1" si="319">($AV713+$CR713)/Cohort</f>
        <v>0.12501395232202239</v>
      </c>
      <c r="EC713" s="268">
        <f t="shared" ref="EC713:EC744" ca="1" si="320">(SUM($DA713:$DD713)+SUM($DI713:$DL713))/Cohort</f>
        <v>4.5342851226062277E-2</v>
      </c>
      <c r="ED713" s="290">
        <f t="shared" ref="ED713:ED744" ca="1" si="321">(SUM($AR713:$AU713)+SUM($CN713:$CQ713))/Cohort</f>
        <v>0.49184150810365818</v>
      </c>
      <c r="EF713" s="95">
        <f t="shared" si="281"/>
        <v>47</v>
      </c>
      <c r="EG713" s="339">
        <f t="shared" ca="1" si="282"/>
        <v>60219.87458471251</v>
      </c>
      <c r="EH713" s="341">
        <f t="shared" ca="1" si="310"/>
        <v>9188775.5107813943</v>
      </c>
      <c r="EJ713" s="308">
        <f t="shared" si="283"/>
        <v>47</v>
      </c>
      <c r="EK713" s="318">
        <f t="shared" ca="1" si="284"/>
        <v>60219.87458471251</v>
      </c>
      <c r="EL713" s="319">
        <f t="shared" ca="1" si="311"/>
        <v>6088643.574925309</v>
      </c>
      <c r="EN713" s="95">
        <f t="shared" si="285"/>
        <v>47</v>
      </c>
      <c r="EO713" s="339">
        <f t="shared" ca="1" si="286"/>
        <v>60219.87458471251</v>
      </c>
      <c r="EP713" s="341">
        <f t="shared" ca="1" si="312"/>
        <v>9188775.5107813943</v>
      </c>
    </row>
    <row r="714" spans="1:146" s="266" customFormat="1" x14ac:dyDescent="0.25">
      <c r="A714" s="313">
        <v>48</v>
      </c>
      <c r="B714" s="314">
        <v>48</v>
      </c>
      <c r="C714" s="308">
        <f>VLOOKUP($B714,'Infant adult mortality'!$A$27:$I$128,3)</f>
        <v>9.4113985605913234E-4</v>
      </c>
      <c r="D714" s="309">
        <f t="shared" si="230"/>
        <v>0.27</v>
      </c>
      <c r="E714" s="309">
        <f>VLOOKUP($B714,'Infant pick up smoking rates'!$A$19:$I$104,3)</f>
        <v>1.5201831243956284E-3</v>
      </c>
      <c r="F714" s="309">
        <f t="shared" si="231"/>
        <v>1.3759563744966802E-2</v>
      </c>
      <c r="G714" s="309">
        <f t="shared" si="232"/>
        <v>0.71377911327457844</v>
      </c>
      <c r="H714" s="309">
        <f>VLOOKUP($B714,'Infant adult mortality'!$A$27:$I$128,3)</f>
        <v>9.4113985605913234E-4</v>
      </c>
      <c r="I714" s="309">
        <f t="shared" si="233"/>
        <v>0.14000000000000001</v>
      </c>
      <c r="J714" s="309">
        <f>VLOOKUP($B714,'Infant pick up smoking rates'!$A$19:$I$104,2)</f>
        <v>1.5201831243956284E-3</v>
      </c>
      <c r="K714" s="309">
        <f t="shared" si="234"/>
        <v>1.3759563744966802E-2</v>
      </c>
      <c r="L714" s="309">
        <f t="shared" si="235"/>
        <v>0.84377911327457844</v>
      </c>
      <c r="M714" s="309">
        <f>VLOOKUP($B714,'Infant adult mortality'!$A$27:$I$128,3)</f>
        <v>9.4113985605913234E-4</v>
      </c>
      <c r="N714" s="309">
        <f t="shared" si="236"/>
        <v>0.5714285714285714</v>
      </c>
      <c r="O714" s="309">
        <f>VLOOKUP($B714,'Infant pick up smoking rates'!$A$19:$I$104,2)</f>
        <v>1.5201831243956284E-3</v>
      </c>
      <c r="P714" s="309">
        <f t="shared" si="237"/>
        <v>1.003409695741447E-2</v>
      </c>
      <c r="Q714" s="309">
        <f t="shared" si="238"/>
        <v>0.41607600863355942</v>
      </c>
      <c r="R714" s="309">
        <f>VLOOKUP($B714,'Infant adult mortality'!$A$27:$I$128,3)</f>
        <v>9.4113985605913234E-4</v>
      </c>
      <c r="S714" s="309">
        <f t="shared" si="239"/>
        <v>8.6261668788331098E-3</v>
      </c>
      <c r="T714" s="309">
        <f>VLOOKUP($B714,'Infant pick up smoking rates'!$A$19:$I$104,2)</f>
        <v>1.5201831243956284E-3</v>
      </c>
      <c r="U714" s="309">
        <f t="shared" si="240"/>
        <v>1.003409695741447E-2</v>
      </c>
      <c r="V714" s="309">
        <f t="shared" si="241"/>
        <v>0.97887841318329771</v>
      </c>
      <c r="W714" s="309">
        <f>VLOOKUP($B714,'Infant adult mortality'!$A$27:$I$128,3)</f>
        <v>9.4113985605913234E-4</v>
      </c>
      <c r="X714" s="309">
        <f>VLOOKUP($B714,'Infant pick up smoking rates'!$A$19:$I$104,2)</f>
        <v>1.5201831243956284E-3</v>
      </c>
      <c r="Y714" s="309">
        <f t="shared" si="242"/>
        <v>0.99753867701954524</v>
      </c>
      <c r="Z714" s="309">
        <f>VLOOKUP($B714,'Infant adult mortality'!$A$27:$I$128,5)</f>
        <v>1.9058082085197429E-3</v>
      </c>
      <c r="AA714" s="309">
        <f t="shared" si="313"/>
        <v>0.25</v>
      </c>
      <c r="AB714" s="309">
        <f t="shared" si="244"/>
        <v>0.74809419179148029</v>
      </c>
      <c r="AC714" s="309">
        <f>VLOOKUP($B714,'Infant adult mortality'!$A$27:$I$128,5)</f>
        <v>1.9058082085197429E-3</v>
      </c>
      <c r="AD714" s="309">
        <f t="shared" si="314"/>
        <v>0.14000000000000001</v>
      </c>
      <c r="AE714" s="309">
        <f t="shared" si="246"/>
        <v>0.85809419179148028</v>
      </c>
      <c r="AF714" s="309">
        <f>VLOOKUP($B714,'Infant adult mortality'!$A$27:$I$128,4)</f>
        <v>1.1528963236724372E-3</v>
      </c>
      <c r="AG714" s="309">
        <f t="shared" si="315"/>
        <v>0.5714285714285714</v>
      </c>
      <c r="AH714" s="309">
        <f t="shared" si="248"/>
        <v>0.42741853224775617</v>
      </c>
      <c r="AI714" s="309">
        <f>VLOOKUP($B714,'Infant adult mortality'!$A$27:$I$128,4)</f>
        <v>1.1528963236724372E-3</v>
      </c>
      <c r="AJ714" s="309">
        <f t="shared" si="316"/>
        <v>8.6261668788331098E-3</v>
      </c>
      <c r="AK714" s="309">
        <f t="shared" si="250"/>
        <v>0.99022093679749446</v>
      </c>
      <c r="AL714" s="309"/>
      <c r="AM714" s="315">
        <f t="shared" si="287"/>
        <v>50.187687310666426</v>
      </c>
      <c r="AN714" s="316">
        <f t="shared" si="288"/>
        <v>13.879839198960591</v>
      </c>
      <c r="AO714" s="316">
        <f t="shared" si="289"/>
        <v>1.9934963475459779</v>
      </c>
      <c r="AP714" s="316">
        <f t="shared" si="290"/>
        <v>72.63229735714593</v>
      </c>
      <c r="AQ714" s="316">
        <f t="shared" si="291"/>
        <v>26.455824248452636</v>
      </c>
      <c r="AR714" s="316">
        <f t="shared" si="292"/>
        <v>143.49763155552048</v>
      </c>
      <c r="AS714" s="316">
        <f t="shared" si="293"/>
        <v>36.317769704705569</v>
      </c>
      <c r="AT714" s="316">
        <f t="shared" si="294"/>
        <v>5.1482493526860278</v>
      </c>
      <c r="AU714" s="316">
        <f t="shared" si="295"/>
        <v>93.227163671733024</v>
      </c>
      <c r="AV714" s="316">
        <f t="shared" si="296"/>
        <v>66.66004125258317</v>
      </c>
      <c r="AW714" s="317">
        <f t="shared" si="251"/>
        <v>509.99999999999989</v>
      </c>
      <c r="AX714" s="309"/>
      <c r="AY714" s="308">
        <f>VLOOKUP($B714,'Infant adult mortality'!$A$134:$I$234,3)</f>
        <v>6.1435518381637805E-4</v>
      </c>
      <c r="AZ714" s="309">
        <f t="shared" si="252"/>
        <v>0.27</v>
      </c>
      <c r="BA714" s="309">
        <f ca="1">VLOOKUP($B714,'Infant pick up smoking rates'!$A$19:$I$104,7)</f>
        <v>3.9916955482353625E-3</v>
      </c>
      <c r="BB714" s="309">
        <f t="shared" si="253"/>
        <v>1.3759563744966802E-2</v>
      </c>
      <c r="BC714" s="309">
        <f t="shared" ca="1" si="254"/>
        <v>0.71163438552298153</v>
      </c>
      <c r="BD714" s="309">
        <f>VLOOKUP($B714,'Infant adult mortality'!$A$134:$I$234,3)</f>
        <v>6.1435518381637805E-4</v>
      </c>
      <c r="BE714" s="309">
        <f t="shared" si="255"/>
        <v>0.14000000000000001</v>
      </c>
      <c r="BF714" s="309">
        <f>VLOOKUP($B714,'Infant pick up smoking rates'!$A$19:$I$104,6)</f>
        <v>1.9288936901483743E-3</v>
      </c>
      <c r="BG714" s="309">
        <f t="shared" si="256"/>
        <v>1.3759563744966802E-2</v>
      </c>
      <c r="BH714" s="309">
        <f t="shared" si="257"/>
        <v>0.84369718738106847</v>
      </c>
      <c r="BI714" s="309">
        <f>VLOOKUP($B714,'Infant adult mortality'!$A$134:$I$234,3)</f>
        <v>6.1435518381637805E-4</v>
      </c>
      <c r="BJ714" s="309">
        <f t="shared" si="258"/>
        <v>0.5714285714285714</v>
      </c>
      <c r="BK714" s="309">
        <f>VLOOKUP($B714,'Infant pick up smoking rates'!$A$19:$I$104,6)</f>
        <v>1.9288936901483743E-3</v>
      </c>
      <c r="BL714" s="309">
        <f t="shared" si="259"/>
        <v>1.003409695741447E-2</v>
      </c>
      <c r="BM714" s="309">
        <f t="shared" si="260"/>
        <v>0.41599408274004945</v>
      </c>
      <c r="BN714" s="309">
        <f>VLOOKUP($B714,'Infant adult mortality'!$A$134:$I$234,3)</f>
        <v>6.1435518381637805E-4</v>
      </c>
      <c r="BO714" s="309">
        <f t="shared" si="261"/>
        <v>8.6261668788331098E-3</v>
      </c>
      <c r="BP714" s="309">
        <f>VLOOKUP($B714,'Infant pick up smoking rates'!$A$19:$I$104,6)</f>
        <v>1.9288936901483743E-3</v>
      </c>
      <c r="BQ714" s="309">
        <f t="shared" si="262"/>
        <v>1.003409695741447E-2</v>
      </c>
      <c r="BR714" s="309">
        <f t="shared" si="263"/>
        <v>0.97879648728978774</v>
      </c>
      <c r="BS714" s="309">
        <f>VLOOKUP($B714,'Infant adult mortality'!$A$134:$I$234,3)</f>
        <v>6.1435518381637805E-4</v>
      </c>
      <c r="BT714" s="309">
        <f>VLOOKUP($B714,'Infant pick up smoking rates'!$A$19:$I$104,6)</f>
        <v>1.9288936901483743E-3</v>
      </c>
      <c r="BU714" s="309">
        <f t="shared" si="264"/>
        <v>0.99745675112603527</v>
      </c>
      <c r="BV714" s="309">
        <f>VLOOKUP($B714,'Infant adult mortality'!$A$134:$I$234,5)</f>
        <v>1.2440692472281654E-3</v>
      </c>
      <c r="BW714" s="309">
        <f t="shared" ref="BW714:BW745" si="322">DET_P_01Q_CS_FEMALE</f>
        <v>0.27</v>
      </c>
      <c r="BX714" s="309">
        <f t="shared" si="266"/>
        <v>0.72875593075277179</v>
      </c>
      <c r="BY714" s="309">
        <f>VLOOKUP($B714,'Infant adult mortality'!$A$134:$I$234,5)</f>
        <v>1.2440692472281654E-3</v>
      </c>
      <c r="BZ714" s="309">
        <f t="shared" si="267"/>
        <v>0.14000000000000001</v>
      </c>
      <c r="CA714" s="309">
        <f t="shared" si="268"/>
        <v>0.85875593075277179</v>
      </c>
      <c r="CB714" s="309">
        <f>VLOOKUP($B714,'Infant adult mortality'!$A$134:$I$234,4)</f>
        <v>7.5258510017506318E-4</v>
      </c>
      <c r="CC714" s="309">
        <f t="shared" si="269"/>
        <v>0.5714285714285714</v>
      </c>
      <c r="CD714" s="309">
        <f t="shared" si="270"/>
        <v>0.42781884347125354</v>
      </c>
      <c r="CE714" s="309">
        <f>VLOOKUP($B714,'Infant adult mortality'!$A$134:$I$234,4)</f>
        <v>7.5258510017506318E-4</v>
      </c>
      <c r="CF714" s="309">
        <f t="shared" si="271"/>
        <v>8.6261668788331098E-3</v>
      </c>
      <c r="CG714" s="309">
        <f t="shared" si="272"/>
        <v>0.99062124802099183</v>
      </c>
      <c r="CH714" s="309"/>
      <c r="CI714" s="315">
        <f t="shared" ca="1" si="297"/>
        <v>66.350204753052722</v>
      </c>
      <c r="CJ714" s="316">
        <f t="shared" ca="1" si="298"/>
        <v>18.385120710081832</v>
      </c>
      <c r="CK714" s="316">
        <f t="shared" ca="1" si="299"/>
        <v>2.6456054042304431</v>
      </c>
      <c r="CL714" s="316">
        <f t="shared" ca="1" si="300"/>
        <v>94.526586954024282</v>
      </c>
      <c r="CM714" s="316">
        <f t="shared" ca="1" si="301"/>
        <v>34.986546297642299</v>
      </c>
      <c r="CN714" s="316">
        <f t="shared" ca="1" si="302"/>
        <v>108.04136693045177</v>
      </c>
      <c r="CO714" s="316">
        <f t="shared" ca="1" si="303"/>
        <v>29.461592995741178</v>
      </c>
      <c r="CP714" s="316">
        <f t="shared" ca="1" si="304"/>
        <v>4.1660193829313439</v>
      </c>
      <c r="CQ714" s="316">
        <f t="shared" ca="1" si="305"/>
        <v>72.106641376772799</v>
      </c>
      <c r="CR714" s="316">
        <f t="shared" ca="1" si="306"/>
        <v>59.330315195071819</v>
      </c>
      <c r="CS714" s="317">
        <f t="shared" ca="1" si="273"/>
        <v>490.00000000000045</v>
      </c>
      <c r="CT714" s="309"/>
      <c r="CU714" s="309">
        <f t="shared" ca="1" si="274"/>
        <v>1000.0000000000003</v>
      </c>
      <c r="CV714" s="309" t="str">
        <f t="shared" ca="1" si="317"/>
        <v>OKAY</v>
      </c>
      <c r="CW714" s="309"/>
      <c r="CX714" s="315">
        <f>(SUM($AR714:$AS714))-((SUM($AR714:$AS714)*VLOOKUP($B714,Lifetime_morbidity_array!$A$30:$Y$48,4))+(SUM($AR714:$AS714)*VLOOKUP($B714,Lifetime_morbidity_array!$A$30:$Y$48,7))+(SUM($AR714:$AS714)*VLOOKUP($B714,Lifetime_morbidity_array!$A$30:$Y$48,10))+(SUM($AR714:$AS714)*VLOOKUP($B714,Lifetime_morbidity_array!$A$30:$Y$48,13)))</f>
        <v>159.60709074192846</v>
      </c>
      <c r="CY714" s="316">
        <f>(SUM($AT714:$AU714))-((SUM($AT714:$AU714)*(VLOOKUP($B714,Lifetime_morbidity_array!$A$30:$Y$48,3)))+(SUM($AT714:$AU714)*(VLOOKUP($B714,Lifetime_morbidity_array!$A$30:$Y$48,6)))+(SUM($AT714:$AU714)*(VLOOKUP($B714,Lifetime_morbidity_array!$A$30:$Y$48,9)))+(SUM($AT714:$AU714)*(VLOOKUP($B714,Lifetime_morbidity_array!$A$30:$Y$48,12))))</f>
        <v>93.26466907232475</v>
      </c>
      <c r="CZ714" s="316">
        <f>(SUM($AM714:$AQ714))-((SUM($AM714:$AQ714)*VLOOKUP($B714,Lifetime_morbidity_array!$A$30:$Y$48,2))+(SUM($AM714:$AQ714)*VLOOKUP($B714,Lifetime_morbidity_array!$A$30:$Y$48,5))+(SUM($AM714:$AQ714)*VLOOKUP($B714,Lifetime_morbidity_array!$A$30:$Y$48,8))+(SUM($AM714:$AQ714)*VLOOKUP($B714,Lifetime_morbidity_array!$A$30:$Y$48,11)))</f>
        <v>159.99847206155408</v>
      </c>
      <c r="DA714" s="316">
        <f>(SUM($AM714:$AQ714)*VLOOKUP($B714,Lifetime_morbidity_array!$A$30:$Y$48,2))+(SUM($AR714:$AS714)*VLOOKUP($B714,Lifetime_morbidity_array!$A$30:$Y$48,4))+(SUM($AT714:$AU714)*(VLOOKUP($B714,Lifetime_morbidity_array!$A$30:$Y$48,3)))</f>
        <v>20.358670639468038</v>
      </c>
      <c r="DB714" s="316">
        <f>(SUM($AM714:$AQ714)*VLOOKUP($B714,Lifetime_morbidity_array!$A$30:$Y$48,5))+(SUM($AR714:$AS714)*VLOOKUP($B714,Lifetime_morbidity_array!$A$30:$Y$48,7))+(SUM($AT714:$AU714)*(VLOOKUP($B714,Lifetime_morbidity_array!$A$30:$Y$48,6)))</f>
        <v>2.7637398857330431</v>
      </c>
      <c r="DC714" s="316">
        <f>(SUM($AM714:$AQ714)*VLOOKUP($B714,Lifetime_morbidity_array!$A$30:$Y$48,8))+(SUM($AR714:$AS714)*VLOOKUP($B714,Lifetime_morbidity_array!$A$30:$Y$48,10))+(SUM($AT714:$AU714)*(VLOOKUP($B714,Lifetime_morbidity_array!$A$30:$Y$48,9)))</f>
        <v>1.0169743909269191</v>
      </c>
      <c r="DD714" s="317">
        <f>(SUM($AM714:$AQ714)*VLOOKUP($B714,Lifetime_morbidity_array!$A$30:$Y$48,11))+(SUM($AR714:$AS714)*VLOOKUP($B714,Lifetime_morbidity_array!$A$30:$Y$48,13))+(SUM($AT714:$AU714)*(VLOOKUP($B714,Lifetime_morbidity_array!$A$30:$Y$48,12)))</f>
        <v>6.3303419554813836</v>
      </c>
      <c r="DE714" s="309"/>
      <c r="DF714" s="315">
        <f ca="1">(SUM($CN714:$CO714))-((SUM($CN714:$CO714)*VLOOKUP($B714,Lifetime_morbidity_array!$A$6:$Y$24,4))+(SUM($CN714:$CO714)*VLOOKUP($B714,Lifetime_morbidity_array!$A$6:$Y$24,7))+(SUM($CN714:$CO714)*VLOOKUP($B714,Lifetime_morbidity_array!$A$6:$Y$24,10))+(SUM($CN714:$CO714)*VLOOKUP($B714,Lifetime_morbidity_array!$A$6:$Y$24,13)))</f>
        <v>128.31548071307427</v>
      </c>
      <c r="DG714" s="316">
        <f ca="1">(SUM($CP714:$CQ714))-(((SUM($CP714:$CQ714)*VLOOKUP($B714,Lifetime_morbidity_array!$A$6:$Y$24,3))+(SUM($CP714:$CQ714)*VLOOKUP($B714,Lifetime_morbidity_array!$A$6:$Y$24,6))+(SUM($CP714:$CQ714)*VLOOKUP($B714,Lifetime_morbidity_array!$A$6:$Y$24,9))+(SUM($CP714:$CQ714)*VLOOKUP($B714,Lifetime_morbidity_array!$A$6:$Y$24,12))))</f>
        <v>74.272641197690234</v>
      </c>
      <c r="DH714" s="316">
        <f ca="1">(SUM($CI714:$CM714))-((SUM($CI714:$CM714)*VLOOKUP($B714,Lifetime_morbidity_array!$A$6:$Y$24,2))+(SUM($CI714:$CM714)*VLOOKUP($B714,Lifetime_morbidity_array!$A$6:$Y$24,5))+(SUM($CI714:$CM714)*VLOOKUP($B714,Lifetime_morbidity_array!$A$6:$Y$24,8))+(SUM($CI714:$CM714)*VLOOKUP($B714,Lifetime_morbidity_array!$A$6:$Y$24,11)))</f>
        <v>213.42464468715454</v>
      </c>
      <c r="DI714" s="316">
        <f ca="1">(SUM($CI714:$CM714)*VLOOKUP($B714,Lifetime_morbidity_array!$A$6:$Y$24,2))+(SUM($CN714:$CO714)*VLOOKUP($B714,Lifetime_morbidity_array!$A$6:$Y$24,4))+(SUM($CP714:$CQ714)*VLOOKUP($B714,Lifetime_morbidity_array!$A$6:$Y$24,3))</f>
        <v>6.8941968775712583</v>
      </c>
      <c r="DJ714" s="316">
        <f ca="1">(SUM($CI714:$CM714)*VLOOKUP($B714,Lifetime_morbidity_array!$A$6:$Y$24,5))+(SUM($CN714:$CO714)*VLOOKUP($B714,Lifetime_morbidity_array!$A$6:$Y$24,7))+(SUM($CP714:$CQ714)*VLOOKUP($B714,Lifetime_morbidity_array!$A$6:$Y$24,6))</f>
        <v>2.937153506204556</v>
      </c>
      <c r="DK714" s="316">
        <f ca="1">(SUM($CI714:$CM714)*VLOOKUP($B714,Lifetime_morbidity_array!$A$6:$Y$24,8))+(SUM($CN714:$CO714)*VLOOKUP($B714,Lifetime_morbidity_array!$A$6:$Y$24,10))+(SUM($CP714:$CQ714)*VLOOKUP($B714,Lifetime_morbidity_array!$A$6:$Y$24,9))</f>
        <v>0.41648209385780843</v>
      </c>
      <c r="DL714" s="317">
        <f ca="1">(SUM($CI714:$CM714)*VLOOKUP($B714,Lifetime_morbidity_array!$A$6:$Y$24,11))+(SUM($CN714:$CO714)*VLOOKUP($B714,Lifetime_morbidity_array!$A$6:$Y$24,13))+(SUM($CP714:$CQ714)*VLOOKUP($B714,Lifetime_morbidity_array!$A$6:$Y$24,12))</f>
        <v>4.4090857293759456</v>
      </c>
      <c r="DM714" s="309"/>
      <c r="DN714" s="308">
        <f t="shared" si="275"/>
        <v>48</v>
      </c>
      <c r="DO714" s="309">
        <f t="shared" ref="DO714:DO745" ca="1" si="323">((SUM($CX714:$DD714)+SUM($DF714:$DL714))/((1+Discount_rate_QALYs)^$A714))</f>
        <v>167.64068798232472</v>
      </c>
      <c r="DP714" s="310">
        <f t="shared" ca="1" si="307"/>
        <v>20489.891851017757</v>
      </c>
      <c r="DQ714" s="309"/>
      <c r="DR714" s="308">
        <f t="shared" si="277"/>
        <v>48</v>
      </c>
      <c r="DS714" s="309">
        <f ca="1">((VLOOKUP($B714,'Mahawesran Tariff'!$A$21:$M$120,4)*'Comparator (DET)'!$CX714)+(VLOOKUP($B714,'Mahawesran Tariff'!$A$21:$M$120,3)*'Comparator (DET)'!$CY714)+(VLOOKUP($B714,'Mahawesran Tariff'!$A$21:$M$120,2)*'Comparator (DET)'!$CZ714)+(VLOOKUP($B714,'Mahawesran Tariff'!$A$21:$M$120,7)*'Comparator (DET)'!$DF714)+(VLOOKUP($B714,'Mahawesran Tariff'!$A$21:$M$120,6)*'Comparator (DET)'!$DG714)+(VLOOKUP($B714,'Mahawesran Tariff'!$A$21:$M$120,5)*'Comparator (DET)'!$DH714)+(DET_UTIL_chd*('Comparator (DET)'!$DA714+'Comparator (DET)'!$DI714))+(DET_UTIL_copd*('Comparator (DET)'!$DB714+'Comparator (DET)'!$DJ714))+(DET_UTIL_lc*('Comparator (DET)'!$DC714+'Comparator (DET)'!$DK714))+(DET_UTIL_stroke*('Comparator (DET)'!$DD714+'Comparator (DET)'!$DL714)))/((1+Discount_rate_QALYs)^$A714)</f>
        <v>157.5638496559248</v>
      </c>
      <c r="DT714" s="310">
        <f t="shared" ca="1" si="308"/>
        <v>20386.513839919218</v>
      </c>
      <c r="DU714" s="309"/>
      <c r="DV714" s="308">
        <f t="shared" si="278"/>
        <v>48</v>
      </c>
      <c r="DW714" s="318">
        <f t="shared" ref="DW714:DW745" ca="1" si="324">((DET_COST_chd*($DA714+$DI714))+(DET_COST_copd*($DB714+$DJ714))+(DET_cost_lc*($DC714+$DK714))+(DET_COST_stroke*($DD714+$DL714)))/((1+Discount_rate_costs)^$A714)</f>
        <v>57911.507599991979</v>
      </c>
      <c r="DX714" s="319">
        <f t="shared" ca="1" si="309"/>
        <v>6146555.0825253008</v>
      </c>
      <c r="DZ714" s="95">
        <f t="shared" si="280"/>
        <v>48</v>
      </c>
      <c r="EA714" s="268">
        <f t="shared" ca="1" si="318"/>
        <v>0.87400964355234534</v>
      </c>
      <c r="EB714" s="268">
        <f t="shared" ca="1" si="319"/>
        <v>0.12599035644765499</v>
      </c>
      <c r="EC714" s="268">
        <f t="shared" ca="1" si="320"/>
        <v>4.5126645078618952E-2</v>
      </c>
      <c r="ED714" s="290">
        <f t="shared" ca="1" si="321"/>
        <v>0.49196643497054221</v>
      </c>
      <c r="EF714" s="95">
        <f t="shared" si="281"/>
        <v>48</v>
      </c>
      <c r="EG714" s="339">
        <f t="shared" ref="EG714:EG745" ca="1" si="325">((DET_COST_chd*($DA714+$DI714))+(DET_COST_copd*($DB714+$DJ714))+(DET_cost_lc*($DC714+$DK714))+(DET_COST_stroke*($DD714+$DL714)))/((1+Discount_rate_costs)^$A714)</f>
        <v>57911.507599991979</v>
      </c>
      <c r="EH714" s="341">
        <f t="shared" ca="1" si="310"/>
        <v>9246687.018381387</v>
      </c>
      <c r="EJ714" s="308">
        <f t="shared" si="283"/>
        <v>48</v>
      </c>
      <c r="EK714" s="318">
        <f t="shared" ca="1" si="284"/>
        <v>57911.507599991979</v>
      </c>
      <c r="EL714" s="319">
        <f t="shared" ca="1" si="311"/>
        <v>6146555.0825253008</v>
      </c>
      <c r="EN714" s="95">
        <f t="shared" si="285"/>
        <v>48</v>
      </c>
      <c r="EO714" s="339">
        <f t="shared" ca="1" si="286"/>
        <v>57911.507599991979</v>
      </c>
      <c r="EP714" s="341">
        <f t="shared" ca="1" si="312"/>
        <v>9246687.018381387</v>
      </c>
    </row>
    <row r="715" spans="1:146" s="266" customFormat="1" x14ac:dyDescent="0.25">
      <c r="A715" s="313">
        <v>49</v>
      </c>
      <c r="B715" s="314">
        <v>49</v>
      </c>
      <c r="C715" s="308">
        <f>VLOOKUP($B715,'Infant adult mortality'!$A$27:$I$128,3)</f>
        <v>9.4814238475004868E-4</v>
      </c>
      <c r="D715" s="309">
        <f t="shared" si="230"/>
        <v>0.27</v>
      </c>
      <c r="E715" s="309">
        <f>VLOOKUP($B715,'Infant pick up smoking rates'!$A$19:$I$104,3)</f>
        <v>1.5201831243956284E-3</v>
      </c>
      <c r="F715" s="309">
        <f t="shared" si="231"/>
        <v>1.5040574918002186E-2</v>
      </c>
      <c r="G715" s="309">
        <f t="shared" si="232"/>
        <v>0.71249109957285217</v>
      </c>
      <c r="H715" s="309">
        <f>VLOOKUP($B715,'Infant adult mortality'!$A$27:$I$128,3)</f>
        <v>9.4814238475004868E-4</v>
      </c>
      <c r="I715" s="309">
        <f t="shared" si="233"/>
        <v>0.14000000000000001</v>
      </c>
      <c r="J715" s="309">
        <f>VLOOKUP($B715,'Infant pick up smoking rates'!$A$19:$I$104,2)</f>
        <v>1.5201831243956284E-3</v>
      </c>
      <c r="K715" s="309">
        <f t="shared" si="234"/>
        <v>1.5040574918002186E-2</v>
      </c>
      <c r="L715" s="309">
        <f t="shared" si="235"/>
        <v>0.84249109957285218</v>
      </c>
      <c r="M715" s="309">
        <f>VLOOKUP($B715,'Infant adult mortality'!$A$27:$I$128,3)</f>
        <v>9.4814238475004868E-4</v>
      </c>
      <c r="N715" s="309">
        <f t="shared" si="236"/>
        <v>0.5714285714285714</v>
      </c>
      <c r="O715" s="309">
        <f>VLOOKUP($B715,'Infant pick up smoking rates'!$A$19:$I$104,2)</f>
        <v>1.5201831243956284E-3</v>
      </c>
      <c r="P715" s="309">
        <f t="shared" si="237"/>
        <v>1.0968268312844991E-2</v>
      </c>
      <c r="Q715" s="309">
        <f t="shared" si="238"/>
        <v>0.41513483474943791</v>
      </c>
      <c r="R715" s="309">
        <f>VLOOKUP($B715,'Infant adult mortality'!$A$27:$I$128,3)</f>
        <v>9.4814238475004868E-4</v>
      </c>
      <c r="S715" s="309">
        <f t="shared" si="239"/>
        <v>8.6261668788331098E-3</v>
      </c>
      <c r="T715" s="309">
        <f>VLOOKUP($B715,'Infant pick up smoking rates'!$A$19:$I$104,2)</f>
        <v>1.5201831243956284E-3</v>
      </c>
      <c r="U715" s="309">
        <f t="shared" si="240"/>
        <v>1.0968268312844991E-2</v>
      </c>
      <c r="V715" s="309">
        <f t="shared" si="241"/>
        <v>0.9779372392991762</v>
      </c>
      <c r="W715" s="309">
        <f>VLOOKUP($B715,'Infant adult mortality'!$A$27:$I$128,3)</f>
        <v>9.4814238475004868E-4</v>
      </c>
      <c r="X715" s="309">
        <f>VLOOKUP($B715,'Infant pick up smoking rates'!$A$19:$I$104,2)</f>
        <v>1.5201831243956284E-3</v>
      </c>
      <c r="Y715" s="309">
        <f t="shared" si="242"/>
        <v>0.99753167449085434</v>
      </c>
      <c r="Z715" s="309">
        <f>VLOOKUP($B715,'Infant adult mortality'!$A$27:$I$128,5)</f>
        <v>1.9199883291188486E-3</v>
      </c>
      <c r="AA715" s="309">
        <f t="shared" si="313"/>
        <v>0.25</v>
      </c>
      <c r="AB715" s="309">
        <f t="shared" si="244"/>
        <v>0.74808001167088112</v>
      </c>
      <c r="AC715" s="309">
        <f>VLOOKUP($B715,'Infant adult mortality'!$A$27:$I$128,5)</f>
        <v>1.9199883291188486E-3</v>
      </c>
      <c r="AD715" s="309">
        <f t="shared" si="314"/>
        <v>0.14000000000000001</v>
      </c>
      <c r="AE715" s="309">
        <f t="shared" si="246"/>
        <v>0.8580800116708811</v>
      </c>
      <c r="AF715" s="309">
        <f>VLOOKUP($B715,'Infant adult mortality'!$A$27:$I$128,4)</f>
        <v>1.1614744213188097E-3</v>
      </c>
      <c r="AG715" s="309">
        <f t="shared" si="315"/>
        <v>0.5714285714285714</v>
      </c>
      <c r="AH715" s="309">
        <f t="shared" si="248"/>
        <v>0.42740995415010979</v>
      </c>
      <c r="AI715" s="309">
        <f>VLOOKUP($B715,'Infant adult mortality'!$A$27:$I$128,4)</f>
        <v>1.1614744213188097E-3</v>
      </c>
      <c r="AJ715" s="309">
        <f t="shared" si="316"/>
        <v>8.6261668788331098E-3</v>
      </c>
      <c r="AK715" s="309">
        <f t="shared" si="250"/>
        <v>0.99021235869984803</v>
      </c>
      <c r="AL715" s="309"/>
      <c r="AM715" s="315">
        <f t="shared" si="287"/>
        <v>48.906029600229758</v>
      </c>
      <c r="AN715" s="316">
        <f t="shared" si="288"/>
        <v>13.550675573879936</v>
      </c>
      <c r="AO715" s="316">
        <f t="shared" si="289"/>
        <v>1.943177487854483</v>
      </c>
      <c r="AP715" s="316">
        <f t="shared" si="290"/>
        <v>72.168969131430416</v>
      </c>
      <c r="AQ715" s="316">
        <f t="shared" si="291"/>
        <v>28.17265082328592</v>
      </c>
      <c r="AR715" s="316">
        <f t="shared" si="292"/>
        <v>141.7669251745499</v>
      </c>
      <c r="AS715" s="316">
        <f t="shared" si="293"/>
        <v>35.874407888880121</v>
      </c>
      <c r="AT715" s="316">
        <f t="shared" si="294"/>
        <v>5.0844877586587804</v>
      </c>
      <c r="AU715" s="316">
        <f t="shared" si="295"/>
        <v>95.256546407246987</v>
      </c>
      <c r="AV715" s="316">
        <f t="shared" si="296"/>
        <v>67.276130153983502</v>
      </c>
      <c r="AW715" s="317">
        <f t="shared" si="251"/>
        <v>509.99999999999972</v>
      </c>
      <c r="AX715" s="309"/>
      <c r="AY715" s="308">
        <f>VLOOKUP($B715,'Infant adult mortality'!$A$134:$I$234,3)</f>
        <v>6.6329507877844779E-4</v>
      </c>
      <c r="AZ715" s="309">
        <f t="shared" si="252"/>
        <v>0.27</v>
      </c>
      <c r="BA715" s="309">
        <f ca="1">VLOOKUP($B715,'Infant pick up smoking rates'!$A$19:$I$104,7)</f>
        <v>0</v>
      </c>
      <c r="BB715" s="309">
        <f t="shared" si="253"/>
        <v>1.5040574918002186E-2</v>
      </c>
      <c r="BC715" s="309">
        <f t="shared" ca="1" si="254"/>
        <v>0.71429613000321934</v>
      </c>
      <c r="BD715" s="309">
        <f>VLOOKUP($B715,'Infant adult mortality'!$A$134:$I$234,3)</f>
        <v>6.6329507877844779E-4</v>
      </c>
      <c r="BE715" s="309">
        <f t="shared" si="255"/>
        <v>0.14000000000000001</v>
      </c>
      <c r="BF715" s="309">
        <f>VLOOKUP($B715,'Infant pick up smoking rates'!$A$19:$I$104,6)</f>
        <v>0</v>
      </c>
      <c r="BG715" s="309">
        <f t="shared" si="256"/>
        <v>1.5040574918002186E-2</v>
      </c>
      <c r="BH715" s="309">
        <f t="shared" si="257"/>
        <v>0.84429613000321935</v>
      </c>
      <c r="BI715" s="309">
        <f>VLOOKUP($B715,'Infant adult mortality'!$A$134:$I$234,3)</f>
        <v>6.6329507877844779E-4</v>
      </c>
      <c r="BJ715" s="309">
        <f t="shared" si="258"/>
        <v>0.5714285714285714</v>
      </c>
      <c r="BK715" s="309">
        <f>VLOOKUP($B715,'Infant pick up smoking rates'!$A$19:$I$104,6)</f>
        <v>0</v>
      </c>
      <c r="BL715" s="309">
        <f t="shared" si="259"/>
        <v>1.0968268312844991E-2</v>
      </c>
      <c r="BM715" s="309">
        <f t="shared" si="260"/>
        <v>0.41693986517980514</v>
      </c>
      <c r="BN715" s="309">
        <f>VLOOKUP($B715,'Infant adult mortality'!$A$134:$I$234,3)</f>
        <v>6.6329507877844779E-4</v>
      </c>
      <c r="BO715" s="309">
        <f t="shared" si="261"/>
        <v>8.6261668788331098E-3</v>
      </c>
      <c r="BP715" s="309">
        <f>VLOOKUP($B715,'Infant pick up smoking rates'!$A$19:$I$104,6)</f>
        <v>0</v>
      </c>
      <c r="BQ715" s="309">
        <f t="shared" si="262"/>
        <v>1.0968268312844991E-2</v>
      </c>
      <c r="BR715" s="309">
        <f t="shared" si="263"/>
        <v>0.97974226972954337</v>
      </c>
      <c r="BS715" s="309">
        <f>VLOOKUP($B715,'Infant adult mortality'!$A$134:$I$234,3)</f>
        <v>6.6329507877844779E-4</v>
      </c>
      <c r="BT715" s="309">
        <f>VLOOKUP($B715,'Infant pick up smoking rates'!$A$19:$I$104,6)</f>
        <v>0</v>
      </c>
      <c r="BU715" s="309">
        <f t="shared" si="264"/>
        <v>0.99933670492122151</v>
      </c>
      <c r="BV715" s="309">
        <f>VLOOKUP($B715,'Infant adult mortality'!$A$134:$I$234,5)</f>
        <v>1.3431725345263567E-3</v>
      </c>
      <c r="BW715" s="309">
        <f t="shared" si="322"/>
        <v>0.27</v>
      </c>
      <c r="BX715" s="309">
        <f t="shared" si="266"/>
        <v>0.72865682746547367</v>
      </c>
      <c r="BY715" s="309">
        <f>VLOOKUP($B715,'Infant adult mortality'!$A$134:$I$234,5)</f>
        <v>1.3431725345263567E-3</v>
      </c>
      <c r="BZ715" s="309">
        <f t="shared" si="267"/>
        <v>0.14000000000000001</v>
      </c>
      <c r="CA715" s="309">
        <f t="shared" si="268"/>
        <v>0.85865682746547367</v>
      </c>
      <c r="CB715" s="309">
        <f>VLOOKUP($B715,'Infant adult mortality'!$A$134:$I$234,4)</f>
        <v>8.1253647150359863E-4</v>
      </c>
      <c r="CC715" s="309">
        <f t="shared" si="269"/>
        <v>0.5714285714285714</v>
      </c>
      <c r="CD715" s="309">
        <f t="shared" si="270"/>
        <v>0.42775889209992501</v>
      </c>
      <c r="CE715" s="309">
        <f>VLOOKUP($B715,'Infant adult mortality'!$A$134:$I$234,4)</f>
        <v>8.1253647150359863E-4</v>
      </c>
      <c r="CF715" s="309">
        <f t="shared" si="271"/>
        <v>8.6261668788331098E-3</v>
      </c>
      <c r="CG715" s="309">
        <f t="shared" si="272"/>
        <v>0.9905612966496633</v>
      </c>
      <c r="CH715" s="309"/>
      <c r="CI715" s="315">
        <f t="shared" ca="1" si="297"/>
        <v>64.834641219301645</v>
      </c>
      <c r="CJ715" s="316">
        <f t="shared" ca="1" si="298"/>
        <v>17.914555283324237</v>
      </c>
      <c r="CK715" s="316">
        <f t="shared" ca="1" si="299"/>
        <v>2.573916899411457</v>
      </c>
      <c r="CL715" s="316">
        <f t="shared" ca="1" si="300"/>
        <v>94.123467368825899</v>
      </c>
      <c r="CM715" s="316">
        <f t="shared" ca="1" si="301"/>
        <v>37.303618582821912</v>
      </c>
      <c r="CN715" s="316">
        <f t="shared" ca="1" si="302"/>
        <v>106.42653339367602</v>
      </c>
      <c r="CO715" s="316">
        <f t="shared" ca="1" si="303"/>
        <v>29.171169071221982</v>
      </c>
      <c r="CP715" s="316">
        <f t="shared" ca="1" si="304"/>
        <v>4.1246230194037654</v>
      </c>
      <c r="CQ715" s="316">
        <f t="shared" ca="1" si="305"/>
        <v>73.806630683760531</v>
      </c>
      <c r="CR715" s="316">
        <f t="shared" ca="1" si="306"/>
        <v>59.720844478253063</v>
      </c>
      <c r="CS715" s="317">
        <f t="shared" ca="1" si="273"/>
        <v>490.00000000000057</v>
      </c>
      <c r="CT715" s="309"/>
      <c r="CU715" s="309">
        <f t="shared" ca="1" si="274"/>
        <v>1000.0000000000002</v>
      </c>
      <c r="CV715" s="309" t="str">
        <f t="shared" ca="1" si="317"/>
        <v>OKAY</v>
      </c>
      <c r="CW715" s="309"/>
      <c r="CX715" s="315">
        <f>(SUM($AR715:$AS715))-((SUM($AR715:$AS715)*VLOOKUP($B715,Lifetime_morbidity_array!$A$30:$Y$48,4))+(SUM($AR715:$AS715)*VLOOKUP($B715,Lifetime_morbidity_array!$A$30:$Y$48,7))+(SUM($AR715:$AS715)*VLOOKUP($B715,Lifetime_morbidity_array!$A$30:$Y$48,10))+(SUM($AR715:$AS715)*VLOOKUP($B715,Lifetime_morbidity_array!$A$30:$Y$48,13)))</f>
        <v>157.6773522571643</v>
      </c>
      <c r="CY715" s="316">
        <f>(SUM($AT715:$AU715))-((SUM($AT715:$AU715)*(VLOOKUP($B715,Lifetime_morbidity_array!$A$30:$Y$48,3)))+(SUM($AT715:$AU715)*(VLOOKUP($B715,Lifetime_morbidity_array!$A$30:$Y$48,6)))+(SUM($AT715:$AU715)*(VLOOKUP($B715,Lifetime_morbidity_array!$A$30:$Y$48,9)))+(SUM($AT715:$AU715)*(VLOOKUP($B715,Lifetime_morbidity_array!$A$30:$Y$48,12))))</f>
        <v>95.128173373311213</v>
      </c>
      <c r="CZ715" s="316">
        <f>(SUM($AM715:$AQ715))-((SUM($AM715:$AQ715)*VLOOKUP($B715,Lifetime_morbidity_array!$A$30:$Y$48,2))+(SUM($AM715:$AQ715)*VLOOKUP($B715,Lifetime_morbidity_array!$A$30:$Y$48,5))+(SUM($AM715:$AQ715)*VLOOKUP($B715,Lifetime_morbidity_array!$A$30:$Y$48,8))+(SUM($AM715:$AQ715)*VLOOKUP($B715,Lifetime_morbidity_array!$A$30:$Y$48,11)))</f>
        <v>159.60354375154017</v>
      </c>
      <c r="DA715" s="316">
        <f>(SUM($AM715:$AQ715)*VLOOKUP($B715,Lifetime_morbidity_array!$A$30:$Y$48,2))+(SUM($AR715:$AS715)*VLOOKUP($B715,Lifetime_morbidity_array!$A$30:$Y$48,4))+(SUM($AT715:$AU715)*(VLOOKUP($B715,Lifetime_morbidity_array!$A$30:$Y$48,3)))</f>
        <v>20.256259607029904</v>
      </c>
      <c r="DB715" s="316">
        <f>(SUM($AM715:$AQ715)*VLOOKUP($B715,Lifetime_morbidity_array!$A$30:$Y$48,5))+(SUM($AR715:$AS715)*VLOOKUP($B715,Lifetime_morbidity_array!$A$30:$Y$48,7))+(SUM($AT715:$AU715)*(VLOOKUP($B715,Lifetime_morbidity_array!$A$30:$Y$48,6)))</f>
        <v>2.7503274644819218</v>
      </c>
      <c r="DC715" s="316">
        <f>(SUM($AM715:$AQ715)*VLOOKUP($B715,Lifetime_morbidity_array!$A$30:$Y$48,8))+(SUM($AR715:$AS715)*VLOOKUP($B715,Lifetime_morbidity_array!$A$30:$Y$48,10))+(SUM($AT715:$AU715)*(VLOOKUP($B715,Lifetime_morbidity_array!$A$30:$Y$48,9)))</f>
        <v>1.0096345361536223</v>
      </c>
      <c r="DD715" s="317">
        <f>(SUM($AM715:$AQ715)*VLOOKUP($B715,Lifetime_morbidity_array!$A$30:$Y$48,11))+(SUM($AR715:$AS715)*VLOOKUP($B715,Lifetime_morbidity_array!$A$30:$Y$48,13))+(SUM($AT715:$AU715)*(VLOOKUP($B715,Lifetime_morbidity_array!$A$30:$Y$48,12)))</f>
        <v>6.2985788563351326</v>
      </c>
      <c r="DE715" s="309"/>
      <c r="DF715" s="315">
        <f ca="1">(SUM($CN715:$CO715))-((SUM($CN715:$CO715)*VLOOKUP($B715,Lifetime_morbidity_array!$A$6:$Y$24,4))+(SUM($CN715:$CO715)*VLOOKUP($B715,Lifetime_morbidity_array!$A$6:$Y$24,7))+(SUM($CN715:$CO715)*VLOOKUP($B715,Lifetime_morbidity_array!$A$6:$Y$24,10))+(SUM($CN715:$CO715)*VLOOKUP($B715,Lifetime_morbidity_array!$A$6:$Y$24,13)))</f>
        <v>126.53752606279289</v>
      </c>
      <c r="DG715" s="316">
        <f ca="1">(SUM($CP715:$CQ715))-(((SUM($CP715:$CQ715)*VLOOKUP($B715,Lifetime_morbidity_array!$A$6:$Y$24,3))+(SUM($CP715:$CQ715)*VLOOKUP($B715,Lifetime_morbidity_array!$A$6:$Y$24,6))+(SUM($CP715:$CQ715)*VLOOKUP($B715,Lifetime_morbidity_array!$A$6:$Y$24,9))+(SUM($CP715:$CQ715)*VLOOKUP($B715,Lifetime_morbidity_array!$A$6:$Y$24,12))))</f>
        <v>75.887742563705771</v>
      </c>
      <c r="DH715" s="316">
        <f ca="1">(SUM($CI715:$CM715))-((SUM($CI715:$CM715)*VLOOKUP($B715,Lifetime_morbidity_array!$A$6:$Y$24,2))+(SUM($CI715:$CM715)*VLOOKUP($B715,Lifetime_morbidity_array!$A$6:$Y$24,5))+(SUM($CI715:$CM715)*VLOOKUP($B715,Lifetime_morbidity_array!$A$6:$Y$24,8))+(SUM($CI715:$CM715)*VLOOKUP($B715,Lifetime_morbidity_array!$A$6:$Y$24,11)))</f>
        <v>213.28308117064356</v>
      </c>
      <c r="DI715" s="316">
        <f ca="1">(SUM($CI715:$CM715)*VLOOKUP($B715,Lifetime_morbidity_array!$A$6:$Y$24,2))+(SUM($CN715:$CO715)*VLOOKUP($B715,Lifetime_morbidity_array!$A$6:$Y$24,4))+(SUM($CP715:$CQ715)*VLOOKUP($B715,Lifetime_morbidity_array!$A$6:$Y$24,3))</f>
        <v>6.8560293546682871</v>
      </c>
      <c r="DJ715" s="316">
        <f ca="1">(SUM($CI715:$CM715)*VLOOKUP($B715,Lifetime_morbidity_array!$A$6:$Y$24,5))+(SUM($CN715:$CO715)*VLOOKUP($B715,Lifetime_morbidity_array!$A$6:$Y$24,7))+(SUM($CP715:$CQ715)*VLOOKUP($B715,Lifetime_morbidity_array!$A$6:$Y$24,6))</f>
        <v>2.9151007257098178</v>
      </c>
      <c r="DK715" s="316">
        <f ca="1">(SUM($CI715:$CM715)*VLOOKUP($B715,Lifetime_morbidity_array!$A$6:$Y$24,8))+(SUM($CN715:$CO715)*VLOOKUP($B715,Lifetime_morbidity_array!$A$6:$Y$24,10))+(SUM($CP715:$CQ715)*VLOOKUP($B715,Lifetime_morbidity_array!$A$6:$Y$24,9))</f>
        <v>0.41257033215533279</v>
      </c>
      <c r="DL715" s="317">
        <f ca="1">(SUM($CI715:$CM715)*VLOOKUP($B715,Lifetime_morbidity_array!$A$6:$Y$24,11))+(SUM($CN715:$CO715)*VLOOKUP($B715,Lifetime_morbidity_array!$A$6:$Y$24,13))+(SUM($CP715:$CQ715)*VLOOKUP($B715,Lifetime_morbidity_array!$A$6:$Y$24,12))</f>
        <v>4.3871053120718386</v>
      </c>
      <c r="DM715" s="309"/>
      <c r="DN715" s="308">
        <f t="shared" si="275"/>
        <v>49</v>
      </c>
      <c r="DO715" s="309">
        <f t="shared" ca="1" si="323"/>
        <v>161.7851324837664</v>
      </c>
      <c r="DP715" s="310">
        <f t="shared" ca="1" si="307"/>
        <v>20651.676983501522</v>
      </c>
      <c r="DQ715" s="309"/>
      <c r="DR715" s="308">
        <f t="shared" si="277"/>
        <v>49</v>
      </c>
      <c r="DS715" s="309">
        <f ca="1">((VLOOKUP($B715,'Mahawesran Tariff'!$A$21:$M$120,4)*'Comparator (DET)'!$CX715)+(VLOOKUP($B715,'Mahawesran Tariff'!$A$21:$M$120,3)*'Comparator (DET)'!$CY715)+(VLOOKUP($B715,'Mahawesran Tariff'!$A$21:$M$120,2)*'Comparator (DET)'!$CZ715)+(VLOOKUP($B715,'Mahawesran Tariff'!$A$21:$M$120,7)*'Comparator (DET)'!$DF715)+(VLOOKUP($B715,'Mahawesran Tariff'!$A$21:$M$120,6)*'Comparator (DET)'!$DG715)+(VLOOKUP($B715,'Mahawesran Tariff'!$A$21:$M$120,5)*'Comparator (DET)'!$DH715)+(DET_UTIL_chd*('Comparator (DET)'!$DA715+'Comparator (DET)'!$DI715))+(DET_UTIL_copd*('Comparator (DET)'!$DB715+'Comparator (DET)'!$DJ715))+(DET_UTIL_lc*('Comparator (DET)'!$DC715+'Comparator (DET)'!$DK715))+(DET_UTIL_stroke*('Comparator (DET)'!$DD715+'Comparator (DET)'!$DL715)))/((1+Discount_rate_QALYs)^$A715)</f>
        <v>152.07781427541329</v>
      </c>
      <c r="DT715" s="310">
        <f t="shared" ca="1" si="308"/>
        <v>20538.591654194632</v>
      </c>
      <c r="DU715" s="309"/>
      <c r="DV715" s="308">
        <f t="shared" si="278"/>
        <v>49</v>
      </c>
      <c r="DW715" s="318">
        <f t="shared" ca="1" si="324"/>
        <v>55663.404444373708</v>
      </c>
      <c r="DX715" s="319">
        <f t="shared" ca="1" si="309"/>
        <v>6202218.4869696749</v>
      </c>
      <c r="DZ715" s="95">
        <f t="shared" si="280"/>
        <v>49</v>
      </c>
      <c r="EA715" s="268">
        <f t="shared" ca="1" si="318"/>
        <v>0.87300302536776375</v>
      </c>
      <c r="EB715" s="268">
        <f t="shared" ca="1" si="319"/>
        <v>0.12699697463223658</v>
      </c>
      <c r="EC715" s="268">
        <f t="shared" ca="1" si="320"/>
        <v>4.4885606188605855E-2</v>
      </c>
      <c r="ED715" s="290">
        <f t="shared" ca="1" si="321"/>
        <v>0.49151132339739811</v>
      </c>
      <c r="EF715" s="95">
        <f t="shared" si="281"/>
        <v>49</v>
      </c>
      <c r="EG715" s="339">
        <f t="shared" ca="1" si="325"/>
        <v>55663.404444373708</v>
      </c>
      <c r="EH715" s="341">
        <f t="shared" ca="1" si="310"/>
        <v>9302350.4228257611</v>
      </c>
      <c r="EJ715" s="308">
        <f t="shared" si="283"/>
        <v>49</v>
      </c>
      <c r="EK715" s="318">
        <f t="shared" ca="1" si="284"/>
        <v>55663.404444373708</v>
      </c>
      <c r="EL715" s="319">
        <f t="shared" ca="1" si="311"/>
        <v>6202218.4869696749</v>
      </c>
      <c r="EN715" s="95">
        <f t="shared" si="285"/>
        <v>49</v>
      </c>
      <c r="EO715" s="339">
        <f t="shared" ca="1" si="286"/>
        <v>55663.404444373708</v>
      </c>
      <c r="EP715" s="341">
        <f t="shared" ca="1" si="312"/>
        <v>9302350.4228257611</v>
      </c>
    </row>
    <row r="716" spans="1:146" s="266" customFormat="1" x14ac:dyDescent="0.25">
      <c r="A716" s="313">
        <v>50</v>
      </c>
      <c r="B716" s="314">
        <v>50</v>
      </c>
      <c r="C716" s="308">
        <f>VLOOKUP($B716,'Infant adult mortality'!$A$27:$I$128,3)</f>
        <v>1.0170367379895035E-3</v>
      </c>
      <c r="D716" s="309">
        <f t="shared" si="230"/>
        <v>0.27</v>
      </c>
      <c r="E716" s="309">
        <f>VLOOKUP($B716,'Infant pick up smoking rates'!$A$19:$I$104,3)</f>
        <v>1.5201831243956284E-3</v>
      </c>
      <c r="F716" s="309">
        <f t="shared" si="231"/>
        <v>1.6491605557185141E-2</v>
      </c>
      <c r="G716" s="309">
        <f t="shared" si="232"/>
        <v>0.7109711745804298</v>
      </c>
      <c r="H716" s="309">
        <f>VLOOKUP($B716,'Infant adult mortality'!$A$27:$I$128,3)</f>
        <v>1.0170367379895035E-3</v>
      </c>
      <c r="I716" s="309">
        <f t="shared" si="233"/>
        <v>0.14000000000000001</v>
      </c>
      <c r="J716" s="309">
        <f>VLOOKUP($B716,'Infant pick up smoking rates'!$A$19:$I$104,2)</f>
        <v>1.5201831243956284E-3</v>
      </c>
      <c r="K716" s="309">
        <f t="shared" si="234"/>
        <v>1.6491605557185141E-2</v>
      </c>
      <c r="L716" s="309">
        <f t="shared" si="235"/>
        <v>0.8409711745804298</v>
      </c>
      <c r="M716" s="309">
        <f>VLOOKUP($B716,'Infant adult mortality'!$A$27:$I$128,3)</f>
        <v>1.0170367379895035E-3</v>
      </c>
      <c r="N716" s="309">
        <f t="shared" si="236"/>
        <v>0.5714285714285714</v>
      </c>
      <c r="O716" s="309">
        <f>VLOOKUP($B716,'Infant pick up smoking rates'!$A$19:$I$104,2)</f>
        <v>1.5201831243956284E-3</v>
      </c>
      <c r="P716" s="309">
        <f t="shared" si="237"/>
        <v>1.2026425561985014E-2</v>
      </c>
      <c r="Q716" s="309">
        <f t="shared" si="238"/>
        <v>0.41400778314705849</v>
      </c>
      <c r="R716" s="309">
        <f>VLOOKUP($B716,'Infant adult mortality'!$A$27:$I$128,3)</f>
        <v>1.0170367379895035E-3</v>
      </c>
      <c r="S716" s="309">
        <f t="shared" si="239"/>
        <v>8.6261668788331098E-3</v>
      </c>
      <c r="T716" s="309">
        <f>VLOOKUP($B716,'Infant pick up smoking rates'!$A$19:$I$104,2)</f>
        <v>1.5201831243956284E-3</v>
      </c>
      <c r="U716" s="309">
        <f t="shared" si="240"/>
        <v>1.2026425561985014E-2</v>
      </c>
      <c r="V716" s="309">
        <f t="shared" si="241"/>
        <v>0.97681018769679684</v>
      </c>
      <c r="W716" s="309">
        <f>VLOOKUP($B716,'Infant adult mortality'!$A$27:$I$128,3)</f>
        <v>1.0170367379895035E-3</v>
      </c>
      <c r="X716" s="309">
        <f>VLOOKUP($B716,'Infant pick up smoking rates'!$A$19:$I$104,2)</f>
        <v>1.5201831243956284E-3</v>
      </c>
      <c r="Y716" s="309">
        <f t="shared" si="242"/>
        <v>0.99746278013761491</v>
      </c>
      <c r="Z716" s="309">
        <f>VLOOKUP($B716,'Infant adult mortality'!$A$27:$I$128,5)</f>
        <v>2.0594993944287447E-3</v>
      </c>
      <c r="AA716" s="309">
        <f t="shared" si="313"/>
        <v>0.25</v>
      </c>
      <c r="AB716" s="309">
        <f t="shared" si="244"/>
        <v>0.74794050060557127</v>
      </c>
      <c r="AC716" s="309">
        <f>VLOOKUP($B716,'Infant adult mortality'!$A$27:$I$128,5)</f>
        <v>2.0594993944287447E-3</v>
      </c>
      <c r="AD716" s="309">
        <f t="shared" si="314"/>
        <v>0.14000000000000001</v>
      </c>
      <c r="AE716" s="309">
        <f t="shared" si="246"/>
        <v>0.85794050060557125</v>
      </c>
      <c r="AF716" s="309">
        <f>VLOOKUP($B716,'Infant adult mortality'!$A$27:$I$128,4)</f>
        <v>1.245870004037142E-3</v>
      </c>
      <c r="AG716" s="309">
        <f t="shared" si="315"/>
        <v>0.5714285714285714</v>
      </c>
      <c r="AH716" s="309">
        <f t="shared" si="248"/>
        <v>0.42732555856739146</v>
      </c>
      <c r="AI716" s="309">
        <f>VLOOKUP($B716,'Infant adult mortality'!$A$27:$I$128,4)</f>
        <v>1.245870004037142E-3</v>
      </c>
      <c r="AJ716" s="309">
        <f t="shared" si="316"/>
        <v>8.6261668788331098E-3</v>
      </c>
      <c r="AK716" s="309">
        <f t="shared" si="250"/>
        <v>0.99012796311712969</v>
      </c>
      <c r="AL716" s="309"/>
      <c r="AM716" s="315">
        <f t="shared" si="287"/>
        <v>47.593537037873745</v>
      </c>
      <c r="AN716" s="316">
        <f t="shared" si="288"/>
        <v>13.204627992062035</v>
      </c>
      <c r="AO716" s="316">
        <f t="shared" si="289"/>
        <v>1.8970945803431911</v>
      </c>
      <c r="AP716" s="316">
        <f t="shared" si="290"/>
        <v>71.605771419073733</v>
      </c>
      <c r="AQ716" s="316">
        <f t="shared" si="291"/>
        <v>30.022486174729607</v>
      </c>
      <c r="AR716" s="316">
        <f t="shared" si="292"/>
        <v>140.05620013675329</v>
      </c>
      <c r="AS716" s="316">
        <f t="shared" si="293"/>
        <v>35.441731293637474</v>
      </c>
      <c r="AT716" s="316">
        <f t="shared" si="294"/>
        <v>5.0224171044432175</v>
      </c>
      <c r="AU716" s="316">
        <f t="shared" si="295"/>
        <v>97.221591844156237</v>
      </c>
      <c r="AV716" s="316">
        <f t="shared" si="296"/>
        <v>67.934542416927272</v>
      </c>
      <c r="AW716" s="317">
        <f t="shared" si="251"/>
        <v>509.99999999999983</v>
      </c>
      <c r="AX716" s="309"/>
      <c r="AY716" s="308">
        <f>VLOOKUP($B716,'Infant adult mortality'!$A$134:$I$234,3)</f>
        <v>7.5010092854259196E-4</v>
      </c>
      <c r="AZ716" s="309">
        <f t="shared" si="252"/>
        <v>0.27</v>
      </c>
      <c r="BA716" s="309">
        <f ca="1">VLOOKUP($B716,'Infant pick up smoking rates'!$A$19:$I$104,7)</f>
        <v>0</v>
      </c>
      <c r="BB716" s="309">
        <f t="shared" si="253"/>
        <v>1.6491605557185141E-2</v>
      </c>
      <c r="BC716" s="309">
        <f t="shared" ca="1" si="254"/>
        <v>0.71275829351427233</v>
      </c>
      <c r="BD716" s="309">
        <f>VLOOKUP($B716,'Infant adult mortality'!$A$134:$I$234,3)</f>
        <v>7.5010092854259196E-4</v>
      </c>
      <c r="BE716" s="309">
        <f t="shared" si="255"/>
        <v>0.14000000000000001</v>
      </c>
      <c r="BF716" s="309">
        <f>VLOOKUP($B716,'Infant pick up smoking rates'!$A$19:$I$104,6)</f>
        <v>0</v>
      </c>
      <c r="BG716" s="309">
        <f t="shared" si="256"/>
        <v>1.6491605557185141E-2</v>
      </c>
      <c r="BH716" s="309">
        <f t="shared" si="257"/>
        <v>0.84275829351427234</v>
      </c>
      <c r="BI716" s="309">
        <f>VLOOKUP($B716,'Infant adult mortality'!$A$134:$I$234,3)</f>
        <v>7.5010092854259196E-4</v>
      </c>
      <c r="BJ716" s="309">
        <f t="shared" si="258"/>
        <v>0.5714285714285714</v>
      </c>
      <c r="BK716" s="309">
        <f>VLOOKUP($B716,'Infant pick up smoking rates'!$A$19:$I$104,6)</f>
        <v>0</v>
      </c>
      <c r="BL716" s="309">
        <f t="shared" si="259"/>
        <v>1.2026425561985014E-2</v>
      </c>
      <c r="BM716" s="309">
        <f t="shared" si="260"/>
        <v>0.41579490208090103</v>
      </c>
      <c r="BN716" s="309">
        <f>VLOOKUP($B716,'Infant adult mortality'!$A$134:$I$234,3)</f>
        <v>7.5010092854259196E-4</v>
      </c>
      <c r="BO716" s="309">
        <f t="shared" si="261"/>
        <v>8.6261668788331098E-3</v>
      </c>
      <c r="BP716" s="309">
        <f>VLOOKUP($B716,'Infant pick up smoking rates'!$A$19:$I$104,6)</f>
        <v>0</v>
      </c>
      <c r="BQ716" s="309">
        <f t="shared" si="262"/>
        <v>1.2026425561985014E-2</v>
      </c>
      <c r="BR716" s="309">
        <f t="shared" si="263"/>
        <v>0.97859730663063937</v>
      </c>
      <c r="BS716" s="309">
        <f>VLOOKUP($B716,'Infant adult mortality'!$A$134:$I$234,3)</f>
        <v>7.5010092854259196E-4</v>
      </c>
      <c r="BT716" s="309">
        <f>VLOOKUP($B716,'Infant pick up smoking rates'!$A$19:$I$104,6)</f>
        <v>0</v>
      </c>
      <c r="BU716" s="309">
        <f t="shared" si="264"/>
        <v>0.99924989907145745</v>
      </c>
      <c r="BV716" s="309">
        <f>VLOOKUP($B716,'Infant adult mortality'!$A$134:$I$234,5)</f>
        <v>1.5189543802987487E-3</v>
      </c>
      <c r="BW716" s="309">
        <f t="shared" si="322"/>
        <v>0.27</v>
      </c>
      <c r="BX716" s="309">
        <f t="shared" si="266"/>
        <v>0.72848104561970128</v>
      </c>
      <c r="BY716" s="309">
        <f>VLOOKUP($B716,'Infant adult mortality'!$A$134:$I$234,5)</f>
        <v>1.5189543802987487E-3</v>
      </c>
      <c r="BZ716" s="309">
        <f t="shared" si="267"/>
        <v>0.14000000000000001</v>
      </c>
      <c r="CA716" s="309">
        <f t="shared" si="268"/>
        <v>0.85848104561970129</v>
      </c>
      <c r="CB716" s="309">
        <f>VLOOKUP($B716,'Infant adult mortality'!$A$134:$I$234,4)</f>
        <v>9.1887363746467519E-4</v>
      </c>
      <c r="CC716" s="309">
        <f t="shared" si="269"/>
        <v>0.5714285714285714</v>
      </c>
      <c r="CD716" s="309">
        <f t="shared" si="270"/>
        <v>0.42765255493396392</v>
      </c>
      <c r="CE716" s="309">
        <f>VLOOKUP($B716,'Infant adult mortality'!$A$134:$I$234,4)</f>
        <v>9.1887363746467519E-4</v>
      </c>
      <c r="CF716" s="309">
        <f t="shared" si="271"/>
        <v>8.6261668788331098E-3</v>
      </c>
      <c r="CG716" s="309">
        <f t="shared" si="272"/>
        <v>0.99045495948370221</v>
      </c>
      <c r="CH716" s="309"/>
      <c r="CI716" s="315">
        <f t="shared" ca="1" si="297"/>
        <v>63.191214537614023</v>
      </c>
      <c r="CJ716" s="316">
        <f t="shared" ca="1" si="298"/>
        <v>17.505353129211446</v>
      </c>
      <c r="CK716" s="316">
        <f t="shared" ca="1" si="299"/>
        <v>2.5080377396653932</v>
      </c>
      <c r="CL716" s="316">
        <f t="shared" ca="1" si="300"/>
        <v>93.579781314676453</v>
      </c>
      <c r="CM716" s="316">
        <f t="shared" ca="1" si="301"/>
        <v>39.803228106720866</v>
      </c>
      <c r="CN716" s="316">
        <f t="shared" ca="1" si="302"/>
        <v>104.97318193994688</v>
      </c>
      <c r="CO716" s="316">
        <f t="shared" ca="1" si="303"/>
        <v>28.735164016292529</v>
      </c>
      <c r="CP716" s="316">
        <f t="shared" ca="1" si="304"/>
        <v>4.0839636699710775</v>
      </c>
      <c r="CQ716" s="316">
        <f t="shared" ca="1" si="305"/>
        <v>75.459070843171901</v>
      </c>
      <c r="CR716" s="316">
        <f t="shared" ca="1" si="306"/>
        <v>60.161004702729961</v>
      </c>
      <c r="CS716" s="317">
        <f t="shared" ca="1" si="273"/>
        <v>490.00000000000051</v>
      </c>
      <c r="CT716" s="309"/>
      <c r="CU716" s="309">
        <f t="shared" ca="1" si="274"/>
        <v>1000.0000000000003</v>
      </c>
      <c r="CV716" s="309" t="str">
        <f t="shared" ca="1" si="317"/>
        <v>OKAY</v>
      </c>
      <c r="CW716" s="309"/>
      <c r="CX716" s="315">
        <f>(SUM($AR716:$AS716))-((SUM($AR716:$AS716)*VLOOKUP($B716,Lifetime_morbidity_array!$A$30:$Y$48,4))+(SUM($AR716:$AS716)*VLOOKUP($B716,Lifetime_morbidity_array!$A$30:$Y$48,7))+(SUM($AR716:$AS716)*VLOOKUP($B716,Lifetime_morbidity_array!$A$30:$Y$48,10))+(SUM($AR716:$AS716)*VLOOKUP($B716,Lifetime_morbidity_array!$A$30:$Y$48,13)))</f>
        <v>152.97269303493499</v>
      </c>
      <c r="CY716" s="316">
        <f>(SUM($AT716:$AU716))-((SUM($AT716:$AU716)*(VLOOKUP($B716,Lifetime_morbidity_array!$A$30:$Y$48,3)))+(SUM($AT716:$AU716)*(VLOOKUP($B716,Lifetime_morbidity_array!$A$30:$Y$48,6)))+(SUM($AT716:$AU716)*(VLOOKUP($B716,Lifetime_morbidity_array!$A$30:$Y$48,9)))+(SUM($AT716:$AU716)*(VLOOKUP($B716,Lifetime_morbidity_array!$A$30:$Y$48,12))))</f>
        <v>96.138277908164042</v>
      </c>
      <c r="CZ716" s="316">
        <f>(SUM($AM716:$AQ716))-((SUM($AM716:$AQ716)*VLOOKUP($B716,Lifetime_morbidity_array!$A$30:$Y$48,2))+(SUM($AM716:$AQ716)*VLOOKUP($B716,Lifetime_morbidity_array!$A$30:$Y$48,5))+(SUM($AM716:$AQ716)*VLOOKUP($B716,Lifetime_morbidity_array!$A$30:$Y$48,8))+(SUM($AM716:$AQ716)*VLOOKUP($B716,Lifetime_morbidity_array!$A$30:$Y$48,11)))</f>
        <v>158.58472921675397</v>
      </c>
      <c r="DA716" s="316">
        <f>(SUM($AM716:$AQ716)*VLOOKUP($B716,Lifetime_morbidity_array!$A$30:$Y$48,2))+(SUM($AR716:$AS716)*VLOOKUP($B716,Lifetime_morbidity_array!$A$30:$Y$48,4))+(SUM($AT716:$AU716)*(VLOOKUP($B716,Lifetime_morbidity_array!$A$30:$Y$48,3)))</f>
        <v>20.946258236859705</v>
      </c>
      <c r="DB716" s="316">
        <f>(SUM($AM716:$AQ716)*VLOOKUP($B716,Lifetime_morbidity_array!$A$30:$Y$48,5))+(SUM($AR716:$AS716)*VLOOKUP($B716,Lifetime_morbidity_array!$A$30:$Y$48,7))+(SUM($AT716:$AU716)*(VLOOKUP($B716,Lifetime_morbidity_array!$A$30:$Y$48,6)))</f>
        <v>5.9179583710855059</v>
      </c>
      <c r="DC716" s="316">
        <f>(SUM($AM716:$AQ716)*VLOOKUP($B716,Lifetime_morbidity_array!$A$30:$Y$48,8))+(SUM($AR716:$AS716)*VLOOKUP($B716,Lifetime_morbidity_array!$A$30:$Y$48,10))+(SUM($AT716:$AU716)*(VLOOKUP($B716,Lifetime_morbidity_array!$A$30:$Y$48,9)))</f>
        <v>1.0717306174746042</v>
      </c>
      <c r="DD716" s="317">
        <f>(SUM($AM716:$AQ716)*VLOOKUP($B716,Lifetime_morbidity_array!$A$30:$Y$48,11))+(SUM($AR716:$AS716)*VLOOKUP($B716,Lifetime_morbidity_array!$A$30:$Y$48,13))+(SUM($AT716:$AU716)*(VLOOKUP($B716,Lifetime_morbidity_array!$A$30:$Y$48,12)))</f>
        <v>6.4338101977997475</v>
      </c>
      <c r="DE716" s="309"/>
      <c r="DF716" s="315">
        <f ca="1">(SUM($CN716:$CO716))-((SUM($CN716:$CO716)*VLOOKUP($B716,Lifetime_morbidity_array!$A$6:$Y$24,4))+(SUM($CN716:$CO716)*VLOOKUP($B716,Lifetime_morbidity_array!$A$6:$Y$24,7))+(SUM($CN716:$CO716)*VLOOKUP($B716,Lifetime_morbidity_array!$A$6:$Y$24,10))+(SUM($CN716:$CO716)*VLOOKUP($B716,Lifetime_morbidity_array!$A$6:$Y$24,13)))</f>
        <v>122.1326114941435</v>
      </c>
      <c r="DG716" s="316">
        <f ca="1">(SUM($CP716:$CQ716))-(((SUM($CP716:$CQ716)*VLOOKUP($B716,Lifetime_morbidity_array!$A$6:$Y$24,3))+(SUM($CP716:$CQ716)*VLOOKUP($B716,Lifetime_morbidity_array!$A$6:$Y$24,6))+(SUM($CP716:$CQ716)*VLOOKUP($B716,Lifetime_morbidity_array!$A$6:$Y$24,9))+(SUM($CP716:$CQ716)*VLOOKUP($B716,Lifetime_morbidity_array!$A$6:$Y$24,12))))</f>
        <v>76.992364106644828</v>
      </c>
      <c r="DH716" s="316">
        <f ca="1">(SUM($CI716:$CM716))-((SUM($CI716:$CM716)*VLOOKUP($B716,Lifetime_morbidity_array!$A$6:$Y$24,2))+(SUM($CI716:$CM716)*VLOOKUP($B716,Lifetime_morbidity_array!$A$6:$Y$24,5))+(SUM($CI716:$CM716)*VLOOKUP($B716,Lifetime_morbidity_array!$A$6:$Y$24,8))+(SUM($CI716:$CM716)*VLOOKUP($B716,Lifetime_morbidity_array!$A$6:$Y$24,11)))</f>
        <v>212.43349709228386</v>
      </c>
      <c r="DI716" s="316">
        <f ca="1">(SUM($CI716:$CM716)*VLOOKUP($B716,Lifetime_morbidity_array!$A$6:$Y$24,2))+(SUM($CN716:$CO716)*VLOOKUP($B716,Lifetime_morbidity_array!$A$6:$Y$24,4))+(SUM($CP716:$CQ716)*VLOOKUP($B716,Lifetime_morbidity_array!$A$6:$Y$24,3))</f>
        <v>6.9906609613308808</v>
      </c>
      <c r="DJ716" s="316">
        <f ca="1">(SUM($CI716:$CM716)*VLOOKUP($B716,Lifetime_morbidity_array!$A$6:$Y$24,5))+(SUM($CN716:$CO716)*VLOOKUP($B716,Lifetime_morbidity_array!$A$6:$Y$24,7))+(SUM($CP716:$CQ716)*VLOOKUP($B716,Lifetime_morbidity_array!$A$6:$Y$24,6))</f>
        <v>6.4128256463406927</v>
      </c>
      <c r="DK716" s="316">
        <f ca="1">(SUM($CI716:$CM716)*VLOOKUP($B716,Lifetime_morbidity_array!$A$6:$Y$24,8))+(SUM($CN716:$CO716)*VLOOKUP($B716,Lifetime_morbidity_array!$A$6:$Y$24,10))+(SUM($CP716:$CQ716)*VLOOKUP($B716,Lifetime_morbidity_array!$A$6:$Y$24,9))</f>
        <v>0.42810036800980239</v>
      </c>
      <c r="DL716" s="317">
        <f ca="1">(SUM($CI716:$CM716)*VLOOKUP($B716,Lifetime_morbidity_array!$A$6:$Y$24,11))+(SUM($CN716:$CO716)*VLOOKUP($B716,Lifetime_morbidity_array!$A$6:$Y$24,13))+(SUM($CP716:$CQ716)*VLOOKUP($B716,Lifetime_morbidity_array!$A$6:$Y$24,12))</f>
        <v>4.4489356285170301</v>
      </c>
      <c r="DM716" s="309"/>
      <c r="DN716" s="308">
        <f t="shared" si="275"/>
        <v>50</v>
      </c>
      <c r="DO716" s="309">
        <f t="shared" ca="1" si="323"/>
        <v>156.11743455443823</v>
      </c>
      <c r="DP716" s="310">
        <f t="shared" ca="1" si="307"/>
        <v>20807.794418055961</v>
      </c>
      <c r="DQ716" s="309"/>
      <c r="DR716" s="308">
        <f t="shared" si="277"/>
        <v>50</v>
      </c>
      <c r="DS716" s="309">
        <f ca="1">((VLOOKUP($B716,'Mahawesran Tariff'!$A$21:$M$120,4)*'Comparator (DET)'!$CX716)+(VLOOKUP($B716,'Mahawesran Tariff'!$A$21:$M$120,3)*'Comparator (DET)'!$CY716)+(VLOOKUP($B716,'Mahawesran Tariff'!$A$21:$M$120,2)*'Comparator (DET)'!$CZ716)+(VLOOKUP($B716,'Mahawesran Tariff'!$A$21:$M$120,7)*'Comparator (DET)'!$DF716)+(VLOOKUP($B716,'Mahawesran Tariff'!$A$21:$M$120,6)*'Comparator (DET)'!$DG716)+(VLOOKUP($B716,'Mahawesran Tariff'!$A$21:$M$120,5)*'Comparator (DET)'!$DH716)+(DET_UTIL_chd*('Comparator (DET)'!$DA716+'Comparator (DET)'!$DI716))+(DET_UTIL_copd*('Comparator (DET)'!$DB716+'Comparator (DET)'!$DJ716))+(DET_UTIL_lc*('Comparator (DET)'!$DC716+'Comparator (DET)'!$DK716))+(DET_UTIL_stroke*('Comparator (DET)'!$DD716+'Comparator (DET)'!$DL716)))/((1+Discount_rate_QALYs)^$A716)</f>
        <v>146.46469073111473</v>
      </c>
      <c r="DT716" s="310">
        <f t="shared" ca="1" si="308"/>
        <v>20685.056344925746</v>
      </c>
      <c r="DU716" s="309"/>
      <c r="DV716" s="308">
        <f t="shared" si="278"/>
        <v>50</v>
      </c>
      <c r="DW716" s="318">
        <f t="shared" ca="1" si="324"/>
        <v>55958.763416261187</v>
      </c>
      <c r="DX716" s="319">
        <f t="shared" ca="1" si="309"/>
        <v>6258177.2503859363</v>
      </c>
      <c r="DZ716" s="95">
        <f t="shared" si="280"/>
        <v>50</v>
      </c>
      <c r="EA716" s="268">
        <f t="shared" ca="1" si="318"/>
        <v>0.87190445288034313</v>
      </c>
      <c r="EB716" s="268">
        <f t="shared" ca="1" si="319"/>
        <v>0.12809554711965723</v>
      </c>
      <c r="EC716" s="268">
        <f t="shared" ca="1" si="320"/>
        <v>5.2650280027417964E-2</v>
      </c>
      <c r="ED716" s="290">
        <f t="shared" ca="1" si="321"/>
        <v>0.49099332084837261</v>
      </c>
      <c r="EF716" s="95">
        <f t="shared" si="281"/>
        <v>50</v>
      </c>
      <c r="EG716" s="339">
        <f t="shared" ca="1" si="325"/>
        <v>55958.763416261187</v>
      </c>
      <c r="EH716" s="341">
        <f t="shared" ca="1" si="310"/>
        <v>9358309.1862420216</v>
      </c>
      <c r="EJ716" s="308">
        <f t="shared" si="283"/>
        <v>50</v>
      </c>
      <c r="EK716" s="318">
        <f t="shared" ca="1" si="284"/>
        <v>55958.763416261187</v>
      </c>
      <c r="EL716" s="319">
        <f t="shared" ca="1" si="311"/>
        <v>6258177.2503859363</v>
      </c>
      <c r="EN716" s="95">
        <f t="shared" si="285"/>
        <v>50</v>
      </c>
      <c r="EO716" s="339">
        <f t="shared" ca="1" si="286"/>
        <v>55958.763416261187</v>
      </c>
      <c r="EP716" s="341">
        <f t="shared" ca="1" si="312"/>
        <v>9358309.1862420216</v>
      </c>
    </row>
    <row r="717" spans="1:146" s="266" customFormat="1" x14ac:dyDescent="0.25">
      <c r="A717" s="313">
        <v>51</v>
      </c>
      <c r="B717" s="314">
        <v>51</v>
      </c>
      <c r="C717" s="308">
        <f>VLOOKUP($B717,'Infant adult mortality'!$A$27:$I$128,3)</f>
        <v>1.0819539765845783E-3</v>
      </c>
      <c r="D717" s="309">
        <f t="shared" si="230"/>
        <v>0.27</v>
      </c>
      <c r="E717" s="309">
        <f>VLOOKUP($B717,'Infant pick up smoking rates'!$A$19:$I$104,3)</f>
        <v>1.5201831243956284E-3</v>
      </c>
      <c r="F717" s="309">
        <f t="shared" si="231"/>
        <v>1.814304151889283E-2</v>
      </c>
      <c r="G717" s="309">
        <f t="shared" si="232"/>
        <v>0.70925482138012697</v>
      </c>
      <c r="H717" s="309">
        <f>VLOOKUP($B717,'Infant adult mortality'!$A$27:$I$128,3)</f>
        <v>1.0819539765845783E-3</v>
      </c>
      <c r="I717" s="309">
        <f t="shared" si="233"/>
        <v>0.14000000000000001</v>
      </c>
      <c r="J717" s="309">
        <f>VLOOKUP($B717,'Infant pick up smoking rates'!$A$19:$I$104,2)</f>
        <v>1.5201831243956284E-3</v>
      </c>
      <c r="K717" s="309">
        <f t="shared" si="234"/>
        <v>1.814304151889283E-2</v>
      </c>
      <c r="L717" s="309">
        <f t="shared" si="235"/>
        <v>0.83925482138012697</v>
      </c>
      <c r="M717" s="309">
        <f>VLOOKUP($B717,'Infant adult mortality'!$A$27:$I$128,3)</f>
        <v>1.0819539765845783E-3</v>
      </c>
      <c r="N717" s="309">
        <f t="shared" si="236"/>
        <v>0.5714285714285714</v>
      </c>
      <c r="O717" s="309">
        <f>VLOOKUP($B717,'Infant pick up smoking rates'!$A$19:$I$104,2)</f>
        <v>1.5201831243956284E-3</v>
      </c>
      <c r="P717" s="309">
        <f t="shared" si="237"/>
        <v>1.3230727447268073E-2</v>
      </c>
      <c r="Q717" s="309">
        <f t="shared" si="238"/>
        <v>0.41273856402318038</v>
      </c>
      <c r="R717" s="309">
        <f>VLOOKUP($B717,'Infant adult mortality'!$A$27:$I$128,3)</f>
        <v>1.0819539765845783E-3</v>
      </c>
      <c r="S717" s="309">
        <f t="shared" si="239"/>
        <v>8.6261668788331098E-3</v>
      </c>
      <c r="T717" s="309">
        <f>VLOOKUP($B717,'Infant pick up smoking rates'!$A$19:$I$104,2)</f>
        <v>1.5201831243956284E-3</v>
      </c>
      <c r="U717" s="309">
        <f t="shared" si="240"/>
        <v>1.3230727447268073E-2</v>
      </c>
      <c r="V717" s="309">
        <f t="shared" si="241"/>
        <v>0.97554096857291861</v>
      </c>
      <c r="W717" s="309">
        <f>VLOOKUP($B717,'Infant adult mortality'!$A$27:$I$128,3)</f>
        <v>1.0819539765845783E-3</v>
      </c>
      <c r="X717" s="309">
        <f>VLOOKUP($B717,'Infant pick up smoking rates'!$A$19:$I$104,2)</f>
        <v>1.5201831243956284E-3</v>
      </c>
      <c r="Y717" s="309">
        <f t="shared" si="242"/>
        <v>0.99739786289901977</v>
      </c>
      <c r="Z717" s="309">
        <f>VLOOKUP($B717,'Infant adult mortality'!$A$27:$I$128,5)</f>
        <v>2.1909568025837707E-3</v>
      </c>
      <c r="AA717" s="309">
        <f t="shared" si="313"/>
        <v>0.25</v>
      </c>
      <c r="AB717" s="309">
        <f t="shared" si="244"/>
        <v>0.74780904319741626</v>
      </c>
      <c r="AC717" s="309">
        <f>VLOOKUP($B717,'Infant adult mortality'!$A$27:$I$128,5)</f>
        <v>2.1909568025837707E-3</v>
      </c>
      <c r="AD717" s="309">
        <f t="shared" si="314"/>
        <v>0.14000000000000001</v>
      </c>
      <c r="AE717" s="309">
        <f t="shared" si="246"/>
        <v>0.85780904319741624</v>
      </c>
      <c r="AF717" s="309">
        <f>VLOOKUP($B717,'Infant adult mortality'!$A$27:$I$128,4)</f>
        <v>1.3253936213161084E-3</v>
      </c>
      <c r="AG717" s="309">
        <f t="shared" si="315"/>
        <v>0.5714285714285714</v>
      </c>
      <c r="AH717" s="309">
        <f t="shared" si="248"/>
        <v>0.42724603495011249</v>
      </c>
      <c r="AI717" s="309">
        <f>VLOOKUP($B717,'Infant adult mortality'!$A$27:$I$128,4)</f>
        <v>1.3253936213161084E-3</v>
      </c>
      <c r="AJ717" s="309">
        <f t="shared" si="316"/>
        <v>8.6261668788331098E-3</v>
      </c>
      <c r="AK717" s="309">
        <f t="shared" si="250"/>
        <v>0.99004843949985077</v>
      </c>
      <c r="AL717" s="309"/>
      <c r="AM717" s="315">
        <f t="shared" si="287"/>
        <v>46.238680744170161</v>
      </c>
      <c r="AN717" s="316">
        <f t="shared" si="288"/>
        <v>12.850255000225912</v>
      </c>
      <c r="AO717" s="316">
        <f t="shared" si="289"/>
        <v>1.8486479188886851</v>
      </c>
      <c r="AP717" s="316">
        <f t="shared" si="290"/>
        <v>70.938417651484599</v>
      </c>
      <c r="AQ717" s="316">
        <f t="shared" si="291"/>
        <v>32.019923568632649</v>
      </c>
      <c r="AR717" s="316">
        <f t="shared" si="292"/>
        <v>138.37178993539388</v>
      </c>
      <c r="AS717" s="316">
        <f t="shared" si="293"/>
        <v>35.014050034188323</v>
      </c>
      <c r="AT717" s="316">
        <f t="shared" si="294"/>
        <v>4.9618423811092471</v>
      </c>
      <c r="AU717" s="316">
        <f t="shared" si="295"/>
        <v>99.124037922108712</v>
      </c>
      <c r="AV717" s="316">
        <f t="shared" si="296"/>
        <v>68.632354843797643</v>
      </c>
      <c r="AW717" s="317">
        <f t="shared" si="251"/>
        <v>509.99999999999977</v>
      </c>
      <c r="AX717" s="309"/>
      <c r="AY717" s="308">
        <f>VLOOKUP($B717,'Infant adult mortality'!$A$134:$I$234,3)</f>
        <v>8.2034719418651596E-4</v>
      </c>
      <c r="AZ717" s="309">
        <f t="shared" si="252"/>
        <v>0.27</v>
      </c>
      <c r="BA717" s="309">
        <f ca="1">VLOOKUP($B717,'Infant pick up smoking rates'!$A$19:$I$104,7)</f>
        <v>0</v>
      </c>
      <c r="BB717" s="309">
        <f t="shared" si="253"/>
        <v>1.814304151889283E-2</v>
      </c>
      <c r="BC717" s="309">
        <f t="shared" ca="1" si="254"/>
        <v>0.71103661128692064</v>
      </c>
      <c r="BD717" s="309">
        <f>VLOOKUP($B717,'Infant adult mortality'!$A$134:$I$234,3)</f>
        <v>8.2034719418651596E-4</v>
      </c>
      <c r="BE717" s="309">
        <f t="shared" si="255"/>
        <v>0.14000000000000001</v>
      </c>
      <c r="BF717" s="309">
        <f>VLOOKUP($B717,'Infant pick up smoking rates'!$A$19:$I$104,6)</f>
        <v>0</v>
      </c>
      <c r="BG717" s="309">
        <f t="shared" si="256"/>
        <v>1.814304151889283E-2</v>
      </c>
      <c r="BH717" s="309">
        <f t="shared" si="257"/>
        <v>0.84103661128692064</v>
      </c>
      <c r="BI717" s="309">
        <f>VLOOKUP($B717,'Infant adult mortality'!$A$134:$I$234,3)</f>
        <v>8.2034719418651596E-4</v>
      </c>
      <c r="BJ717" s="309">
        <f t="shared" si="258"/>
        <v>0.5714285714285714</v>
      </c>
      <c r="BK717" s="309">
        <f>VLOOKUP($B717,'Infant pick up smoking rates'!$A$19:$I$104,6)</f>
        <v>0</v>
      </c>
      <c r="BL717" s="309">
        <f t="shared" si="259"/>
        <v>1.3230727447268073E-2</v>
      </c>
      <c r="BM717" s="309">
        <f t="shared" si="260"/>
        <v>0.41452035392997405</v>
      </c>
      <c r="BN717" s="309">
        <f>VLOOKUP($B717,'Infant adult mortality'!$A$134:$I$234,3)</f>
        <v>8.2034719418651596E-4</v>
      </c>
      <c r="BO717" s="309">
        <f t="shared" si="261"/>
        <v>8.6261668788331098E-3</v>
      </c>
      <c r="BP717" s="309">
        <f>VLOOKUP($B717,'Infant pick up smoking rates'!$A$19:$I$104,6)</f>
        <v>0</v>
      </c>
      <c r="BQ717" s="309">
        <f t="shared" si="262"/>
        <v>1.3230727447268073E-2</v>
      </c>
      <c r="BR717" s="309">
        <f t="shared" si="263"/>
        <v>0.97732275847971228</v>
      </c>
      <c r="BS717" s="309">
        <f>VLOOKUP($B717,'Infant adult mortality'!$A$134:$I$234,3)</f>
        <v>8.2034719418651596E-4</v>
      </c>
      <c r="BT717" s="309">
        <f>VLOOKUP($B717,'Infant pick up smoking rates'!$A$19:$I$104,6)</f>
        <v>0</v>
      </c>
      <c r="BU717" s="309">
        <f t="shared" si="264"/>
        <v>0.99917965280581345</v>
      </c>
      <c r="BV717" s="309">
        <f>VLOOKUP($B717,'Infant adult mortality'!$A$134:$I$234,5)</f>
        <v>1.6612030682276947E-3</v>
      </c>
      <c r="BW717" s="309">
        <f t="shared" si="322"/>
        <v>0.27</v>
      </c>
      <c r="BX717" s="309">
        <f t="shared" si="266"/>
        <v>0.72833879693177228</v>
      </c>
      <c r="BY717" s="309">
        <f>VLOOKUP($B717,'Infant adult mortality'!$A$134:$I$234,5)</f>
        <v>1.6612030682276947E-3</v>
      </c>
      <c r="BZ717" s="309">
        <f t="shared" si="267"/>
        <v>0.14000000000000001</v>
      </c>
      <c r="CA717" s="309">
        <f t="shared" si="268"/>
        <v>0.85833879693177229</v>
      </c>
      <c r="CB717" s="309">
        <f>VLOOKUP($B717,'Infant adult mortality'!$A$134:$I$234,4)</f>
        <v>1.0049253128784821E-3</v>
      </c>
      <c r="CC717" s="309">
        <f t="shared" si="269"/>
        <v>0.5714285714285714</v>
      </c>
      <c r="CD717" s="309">
        <f t="shared" si="270"/>
        <v>0.42756650325855011</v>
      </c>
      <c r="CE717" s="309">
        <f>VLOOKUP($B717,'Infant adult mortality'!$A$134:$I$234,4)</f>
        <v>1.0049253128784821E-3</v>
      </c>
      <c r="CF717" s="309">
        <f t="shared" si="271"/>
        <v>8.6261668788331098E-3</v>
      </c>
      <c r="CG717" s="309">
        <f t="shared" si="272"/>
        <v>0.99036890780828846</v>
      </c>
      <c r="CH717" s="309"/>
      <c r="CI717" s="315">
        <f t="shared" ca="1" si="297"/>
        <v>61.500777424723701</v>
      </c>
      <c r="CJ717" s="316">
        <f t="shared" ca="1" si="298"/>
        <v>17.061627925155786</v>
      </c>
      <c r="CK717" s="316">
        <f t="shared" ca="1" si="299"/>
        <v>2.4507494380896029</v>
      </c>
      <c r="CL717" s="316">
        <f t="shared" ca="1" si="300"/>
        <v>92.89081443505377</v>
      </c>
      <c r="CM717" s="316">
        <f t="shared" ca="1" si="301"/>
        <v>42.505968562745721</v>
      </c>
      <c r="CN717" s="316">
        <f t="shared" ca="1" si="302"/>
        <v>103.51763575904202</v>
      </c>
      <c r="CO717" s="316">
        <f t="shared" ca="1" si="303"/>
        <v>28.342759123785662</v>
      </c>
      <c r="CP717" s="316">
        <f t="shared" ca="1" si="304"/>
        <v>4.0229229622809548</v>
      </c>
      <c r="CQ717" s="316">
        <f t="shared" ca="1" si="305"/>
        <v>77.066011100878171</v>
      </c>
      <c r="CR717" s="316">
        <f t="shared" ca="1" si="306"/>
        <v>60.640733268245157</v>
      </c>
      <c r="CS717" s="317">
        <f t="shared" ca="1" si="273"/>
        <v>490.00000000000057</v>
      </c>
      <c r="CT717" s="309"/>
      <c r="CU717" s="309">
        <f t="shared" ca="1" si="274"/>
        <v>1000.0000000000003</v>
      </c>
      <c r="CV717" s="309" t="str">
        <f t="shared" ca="1" si="317"/>
        <v>OKAY</v>
      </c>
      <c r="CW717" s="309"/>
      <c r="CX717" s="315">
        <f>(SUM($AR717:$AS717))-((SUM($AR717:$AS717)*VLOOKUP($B717,Lifetime_morbidity_array!$A$30:$Y$48,4))+(SUM($AR717:$AS717)*VLOOKUP($B717,Lifetime_morbidity_array!$A$30:$Y$48,7))+(SUM($AR717:$AS717)*VLOOKUP($B717,Lifetime_morbidity_array!$A$30:$Y$48,10))+(SUM($AR717:$AS717)*VLOOKUP($B717,Lifetime_morbidity_array!$A$30:$Y$48,13)))</f>
        <v>151.13168946262721</v>
      </c>
      <c r="CY717" s="316">
        <f>(SUM($AT717:$AU717))-((SUM($AT717:$AU717)*(VLOOKUP($B717,Lifetime_morbidity_array!$A$30:$Y$48,3)))+(SUM($AT717:$AU717)*(VLOOKUP($B717,Lifetime_morbidity_array!$A$30:$Y$48,6)))+(SUM($AT717:$AU717)*(VLOOKUP($B717,Lifetime_morbidity_array!$A$30:$Y$48,9)))+(SUM($AT717:$AU717)*(VLOOKUP($B717,Lifetime_morbidity_array!$A$30:$Y$48,12))))</f>
        <v>97.870157770684102</v>
      </c>
      <c r="CZ717" s="316">
        <f>(SUM($AM717:$AQ717))-((SUM($AM717:$AQ717)*VLOOKUP($B717,Lifetime_morbidity_array!$A$30:$Y$48,2))+(SUM($AM717:$AQ717)*VLOOKUP($B717,Lifetime_morbidity_array!$A$30:$Y$48,5))+(SUM($AM717:$AQ717)*VLOOKUP($B717,Lifetime_morbidity_array!$A$30:$Y$48,8))+(SUM($AM717:$AQ717)*VLOOKUP($B717,Lifetime_morbidity_array!$A$30:$Y$48,11)))</f>
        <v>158.17207000921013</v>
      </c>
      <c r="DA717" s="316">
        <f>(SUM($AM717:$AQ717)*VLOOKUP($B717,Lifetime_morbidity_array!$A$30:$Y$48,2))+(SUM($AR717:$AS717)*VLOOKUP($B717,Lifetime_morbidity_array!$A$30:$Y$48,4))+(SUM($AT717:$AU717)*(VLOOKUP($B717,Lifetime_morbidity_array!$A$30:$Y$48,3)))</f>
        <v>20.839699407264884</v>
      </c>
      <c r="DB717" s="316">
        <f>(SUM($AM717:$AQ717)*VLOOKUP($B717,Lifetime_morbidity_array!$A$30:$Y$48,5))+(SUM($AR717:$AS717)*VLOOKUP($B717,Lifetime_morbidity_array!$A$30:$Y$48,7))+(SUM($AT717:$AU717)*(VLOOKUP($B717,Lifetime_morbidity_array!$A$30:$Y$48,6)))</f>
        <v>5.8888679653035378</v>
      </c>
      <c r="DC717" s="316">
        <f>(SUM($AM717:$AQ717)*VLOOKUP($B717,Lifetime_morbidity_array!$A$30:$Y$48,8))+(SUM($AR717:$AS717)*VLOOKUP($B717,Lifetime_morbidity_array!$A$30:$Y$48,10))+(SUM($AT717:$AU717)*(VLOOKUP($B717,Lifetime_morbidity_array!$A$30:$Y$48,9)))</f>
        <v>1.0639935261956557</v>
      </c>
      <c r="DD717" s="317">
        <f>(SUM($AM717:$AQ717)*VLOOKUP($B717,Lifetime_morbidity_array!$A$30:$Y$48,11))+(SUM($AR717:$AS717)*VLOOKUP($B717,Lifetime_morbidity_array!$A$30:$Y$48,13))+(SUM($AT717:$AU717)*(VLOOKUP($B717,Lifetime_morbidity_array!$A$30:$Y$48,12)))</f>
        <v>6.4011670149166644</v>
      </c>
      <c r="DE717" s="309"/>
      <c r="DF717" s="315">
        <f ca="1">(SUM($CN717:$CO717))-((SUM($CN717:$CO717)*VLOOKUP($B717,Lifetime_morbidity_array!$A$6:$Y$24,4))+(SUM($CN717:$CO717)*VLOOKUP($B717,Lifetime_morbidity_array!$A$6:$Y$24,7))+(SUM($CN717:$CO717)*VLOOKUP($B717,Lifetime_morbidity_array!$A$6:$Y$24,10))+(SUM($CN717:$CO717)*VLOOKUP($B717,Lifetime_morbidity_array!$A$6:$Y$24,13)))</f>
        <v>120.4446458784216</v>
      </c>
      <c r="DG717" s="316">
        <f ca="1">(SUM($CP717:$CQ717))-(((SUM($CP717:$CQ717)*VLOOKUP($B717,Lifetime_morbidity_array!$A$6:$Y$24,3))+(SUM($CP717:$CQ717)*VLOOKUP($B717,Lifetime_morbidity_array!$A$6:$Y$24,6))+(SUM($CP717:$CQ717)*VLOOKUP($B717,Lifetime_morbidity_array!$A$6:$Y$24,9))+(SUM($CP717:$CQ717)*VLOOKUP($B717,Lifetime_morbidity_array!$A$6:$Y$24,12))))</f>
        <v>78.488691997020638</v>
      </c>
      <c r="DH717" s="316">
        <f ca="1">(SUM($CI717:$CM717))-((SUM($CI717:$CM717)*VLOOKUP($B717,Lifetime_morbidity_array!$A$6:$Y$24,2))+(SUM($CI717:$CM717)*VLOOKUP($B717,Lifetime_morbidity_array!$A$6:$Y$24,5))+(SUM($CI717:$CM717)*VLOOKUP($B717,Lifetime_morbidity_array!$A$6:$Y$24,8))+(SUM($CI717:$CM717)*VLOOKUP($B717,Lifetime_morbidity_array!$A$6:$Y$24,11)))</f>
        <v>212.25922786899295</v>
      </c>
      <c r="DI717" s="316">
        <f ca="1">(SUM($CI717:$CM717)*VLOOKUP($B717,Lifetime_morbidity_array!$A$6:$Y$24,2))+(SUM($CN717:$CO717)*VLOOKUP($B717,Lifetime_morbidity_array!$A$6:$Y$24,4))+(SUM($CP717:$CQ717)*VLOOKUP($B717,Lifetime_morbidity_array!$A$6:$Y$24,3))</f>
        <v>6.9515262211781907</v>
      </c>
      <c r="DJ717" s="316">
        <f ca="1">(SUM($CI717:$CM717)*VLOOKUP($B717,Lifetime_morbidity_array!$A$6:$Y$24,5))+(SUM($CN717:$CO717)*VLOOKUP($B717,Lifetime_morbidity_array!$A$6:$Y$24,7))+(SUM($CP717:$CQ717)*VLOOKUP($B717,Lifetime_morbidity_array!$A$6:$Y$24,6))</f>
        <v>6.3646039920033832</v>
      </c>
      <c r="DK717" s="316">
        <f ca="1">(SUM($CI717:$CM717)*VLOOKUP($B717,Lifetime_morbidity_array!$A$6:$Y$24,8))+(SUM($CN717:$CO717)*VLOOKUP($B717,Lifetime_morbidity_array!$A$6:$Y$24,10))+(SUM($CP717:$CQ717)*VLOOKUP($B717,Lifetime_morbidity_array!$A$6:$Y$24,9))</f>
        <v>0.42408628767135698</v>
      </c>
      <c r="DL717" s="317">
        <f ca="1">(SUM($CI717:$CM717)*VLOOKUP($B717,Lifetime_morbidity_array!$A$6:$Y$24,11))+(SUM($CN717:$CO717)*VLOOKUP($B717,Lifetime_morbidity_array!$A$6:$Y$24,13))+(SUM($CP717:$CQ717)*VLOOKUP($B717,Lifetime_morbidity_array!$A$6:$Y$24,12))</f>
        <v>4.4264844864672561</v>
      </c>
      <c r="DM717" s="309"/>
      <c r="DN717" s="308">
        <f t="shared" si="275"/>
        <v>51</v>
      </c>
      <c r="DO717" s="309">
        <f t="shared" ca="1" si="323"/>
        <v>150.6343882764312</v>
      </c>
      <c r="DP717" s="310">
        <f t="shared" ca="1" si="307"/>
        <v>20958.428806332391</v>
      </c>
      <c r="DQ717" s="309"/>
      <c r="DR717" s="308">
        <f t="shared" si="277"/>
        <v>51</v>
      </c>
      <c r="DS717" s="309">
        <f ca="1">((VLOOKUP($B717,'Mahawesran Tariff'!$A$21:$M$120,4)*'Comparator (DET)'!$CX717)+(VLOOKUP($B717,'Mahawesran Tariff'!$A$21:$M$120,3)*'Comparator (DET)'!$CY717)+(VLOOKUP($B717,'Mahawesran Tariff'!$A$21:$M$120,2)*'Comparator (DET)'!$CZ717)+(VLOOKUP($B717,'Mahawesran Tariff'!$A$21:$M$120,7)*'Comparator (DET)'!$DF717)+(VLOOKUP($B717,'Mahawesran Tariff'!$A$21:$M$120,6)*'Comparator (DET)'!$DG717)+(VLOOKUP($B717,'Mahawesran Tariff'!$A$21:$M$120,5)*'Comparator (DET)'!$DH717)+(DET_UTIL_chd*('Comparator (DET)'!$DA717+'Comparator (DET)'!$DI717))+(DET_UTIL_copd*('Comparator (DET)'!$DB717+'Comparator (DET)'!$DJ717))+(DET_UTIL_lc*('Comparator (DET)'!$DC717+'Comparator (DET)'!$DK717))+(DET_UTIL_stroke*('Comparator (DET)'!$DD717+'Comparator (DET)'!$DL717)))/((1+Discount_rate_QALYs)^$A717)</f>
        <v>141.33760375800421</v>
      </c>
      <c r="DT717" s="310">
        <f t="shared" ca="1" si="308"/>
        <v>20826.393948683752</v>
      </c>
      <c r="DU717" s="309"/>
      <c r="DV717" s="308">
        <f t="shared" si="278"/>
        <v>51</v>
      </c>
      <c r="DW717" s="318">
        <f t="shared" ca="1" si="324"/>
        <v>53782.322756642585</v>
      </c>
      <c r="DX717" s="319">
        <f t="shared" ca="1" si="309"/>
        <v>6311959.5731425788</v>
      </c>
      <c r="DZ717" s="95">
        <f t="shared" si="280"/>
        <v>51</v>
      </c>
      <c r="EA717" s="268">
        <f t="shared" ca="1" si="318"/>
        <v>0.87072691188795748</v>
      </c>
      <c r="EB717" s="268">
        <f t="shared" ca="1" si="319"/>
        <v>0.12927308811204277</v>
      </c>
      <c r="EC717" s="268">
        <f t="shared" ca="1" si="320"/>
        <v>5.2360428901000927E-2</v>
      </c>
      <c r="ED717" s="290">
        <f t="shared" ca="1" si="321"/>
        <v>0.49042104921878693</v>
      </c>
      <c r="EF717" s="95">
        <f t="shared" si="281"/>
        <v>51</v>
      </c>
      <c r="EG717" s="339">
        <f t="shared" ca="1" si="325"/>
        <v>53782.322756642585</v>
      </c>
      <c r="EH717" s="341">
        <f t="shared" ca="1" si="310"/>
        <v>9412091.5089986641</v>
      </c>
      <c r="EJ717" s="308">
        <f t="shared" si="283"/>
        <v>51</v>
      </c>
      <c r="EK717" s="318">
        <f t="shared" ca="1" si="284"/>
        <v>53782.322756642585</v>
      </c>
      <c r="EL717" s="319">
        <f t="shared" ca="1" si="311"/>
        <v>6311959.5731425788</v>
      </c>
      <c r="EN717" s="95">
        <f t="shared" si="285"/>
        <v>51</v>
      </c>
      <c r="EO717" s="339">
        <f t="shared" ca="1" si="286"/>
        <v>53782.322756642585</v>
      </c>
      <c r="EP717" s="341">
        <f t="shared" ca="1" si="312"/>
        <v>9412091.5089986641</v>
      </c>
    </row>
    <row r="718" spans="1:146" s="266" customFormat="1" x14ac:dyDescent="0.25">
      <c r="A718" s="313">
        <v>52</v>
      </c>
      <c r="B718" s="314">
        <v>52</v>
      </c>
      <c r="C718" s="308">
        <f>VLOOKUP($B718,'Infant adult mortality'!$A$27:$I$128,3)</f>
        <v>1.1718207509083568E-3</v>
      </c>
      <c r="D718" s="309">
        <f t="shared" si="230"/>
        <v>0.27</v>
      </c>
      <c r="E718" s="309">
        <f>VLOOKUP($B718,'Infant pick up smoking rates'!$A$19:$I$104,3)</f>
        <v>1.5201831243956284E-3</v>
      </c>
      <c r="F718" s="309">
        <f t="shared" si="231"/>
        <v>2.0013255646516091E-2</v>
      </c>
      <c r="G718" s="309">
        <f t="shared" si="232"/>
        <v>0.70729474047817986</v>
      </c>
      <c r="H718" s="309">
        <f>VLOOKUP($B718,'Infant adult mortality'!$A$27:$I$128,3)</f>
        <v>1.1718207509083568E-3</v>
      </c>
      <c r="I718" s="309">
        <f t="shared" si="233"/>
        <v>0.14000000000000001</v>
      </c>
      <c r="J718" s="309">
        <f>VLOOKUP($B718,'Infant pick up smoking rates'!$A$19:$I$104,2)</f>
        <v>1.5201831243956284E-3</v>
      </c>
      <c r="K718" s="309">
        <f t="shared" si="234"/>
        <v>2.0013255646516091E-2</v>
      </c>
      <c r="L718" s="309">
        <f t="shared" si="235"/>
        <v>0.83729474047817987</v>
      </c>
      <c r="M718" s="309">
        <f>VLOOKUP($B718,'Infant adult mortality'!$A$27:$I$128,3)</f>
        <v>1.1718207509083568E-3</v>
      </c>
      <c r="N718" s="309">
        <f t="shared" si="236"/>
        <v>0.5714285714285714</v>
      </c>
      <c r="O718" s="309">
        <f>VLOOKUP($B718,'Infant pick up smoking rates'!$A$19:$I$104,2)</f>
        <v>1.5201831243956284E-3</v>
      </c>
      <c r="P718" s="309">
        <f t="shared" si="237"/>
        <v>1.4594572278072584E-2</v>
      </c>
      <c r="Q718" s="309">
        <f t="shared" si="238"/>
        <v>0.41128485241805202</v>
      </c>
      <c r="R718" s="309">
        <f>VLOOKUP($B718,'Infant adult mortality'!$A$27:$I$128,3)</f>
        <v>1.1718207509083568E-3</v>
      </c>
      <c r="S718" s="309">
        <f t="shared" si="239"/>
        <v>8.6261668788331098E-3</v>
      </c>
      <c r="T718" s="309">
        <f>VLOOKUP($B718,'Infant pick up smoking rates'!$A$19:$I$104,2)</f>
        <v>1.5201831243956284E-3</v>
      </c>
      <c r="U718" s="309">
        <f t="shared" si="240"/>
        <v>1.4594572278072584E-2</v>
      </c>
      <c r="V718" s="309">
        <f t="shared" si="241"/>
        <v>0.9740872569677903</v>
      </c>
      <c r="W718" s="309">
        <f>VLOOKUP($B718,'Infant adult mortality'!$A$27:$I$128,3)</f>
        <v>1.1718207509083568E-3</v>
      </c>
      <c r="X718" s="309">
        <f>VLOOKUP($B718,'Infant pick up smoking rates'!$A$19:$I$104,2)</f>
        <v>1.5201831243956284E-3</v>
      </c>
      <c r="Y718" s="309">
        <f t="shared" si="242"/>
        <v>0.99730799612469601</v>
      </c>
      <c r="Z718" s="309">
        <f>VLOOKUP($B718,'Infant adult mortality'!$A$27:$I$128,5)</f>
        <v>2.3729370205894224E-3</v>
      </c>
      <c r="AA718" s="309">
        <f t="shared" si="313"/>
        <v>0.25</v>
      </c>
      <c r="AB718" s="309">
        <f t="shared" si="244"/>
        <v>0.74762706297941062</v>
      </c>
      <c r="AC718" s="309">
        <f>VLOOKUP($B718,'Infant adult mortality'!$A$27:$I$128,5)</f>
        <v>2.3729370205894224E-3</v>
      </c>
      <c r="AD718" s="309">
        <f t="shared" si="314"/>
        <v>0.14000000000000001</v>
      </c>
      <c r="AE718" s="309">
        <f t="shared" si="246"/>
        <v>0.8576270629794106</v>
      </c>
      <c r="AF718" s="309">
        <f>VLOOKUP($B718,'Infant adult mortality'!$A$27:$I$128,4)</f>
        <v>1.4354804198627373E-3</v>
      </c>
      <c r="AG718" s="309">
        <f t="shared" si="315"/>
        <v>0.5714285714285714</v>
      </c>
      <c r="AH718" s="309">
        <f t="shared" si="248"/>
        <v>0.42713594815156586</v>
      </c>
      <c r="AI718" s="309">
        <f>VLOOKUP($B718,'Infant adult mortality'!$A$27:$I$128,4)</f>
        <v>1.4354804198627373E-3</v>
      </c>
      <c r="AJ718" s="309">
        <f t="shared" si="316"/>
        <v>8.6261668788331098E-3</v>
      </c>
      <c r="AK718" s="309">
        <f t="shared" si="250"/>
        <v>0.98993835270130415</v>
      </c>
      <c r="AL718" s="309"/>
      <c r="AM718" s="315">
        <f t="shared" si="287"/>
        <v>44.836074137768968</v>
      </c>
      <c r="AN718" s="316">
        <f t="shared" si="288"/>
        <v>12.484443800925945</v>
      </c>
      <c r="AO718" s="316">
        <f t="shared" si="289"/>
        <v>1.7990357000316279</v>
      </c>
      <c r="AP718" s="316">
        <f t="shared" si="290"/>
        <v>70.15657890313507</v>
      </c>
      <c r="AQ718" s="316">
        <f t="shared" si="291"/>
        <v>34.178583876607732</v>
      </c>
      <c r="AR718" s="316">
        <f t="shared" si="292"/>
        <v>136.70308536445617</v>
      </c>
      <c r="AS718" s="316">
        <f t="shared" si="293"/>
        <v>34.592947483848469</v>
      </c>
      <c r="AT718" s="316">
        <f t="shared" si="294"/>
        <v>4.9019670047863659</v>
      </c>
      <c r="AU718" s="316">
        <f t="shared" si="295"/>
        <v>100.9620253172049</v>
      </c>
      <c r="AV718" s="316">
        <f t="shared" si="296"/>
        <v>69.385258411234588</v>
      </c>
      <c r="AW718" s="317">
        <f t="shared" si="251"/>
        <v>509.99999999999983</v>
      </c>
      <c r="AX718" s="309"/>
      <c r="AY718" s="308">
        <f>VLOOKUP($B718,'Infant adult mortality'!$A$134:$I$234,3)</f>
        <v>8.9543802987484861E-4</v>
      </c>
      <c r="AZ718" s="309">
        <f t="shared" si="252"/>
        <v>0.27</v>
      </c>
      <c r="BA718" s="309">
        <f ca="1">VLOOKUP($B718,'Infant pick up smoking rates'!$A$19:$I$104,7)</f>
        <v>0</v>
      </c>
      <c r="BB718" s="309">
        <f t="shared" si="253"/>
        <v>2.0013255646516091E-2</v>
      </c>
      <c r="BC718" s="309">
        <f t="shared" ca="1" si="254"/>
        <v>0.70909130632360906</v>
      </c>
      <c r="BD718" s="309">
        <f>VLOOKUP($B718,'Infant adult mortality'!$A$134:$I$234,3)</f>
        <v>8.9543802987484861E-4</v>
      </c>
      <c r="BE718" s="309">
        <f t="shared" si="255"/>
        <v>0.14000000000000001</v>
      </c>
      <c r="BF718" s="309">
        <f>VLOOKUP($B718,'Infant pick up smoking rates'!$A$19:$I$104,6)</f>
        <v>0</v>
      </c>
      <c r="BG718" s="309">
        <f t="shared" si="256"/>
        <v>2.0013255646516091E-2</v>
      </c>
      <c r="BH718" s="309">
        <f t="shared" si="257"/>
        <v>0.83909130632360907</v>
      </c>
      <c r="BI718" s="309">
        <f>VLOOKUP($B718,'Infant adult mortality'!$A$134:$I$234,3)</f>
        <v>8.9543802987484861E-4</v>
      </c>
      <c r="BJ718" s="309">
        <f t="shared" si="258"/>
        <v>0.5714285714285714</v>
      </c>
      <c r="BK718" s="309">
        <f>VLOOKUP($B718,'Infant pick up smoking rates'!$A$19:$I$104,6)</f>
        <v>0</v>
      </c>
      <c r="BL718" s="309">
        <f t="shared" si="259"/>
        <v>1.4594572278072584E-2</v>
      </c>
      <c r="BM718" s="309">
        <f t="shared" si="260"/>
        <v>0.41308141826348116</v>
      </c>
      <c r="BN718" s="309">
        <f>VLOOKUP($B718,'Infant adult mortality'!$A$134:$I$234,3)</f>
        <v>8.9543802987484861E-4</v>
      </c>
      <c r="BO718" s="309">
        <f t="shared" si="261"/>
        <v>8.6261668788331098E-3</v>
      </c>
      <c r="BP718" s="309">
        <f>VLOOKUP($B718,'Infant pick up smoking rates'!$A$19:$I$104,6)</f>
        <v>0</v>
      </c>
      <c r="BQ718" s="309">
        <f t="shared" si="262"/>
        <v>1.4594572278072584E-2</v>
      </c>
      <c r="BR718" s="309">
        <f t="shared" si="263"/>
        <v>0.9758838228132195</v>
      </c>
      <c r="BS718" s="309">
        <f>VLOOKUP($B718,'Infant adult mortality'!$A$134:$I$234,3)</f>
        <v>8.9543802987484861E-4</v>
      </c>
      <c r="BT718" s="309">
        <f>VLOOKUP($B718,'Infant pick up smoking rates'!$A$19:$I$104,6)</f>
        <v>0</v>
      </c>
      <c r="BU718" s="309">
        <f t="shared" si="264"/>
        <v>0.9991045619701252</v>
      </c>
      <c r="BV718" s="309">
        <f>VLOOKUP($B718,'Infant adult mortality'!$A$134:$I$234,5)</f>
        <v>1.8132620104965684E-3</v>
      </c>
      <c r="BW718" s="309">
        <f t="shared" si="322"/>
        <v>0.27</v>
      </c>
      <c r="BX718" s="309">
        <f t="shared" si="266"/>
        <v>0.7281867379895034</v>
      </c>
      <c r="BY718" s="309">
        <f>VLOOKUP($B718,'Infant adult mortality'!$A$134:$I$234,5)</f>
        <v>1.8132620104965684E-3</v>
      </c>
      <c r="BZ718" s="309">
        <f t="shared" si="267"/>
        <v>0.14000000000000001</v>
      </c>
      <c r="CA718" s="309">
        <f t="shared" si="268"/>
        <v>0.8581867379895034</v>
      </c>
      <c r="CB718" s="309">
        <f>VLOOKUP($B718,'Infant adult mortality'!$A$134:$I$234,4)</f>
        <v>1.0969115865966895E-3</v>
      </c>
      <c r="CC718" s="309">
        <f t="shared" si="269"/>
        <v>0.5714285714285714</v>
      </c>
      <c r="CD718" s="309">
        <f t="shared" si="270"/>
        <v>0.42747451698483191</v>
      </c>
      <c r="CE718" s="309">
        <f>VLOOKUP($B718,'Infant adult mortality'!$A$134:$I$234,4)</f>
        <v>1.0969115865966895E-3</v>
      </c>
      <c r="CF718" s="309">
        <f t="shared" si="271"/>
        <v>8.6261668788331098E-3</v>
      </c>
      <c r="CG718" s="309">
        <f t="shared" si="272"/>
        <v>0.99027692153457025</v>
      </c>
      <c r="CH718" s="309"/>
      <c r="CI718" s="315">
        <f t="shared" ca="1" si="297"/>
        <v>59.739580988263171</v>
      </c>
      <c r="CJ718" s="316">
        <f t="shared" ca="1" si="298"/>
        <v>16.605209904675402</v>
      </c>
      <c r="CK718" s="316">
        <f t="shared" ca="1" si="299"/>
        <v>2.3886279095218104</v>
      </c>
      <c r="CL718" s="316">
        <f t="shared" ca="1" si="300"/>
        <v>92.05107134545058</v>
      </c>
      <c r="CM718" s="316">
        <f t="shared" ca="1" si="301"/>
        <v>45.431665949521403</v>
      </c>
      <c r="CN718" s="316">
        <f t="shared" ca="1" si="302"/>
        <v>102.08803082843664</v>
      </c>
      <c r="CO718" s="316">
        <f t="shared" ca="1" si="303"/>
        <v>27.949761654941348</v>
      </c>
      <c r="CP718" s="316">
        <f t="shared" ca="1" si="304"/>
        <v>3.967986277329993</v>
      </c>
      <c r="CQ718" s="316">
        <f t="shared" ca="1" si="305"/>
        <v>78.615505349230048</v>
      </c>
      <c r="CR718" s="316">
        <f t="shared" ca="1" si="306"/>
        <v>61.162559792630148</v>
      </c>
      <c r="CS718" s="317">
        <f t="shared" ca="1" si="273"/>
        <v>490.00000000000051</v>
      </c>
      <c r="CT718" s="309"/>
      <c r="CU718" s="309">
        <f t="shared" ca="1" si="274"/>
        <v>1000.0000000000003</v>
      </c>
      <c r="CV718" s="309" t="str">
        <f t="shared" ca="1" si="317"/>
        <v>OKAY</v>
      </c>
      <c r="CW718" s="309"/>
      <c r="CX718" s="315">
        <f>(SUM($AR718:$AS718))-((SUM($AR718:$AS718)*VLOOKUP($B718,Lifetime_morbidity_array!$A$30:$Y$48,4))+(SUM($AR718:$AS718)*VLOOKUP($B718,Lifetime_morbidity_array!$A$30:$Y$48,7))+(SUM($AR718:$AS718)*VLOOKUP($B718,Lifetime_morbidity_array!$A$30:$Y$48,10))+(SUM($AR718:$AS718)*VLOOKUP($B718,Lifetime_morbidity_array!$A$30:$Y$48,13)))</f>
        <v>149.31011002485351</v>
      </c>
      <c r="CY718" s="316">
        <f>(SUM($AT718:$AU718))-((SUM($AT718:$AU718)*(VLOOKUP($B718,Lifetime_morbidity_array!$A$30:$Y$48,3)))+(SUM($AT718:$AU718)*(VLOOKUP($B718,Lifetime_morbidity_array!$A$30:$Y$48,6)))+(SUM($AT718:$AU718)*(VLOOKUP($B718,Lifetime_morbidity_array!$A$30:$Y$48,9)))+(SUM($AT718:$AU718)*(VLOOKUP($B718,Lifetime_morbidity_array!$A$30:$Y$48,12))))</f>
        <v>99.542085829555646</v>
      </c>
      <c r="CZ718" s="316">
        <f>(SUM($AM718:$AQ718))-((SUM($AM718:$AQ718)*VLOOKUP($B718,Lifetime_morbidity_array!$A$30:$Y$48,2))+(SUM($AM718:$AQ718)*VLOOKUP($B718,Lifetime_morbidity_array!$A$30:$Y$48,5))+(SUM($AM718:$AQ718)*VLOOKUP($B718,Lifetime_morbidity_array!$A$30:$Y$48,8))+(SUM($AM718:$AQ718)*VLOOKUP($B718,Lifetime_morbidity_array!$A$30:$Y$48,11)))</f>
        <v>157.74627018378047</v>
      </c>
      <c r="DA718" s="316">
        <f>(SUM($AM718:$AQ718)*VLOOKUP($B718,Lifetime_morbidity_array!$A$30:$Y$48,2))+(SUM($AR718:$AS718)*VLOOKUP($B718,Lifetime_morbidity_array!$A$30:$Y$48,4))+(SUM($AT718:$AU718)*(VLOOKUP($B718,Lifetime_morbidity_array!$A$30:$Y$48,3)))</f>
        <v>20.732251232013223</v>
      </c>
      <c r="DB718" s="316">
        <f>(SUM($AM718:$AQ718)*VLOOKUP($B718,Lifetime_morbidity_array!$A$30:$Y$48,5))+(SUM($AR718:$AS718)*VLOOKUP($B718,Lifetime_morbidity_array!$A$30:$Y$48,7))+(SUM($AT718:$AU718)*(VLOOKUP($B718,Lifetime_morbidity_array!$A$30:$Y$48,6)))</f>
        <v>5.8594979600409314</v>
      </c>
      <c r="DC718" s="316">
        <f>(SUM($AM718:$AQ718)*VLOOKUP($B718,Lifetime_morbidity_array!$A$30:$Y$48,8))+(SUM($AR718:$AS718)*VLOOKUP($B718,Lifetime_morbidity_array!$A$30:$Y$48,10))+(SUM($AT718:$AU718)*(VLOOKUP($B718,Lifetime_morbidity_array!$A$30:$Y$48,9)))</f>
        <v>1.0562650583234785</v>
      </c>
      <c r="DD718" s="317">
        <f>(SUM($AM718:$AQ718)*VLOOKUP($B718,Lifetime_morbidity_array!$A$30:$Y$48,11))+(SUM($AR718:$AS718)*VLOOKUP($B718,Lifetime_morbidity_array!$A$30:$Y$48,13))+(SUM($AT718:$AU718)*(VLOOKUP($B718,Lifetime_morbidity_array!$A$30:$Y$48,12)))</f>
        <v>6.3682613001980002</v>
      </c>
      <c r="DE718" s="309"/>
      <c r="DF718" s="315">
        <f ca="1">(SUM($CN718:$CO718))-((SUM($CN718:$CO718)*VLOOKUP($B718,Lifetime_morbidity_array!$A$6:$Y$24,4))+(SUM($CN718:$CO718)*VLOOKUP($B718,Lifetime_morbidity_array!$A$6:$Y$24,7))+(SUM($CN718:$CO718)*VLOOKUP($B718,Lifetime_morbidity_array!$A$6:$Y$24,10))+(SUM($CN718:$CO718)*VLOOKUP($B718,Lifetime_morbidity_array!$A$6:$Y$24,13)))</f>
        <v>118.77983438764797</v>
      </c>
      <c r="DG718" s="316">
        <f ca="1">(SUM($CP718:$CQ718))-(((SUM($CP718:$CQ718)*VLOOKUP($B718,Lifetime_morbidity_array!$A$6:$Y$24,3))+(SUM($CP718:$CQ718)*VLOOKUP($B718,Lifetime_morbidity_array!$A$6:$Y$24,6))+(SUM($CP718:$CQ718)*VLOOKUP($B718,Lifetime_morbidity_array!$A$6:$Y$24,9))+(SUM($CP718:$CQ718)*VLOOKUP($B718,Lifetime_morbidity_array!$A$6:$Y$24,12))))</f>
        <v>79.935324260976955</v>
      </c>
      <c r="DH718" s="316">
        <f ca="1">(SUM($CI718:$CM718))-((SUM($CI718:$CM718)*VLOOKUP($B718,Lifetime_morbidity_array!$A$6:$Y$24,2))+(SUM($CI718:$CM718)*VLOOKUP($B718,Lifetime_morbidity_array!$A$6:$Y$24,5))+(SUM($CI718:$CM718)*VLOOKUP($B718,Lifetime_morbidity_array!$A$6:$Y$24,8))+(SUM($CI718:$CM718)*VLOOKUP($B718,Lifetime_morbidity_array!$A$6:$Y$24,11)))</f>
        <v>212.06916288416721</v>
      </c>
      <c r="DI718" s="316">
        <f ca="1">(SUM($CI718:$CM718)*VLOOKUP($B718,Lifetime_morbidity_array!$A$6:$Y$24,2))+(SUM($CN718:$CO718)*VLOOKUP($B718,Lifetime_morbidity_array!$A$6:$Y$24,4))+(SUM($CP718:$CQ718)*VLOOKUP($B718,Lifetime_morbidity_array!$A$6:$Y$24,3))</f>
        <v>6.9123627167358599</v>
      </c>
      <c r="DJ718" s="316">
        <f ca="1">(SUM($CI718:$CM718)*VLOOKUP($B718,Lifetime_morbidity_array!$A$6:$Y$24,5))+(SUM($CN718:$CO718)*VLOOKUP($B718,Lifetime_morbidity_array!$A$6:$Y$24,7))+(SUM($CP718:$CQ718)*VLOOKUP($B718,Lifetime_morbidity_array!$A$6:$Y$24,6))</f>
        <v>6.3166543924679228</v>
      </c>
      <c r="DK718" s="316">
        <f ca="1">(SUM($CI718:$CM718)*VLOOKUP($B718,Lifetime_morbidity_array!$A$6:$Y$24,8))+(SUM($CN718:$CO718)*VLOOKUP($B718,Lifetime_morbidity_array!$A$6:$Y$24,10))+(SUM($CP718:$CQ718)*VLOOKUP($B718,Lifetime_morbidity_array!$A$6:$Y$24,9))</f>
        <v>0.42010822175651541</v>
      </c>
      <c r="DL718" s="317">
        <f ca="1">(SUM($CI718:$CM718)*VLOOKUP($B718,Lifetime_morbidity_array!$A$6:$Y$24,11))+(SUM($CN718:$CO718)*VLOOKUP($B718,Lifetime_morbidity_array!$A$6:$Y$24,13))+(SUM($CP718:$CQ718)*VLOOKUP($B718,Lifetime_morbidity_array!$A$6:$Y$24,12))</f>
        <v>4.4039933436179677</v>
      </c>
      <c r="DM718" s="309"/>
      <c r="DN718" s="308">
        <f t="shared" si="275"/>
        <v>52</v>
      </c>
      <c r="DO718" s="309">
        <f t="shared" ca="1" si="323"/>
        <v>145.32740287199499</v>
      </c>
      <c r="DP718" s="310">
        <f t="shared" ca="1" si="307"/>
        <v>21103.756209204385</v>
      </c>
      <c r="DQ718" s="309"/>
      <c r="DR718" s="308">
        <f t="shared" si="277"/>
        <v>52</v>
      </c>
      <c r="DS718" s="309">
        <f ca="1">((VLOOKUP($B718,'Mahawesran Tariff'!$A$21:$M$120,4)*'Comparator (DET)'!$CX718)+(VLOOKUP($B718,'Mahawesran Tariff'!$A$21:$M$120,3)*'Comparator (DET)'!$CY718)+(VLOOKUP($B718,'Mahawesran Tariff'!$A$21:$M$120,2)*'Comparator (DET)'!$CZ718)+(VLOOKUP($B718,'Mahawesran Tariff'!$A$21:$M$120,7)*'Comparator (DET)'!$DF718)+(VLOOKUP($B718,'Mahawesran Tariff'!$A$21:$M$120,6)*'Comparator (DET)'!$DG718)+(VLOOKUP($B718,'Mahawesran Tariff'!$A$21:$M$120,5)*'Comparator (DET)'!$DH718)+(DET_UTIL_chd*('Comparator (DET)'!$DA718+'Comparator (DET)'!$DI718))+(DET_UTIL_copd*('Comparator (DET)'!$DB718+'Comparator (DET)'!$DJ718))+(DET_UTIL_lc*('Comparator (DET)'!$DC718+'Comparator (DET)'!$DK718))+(DET_UTIL_stroke*('Comparator (DET)'!$DD718+'Comparator (DET)'!$DL718)))/((1+Discount_rate_QALYs)^$A718)</f>
        <v>136.3742024683437</v>
      </c>
      <c r="DT718" s="310">
        <f t="shared" ca="1" si="308"/>
        <v>20962.768151152097</v>
      </c>
      <c r="DU718" s="309"/>
      <c r="DV718" s="308">
        <f t="shared" si="278"/>
        <v>52</v>
      </c>
      <c r="DW718" s="318">
        <f t="shared" ca="1" si="324"/>
        <v>51687.778795745304</v>
      </c>
      <c r="DX718" s="319">
        <f t="shared" ca="1" si="309"/>
        <v>6363647.351938324</v>
      </c>
      <c r="DZ718" s="95">
        <f t="shared" si="280"/>
        <v>52</v>
      </c>
      <c r="EA718" s="268">
        <f t="shared" ca="1" si="318"/>
        <v>0.86945218179613559</v>
      </c>
      <c r="EB718" s="268">
        <f t="shared" ca="1" si="319"/>
        <v>0.13054781820386471</v>
      </c>
      <c r="EC718" s="268">
        <f t="shared" ca="1" si="320"/>
        <v>5.2069394225153894E-2</v>
      </c>
      <c r="ED718" s="290">
        <f t="shared" ca="1" si="321"/>
        <v>0.48978130928023395</v>
      </c>
      <c r="EF718" s="95">
        <f t="shared" si="281"/>
        <v>52</v>
      </c>
      <c r="EG718" s="339">
        <f t="shared" ca="1" si="325"/>
        <v>51687.778795745304</v>
      </c>
      <c r="EH718" s="341">
        <f t="shared" ca="1" si="310"/>
        <v>9463779.2877944093</v>
      </c>
      <c r="EJ718" s="308">
        <f t="shared" si="283"/>
        <v>52</v>
      </c>
      <c r="EK718" s="318">
        <f t="shared" ca="1" si="284"/>
        <v>51687.778795745304</v>
      </c>
      <c r="EL718" s="319">
        <f t="shared" ca="1" si="311"/>
        <v>6363647.351938324</v>
      </c>
      <c r="EN718" s="95">
        <f t="shared" si="285"/>
        <v>52</v>
      </c>
      <c r="EO718" s="339">
        <f t="shared" ca="1" si="286"/>
        <v>51687.778795745304</v>
      </c>
      <c r="EP718" s="341">
        <f t="shared" ca="1" si="312"/>
        <v>9463779.2877944093</v>
      </c>
    </row>
    <row r="719" spans="1:146" s="266" customFormat="1" x14ac:dyDescent="0.25">
      <c r="A719" s="313">
        <v>53</v>
      </c>
      <c r="B719" s="314">
        <v>53</v>
      </c>
      <c r="C719" s="308">
        <f>VLOOKUP($B719,'Infant adult mortality'!$A$27:$I$128,3)</f>
        <v>1.2845377472749295E-3</v>
      </c>
      <c r="D719" s="309">
        <f t="shared" si="230"/>
        <v>0.27</v>
      </c>
      <c r="E719" s="309">
        <f>VLOOKUP($B719,'Infant pick up smoking rates'!$A$19:$I$104,3)</f>
        <v>1.5201831243956284E-3</v>
      </c>
      <c r="F719" s="309">
        <f t="shared" si="231"/>
        <v>2.2115391589557606E-2</v>
      </c>
      <c r="G719" s="309">
        <f t="shared" si="232"/>
        <v>0.70507988753877193</v>
      </c>
      <c r="H719" s="309">
        <f>VLOOKUP($B719,'Infant adult mortality'!$A$27:$I$128,3)</f>
        <v>1.2845377472749295E-3</v>
      </c>
      <c r="I719" s="309">
        <f t="shared" si="233"/>
        <v>0.14000000000000001</v>
      </c>
      <c r="J719" s="309">
        <f>VLOOKUP($B719,'Infant pick up smoking rates'!$A$19:$I$104,2)</f>
        <v>1.5201831243956284E-3</v>
      </c>
      <c r="K719" s="309">
        <f t="shared" si="234"/>
        <v>2.2115391589557606E-2</v>
      </c>
      <c r="L719" s="309">
        <f t="shared" si="235"/>
        <v>0.83507988753877194</v>
      </c>
      <c r="M719" s="309">
        <f>VLOOKUP($B719,'Infant adult mortality'!$A$27:$I$128,3)</f>
        <v>1.2845377472749295E-3</v>
      </c>
      <c r="N719" s="309">
        <f t="shared" si="236"/>
        <v>0.5714285714285714</v>
      </c>
      <c r="O719" s="309">
        <f>VLOOKUP($B719,'Infant pick up smoking rates'!$A$19:$I$104,2)</f>
        <v>1.5201831243956284E-3</v>
      </c>
      <c r="P719" s="309">
        <f t="shared" si="237"/>
        <v>1.6127544998800029E-2</v>
      </c>
      <c r="Q719" s="309">
        <f t="shared" si="238"/>
        <v>0.40963916270095807</v>
      </c>
      <c r="R719" s="309">
        <f>VLOOKUP($B719,'Infant adult mortality'!$A$27:$I$128,3)</f>
        <v>1.2845377472749295E-3</v>
      </c>
      <c r="S719" s="309">
        <f t="shared" si="239"/>
        <v>8.6261668788331098E-3</v>
      </c>
      <c r="T719" s="309">
        <f>VLOOKUP($B719,'Infant pick up smoking rates'!$A$19:$I$104,2)</f>
        <v>1.5201831243956284E-3</v>
      </c>
      <c r="U719" s="309">
        <f t="shared" si="240"/>
        <v>1.6127544998800029E-2</v>
      </c>
      <c r="V719" s="309">
        <f t="shared" si="241"/>
        <v>0.97244156725069641</v>
      </c>
      <c r="W719" s="309">
        <f>VLOOKUP($B719,'Infant adult mortality'!$A$27:$I$128,3)</f>
        <v>1.2845377472749295E-3</v>
      </c>
      <c r="X719" s="309">
        <f>VLOOKUP($B719,'Infant pick up smoking rates'!$A$19:$I$104,2)</f>
        <v>1.5201831243956284E-3</v>
      </c>
      <c r="Y719" s="309">
        <f t="shared" si="242"/>
        <v>0.9971952791283295</v>
      </c>
      <c r="Z719" s="309">
        <f>VLOOKUP($B719,'Infant adult mortality'!$A$27:$I$128,5)</f>
        <v>2.6011889382317323E-3</v>
      </c>
      <c r="AA719" s="309">
        <f t="shared" si="313"/>
        <v>0.25</v>
      </c>
      <c r="AB719" s="309">
        <f t="shared" si="244"/>
        <v>0.74739881106176831</v>
      </c>
      <c r="AC719" s="309">
        <f>VLOOKUP($B719,'Infant adult mortality'!$A$27:$I$128,5)</f>
        <v>2.6011889382317323E-3</v>
      </c>
      <c r="AD719" s="309">
        <f t="shared" si="314"/>
        <v>0.14000000000000001</v>
      </c>
      <c r="AE719" s="309">
        <f t="shared" si="246"/>
        <v>0.8573988110617683</v>
      </c>
      <c r="AF719" s="309">
        <f>VLOOKUP($B719,'Infant adult mortality'!$A$27:$I$128,4)</f>
        <v>1.5735587404117888E-3</v>
      </c>
      <c r="AG719" s="309">
        <f t="shared" si="315"/>
        <v>0.5714285714285714</v>
      </c>
      <c r="AH719" s="309">
        <f t="shared" si="248"/>
        <v>0.42699786983101684</v>
      </c>
      <c r="AI719" s="309">
        <f>VLOOKUP($B719,'Infant adult mortality'!$A$27:$I$128,4)</f>
        <v>1.5735587404117888E-3</v>
      </c>
      <c r="AJ719" s="309">
        <f t="shared" si="316"/>
        <v>8.6261668788331098E-3</v>
      </c>
      <c r="AK719" s="309">
        <f t="shared" si="250"/>
        <v>0.98980027438075513</v>
      </c>
      <c r="AL719" s="309"/>
      <c r="AM719" s="315">
        <f t="shared" si="287"/>
        <v>43.380659871096093</v>
      </c>
      <c r="AN719" s="316">
        <f t="shared" si="288"/>
        <v>12.105740017197622</v>
      </c>
      <c r="AO719" s="316">
        <f t="shared" si="289"/>
        <v>1.7478221321296326</v>
      </c>
      <c r="AP719" s="316">
        <f t="shared" si="290"/>
        <v>69.251193941529891</v>
      </c>
      <c r="AQ719" s="316">
        <f t="shared" si="291"/>
        <v>36.510855601804252</v>
      </c>
      <c r="AR719" s="316">
        <f t="shared" si="292"/>
        <v>135.04420136298299</v>
      </c>
      <c r="AS719" s="316">
        <f t="shared" si="293"/>
        <v>34.175771341114043</v>
      </c>
      <c r="AT719" s="316">
        <f t="shared" si="294"/>
        <v>4.843012647738786</v>
      </c>
      <c r="AU719" s="316">
        <f t="shared" si="295"/>
        <v>102.73336436374123</v>
      </c>
      <c r="AV719" s="316">
        <f t="shared" si="296"/>
        <v>70.207378720665389</v>
      </c>
      <c r="AW719" s="317">
        <f t="shared" si="251"/>
        <v>509.99999999999989</v>
      </c>
      <c r="AX719" s="309"/>
      <c r="AY719" s="308">
        <f>VLOOKUP($B719,'Infant adult mortality'!$A$134:$I$234,3)</f>
        <v>9.7868389180460233E-4</v>
      </c>
      <c r="AZ719" s="309">
        <f t="shared" si="252"/>
        <v>0.27</v>
      </c>
      <c r="BA719" s="309">
        <f ca="1">VLOOKUP($B719,'Infant pick up smoking rates'!$A$19:$I$104,7)</f>
        <v>0</v>
      </c>
      <c r="BB719" s="309">
        <f t="shared" si="253"/>
        <v>2.2115391589557606E-2</v>
      </c>
      <c r="BC719" s="309">
        <f t="shared" ca="1" si="254"/>
        <v>0.70690592451863787</v>
      </c>
      <c r="BD719" s="309">
        <f>VLOOKUP($B719,'Infant adult mortality'!$A$134:$I$234,3)</f>
        <v>9.7868389180460233E-4</v>
      </c>
      <c r="BE719" s="309">
        <f t="shared" si="255"/>
        <v>0.14000000000000001</v>
      </c>
      <c r="BF719" s="309">
        <f>VLOOKUP($B719,'Infant pick up smoking rates'!$A$19:$I$104,6)</f>
        <v>0</v>
      </c>
      <c r="BG719" s="309">
        <f t="shared" si="256"/>
        <v>2.2115391589557606E-2</v>
      </c>
      <c r="BH719" s="309">
        <f t="shared" si="257"/>
        <v>0.83690592451863788</v>
      </c>
      <c r="BI719" s="309">
        <f>VLOOKUP($B719,'Infant adult mortality'!$A$134:$I$234,3)</f>
        <v>9.7868389180460233E-4</v>
      </c>
      <c r="BJ719" s="309">
        <f t="shared" si="258"/>
        <v>0.5714285714285714</v>
      </c>
      <c r="BK719" s="309">
        <f>VLOOKUP($B719,'Infant pick up smoking rates'!$A$19:$I$104,6)</f>
        <v>0</v>
      </c>
      <c r="BL719" s="309">
        <f t="shared" si="259"/>
        <v>1.6127544998800029E-2</v>
      </c>
      <c r="BM719" s="309">
        <f t="shared" si="260"/>
        <v>0.41146519968082401</v>
      </c>
      <c r="BN719" s="309">
        <f>VLOOKUP($B719,'Infant adult mortality'!$A$134:$I$234,3)</f>
        <v>9.7868389180460233E-4</v>
      </c>
      <c r="BO719" s="309">
        <f t="shared" si="261"/>
        <v>8.6261668788331098E-3</v>
      </c>
      <c r="BP719" s="309">
        <f>VLOOKUP($B719,'Infant pick up smoking rates'!$A$19:$I$104,6)</f>
        <v>0</v>
      </c>
      <c r="BQ719" s="309">
        <f t="shared" si="262"/>
        <v>1.6127544998800029E-2</v>
      </c>
      <c r="BR719" s="309">
        <f t="shared" si="263"/>
        <v>0.97426760423056236</v>
      </c>
      <c r="BS719" s="309">
        <f>VLOOKUP($B719,'Infant adult mortality'!$A$134:$I$234,3)</f>
        <v>9.7868389180460233E-4</v>
      </c>
      <c r="BT719" s="309">
        <f>VLOOKUP($B719,'Infant pick up smoking rates'!$A$19:$I$104,6)</f>
        <v>0</v>
      </c>
      <c r="BU719" s="309">
        <f t="shared" si="264"/>
        <v>0.99902131610819545</v>
      </c>
      <c r="BV719" s="309">
        <f>VLOOKUP($B719,'Infant adult mortality'!$A$134:$I$234,5)</f>
        <v>1.9818348809043196E-3</v>
      </c>
      <c r="BW719" s="309">
        <f t="shared" si="322"/>
        <v>0.27</v>
      </c>
      <c r="BX719" s="309">
        <f t="shared" si="266"/>
        <v>0.72801816511909567</v>
      </c>
      <c r="BY719" s="309">
        <f>VLOOKUP($B719,'Infant adult mortality'!$A$134:$I$234,5)</f>
        <v>1.9818348809043196E-3</v>
      </c>
      <c r="BZ719" s="309">
        <f t="shared" si="267"/>
        <v>0.14000000000000001</v>
      </c>
      <c r="CA719" s="309">
        <f t="shared" si="268"/>
        <v>0.85801816511909568</v>
      </c>
      <c r="CB719" s="309">
        <f>VLOOKUP($B719,'Infant adult mortality'!$A$134:$I$234,4)</f>
        <v>1.1988877674606378E-3</v>
      </c>
      <c r="CC719" s="309">
        <f t="shared" si="269"/>
        <v>0.5714285714285714</v>
      </c>
      <c r="CD719" s="309">
        <f t="shared" si="270"/>
        <v>0.42737254080396797</v>
      </c>
      <c r="CE719" s="309">
        <f>VLOOKUP($B719,'Infant adult mortality'!$A$134:$I$234,4)</f>
        <v>1.1988877674606378E-3</v>
      </c>
      <c r="CF719" s="309">
        <f t="shared" si="271"/>
        <v>8.6261668788331098E-3</v>
      </c>
      <c r="CG719" s="309">
        <f t="shared" si="272"/>
        <v>0.9901749453537062</v>
      </c>
      <c r="CH719" s="309"/>
      <c r="CI719" s="315">
        <f t="shared" ca="1" si="297"/>
        <v>57.904147438518436</v>
      </c>
      <c r="CJ719" s="316">
        <f t="shared" ca="1" si="298"/>
        <v>16.129686866831058</v>
      </c>
      <c r="CK719" s="316">
        <f t="shared" ca="1" si="299"/>
        <v>2.3247293866545564</v>
      </c>
      <c r="CL719" s="316">
        <f t="shared" ca="1" si="300"/>
        <v>91.047306980601164</v>
      </c>
      <c r="CM719" s="316">
        <f t="shared" ca="1" si="301"/>
        <v>48.5986781557067</v>
      </c>
      <c r="CN719" s="316">
        <f t="shared" ca="1" si="302"/>
        <v>100.67730294065302</v>
      </c>
      <c r="CO719" s="316">
        <f t="shared" ca="1" si="303"/>
        <v>27.563768323677895</v>
      </c>
      <c r="CP719" s="316">
        <f t="shared" ca="1" si="304"/>
        <v>3.912966631691789</v>
      </c>
      <c r="CQ719" s="316">
        <f t="shared" ca="1" si="305"/>
        <v>80.110524443030712</v>
      </c>
      <c r="CR719" s="316">
        <f t="shared" ca="1" si="306"/>
        <v>61.730888832635245</v>
      </c>
      <c r="CS719" s="317">
        <f t="shared" ca="1" si="273"/>
        <v>490.00000000000057</v>
      </c>
      <c r="CT719" s="309"/>
      <c r="CU719" s="309">
        <f t="shared" ca="1" si="274"/>
        <v>1000.0000000000005</v>
      </c>
      <c r="CV719" s="309" t="str">
        <f t="shared" ca="1" si="317"/>
        <v>OKAY</v>
      </c>
      <c r="CW719" s="309"/>
      <c r="CX719" s="315">
        <f>(SUM($AR719:$AS719))-((SUM($AR719:$AS719)*VLOOKUP($B719,Lifetime_morbidity_array!$A$30:$Y$48,4))+(SUM($AR719:$AS719)*VLOOKUP($B719,Lifetime_morbidity_array!$A$30:$Y$48,7))+(SUM($AR719:$AS719)*VLOOKUP($B719,Lifetime_morbidity_array!$A$30:$Y$48,10))+(SUM($AR719:$AS719)*VLOOKUP($B719,Lifetime_morbidity_array!$A$30:$Y$48,13)))</f>
        <v>147.50051313346282</v>
      </c>
      <c r="CY719" s="316">
        <f>(SUM($AT719:$AU719))-((SUM($AT719:$AU719)*(VLOOKUP($B719,Lifetime_morbidity_array!$A$30:$Y$48,3)))+(SUM($AT719:$AU719)*(VLOOKUP($B719,Lifetime_morbidity_array!$A$30:$Y$48,6)))+(SUM($AT719:$AU719)*(VLOOKUP($B719,Lifetime_morbidity_array!$A$30:$Y$48,9)))+(SUM($AT719:$AU719)*(VLOOKUP($B719,Lifetime_morbidity_array!$A$30:$Y$48,12))))</f>
        <v>101.15221161449543</v>
      </c>
      <c r="CZ719" s="316">
        <f>(SUM($AM719:$AQ719))-((SUM($AM719:$AQ719)*VLOOKUP($B719,Lifetime_morbidity_array!$A$30:$Y$48,2))+(SUM($AM719:$AQ719)*VLOOKUP($B719,Lifetime_morbidity_array!$A$30:$Y$48,5))+(SUM($AM719:$AQ719)*VLOOKUP($B719,Lifetime_morbidity_array!$A$30:$Y$48,8))+(SUM($AM719:$AQ719)*VLOOKUP($B719,Lifetime_morbidity_array!$A$30:$Y$48,11)))</f>
        <v>157.30383592736786</v>
      </c>
      <c r="DA719" s="316">
        <f>(SUM($AM719:$AQ719)*VLOOKUP($B719,Lifetime_morbidity_array!$A$30:$Y$48,2))+(SUM($AR719:$AS719)*VLOOKUP($B719,Lifetime_morbidity_array!$A$30:$Y$48,4))+(SUM($AT719:$AU719)*(VLOOKUP($B719,Lifetime_morbidity_array!$A$30:$Y$48,3)))</f>
        <v>20.623095092136595</v>
      </c>
      <c r="DB719" s="316">
        <f>(SUM($AM719:$AQ719)*VLOOKUP($B719,Lifetime_morbidity_array!$A$30:$Y$48,5))+(SUM($AR719:$AS719)*VLOOKUP($B719,Lifetime_morbidity_array!$A$30:$Y$48,7))+(SUM($AT719:$AU719)*(VLOOKUP($B719,Lifetime_morbidity_array!$A$30:$Y$48,6)))</f>
        <v>5.8296160663815551</v>
      </c>
      <c r="DC719" s="316">
        <f>(SUM($AM719:$AQ719)*VLOOKUP($B719,Lifetime_morbidity_array!$A$30:$Y$48,8))+(SUM($AR719:$AS719)*VLOOKUP($B719,Lifetime_morbidity_array!$A$30:$Y$48,10))+(SUM($AT719:$AU719)*(VLOOKUP($B719,Lifetime_morbidity_array!$A$30:$Y$48,9)))</f>
        <v>1.0484991057152073</v>
      </c>
      <c r="DD719" s="317">
        <f>(SUM($AM719:$AQ719)*VLOOKUP($B719,Lifetime_morbidity_array!$A$30:$Y$48,11))+(SUM($AR719:$AS719)*VLOOKUP($B719,Lifetime_morbidity_array!$A$30:$Y$48,13))+(SUM($AT719:$AU719)*(VLOOKUP($B719,Lifetime_morbidity_array!$A$30:$Y$48,12)))</f>
        <v>6.3348503397750795</v>
      </c>
      <c r="DE719" s="309"/>
      <c r="DF719" s="315">
        <f ca="1">(SUM($CN719:$CO719))-((SUM($CN719:$CO719)*VLOOKUP($B719,Lifetime_morbidity_array!$A$6:$Y$24,4))+(SUM($CN719:$CO719)*VLOOKUP($B719,Lifetime_morbidity_array!$A$6:$Y$24,7))+(SUM($CN719:$CO719)*VLOOKUP($B719,Lifetime_morbidity_array!$A$6:$Y$24,10))+(SUM($CN719:$CO719)*VLOOKUP($B719,Lifetime_morbidity_array!$A$6:$Y$24,13)))</f>
        <v>117.13866342677932</v>
      </c>
      <c r="DG719" s="316">
        <f ca="1">(SUM($CP719:$CQ719))-(((SUM($CP719:$CQ719)*VLOOKUP($B719,Lifetime_morbidity_array!$A$6:$Y$24,3))+(SUM($CP719:$CQ719)*VLOOKUP($B719,Lifetime_morbidity_array!$A$6:$Y$24,6))+(SUM($CP719:$CQ719)*VLOOKUP($B719,Lifetime_morbidity_array!$A$6:$Y$24,9))+(SUM($CP719:$CQ719)*VLOOKUP($B719,Lifetime_morbidity_array!$A$6:$Y$24,12))))</f>
        <v>81.329147900028232</v>
      </c>
      <c r="DH719" s="316">
        <f ca="1">(SUM($CI719:$CM719))-((SUM($CI719:$CM719)*VLOOKUP($B719,Lifetime_morbidity_array!$A$6:$Y$24,2))+(SUM($CI719:$CM719)*VLOOKUP($B719,Lifetime_morbidity_array!$A$6:$Y$24,5))+(SUM($CI719:$CM719)*VLOOKUP($B719,Lifetime_morbidity_array!$A$6:$Y$24,8))+(SUM($CI719:$CM719)*VLOOKUP($B719,Lifetime_morbidity_array!$A$6:$Y$24,11)))</f>
        <v>211.861614210504</v>
      </c>
      <c r="DI719" s="316">
        <f ca="1">(SUM($CI719:$CM719)*VLOOKUP($B719,Lifetime_morbidity_array!$A$6:$Y$24,2))+(SUM($CN719:$CO719)*VLOOKUP($B719,Lifetime_morbidity_array!$A$6:$Y$24,4))+(SUM($CP719:$CQ719)*VLOOKUP($B719,Lifetime_morbidity_array!$A$6:$Y$24,3))</f>
        <v>6.8731292823478949</v>
      </c>
      <c r="DJ719" s="316">
        <f ca="1">(SUM($CI719:$CM719)*VLOOKUP($B719,Lifetime_morbidity_array!$A$6:$Y$24,5))+(SUM($CN719:$CO719)*VLOOKUP($B719,Lifetime_morbidity_array!$A$6:$Y$24,7))+(SUM($CP719:$CQ719)*VLOOKUP($B719,Lifetime_morbidity_array!$A$6:$Y$24,6))</f>
        <v>6.2689545886429912</v>
      </c>
      <c r="DK719" s="316">
        <f ca="1">(SUM($CI719:$CM719)*VLOOKUP($B719,Lifetime_morbidity_array!$A$6:$Y$24,8))+(SUM($CN719:$CO719)*VLOOKUP($B719,Lifetime_morbidity_array!$A$6:$Y$24,10))+(SUM($CP719:$CQ719)*VLOOKUP($B719,Lifetime_morbidity_array!$A$6:$Y$24,9))</f>
        <v>0.41616556270887911</v>
      </c>
      <c r="DL719" s="317">
        <f ca="1">(SUM($CI719:$CM719)*VLOOKUP($B719,Lifetime_morbidity_array!$A$6:$Y$24,11))+(SUM($CN719:$CO719)*VLOOKUP($B719,Lifetime_morbidity_array!$A$6:$Y$24,13))+(SUM($CP719:$CQ719)*VLOOKUP($B719,Lifetime_morbidity_array!$A$6:$Y$24,12))</f>
        <v>4.3814361963540023</v>
      </c>
      <c r="DM719" s="309"/>
      <c r="DN719" s="308">
        <f t="shared" si="275"/>
        <v>53</v>
      </c>
      <c r="DO719" s="309">
        <f t="shared" ca="1" si="323"/>
        <v>140.18839778643036</v>
      </c>
      <c r="DP719" s="310">
        <f t="shared" ca="1" si="307"/>
        <v>21243.944606990815</v>
      </c>
      <c r="DQ719" s="309"/>
      <c r="DR719" s="308">
        <f t="shared" si="277"/>
        <v>53</v>
      </c>
      <c r="DS719" s="309">
        <f ca="1">((VLOOKUP($B719,'Mahawesran Tariff'!$A$21:$M$120,4)*'Comparator (DET)'!$CX719)+(VLOOKUP($B719,'Mahawesran Tariff'!$A$21:$M$120,3)*'Comparator (DET)'!$CY719)+(VLOOKUP($B719,'Mahawesran Tariff'!$A$21:$M$120,2)*'Comparator (DET)'!$CZ719)+(VLOOKUP($B719,'Mahawesran Tariff'!$A$21:$M$120,7)*'Comparator (DET)'!$DF719)+(VLOOKUP($B719,'Mahawesran Tariff'!$A$21:$M$120,6)*'Comparator (DET)'!$DG719)+(VLOOKUP($B719,'Mahawesran Tariff'!$A$21:$M$120,5)*'Comparator (DET)'!$DH719)+(DET_UTIL_chd*('Comparator (DET)'!$DA719+'Comparator (DET)'!$DI719))+(DET_UTIL_copd*('Comparator (DET)'!$DB719+'Comparator (DET)'!$DJ719))+(DET_UTIL_lc*('Comparator (DET)'!$DC719+'Comparator (DET)'!$DK719))+(DET_UTIL_stroke*('Comparator (DET)'!$DD719+'Comparator (DET)'!$DL719)))/((1+Discount_rate_QALYs)^$A719)</f>
        <v>131.56701334711914</v>
      </c>
      <c r="DT719" s="310">
        <f t="shared" ca="1" si="308"/>
        <v>21094.335164499214</v>
      </c>
      <c r="DU719" s="309"/>
      <c r="DV719" s="308">
        <f t="shared" si="278"/>
        <v>53</v>
      </c>
      <c r="DW719" s="318">
        <f t="shared" ca="1" si="324"/>
        <v>49670.820959723853</v>
      </c>
      <c r="DX719" s="319">
        <f t="shared" ca="1" si="309"/>
        <v>6413318.1728980476</v>
      </c>
      <c r="DZ719" s="95">
        <f t="shared" si="280"/>
        <v>53</v>
      </c>
      <c r="EA719" s="268">
        <f t="shared" ca="1" si="318"/>
        <v>0.86806173244669982</v>
      </c>
      <c r="EB719" s="268">
        <f t="shared" ca="1" si="319"/>
        <v>0.13193826755330065</v>
      </c>
      <c r="EC719" s="268">
        <f t="shared" ca="1" si="320"/>
        <v>5.1775746234062205E-2</v>
      </c>
      <c r="ED719" s="290">
        <f t="shared" ca="1" si="321"/>
        <v>0.48906091205463048</v>
      </c>
      <c r="EF719" s="95">
        <f t="shared" si="281"/>
        <v>53</v>
      </c>
      <c r="EG719" s="339">
        <f t="shared" ca="1" si="325"/>
        <v>49670.820959723853</v>
      </c>
      <c r="EH719" s="341">
        <f t="shared" ca="1" si="310"/>
        <v>9513450.1087541338</v>
      </c>
      <c r="EJ719" s="308">
        <f t="shared" si="283"/>
        <v>53</v>
      </c>
      <c r="EK719" s="318">
        <f t="shared" ca="1" si="284"/>
        <v>49670.820959723853</v>
      </c>
      <c r="EL719" s="319">
        <f t="shared" ca="1" si="311"/>
        <v>6413318.1728980476</v>
      </c>
      <c r="EN719" s="95">
        <f t="shared" si="285"/>
        <v>53</v>
      </c>
      <c r="EO719" s="339">
        <f t="shared" ca="1" si="286"/>
        <v>49670.820959723853</v>
      </c>
      <c r="EP719" s="341">
        <f t="shared" ca="1" si="312"/>
        <v>9513450.1087541338</v>
      </c>
    </row>
    <row r="720" spans="1:146" s="266" customFormat="1" x14ac:dyDescent="0.25">
      <c r="A720" s="313">
        <v>54</v>
      </c>
      <c r="B720" s="314">
        <v>54</v>
      </c>
      <c r="C720" s="308">
        <f>VLOOKUP($B720,'Infant adult mortality'!$A$27:$I$128,3)</f>
        <v>1.4209931368591039E-3</v>
      </c>
      <c r="D720" s="309">
        <f t="shared" si="230"/>
        <v>0.27</v>
      </c>
      <c r="E720" s="309">
        <f>VLOOKUP($B720,'Infant pick up smoking rates'!$A$19:$I$104,3)</f>
        <v>1.5201831243956284E-3</v>
      </c>
      <c r="F720" s="309">
        <f t="shared" si="231"/>
        <v>2.4461462361003702E-2</v>
      </c>
      <c r="G720" s="309">
        <f t="shared" si="232"/>
        <v>0.70259736137774165</v>
      </c>
      <c r="H720" s="309">
        <f>VLOOKUP($B720,'Infant adult mortality'!$A$27:$I$128,3)</f>
        <v>1.4209931368591039E-3</v>
      </c>
      <c r="I720" s="309">
        <f t="shared" si="233"/>
        <v>0.14000000000000001</v>
      </c>
      <c r="J720" s="309">
        <f>VLOOKUP($B720,'Infant pick up smoking rates'!$A$19:$I$104,2)</f>
        <v>1.5201831243956284E-3</v>
      </c>
      <c r="K720" s="309">
        <f t="shared" si="234"/>
        <v>2.4461462361003702E-2</v>
      </c>
      <c r="L720" s="309">
        <f t="shared" si="235"/>
        <v>0.83259736137774165</v>
      </c>
      <c r="M720" s="309">
        <f>VLOOKUP($B720,'Infant adult mortality'!$A$27:$I$128,3)</f>
        <v>1.4209931368591039E-3</v>
      </c>
      <c r="N720" s="309">
        <f t="shared" si="236"/>
        <v>0.5714285714285714</v>
      </c>
      <c r="O720" s="309">
        <f>VLOOKUP($B720,'Infant pick up smoking rates'!$A$19:$I$104,2)</f>
        <v>1.5201831243956284E-3</v>
      </c>
      <c r="P720" s="309">
        <f t="shared" si="237"/>
        <v>1.7838406042505531E-2</v>
      </c>
      <c r="Q720" s="309">
        <f t="shared" si="238"/>
        <v>0.40779184626766835</v>
      </c>
      <c r="R720" s="309">
        <f>VLOOKUP($B720,'Infant adult mortality'!$A$27:$I$128,3)</f>
        <v>1.4209931368591039E-3</v>
      </c>
      <c r="S720" s="309">
        <f t="shared" si="239"/>
        <v>8.6261668788331098E-3</v>
      </c>
      <c r="T720" s="309">
        <f>VLOOKUP($B720,'Infant pick up smoking rates'!$A$19:$I$104,2)</f>
        <v>1.5201831243956284E-3</v>
      </c>
      <c r="U720" s="309">
        <f t="shared" si="240"/>
        <v>1.7838406042505531E-2</v>
      </c>
      <c r="V720" s="309">
        <f t="shared" si="241"/>
        <v>0.97059425081740669</v>
      </c>
      <c r="W720" s="309">
        <f>VLOOKUP($B720,'Infant adult mortality'!$A$27:$I$128,3)</f>
        <v>1.4209931368591039E-3</v>
      </c>
      <c r="X720" s="309">
        <f>VLOOKUP($B720,'Infant pick up smoking rates'!$A$19:$I$104,2)</f>
        <v>1.5201831243956284E-3</v>
      </c>
      <c r="Y720" s="309">
        <f t="shared" si="242"/>
        <v>0.99705882373874533</v>
      </c>
      <c r="Z720" s="309">
        <f>VLOOKUP($B720,'Infant adult mortality'!$A$27:$I$128,5)</f>
        <v>2.8775111021396853E-3</v>
      </c>
      <c r="AA720" s="309">
        <f t="shared" si="313"/>
        <v>0.25</v>
      </c>
      <c r="AB720" s="309">
        <f t="shared" si="244"/>
        <v>0.74712248889786026</v>
      </c>
      <c r="AC720" s="309">
        <f>VLOOKUP($B720,'Infant adult mortality'!$A$27:$I$128,5)</f>
        <v>2.8775111021396853E-3</v>
      </c>
      <c r="AD720" s="309">
        <f t="shared" si="314"/>
        <v>0.14000000000000001</v>
      </c>
      <c r="AE720" s="309">
        <f t="shared" si="246"/>
        <v>0.85712248889786025</v>
      </c>
      <c r="AF720" s="309">
        <f>VLOOKUP($B720,'Infant adult mortality'!$A$27:$I$128,4)</f>
        <v>1.7407165926524024E-3</v>
      </c>
      <c r="AG720" s="309">
        <f t="shared" si="315"/>
        <v>0.5714285714285714</v>
      </c>
      <c r="AH720" s="309">
        <f t="shared" si="248"/>
        <v>0.4268307119787762</v>
      </c>
      <c r="AI720" s="309">
        <f>VLOOKUP($B720,'Infant adult mortality'!$A$27:$I$128,4)</f>
        <v>1.7407165926524024E-3</v>
      </c>
      <c r="AJ720" s="309">
        <f t="shared" si="316"/>
        <v>8.6261668788331098E-3</v>
      </c>
      <c r="AK720" s="309">
        <f t="shared" si="250"/>
        <v>0.98963311652851449</v>
      </c>
      <c r="AL720" s="309"/>
      <c r="AM720" s="315">
        <f t="shared" si="287"/>
        <v>41.868464325807786</v>
      </c>
      <c r="AN720" s="316">
        <f t="shared" si="288"/>
        <v>11.712778165195946</v>
      </c>
      <c r="AO720" s="316">
        <f t="shared" si="289"/>
        <v>1.6948036024076671</v>
      </c>
      <c r="AP720" s="316">
        <f t="shared" si="290"/>
        <v>68.213566205964213</v>
      </c>
      <c r="AQ720" s="316">
        <f t="shared" si="291"/>
        <v>39.027258499785539</v>
      </c>
      <c r="AR720" s="316">
        <f t="shared" si="292"/>
        <v>133.38850788838832</v>
      </c>
      <c r="AS720" s="316">
        <f t="shared" si="293"/>
        <v>33.761050340745747</v>
      </c>
      <c r="AT720" s="316">
        <f t="shared" si="294"/>
        <v>4.7846079877559662</v>
      </c>
      <c r="AU720" s="316">
        <f t="shared" si="295"/>
        <v>104.43577534545655</v>
      </c>
      <c r="AV720" s="316">
        <f t="shared" si="296"/>
        <v>71.113187638492235</v>
      </c>
      <c r="AW720" s="317">
        <f t="shared" si="251"/>
        <v>510</v>
      </c>
      <c r="AX720" s="309"/>
      <c r="AY720" s="308">
        <f>VLOOKUP($B720,'Infant adult mortality'!$A$134:$I$234,3)</f>
        <v>1.0674202664513524E-3</v>
      </c>
      <c r="AZ720" s="309">
        <f t="shared" si="252"/>
        <v>0.27</v>
      </c>
      <c r="BA720" s="309">
        <f ca="1">VLOOKUP($B720,'Infant pick up smoking rates'!$A$19:$I$104,7)</f>
        <v>0</v>
      </c>
      <c r="BB720" s="309">
        <f t="shared" si="253"/>
        <v>2.4461462361003702E-2</v>
      </c>
      <c r="BC720" s="309">
        <f t="shared" ca="1" si="254"/>
        <v>0.70447111737254497</v>
      </c>
      <c r="BD720" s="309">
        <f>VLOOKUP($B720,'Infant adult mortality'!$A$134:$I$234,3)</f>
        <v>1.0674202664513524E-3</v>
      </c>
      <c r="BE720" s="309">
        <f t="shared" si="255"/>
        <v>0.14000000000000001</v>
      </c>
      <c r="BF720" s="309">
        <f>VLOOKUP($B720,'Infant pick up smoking rates'!$A$19:$I$104,6)</f>
        <v>0</v>
      </c>
      <c r="BG720" s="309">
        <f t="shared" si="256"/>
        <v>2.4461462361003702E-2</v>
      </c>
      <c r="BH720" s="309">
        <f t="shared" si="257"/>
        <v>0.83447111737254498</v>
      </c>
      <c r="BI720" s="309">
        <f>VLOOKUP($B720,'Infant adult mortality'!$A$134:$I$234,3)</f>
        <v>1.0674202664513524E-3</v>
      </c>
      <c r="BJ720" s="309">
        <f t="shared" si="258"/>
        <v>0.5714285714285714</v>
      </c>
      <c r="BK720" s="309">
        <f>VLOOKUP($B720,'Infant pick up smoking rates'!$A$19:$I$104,6)</f>
        <v>0</v>
      </c>
      <c r="BL720" s="309">
        <f t="shared" si="259"/>
        <v>1.7838406042505531E-2</v>
      </c>
      <c r="BM720" s="309">
        <f t="shared" si="260"/>
        <v>0.40966560226247173</v>
      </c>
      <c r="BN720" s="309">
        <f>VLOOKUP($B720,'Infant adult mortality'!$A$134:$I$234,3)</f>
        <v>1.0674202664513524E-3</v>
      </c>
      <c r="BO720" s="309">
        <f t="shared" si="261"/>
        <v>8.6261668788331098E-3</v>
      </c>
      <c r="BP720" s="309">
        <f>VLOOKUP($B720,'Infant pick up smoking rates'!$A$19:$I$104,6)</f>
        <v>0</v>
      </c>
      <c r="BQ720" s="309">
        <f t="shared" si="262"/>
        <v>1.7838406042505531E-2</v>
      </c>
      <c r="BR720" s="309">
        <f t="shared" si="263"/>
        <v>0.97246800681221002</v>
      </c>
      <c r="BS720" s="309">
        <f>VLOOKUP($B720,'Infant adult mortality'!$A$134:$I$234,3)</f>
        <v>1.0674202664513524E-3</v>
      </c>
      <c r="BT720" s="309">
        <f>VLOOKUP($B720,'Infant pick up smoking rates'!$A$19:$I$104,6)</f>
        <v>0</v>
      </c>
      <c r="BU720" s="309">
        <f t="shared" si="264"/>
        <v>0.99893257973354865</v>
      </c>
      <c r="BV720" s="309">
        <f>VLOOKUP($B720,'Infant adult mortality'!$A$134:$I$234,5)</f>
        <v>2.1615260395639888E-3</v>
      </c>
      <c r="BW720" s="309">
        <f t="shared" si="322"/>
        <v>0.27</v>
      </c>
      <c r="BX720" s="309">
        <f t="shared" si="266"/>
        <v>0.72783847396043599</v>
      </c>
      <c r="BY720" s="309">
        <f>VLOOKUP($B720,'Infant adult mortality'!$A$134:$I$234,5)</f>
        <v>2.1615260395639888E-3</v>
      </c>
      <c r="BZ720" s="309">
        <f t="shared" si="267"/>
        <v>0.14000000000000001</v>
      </c>
      <c r="CA720" s="309">
        <f t="shared" si="268"/>
        <v>0.857838473960436</v>
      </c>
      <c r="CB720" s="309">
        <f>VLOOKUP($B720,'Infant adult mortality'!$A$134:$I$234,4)</f>
        <v>1.3075898264029069E-3</v>
      </c>
      <c r="CC720" s="309">
        <f t="shared" si="269"/>
        <v>0.5714285714285714</v>
      </c>
      <c r="CD720" s="309">
        <f t="shared" si="270"/>
        <v>0.42726383874502571</v>
      </c>
      <c r="CE720" s="309">
        <f>VLOOKUP($B720,'Infant adult mortality'!$A$134:$I$234,4)</f>
        <v>1.3075898264029069E-3</v>
      </c>
      <c r="CF720" s="309">
        <f t="shared" si="271"/>
        <v>8.6261668788331098E-3</v>
      </c>
      <c r="CG720" s="309">
        <f t="shared" si="272"/>
        <v>0.990066243294764</v>
      </c>
      <c r="CH720" s="309"/>
      <c r="CI720" s="315">
        <f t="shared" ca="1" si="297"/>
        <v>55.989308197315566</v>
      </c>
      <c r="CJ720" s="316">
        <f t="shared" ca="1" si="298"/>
        <v>15.634119808399978</v>
      </c>
      <c r="CK720" s="316">
        <f t="shared" ca="1" si="299"/>
        <v>2.2581561613563483</v>
      </c>
      <c r="CL720" s="316">
        <f t="shared" ca="1" si="300"/>
        <v>89.869009937418653</v>
      </c>
      <c r="CM720" s="316">
        <f t="shared" ca="1" si="301"/>
        <v>52.023387090756344</v>
      </c>
      <c r="CN720" s="316">
        <f t="shared" ca="1" si="302"/>
        <v>99.284991386694514</v>
      </c>
      <c r="CO720" s="316">
        <f t="shared" ca="1" si="303"/>
        <v>27.182871793976318</v>
      </c>
      <c r="CP720" s="316">
        <f t="shared" ca="1" si="304"/>
        <v>3.8589275653149056</v>
      </c>
      <c r="CQ720" s="316">
        <f t="shared" ca="1" si="305"/>
        <v>81.550706916080088</v>
      </c>
      <c r="CR720" s="316">
        <f t="shared" ca="1" si="306"/>
        <v>62.348521142687872</v>
      </c>
      <c r="CS720" s="317">
        <f t="shared" ca="1" si="273"/>
        <v>490.00000000000057</v>
      </c>
      <c r="CT720" s="309"/>
      <c r="CU720" s="309">
        <f t="shared" ca="1" si="274"/>
        <v>1000.0000000000006</v>
      </c>
      <c r="CV720" s="309" t="str">
        <f t="shared" ca="1" si="317"/>
        <v>OKAY</v>
      </c>
      <c r="CW720" s="309"/>
      <c r="CX720" s="315">
        <f>(SUM($AR720:$AS720))-((SUM($AR720:$AS720)*VLOOKUP($B720,Lifetime_morbidity_array!$A$30:$Y$48,4))+(SUM($AR720:$AS720)*VLOOKUP($B720,Lifetime_morbidity_array!$A$30:$Y$48,7))+(SUM($AR720:$AS720)*VLOOKUP($B720,Lifetime_morbidity_array!$A$30:$Y$48,10))+(SUM($AR720:$AS720)*VLOOKUP($B720,Lifetime_morbidity_array!$A$30:$Y$48,13)))</f>
        <v>145.69583728713118</v>
      </c>
      <c r="CY720" s="316">
        <f>(SUM($AT720:$AU720))-((SUM($AT720:$AU720)*(VLOOKUP($B720,Lifetime_morbidity_array!$A$30:$Y$48,3)))+(SUM($AT720:$AU720)*(VLOOKUP($B720,Lifetime_morbidity_array!$A$30:$Y$48,6)))+(SUM($AT720:$AU720)*(VLOOKUP($B720,Lifetime_morbidity_array!$A$30:$Y$48,9)))+(SUM($AT720:$AU720)*(VLOOKUP($B720,Lifetime_morbidity_array!$A$30:$Y$48,12))))</f>
        <v>102.69804239975888</v>
      </c>
      <c r="CZ720" s="316">
        <f>(SUM($AM720:$AQ720))-((SUM($AM720:$AQ720)*VLOOKUP($B720,Lifetime_morbidity_array!$A$30:$Y$48,2))+(SUM($AM720:$AQ720)*VLOOKUP($B720,Lifetime_morbidity_array!$A$30:$Y$48,5))+(SUM($AM720:$AQ720)*VLOOKUP($B720,Lifetime_morbidity_array!$A$30:$Y$48,8))+(SUM($AM720:$AQ720)*VLOOKUP($B720,Lifetime_morbidity_array!$A$30:$Y$48,11)))</f>
        <v>156.84117761933399</v>
      </c>
      <c r="DA720" s="316">
        <f>(SUM($AM720:$AQ720)*VLOOKUP($B720,Lifetime_morbidity_array!$A$30:$Y$48,2))+(SUM($AR720:$AS720)*VLOOKUP($B720,Lifetime_morbidity_array!$A$30:$Y$48,4))+(SUM($AT720:$AU720)*(VLOOKUP($B720,Lifetime_morbidity_array!$A$30:$Y$48,3)))</f>
        <v>20.511419320812024</v>
      </c>
      <c r="DB720" s="316">
        <f>(SUM($AM720:$AQ720)*VLOOKUP($B720,Lifetime_morbidity_array!$A$30:$Y$48,5))+(SUM($AR720:$AS720)*VLOOKUP($B720,Lifetime_morbidity_array!$A$30:$Y$48,7))+(SUM($AT720:$AU720)*(VLOOKUP($B720,Lifetime_morbidity_array!$A$30:$Y$48,6)))</f>
        <v>5.7989916741358147</v>
      </c>
      <c r="DC720" s="316">
        <f>(SUM($AM720:$AQ720)*VLOOKUP($B720,Lifetime_morbidity_array!$A$30:$Y$48,8))+(SUM($AR720:$AS720)*VLOOKUP($B720,Lifetime_morbidity_array!$A$30:$Y$48,10))+(SUM($AT720:$AU720)*(VLOOKUP($B720,Lifetime_morbidity_array!$A$30:$Y$48,9)))</f>
        <v>1.0406506370645745</v>
      </c>
      <c r="DD720" s="317">
        <f>(SUM($AM720:$AQ720)*VLOOKUP($B720,Lifetime_morbidity_array!$A$30:$Y$48,11))+(SUM($AR720:$AS720)*VLOOKUP($B720,Lifetime_morbidity_array!$A$30:$Y$48,13))+(SUM($AT720:$AU720)*(VLOOKUP($B720,Lifetime_morbidity_array!$A$30:$Y$48,12)))</f>
        <v>6.3006934232712952</v>
      </c>
      <c r="DE720" s="309"/>
      <c r="DF720" s="315">
        <f ca="1">(SUM($CN720:$CO720))-((SUM($CN720:$CO720)*VLOOKUP($B720,Lifetime_morbidity_array!$A$6:$Y$24,4))+(SUM($CN720:$CO720)*VLOOKUP($B720,Lifetime_morbidity_array!$A$6:$Y$24,7))+(SUM($CN720:$CO720)*VLOOKUP($B720,Lifetime_morbidity_array!$A$6:$Y$24,10))+(SUM($CN720:$CO720)*VLOOKUP($B720,Lifetime_morbidity_array!$A$6:$Y$24,13)))</f>
        <v>115.51896996313562</v>
      </c>
      <c r="DG720" s="316">
        <f ca="1">(SUM($CP720:$CQ720))-(((SUM($CP720:$CQ720)*VLOOKUP($B720,Lifetime_morbidity_array!$A$6:$Y$24,3))+(SUM($CP720:$CQ720)*VLOOKUP($B720,Lifetime_morbidity_array!$A$6:$Y$24,6))+(SUM($CP720:$CQ720)*VLOOKUP($B720,Lifetime_morbidity_array!$A$6:$Y$24,9))+(SUM($CP720:$CQ720)*VLOOKUP($B720,Lifetime_morbidity_array!$A$6:$Y$24,12))))</f>
        <v>82.670842474842573</v>
      </c>
      <c r="DH720" s="316">
        <f ca="1">(SUM($CI720:$CM720))-((SUM($CI720:$CM720)*VLOOKUP($B720,Lifetime_morbidity_array!$A$6:$Y$24,2))+(SUM($CI720:$CM720)*VLOOKUP($B720,Lifetime_morbidity_array!$A$6:$Y$24,5))+(SUM($CI720:$CM720)*VLOOKUP($B720,Lifetime_morbidity_array!$A$6:$Y$24,8))+(SUM($CI720:$CM720)*VLOOKUP($B720,Lifetime_morbidity_array!$A$6:$Y$24,11)))</f>
        <v>211.63546882981262</v>
      </c>
      <c r="DI720" s="316">
        <f ca="1">(SUM($CI720:$CM720)*VLOOKUP($B720,Lifetime_morbidity_array!$A$6:$Y$24,2))+(SUM($CN720:$CO720)*VLOOKUP($B720,Lifetime_morbidity_array!$A$6:$Y$24,4))+(SUM($CP720:$CQ720)*VLOOKUP($B720,Lifetime_morbidity_array!$A$6:$Y$24,3))</f>
        <v>6.8337509743070193</v>
      </c>
      <c r="DJ720" s="316">
        <f ca="1">(SUM($CI720:$CM720)*VLOOKUP($B720,Lifetime_morbidity_array!$A$6:$Y$24,5))+(SUM($CN720:$CO720)*VLOOKUP($B720,Lifetime_morbidity_array!$A$6:$Y$24,7))+(SUM($CP720:$CQ720)*VLOOKUP($B720,Lifetime_morbidity_array!$A$6:$Y$24,6))</f>
        <v>6.2214256315557357</v>
      </c>
      <c r="DK720" s="316">
        <f ca="1">(SUM($CI720:$CM720)*VLOOKUP($B720,Lifetime_morbidity_array!$A$6:$Y$24,8))+(SUM($CN720:$CO720)*VLOOKUP($B720,Lifetime_morbidity_array!$A$6:$Y$24,10))+(SUM($CP720:$CQ720)*VLOOKUP($B720,Lifetime_morbidity_array!$A$6:$Y$24,9))</f>
        <v>0.41225233504878112</v>
      </c>
      <c r="DL720" s="317">
        <f ca="1">(SUM($CI720:$CM720)*VLOOKUP($B720,Lifetime_morbidity_array!$A$6:$Y$24,11))+(SUM($CN720:$CO720)*VLOOKUP($B720,Lifetime_morbidity_array!$A$6:$Y$24,13))+(SUM($CP720:$CQ720)*VLOOKUP($B720,Lifetime_morbidity_array!$A$6:$Y$24,12))</f>
        <v>4.3587686486103738</v>
      </c>
      <c r="DM720" s="309"/>
      <c r="DN720" s="308">
        <f t="shared" si="275"/>
        <v>54</v>
      </c>
      <c r="DO720" s="309">
        <f t="shared" ca="1" si="323"/>
        <v>135.21001767822713</v>
      </c>
      <c r="DP720" s="310">
        <f t="shared" ca="1" si="307"/>
        <v>21379.154624669041</v>
      </c>
      <c r="DQ720" s="309"/>
      <c r="DR720" s="308">
        <f t="shared" si="277"/>
        <v>54</v>
      </c>
      <c r="DS720" s="309">
        <f ca="1">((VLOOKUP($B720,'Mahawesran Tariff'!$A$21:$M$120,4)*'Comparator (DET)'!$CX720)+(VLOOKUP($B720,'Mahawesran Tariff'!$A$21:$M$120,3)*'Comparator (DET)'!$CY720)+(VLOOKUP($B720,'Mahawesran Tariff'!$A$21:$M$120,2)*'Comparator (DET)'!$CZ720)+(VLOOKUP($B720,'Mahawesran Tariff'!$A$21:$M$120,7)*'Comparator (DET)'!$DF720)+(VLOOKUP($B720,'Mahawesran Tariff'!$A$21:$M$120,6)*'Comparator (DET)'!$DG720)+(VLOOKUP($B720,'Mahawesran Tariff'!$A$21:$M$120,5)*'Comparator (DET)'!$DH720)+(DET_UTIL_chd*('Comparator (DET)'!$DA720+'Comparator (DET)'!$DI720))+(DET_UTIL_copd*('Comparator (DET)'!$DB720+'Comparator (DET)'!$DJ720))+(DET_UTIL_lc*('Comparator (DET)'!$DC720+'Comparator (DET)'!$DK720))+(DET_UTIL_stroke*('Comparator (DET)'!$DD720+'Comparator (DET)'!$DL720)))/((1+Discount_rate_QALYs)^$A720)</f>
        <v>126.90924693889701</v>
      </c>
      <c r="DT720" s="310">
        <f t="shared" ca="1" si="308"/>
        <v>21221.244411438111</v>
      </c>
      <c r="DU720" s="309"/>
      <c r="DV720" s="308">
        <f t="shared" si="278"/>
        <v>54</v>
      </c>
      <c r="DW720" s="318">
        <f t="shared" ca="1" si="324"/>
        <v>47727.346419294896</v>
      </c>
      <c r="DX720" s="319">
        <f t="shared" ca="1" si="309"/>
        <v>6461045.5193173429</v>
      </c>
      <c r="DZ720" s="95">
        <f t="shared" si="280"/>
        <v>54</v>
      </c>
      <c r="EA720" s="268">
        <f t="shared" ca="1" si="318"/>
        <v>0.86653829121882042</v>
      </c>
      <c r="EB720" s="268">
        <f t="shared" ca="1" si="319"/>
        <v>0.13346170878118011</v>
      </c>
      <c r="EC720" s="268">
        <f t="shared" ca="1" si="320"/>
        <v>5.1477952644805619E-2</v>
      </c>
      <c r="ED720" s="290">
        <f t="shared" ca="1" si="321"/>
        <v>0.48824743922441238</v>
      </c>
      <c r="EF720" s="95">
        <f t="shared" si="281"/>
        <v>54</v>
      </c>
      <c r="EG720" s="339">
        <f t="shared" ca="1" si="325"/>
        <v>47727.346419294896</v>
      </c>
      <c r="EH720" s="341">
        <f t="shared" ca="1" si="310"/>
        <v>9561177.4551734291</v>
      </c>
      <c r="EJ720" s="308">
        <f t="shared" si="283"/>
        <v>54</v>
      </c>
      <c r="EK720" s="318">
        <f t="shared" ca="1" si="284"/>
        <v>47727.346419294896</v>
      </c>
      <c r="EL720" s="319">
        <f t="shared" ca="1" si="311"/>
        <v>6461045.5193173429</v>
      </c>
      <c r="EN720" s="95">
        <f t="shared" si="285"/>
        <v>54</v>
      </c>
      <c r="EO720" s="339">
        <f t="shared" ca="1" si="286"/>
        <v>47727.346419294896</v>
      </c>
      <c r="EP720" s="341">
        <f t="shared" ca="1" si="312"/>
        <v>9561177.4551734291</v>
      </c>
    </row>
    <row r="721" spans="1:146" s="266" customFormat="1" x14ac:dyDescent="0.25">
      <c r="A721" s="313">
        <v>55</v>
      </c>
      <c r="B721" s="314">
        <v>55</v>
      </c>
      <c r="C721" s="308">
        <f>VLOOKUP($B721,'Infant adult mortality'!$A$27:$I$128,3)</f>
        <v>1.4918376413570276E-3</v>
      </c>
      <c r="D721" s="309">
        <f t="shared" si="230"/>
        <v>0.27</v>
      </c>
      <c r="E721" s="309">
        <f>VLOOKUP($B721,'Infant pick up smoking rates'!$A$19:$I$104,3)</f>
        <v>1.5201831243956284E-3</v>
      </c>
      <c r="F721" s="309">
        <f t="shared" si="231"/>
        <v>2.7081429828537902E-2</v>
      </c>
      <c r="G721" s="309">
        <f t="shared" si="232"/>
        <v>0.6999065494057094</v>
      </c>
      <c r="H721" s="309">
        <f>VLOOKUP($B721,'Infant adult mortality'!$A$27:$I$128,3)</f>
        <v>1.4918376413570276E-3</v>
      </c>
      <c r="I721" s="309">
        <f t="shared" si="233"/>
        <v>0.14000000000000001</v>
      </c>
      <c r="J721" s="309">
        <f>VLOOKUP($B721,'Infant pick up smoking rates'!$A$19:$I$104,2)</f>
        <v>1.5201831243956284E-3</v>
      </c>
      <c r="K721" s="309">
        <f t="shared" si="234"/>
        <v>2.7081429828537902E-2</v>
      </c>
      <c r="L721" s="309">
        <f t="shared" si="235"/>
        <v>0.8299065494057094</v>
      </c>
      <c r="M721" s="309">
        <f>VLOOKUP($B721,'Infant adult mortality'!$A$27:$I$128,3)</f>
        <v>1.4918376413570276E-3</v>
      </c>
      <c r="N721" s="309">
        <f t="shared" si="236"/>
        <v>0.5714285714285714</v>
      </c>
      <c r="O721" s="309">
        <f>VLOOKUP($B721,'Infant pick up smoking rates'!$A$19:$I$104,2)</f>
        <v>1.5201831243956284E-3</v>
      </c>
      <c r="P721" s="309">
        <f t="shared" si="237"/>
        <v>1.9749004959867734E-2</v>
      </c>
      <c r="Q721" s="309">
        <f t="shared" si="238"/>
        <v>0.40581040284580822</v>
      </c>
      <c r="R721" s="309">
        <f>VLOOKUP($B721,'Infant adult mortality'!$A$27:$I$128,3)</f>
        <v>1.4918376413570276E-3</v>
      </c>
      <c r="S721" s="309">
        <f t="shared" si="239"/>
        <v>8.6261668788331098E-3</v>
      </c>
      <c r="T721" s="309">
        <f>VLOOKUP($B721,'Infant pick up smoking rates'!$A$19:$I$104,2)</f>
        <v>1.5201831243956284E-3</v>
      </c>
      <c r="U721" s="309">
        <f t="shared" si="240"/>
        <v>1.9749004959867734E-2</v>
      </c>
      <c r="V721" s="309">
        <f t="shared" si="241"/>
        <v>0.96861280739554645</v>
      </c>
      <c r="W721" s="309">
        <f>VLOOKUP($B721,'Infant adult mortality'!$A$27:$I$128,3)</f>
        <v>1.4918376413570276E-3</v>
      </c>
      <c r="X721" s="309">
        <f>VLOOKUP($B721,'Infant pick up smoking rates'!$A$19:$I$104,2)</f>
        <v>1.5201831243956284E-3</v>
      </c>
      <c r="Y721" s="309">
        <f t="shared" si="242"/>
        <v>0.99698797923424731</v>
      </c>
      <c r="Z721" s="309">
        <f>VLOOKUP($B721,'Infant adult mortality'!$A$27:$I$128,5)</f>
        <v>3.1878214862681746E-3</v>
      </c>
      <c r="AA721" s="309">
        <f t="shared" si="313"/>
        <v>0.25</v>
      </c>
      <c r="AB721" s="309">
        <f t="shared" si="244"/>
        <v>0.74681217851373183</v>
      </c>
      <c r="AC721" s="309">
        <f>VLOOKUP($B721,'Infant adult mortality'!$A$27:$I$128,5)</f>
        <v>3.1878214862681746E-3</v>
      </c>
      <c r="AD721" s="309">
        <f t="shared" si="314"/>
        <v>0.14000000000000001</v>
      </c>
      <c r="AE721" s="309">
        <f t="shared" si="246"/>
        <v>0.85681217851373181</v>
      </c>
      <c r="AF721" s="309">
        <f>VLOOKUP($B721,'Infant adult mortality'!$A$27:$I$128,4)</f>
        <v>2.1042762520193862E-3</v>
      </c>
      <c r="AG721" s="309">
        <f t="shared" si="315"/>
        <v>0.5714285714285714</v>
      </c>
      <c r="AH721" s="309">
        <f t="shared" si="248"/>
        <v>0.42646715231940924</v>
      </c>
      <c r="AI721" s="309">
        <f>VLOOKUP($B721,'Infant adult mortality'!$A$27:$I$128,4)</f>
        <v>2.1042762520193862E-3</v>
      </c>
      <c r="AJ721" s="309">
        <f t="shared" si="316"/>
        <v>8.6261668788331098E-3</v>
      </c>
      <c r="AK721" s="309">
        <f t="shared" si="250"/>
        <v>0.98926955686914753</v>
      </c>
      <c r="AL721" s="309"/>
      <c r="AM721" s="315">
        <f t="shared" si="287"/>
        <v>40.300714244355028</v>
      </c>
      <c r="AN721" s="316">
        <f t="shared" si="288"/>
        <v>11.304485367968104</v>
      </c>
      <c r="AO721" s="316">
        <f t="shared" si="289"/>
        <v>1.6397889431274326</v>
      </c>
      <c r="AP721" s="316">
        <f t="shared" si="290"/>
        <v>67.040993066596783</v>
      </c>
      <c r="AQ721" s="316">
        <f t="shared" si="291"/>
        <v>41.741384987481581</v>
      </c>
      <c r="AR721" s="316">
        <f t="shared" si="292"/>
        <v>131.73145523036118</v>
      </c>
      <c r="AS721" s="316">
        <f t="shared" si="293"/>
        <v>33.34712697209708</v>
      </c>
      <c r="AT721" s="316">
        <f t="shared" si="294"/>
        <v>4.7265470477044049</v>
      </c>
      <c r="AU721" s="316">
        <f t="shared" si="295"/>
        <v>106.04919490457478</v>
      </c>
      <c r="AV721" s="316">
        <f t="shared" si="296"/>
        <v>72.118309235733577</v>
      </c>
      <c r="AW721" s="317">
        <f t="shared" si="251"/>
        <v>510</v>
      </c>
      <c r="AX721" s="309"/>
      <c r="AY721" s="308">
        <f>VLOOKUP($B721,'Infant adult mortality'!$A$134:$I$234,3)</f>
        <v>1.102859450726979E-3</v>
      </c>
      <c r="AZ721" s="309">
        <f t="shared" si="252"/>
        <v>0.27</v>
      </c>
      <c r="BA721" s="309">
        <f ca="1">VLOOKUP($B721,'Infant pick up smoking rates'!$A$19:$I$104,7)</f>
        <v>0</v>
      </c>
      <c r="BB721" s="309">
        <f t="shared" si="253"/>
        <v>2.7081429828537902E-2</v>
      </c>
      <c r="BC721" s="309">
        <f t="shared" ca="1" si="254"/>
        <v>0.70181571072073512</v>
      </c>
      <c r="BD721" s="309">
        <f>VLOOKUP($B721,'Infant adult mortality'!$A$134:$I$234,3)</f>
        <v>1.102859450726979E-3</v>
      </c>
      <c r="BE721" s="309">
        <f t="shared" si="255"/>
        <v>0.14000000000000001</v>
      </c>
      <c r="BF721" s="309">
        <f>VLOOKUP($B721,'Infant pick up smoking rates'!$A$19:$I$104,6)</f>
        <v>0</v>
      </c>
      <c r="BG721" s="309">
        <f t="shared" si="256"/>
        <v>2.7081429828537902E-2</v>
      </c>
      <c r="BH721" s="309">
        <f t="shared" si="257"/>
        <v>0.83181571072073512</v>
      </c>
      <c r="BI721" s="309">
        <f>VLOOKUP($B721,'Infant adult mortality'!$A$134:$I$234,3)</f>
        <v>1.102859450726979E-3</v>
      </c>
      <c r="BJ721" s="309">
        <f t="shared" si="258"/>
        <v>0.5714285714285714</v>
      </c>
      <c r="BK721" s="309">
        <f>VLOOKUP($B721,'Infant pick up smoking rates'!$A$19:$I$104,6)</f>
        <v>0</v>
      </c>
      <c r="BL721" s="309">
        <f t="shared" si="259"/>
        <v>1.9749004959867734E-2</v>
      </c>
      <c r="BM721" s="309">
        <f t="shared" si="260"/>
        <v>0.40771956416083388</v>
      </c>
      <c r="BN721" s="309">
        <f>VLOOKUP($B721,'Infant adult mortality'!$A$134:$I$234,3)</f>
        <v>1.102859450726979E-3</v>
      </c>
      <c r="BO721" s="309">
        <f t="shared" si="261"/>
        <v>8.6261668788331098E-3</v>
      </c>
      <c r="BP721" s="309">
        <f>VLOOKUP($B721,'Infant pick up smoking rates'!$A$19:$I$104,6)</f>
        <v>0</v>
      </c>
      <c r="BQ721" s="309">
        <f t="shared" si="262"/>
        <v>1.9749004959867734E-2</v>
      </c>
      <c r="BR721" s="309">
        <f t="shared" si="263"/>
        <v>0.97052196871057217</v>
      </c>
      <c r="BS721" s="309">
        <f>VLOOKUP($B721,'Infant adult mortality'!$A$134:$I$234,3)</f>
        <v>1.102859450726979E-3</v>
      </c>
      <c r="BT721" s="309">
        <f>VLOOKUP($B721,'Infant pick up smoking rates'!$A$19:$I$104,6)</f>
        <v>0</v>
      </c>
      <c r="BU721" s="309">
        <f t="shared" si="264"/>
        <v>0.99889714054927303</v>
      </c>
      <c r="BV721" s="309">
        <f>VLOOKUP($B721,'Infant adult mortality'!$A$134:$I$234,5)</f>
        <v>2.3566365105008079E-3</v>
      </c>
      <c r="BW721" s="309">
        <f t="shared" si="322"/>
        <v>0.27</v>
      </c>
      <c r="BX721" s="309">
        <f t="shared" si="266"/>
        <v>0.72764336348949921</v>
      </c>
      <c r="BY721" s="309">
        <f>VLOOKUP($B721,'Infant adult mortality'!$A$134:$I$234,5)</f>
        <v>2.3566365105008079E-3</v>
      </c>
      <c r="BZ721" s="309">
        <f t="shared" si="267"/>
        <v>0.14000000000000001</v>
      </c>
      <c r="CA721" s="309">
        <f t="shared" si="268"/>
        <v>0.85764336348949921</v>
      </c>
      <c r="CB721" s="309">
        <f>VLOOKUP($B721,'Infant adult mortality'!$A$134:$I$234,4)</f>
        <v>1.5556122778675283E-3</v>
      </c>
      <c r="CC721" s="309">
        <f t="shared" si="269"/>
        <v>0.5714285714285714</v>
      </c>
      <c r="CD721" s="309">
        <f t="shared" si="270"/>
        <v>0.42701581629356106</v>
      </c>
      <c r="CE721" s="309">
        <f>VLOOKUP($B721,'Infant adult mortality'!$A$134:$I$234,4)</f>
        <v>1.5556122778675283E-3</v>
      </c>
      <c r="CF721" s="309">
        <f t="shared" si="271"/>
        <v>8.6261668788331098E-3</v>
      </c>
      <c r="CG721" s="309">
        <f t="shared" si="272"/>
        <v>0.9898182208432994</v>
      </c>
      <c r="CH721" s="309"/>
      <c r="CI721" s="315">
        <f t="shared" ca="1" si="297"/>
        <v>53.994802128049649</v>
      </c>
      <c r="CJ721" s="316">
        <f t="shared" ca="1" si="298"/>
        <v>15.117113213275204</v>
      </c>
      <c r="CK721" s="316">
        <f t="shared" ca="1" si="299"/>
        <v>2.1887767731759973</v>
      </c>
      <c r="CL721" s="316">
        <f t="shared" ca="1" si="300"/>
        <v>88.510223399880005</v>
      </c>
      <c r="CM721" s="316">
        <f t="shared" ca="1" si="301"/>
        <v>55.725097306483867</v>
      </c>
      <c r="CN721" s="316">
        <f t="shared" ca="1" si="302"/>
        <v>97.908567782595625</v>
      </c>
      <c r="CO721" s="316">
        <f t="shared" ca="1" si="303"/>
        <v>26.806947674407521</v>
      </c>
      <c r="CP721" s="316">
        <f t="shared" ca="1" si="304"/>
        <v>3.805602051156685</v>
      </c>
      <c r="CQ721" s="316">
        <f t="shared" ca="1" si="305"/>
        <v>82.92547709408197</v>
      </c>
      <c r="CR721" s="316">
        <f t="shared" ca="1" si="306"/>
        <v>63.017392576894053</v>
      </c>
      <c r="CS721" s="317">
        <f t="shared" ca="1" si="273"/>
        <v>490.00000000000057</v>
      </c>
      <c r="CT721" s="309"/>
      <c r="CU721" s="309">
        <f t="shared" ca="1" si="274"/>
        <v>1000.0000000000006</v>
      </c>
      <c r="CV721" s="309" t="str">
        <f t="shared" ca="1" si="317"/>
        <v>OKAY</v>
      </c>
      <c r="CW721" s="309"/>
      <c r="CX721" s="315">
        <f>(SUM($AR721:$AS721))-((SUM($AR721:$AS721)*VLOOKUP($B721,Lifetime_morbidity_array!$A$30:$Y$48,4))+(SUM($AR721:$AS721)*VLOOKUP($B721,Lifetime_morbidity_array!$A$30:$Y$48,7))+(SUM($AR721:$AS721)*VLOOKUP($B721,Lifetime_morbidity_array!$A$30:$Y$48,10))+(SUM($AR721:$AS721)*VLOOKUP($B721,Lifetime_morbidity_array!$A$30:$Y$48,13)))</f>
        <v>109.94177995168548</v>
      </c>
      <c r="CY721" s="316">
        <f>(SUM($AT721:$AU721))-((SUM($AT721:$AU721)*(VLOOKUP($B721,Lifetime_morbidity_array!$A$30:$Y$48,3)))+(SUM($AT721:$AU721)*(VLOOKUP($B721,Lifetime_morbidity_array!$A$30:$Y$48,6)))+(SUM($AT721:$AU721)*(VLOOKUP($B721,Lifetime_morbidity_array!$A$30:$Y$48,9)))+(SUM($AT721:$AU721)*(VLOOKUP($B721,Lifetime_morbidity_array!$A$30:$Y$48,12))))</f>
        <v>93.423717855545462</v>
      </c>
      <c r="CZ721" s="316">
        <f>(SUM($AM721:$AQ721))-((SUM($AM721:$AQ721)*VLOOKUP($B721,Lifetime_morbidity_array!$A$30:$Y$48,2))+(SUM($AM721:$AQ721)*VLOOKUP($B721,Lifetime_morbidity_array!$A$30:$Y$48,5))+(SUM($AM721:$AQ721)*VLOOKUP($B721,Lifetime_morbidity_array!$A$30:$Y$48,8))+(SUM($AM721:$AQ721)*VLOOKUP($B721,Lifetime_morbidity_array!$A$30:$Y$48,11)))</f>
        <v>146.56813400079588</v>
      </c>
      <c r="DA721" s="316">
        <f>(SUM($AM721:$AQ721)*VLOOKUP($B721,Lifetime_morbidity_array!$A$30:$Y$48,2))+(SUM($AR721:$AS721)*VLOOKUP($B721,Lifetime_morbidity_array!$A$30:$Y$48,4))+(SUM($AT721:$AU721)*(VLOOKUP($B721,Lifetime_morbidity_array!$A$30:$Y$48,3)))</f>
        <v>57.384480978245605</v>
      </c>
      <c r="DB721" s="316">
        <f>(SUM($AM721:$AQ721)*VLOOKUP($B721,Lifetime_morbidity_array!$A$30:$Y$48,5))+(SUM($AR721:$AS721)*VLOOKUP($B721,Lifetime_morbidity_array!$A$30:$Y$48,7))+(SUM($AT721:$AU721)*(VLOOKUP($B721,Lifetime_morbidity_array!$A$30:$Y$48,6)))</f>
        <v>13.855857593503504</v>
      </c>
      <c r="DC721" s="316">
        <f>(SUM($AM721:$AQ721)*VLOOKUP($B721,Lifetime_morbidity_array!$A$30:$Y$48,8))+(SUM($AR721:$AS721)*VLOOKUP($B721,Lifetime_morbidity_array!$A$30:$Y$48,10))+(SUM($AT721:$AU721)*(VLOOKUP($B721,Lifetime_morbidity_array!$A$30:$Y$48,9)))</f>
        <v>1.0695223339657707</v>
      </c>
      <c r="DD721" s="317">
        <f>(SUM($AM721:$AQ721)*VLOOKUP($B721,Lifetime_morbidity_array!$A$30:$Y$48,11))+(SUM($AR721:$AS721)*VLOOKUP($B721,Lifetime_morbidity_array!$A$30:$Y$48,13))+(SUM($AT721:$AU721)*(VLOOKUP($B721,Lifetime_morbidity_array!$A$30:$Y$48,12)))</f>
        <v>15.638198050524675</v>
      </c>
      <c r="DE721" s="309"/>
      <c r="DF721" s="315">
        <f ca="1">(SUM($CN721:$CO721))-((SUM($CN721:$CO721)*VLOOKUP($B721,Lifetime_morbidity_array!$A$6:$Y$24,4))+(SUM($CN721:$CO721)*VLOOKUP($B721,Lifetime_morbidity_array!$A$6:$Y$24,7))+(SUM($CN721:$CO721)*VLOOKUP($B721,Lifetime_morbidity_array!$A$6:$Y$24,10))+(SUM($CN721:$CO721)*VLOOKUP($B721,Lifetime_morbidity_array!$A$6:$Y$24,13)))</f>
        <v>102.99335926484856</v>
      </c>
      <c r="DG721" s="316">
        <f ca="1">(SUM($CP721:$CQ721))-(((SUM($CP721:$CQ721)*VLOOKUP($B721,Lifetime_morbidity_array!$A$6:$Y$24,3))+(SUM($CP721:$CQ721)*VLOOKUP($B721,Lifetime_morbidity_array!$A$6:$Y$24,6))+(SUM($CP721:$CQ721)*VLOOKUP($B721,Lifetime_morbidity_array!$A$6:$Y$24,9))+(SUM($CP721:$CQ721)*VLOOKUP($B721,Lifetime_morbidity_array!$A$6:$Y$24,12))))</f>
        <v>79.734405716114054</v>
      </c>
      <c r="DH721" s="316">
        <f ca="1">(SUM($CI721:$CM721))-((SUM($CI721:$CM721)*VLOOKUP($B721,Lifetime_morbidity_array!$A$6:$Y$24,2))+(SUM($CI721:$CM721)*VLOOKUP($B721,Lifetime_morbidity_array!$A$6:$Y$24,5))+(SUM($CI721:$CM721)*VLOOKUP($B721,Lifetime_morbidity_array!$A$6:$Y$24,8))+(SUM($CI721:$CM721)*VLOOKUP($B721,Lifetime_morbidity_array!$A$6:$Y$24,11)))</f>
        <v>204.85473603855658</v>
      </c>
      <c r="DI721" s="316">
        <f ca="1">(SUM($CI721:$CM721)*VLOOKUP($B721,Lifetime_morbidity_array!$A$6:$Y$24,2))+(SUM($CN721:$CO721)*VLOOKUP($B721,Lifetime_morbidity_array!$A$6:$Y$24,4))+(SUM($CP721:$CQ721)*VLOOKUP($B721,Lifetime_morbidity_array!$A$6:$Y$24,3))</f>
        <v>17.494884988853983</v>
      </c>
      <c r="DJ721" s="316">
        <f ca="1">(SUM($CI721:$CM721)*VLOOKUP($B721,Lifetime_morbidity_array!$A$6:$Y$24,5))+(SUM($CN721:$CO721)*VLOOKUP($B721,Lifetime_morbidity_array!$A$6:$Y$24,7))+(SUM($CP721:$CQ721)*VLOOKUP($B721,Lifetime_morbidity_array!$A$6:$Y$24,6))</f>
        <v>10.797946866638956</v>
      </c>
      <c r="DK721" s="316">
        <f ca="1">(SUM($CI721:$CM721)*VLOOKUP($B721,Lifetime_morbidity_array!$A$6:$Y$24,8))+(SUM($CN721:$CO721)*VLOOKUP($B721,Lifetime_morbidity_array!$A$6:$Y$24,10))+(SUM($CP721:$CQ721)*VLOOKUP($B721,Lifetime_morbidity_array!$A$6:$Y$24,9))</f>
        <v>0.41094160766783155</v>
      </c>
      <c r="DL721" s="317">
        <f ca="1">(SUM($CI721:$CM721)*VLOOKUP($B721,Lifetime_morbidity_array!$A$6:$Y$24,11))+(SUM($CN721:$CO721)*VLOOKUP($B721,Lifetime_morbidity_array!$A$6:$Y$24,13))+(SUM($CP721:$CQ721)*VLOOKUP($B721,Lifetime_morbidity_array!$A$6:$Y$24,12))</f>
        <v>10.696332940426515</v>
      </c>
      <c r="DM721" s="309"/>
      <c r="DN721" s="308">
        <f t="shared" si="275"/>
        <v>55</v>
      </c>
      <c r="DO721" s="309">
        <f t="shared" ca="1" si="323"/>
        <v>130.3853301694154</v>
      </c>
      <c r="DP721" s="310">
        <f t="shared" ca="1" si="307"/>
        <v>21509.539954838456</v>
      </c>
      <c r="DQ721" s="309"/>
      <c r="DR721" s="308">
        <f t="shared" si="277"/>
        <v>55</v>
      </c>
      <c r="DS721" s="309">
        <f ca="1">((VLOOKUP($B721,'Mahawesran Tariff'!$A$21:$M$120,4)*'Comparator (DET)'!$CX721)+(VLOOKUP($B721,'Mahawesran Tariff'!$A$21:$M$120,3)*'Comparator (DET)'!$CY721)+(VLOOKUP($B721,'Mahawesran Tariff'!$A$21:$M$120,2)*'Comparator (DET)'!$CZ721)+(VLOOKUP($B721,'Mahawesran Tariff'!$A$21:$M$120,7)*'Comparator (DET)'!$DF721)+(VLOOKUP($B721,'Mahawesran Tariff'!$A$21:$M$120,6)*'Comparator (DET)'!$DG721)+(VLOOKUP($B721,'Mahawesran Tariff'!$A$21:$M$120,5)*'Comparator (DET)'!$DH721)+(DET_UTIL_chd*('Comparator (DET)'!$DA721+'Comparator (DET)'!$DI721))+(DET_UTIL_copd*('Comparator (DET)'!$DB721+'Comparator (DET)'!$DJ721))+(DET_UTIL_lc*('Comparator (DET)'!$DC721+'Comparator (DET)'!$DK721))+(DET_UTIL_stroke*('Comparator (DET)'!$DD721+'Comparator (DET)'!$DL721)))/((1+Discount_rate_QALYs)^$A721)</f>
        <v>117.67615944751309</v>
      </c>
      <c r="DT721" s="310">
        <f t="shared" ca="1" si="308"/>
        <v>21338.920570885624</v>
      </c>
      <c r="DU721" s="309"/>
      <c r="DV721" s="308">
        <f t="shared" si="278"/>
        <v>55</v>
      </c>
      <c r="DW721" s="318">
        <f t="shared" ca="1" si="324"/>
        <v>112274.80313192842</v>
      </c>
      <c r="DX721" s="319">
        <f t="shared" ca="1" si="309"/>
        <v>6573320.3224492716</v>
      </c>
      <c r="DZ721" s="95">
        <f t="shared" si="280"/>
        <v>55</v>
      </c>
      <c r="EA721" s="268">
        <f t="shared" ca="1" si="318"/>
        <v>0.86486429818737287</v>
      </c>
      <c r="EB721" s="268">
        <f t="shared" ca="1" si="319"/>
        <v>0.13513570181262766</v>
      </c>
      <c r="EC721" s="268">
        <f t="shared" ca="1" si="320"/>
        <v>0.12734816535982685</v>
      </c>
      <c r="ED721" s="290">
        <f t="shared" ca="1" si="321"/>
        <v>0.48730091875697923</v>
      </c>
      <c r="EF721" s="95">
        <f t="shared" si="281"/>
        <v>55</v>
      </c>
      <c r="EG721" s="339">
        <f t="shared" ca="1" si="325"/>
        <v>112274.80313192842</v>
      </c>
      <c r="EH721" s="341">
        <f t="shared" ca="1" si="310"/>
        <v>9673452.2583053578</v>
      </c>
      <c r="EJ721" s="308">
        <f t="shared" si="283"/>
        <v>55</v>
      </c>
      <c r="EK721" s="318">
        <f t="shared" ca="1" si="284"/>
        <v>112274.80313192842</v>
      </c>
      <c r="EL721" s="319">
        <f t="shared" ca="1" si="311"/>
        <v>6573320.3224492716</v>
      </c>
      <c r="EN721" s="95">
        <f t="shared" si="285"/>
        <v>55</v>
      </c>
      <c r="EO721" s="339">
        <f t="shared" ca="1" si="286"/>
        <v>112274.80313192842</v>
      </c>
      <c r="EP721" s="341">
        <f t="shared" ca="1" si="312"/>
        <v>9673452.2583053578</v>
      </c>
    </row>
    <row r="722" spans="1:146" s="266" customFormat="1" x14ac:dyDescent="0.25">
      <c r="A722" s="313">
        <v>56</v>
      </c>
      <c r="B722" s="314">
        <v>56</v>
      </c>
      <c r="C722" s="308">
        <f>VLOOKUP($B722,'Infant adult mortality'!$A$27:$I$128,3)</f>
        <v>1.6416276252019389E-3</v>
      </c>
      <c r="D722" s="309">
        <f t="shared" si="230"/>
        <v>0.27</v>
      </c>
      <c r="E722" s="309">
        <f>VLOOKUP($B722,'Infant pick up smoking rates'!$A$19:$I$104,3)</f>
        <v>1.5201831243956284E-3</v>
      </c>
      <c r="F722" s="309">
        <f t="shared" si="231"/>
        <v>2.9997482733793764E-2</v>
      </c>
      <c r="G722" s="309">
        <f t="shared" si="232"/>
        <v>0.69684070651660868</v>
      </c>
      <c r="H722" s="309">
        <f>VLOOKUP($B722,'Infant adult mortality'!$A$27:$I$128,3)</f>
        <v>1.6416276252019389E-3</v>
      </c>
      <c r="I722" s="309">
        <f t="shared" si="233"/>
        <v>0.14000000000000001</v>
      </c>
      <c r="J722" s="309">
        <f>VLOOKUP($B722,'Infant pick up smoking rates'!$A$19:$I$104,2)</f>
        <v>1.5201831243956284E-3</v>
      </c>
      <c r="K722" s="309">
        <f t="shared" si="234"/>
        <v>2.9997482733793764E-2</v>
      </c>
      <c r="L722" s="309">
        <f t="shared" si="235"/>
        <v>0.82684070651660868</v>
      </c>
      <c r="M722" s="309">
        <f>VLOOKUP($B722,'Infant adult mortality'!$A$27:$I$128,3)</f>
        <v>1.6416276252019389E-3</v>
      </c>
      <c r="N722" s="309">
        <f t="shared" si="236"/>
        <v>0.5714285714285714</v>
      </c>
      <c r="O722" s="309">
        <f>VLOOKUP($B722,'Infant pick up smoking rates'!$A$19:$I$104,2)</f>
        <v>1.5201831243956284E-3</v>
      </c>
      <c r="P722" s="309">
        <f t="shared" si="237"/>
        <v>2.1875522786059039E-2</v>
      </c>
      <c r="Q722" s="309">
        <f t="shared" si="238"/>
        <v>0.40353409503577198</v>
      </c>
      <c r="R722" s="309">
        <f>VLOOKUP($B722,'Infant adult mortality'!$A$27:$I$128,3)</f>
        <v>1.6416276252019389E-3</v>
      </c>
      <c r="S722" s="309">
        <f t="shared" si="239"/>
        <v>8.6261668788331098E-3</v>
      </c>
      <c r="T722" s="309">
        <f>VLOOKUP($B722,'Infant pick up smoking rates'!$A$19:$I$104,2)</f>
        <v>1.5201831243956284E-3</v>
      </c>
      <c r="U722" s="309">
        <f t="shared" si="240"/>
        <v>2.1875522786059039E-2</v>
      </c>
      <c r="V722" s="309">
        <f t="shared" si="241"/>
        <v>0.96633649958551027</v>
      </c>
      <c r="W722" s="309">
        <f>VLOOKUP($B722,'Infant adult mortality'!$A$27:$I$128,3)</f>
        <v>1.6416276252019389E-3</v>
      </c>
      <c r="X722" s="309">
        <f>VLOOKUP($B722,'Infant pick up smoking rates'!$A$19:$I$104,2)</f>
        <v>1.5201831243956284E-3</v>
      </c>
      <c r="Y722" s="309">
        <f t="shared" si="242"/>
        <v>0.99683818925040246</v>
      </c>
      <c r="Z722" s="309">
        <f>VLOOKUP($B722,'Infant adult mortality'!$A$27:$I$128,5)</f>
        <v>3.5078990306946695E-3</v>
      </c>
      <c r="AA722" s="309">
        <f t="shared" si="313"/>
        <v>0.25</v>
      </c>
      <c r="AB722" s="309">
        <f t="shared" si="244"/>
        <v>0.74649210096930529</v>
      </c>
      <c r="AC722" s="309">
        <f>VLOOKUP($B722,'Infant adult mortality'!$A$27:$I$128,5)</f>
        <v>3.5078990306946695E-3</v>
      </c>
      <c r="AD722" s="309">
        <f t="shared" si="314"/>
        <v>0.14000000000000001</v>
      </c>
      <c r="AE722" s="309">
        <f t="shared" si="246"/>
        <v>0.85649210096930528</v>
      </c>
      <c r="AF722" s="309">
        <f>VLOOKUP($B722,'Infant adult mortality'!$A$27:$I$128,4)</f>
        <v>2.315558966074314E-3</v>
      </c>
      <c r="AG722" s="309">
        <f t="shared" si="315"/>
        <v>0.5714285714285714</v>
      </c>
      <c r="AH722" s="309">
        <f t="shared" si="248"/>
        <v>0.42625586960535428</v>
      </c>
      <c r="AI722" s="309">
        <f>VLOOKUP($B722,'Infant adult mortality'!$A$27:$I$128,4)</f>
        <v>2.315558966074314E-3</v>
      </c>
      <c r="AJ722" s="309">
        <f t="shared" si="316"/>
        <v>8.6261668788331098E-3</v>
      </c>
      <c r="AK722" s="309">
        <f t="shared" si="250"/>
        <v>0.98905827415509262</v>
      </c>
      <c r="AL722" s="309"/>
      <c r="AM722" s="315">
        <f t="shared" si="287"/>
        <v>38.670204396747479</v>
      </c>
      <c r="AN722" s="316">
        <f t="shared" si="288"/>
        <v>10.881192845975859</v>
      </c>
      <c r="AO722" s="316">
        <f t="shared" si="289"/>
        <v>1.5826279515155346</v>
      </c>
      <c r="AP722" s="316">
        <f t="shared" si="290"/>
        <v>65.721180821927277</v>
      </c>
      <c r="AQ722" s="316">
        <f t="shared" si="291"/>
        <v>44.659860723887789</v>
      </c>
      <c r="AR722" s="316">
        <f t="shared" si="292"/>
        <v>130.07386936335058</v>
      </c>
      <c r="AS722" s="316">
        <f t="shared" si="293"/>
        <v>32.932863807590294</v>
      </c>
      <c r="AT722" s="316">
        <f t="shared" si="294"/>
        <v>4.6685977760935913</v>
      </c>
      <c r="AU722" s="316">
        <f t="shared" si="295"/>
        <v>107.58971771511543</v>
      </c>
      <c r="AV722" s="316">
        <f t="shared" si="296"/>
        <v>73.219884597796067</v>
      </c>
      <c r="AW722" s="317">
        <f t="shared" si="251"/>
        <v>509.99999999999989</v>
      </c>
      <c r="AX722" s="309"/>
      <c r="AY722" s="308">
        <f>VLOOKUP($B722,'Infant adult mortality'!$A$134:$I$234,3)</f>
        <v>1.1962479806138931E-3</v>
      </c>
      <c r="AZ722" s="309">
        <f t="shared" si="252"/>
        <v>0.27</v>
      </c>
      <c r="BA722" s="309">
        <f ca="1">VLOOKUP($B722,'Infant pick up smoking rates'!$A$19:$I$104,7)</f>
        <v>0</v>
      </c>
      <c r="BB722" s="309">
        <f t="shared" si="253"/>
        <v>2.9997482733793764E-2</v>
      </c>
      <c r="BC722" s="309">
        <f t="shared" ca="1" si="254"/>
        <v>0.69880626928559231</v>
      </c>
      <c r="BD722" s="309">
        <f>VLOOKUP($B722,'Infant adult mortality'!$A$134:$I$234,3)</f>
        <v>1.1962479806138931E-3</v>
      </c>
      <c r="BE722" s="309">
        <f t="shared" si="255"/>
        <v>0.14000000000000001</v>
      </c>
      <c r="BF722" s="309">
        <f>VLOOKUP($B722,'Infant pick up smoking rates'!$A$19:$I$104,6)</f>
        <v>0</v>
      </c>
      <c r="BG722" s="309">
        <f t="shared" si="256"/>
        <v>2.9997482733793764E-2</v>
      </c>
      <c r="BH722" s="309">
        <f t="shared" si="257"/>
        <v>0.82880626928559231</v>
      </c>
      <c r="BI722" s="309">
        <f>VLOOKUP($B722,'Infant adult mortality'!$A$134:$I$234,3)</f>
        <v>1.1962479806138931E-3</v>
      </c>
      <c r="BJ722" s="309">
        <f t="shared" si="258"/>
        <v>0.5714285714285714</v>
      </c>
      <c r="BK722" s="309">
        <f>VLOOKUP($B722,'Infant pick up smoking rates'!$A$19:$I$104,6)</f>
        <v>0</v>
      </c>
      <c r="BL722" s="309">
        <f t="shared" si="259"/>
        <v>2.1875522786059039E-2</v>
      </c>
      <c r="BM722" s="309">
        <f t="shared" si="260"/>
        <v>0.40549965780475561</v>
      </c>
      <c r="BN722" s="309">
        <f>VLOOKUP($B722,'Infant adult mortality'!$A$134:$I$234,3)</f>
        <v>1.1962479806138931E-3</v>
      </c>
      <c r="BO722" s="309">
        <f t="shared" si="261"/>
        <v>8.6261668788331098E-3</v>
      </c>
      <c r="BP722" s="309">
        <f>VLOOKUP($B722,'Infant pick up smoking rates'!$A$19:$I$104,6)</f>
        <v>0</v>
      </c>
      <c r="BQ722" s="309">
        <f t="shared" si="262"/>
        <v>2.1875522786059039E-2</v>
      </c>
      <c r="BR722" s="309">
        <f t="shared" si="263"/>
        <v>0.9683020623544939</v>
      </c>
      <c r="BS722" s="309">
        <f>VLOOKUP($B722,'Infant adult mortality'!$A$134:$I$234,3)</f>
        <v>1.1962479806138931E-3</v>
      </c>
      <c r="BT722" s="309">
        <f>VLOOKUP($B722,'Infant pick up smoking rates'!$A$19:$I$104,6)</f>
        <v>0</v>
      </c>
      <c r="BU722" s="309">
        <f t="shared" si="264"/>
        <v>0.99880375201938609</v>
      </c>
      <c r="BV722" s="309">
        <f>VLOOKUP($B722,'Infant adult mortality'!$A$134:$I$234,5)</f>
        <v>2.5561930533117925E-3</v>
      </c>
      <c r="BW722" s="309">
        <f t="shared" si="322"/>
        <v>0.27</v>
      </c>
      <c r="BX722" s="309">
        <f t="shared" si="266"/>
        <v>0.7274438069466882</v>
      </c>
      <c r="BY722" s="309">
        <f>VLOOKUP($B722,'Infant adult mortality'!$A$134:$I$234,5)</f>
        <v>2.5561930533117925E-3</v>
      </c>
      <c r="BZ722" s="309">
        <f t="shared" si="267"/>
        <v>0.14000000000000001</v>
      </c>
      <c r="CA722" s="309">
        <f t="shared" si="268"/>
        <v>0.8574438069466882</v>
      </c>
      <c r="CB722" s="309">
        <f>VLOOKUP($B722,'Infant adult mortality'!$A$134:$I$234,4)</f>
        <v>1.6873392568659124E-3</v>
      </c>
      <c r="CC722" s="309">
        <f t="shared" si="269"/>
        <v>0.5714285714285714</v>
      </c>
      <c r="CD722" s="309">
        <f t="shared" si="270"/>
        <v>0.42688408931456268</v>
      </c>
      <c r="CE722" s="309">
        <f>VLOOKUP($B722,'Infant adult mortality'!$A$134:$I$234,4)</f>
        <v>1.6873392568659124E-3</v>
      </c>
      <c r="CF722" s="309">
        <f t="shared" si="271"/>
        <v>8.6261668788331098E-3</v>
      </c>
      <c r="CG722" s="309">
        <f t="shared" si="272"/>
        <v>0.98968649386430096</v>
      </c>
      <c r="CH722" s="309"/>
      <c r="CI722" s="315">
        <f t="shared" ca="1" si="297"/>
        <v>51.912116630642721</v>
      </c>
      <c r="CJ722" s="316">
        <f t="shared" ca="1" si="298"/>
        <v>14.578596574573407</v>
      </c>
      <c r="CK722" s="316">
        <f t="shared" ca="1" si="299"/>
        <v>2.1163958498585287</v>
      </c>
      <c r="CL722" s="316">
        <f t="shared" ca="1" si="300"/>
        <v>86.9553614422328</v>
      </c>
      <c r="CM722" s="316">
        <f t="shared" ca="1" si="301"/>
        <v>59.715707803470742</v>
      </c>
      <c r="CN722" s="316">
        <f t="shared" ca="1" si="302"/>
        <v>96.54831251685593</v>
      </c>
      <c r="CO722" s="316">
        <f t="shared" ca="1" si="303"/>
        <v>26.43531330130082</v>
      </c>
      <c r="CP722" s="316">
        <f t="shared" ca="1" si="304"/>
        <v>3.7529726744170535</v>
      </c>
      <c r="CQ722" s="316">
        <f t="shared" ca="1" si="305"/>
        <v>84.244854420784492</v>
      </c>
      <c r="CR722" s="316">
        <f t="shared" ca="1" si="306"/>
        <v>63.740368785864071</v>
      </c>
      <c r="CS722" s="317">
        <f t="shared" ca="1" si="273"/>
        <v>490.00000000000051</v>
      </c>
      <c r="CT722" s="309"/>
      <c r="CU722" s="309">
        <f t="shared" ca="1" si="274"/>
        <v>1000.0000000000005</v>
      </c>
      <c r="CV722" s="309" t="str">
        <f t="shared" ca="1" si="317"/>
        <v>OKAY</v>
      </c>
      <c r="CW722" s="309"/>
      <c r="CX722" s="315">
        <f>(SUM($AR722:$AS722))-((SUM($AR722:$AS722)*VLOOKUP($B722,Lifetime_morbidity_array!$A$30:$Y$48,4))+(SUM($AR722:$AS722)*VLOOKUP($B722,Lifetime_morbidity_array!$A$30:$Y$48,7))+(SUM($AR722:$AS722)*VLOOKUP($B722,Lifetime_morbidity_array!$A$30:$Y$48,10))+(SUM($AR722:$AS722)*VLOOKUP($B722,Lifetime_morbidity_array!$A$30:$Y$48,13)))</f>
        <v>108.56193547230393</v>
      </c>
      <c r="CY722" s="316">
        <f>(SUM($AT722:$AU722))-((SUM($AT722:$AU722)*(VLOOKUP($B722,Lifetime_morbidity_array!$A$30:$Y$48,3)))+(SUM($AT722:$AU722)*(VLOOKUP($B722,Lifetime_morbidity_array!$A$30:$Y$48,6)))+(SUM($AT722:$AU722)*(VLOOKUP($B722,Lifetime_morbidity_array!$A$30:$Y$48,9)))+(SUM($AT722:$AU722)*(VLOOKUP($B722,Lifetime_morbidity_array!$A$30:$Y$48,12))))</f>
        <v>94.674059578020632</v>
      </c>
      <c r="CZ722" s="316">
        <f>(SUM($AM722:$AQ722))-((SUM($AM722:$AQ722)*VLOOKUP($B722,Lifetime_morbidity_array!$A$30:$Y$48,2))+(SUM($AM722:$AQ722)*VLOOKUP($B722,Lifetime_morbidity_array!$A$30:$Y$48,5))+(SUM($AM722:$AQ722)*VLOOKUP($B722,Lifetime_morbidity_array!$A$30:$Y$48,8))+(SUM($AM722:$AQ722)*VLOOKUP($B722,Lifetime_morbidity_array!$A$30:$Y$48,11)))</f>
        <v>146.10471329916371</v>
      </c>
      <c r="DA722" s="316">
        <f>(SUM($AM722:$AQ722)*VLOOKUP($B722,Lifetime_morbidity_array!$A$30:$Y$48,2))+(SUM($AR722:$AS722)*VLOOKUP($B722,Lifetime_morbidity_array!$A$30:$Y$48,4))+(SUM($AT722:$AU722)*(VLOOKUP($B722,Lifetime_morbidity_array!$A$30:$Y$48,3)))</f>
        <v>57.074321836556706</v>
      </c>
      <c r="DB722" s="316">
        <f>(SUM($AM722:$AQ722)*VLOOKUP($B722,Lifetime_morbidity_array!$A$30:$Y$48,5))+(SUM($AR722:$AS722)*VLOOKUP($B722,Lifetime_morbidity_array!$A$30:$Y$48,7))+(SUM($AT722:$AU722)*(VLOOKUP($B722,Lifetime_morbidity_array!$A$30:$Y$48,6)))</f>
        <v>13.739729310232663</v>
      </c>
      <c r="DC722" s="316">
        <f>(SUM($AM722:$AQ722)*VLOOKUP($B722,Lifetime_morbidity_array!$A$30:$Y$48,8))+(SUM($AR722:$AS722)*VLOOKUP($B722,Lifetime_morbidity_array!$A$30:$Y$48,10))+(SUM($AT722:$AU722)*(VLOOKUP($B722,Lifetime_morbidity_array!$A$30:$Y$48,9)))</f>
        <v>1.0602119648162154</v>
      </c>
      <c r="DD722" s="317">
        <f>(SUM($AM722:$AQ722)*VLOOKUP($B722,Lifetime_morbidity_array!$A$30:$Y$48,11))+(SUM($AR722:$AS722)*VLOOKUP($B722,Lifetime_morbidity_array!$A$30:$Y$48,13))+(SUM($AT722:$AU722)*(VLOOKUP($B722,Lifetime_morbidity_array!$A$30:$Y$48,12)))</f>
        <v>15.565143941109998</v>
      </c>
      <c r="DE722" s="309"/>
      <c r="DF722" s="315">
        <f ca="1">(SUM($CN722:$CO722))-((SUM($CN722:$CO722)*VLOOKUP($B722,Lifetime_morbidity_array!$A$6:$Y$24,4))+(SUM($CN722:$CO722)*VLOOKUP($B722,Lifetime_morbidity_array!$A$6:$Y$24,7))+(SUM($CN722:$CO722)*VLOOKUP($B722,Lifetime_morbidity_array!$A$6:$Y$24,10))+(SUM($CN722:$CO722)*VLOOKUP($B722,Lifetime_morbidity_array!$A$6:$Y$24,13)))</f>
        <v>101.56311916098377</v>
      </c>
      <c r="DG722" s="316">
        <f ca="1">(SUM($CP722:$CQ722))-(((SUM($CP722:$CQ722)*VLOOKUP($B722,Lifetime_morbidity_array!$A$6:$Y$24,3))+(SUM($CP722:$CQ722)*VLOOKUP($B722,Lifetime_morbidity_array!$A$6:$Y$24,6))+(SUM($CP722:$CQ722)*VLOOKUP($B722,Lifetime_morbidity_array!$A$6:$Y$24,9))+(SUM($CP722:$CQ722)*VLOOKUP($B722,Lifetime_morbidity_array!$A$6:$Y$24,12))))</f>
        <v>80.898963980323572</v>
      </c>
      <c r="DH722" s="316">
        <f ca="1">(SUM($CI722:$CM722))-((SUM($CI722:$CM722)*VLOOKUP($B722,Lifetime_morbidity_array!$A$6:$Y$24,2))+(SUM($CI722:$CM722)*VLOOKUP($B722,Lifetime_morbidity_array!$A$6:$Y$24,5))+(SUM($CI722:$CM722)*VLOOKUP($B722,Lifetime_morbidity_array!$A$6:$Y$24,8))+(SUM($CI722:$CM722)*VLOOKUP($B722,Lifetime_morbidity_array!$A$6:$Y$24,11)))</f>
        <v>204.6096789742513</v>
      </c>
      <c r="DI722" s="316">
        <f ca="1">(SUM($CI722:$CM722)*VLOOKUP($B722,Lifetime_morbidity_array!$A$6:$Y$24,2))+(SUM($CN722:$CO722)*VLOOKUP($B722,Lifetime_morbidity_array!$A$6:$Y$24,4))+(SUM($CP722:$CQ722)*VLOOKUP($B722,Lifetime_morbidity_array!$A$6:$Y$24,3))</f>
        <v>17.389942806518388</v>
      </c>
      <c r="DJ722" s="316">
        <f ca="1">(SUM($CI722:$CM722)*VLOOKUP($B722,Lifetime_morbidity_array!$A$6:$Y$24,5))+(SUM($CN722:$CO722)*VLOOKUP($B722,Lifetime_morbidity_array!$A$6:$Y$24,7))+(SUM($CP722:$CQ722)*VLOOKUP($B722,Lifetime_morbidity_array!$A$6:$Y$24,6))</f>
        <v>10.738274757396766</v>
      </c>
      <c r="DK722" s="316">
        <f ca="1">(SUM($CI722:$CM722)*VLOOKUP($B722,Lifetime_morbidity_array!$A$6:$Y$24,8))+(SUM($CN722:$CO722)*VLOOKUP($B722,Lifetime_morbidity_array!$A$6:$Y$24,10))+(SUM($CP722:$CQ722)*VLOOKUP($B722,Lifetime_morbidity_array!$A$6:$Y$24,9))</f>
        <v>0.40729354352190361</v>
      </c>
      <c r="DL722" s="317">
        <f ca="1">(SUM($CI722:$CM722)*VLOOKUP($B722,Lifetime_morbidity_array!$A$6:$Y$24,11))+(SUM($CN722:$CO722)*VLOOKUP($B722,Lifetime_morbidity_array!$A$6:$Y$24,13))+(SUM($CP722:$CQ722)*VLOOKUP($B722,Lifetime_morbidity_array!$A$6:$Y$24,12))</f>
        <v>10.652357991140796</v>
      </c>
      <c r="DM722" s="309"/>
      <c r="DN722" s="308">
        <f t="shared" si="275"/>
        <v>56</v>
      </c>
      <c r="DO722" s="309">
        <f t="shared" ca="1" si="323"/>
        <v>125.71040016820531</v>
      </c>
      <c r="DP722" s="310">
        <f t="shared" ca="1" si="307"/>
        <v>21635.250355006661</v>
      </c>
      <c r="DQ722" s="309"/>
      <c r="DR722" s="308">
        <f t="shared" si="277"/>
        <v>56</v>
      </c>
      <c r="DS722" s="309">
        <f ca="1">((VLOOKUP($B722,'Mahawesran Tariff'!$A$21:$M$120,4)*'Comparator (DET)'!$CX722)+(VLOOKUP($B722,'Mahawesran Tariff'!$A$21:$M$120,3)*'Comparator (DET)'!$CY722)+(VLOOKUP($B722,'Mahawesran Tariff'!$A$21:$M$120,2)*'Comparator (DET)'!$CZ722)+(VLOOKUP($B722,'Mahawesran Tariff'!$A$21:$M$120,7)*'Comparator (DET)'!$DF722)+(VLOOKUP($B722,'Mahawesran Tariff'!$A$21:$M$120,6)*'Comparator (DET)'!$DG722)+(VLOOKUP($B722,'Mahawesran Tariff'!$A$21:$M$120,5)*'Comparator (DET)'!$DH722)+(DET_UTIL_chd*('Comparator (DET)'!$DA722+'Comparator (DET)'!$DI722))+(DET_UTIL_copd*('Comparator (DET)'!$DB722+'Comparator (DET)'!$DJ722))+(DET_UTIL_lc*('Comparator (DET)'!$DC722+'Comparator (DET)'!$DK722))+(DET_UTIL_stroke*('Comparator (DET)'!$DD722+'Comparator (DET)'!$DL722)))/((1+Discount_rate_QALYs)^$A722)</f>
        <v>113.4757377207372</v>
      </c>
      <c r="DT722" s="310">
        <f t="shared" ca="1" si="308"/>
        <v>21452.396308606363</v>
      </c>
      <c r="DU722" s="309"/>
      <c r="DV722" s="308">
        <f t="shared" si="278"/>
        <v>56</v>
      </c>
      <c r="DW722" s="318">
        <f t="shared" ca="1" si="324"/>
        <v>107956.92969976325</v>
      </c>
      <c r="DX722" s="319">
        <f t="shared" ca="1" si="309"/>
        <v>6681277.2521490352</v>
      </c>
      <c r="DZ722" s="95">
        <f t="shared" si="280"/>
        <v>56</v>
      </c>
      <c r="EA722" s="268">
        <f t="shared" ca="1" si="318"/>
        <v>0.86303974661634031</v>
      </c>
      <c r="EB722" s="268">
        <f t="shared" ca="1" si="319"/>
        <v>0.13696025338366014</v>
      </c>
      <c r="EC722" s="268">
        <f t="shared" ca="1" si="320"/>
        <v>0.12662727615129343</v>
      </c>
      <c r="ED722" s="290">
        <f t="shared" ca="1" si="321"/>
        <v>0.48624650157550814</v>
      </c>
      <c r="EF722" s="95">
        <f t="shared" si="281"/>
        <v>56</v>
      </c>
      <c r="EG722" s="339">
        <f t="shared" ca="1" si="325"/>
        <v>107956.92969976325</v>
      </c>
      <c r="EH722" s="341">
        <f t="shared" ca="1" si="310"/>
        <v>9781409.1880051214</v>
      </c>
      <c r="EJ722" s="308">
        <f t="shared" si="283"/>
        <v>56</v>
      </c>
      <c r="EK722" s="318">
        <f t="shared" ca="1" si="284"/>
        <v>107956.92969976325</v>
      </c>
      <c r="EL722" s="319">
        <f t="shared" ca="1" si="311"/>
        <v>6681277.2521490352</v>
      </c>
      <c r="EN722" s="95">
        <f t="shared" si="285"/>
        <v>56</v>
      </c>
      <c r="EO722" s="339">
        <f t="shared" ca="1" si="286"/>
        <v>107956.92969976325</v>
      </c>
      <c r="EP722" s="341">
        <f t="shared" ca="1" si="312"/>
        <v>9781409.1880051214</v>
      </c>
    </row>
    <row r="723" spans="1:146" s="266" customFormat="1" x14ac:dyDescent="0.25">
      <c r="A723" s="313">
        <v>57</v>
      </c>
      <c r="B723" s="314">
        <v>57</v>
      </c>
      <c r="C723" s="308">
        <f>VLOOKUP($B723,'Infant adult mortality'!$A$27:$I$128,3)</f>
        <v>1.7981704361873991E-3</v>
      </c>
      <c r="D723" s="309">
        <f t="shared" si="230"/>
        <v>0.27</v>
      </c>
      <c r="E723" s="309">
        <f>VLOOKUP($B723,'Infant pick up smoking rates'!$A$19:$I$104,3)</f>
        <v>1.5201831243956284E-3</v>
      </c>
      <c r="F723" s="309">
        <f t="shared" si="231"/>
        <v>3.3260641049572007E-2</v>
      </c>
      <c r="G723" s="309">
        <f t="shared" si="232"/>
        <v>0.69342100538984497</v>
      </c>
      <c r="H723" s="309">
        <f>VLOOKUP($B723,'Infant adult mortality'!$A$27:$I$128,3)</f>
        <v>1.7981704361873991E-3</v>
      </c>
      <c r="I723" s="309">
        <f t="shared" si="233"/>
        <v>0.14000000000000001</v>
      </c>
      <c r="J723" s="309">
        <f>VLOOKUP($B723,'Infant pick up smoking rates'!$A$19:$I$104,2)</f>
        <v>1.5201831243956284E-3</v>
      </c>
      <c r="K723" s="309">
        <f t="shared" si="234"/>
        <v>3.3260641049572007E-2</v>
      </c>
      <c r="L723" s="309">
        <f t="shared" si="235"/>
        <v>0.82342100538984497</v>
      </c>
      <c r="M723" s="309">
        <f>VLOOKUP($B723,'Infant adult mortality'!$A$27:$I$128,3)</f>
        <v>1.7981704361873991E-3</v>
      </c>
      <c r="N723" s="309">
        <f t="shared" si="236"/>
        <v>0.5714285714285714</v>
      </c>
      <c r="O723" s="309">
        <f>VLOOKUP($B723,'Infant pick up smoking rates'!$A$19:$I$104,2)</f>
        <v>1.5201831243956284E-3</v>
      </c>
      <c r="P723" s="309">
        <f t="shared" si="237"/>
        <v>2.4255165595584115E-2</v>
      </c>
      <c r="Q723" s="309">
        <f t="shared" si="238"/>
        <v>0.40099790941526142</v>
      </c>
      <c r="R723" s="309">
        <f>VLOOKUP($B723,'Infant adult mortality'!$A$27:$I$128,3)</f>
        <v>1.7981704361873991E-3</v>
      </c>
      <c r="S723" s="309">
        <f t="shared" si="239"/>
        <v>8.6261668788331098E-3</v>
      </c>
      <c r="T723" s="309">
        <f>VLOOKUP($B723,'Infant pick up smoking rates'!$A$19:$I$104,2)</f>
        <v>1.5201831243956284E-3</v>
      </c>
      <c r="U723" s="309">
        <f t="shared" si="240"/>
        <v>2.4255165595584115E-2</v>
      </c>
      <c r="V723" s="309">
        <f t="shared" si="241"/>
        <v>0.96380031396499977</v>
      </c>
      <c r="W723" s="309">
        <f>VLOOKUP($B723,'Infant adult mortality'!$A$27:$I$128,3)</f>
        <v>1.7981704361873991E-3</v>
      </c>
      <c r="X723" s="309">
        <f>VLOOKUP($B723,'Infant pick up smoking rates'!$A$19:$I$104,2)</f>
        <v>1.5201831243956284E-3</v>
      </c>
      <c r="Y723" s="309">
        <f t="shared" si="242"/>
        <v>0.99668164643941703</v>
      </c>
      <c r="Z723" s="309">
        <f>VLOOKUP($B723,'Infant adult mortality'!$A$27:$I$128,5)</f>
        <v>3.8424063004846528E-3</v>
      </c>
      <c r="AA723" s="309">
        <f t="shared" si="313"/>
        <v>0.25</v>
      </c>
      <c r="AB723" s="309">
        <f t="shared" si="244"/>
        <v>0.7461575936995154</v>
      </c>
      <c r="AC723" s="309">
        <f>VLOOKUP($B723,'Infant adult mortality'!$A$27:$I$128,5)</f>
        <v>3.8424063004846528E-3</v>
      </c>
      <c r="AD723" s="309">
        <f t="shared" si="314"/>
        <v>0.14000000000000001</v>
      </c>
      <c r="AE723" s="309">
        <f t="shared" si="246"/>
        <v>0.85615759369951538</v>
      </c>
      <c r="AF723" s="309">
        <f>VLOOKUP($B723,'Infant adult mortality'!$A$27:$I$128,4)</f>
        <v>2.5363667205169629E-3</v>
      </c>
      <c r="AG723" s="309">
        <f t="shared" si="315"/>
        <v>0.5714285714285714</v>
      </c>
      <c r="AH723" s="309">
        <f t="shared" si="248"/>
        <v>0.42603506185091167</v>
      </c>
      <c r="AI723" s="309">
        <f>VLOOKUP($B723,'Infant adult mortality'!$A$27:$I$128,4)</f>
        <v>2.5363667205169629E-3</v>
      </c>
      <c r="AJ723" s="309">
        <f t="shared" si="316"/>
        <v>8.6261668788331098E-3</v>
      </c>
      <c r="AK723" s="309">
        <f t="shared" si="250"/>
        <v>0.98883746640064996</v>
      </c>
      <c r="AL723" s="309"/>
      <c r="AM723" s="315">
        <f t="shared" si="287"/>
        <v>36.976087137681475</v>
      </c>
      <c r="AN723" s="316">
        <f t="shared" si="288"/>
        <v>10.440955187121821</v>
      </c>
      <c r="AO723" s="316">
        <f t="shared" si="289"/>
        <v>1.5233669984366203</v>
      </c>
      <c r="AP723" s="316">
        <f t="shared" si="290"/>
        <v>64.246453539761475</v>
      </c>
      <c r="AQ723" s="316">
        <f t="shared" si="291"/>
        <v>47.79223978024789</v>
      </c>
      <c r="AR723" s="316">
        <f t="shared" si="292"/>
        <v>128.4139324790292</v>
      </c>
      <c r="AS723" s="316">
        <f t="shared" si="293"/>
        <v>32.518467340837645</v>
      </c>
      <c r="AT723" s="316">
        <f t="shared" si="294"/>
        <v>4.6106009330626421</v>
      </c>
      <c r="AU723" s="316">
        <f t="shared" si="295"/>
        <v>109.05651403394363</v>
      </c>
      <c r="AV723" s="316">
        <f t="shared" si="296"/>
        <v>74.421382569877522</v>
      </c>
      <c r="AW723" s="317">
        <f t="shared" si="251"/>
        <v>509.99999999999989</v>
      </c>
      <c r="AX723" s="309"/>
      <c r="AY723" s="308">
        <f>VLOOKUP($B723,'Infant adult mortality'!$A$134:$I$234,3)</f>
        <v>1.2947778675282714E-3</v>
      </c>
      <c r="AZ723" s="309">
        <f t="shared" si="252"/>
        <v>0.27</v>
      </c>
      <c r="BA723" s="309">
        <f ca="1">VLOOKUP($B723,'Infant pick up smoking rates'!$A$19:$I$104,7)</f>
        <v>0</v>
      </c>
      <c r="BB723" s="309">
        <f t="shared" si="253"/>
        <v>3.3260641049572007E-2</v>
      </c>
      <c r="BC723" s="309">
        <f t="shared" ca="1" si="254"/>
        <v>0.69544458108289964</v>
      </c>
      <c r="BD723" s="309">
        <f>VLOOKUP($B723,'Infant adult mortality'!$A$134:$I$234,3)</f>
        <v>1.2947778675282714E-3</v>
      </c>
      <c r="BE723" s="309">
        <f t="shared" si="255"/>
        <v>0.14000000000000001</v>
      </c>
      <c r="BF723" s="309">
        <f>VLOOKUP($B723,'Infant pick up smoking rates'!$A$19:$I$104,6)</f>
        <v>0</v>
      </c>
      <c r="BG723" s="309">
        <f t="shared" si="256"/>
        <v>3.3260641049572007E-2</v>
      </c>
      <c r="BH723" s="309">
        <f t="shared" si="257"/>
        <v>0.82544458108289964</v>
      </c>
      <c r="BI723" s="309">
        <f>VLOOKUP($B723,'Infant adult mortality'!$A$134:$I$234,3)</f>
        <v>1.2947778675282714E-3</v>
      </c>
      <c r="BJ723" s="309">
        <f t="shared" si="258"/>
        <v>0.5714285714285714</v>
      </c>
      <c r="BK723" s="309">
        <f>VLOOKUP($B723,'Infant pick up smoking rates'!$A$19:$I$104,6)</f>
        <v>0</v>
      </c>
      <c r="BL723" s="309">
        <f t="shared" si="259"/>
        <v>2.4255165595584115E-2</v>
      </c>
      <c r="BM723" s="309">
        <f t="shared" si="260"/>
        <v>0.40302148510831615</v>
      </c>
      <c r="BN723" s="309">
        <f>VLOOKUP($B723,'Infant adult mortality'!$A$134:$I$234,3)</f>
        <v>1.2947778675282714E-3</v>
      </c>
      <c r="BO723" s="309">
        <f t="shared" si="261"/>
        <v>8.6261668788331098E-3</v>
      </c>
      <c r="BP723" s="309">
        <f>VLOOKUP($B723,'Infant pick up smoking rates'!$A$19:$I$104,6)</f>
        <v>0</v>
      </c>
      <c r="BQ723" s="309">
        <f t="shared" si="262"/>
        <v>2.4255165595584115E-2</v>
      </c>
      <c r="BR723" s="309">
        <f t="shared" si="263"/>
        <v>0.96582388965805444</v>
      </c>
      <c r="BS723" s="309">
        <f>VLOOKUP($B723,'Infant adult mortality'!$A$134:$I$234,3)</f>
        <v>1.2947778675282714E-3</v>
      </c>
      <c r="BT723" s="309">
        <f>VLOOKUP($B723,'Infant pick up smoking rates'!$A$19:$I$104,6)</f>
        <v>0</v>
      </c>
      <c r="BU723" s="309">
        <f t="shared" si="264"/>
        <v>0.9987052221324717</v>
      </c>
      <c r="BV723" s="309">
        <f>VLOOKUP($B723,'Infant adult mortality'!$A$134:$I$234,5)</f>
        <v>2.7667358642972538E-3</v>
      </c>
      <c r="BW723" s="309">
        <f t="shared" si="322"/>
        <v>0.27</v>
      </c>
      <c r="BX723" s="309">
        <f t="shared" si="266"/>
        <v>0.72723326413570277</v>
      </c>
      <c r="BY723" s="309">
        <f>VLOOKUP($B723,'Infant adult mortality'!$A$134:$I$234,5)</f>
        <v>2.7667358642972538E-3</v>
      </c>
      <c r="BZ723" s="309">
        <f t="shared" si="267"/>
        <v>0.14000000000000001</v>
      </c>
      <c r="CA723" s="309">
        <f t="shared" si="268"/>
        <v>0.85723326413570278</v>
      </c>
      <c r="CB723" s="309">
        <f>VLOOKUP($B723,'Infant adult mortality'!$A$134:$I$234,4)</f>
        <v>1.8263182552504039E-3</v>
      </c>
      <c r="CC723" s="309">
        <f t="shared" si="269"/>
        <v>0.5714285714285714</v>
      </c>
      <c r="CD723" s="309">
        <f t="shared" si="270"/>
        <v>0.42674511031617818</v>
      </c>
      <c r="CE723" s="309">
        <f>VLOOKUP($B723,'Infant adult mortality'!$A$134:$I$234,4)</f>
        <v>1.8263182552504039E-3</v>
      </c>
      <c r="CF723" s="309">
        <f t="shared" si="271"/>
        <v>8.6261668788331098E-3</v>
      </c>
      <c r="CG723" s="309">
        <f t="shared" si="272"/>
        <v>0.98954751486591652</v>
      </c>
      <c r="CH723" s="309"/>
      <c r="CI723" s="315">
        <f t="shared" ca="1" si="297"/>
        <v>49.738868202896306</v>
      </c>
      <c r="CJ723" s="316">
        <f t="shared" ca="1" si="298"/>
        <v>14.016271490273535</v>
      </c>
      <c r="CK723" s="316">
        <f t="shared" ca="1" si="299"/>
        <v>2.041003520440277</v>
      </c>
      <c r="CL723" s="316">
        <f t="shared" ca="1" si="300"/>
        <v>85.192934471821317</v>
      </c>
      <c r="CM723" s="316">
        <f t="shared" ca="1" si="301"/>
        <v>64.010363194721108</v>
      </c>
      <c r="CN723" s="316">
        <f t="shared" ca="1" si="302"/>
        <v>95.202647279025527</v>
      </c>
      <c r="CO723" s="316">
        <f t="shared" ca="1" si="303"/>
        <v>26.068044379551104</v>
      </c>
      <c r="CP723" s="316">
        <f t="shared" ca="1" si="304"/>
        <v>3.7009438621821151</v>
      </c>
      <c r="CQ723" s="316">
        <f t="shared" ca="1" si="305"/>
        <v>85.508842146280827</v>
      </c>
      <c r="CR723" s="316">
        <f t="shared" ca="1" si="306"/>
        <v>64.520081452808455</v>
      </c>
      <c r="CS723" s="317">
        <f t="shared" ca="1" si="273"/>
        <v>490.00000000000057</v>
      </c>
      <c r="CT723" s="309"/>
      <c r="CU723" s="309">
        <f t="shared" ca="1" si="274"/>
        <v>1000.0000000000005</v>
      </c>
      <c r="CV723" s="309" t="str">
        <f t="shared" ca="1" si="317"/>
        <v>OKAY</v>
      </c>
      <c r="CW723" s="309"/>
      <c r="CX723" s="315">
        <f>(SUM($AR723:$AS723))-((SUM($AR723:$AS723)*VLOOKUP($B723,Lifetime_morbidity_array!$A$30:$Y$48,4))+(SUM($AR723:$AS723)*VLOOKUP($B723,Lifetime_morbidity_array!$A$30:$Y$48,7))+(SUM($AR723:$AS723)*VLOOKUP($B723,Lifetime_morbidity_array!$A$30:$Y$48,10))+(SUM($AR723:$AS723)*VLOOKUP($B723,Lifetime_morbidity_array!$A$30:$Y$48,13)))</f>
        <v>107.18043644446196</v>
      </c>
      <c r="CY723" s="316">
        <f>(SUM($AT723:$AU723))-((SUM($AT723:$AU723)*(VLOOKUP($B723,Lifetime_morbidity_array!$A$30:$Y$48,3)))+(SUM($AT723:$AU723)*(VLOOKUP($B723,Lifetime_morbidity_array!$A$30:$Y$48,6)))+(SUM($AT723:$AU723)*(VLOOKUP($B723,Lifetime_morbidity_array!$A$30:$Y$48,9)))+(SUM($AT723:$AU723)*(VLOOKUP($B723,Lifetime_morbidity_array!$A$30:$Y$48,12))))</f>
        <v>95.862183281120025</v>
      </c>
      <c r="CZ723" s="316">
        <f>(SUM($AM723:$AQ723))-((SUM($AM723:$AQ723)*VLOOKUP($B723,Lifetime_morbidity_array!$A$30:$Y$48,2))+(SUM($AM723:$AQ723)*VLOOKUP($B723,Lifetime_morbidity_array!$A$30:$Y$48,5))+(SUM($AM723:$AQ723)*VLOOKUP($B723,Lifetime_morbidity_array!$A$30:$Y$48,8))+(SUM($AM723:$AQ723)*VLOOKUP($B723,Lifetime_morbidity_array!$A$30:$Y$48,11)))</f>
        <v>145.61988620356948</v>
      </c>
      <c r="DA723" s="316">
        <f>(SUM($AM723:$AQ723)*VLOOKUP($B723,Lifetime_morbidity_array!$A$30:$Y$48,2))+(SUM($AR723:$AS723)*VLOOKUP($B723,Lifetime_morbidity_array!$A$30:$Y$48,4))+(SUM($AT723:$AU723)*(VLOOKUP($B723,Lifetime_morbidity_array!$A$30:$Y$48,3)))</f>
        <v>56.754187934677084</v>
      </c>
      <c r="DB723" s="316">
        <f>(SUM($AM723:$AQ723)*VLOOKUP($B723,Lifetime_morbidity_array!$A$30:$Y$48,5))+(SUM($AR723:$AS723)*VLOOKUP($B723,Lifetime_morbidity_array!$A$30:$Y$48,7))+(SUM($AT723:$AU723)*(VLOOKUP($B723,Lifetime_morbidity_array!$A$30:$Y$48,6)))</f>
        <v>13.622018086875036</v>
      </c>
      <c r="DC723" s="316">
        <f>(SUM($AM723:$AQ723)*VLOOKUP($B723,Lifetime_morbidity_array!$A$30:$Y$48,8))+(SUM($AR723:$AS723)*VLOOKUP($B723,Lifetime_morbidity_array!$A$30:$Y$48,10))+(SUM($AT723:$AU723)*(VLOOKUP($B723,Lifetime_morbidity_array!$A$30:$Y$48,9)))</f>
        <v>1.0507870308730751</v>
      </c>
      <c r="DD723" s="317">
        <f>(SUM($AM723:$AQ723)*VLOOKUP($B723,Lifetime_morbidity_array!$A$30:$Y$48,11))+(SUM($AR723:$AS723)*VLOOKUP($B723,Lifetime_morbidity_array!$A$30:$Y$48,13))+(SUM($AT723:$AU723)*(VLOOKUP($B723,Lifetime_morbidity_array!$A$30:$Y$48,12)))</f>
        <v>15.489118448545756</v>
      </c>
      <c r="DE723" s="309"/>
      <c r="DF723" s="315">
        <f ca="1">(SUM($CN723:$CO723))-((SUM($CN723:$CO723)*VLOOKUP($B723,Lifetime_morbidity_array!$A$6:$Y$24,4))+(SUM($CN723:$CO723)*VLOOKUP($B723,Lifetime_morbidity_array!$A$6:$Y$24,7))+(SUM($CN723:$CO723)*VLOOKUP($B723,Lifetime_morbidity_array!$A$6:$Y$24,10))+(SUM($CN723:$CO723)*VLOOKUP($B723,Lifetime_morbidity_array!$A$6:$Y$24,13)))</f>
        <v>100.14853299142662</v>
      </c>
      <c r="DG723" s="316">
        <f ca="1">(SUM($CP723:$CQ723))-(((SUM($CP723:$CQ723)*VLOOKUP($B723,Lifetime_morbidity_array!$A$6:$Y$24,3))+(SUM($CP723:$CQ723)*VLOOKUP($B723,Lifetime_morbidity_array!$A$6:$Y$24,6))+(SUM($CP723:$CQ723)*VLOOKUP($B723,Lifetime_morbidity_array!$A$6:$Y$24,9))+(SUM($CP723:$CQ723)*VLOOKUP($B723,Lifetime_morbidity_array!$A$6:$Y$24,12))))</f>
        <v>82.013153088237488</v>
      </c>
      <c r="DH723" s="316">
        <f ca="1">(SUM($CI723:$CM723))-((SUM($CI723:$CM723)*VLOOKUP($B723,Lifetime_morbidity_array!$A$6:$Y$24,2))+(SUM($CI723:$CM723)*VLOOKUP($B723,Lifetime_morbidity_array!$A$6:$Y$24,5))+(SUM($CI723:$CM723)*VLOOKUP($B723,Lifetime_morbidity_array!$A$6:$Y$24,8))+(SUM($CI723:$CM723)*VLOOKUP($B723,Lifetime_morbidity_array!$A$6:$Y$24,11)))</f>
        <v>204.34475489043336</v>
      </c>
      <c r="DI723" s="316">
        <f ca="1">(SUM($CI723:$CM723)*VLOOKUP($B723,Lifetime_morbidity_array!$A$6:$Y$24,2))+(SUM($CN723:$CO723)*VLOOKUP($B723,Lifetime_morbidity_array!$A$6:$Y$24,4))+(SUM($CP723:$CQ723)*VLOOKUP($B723,Lifetime_morbidity_array!$A$6:$Y$24,3))</f>
        <v>17.284383744746343</v>
      </c>
      <c r="DJ723" s="316">
        <f ca="1">(SUM($CI723:$CM723)*VLOOKUP($B723,Lifetime_morbidity_array!$A$6:$Y$24,5))+(SUM($CN723:$CO723)*VLOOKUP($B723,Lifetime_morbidity_array!$A$6:$Y$24,7))+(SUM($CP723:$CQ723)*VLOOKUP($B723,Lifetime_morbidity_array!$A$6:$Y$24,6))</f>
        <v>10.67789323482747</v>
      </c>
      <c r="DK723" s="316">
        <f ca="1">(SUM($CI723:$CM723)*VLOOKUP($B723,Lifetime_morbidity_array!$A$6:$Y$24,8))+(SUM($CN723:$CO723)*VLOOKUP($B723,Lifetime_morbidity_array!$A$6:$Y$24,10))+(SUM($CP723:$CQ723)*VLOOKUP($B723,Lifetime_morbidity_array!$A$6:$Y$24,9))</f>
        <v>0.40365425847613201</v>
      </c>
      <c r="DL723" s="317">
        <f ca="1">(SUM($CI723:$CM723)*VLOOKUP($B723,Lifetime_morbidity_array!$A$6:$Y$24,11))+(SUM($CN723:$CO723)*VLOOKUP($B723,Lifetime_morbidity_array!$A$6:$Y$24,13))+(SUM($CP723:$CQ723)*VLOOKUP($B723,Lifetime_morbidity_array!$A$6:$Y$24,12))</f>
        <v>10.607546339044678</v>
      </c>
      <c r="DM723" s="309"/>
      <c r="DN723" s="308">
        <f t="shared" si="275"/>
        <v>57</v>
      </c>
      <c r="DO723" s="309">
        <f t="shared" ca="1" si="323"/>
        <v>121.18049947449684</v>
      </c>
      <c r="DP723" s="310">
        <f t="shared" ca="1" si="307"/>
        <v>21756.430854481157</v>
      </c>
      <c r="DQ723" s="309"/>
      <c r="DR723" s="308">
        <f t="shared" si="277"/>
        <v>57</v>
      </c>
      <c r="DS723" s="309">
        <f ca="1">((VLOOKUP($B723,'Mahawesran Tariff'!$A$21:$M$120,4)*'Comparator (DET)'!$CX723)+(VLOOKUP($B723,'Mahawesran Tariff'!$A$21:$M$120,3)*'Comparator (DET)'!$CY723)+(VLOOKUP($B723,'Mahawesran Tariff'!$A$21:$M$120,2)*'Comparator (DET)'!$CZ723)+(VLOOKUP($B723,'Mahawesran Tariff'!$A$21:$M$120,7)*'Comparator (DET)'!$DF723)+(VLOOKUP($B723,'Mahawesran Tariff'!$A$21:$M$120,6)*'Comparator (DET)'!$DG723)+(VLOOKUP($B723,'Mahawesran Tariff'!$A$21:$M$120,5)*'Comparator (DET)'!$DH723)+(DET_UTIL_chd*('Comparator (DET)'!$DA723+'Comparator (DET)'!$DI723))+(DET_UTIL_copd*('Comparator (DET)'!$DB723+'Comparator (DET)'!$DJ723))+(DET_UTIL_lc*('Comparator (DET)'!$DC723+'Comparator (DET)'!$DK723))+(DET_UTIL_stroke*('Comparator (DET)'!$DD723+'Comparator (DET)'!$DL723)))/((1+Discount_rate_QALYs)^$A723)</f>
        <v>109.40467130749622</v>
      </c>
      <c r="DT723" s="310">
        <f t="shared" ca="1" si="308"/>
        <v>21561.80097991386</v>
      </c>
      <c r="DU723" s="309"/>
      <c r="DV723" s="308">
        <f t="shared" si="278"/>
        <v>57</v>
      </c>
      <c r="DW723" s="318">
        <f t="shared" ca="1" si="324"/>
        <v>103787.89636205784</v>
      </c>
      <c r="DX723" s="319">
        <f t="shared" ca="1" si="309"/>
        <v>6785065.1485110931</v>
      </c>
      <c r="DZ723" s="95">
        <f t="shared" si="280"/>
        <v>57</v>
      </c>
      <c r="EA723" s="268">
        <f t="shared" ca="1" si="318"/>
        <v>0.86105853597731452</v>
      </c>
      <c r="EB723" s="268">
        <f t="shared" ca="1" si="319"/>
        <v>0.13894146402268598</v>
      </c>
      <c r="EC723" s="268">
        <f t="shared" ca="1" si="320"/>
        <v>0.12588958907806558</v>
      </c>
      <c r="ED723" s="290">
        <f t="shared" ca="1" si="321"/>
        <v>0.48507999245391265</v>
      </c>
      <c r="EF723" s="95">
        <f t="shared" si="281"/>
        <v>57</v>
      </c>
      <c r="EG723" s="339">
        <f t="shared" ca="1" si="325"/>
        <v>103787.89636205784</v>
      </c>
      <c r="EH723" s="341">
        <f t="shared" ca="1" si="310"/>
        <v>9885197.0843671784</v>
      </c>
      <c r="EJ723" s="308">
        <f t="shared" si="283"/>
        <v>57</v>
      </c>
      <c r="EK723" s="318">
        <f t="shared" ca="1" si="284"/>
        <v>103787.89636205784</v>
      </c>
      <c r="EL723" s="319">
        <f t="shared" ca="1" si="311"/>
        <v>6785065.1485110931</v>
      </c>
      <c r="EN723" s="95">
        <f t="shared" si="285"/>
        <v>57</v>
      </c>
      <c r="EO723" s="339">
        <f t="shared" ca="1" si="286"/>
        <v>103787.89636205784</v>
      </c>
      <c r="EP723" s="341">
        <f t="shared" ca="1" si="312"/>
        <v>9885197.0843671784</v>
      </c>
    </row>
    <row r="724" spans="1:146" s="266" customFormat="1" x14ac:dyDescent="0.25">
      <c r="A724" s="313">
        <v>58</v>
      </c>
      <c r="B724" s="314">
        <v>58</v>
      </c>
      <c r="C724" s="308">
        <f>VLOOKUP($B724,'Infant adult mortality'!$A$27:$I$128,3)</f>
        <v>1.9610056542810985E-3</v>
      </c>
      <c r="D724" s="309">
        <f t="shared" si="230"/>
        <v>0.27</v>
      </c>
      <c r="E724" s="309">
        <f>VLOOKUP($B724,'Infant pick up smoking rates'!$A$19:$I$104,3)</f>
        <v>1.5201831243956284E-3</v>
      </c>
      <c r="F724" s="309">
        <f t="shared" si="231"/>
        <v>3.2106038034865295E-2</v>
      </c>
      <c r="G724" s="309">
        <f t="shared" si="232"/>
        <v>0.69441277318645789</v>
      </c>
      <c r="H724" s="309">
        <f>VLOOKUP($B724,'Infant adult mortality'!$A$27:$I$128,3)</f>
        <v>1.9610056542810985E-3</v>
      </c>
      <c r="I724" s="309">
        <f t="shared" si="233"/>
        <v>0.14000000000000001</v>
      </c>
      <c r="J724" s="309">
        <f>VLOOKUP($B724,'Infant pick up smoking rates'!$A$19:$I$104,2)</f>
        <v>1.5201831243956284E-3</v>
      </c>
      <c r="K724" s="309">
        <f t="shared" si="234"/>
        <v>3.2106038034865295E-2</v>
      </c>
      <c r="L724" s="309">
        <f t="shared" si="235"/>
        <v>0.82441277318645789</v>
      </c>
      <c r="M724" s="309">
        <f>VLOOKUP($B724,'Infant adult mortality'!$A$27:$I$128,3)</f>
        <v>1.9610056542810985E-3</v>
      </c>
      <c r="N724" s="309">
        <f t="shared" si="236"/>
        <v>0.5714285714285714</v>
      </c>
      <c r="O724" s="309">
        <f>VLOOKUP($B724,'Infant pick up smoking rates'!$A$19:$I$104,2)</f>
        <v>1.5201831243956284E-3</v>
      </c>
      <c r="P724" s="309">
        <f t="shared" si="237"/>
        <v>2.6380681458003173E-2</v>
      </c>
      <c r="Q724" s="309">
        <f t="shared" si="238"/>
        <v>0.39870955833474869</v>
      </c>
      <c r="R724" s="309">
        <f>VLOOKUP($B724,'Infant adult mortality'!$A$27:$I$128,3)</f>
        <v>1.9610056542810985E-3</v>
      </c>
      <c r="S724" s="309">
        <f t="shared" si="239"/>
        <v>8.6261668788331098E-3</v>
      </c>
      <c r="T724" s="309">
        <f>VLOOKUP($B724,'Infant pick up smoking rates'!$A$19:$I$104,2)</f>
        <v>1.5201831243956284E-3</v>
      </c>
      <c r="U724" s="309">
        <f t="shared" si="240"/>
        <v>2.6380681458003173E-2</v>
      </c>
      <c r="V724" s="309">
        <f t="shared" si="241"/>
        <v>0.96151196288448693</v>
      </c>
      <c r="W724" s="309">
        <f>VLOOKUP($B724,'Infant adult mortality'!$A$27:$I$128,3)</f>
        <v>1.9610056542810985E-3</v>
      </c>
      <c r="X724" s="309">
        <f>VLOOKUP($B724,'Infant pick up smoking rates'!$A$19:$I$104,2)</f>
        <v>1.5201831243956284E-3</v>
      </c>
      <c r="Y724" s="309">
        <f t="shared" si="242"/>
        <v>0.99651881122132324</v>
      </c>
      <c r="Z724" s="309">
        <f>VLOOKUP($B724,'Infant adult mortality'!$A$27:$I$128,5)</f>
        <v>4.1903594507269786E-3</v>
      </c>
      <c r="AA724" s="309">
        <f t="shared" si="313"/>
        <v>0.25</v>
      </c>
      <c r="AB724" s="309">
        <f t="shared" si="244"/>
        <v>0.74580964054927301</v>
      </c>
      <c r="AC724" s="309">
        <f>VLOOKUP($B724,'Infant adult mortality'!$A$27:$I$128,5)</f>
        <v>4.1903594507269786E-3</v>
      </c>
      <c r="AD724" s="309">
        <f t="shared" si="314"/>
        <v>0.14000000000000001</v>
      </c>
      <c r="AE724" s="309">
        <f t="shared" si="246"/>
        <v>0.855809640549273</v>
      </c>
      <c r="AF724" s="309">
        <f>VLOOKUP($B724,'Infant adult mortality'!$A$27:$I$128,4)</f>
        <v>2.766050080775444E-3</v>
      </c>
      <c r="AG724" s="309">
        <f t="shared" si="315"/>
        <v>0.5714285714285714</v>
      </c>
      <c r="AH724" s="309">
        <f t="shared" si="248"/>
        <v>0.42580537849065314</v>
      </c>
      <c r="AI724" s="309">
        <f>VLOOKUP($B724,'Infant adult mortality'!$A$27:$I$128,4)</f>
        <v>2.766050080775444E-3</v>
      </c>
      <c r="AJ724" s="309">
        <f t="shared" si="316"/>
        <v>8.6261668788331098E-3</v>
      </c>
      <c r="AK724" s="309">
        <f t="shared" si="250"/>
        <v>0.98860778304039143</v>
      </c>
      <c r="AL724" s="309"/>
      <c r="AM724" s="315">
        <f t="shared" si="287"/>
        <v>35.44590564412772</v>
      </c>
      <c r="AN724" s="316">
        <f t="shared" si="288"/>
        <v>9.9835435271739996</v>
      </c>
      <c r="AO724" s="316">
        <f t="shared" si="289"/>
        <v>1.4617337261970551</v>
      </c>
      <c r="AP724" s="316">
        <f t="shared" si="290"/>
        <v>62.644229079061112</v>
      </c>
      <c r="AQ724" s="316">
        <f t="shared" si="291"/>
        <v>50.883292020966252</v>
      </c>
      <c r="AR724" s="316">
        <f t="shared" si="292"/>
        <v>126.75064274975023</v>
      </c>
      <c r="AS724" s="316">
        <f t="shared" si="293"/>
        <v>32.1034831197573</v>
      </c>
      <c r="AT724" s="316">
        <f t="shared" si="294"/>
        <v>4.552585427717271</v>
      </c>
      <c r="AU724" s="316">
        <f t="shared" si="295"/>
        <v>110.44874766981758</v>
      </c>
      <c r="AV724" s="316">
        <f t="shared" si="296"/>
        <v>75.725837035431383</v>
      </c>
      <c r="AW724" s="317">
        <f t="shared" si="251"/>
        <v>509.99999999999983</v>
      </c>
      <c r="AX724" s="309"/>
      <c r="AY724" s="308">
        <f>VLOOKUP($B724,'Infant adult mortality'!$A$134:$I$234,3)</f>
        <v>1.4000605815831988E-3</v>
      </c>
      <c r="AZ724" s="309">
        <f t="shared" si="252"/>
        <v>0.27</v>
      </c>
      <c r="BA724" s="309">
        <f ca="1">VLOOKUP($B724,'Infant pick up smoking rates'!$A$19:$I$104,7)</f>
        <v>0</v>
      </c>
      <c r="BB724" s="309">
        <f t="shared" si="253"/>
        <v>3.2106038034865295E-2</v>
      </c>
      <c r="BC724" s="309">
        <f t="shared" ca="1" si="254"/>
        <v>0.69649390138355149</v>
      </c>
      <c r="BD724" s="309">
        <f>VLOOKUP($B724,'Infant adult mortality'!$A$134:$I$234,3)</f>
        <v>1.4000605815831988E-3</v>
      </c>
      <c r="BE724" s="309">
        <f t="shared" si="255"/>
        <v>0.14000000000000001</v>
      </c>
      <c r="BF724" s="309">
        <f>VLOOKUP($B724,'Infant pick up smoking rates'!$A$19:$I$104,6)</f>
        <v>0</v>
      </c>
      <c r="BG724" s="309">
        <f t="shared" si="256"/>
        <v>3.2106038034865295E-2</v>
      </c>
      <c r="BH724" s="309">
        <f t="shared" si="257"/>
        <v>0.8264939013835515</v>
      </c>
      <c r="BI724" s="309">
        <f>VLOOKUP($B724,'Infant adult mortality'!$A$134:$I$234,3)</f>
        <v>1.4000605815831988E-3</v>
      </c>
      <c r="BJ724" s="309">
        <f t="shared" si="258"/>
        <v>0.5714285714285714</v>
      </c>
      <c r="BK724" s="309">
        <f>VLOOKUP($B724,'Infant pick up smoking rates'!$A$19:$I$104,6)</f>
        <v>0</v>
      </c>
      <c r="BL724" s="309">
        <f t="shared" si="259"/>
        <v>2.6380681458003173E-2</v>
      </c>
      <c r="BM724" s="309">
        <f t="shared" si="260"/>
        <v>0.40079068653184219</v>
      </c>
      <c r="BN724" s="309">
        <f>VLOOKUP($B724,'Infant adult mortality'!$A$134:$I$234,3)</f>
        <v>1.4000605815831988E-3</v>
      </c>
      <c r="BO724" s="309">
        <f t="shared" si="261"/>
        <v>8.6261668788331098E-3</v>
      </c>
      <c r="BP724" s="309">
        <f>VLOOKUP($B724,'Infant pick up smoking rates'!$A$19:$I$104,6)</f>
        <v>0</v>
      </c>
      <c r="BQ724" s="309">
        <f t="shared" si="262"/>
        <v>2.6380681458003173E-2</v>
      </c>
      <c r="BR724" s="309">
        <f t="shared" si="263"/>
        <v>0.96359309108158053</v>
      </c>
      <c r="BS724" s="309">
        <f>VLOOKUP($B724,'Infant adult mortality'!$A$134:$I$234,3)</f>
        <v>1.4000605815831988E-3</v>
      </c>
      <c r="BT724" s="309">
        <f>VLOOKUP($B724,'Infant pick up smoking rates'!$A$19:$I$104,6)</f>
        <v>0</v>
      </c>
      <c r="BU724" s="309">
        <f t="shared" si="264"/>
        <v>0.99859993941841685</v>
      </c>
      <c r="BV724" s="309">
        <f>VLOOKUP($B724,'Infant adult mortality'!$A$134:$I$234,5)</f>
        <v>2.9917084006462038E-3</v>
      </c>
      <c r="BW724" s="309">
        <f t="shared" si="322"/>
        <v>0.27</v>
      </c>
      <c r="BX724" s="309">
        <f t="shared" si="266"/>
        <v>0.72700829159935376</v>
      </c>
      <c r="BY724" s="309">
        <f>VLOOKUP($B724,'Infant adult mortality'!$A$134:$I$234,5)</f>
        <v>2.9917084006462038E-3</v>
      </c>
      <c r="BZ724" s="309">
        <f t="shared" si="267"/>
        <v>0.14000000000000001</v>
      </c>
      <c r="CA724" s="309">
        <f t="shared" si="268"/>
        <v>0.85700829159935377</v>
      </c>
      <c r="CB724" s="309">
        <f>VLOOKUP($B724,'Infant adult mortality'!$A$134:$I$234,4)</f>
        <v>1.9748222940226172E-3</v>
      </c>
      <c r="CC724" s="309">
        <f t="shared" si="269"/>
        <v>0.5714285714285714</v>
      </c>
      <c r="CD724" s="309">
        <f t="shared" si="270"/>
        <v>0.42659660627740598</v>
      </c>
      <c r="CE724" s="309">
        <f>VLOOKUP($B724,'Infant adult mortality'!$A$134:$I$234,4)</f>
        <v>1.9748222940226172E-3</v>
      </c>
      <c r="CF724" s="309">
        <f t="shared" si="271"/>
        <v>8.6261668788331098E-3</v>
      </c>
      <c r="CG724" s="309">
        <f t="shared" si="272"/>
        <v>0.98939901082714432</v>
      </c>
      <c r="CH724" s="309"/>
      <c r="CI724" s="315">
        <f t="shared" ca="1" si="297"/>
        <v>47.780084943707337</v>
      </c>
      <c r="CJ724" s="316">
        <f t="shared" ca="1" si="298"/>
        <v>13.429494414782004</v>
      </c>
      <c r="CK724" s="316">
        <f t="shared" ca="1" si="299"/>
        <v>1.9622780086382952</v>
      </c>
      <c r="CL724" s="316">
        <f t="shared" ca="1" si="300"/>
        <v>83.257610791978706</v>
      </c>
      <c r="CM724" s="316">
        <f t="shared" ca="1" si="301"/>
        <v>68.268960478807472</v>
      </c>
      <c r="CN724" s="316">
        <f t="shared" ca="1" si="302"/>
        <v>93.870067766715167</v>
      </c>
      <c r="CO724" s="316">
        <f t="shared" ca="1" si="303"/>
        <v>25.704714765336895</v>
      </c>
      <c r="CP724" s="316">
        <f t="shared" ca="1" si="304"/>
        <v>3.6495262131371549</v>
      </c>
      <c r="CQ724" s="316">
        <f t="shared" ca="1" si="305"/>
        <v>86.717188900608747</v>
      </c>
      <c r="CR724" s="316">
        <f t="shared" ca="1" si="306"/>
        <v>65.360073716288824</v>
      </c>
      <c r="CS724" s="317">
        <f t="shared" ca="1" si="273"/>
        <v>490.00000000000063</v>
      </c>
      <c r="CT724" s="309"/>
      <c r="CU724" s="309">
        <f t="shared" ca="1" si="274"/>
        <v>1000.0000000000005</v>
      </c>
      <c r="CV724" s="309" t="str">
        <f t="shared" ca="1" si="317"/>
        <v>OKAY</v>
      </c>
      <c r="CW724" s="309"/>
      <c r="CX724" s="315">
        <f>(SUM($AR724:$AS724))-((SUM($AR724:$AS724)*VLOOKUP($B724,Lifetime_morbidity_array!$A$30:$Y$48,4))+(SUM($AR724:$AS724)*VLOOKUP($B724,Lifetime_morbidity_array!$A$30:$Y$48,7))+(SUM($AR724:$AS724)*VLOOKUP($B724,Lifetime_morbidity_array!$A$30:$Y$48,10))+(SUM($AR724:$AS724)*VLOOKUP($B724,Lifetime_morbidity_array!$A$30:$Y$48,13)))</f>
        <v>105.79631299076343</v>
      </c>
      <c r="CY724" s="316">
        <f>(SUM($AT724:$AU724))-((SUM($AT724:$AU724)*(VLOOKUP($B724,Lifetime_morbidity_array!$A$30:$Y$48,3)))+(SUM($AT724:$AU724)*(VLOOKUP($B724,Lifetime_morbidity_array!$A$30:$Y$48,6)))+(SUM($AT724:$AU724)*(VLOOKUP($B724,Lifetime_morbidity_array!$A$30:$Y$48,9)))+(SUM($AT724:$AU724)*(VLOOKUP($B724,Lifetime_morbidity_array!$A$30:$Y$48,12))))</f>
        <v>96.98740813619662</v>
      </c>
      <c r="CZ724" s="316">
        <f>(SUM($AM724:$AQ724))-((SUM($AM724:$AQ724)*VLOOKUP($B724,Lifetime_morbidity_array!$A$30:$Y$48,2))+(SUM($AM724:$AQ724)*VLOOKUP($B724,Lifetime_morbidity_array!$A$30:$Y$48,5))+(SUM($AM724:$AQ724)*VLOOKUP($B724,Lifetime_morbidity_array!$A$30:$Y$48,8))+(SUM($AM724:$AQ724)*VLOOKUP($B724,Lifetime_morbidity_array!$A$30:$Y$48,11)))</f>
        <v>145.1129558897654</v>
      </c>
      <c r="DA724" s="316">
        <f>(SUM($AM724:$AQ724)*VLOOKUP($B724,Lifetime_morbidity_array!$A$30:$Y$48,2))+(SUM($AR724:$AS724)*VLOOKUP($B724,Lifetime_morbidity_array!$A$30:$Y$48,4))+(SUM($AT724:$AU724)*(VLOOKUP($B724,Lifetime_morbidity_array!$A$30:$Y$48,3)))</f>
        <v>56.423636929301153</v>
      </c>
      <c r="DB724" s="316">
        <f>(SUM($AM724:$AQ724)*VLOOKUP($B724,Lifetime_morbidity_array!$A$30:$Y$48,5))+(SUM($AR724:$AS724)*VLOOKUP($B724,Lifetime_morbidity_array!$A$30:$Y$48,7))+(SUM($AT724:$AU724)*(VLOOKUP($B724,Lifetime_morbidity_array!$A$30:$Y$48,6)))</f>
        <v>13.502607645933589</v>
      </c>
      <c r="DC724" s="316">
        <f>(SUM($AM724:$AQ724)*VLOOKUP($B724,Lifetime_morbidity_array!$A$30:$Y$48,8))+(SUM($AR724:$AS724)*VLOOKUP($B724,Lifetime_morbidity_array!$A$30:$Y$48,10))+(SUM($AT724:$AU724)*(VLOOKUP($B724,Lifetime_morbidity_array!$A$30:$Y$48,9)))</f>
        <v>1.0412385001504185</v>
      </c>
      <c r="DD724" s="317">
        <f>(SUM($AM724:$AQ724)*VLOOKUP($B724,Lifetime_morbidity_array!$A$30:$Y$48,11))+(SUM($AR724:$AS724)*VLOOKUP($B724,Lifetime_morbidity_array!$A$30:$Y$48,13))+(SUM($AT724:$AU724)*(VLOOKUP($B724,Lifetime_morbidity_array!$A$30:$Y$48,12)))</f>
        <v>15.410002872457909</v>
      </c>
      <c r="DE724" s="309"/>
      <c r="DF724" s="315">
        <f ca="1">(SUM($CN724:$CO724))-((SUM($CN724:$CO724)*VLOOKUP($B724,Lifetime_morbidity_array!$A$6:$Y$24,4))+(SUM($CN724:$CO724)*VLOOKUP($B724,Lifetime_morbidity_array!$A$6:$Y$24,7))+(SUM($CN724:$CO724)*VLOOKUP($B724,Lifetime_morbidity_array!$A$6:$Y$24,10))+(SUM($CN724:$CO724)*VLOOKUP($B724,Lifetime_morbidity_array!$A$6:$Y$24,13)))</f>
        <v>98.748006542823703</v>
      </c>
      <c r="DG724" s="316">
        <f ca="1">(SUM($CP724:$CQ724))-(((SUM($CP724:$CQ724)*VLOOKUP($B724,Lifetime_morbidity_array!$A$6:$Y$24,3))+(SUM($CP724:$CQ724)*VLOOKUP($B724,Lifetime_morbidity_array!$A$6:$Y$24,6))+(SUM($CP724:$CQ724)*VLOOKUP($B724,Lifetime_morbidity_array!$A$6:$Y$24,9))+(SUM($CP724:$CQ724)*VLOOKUP($B724,Lifetime_morbidity_array!$A$6:$Y$24,12))))</f>
        <v>83.076751691812291</v>
      </c>
      <c r="DH724" s="316">
        <f ca="1">(SUM($CI724:$CM724))-((SUM($CI724:$CM724)*VLOOKUP($B724,Lifetime_morbidity_array!$A$6:$Y$24,2))+(SUM($CI724:$CM724)*VLOOKUP($B724,Lifetime_morbidity_array!$A$6:$Y$24,5))+(SUM($CI724:$CM724)*VLOOKUP($B724,Lifetime_morbidity_array!$A$6:$Y$24,8))+(SUM($CI724:$CM724)*VLOOKUP($B724,Lifetime_morbidity_array!$A$6:$Y$24,11)))</f>
        <v>204.05865985405799</v>
      </c>
      <c r="DI724" s="316">
        <f ca="1">(SUM($CI724:$CM724)*VLOOKUP($B724,Lifetime_morbidity_array!$A$6:$Y$24,2))+(SUM($CN724:$CO724)*VLOOKUP($B724,Lifetime_morbidity_array!$A$6:$Y$24,4))+(SUM($CP724:$CQ724)*VLOOKUP($B724,Lifetime_morbidity_array!$A$6:$Y$24,3))</f>
        <v>17.178016484546909</v>
      </c>
      <c r="DJ724" s="316">
        <f ca="1">(SUM($CI724:$CM724)*VLOOKUP($B724,Lifetime_morbidity_array!$A$6:$Y$24,5))+(SUM($CN724:$CO724)*VLOOKUP($B724,Lifetime_morbidity_array!$A$6:$Y$24,7))+(SUM($CP724:$CQ724)*VLOOKUP($B724,Lifetime_morbidity_array!$A$6:$Y$24,6))</f>
        <v>10.616679983279502</v>
      </c>
      <c r="DK724" s="316">
        <f ca="1">(SUM($CI724:$CM724)*VLOOKUP($B724,Lifetime_morbidity_array!$A$6:$Y$24,8))+(SUM($CN724:$CO724)*VLOOKUP($B724,Lifetime_morbidity_array!$A$6:$Y$24,10))+(SUM($CP724:$CQ724)*VLOOKUP($B724,Lifetime_morbidity_array!$A$6:$Y$24,9))</f>
        <v>0.40001841102928498</v>
      </c>
      <c r="DL724" s="317">
        <f ca="1">(SUM($CI724:$CM724)*VLOOKUP($B724,Lifetime_morbidity_array!$A$6:$Y$24,11))+(SUM($CN724:$CO724)*VLOOKUP($B724,Lifetime_morbidity_array!$A$6:$Y$24,13))+(SUM($CP724:$CQ724)*VLOOKUP($B724,Lifetime_morbidity_array!$A$6:$Y$24,12))</f>
        <v>10.561793316162083</v>
      </c>
      <c r="DM724" s="309"/>
      <c r="DN724" s="308">
        <f t="shared" si="275"/>
        <v>58</v>
      </c>
      <c r="DO724" s="309">
        <f t="shared" ca="1" si="323"/>
        <v>116.79101661119788</v>
      </c>
      <c r="DP724" s="310">
        <f t="shared" ca="1" si="307"/>
        <v>21873.221871092355</v>
      </c>
      <c r="DQ724" s="309"/>
      <c r="DR724" s="308">
        <f t="shared" si="277"/>
        <v>58</v>
      </c>
      <c r="DS724" s="309">
        <f ca="1">((VLOOKUP($B724,'Mahawesran Tariff'!$A$21:$M$120,4)*'Comparator (DET)'!$CX724)+(VLOOKUP($B724,'Mahawesran Tariff'!$A$21:$M$120,3)*'Comparator (DET)'!$CY724)+(VLOOKUP($B724,'Mahawesran Tariff'!$A$21:$M$120,2)*'Comparator (DET)'!$CZ724)+(VLOOKUP($B724,'Mahawesran Tariff'!$A$21:$M$120,7)*'Comparator (DET)'!$DF724)+(VLOOKUP($B724,'Mahawesran Tariff'!$A$21:$M$120,6)*'Comparator (DET)'!$DG724)+(VLOOKUP($B724,'Mahawesran Tariff'!$A$21:$M$120,5)*'Comparator (DET)'!$DH724)+(DET_UTIL_chd*('Comparator (DET)'!$DA724+'Comparator (DET)'!$DI724))+(DET_UTIL_copd*('Comparator (DET)'!$DB724+'Comparator (DET)'!$DJ724))+(DET_UTIL_lc*('Comparator (DET)'!$DC724+'Comparator (DET)'!$DK724))+(DET_UTIL_stroke*('Comparator (DET)'!$DD724+'Comparator (DET)'!$DL724)))/((1+Discount_rate_QALYs)^$A724)</f>
        <v>105.45889817018492</v>
      </c>
      <c r="DT724" s="310">
        <f t="shared" ca="1" si="308"/>
        <v>21667.259878084045</v>
      </c>
      <c r="DU724" s="309"/>
      <c r="DV724" s="308">
        <f t="shared" si="278"/>
        <v>58</v>
      </c>
      <c r="DW724" s="318">
        <f t="shared" ca="1" si="324"/>
        <v>99762.210458330781</v>
      </c>
      <c r="DX724" s="319">
        <f t="shared" ca="1" si="309"/>
        <v>6884827.3589694239</v>
      </c>
      <c r="DZ724" s="95">
        <f t="shared" si="280"/>
        <v>58</v>
      </c>
      <c r="EA724" s="268">
        <f t="shared" ca="1" si="318"/>
        <v>0.85891408924828039</v>
      </c>
      <c r="EB724" s="268">
        <f t="shared" ca="1" si="319"/>
        <v>0.14108591075172019</v>
      </c>
      <c r="EC724" s="268">
        <f t="shared" ca="1" si="320"/>
        <v>0.12513399414286083</v>
      </c>
      <c r="ED724" s="290">
        <f t="shared" ca="1" si="321"/>
        <v>0.48379695661284039</v>
      </c>
      <c r="EF724" s="95">
        <f t="shared" si="281"/>
        <v>58</v>
      </c>
      <c r="EG724" s="339">
        <f t="shared" ca="1" si="325"/>
        <v>99762.210458330781</v>
      </c>
      <c r="EH724" s="341">
        <f t="shared" ca="1" si="310"/>
        <v>9984959.2948255092</v>
      </c>
      <c r="EJ724" s="308">
        <f t="shared" si="283"/>
        <v>58</v>
      </c>
      <c r="EK724" s="318">
        <f t="shared" ca="1" si="284"/>
        <v>99762.210458330781</v>
      </c>
      <c r="EL724" s="319">
        <f t="shared" ca="1" si="311"/>
        <v>6884827.3589694239</v>
      </c>
      <c r="EN724" s="95">
        <f t="shared" si="285"/>
        <v>58</v>
      </c>
      <c r="EO724" s="339">
        <f t="shared" ca="1" si="286"/>
        <v>99762.210458330781</v>
      </c>
      <c r="EP724" s="341">
        <f t="shared" ca="1" si="312"/>
        <v>9984959.2948255092</v>
      </c>
    </row>
    <row r="725" spans="1:146" s="266" customFormat="1" x14ac:dyDescent="0.25">
      <c r="A725" s="313">
        <v>59</v>
      </c>
      <c r="B725" s="314">
        <v>59</v>
      </c>
      <c r="C725" s="308">
        <f>VLOOKUP($B725,'Infant adult mortality'!$A$27:$I$128,3)</f>
        <v>2.1320516962843295E-3</v>
      </c>
      <c r="D725" s="309">
        <f t="shared" si="230"/>
        <v>0.27</v>
      </c>
      <c r="E725" s="309">
        <f>VLOOKUP($B725,'Infant pick up smoking rates'!$A$19:$I$104,3)</f>
        <v>1.5201831243956284E-3</v>
      </c>
      <c r="F725" s="309">
        <f t="shared" si="231"/>
        <v>3.5650378662710321E-2</v>
      </c>
      <c r="G725" s="309">
        <f t="shared" si="232"/>
        <v>0.69069738651660972</v>
      </c>
      <c r="H725" s="309">
        <f>VLOOKUP($B725,'Infant adult mortality'!$A$27:$I$128,3)</f>
        <v>2.1320516962843295E-3</v>
      </c>
      <c r="I725" s="309">
        <f t="shared" si="233"/>
        <v>0.14000000000000001</v>
      </c>
      <c r="J725" s="309">
        <f>VLOOKUP($B725,'Infant pick up smoking rates'!$A$19:$I$104,2)</f>
        <v>1.5201831243956284E-3</v>
      </c>
      <c r="K725" s="309">
        <f t="shared" si="234"/>
        <v>3.5650378662710321E-2</v>
      </c>
      <c r="L725" s="309">
        <f t="shared" si="235"/>
        <v>0.82069738651660973</v>
      </c>
      <c r="M725" s="309">
        <f>VLOOKUP($B725,'Infant adult mortality'!$A$27:$I$128,3)</f>
        <v>2.1320516962843295E-3</v>
      </c>
      <c r="N725" s="309">
        <f t="shared" si="236"/>
        <v>0.5714285714285714</v>
      </c>
      <c r="O725" s="309">
        <f>VLOOKUP($B725,'Infant pick up smoking rates'!$A$19:$I$104,2)</f>
        <v>1.5201831243956284E-3</v>
      </c>
      <c r="P725" s="309">
        <f t="shared" si="237"/>
        <v>2.929297231682234E-2</v>
      </c>
      <c r="Q725" s="309">
        <f t="shared" si="238"/>
        <v>0.39562622143392628</v>
      </c>
      <c r="R725" s="309">
        <f>VLOOKUP($B725,'Infant adult mortality'!$A$27:$I$128,3)</f>
        <v>2.1320516962843295E-3</v>
      </c>
      <c r="S725" s="309">
        <f t="shared" si="239"/>
        <v>8.6261668788331098E-3</v>
      </c>
      <c r="T725" s="309">
        <f>VLOOKUP($B725,'Infant pick up smoking rates'!$A$19:$I$104,2)</f>
        <v>1.5201831243956284E-3</v>
      </c>
      <c r="U725" s="309">
        <f t="shared" si="240"/>
        <v>2.929297231682234E-2</v>
      </c>
      <c r="V725" s="309">
        <f t="shared" si="241"/>
        <v>0.95842862598366463</v>
      </c>
      <c r="W725" s="309">
        <f>VLOOKUP($B725,'Infant adult mortality'!$A$27:$I$128,3)</f>
        <v>2.1320516962843295E-3</v>
      </c>
      <c r="X725" s="309">
        <f>VLOOKUP($B725,'Infant pick up smoking rates'!$A$19:$I$104,2)</f>
        <v>1.5201831243956284E-3</v>
      </c>
      <c r="Y725" s="309">
        <f t="shared" si="242"/>
        <v>0.99634776517932011</v>
      </c>
      <c r="Z725" s="309">
        <f>VLOOKUP($B725,'Infant adult mortality'!$A$27:$I$128,5)</f>
        <v>4.5558578352180934E-3</v>
      </c>
      <c r="AA725" s="309">
        <f t="shared" si="313"/>
        <v>0.25</v>
      </c>
      <c r="AB725" s="309">
        <f t="shared" si="244"/>
        <v>0.74544414216478194</v>
      </c>
      <c r="AC725" s="309">
        <f>VLOOKUP($B725,'Infant adult mortality'!$A$27:$I$128,5)</f>
        <v>4.5558578352180934E-3</v>
      </c>
      <c r="AD725" s="309">
        <f t="shared" si="314"/>
        <v>0.14000000000000001</v>
      </c>
      <c r="AE725" s="309">
        <f t="shared" si="246"/>
        <v>0.85544414216478193</v>
      </c>
      <c r="AF725" s="309">
        <f>VLOOKUP($B725,'Infant adult mortality'!$A$27:$I$128,4)</f>
        <v>3.0073150242326332E-3</v>
      </c>
      <c r="AG725" s="309">
        <f t="shared" si="315"/>
        <v>0.5714285714285714</v>
      </c>
      <c r="AH725" s="309">
        <f t="shared" si="248"/>
        <v>0.42556411354719598</v>
      </c>
      <c r="AI725" s="309">
        <f>VLOOKUP($B725,'Infant adult mortality'!$A$27:$I$128,4)</f>
        <v>3.0073150242326332E-3</v>
      </c>
      <c r="AJ725" s="309">
        <f t="shared" si="316"/>
        <v>8.6261668788331098E-3</v>
      </c>
      <c r="AK725" s="309">
        <f t="shared" si="250"/>
        <v>0.98836651809693421</v>
      </c>
      <c r="AL725" s="309"/>
      <c r="AM725" s="315">
        <f t="shared" si="287"/>
        <v>33.794542236909585</v>
      </c>
      <c r="AN725" s="316">
        <f t="shared" si="288"/>
        <v>9.5703945239144854</v>
      </c>
      <c r="AO725" s="316">
        <f t="shared" si="289"/>
        <v>1.3976960938043601</v>
      </c>
      <c r="AP725" s="316">
        <f t="shared" si="290"/>
        <v>60.875298817020216</v>
      </c>
      <c r="AQ725" s="316">
        <f t="shared" si="291"/>
        <v>54.194885549249385</v>
      </c>
      <c r="AR725" s="316">
        <f t="shared" si="292"/>
        <v>125.08229284881145</v>
      </c>
      <c r="AS725" s="316">
        <f t="shared" si="293"/>
        <v>31.687660687437557</v>
      </c>
      <c r="AT725" s="316">
        <f t="shared" si="294"/>
        <v>4.4944876367660225</v>
      </c>
      <c r="AU725" s="316">
        <f t="shared" si="295"/>
        <v>111.76532154985149</v>
      </c>
      <c r="AV725" s="316">
        <f t="shared" si="296"/>
        <v>77.137420056235371</v>
      </c>
      <c r="AW725" s="317">
        <f t="shared" si="251"/>
        <v>509.99999999999989</v>
      </c>
      <c r="AX725" s="309"/>
      <c r="AY725" s="308">
        <f>VLOOKUP($B725,'Infant adult mortality'!$A$134:$I$234,3)</f>
        <v>1.5114054927302101E-3</v>
      </c>
      <c r="AZ725" s="309">
        <f t="shared" si="252"/>
        <v>0.27</v>
      </c>
      <c r="BA725" s="309">
        <f ca="1">VLOOKUP($B725,'Infant pick up smoking rates'!$A$19:$I$104,7)</f>
        <v>0</v>
      </c>
      <c r="BB725" s="309">
        <f t="shared" si="253"/>
        <v>3.5650378662710321E-2</v>
      </c>
      <c r="BC725" s="309">
        <f t="shared" ca="1" si="254"/>
        <v>0.6928382158445594</v>
      </c>
      <c r="BD725" s="309">
        <f>VLOOKUP($B725,'Infant adult mortality'!$A$134:$I$234,3)</f>
        <v>1.5114054927302101E-3</v>
      </c>
      <c r="BE725" s="309">
        <f t="shared" si="255"/>
        <v>0.14000000000000001</v>
      </c>
      <c r="BF725" s="309">
        <f>VLOOKUP($B725,'Infant pick up smoking rates'!$A$19:$I$104,6)</f>
        <v>0</v>
      </c>
      <c r="BG725" s="309">
        <f t="shared" si="256"/>
        <v>3.5650378662710321E-2</v>
      </c>
      <c r="BH725" s="309">
        <f t="shared" si="257"/>
        <v>0.82283821584455941</v>
      </c>
      <c r="BI725" s="309">
        <f>VLOOKUP($B725,'Infant adult mortality'!$A$134:$I$234,3)</f>
        <v>1.5114054927302101E-3</v>
      </c>
      <c r="BJ725" s="309">
        <f t="shared" si="258"/>
        <v>0.5714285714285714</v>
      </c>
      <c r="BK725" s="309">
        <f>VLOOKUP($B725,'Infant pick up smoking rates'!$A$19:$I$104,6)</f>
        <v>0</v>
      </c>
      <c r="BL725" s="309">
        <f t="shared" si="259"/>
        <v>2.929297231682234E-2</v>
      </c>
      <c r="BM725" s="309">
        <f t="shared" si="260"/>
        <v>0.39776705076187602</v>
      </c>
      <c r="BN725" s="309">
        <f>VLOOKUP($B725,'Infant adult mortality'!$A$134:$I$234,3)</f>
        <v>1.5114054927302101E-3</v>
      </c>
      <c r="BO725" s="309">
        <f t="shared" si="261"/>
        <v>8.6261668788331098E-3</v>
      </c>
      <c r="BP725" s="309">
        <f>VLOOKUP($B725,'Infant pick up smoking rates'!$A$19:$I$104,6)</f>
        <v>0</v>
      </c>
      <c r="BQ725" s="309">
        <f t="shared" si="262"/>
        <v>2.929297231682234E-2</v>
      </c>
      <c r="BR725" s="309">
        <f t="shared" si="263"/>
        <v>0.96056945531161431</v>
      </c>
      <c r="BS725" s="309">
        <f>VLOOKUP($B725,'Infant adult mortality'!$A$134:$I$234,3)</f>
        <v>1.5114054927302101E-3</v>
      </c>
      <c r="BT725" s="309">
        <f>VLOOKUP($B725,'Infant pick up smoking rates'!$A$19:$I$104,6)</f>
        <v>0</v>
      </c>
      <c r="BU725" s="309">
        <f t="shared" si="264"/>
        <v>0.99848859450726979</v>
      </c>
      <c r="BV725" s="309">
        <f>VLOOKUP($B725,'Infant adult mortality'!$A$134:$I$234,5)</f>
        <v>3.2296348949919225E-3</v>
      </c>
      <c r="BW725" s="309">
        <f t="shared" si="322"/>
        <v>0.27</v>
      </c>
      <c r="BX725" s="309">
        <f t="shared" si="266"/>
        <v>0.72677036510500803</v>
      </c>
      <c r="BY725" s="309">
        <f>VLOOKUP($B725,'Infant adult mortality'!$A$134:$I$234,5)</f>
        <v>3.2296348949919225E-3</v>
      </c>
      <c r="BZ725" s="309">
        <f t="shared" si="267"/>
        <v>0.14000000000000001</v>
      </c>
      <c r="CA725" s="309">
        <f t="shared" si="268"/>
        <v>0.85677036510500804</v>
      </c>
      <c r="CB725" s="309">
        <f>VLOOKUP($B725,'Infant adult mortality'!$A$134:$I$234,4)</f>
        <v>2.1318772213247171E-3</v>
      </c>
      <c r="CC725" s="309">
        <f t="shared" si="269"/>
        <v>0.5714285714285714</v>
      </c>
      <c r="CD725" s="309">
        <f t="shared" si="270"/>
        <v>0.42643955135010386</v>
      </c>
      <c r="CE725" s="309">
        <f>VLOOKUP($B725,'Infant adult mortality'!$A$134:$I$234,4)</f>
        <v>2.1318772213247171E-3</v>
      </c>
      <c r="CF725" s="309">
        <f t="shared" si="271"/>
        <v>8.6261668788331098E-3</v>
      </c>
      <c r="CG725" s="309">
        <f t="shared" si="272"/>
        <v>0.98924195589984221</v>
      </c>
      <c r="CH725" s="309"/>
      <c r="CI725" s="315">
        <f t="shared" ca="1" si="297"/>
        <v>45.652893610148865</v>
      </c>
      <c r="CJ725" s="316">
        <f t="shared" ca="1" si="298"/>
        <v>12.900622934800982</v>
      </c>
      <c r="CK725" s="316">
        <f t="shared" ca="1" si="299"/>
        <v>1.8801292180694809</v>
      </c>
      <c r="CL725" s="316">
        <f t="shared" ca="1" si="300"/>
        <v>81.096019568219248</v>
      </c>
      <c r="CM725" s="316">
        <f t="shared" ca="1" si="301"/>
        <v>72.844266922351338</v>
      </c>
      <c r="CN725" s="316">
        <f t="shared" ca="1" si="302"/>
        <v>92.54936054135581</v>
      </c>
      <c r="CO725" s="316">
        <f t="shared" ca="1" si="303"/>
        <v>25.344918297013098</v>
      </c>
      <c r="CP725" s="316">
        <f t="shared" ca="1" si="304"/>
        <v>3.5986600671471658</v>
      </c>
      <c r="CQ725" s="316">
        <f t="shared" ca="1" si="305"/>
        <v>87.869725108538375</v>
      </c>
      <c r="CR725" s="316">
        <f t="shared" ca="1" si="306"/>
        <v>66.263403732356224</v>
      </c>
      <c r="CS725" s="317">
        <f t="shared" ca="1" si="273"/>
        <v>490.00000000000063</v>
      </c>
      <c r="CT725" s="309"/>
      <c r="CU725" s="309">
        <f t="shared" ca="1" si="274"/>
        <v>1000.0000000000005</v>
      </c>
      <c r="CV725" s="309" t="str">
        <f t="shared" ca="1" si="317"/>
        <v>OKAY</v>
      </c>
      <c r="CW725" s="309"/>
      <c r="CX725" s="315">
        <f>(SUM($AR725:$AS725))-((SUM($AR725:$AS725)*VLOOKUP($B725,Lifetime_morbidity_array!$A$30:$Y$48,4))+(SUM($AR725:$AS725)*VLOOKUP($B725,Lifetime_morbidity_array!$A$30:$Y$48,7))+(SUM($AR725:$AS725)*VLOOKUP($B725,Lifetime_morbidity_array!$A$30:$Y$48,10))+(SUM($AR725:$AS725)*VLOOKUP($B725,Lifetime_morbidity_array!$A$30:$Y$48,13)))</f>
        <v>104.40826123391301</v>
      </c>
      <c r="CY725" s="316">
        <f>(SUM($AT725:$AU725))-((SUM($AT725:$AU725)*(VLOOKUP($B725,Lifetime_morbidity_array!$A$30:$Y$48,3)))+(SUM($AT725:$AU725)*(VLOOKUP($B725,Lifetime_morbidity_array!$A$30:$Y$48,6)))+(SUM($AT725:$AU725)*(VLOOKUP($B725,Lifetime_morbidity_array!$A$30:$Y$48,9)))+(SUM($AT725:$AU725)*(VLOOKUP($B725,Lifetime_morbidity_array!$A$30:$Y$48,12))))</f>
        <v>98.048755259694616</v>
      </c>
      <c r="CZ725" s="316">
        <f>(SUM($AM725:$AQ725))-((SUM($AM725:$AQ725)*VLOOKUP($B725,Lifetime_morbidity_array!$A$30:$Y$48,2))+(SUM($AM725:$AQ725)*VLOOKUP($B725,Lifetime_morbidity_array!$A$30:$Y$48,5))+(SUM($AM725:$AQ725)*VLOOKUP($B725,Lifetime_morbidity_array!$A$30:$Y$48,8))+(SUM($AM725:$AQ725)*VLOOKUP($B725,Lifetime_morbidity_array!$A$30:$Y$48,11)))</f>
        <v>144.58296929933303</v>
      </c>
      <c r="DA725" s="316">
        <f>(SUM($AM725:$AQ725)*VLOOKUP($B725,Lifetime_morbidity_array!$A$30:$Y$48,2))+(SUM($AR725:$AS725)*VLOOKUP($B725,Lifetime_morbidity_array!$A$30:$Y$48,4))+(SUM($AT725:$AU725)*(VLOOKUP($B725,Lifetime_morbidity_array!$A$30:$Y$48,3)))</f>
        <v>56.082064911227505</v>
      </c>
      <c r="DB725" s="316">
        <f>(SUM($AM725:$AQ725)*VLOOKUP($B725,Lifetime_morbidity_array!$A$30:$Y$48,5))+(SUM($AR725:$AS725)*VLOOKUP($B725,Lifetime_morbidity_array!$A$30:$Y$48,7))+(SUM($AT725:$AU725)*(VLOOKUP($B725,Lifetime_morbidity_array!$A$30:$Y$48,6)))</f>
        <v>13.381340248508666</v>
      </c>
      <c r="DC725" s="316">
        <f>(SUM($AM725:$AQ725)*VLOOKUP($B725,Lifetime_morbidity_array!$A$30:$Y$48,8))+(SUM($AR725:$AS725)*VLOOKUP($B725,Lifetime_morbidity_array!$A$30:$Y$48,10))+(SUM($AT725:$AU725)*(VLOOKUP($B725,Lifetime_morbidity_array!$A$30:$Y$48,9)))</f>
        <v>1.0315541284941163</v>
      </c>
      <c r="DD725" s="317">
        <f>(SUM($AM725:$AQ725)*VLOOKUP($B725,Lifetime_morbidity_array!$A$30:$Y$48,11))+(SUM($AR725:$AS725)*VLOOKUP($B725,Lifetime_morbidity_array!$A$30:$Y$48,13))+(SUM($AT725:$AU725)*(VLOOKUP($B725,Lifetime_morbidity_array!$A$30:$Y$48,12)))</f>
        <v>15.327634862593623</v>
      </c>
      <c r="DE725" s="309"/>
      <c r="DF725" s="315">
        <f ca="1">(SUM($CN725:$CO725))-((SUM($CN725:$CO725)*VLOOKUP($B725,Lifetime_morbidity_array!$A$6:$Y$24,4))+(SUM($CN725:$CO725)*VLOOKUP($B725,Lifetime_morbidity_array!$A$6:$Y$24,7))+(SUM($CN725:$CO725)*VLOOKUP($B725,Lifetime_morbidity_array!$A$6:$Y$24,10))+(SUM($CN725:$CO725)*VLOOKUP($B725,Lifetime_morbidity_array!$A$6:$Y$24,13)))</f>
        <v>97.360202306637177</v>
      </c>
      <c r="DG725" s="316">
        <f ca="1">(SUM($CP725:$CQ725))-(((SUM($CP725:$CQ725)*VLOOKUP($B725,Lifetime_morbidity_array!$A$6:$Y$24,3))+(SUM($CP725:$CQ725)*VLOOKUP($B725,Lifetime_morbidity_array!$A$6:$Y$24,6))+(SUM($CP725:$CQ725)*VLOOKUP($B725,Lifetime_morbidity_array!$A$6:$Y$24,9))+(SUM($CP725:$CQ725)*VLOOKUP($B725,Lifetime_morbidity_array!$A$6:$Y$24,12))))</f>
        <v>84.089549048304249</v>
      </c>
      <c r="DH725" s="316">
        <f ca="1">(SUM($CI725:$CM725))-((SUM($CI725:$CM725)*VLOOKUP($B725,Lifetime_morbidity_array!$A$6:$Y$24,2))+(SUM($CI725:$CM725)*VLOOKUP($B725,Lifetime_morbidity_array!$A$6:$Y$24,5))+(SUM($CI725:$CM725)*VLOOKUP($B725,Lifetime_morbidity_array!$A$6:$Y$24,8))+(SUM($CI725:$CM725)*VLOOKUP($B725,Lifetime_morbidity_array!$A$6:$Y$24,11)))</f>
        <v>203.75024447471537</v>
      </c>
      <c r="DI725" s="316">
        <f ca="1">(SUM($CI725:$CM725)*VLOOKUP($B725,Lifetime_morbidity_array!$A$6:$Y$24,2))+(SUM($CN725:$CO725)*VLOOKUP($B725,Lifetime_morbidity_array!$A$6:$Y$24,4))+(SUM($CP725:$CQ725)*VLOOKUP($B725,Lifetime_morbidity_array!$A$6:$Y$24,3))</f>
        <v>17.070678313854035</v>
      </c>
      <c r="DJ725" s="316">
        <f ca="1">(SUM($CI725:$CM725)*VLOOKUP($B725,Lifetime_morbidity_array!$A$6:$Y$24,5))+(SUM($CN725:$CO725)*VLOOKUP($B725,Lifetime_morbidity_array!$A$6:$Y$24,7))+(SUM($CP725:$CQ725)*VLOOKUP($B725,Lifetime_morbidity_array!$A$6:$Y$24,6))</f>
        <v>10.554531214795629</v>
      </c>
      <c r="DK725" s="316">
        <f ca="1">(SUM($CI725:$CM725)*VLOOKUP($B725,Lifetime_morbidity_array!$A$6:$Y$24,8))+(SUM($CN725:$CO725)*VLOOKUP($B725,Lifetime_morbidity_array!$A$6:$Y$24,10))+(SUM($CP725:$CQ725)*VLOOKUP($B725,Lifetime_morbidity_array!$A$6:$Y$24,9))</f>
        <v>0.39638149325516447</v>
      </c>
      <c r="DL725" s="317">
        <f ca="1">(SUM($CI725:$CM725)*VLOOKUP($B725,Lifetime_morbidity_array!$A$6:$Y$24,11))+(SUM($CN725:$CO725)*VLOOKUP($B725,Lifetime_morbidity_array!$A$6:$Y$24,13))+(SUM($CP725:$CQ725)*VLOOKUP($B725,Lifetime_morbidity_array!$A$6:$Y$24,12))</f>
        <v>10.515009416082705</v>
      </c>
      <c r="DM725" s="309"/>
      <c r="DN725" s="308">
        <f t="shared" si="275"/>
        <v>59</v>
      </c>
      <c r="DO725" s="309">
        <f t="shared" ca="1" si="323"/>
        <v>112.53743559794054</v>
      </c>
      <c r="DP725" s="310">
        <f t="shared" ca="1" si="307"/>
        <v>21985.759306690295</v>
      </c>
      <c r="DQ725" s="309"/>
      <c r="DR725" s="308">
        <f t="shared" si="277"/>
        <v>59</v>
      </c>
      <c r="DS725" s="309">
        <f ca="1">((VLOOKUP($B725,'Mahawesran Tariff'!$A$21:$M$120,4)*'Comparator (DET)'!$CX725)+(VLOOKUP($B725,'Mahawesran Tariff'!$A$21:$M$120,3)*'Comparator (DET)'!$CY725)+(VLOOKUP($B725,'Mahawesran Tariff'!$A$21:$M$120,2)*'Comparator (DET)'!$CZ725)+(VLOOKUP($B725,'Mahawesran Tariff'!$A$21:$M$120,7)*'Comparator (DET)'!$DF725)+(VLOOKUP($B725,'Mahawesran Tariff'!$A$21:$M$120,6)*'Comparator (DET)'!$DG725)+(VLOOKUP($B725,'Mahawesran Tariff'!$A$21:$M$120,5)*'Comparator (DET)'!$DH725)+(DET_UTIL_chd*('Comparator (DET)'!$DA725+'Comparator (DET)'!$DI725))+(DET_UTIL_copd*('Comparator (DET)'!$DB725+'Comparator (DET)'!$DJ725))+(DET_UTIL_lc*('Comparator (DET)'!$DC725+'Comparator (DET)'!$DK725))+(DET_UTIL_stroke*('Comparator (DET)'!$DD725+'Comparator (DET)'!$DL725)))/((1+Discount_rate_QALYs)^$A725)</f>
        <v>101.63443802428975</v>
      </c>
      <c r="DT725" s="310">
        <f t="shared" ca="1" si="308"/>
        <v>21768.894316108333</v>
      </c>
      <c r="DU725" s="309"/>
      <c r="DV725" s="308">
        <f t="shared" si="278"/>
        <v>59</v>
      </c>
      <c r="DW725" s="318">
        <f t="shared" ca="1" si="324"/>
        <v>95874.503184998466</v>
      </c>
      <c r="DX725" s="319">
        <f t="shared" ca="1" si="309"/>
        <v>6980701.8621544223</v>
      </c>
      <c r="DZ725" s="95">
        <f t="shared" si="280"/>
        <v>59</v>
      </c>
      <c r="EA725" s="268">
        <f t="shared" ca="1" si="318"/>
        <v>0.85659917621140891</v>
      </c>
      <c r="EB725" s="268">
        <f t="shared" ca="1" si="319"/>
        <v>0.14340082378859159</v>
      </c>
      <c r="EC725" s="268">
        <f t="shared" ca="1" si="320"/>
        <v>0.12435919458881145</v>
      </c>
      <c r="ED725" s="290">
        <f t="shared" ca="1" si="321"/>
        <v>0.4823924267369209</v>
      </c>
      <c r="EF725" s="95">
        <f t="shared" si="281"/>
        <v>59</v>
      </c>
      <c r="EG725" s="339">
        <f t="shared" ca="1" si="325"/>
        <v>95874.503184998466</v>
      </c>
      <c r="EH725" s="341">
        <f t="shared" ca="1" si="310"/>
        <v>10080833.798010508</v>
      </c>
      <c r="EJ725" s="308">
        <f t="shared" si="283"/>
        <v>59</v>
      </c>
      <c r="EK725" s="318">
        <f t="shared" ca="1" si="284"/>
        <v>95874.503184998466</v>
      </c>
      <c r="EL725" s="319">
        <f t="shared" ca="1" si="311"/>
        <v>6980701.8621544223</v>
      </c>
      <c r="EN725" s="95">
        <f t="shared" si="285"/>
        <v>59</v>
      </c>
      <c r="EO725" s="339">
        <f t="shared" ca="1" si="286"/>
        <v>95874.503184998466</v>
      </c>
      <c r="EP725" s="341">
        <f t="shared" ca="1" si="312"/>
        <v>10080833.798010508</v>
      </c>
    </row>
    <row r="726" spans="1:146" s="266" customFormat="1" x14ac:dyDescent="0.25">
      <c r="A726" s="313">
        <v>60</v>
      </c>
      <c r="B726" s="314">
        <v>60</v>
      </c>
      <c r="C726" s="308">
        <f>VLOOKUP($B726,'Infant adult mortality'!$A$27:$I$128,3)</f>
        <v>2.390640147083403E-3</v>
      </c>
      <c r="D726" s="309">
        <f t="shared" si="230"/>
        <v>0.27</v>
      </c>
      <c r="E726" s="309">
        <f>VLOOKUP($B726,'Infant pick up smoking rates'!$A$19:$I$104,3)</f>
        <v>0</v>
      </c>
      <c r="F726" s="309">
        <f t="shared" si="231"/>
        <v>3.9588384698384868E-2</v>
      </c>
      <c r="G726" s="309">
        <f t="shared" si="232"/>
        <v>0.68802097515453164</v>
      </c>
      <c r="H726" s="309">
        <f>VLOOKUP($B726,'Infant adult mortality'!$A$27:$I$128,3)</f>
        <v>2.390640147083403E-3</v>
      </c>
      <c r="I726" s="309">
        <f t="shared" si="233"/>
        <v>0.14000000000000001</v>
      </c>
      <c r="J726" s="309">
        <f>VLOOKUP($B726,'Infant pick up smoking rates'!$A$19:$I$104,2)</f>
        <v>0</v>
      </c>
      <c r="K726" s="309">
        <f t="shared" si="234"/>
        <v>3.9588384698384868E-2</v>
      </c>
      <c r="L726" s="309">
        <f t="shared" si="235"/>
        <v>0.81802097515453165</v>
      </c>
      <c r="M726" s="309">
        <f>VLOOKUP($B726,'Infant adult mortality'!$A$27:$I$128,3)</f>
        <v>2.390640147083403E-3</v>
      </c>
      <c r="N726" s="309">
        <f t="shared" si="236"/>
        <v>0.5714285714285714</v>
      </c>
      <c r="O726" s="309">
        <f>VLOOKUP($B726,'Infant pick up smoking rates'!$A$19:$I$104,2)</f>
        <v>0</v>
      </c>
      <c r="P726" s="309">
        <f t="shared" si="237"/>
        <v>3.2528727619111852E-2</v>
      </c>
      <c r="Q726" s="309">
        <f t="shared" si="238"/>
        <v>0.39365206080523335</v>
      </c>
      <c r="R726" s="309">
        <f>VLOOKUP($B726,'Infant adult mortality'!$A$27:$I$128,3)</f>
        <v>2.390640147083403E-3</v>
      </c>
      <c r="S726" s="309">
        <f t="shared" si="239"/>
        <v>8.6261668788331098E-3</v>
      </c>
      <c r="T726" s="309">
        <f>VLOOKUP($B726,'Infant pick up smoking rates'!$A$19:$I$104,2)</f>
        <v>0</v>
      </c>
      <c r="U726" s="309">
        <f t="shared" si="240"/>
        <v>3.2528727619111852E-2</v>
      </c>
      <c r="V726" s="309">
        <f t="shared" si="241"/>
        <v>0.95645446535497158</v>
      </c>
      <c r="W726" s="309">
        <f>VLOOKUP($B726,'Infant adult mortality'!$A$27:$I$128,3)</f>
        <v>2.390640147083403E-3</v>
      </c>
      <c r="X726" s="309">
        <f>VLOOKUP($B726,'Infant pick up smoking rates'!$A$19:$I$104,2)</f>
        <v>0</v>
      </c>
      <c r="Y726" s="309">
        <f t="shared" si="242"/>
        <v>0.99760935985291654</v>
      </c>
      <c r="Z726" s="309">
        <f>VLOOKUP($B726,'Infant adult mortality'!$A$27:$I$128,5)</f>
        <v>5.1084205248203242E-3</v>
      </c>
      <c r="AA726" s="309">
        <f t="shared" si="313"/>
        <v>0.25</v>
      </c>
      <c r="AB726" s="309">
        <f t="shared" si="244"/>
        <v>0.7448915794751797</v>
      </c>
      <c r="AC726" s="309">
        <f>VLOOKUP($B726,'Infant adult mortality'!$A$27:$I$128,5)</f>
        <v>5.1084205248203242E-3</v>
      </c>
      <c r="AD726" s="309">
        <f t="shared" si="314"/>
        <v>0.14000000000000001</v>
      </c>
      <c r="AE726" s="309">
        <f t="shared" si="246"/>
        <v>0.85489157947517969</v>
      </c>
      <c r="AF726" s="309">
        <f>VLOOKUP($B726,'Infant adult mortality'!$A$27:$I$128,4)</f>
        <v>3.3720608390439577E-3</v>
      </c>
      <c r="AG726" s="309">
        <f t="shared" si="315"/>
        <v>0.5714285714285714</v>
      </c>
      <c r="AH726" s="309">
        <f t="shared" si="248"/>
        <v>0.42519936773238465</v>
      </c>
      <c r="AI726" s="309">
        <f>VLOOKUP($B726,'Infant adult mortality'!$A$27:$I$128,4)</f>
        <v>3.3720608390439577E-3</v>
      </c>
      <c r="AJ726" s="309">
        <f t="shared" si="316"/>
        <v>8.6261668788331098E-3</v>
      </c>
      <c r="AK726" s="309">
        <f t="shared" si="250"/>
        <v>0.98800177228212294</v>
      </c>
      <c r="AL726" s="309"/>
      <c r="AM726" s="315">
        <f t="shared" si="287"/>
        <v>32.155463799905611</v>
      </c>
      <c r="AN726" s="316">
        <f t="shared" si="288"/>
        <v>9.1245264039655893</v>
      </c>
      <c r="AO726" s="316">
        <f t="shared" si="289"/>
        <v>1.339855233348028</v>
      </c>
      <c r="AP726" s="316">
        <f t="shared" si="290"/>
        <v>59.023134865531127</v>
      </c>
      <c r="AQ726" s="316">
        <f t="shared" si="291"/>
        <v>57.807734168477943</v>
      </c>
      <c r="AR726" s="316">
        <f t="shared" si="292"/>
        <v>123.13742059587459</v>
      </c>
      <c r="AS726" s="316">
        <f t="shared" si="293"/>
        <v>31.270573212202862</v>
      </c>
      <c r="AT726" s="316">
        <f t="shared" si="294"/>
        <v>4.4362724962412585</v>
      </c>
      <c r="AU726" s="316">
        <f t="shared" si="295"/>
        <v>112.9926144205152</v>
      </c>
      <c r="AV726" s="316">
        <f t="shared" si="296"/>
        <v>78.712404803937702</v>
      </c>
      <c r="AW726" s="317">
        <f t="shared" si="251"/>
        <v>509.99999999999989</v>
      </c>
      <c r="AX726" s="309"/>
      <c r="AY726" s="308">
        <f>VLOOKUP($B726,'Infant adult mortality'!$A$134:$I$234,3)</f>
        <v>1.6868335283302695E-3</v>
      </c>
      <c r="AZ726" s="309">
        <f t="shared" si="252"/>
        <v>0.27</v>
      </c>
      <c r="BA726" s="309">
        <f ca="1">VLOOKUP($B726,'Infant pick up smoking rates'!$A$19:$I$104,7)</f>
        <v>0</v>
      </c>
      <c r="BB726" s="309">
        <f t="shared" si="253"/>
        <v>3.9588384698384868E-2</v>
      </c>
      <c r="BC726" s="309">
        <f t="shared" ca="1" si="254"/>
        <v>0.68872478177328478</v>
      </c>
      <c r="BD726" s="309">
        <f>VLOOKUP($B726,'Infant adult mortality'!$A$134:$I$234,3)</f>
        <v>1.6868335283302695E-3</v>
      </c>
      <c r="BE726" s="309">
        <f t="shared" si="255"/>
        <v>0.14000000000000001</v>
      </c>
      <c r="BF726" s="309">
        <f>VLOOKUP($B726,'Infant pick up smoking rates'!$A$19:$I$104,6)</f>
        <v>0</v>
      </c>
      <c r="BG726" s="309">
        <f t="shared" si="256"/>
        <v>3.9588384698384868E-2</v>
      </c>
      <c r="BH726" s="309">
        <f t="shared" si="257"/>
        <v>0.81872478177328478</v>
      </c>
      <c r="BI726" s="309">
        <f>VLOOKUP($B726,'Infant adult mortality'!$A$134:$I$234,3)</f>
        <v>1.6868335283302695E-3</v>
      </c>
      <c r="BJ726" s="309">
        <f t="shared" si="258"/>
        <v>0.5714285714285714</v>
      </c>
      <c r="BK726" s="309">
        <f>VLOOKUP($B726,'Infant pick up smoking rates'!$A$19:$I$104,6)</f>
        <v>0</v>
      </c>
      <c r="BL726" s="309">
        <f t="shared" si="259"/>
        <v>3.2528727619111852E-2</v>
      </c>
      <c r="BM726" s="309">
        <f t="shared" si="260"/>
        <v>0.39435586742398648</v>
      </c>
      <c r="BN726" s="309">
        <f>VLOOKUP($B726,'Infant adult mortality'!$A$134:$I$234,3)</f>
        <v>1.6868335283302695E-3</v>
      </c>
      <c r="BO726" s="309">
        <f t="shared" si="261"/>
        <v>8.6261668788331098E-3</v>
      </c>
      <c r="BP726" s="309">
        <f>VLOOKUP($B726,'Infant pick up smoking rates'!$A$19:$I$104,6)</f>
        <v>0</v>
      </c>
      <c r="BQ726" s="309">
        <f t="shared" si="262"/>
        <v>3.2528727619111852E-2</v>
      </c>
      <c r="BR726" s="309">
        <f t="shared" si="263"/>
        <v>0.95715827197372472</v>
      </c>
      <c r="BS726" s="309">
        <f>VLOOKUP($B726,'Infant adult mortality'!$A$134:$I$234,3)</f>
        <v>1.6868335283302695E-3</v>
      </c>
      <c r="BT726" s="309">
        <f>VLOOKUP($B726,'Infant pick up smoking rates'!$A$19:$I$104,6)</f>
        <v>0</v>
      </c>
      <c r="BU726" s="309">
        <f t="shared" si="264"/>
        <v>0.99831316647166968</v>
      </c>
      <c r="BV726" s="309">
        <f>VLOOKUP($B726,'Infant adult mortality'!$A$134:$I$234,5)</f>
        <v>3.6044969079057337E-3</v>
      </c>
      <c r="BW726" s="309">
        <f t="shared" si="322"/>
        <v>0.27</v>
      </c>
      <c r="BX726" s="309">
        <f t="shared" si="266"/>
        <v>0.72639550309209422</v>
      </c>
      <c r="BY726" s="309">
        <f>VLOOKUP($B726,'Infant adult mortality'!$A$134:$I$234,5)</f>
        <v>3.6044969079057337E-3</v>
      </c>
      <c r="BZ726" s="309">
        <f t="shared" si="267"/>
        <v>0.14000000000000001</v>
      </c>
      <c r="CA726" s="309">
        <f t="shared" si="268"/>
        <v>0.85639550309209422</v>
      </c>
      <c r="CB726" s="309">
        <f>VLOOKUP($B726,'Infant adult mortality'!$A$134:$I$234,4)</f>
        <v>2.3793230820658537E-3</v>
      </c>
      <c r="CC726" s="309">
        <f t="shared" si="269"/>
        <v>0.5714285714285714</v>
      </c>
      <c r="CD726" s="309">
        <f t="shared" si="270"/>
        <v>0.42619210548936276</v>
      </c>
      <c r="CE726" s="309">
        <f>VLOOKUP($B726,'Infant adult mortality'!$A$134:$I$234,4)</f>
        <v>2.3793230820658537E-3</v>
      </c>
      <c r="CF726" s="309">
        <f t="shared" si="271"/>
        <v>8.6261668788331098E-3</v>
      </c>
      <c r="CG726" s="309">
        <f t="shared" si="272"/>
        <v>0.98899451003910099</v>
      </c>
      <c r="CH726" s="309"/>
      <c r="CI726" s="315">
        <f t="shared" ca="1" si="297"/>
        <v>43.445326672668678</v>
      </c>
      <c r="CJ726" s="316">
        <f t="shared" ca="1" si="298"/>
        <v>12.326281274740195</v>
      </c>
      <c r="CK726" s="316">
        <f t="shared" ca="1" si="299"/>
        <v>1.8060872108721375</v>
      </c>
      <c r="CL726" s="316">
        <f t="shared" ca="1" si="300"/>
        <v>78.696085507046661</v>
      </c>
      <c r="CM726" s="316">
        <f t="shared" ca="1" si="301"/>
        <v>77.738538451736886</v>
      </c>
      <c r="CN726" s="316">
        <f t="shared" ca="1" si="302"/>
        <v>91.224412790429724</v>
      </c>
      <c r="CO726" s="316">
        <f t="shared" ca="1" si="303"/>
        <v>24.98832734616607</v>
      </c>
      <c r="CP726" s="316">
        <f t="shared" ca="1" si="304"/>
        <v>3.5482885615818343</v>
      </c>
      <c r="CQ726" s="316">
        <f t="shared" ca="1" si="305"/>
        <v>88.95905291221635</v>
      </c>
      <c r="CR726" s="316">
        <f t="shared" ca="1" si="306"/>
        <v>67.267599272542057</v>
      </c>
      <c r="CS726" s="317">
        <f t="shared" ca="1" si="273"/>
        <v>490.00000000000057</v>
      </c>
      <c r="CT726" s="309"/>
      <c r="CU726" s="309">
        <f t="shared" ca="1" si="274"/>
        <v>1000.0000000000005</v>
      </c>
      <c r="CV726" s="309" t="str">
        <f t="shared" ca="1" si="317"/>
        <v>OKAY</v>
      </c>
      <c r="CW726" s="309"/>
      <c r="CX726" s="315">
        <f>(SUM($AR726:$AS726))-((SUM($AR726:$AS726)*VLOOKUP($B726,Lifetime_morbidity_array!$A$30:$Y$48,4))+(SUM($AR726:$AS726)*VLOOKUP($B726,Lifetime_morbidity_array!$A$30:$Y$48,7))+(SUM($AR726:$AS726)*VLOOKUP($B726,Lifetime_morbidity_array!$A$30:$Y$48,10))+(SUM($AR726:$AS726)*VLOOKUP($B726,Lifetime_morbidity_array!$A$30:$Y$48,13)))</f>
        <v>91.659710427597858</v>
      </c>
      <c r="CY726" s="316">
        <f>(SUM($AT726:$AU726))-((SUM($AT726:$AU726)*(VLOOKUP($B726,Lifetime_morbidity_array!$A$30:$Y$48,3)))+(SUM($AT726:$AU726)*(VLOOKUP($B726,Lifetime_morbidity_array!$A$30:$Y$48,6)))+(SUM($AT726:$AU726)*(VLOOKUP($B726,Lifetime_morbidity_array!$A$30:$Y$48,9)))+(SUM($AT726:$AU726)*(VLOOKUP($B726,Lifetime_morbidity_array!$A$30:$Y$48,12))))</f>
        <v>96.553516207213164</v>
      </c>
      <c r="CZ726" s="316">
        <f>(SUM($AM726:$AQ726))-((SUM($AM726:$AQ726)*VLOOKUP($B726,Lifetime_morbidity_array!$A$30:$Y$48,2))+(SUM($AM726:$AQ726)*VLOOKUP($B726,Lifetime_morbidity_array!$A$30:$Y$48,5))+(SUM($AM726:$AQ726)*VLOOKUP($B726,Lifetime_morbidity_array!$A$30:$Y$48,8))+(SUM($AM726:$AQ726)*VLOOKUP($B726,Lifetime_morbidity_array!$A$30:$Y$48,11)))</f>
        <v>143.10783309576735</v>
      </c>
      <c r="DA726" s="316">
        <f>(SUM($AM726:$AQ726)*VLOOKUP($B726,Lifetime_morbidity_array!$A$30:$Y$48,2))+(SUM($AR726:$AS726)*VLOOKUP($B726,Lifetime_morbidity_array!$A$30:$Y$48,4))+(SUM($AT726:$AU726)*(VLOOKUP($B726,Lifetime_morbidity_array!$A$30:$Y$48,3)))</f>
        <v>57.716117734456503</v>
      </c>
      <c r="DB726" s="316">
        <f>(SUM($AM726:$AQ726)*VLOOKUP($B726,Lifetime_morbidity_array!$A$30:$Y$48,5))+(SUM($AR726:$AS726)*VLOOKUP($B726,Lifetime_morbidity_array!$A$30:$Y$48,7))+(SUM($AT726:$AU726)*(VLOOKUP($B726,Lifetime_morbidity_array!$A$30:$Y$48,6)))</f>
        <v>25.601279349508179</v>
      </c>
      <c r="DC726" s="316">
        <f>(SUM($AM726:$AQ726)*VLOOKUP($B726,Lifetime_morbidity_array!$A$30:$Y$48,8))+(SUM($AR726:$AS726)*VLOOKUP($B726,Lifetime_morbidity_array!$A$30:$Y$48,10))+(SUM($AT726:$AU726)*(VLOOKUP($B726,Lifetime_morbidity_array!$A$30:$Y$48,9)))</f>
        <v>1.1688942293817017</v>
      </c>
      <c r="DD726" s="317">
        <f>(SUM($AM726:$AQ726)*VLOOKUP($B726,Lifetime_morbidity_array!$A$30:$Y$48,11))+(SUM($AR726:$AS726)*VLOOKUP($B726,Lifetime_morbidity_array!$A$30:$Y$48,13))+(SUM($AT726:$AU726)*(VLOOKUP($B726,Lifetime_morbidity_array!$A$30:$Y$48,12)))</f>
        <v>15.480244152137402</v>
      </c>
      <c r="DE726" s="309"/>
      <c r="DF726" s="315">
        <f ca="1">(SUM($CN726:$CO726))-((SUM($CN726:$CO726)*VLOOKUP($B726,Lifetime_morbidity_array!$A$6:$Y$24,4))+(SUM($CN726:$CO726)*VLOOKUP($B726,Lifetime_morbidity_array!$A$6:$Y$24,7))+(SUM($CN726:$CO726)*VLOOKUP($B726,Lifetime_morbidity_array!$A$6:$Y$24,10))+(SUM($CN726:$CO726)*VLOOKUP($B726,Lifetime_morbidity_array!$A$6:$Y$24,13)))</f>
        <v>87.005201252763428</v>
      </c>
      <c r="DG726" s="316">
        <f ca="1">(SUM($CP726:$CQ726))-(((SUM($CP726:$CQ726)*VLOOKUP($B726,Lifetime_morbidity_array!$A$6:$Y$24,3))+(SUM($CP726:$CQ726)*VLOOKUP($B726,Lifetime_morbidity_array!$A$6:$Y$24,6))+(SUM($CP726:$CQ726)*VLOOKUP($B726,Lifetime_morbidity_array!$A$6:$Y$24,9))+(SUM($CP726:$CQ726)*VLOOKUP($B726,Lifetime_morbidity_array!$A$6:$Y$24,12))))</f>
        <v>81.546230802823402</v>
      </c>
      <c r="DH726" s="316">
        <f ca="1">(SUM($CI726:$CM726))-((SUM($CI726:$CM726)*VLOOKUP($B726,Lifetime_morbidity_array!$A$6:$Y$24,2))+(SUM($CI726:$CM726)*VLOOKUP($B726,Lifetime_morbidity_array!$A$6:$Y$24,5))+(SUM($CI726:$CM726)*VLOOKUP($B726,Lifetime_morbidity_array!$A$6:$Y$24,8))+(SUM($CI726:$CM726)*VLOOKUP($B726,Lifetime_morbidity_array!$A$6:$Y$24,11)))</f>
        <v>200.39557357838078</v>
      </c>
      <c r="DI726" s="316">
        <f ca="1">(SUM($CI726:$CM726)*VLOOKUP($B726,Lifetime_morbidity_array!$A$6:$Y$24,2))+(SUM($CN726:$CO726)*VLOOKUP($B726,Lifetime_morbidity_array!$A$6:$Y$24,4))+(SUM($CP726:$CQ726)*VLOOKUP($B726,Lifetime_morbidity_array!$A$6:$Y$24,3))</f>
        <v>21.20425901679652</v>
      </c>
      <c r="DJ726" s="316">
        <f ca="1">(SUM($CI726:$CM726)*VLOOKUP($B726,Lifetime_morbidity_array!$A$6:$Y$24,5))+(SUM($CN726:$CO726)*VLOOKUP($B726,Lifetime_morbidity_array!$A$6:$Y$24,7))+(SUM($CP726:$CQ726)*VLOOKUP($B726,Lifetime_morbidity_array!$A$6:$Y$24,6))</f>
        <v>20.213824239809316</v>
      </c>
      <c r="DK726" s="316">
        <f ca="1">(SUM($CI726:$CM726)*VLOOKUP($B726,Lifetime_morbidity_array!$A$6:$Y$24,8))+(SUM($CN726:$CO726)*VLOOKUP($B726,Lifetime_morbidity_array!$A$6:$Y$24,10))+(SUM($CP726:$CQ726)*VLOOKUP($B726,Lifetime_morbidity_array!$A$6:$Y$24,9))</f>
        <v>0.67522968496052616</v>
      </c>
      <c r="DL726" s="317">
        <f ca="1">(SUM($CI726:$CM726)*VLOOKUP($B726,Lifetime_morbidity_array!$A$6:$Y$24,11))+(SUM($CN726:$CO726)*VLOOKUP($B726,Lifetime_morbidity_array!$A$6:$Y$24,13))+(SUM($CP726:$CQ726)*VLOOKUP($B726,Lifetime_morbidity_array!$A$6:$Y$24,12))</f>
        <v>11.692082151924582</v>
      </c>
      <c r="DM726" s="309"/>
      <c r="DN726" s="308">
        <f t="shared" si="275"/>
        <v>60</v>
      </c>
      <c r="DO726" s="309">
        <f t="shared" ca="1" si="323"/>
        <v>108.4044353742247</v>
      </c>
      <c r="DP726" s="310">
        <f t="shared" ca="1" si="307"/>
        <v>22094.16374206452</v>
      </c>
      <c r="DQ726" s="309"/>
      <c r="DR726" s="308">
        <f t="shared" si="277"/>
        <v>60</v>
      </c>
      <c r="DS726" s="309">
        <f ca="1">((VLOOKUP($B726,'Mahawesran Tariff'!$A$21:$M$120,4)*'Comparator (DET)'!$CX726)+(VLOOKUP($B726,'Mahawesran Tariff'!$A$21:$M$120,3)*'Comparator (DET)'!$CY726)+(VLOOKUP($B726,'Mahawesran Tariff'!$A$21:$M$120,2)*'Comparator (DET)'!$CZ726)+(VLOOKUP($B726,'Mahawesran Tariff'!$A$21:$M$120,7)*'Comparator (DET)'!$DF726)+(VLOOKUP($B726,'Mahawesran Tariff'!$A$21:$M$120,6)*'Comparator (DET)'!$DG726)+(VLOOKUP($B726,'Mahawesran Tariff'!$A$21:$M$120,5)*'Comparator (DET)'!$DH726)+(DET_UTIL_chd*('Comparator (DET)'!$DA726+'Comparator (DET)'!$DI726))+(DET_UTIL_copd*('Comparator (DET)'!$DB726+'Comparator (DET)'!$DJ726))+(DET_UTIL_lc*('Comparator (DET)'!$DC726+'Comparator (DET)'!$DK726))+(DET_UTIL_stroke*('Comparator (DET)'!$DD726+'Comparator (DET)'!$DL726)))/((1+Discount_rate_QALYs)^$A726)</f>
        <v>97.189395108795779</v>
      </c>
      <c r="DT726" s="310">
        <f t="shared" ca="1" si="308"/>
        <v>21866.083711217128</v>
      </c>
      <c r="DU726" s="309"/>
      <c r="DV726" s="308">
        <f t="shared" si="278"/>
        <v>60</v>
      </c>
      <c r="DW726" s="318">
        <f t="shared" ca="1" si="324"/>
        <v>100493.00516724016</v>
      </c>
      <c r="DX726" s="319">
        <f t="shared" ca="1" si="309"/>
        <v>7081194.8673216626</v>
      </c>
      <c r="DZ726" s="95">
        <f t="shared" si="280"/>
        <v>60</v>
      </c>
      <c r="EA726" s="268">
        <f t="shared" ca="1" si="318"/>
        <v>0.85401999592352074</v>
      </c>
      <c r="EB726" s="268">
        <f t="shared" ca="1" si="319"/>
        <v>0.14598000407647976</v>
      </c>
      <c r="EC726" s="268">
        <f t="shared" ca="1" si="320"/>
        <v>0.15375193055897471</v>
      </c>
      <c r="ED726" s="290">
        <f t="shared" ca="1" si="321"/>
        <v>0.48055696233522793</v>
      </c>
      <c r="EF726" s="95">
        <f t="shared" si="281"/>
        <v>60</v>
      </c>
      <c r="EG726" s="339">
        <f t="shared" ca="1" si="325"/>
        <v>100493.00516724016</v>
      </c>
      <c r="EH726" s="341">
        <f t="shared" ca="1" si="310"/>
        <v>10181326.803177748</v>
      </c>
      <c r="EJ726" s="308">
        <f t="shared" si="283"/>
        <v>60</v>
      </c>
      <c r="EK726" s="318">
        <f t="shared" ca="1" si="284"/>
        <v>100493.00516724016</v>
      </c>
      <c r="EL726" s="319">
        <f t="shared" ca="1" si="311"/>
        <v>7081194.8673216626</v>
      </c>
      <c r="EN726" s="95">
        <f t="shared" si="285"/>
        <v>60</v>
      </c>
      <c r="EO726" s="339">
        <f t="shared" ca="1" si="286"/>
        <v>100493.00516724016</v>
      </c>
      <c r="EP726" s="341">
        <f t="shared" ca="1" si="312"/>
        <v>10181326.803177748</v>
      </c>
    </row>
    <row r="727" spans="1:146" s="266" customFormat="1" x14ac:dyDescent="0.25">
      <c r="A727" s="313">
        <v>61</v>
      </c>
      <c r="B727" s="314">
        <v>61</v>
      </c>
      <c r="C727" s="308">
        <f>VLOOKUP($B727,'Infant adult mortality'!$A$27:$I$128,3)</f>
        <v>2.5884046464984124E-3</v>
      </c>
      <c r="D727" s="309">
        <f t="shared" si="230"/>
        <v>0.27</v>
      </c>
      <c r="E727" s="309">
        <f>VLOOKUP($B727,'Infant pick up smoking rates'!$A$19:$I$104,3)</f>
        <v>0</v>
      </c>
      <c r="F727" s="309">
        <f t="shared" si="231"/>
        <v>4.395029082510031E-2</v>
      </c>
      <c r="G727" s="309">
        <f t="shared" si="232"/>
        <v>0.68346130452840126</v>
      </c>
      <c r="H727" s="309">
        <f>VLOOKUP($B727,'Infant adult mortality'!$A$27:$I$128,3)</f>
        <v>2.5884046464984124E-3</v>
      </c>
      <c r="I727" s="309">
        <f t="shared" si="233"/>
        <v>0.14000000000000001</v>
      </c>
      <c r="J727" s="309">
        <f>VLOOKUP($B727,'Infant pick up smoking rates'!$A$19:$I$104,2)</f>
        <v>0</v>
      </c>
      <c r="K727" s="309">
        <f t="shared" si="234"/>
        <v>4.395029082510031E-2</v>
      </c>
      <c r="L727" s="309">
        <f t="shared" si="235"/>
        <v>0.81346130452840126</v>
      </c>
      <c r="M727" s="309">
        <f>VLOOKUP($B727,'Infant adult mortality'!$A$27:$I$128,3)</f>
        <v>2.5884046464984124E-3</v>
      </c>
      <c r="N727" s="309">
        <f t="shared" si="236"/>
        <v>0.5714285714285714</v>
      </c>
      <c r="O727" s="309">
        <f>VLOOKUP($B727,'Infant pick up smoking rates'!$A$19:$I$104,2)</f>
        <v>0</v>
      </c>
      <c r="P727" s="309">
        <f t="shared" si="237"/>
        <v>3.6112790403614661E-2</v>
      </c>
      <c r="Q727" s="309">
        <f t="shared" si="238"/>
        <v>0.3898702335213155</v>
      </c>
      <c r="R727" s="309">
        <f>VLOOKUP($B727,'Infant adult mortality'!$A$27:$I$128,3)</f>
        <v>2.5884046464984124E-3</v>
      </c>
      <c r="S727" s="309">
        <f t="shared" si="239"/>
        <v>8.6261668788331098E-3</v>
      </c>
      <c r="T727" s="309">
        <f>VLOOKUP($B727,'Infant pick up smoking rates'!$A$19:$I$104,2)</f>
        <v>0</v>
      </c>
      <c r="U727" s="309">
        <f t="shared" si="240"/>
        <v>3.6112790403614661E-2</v>
      </c>
      <c r="V727" s="309">
        <f t="shared" si="241"/>
        <v>0.95267263807105373</v>
      </c>
      <c r="W727" s="309">
        <f>VLOOKUP($B727,'Infant adult mortality'!$A$27:$I$128,3)</f>
        <v>2.5884046464984124E-3</v>
      </c>
      <c r="X727" s="309">
        <f>VLOOKUP($B727,'Infant pick up smoking rates'!$A$19:$I$104,2)</f>
        <v>0</v>
      </c>
      <c r="Y727" s="309">
        <f t="shared" si="242"/>
        <v>0.99741159535350155</v>
      </c>
      <c r="Z727" s="309">
        <f>VLOOKUP($B727,'Infant adult mortality'!$A$27:$I$128,5)</f>
        <v>5.5310120340966076E-3</v>
      </c>
      <c r="AA727" s="309">
        <f t="shared" si="313"/>
        <v>0.25</v>
      </c>
      <c r="AB727" s="309">
        <f t="shared" si="244"/>
        <v>0.74446898796590344</v>
      </c>
      <c r="AC727" s="309">
        <f>VLOOKUP($B727,'Infant adult mortality'!$A$27:$I$128,5)</f>
        <v>5.5310120340966076E-3</v>
      </c>
      <c r="AD727" s="309">
        <f t="shared" si="314"/>
        <v>0.14000000000000001</v>
      </c>
      <c r="AE727" s="309">
        <f t="shared" si="246"/>
        <v>0.85446898796590343</v>
      </c>
      <c r="AF727" s="309">
        <f>VLOOKUP($B727,'Infant adult mortality'!$A$27:$I$128,4)</f>
        <v>3.6510128697977606E-3</v>
      </c>
      <c r="AG727" s="309">
        <f t="shared" si="315"/>
        <v>0.5714285714285714</v>
      </c>
      <c r="AH727" s="309">
        <f t="shared" si="248"/>
        <v>0.42492041570163086</v>
      </c>
      <c r="AI727" s="309">
        <f>VLOOKUP($B727,'Infant adult mortality'!$A$27:$I$128,4)</f>
        <v>3.6510128697977606E-3</v>
      </c>
      <c r="AJ727" s="309">
        <f t="shared" si="316"/>
        <v>8.6261668788331098E-3</v>
      </c>
      <c r="AK727" s="309">
        <f t="shared" si="250"/>
        <v>0.98772282025136915</v>
      </c>
      <c r="AL727" s="309"/>
      <c r="AM727" s="315">
        <f t="shared" si="287"/>
        <v>30.430977471945059</v>
      </c>
      <c r="AN727" s="316">
        <f t="shared" si="288"/>
        <v>8.6819752259745151</v>
      </c>
      <c r="AO727" s="316">
        <f t="shared" si="289"/>
        <v>1.2774336965551827</v>
      </c>
      <c r="AP727" s="316">
        <f t="shared" si="290"/>
        <v>56.995357161482289</v>
      </c>
      <c r="AQ727" s="316">
        <f t="shared" si="291"/>
        <v>61.652247945046433</v>
      </c>
      <c r="AR727" s="316">
        <f t="shared" si="292"/>
        <v>121.25148183882277</v>
      </c>
      <c r="AS727" s="316">
        <f t="shared" si="293"/>
        <v>30.784355148968647</v>
      </c>
      <c r="AT727" s="316">
        <f t="shared" si="294"/>
        <v>4.3778802497084008</v>
      </c>
      <c r="AU727" s="316">
        <f t="shared" si="295"/>
        <v>114.14039663800179</v>
      </c>
      <c r="AV727" s="316">
        <f t="shared" si="296"/>
        <v>80.407894623494812</v>
      </c>
      <c r="AW727" s="317">
        <f t="shared" si="251"/>
        <v>509.99999999999994</v>
      </c>
      <c r="AX727" s="309"/>
      <c r="AY727" s="308">
        <f>VLOOKUP($B727,'Infant adult mortality'!$A$134:$I$234,3)</f>
        <v>1.8194175162961725E-3</v>
      </c>
      <c r="AZ727" s="309">
        <f t="shared" si="252"/>
        <v>0.27</v>
      </c>
      <c r="BA727" s="309">
        <f ca="1">VLOOKUP($B727,'Infant pick up smoking rates'!$A$19:$I$104,7)</f>
        <v>0</v>
      </c>
      <c r="BB727" s="309">
        <f t="shared" si="253"/>
        <v>4.395029082510031E-2</v>
      </c>
      <c r="BC727" s="309">
        <f t="shared" ca="1" si="254"/>
        <v>0.6842302916586035</v>
      </c>
      <c r="BD727" s="309">
        <f>VLOOKUP($B727,'Infant adult mortality'!$A$134:$I$234,3)</f>
        <v>1.8194175162961725E-3</v>
      </c>
      <c r="BE727" s="309">
        <f t="shared" si="255"/>
        <v>0.14000000000000001</v>
      </c>
      <c r="BF727" s="309">
        <f>VLOOKUP($B727,'Infant pick up smoking rates'!$A$19:$I$104,6)</f>
        <v>0</v>
      </c>
      <c r="BG727" s="309">
        <f t="shared" si="256"/>
        <v>4.395029082510031E-2</v>
      </c>
      <c r="BH727" s="309">
        <f t="shared" si="257"/>
        <v>0.8142302916586035</v>
      </c>
      <c r="BI727" s="309">
        <f>VLOOKUP($B727,'Infant adult mortality'!$A$134:$I$234,3)</f>
        <v>1.8194175162961725E-3</v>
      </c>
      <c r="BJ727" s="309">
        <f t="shared" si="258"/>
        <v>0.5714285714285714</v>
      </c>
      <c r="BK727" s="309">
        <f>VLOOKUP($B727,'Infant pick up smoking rates'!$A$19:$I$104,6)</f>
        <v>0</v>
      </c>
      <c r="BL727" s="309">
        <f t="shared" si="259"/>
        <v>3.6112790403614661E-2</v>
      </c>
      <c r="BM727" s="309">
        <f t="shared" si="260"/>
        <v>0.39063922065151774</v>
      </c>
      <c r="BN727" s="309">
        <f>VLOOKUP($B727,'Infant adult mortality'!$A$134:$I$234,3)</f>
        <v>1.8194175162961725E-3</v>
      </c>
      <c r="BO727" s="309">
        <f t="shared" si="261"/>
        <v>8.6261668788331098E-3</v>
      </c>
      <c r="BP727" s="309">
        <f>VLOOKUP($B727,'Infant pick up smoking rates'!$A$19:$I$104,6)</f>
        <v>0</v>
      </c>
      <c r="BQ727" s="309">
        <f t="shared" si="262"/>
        <v>3.6112790403614661E-2</v>
      </c>
      <c r="BR727" s="309">
        <f t="shared" si="263"/>
        <v>0.95344162520125597</v>
      </c>
      <c r="BS727" s="309">
        <f>VLOOKUP($B727,'Infant adult mortality'!$A$134:$I$234,3)</f>
        <v>1.8194175162961725E-3</v>
      </c>
      <c r="BT727" s="309">
        <f>VLOOKUP($B727,'Infant pick up smoking rates'!$A$19:$I$104,6)</f>
        <v>0</v>
      </c>
      <c r="BU727" s="309">
        <f t="shared" si="264"/>
        <v>0.99818058248370378</v>
      </c>
      <c r="BV727" s="309">
        <f>VLOOKUP($B727,'Infant adult mortality'!$A$134:$I$234,5)</f>
        <v>3.8878079558749791E-3</v>
      </c>
      <c r="BW727" s="309">
        <f t="shared" si="322"/>
        <v>0.27</v>
      </c>
      <c r="BX727" s="309">
        <f t="shared" si="266"/>
        <v>0.72611219204412503</v>
      </c>
      <c r="BY727" s="309">
        <f>VLOOKUP($B727,'Infant adult mortality'!$A$134:$I$234,5)</f>
        <v>3.8878079558749791E-3</v>
      </c>
      <c r="BZ727" s="309">
        <f t="shared" si="267"/>
        <v>0.14000000000000001</v>
      </c>
      <c r="CA727" s="309">
        <f t="shared" si="268"/>
        <v>0.85611219204412503</v>
      </c>
      <c r="CB727" s="309">
        <f>VLOOKUP($B727,'Infant adult mortality'!$A$134:$I$234,4)</f>
        <v>2.5663362861440748E-3</v>
      </c>
      <c r="CC727" s="309">
        <f t="shared" si="269"/>
        <v>0.5714285714285714</v>
      </c>
      <c r="CD727" s="309">
        <f t="shared" si="270"/>
        <v>0.42600509228528455</v>
      </c>
      <c r="CE727" s="309">
        <f>VLOOKUP($B727,'Infant adult mortality'!$A$134:$I$234,4)</f>
        <v>2.5663362861440748E-3</v>
      </c>
      <c r="CF727" s="309">
        <f t="shared" si="271"/>
        <v>8.6261668788331098E-3</v>
      </c>
      <c r="CG727" s="309">
        <f t="shared" si="272"/>
        <v>0.98880749683502278</v>
      </c>
      <c r="CH727" s="309"/>
      <c r="CI727" s="315">
        <f t="shared" ca="1" si="297"/>
        <v>41.147414204619558</v>
      </c>
      <c r="CJ727" s="316">
        <f t="shared" ca="1" si="298"/>
        <v>11.730238201620544</v>
      </c>
      <c r="CK727" s="316">
        <f t="shared" ca="1" si="299"/>
        <v>1.7256793784636275</v>
      </c>
      <c r="CL727" s="316">
        <f t="shared" ca="1" si="300"/>
        <v>76.064173497599654</v>
      </c>
      <c r="CM727" s="316">
        <f t="shared" ca="1" si="301"/>
        <v>82.955436072656411</v>
      </c>
      <c r="CN727" s="316">
        <f t="shared" ca="1" si="302"/>
        <v>89.91093467097464</v>
      </c>
      <c r="CO727" s="316">
        <f t="shared" ca="1" si="303"/>
        <v>24.630591453416027</v>
      </c>
      <c r="CP727" s="316">
        <f t="shared" ca="1" si="304"/>
        <v>3.4983658284632502</v>
      </c>
      <c r="CQ727" s="316">
        <f t="shared" ca="1" si="305"/>
        <v>89.990971894704046</v>
      </c>
      <c r="CR727" s="316">
        <f t="shared" ca="1" si="306"/>
        <v>68.346194797482838</v>
      </c>
      <c r="CS727" s="317">
        <f t="shared" ca="1" si="273"/>
        <v>490.00000000000057</v>
      </c>
      <c r="CT727" s="309"/>
      <c r="CU727" s="309">
        <f t="shared" ca="1" si="274"/>
        <v>1000.0000000000005</v>
      </c>
      <c r="CV727" s="309" t="str">
        <f t="shared" ca="1" si="317"/>
        <v>OKAY</v>
      </c>
      <c r="CW727" s="309"/>
      <c r="CX727" s="315">
        <f>(SUM($AR727:$AS727))-((SUM($AR727:$AS727)*VLOOKUP($B727,Lifetime_morbidity_array!$A$30:$Y$48,4))+(SUM($AR727:$AS727)*VLOOKUP($B727,Lifetime_morbidity_array!$A$30:$Y$48,7))+(SUM($AR727:$AS727)*VLOOKUP($B727,Lifetime_morbidity_array!$A$30:$Y$48,10))+(SUM($AR727:$AS727)*VLOOKUP($B727,Lifetime_morbidity_array!$A$30:$Y$48,13)))</f>
        <v>90.251550125311141</v>
      </c>
      <c r="CY727" s="316">
        <f>(SUM($AT727:$AU727))-((SUM($AT727:$AU727)*(VLOOKUP($B727,Lifetime_morbidity_array!$A$30:$Y$48,3)))+(SUM($AT727:$AU727)*(VLOOKUP($B727,Lifetime_morbidity_array!$A$30:$Y$48,6)))+(SUM($AT727:$AU727)*(VLOOKUP($B727,Lifetime_morbidity_array!$A$30:$Y$48,9)))+(SUM($AT727:$AU727)*(VLOOKUP($B727,Lifetime_morbidity_array!$A$30:$Y$48,12))))</f>
        <v>97.449244975305987</v>
      </c>
      <c r="CZ727" s="316">
        <f>(SUM($AM727:$AQ727))-((SUM($AM727:$AQ727)*VLOOKUP($B727,Lifetime_morbidity_array!$A$30:$Y$48,2))+(SUM($AM727:$AQ727)*VLOOKUP($B727,Lifetime_morbidity_array!$A$30:$Y$48,5))+(SUM($AM727:$AQ727)*VLOOKUP($B727,Lifetime_morbidity_array!$A$30:$Y$48,8))+(SUM($AM727:$AQ727)*VLOOKUP($B727,Lifetime_morbidity_array!$A$30:$Y$48,11)))</f>
        <v>142.73741211563197</v>
      </c>
      <c r="DA727" s="316">
        <f>(SUM($AM727:$AQ727)*VLOOKUP($B727,Lifetime_morbidity_array!$A$30:$Y$48,2))+(SUM($AR727:$AS727)*VLOOKUP($B727,Lifetime_morbidity_array!$A$30:$Y$48,4))+(SUM($AT727:$AU727)*(VLOOKUP($B727,Lifetime_morbidity_array!$A$30:$Y$48,3)))</f>
        <v>57.29389832392522</v>
      </c>
      <c r="DB727" s="316">
        <f>(SUM($AM727:$AQ727)*VLOOKUP($B727,Lifetime_morbidity_array!$A$30:$Y$48,5))+(SUM($AR727:$AS727)*VLOOKUP($B727,Lifetime_morbidity_array!$A$30:$Y$48,7))+(SUM($AT727:$AU727)*(VLOOKUP($B727,Lifetime_morbidity_array!$A$30:$Y$48,6)))</f>
        <v>25.324825619556151</v>
      </c>
      <c r="DC727" s="316">
        <f>(SUM($AM727:$AQ727)*VLOOKUP($B727,Lifetime_morbidity_array!$A$30:$Y$48,8))+(SUM($AR727:$AS727)*VLOOKUP($B727,Lifetime_morbidity_array!$A$30:$Y$48,10))+(SUM($AT727:$AU727)*(VLOOKUP($B727,Lifetime_morbidity_array!$A$30:$Y$48,9)))</f>
        <v>1.1558443834538701</v>
      </c>
      <c r="DD727" s="317">
        <f>(SUM($AM727:$AQ727)*VLOOKUP($B727,Lifetime_morbidity_array!$A$30:$Y$48,11))+(SUM($AR727:$AS727)*VLOOKUP($B727,Lifetime_morbidity_array!$A$30:$Y$48,13))+(SUM($AT727:$AU727)*(VLOOKUP($B727,Lifetime_morbidity_array!$A$30:$Y$48,12)))</f>
        <v>15.379329833320755</v>
      </c>
      <c r="DE727" s="309"/>
      <c r="DF727" s="315">
        <f ca="1">(SUM($CN727:$CO727))-((SUM($CN727:$CO727)*VLOOKUP($B727,Lifetime_morbidity_array!$A$6:$Y$24,4))+(SUM($CN727:$CO727)*VLOOKUP($B727,Lifetime_morbidity_array!$A$6:$Y$24,7))+(SUM($CN727:$CO727)*VLOOKUP($B727,Lifetime_morbidity_array!$A$6:$Y$24,10))+(SUM($CN727:$CO727)*VLOOKUP($B727,Lifetime_morbidity_array!$A$6:$Y$24,13)))</f>
        <v>85.754010451329464</v>
      </c>
      <c r="DG727" s="316">
        <f ca="1">(SUM($CP727:$CQ727))-(((SUM($CP727:$CQ727)*VLOOKUP($B727,Lifetime_morbidity_array!$A$6:$Y$24,3))+(SUM($CP727:$CQ727)*VLOOKUP($B727,Lifetime_morbidity_array!$A$6:$Y$24,6))+(SUM($CP727:$CQ727)*VLOOKUP($B727,Lifetime_morbidity_array!$A$6:$Y$24,9))+(SUM($CP727:$CQ727)*VLOOKUP($B727,Lifetime_morbidity_array!$A$6:$Y$24,12))))</f>
        <v>82.411871210630835</v>
      </c>
      <c r="DH727" s="316">
        <f ca="1">(SUM($CI727:$CM727))-((SUM($CI727:$CM727)*VLOOKUP($B727,Lifetime_morbidity_array!$A$6:$Y$24,2))+(SUM($CI727:$CM727)*VLOOKUP($B727,Lifetime_morbidity_array!$A$6:$Y$24,5))+(SUM($CI727:$CM727)*VLOOKUP($B727,Lifetime_morbidity_array!$A$6:$Y$24,8))+(SUM($CI727:$CM727)*VLOOKUP($B727,Lifetime_morbidity_array!$A$6:$Y$24,11)))</f>
        <v>200.03097036162401</v>
      </c>
      <c r="DI727" s="316">
        <f ca="1">(SUM($CI727:$CM727)*VLOOKUP($B727,Lifetime_morbidity_array!$A$6:$Y$24,2))+(SUM($CN727:$CO727)*VLOOKUP($B727,Lifetime_morbidity_array!$A$6:$Y$24,4))+(SUM($CP727:$CQ727)*VLOOKUP($B727,Lifetime_morbidity_array!$A$6:$Y$24,3))</f>
        <v>21.064654459731631</v>
      </c>
      <c r="DJ727" s="316">
        <f ca="1">(SUM($CI727:$CM727)*VLOOKUP($B727,Lifetime_morbidity_array!$A$6:$Y$24,5))+(SUM($CN727:$CO727)*VLOOKUP($B727,Lifetime_morbidity_array!$A$6:$Y$24,7))+(SUM($CP727:$CQ727)*VLOOKUP($B727,Lifetime_morbidity_array!$A$6:$Y$24,6))</f>
        <v>20.087433963761761</v>
      </c>
      <c r="DK727" s="316">
        <f ca="1">(SUM($CI727:$CM727)*VLOOKUP($B727,Lifetime_morbidity_array!$A$6:$Y$24,8))+(SUM($CN727:$CO727)*VLOOKUP($B727,Lifetime_morbidity_array!$A$6:$Y$24,10))+(SUM($CP727:$CQ727)*VLOOKUP($B727,Lifetime_morbidity_array!$A$6:$Y$24,9))</f>
        <v>0.66886179936414336</v>
      </c>
      <c r="DL727" s="317">
        <f ca="1">(SUM($CI727:$CM727)*VLOOKUP($B727,Lifetime_morbidity_array!$A$6:$Y$24,11))+(SUM($CN727:$CO727)*VLOOKUP($B727,Lifetime_morbidity_array!$A$6:$Y$24,13))+(SUM($CP727:$CQ727)*VLOOKUP($B727,Lifetime_morbidity_array!$A$6:$Y$24,12))</f>
        <v>11.636002956075899</v>
      </c>
      <c r="DM727" s="309"/>
      <c r="DN727" s="308">
        <f t="shared" si="275"/>
        <v>61</v>
      </c>
      <c r="DO727" s="309">
        <f t="shared" ca="1" si="323"/>
        <v>104.39836596774967</v>
      </c>
      <c r="DP727" s="310">
        <f t="shared" ca="1" si="307"/>
        <v>22198.562108032271</v>
      </c>
      <c r="DQ727" s="309"/>
      <c r="DR727" s="308">
        <f t="shared" si="277"/>
        <v>61</v>
      </c>
      <c r="DS727" s="309">
        <f ca="1">((VLOOKUP($B727,'Mahawesran Tariff'!$A$21:$M$120,4)*'Comparator (DET)'!$CX727)+(VLOOKUP($B727,'Mahawesran Tariff'!$A$21:$M$120,3)*'Comparator (DET)'!$CY727)+(VLOOKUP($B727,'Mahawesran Tariff'!$A$21:$M$120,2)*'Comparator (DET)'!$CZ727)+(VLOOKUP($B727,'Mahawesran Tariff'!$A$21:$M$120,7)*'Comparator (DET)'!$DF727)+(VLOOKUP($B727,'Mahawesran Tariff'!$A$21:$M$120,6)*'Comparator (DET)'!$DG727)+(VLOOKUP($B727,'Mahawesran Tariff'!$A$21:$M$120,5)*'Comparator (DET)'!$DH727)+(DET_UTIL_chd*('Comparator (DET)'!$DA727+'Comparator (DET)'!$DI727))+(DET_UTIL_copd*('Comparator (DET)'!$DB727+'Comparator (DET)'!$DJ727))+(DET_UTIL_lc*('Comparator (DET)'!$DC727+'Comparator (DET)'!$DK727))+(DET_UTIL_stroke*('Comparator (DET)'!$DD727+'Comparator (DET)'!$DL727)))/((1+Discount_rate_QALYs)^$A727)</f>
        <v>93.618562812233719</v>
      </c>
      <c r="DT727" s="310">
        <f t="shared" ca="1" si="308"/>
        <v>21959.702274029361</v>
      </c>
      <c r="DU727" s="309"/>
      <c r="DV727" s="308">
        <f t="shared" si="278"/>
        <v>61</v>
      </c>
      <c r="DW727" s="318">
        <f t="shared" ca="1" si="324"/>
        <v>96485.278218214793</v>
      </c>
      <c r="DX727" s="319">
        <f t="shared" ca="1" si="309"/>
        <v>7177680.145539877</v>
      </c>
      <c r="DZ727" s="95">
        <f t="shared" si="280"/>
        <v>61</v>
      </c>
      <c r="EA727" s="268">
        <f t="shared" ca="1" si="318"/>
        <v>0.85124591057902288</v>
      </c>
      <c r="EB727" s="268">
        <f t="shared" ca="1" si="319"/>
        <v>0.14875408942097768</v>
      </c>
      <c r="EC727" s="268">
        <f t="shared" ca="1" si="320"/>
        <v>0.15261085133918942</v>
      </c>
      <c r="ED727" s="290">
        <f t="shared" ca="1" si="321"/>
        <v>0.47858497772305952</v>
      </c>
      <c r="EF727" s="95">
        <f t="shared" si="281"/>
        <v>61</v>
      </c>
      <c r="EG727" s="339">
        <f t="shared" ca="1" si="325"/>
        <v>96485.278218214793</v>
      </c>
      <c r="EH727" s="341">
        <f t="shared" ca="1" si="310"/>
        <v>10277812.081395963</v>
      </c>
      <c r="EJ727" s="308">
        <f t="shared" si="283"/>
        <v>61</v>
      </c>
      <c r="EK727" s="318">
        <f t="shared" ca="1" si="284"/>
        <v>96485.278218214793</v>
      </c>
      <c r="EL727" s="319">
        <f t="shared" ca="1" si="311"/>
        <v>7177680.145539877</v>
      </c>
      <c r="EN727" s="95">
        <f t="shared" si="285"/>
        <v>61</v>
      </c>
      <c r="EO727" s="339">
        <f t="shared" ca="1" si="286"/>
        <v>96485.278218214793</v>
      </c>
      <c r="EP727" s="341">
        <f t="shared" ca="1" si="312"/>
        <v>10277812.081395963</v>
      </c>
    </row>
    <row r="728" spans="1:146" s="266" customFormat="1" x14ac:dyDescent="0.25">
      <c r="A728" s="313">
        <v>62</v>
      </c>
      <c r="B728" s="314">
        <v>62</v>
      </c>
      <c r="C728" s="308">
        <f>VLOOKUP($B728,'Infant adult mortality'!$A$27:$I$128,3)</f>
        <v>2.8056994818652851E-3</v>
      </c>
      <c r="D728" s="309">
        <f t="shared" si="230"/>
        <v>0.27</v>
      </c>
      <c r="E728" s="309">
        <f>VLOOKUP($B728,'Infant pick up smoking rates'!$A$19:$I$104,3)</f>
        <v>0</v>
      </c>
      <c r="F728" s="309">
        <f t="shared" si="231"/>
        <v>4.8770510503422466E-2</v>
      </c>
      <c r="G728" s="309">
        <f t="shared" si="232"/>
        <v>0.6784237900147122</v>
      </c>
      <c r="H728" s="309">
        <f>VLOOKUP($B728,'Infant adult mortality'!$A$27:$I$128,3)</f>
        <v>2.8056994818652851E-3</v>
      </c>
      <c r="I728" s="309">
        <f t="shared" si="233"/>
        <v>0.14000000000000001</v>
      </c>
      <c r="J728" s="309">
        <f>VLOOKUP($B728,'Infant pick up smoking rates'!$A$19:$I$104,2)</f>
        <v>0</v>
      </c>
      <c r="K728" s="309">
        <f t="shared" si="234"/>
        <v>4.8770510503422466E-2</v>
      </c>
      <c r="L728" s="309">
        <f t="shared" si="235"/>
        <v>0.80842379001471221</v>
      </c>
      <c r="M728" s="309">
        <f>VLOOKUP($B728,'Infant adult mortality'!$A$27:$I$128,3)</f>
        <v>2.8056994818652851E-3</v>
      </c>
      <c r="N728" s="309">
        <f t="shared" si="236"/>
        <v>0.5714285714285714</v>
      </c>
      <c r="O728" s="309">
        <f>VLOOKUP($B728,'Infant pick up smoking rates'!$A$19:$I$104,2)</f>
        <v>0</v>
      </c>
      <c r="P728" s="309">
        <f t="shared" si="237"/>
        <v>4.0073437299794318E-2</v>
      </c>
      <c r="Q728" s="309">
        <f t="shared" si="238"/>
        <v>0.38569229178976905</v>
      </c>
      <c r="R728" s="309">
        <f>VLOOKUP($B728,'Infant adult mortality'!$A$27:$I$128,3)</f>
        <v>2.8056994818652851E-3</v>
      </c>
      <c r="S728" s="309">
        <f t="shared" si="239"/>
        <v>8.6261668788331098E-3</v>
      </c>
      <c r="T728" s="309">
        <f>VLOOKUP($B728,'Infant pick up smoking rates'!$A$19:$I$104,2)</f>
        <v>0</v>
      </c>
      <c r="U728" s="309">
        <f t="shared" si="240"/>
        <v>4.0073437299794318E-2</v>
      </c>
      <c r="V728" s="309">
        <f t="shared" si="241"/>
        <v>0.94849469633950734</v>
      </c>
      <c r="W728" s="309">
        <f>VLOOKUP($B728,'Infant adult mortality'!$A$27:$I$128,3)</f>
        <v>2.8056994818652851E-3</v>
      </c>
      <c r="X728" s="309">
        <f>VLOOKUP($B728,'Infant pick up smoking rates'!$A$19:$I$104,2)</f>
        <v>0</v>
      </c>
      <c r="Y728" s="309">
        <f t="shared" si="242"/>
        <v>0.99719430051813474</v>
      </c>
      <c r="Z728" s="309">
        <f>VLOOKUP($B728,'Infant adult mortality'!$A$27:$I$128,5)</f>
        <v>5.9953367875647673E-3</v>
      </c>
      <c r="AA728" s="309">
        <f t="shared" si="313"/>
        <v>0.25</v>
      </c>
      <c r="AB728" s="309">
        <f t="shared" si="244"/>
        <v>0.74400466321243519</v>
      </c>
      <c r="AC728" s="309">
        <f>VLOOKUP($B728,'Infant adult mortality'!$A$27:$I$128,5)</f>
        <v>5.9953367875647673E-3</v>
      </c>
      <c r="AD728" s="309">
        <f t="shared" si="314"/>
        <v>0.14000000000000001</v>
      </c>
      <c r="AE728" s="309">
        <f t="shared" si="246"/>
        <v>0.85400466321243518</v>
      </c>
      <c r="AF728" s="309">
        <f>VLOOKUP($B728,'Infant adult mortality'!$A$27:$I$128,4)</f>
        <v>3.9575129533678758E-3</v>
      </c>
      <c r="AG728" s="309">
        <f t="shared" si="315"/>
        <v>0.5714285714285714</v>
      </c>
      <c r="AH728" s="309">
        <f t="shared" si="248"/>
        <v>0.42461391561806072</v>
      </c>
      <c r="AI728" s="309">
        <f>VLOOKUP($B728,'Infant adult mortality'!$A$27:$I$128,4)</f>
        <v>3.9575129533678758E-3</v>
      </c>
      <c r="AJ728" s="309">
        <f t="shared" si="316"/>
        <v>8.6261668788331098E-3</v>
      </c>
      <c r="AK728" s="309">
        <f t="shared" si="250"/>
        <v>0.98741632016779901</v>
      </c>
      <c r="AL728" s="309"/>
      <c r="AM728" s="315">
        <f t="shared" si="287"/>
        <v>28.64816217959293</v>
      </c>
      <c r="AN728" s="316">
        <f t="shared" si="288"/>
        <v>8.2163639174251664</v>
      </c>
      <c r="AO728" s="316">
        <f t="shared" si="289"/>
        <v>1.2154765316364322</v>
      </c>
      <c r="AP728" s="316">
        <f t="shared" si="290"/>
        <v>54.789756095959156</v>
      </c>
      <c r="AQ728" s="316">
        <f t="shared" si="291"/>
        <v>65.72201996603853</v>
      </c>
      <c r="AR728" s="316">
        <f t="shared" si="292"/>
        <v>119.34515374466025</v>
      </c>
      <c r="AS728" s="316">
        <f t="shared" si="293"/>
        <v>30.312870459705692</v>
      </c>
      <c r="AT728" s="316">
        <f t="shared" si="294"/>
        <v>4.3098097208556112</v>
      </c>
      <c r="AU728" s="316">
        <f t="shared" si="295"/>
        <v>115.20573628776496</v>
      </c>
      <c r="AV728" s="316">
        <f t="shared" si="296"/>
        <v>82.234651096361134</v>
      </c>
      <c r="AW728" s="317">
        <f t="shared" si="251"/>
        <v>509.99999999999989</v>
      </c>
      <c r="AX728" s="309"/>
      <c r="AY728" s="308">
        <f>VLOOKUP($B728,'Infant adult mortality'!$A$134:$I$234,3)</f>
        <v>1.9610521477519639E-3</v>
      </c>
      <c r="AZ728" s="309">
        <f t="shared" si="252"/>
        <v>0.27</v>
      </c>
      <c r="BA728" s="309">
        <f ca="1">VLOOKUP($B728,'Infant pick up smoking rates'!$A$19:$I$104,7)</f>
        <v>0</v>
      </c>
      <c r="BB728" s="309">
        <f t="shared" si="253"/>
        <v>4.8770510503422466E-2</v>
      </c>
      <c r="BC728" s="309">
        <f t="shared" ca="1" si="254"/>
        <v>0.67926843734882547</v>
      </c>
      <c r="BD728" s="309">
        <f>VLOOKUP($B728,'Infant adult mortality'!$A$134:$I$234,3)</f>
        <v>1.9610521477519639E-3</v>
      </c>
      <c r="BE728" s="309">
        <f t="shared" si="255"/>
        <v>0.14000000000000001</v>
      </c>
      <c r="BF728" s="309">
        <f>VLOOKUP($B728,'Infant pick up smoking rates'!$A$19:$I$104,6)</f>
        <v>0</v>
      </c>
      <c r="BG728" s="309">
        <f t="shared" si="256"/>
        <v>4.8770510503422466E-2</v>
      </c>
      <c r="BH728" s="309">
        <f t="shared" si="257"/>
        <v>0.80926843734882548</v>
      </c>
      <c r="BI728" s="309">
        <f>VLOOKUP($B728,'Infant adult mortality'!$A$134:$I$234,3)</f>
        <v>1.9610521477519639E-3</v>
      </c>
      <c r="BJ728" s="309">
        <f t="shared" si="258"/>
        <v>0.5714285714285714</v>
      </c>
      <c r="BK728" s="309">
        <f>VLOOKUP($B728,'Infant pick up smoking rates'!$A$19:$I$104,6)</f>
        <v>0</v>
      </c>
      <c r="BL728" s="309">
        <f t="shared" si="259"/>
        <v>4.0073437299794318E-2</v>
      </c>
      <c r="BM728" s="309">
        <f t="shared" si="260"/>
        <v>0.38653693912388237</v>
      </c>
      <c r="BN728" s="309">
        <f>VLOOKUP($B728,'Infant adult mortality'!$A$134:$I$234,3)</f>
        <v>1.9610521477519639E-3</v>
      </c>
      <c r="BO728" s="309">
        <f t="shared" si="261"/>
        <v>8.6261668788331098E-3</v>
      </c>
      <c r="BP728" s="309">
        <f>VLOOKUP($B728,'Infant pick up smoking rates'!$A$19:$I$104,6)</f>
        <v>0</v>
      </c>
      <c r="BQ728" s="309">
        <f t="shared" si="262"/>
        <v>4.0073437299794318E-2</v>
      </c>
      <c r="BR728" s="309">
        <f t="shared" si="263"/>
        <v>0.94933934367362061</v>
      </c>
      <c r="BS728" s="309">
        <f>VLOOKUP($B728,'Infant adult mortality'!$A$134:$I$234,3)</f>
        <v>1.9610521477519639E-3</v>
      </c>
      <c r="BT728" s="309">
        <f>VLOOKUP($B728,'Infant pick up smoking rates'!$A$19:$I$104,6)</f>
        <v>0</v>
      </c>
      <c r="BU728" s="309">
        <f t="shared" si="264"/>
        <v>0.998038947852248</v>
      </c>
      <c r="BV728" s="309">
        <f>VLOOKUP($B728,'Infant adult mortality'!$A$134:$I$234,5)</f>
        <v>4.1904587999331442E-3</v>
      </c>
      <c r="BW728" s="309">
        <f t="shared" si="322"/>
        <v>0.27</v>
      </c>
      <c r="BX728" s="309">
        <f t="shared" si="266"/>
        <v>0.7258095412000668</v>
      </c>
      <c r="BY728" s="309">
        <f>VLOOKUP($B728,'Infant adult mortality'!$A$134:$I$234,5)</f>
        <v>4.1904587999331442E-3</v>
      </c>
      <c r="BZ728" s="309">
        <f t="shared" si="267"/>
        <v>0.14000000000000001</v>
      </c>
      <c r="CA728" s="309">
        <f t="shared" si="268"/>
        <v>0.8558095412000668</v>
      </c>
      <c r="CB728" s="309">
        <f>VLOOKUP($B728,'Infant adult mortality'!$A$134:$I$234,4)</f>
        <v>2.7661156610396119E-3</v>
      </c>
      <c r="CC728" s="309">
        <f t="shared" si="269"/>
        <v>0.5714285714285714</v>
      </c>
      <c r="CD728" s="309">
        <f t="shared" si="270"/>
        <v>0.42580531291038898</v>
      </c>
      <c r="CE728" s="309">
        <f>VLOOKUP($B728,'Infant adult mortality'!$A$134:$I$234,4)</f>
        <v>2.7661156610396119E-3</v>
      </c>
      <c r="CF728" s="309">
        <f t="shared" si="271"/>
        <v>8.6261668788331098E-3</v>
      </c>
      <c r="CG728" s="309">
        <f t="shared" si="272"/>
        <v>0.98860771746012732</v>
      </c>
      <c r="CH728" s="309"/>
      <c r="CI728" s="315">
        <f t="shared" ca="1" si="297"/>
        <v>38.766232365823086</v>
      </c>
      <c r="CJ728" s="316">
        <f t="shared" ca="1" si="298"/>
        <v>11.109801835247282</v>
      </c>
      <c r="CK728" s="316">
        <f t="shared" ca="1" si="299"/>
        <v>1.6422333482268763</v>
      </c>
      <c r="CL728" s="316">
        <f t="shared" ca="1" si="300"/>
        <v>73.196815047266881</v>
      </c>
      <c r="CM728" s="316">
        <f t="shared" ca="1" si="301"/>
        <v>88.488933030442425</v>
      </c>
      <c r="CN728" s="316">
        <f t="shared" ca="1" si="302"/>
        <v>88.603209311059445</v>
      </c>
      <c r="CO728" s="316">
        <f t="shared" ca="1" si="303"/>
        <v>24.275952361163153</v>
      </c>
      <c r="CP728" s="316">
        <f t="shared" ca="1" si="304"/>
        <v>3.4482828034782442</v>
      </c>
      <c r="CQ728" s="316">
        <f t="shared" ca="1" si="305"/>
        <v>90.964835504535131</v>
      </c>
      <c r="CR728" s="316">
        <f t="shared" ca="1" si="306"/>
        <v>69.503704392758053</v>
      </c>
      <c r="CS728" s="317">
        <f t="shared" ca="1" si="273"/>
        <v>490.00000000000057</v>
      </c>
      <c r="CT728" s="309"/>
      <c r="CU728" s="309">
        <f t="shared" ca="1" si="274"/>
        <v>1000.0000000000005</v>
      </c>
      <c r="CV728" s="309" t="str">
        <f t="shared" ca="1" si="317"/>
        <v>OKAY</v>
      </c>
      <c r="CW728" s="309"/>
      <c r="CX728" s="315">
        <f>(SUM($AR728:$AS728))-((SUM($AR728:$AS728)*VLOOKUP($B728,Lifetime_morbidity_array!$A$30:$Y$48,4))+(SUM($AR728:$AS728)*VLOOKUP($B728,Lifetime_morbidity_array!$A$30:$Y$48,7))+(SUM($AR728:$AS728)*VLOOKUP($B728,Lifetime_morbidity_array!$A$30:$Y$48,10))+(SUM($AR728:$AS728)*VLOOKUP($B728,Lifetime_morbidity_array!$A$30:$Y$48,13)))</f>
        <v>88.840032328825032</v>
      </c>
      <c r="CY728" s="316">
        <f>(SUM($AT728:$AU728))-((SUM($AT728:$AU728)*(VLOOKUP($B728,Lifetime_morbidity_array!$A$30:$Y$48,3)))+(SUM($AT728:$AU728)*(VLOOKUP($B728,Lifetime_morbidity_array!$A$30:$Y$48,6)))+(SUM($AT728:$AU728)*(VLOOKUP($B728,Lifetime_morbidity_array!$A$30:$Y$48,9)))+(SUM($AT728:$AU728)*(VLOOKUP($B728,Lifetime_morbidity_array!$A$30:$Y$48,12))))</f>
        <v>98.269229246271891</v>
      </c>
      <c r="CZ728" s="316">
        <f>(SUM($AM728:$AQ728))-((SUM($AM728:$AQ728)*VLOOKUP($B728,Lifetime_morbidity_array!$A$30:$Y$48,2))+(SUM($AM728:$AQ728)*VLOOKUP($B728,Lifetime_morbidity_array!$A$30:$Y$48,5))+(SUM($AM728:$AQ728)*VLOOKUP($B728,Lifetime_morbidity_array!$A$30:$Y$48,8))+(SUM($AM728:$AQ728)*VLOOKUP($B728,Lifetime_morbidity_array!$A$30:$Y$48,11)))</f>
        <v>142.33693383241635</v>
      </c>
      <c r="DA728" s="316">
        <f>(SUM($AM728:$AQ728)*VLOOKUP($B728,Lifetime_morbidity_array!$A$30:$Y$48,2))+(SUM($AR728:$AS728)*VLOOKUP($B728,Lifetime_morbidity_array!$A$30:$Y$48,4))+(SUM($AT728:$AU728)*(VLOOKUP($B728,Lifetime_morbidity_array!$A$30:$Y$48,3)))</f>
        <v>56.85793419832811</v>
      </c>
      <c r="DB728" s="316">
        <f>(SUM($AM728:$AQ728)*VLOOKUP($B728,Lifetime_morbidity_array!$A$30:$Y$48,5))+(SUM($AR728:$AS728)*VLOOKUP($B728,Lifetime_morbidity_array!$A$30:$Y$48,7))+(SUM($AT728:$AU728)*(VLOOKUP($B728,Lifetime_morbidity_array!$A$30:$Y$48,6)))</f>
        <v>25.04418203037406</v>
      </c>
      <c r="DC728" s="316">
        <f>(SUM($AM728:$AQ728)*VLOOKUP($B728,Lifetime_morbidity_array!$A$30:$Y$48,8))+(SUM($AR728:$AS728)*VLOOKUP($B728,Lifetime_morbidity_array!$A$30:$Y$48,10))+(SUM($AT728:$AU728)*(VLOOKUP($B728,Lifetime_morbidity_array!$A$30:$Y$48,9)))</f>
        <v>1.1426137545188944</v>
      </c>
      <c r="DD728" s="317">
        <f>(SUM($AM728:$AQ728)*VLOOKUP($B728,Lifetime_morbidity_array!$A$30:$Y$48,11))+(SUM($AR728:$AS728)*VLOOKUP($B728,Lifetime_morbidity_array!$A$30:$Y$48,13))+(SUM($AT728:$AU728)*(VLOOKUP($B728,Lifetime_morbidity_array!$A$30:$Y$48,12)))</f>
        <v>15.274423512904409</v>
      </c>
      <c r="DE728" s="309"/>
      <c r="DF728" s="315">
        <f ca="1">(SUM($CN728:$CO728))-((SUM($CN728:$CO728)*VLOOKUP($B728,Lifetime_morbidity_array!$A$6:$Y$24,4))+(SUM($CN728:$CO728)*VLOOKUP($B728,Lifetime_morbidity_array!$A$6:$Y$24,7))+(SUM($CN728:$CO728)*VLOOKUP($B728,Lifetime_morbidity_array!$A$6:$Y$24,10))+(SUM($CN728:$CO728)*VLOOKUP($B728,Lifetime_morbidity_array!$A$6:$Y$24,13)))</f>
        <v>84.509445065930919</v>
      </c>
      <c r="DG728" s="316">
        <f ca="1">(SUM($CP728:$CQ728))-(((SUM($CP728:$CQ728)*VLOOKUP($B728,Lifetime_morbidity_array!$A$6:$Y$24,3))+(SUM($CP728:$CQ728)*VLOOKUP($B728,Lifetime_morbidity_array!$A$6:$Y$24,6))+(SUM($CP728:$CQ728)*VLOOKUP($B728,Lifetime_morbidity_array!$A$6:$Y$24,9))+(SUM($CP728:$CQ728)*VLOOKUP($B728,Lifetime_morbidity_array!$A$6:$Y$24,12))))</f>
        <v>83.226193875004057</v>
      </c>
      <c r="DH728" s="316">
        <f ca="1">(SUM($CI728:$CM728))-((SUM($CI728:$CM728)*VLOOKUP($B728,Lifetime_morbidity_array!$A$6:$Y$24,2))+(SUM($CI728:$CM728)*VLOOKUP($B728,Lifetime_morbidity_array!$A$6:$Y$24,5))+(SUM($CI728:$CM728)*VLOOKUP($B728,Lifetime_morbidity_array!$A$6:$Y$24,8))+(SUM($CI728:$CM728)*VLOOKUP($B728,Lifetime_morbidity_array!$A$6:$Y$24,11)))</f>
        <v>199.63869919757943</v>
      </c>
      <c r="DI728" s="316">
        <f ca="1">(SUM($CI728:$CM728)*VLOOKUP($B728,Lifetime_morbidity_array!$A$6:$Y$24,2))+(SUM($CN728:$CO728)*VLOOKUP($B728,Lifetime_morbidity_array!$A$6:$Y$24,4))+(SUM($CP728:$CQ728)*VLOOKUP($B728,Lifetime_morbidity_array!$A$6:$Y$24,3))</f>
        <v>20.922903437270687</v>
      </c>
      <c r="DJ728" s="316">
        <f ca="1">(SUM($CI728:$CM728)*VLOOKUP($B728,Lifetime_morbidity_array!$A$6:$Y$24,5))+(SUM($CN728:$CO728)*VLOOKUP($B728,Lifetime_morbidity_array!$A$6:$Y$24,7))+(SUM($CP728:$CQ728)*VLOOKUP($B728,Lifetime_morbidity_array!$A$6:$Y$24,6))</f>
        <v>19.958301430065877</v>
      </c>
      <c r="DK728" s="316">
        <f ca="1">(SUM($CI728:$CM728)*VLOOKUP($B728,Lifetime_morbidity_array!$A$6:$Y$24,8))+(SUM($CN728:$CO728)*VLOOKUP($B728,Lifetime_morbidity_array!$A$6:$Y$24,10))+(SUM($CP728:$CQ728)*VLOOKUP($B728,Lifetime_morbidity_array!$A$6:$Y$24,9))</f>
        <v>0.66245804408729392</v>
      </c>
      <c r="DL728" s="317">
        <f ca="1">(SUM($CI728:$CM728)*VLOOKUP($B728,Lifetime_morbidity_array!$A$6:$Y$24,11))+(SUM($CN728:$CO728)*VLOOKUP($B728,Lifetime_morbidity_array!$A$6:$Y$24,13))+(SUM($CP728:$CQ728)*VLOOKUP($B728,Lifetime_morbidity_array!$A$6:$Y$24,12))</f>
        <v>11.578294557304257</v>
      </c>
      <c r="DM728" s="309"/>
      <c r="DN728" s="308">
        <f t="shared" si="275"/>
        <v>62</v>
      </c>
      <c r="DO728" s="309">
        <f t="shared" ca="1" si="323"/>
        <v>100.51436722887902</v>
      </c>
      <c r="DP728" s="310">
        <f t="shared" ca="1" si="307"/>
        <v>22299.07647526115</v>
      </c>
      <c r="DQ728" s="309"/>
      <c r="DR728" s="308">
        <f t="shared" si="277"/>
        <v>62</v>
      </c>
      <c r="DS728" s="309">
        <f ca="1">((VLOOKUP($B728,'Mahawesran Tariff'!$A$21:$M$120,4)*'Comparator (DET)'!$CX728)+(VLOOKUP($B728,'Mahawesran Tariff'!$A$21:$M$120,3)*'Comparator (DET)'!$CY728)+(VLOOKUP($B728,'Mahawesran Tariff'!$A$21:$M$120,2)*'Comparator (DET)'!$CZ728)+(VLOOKUP($B728,'Mahawesran Tariff'!$A$21:$M$120,7)*'Comparator (DET)'!$DF728)+(VLOOKUP($B728,'Mahawesran Tariff'!$A$21:$M$120,6)*'Comparator (DET)'!$DG728)+(VLOOKUP($B728,'Mahawesran Tariff'!$A$21:$M$120,5)*'Comparator (DET)'!$DH728)+(DET_UTIL_chd*('Comparator (DET)'!$DA728+'Comparator (DET)'!$DI728))+(DET_UTIL_copd*('Comparator (DET)'!$DB728+'Comparator (DET)'!$DJ728))+(DET_UTIL_lc*('Comparator (DET)'!$DC728+'Comparator (DET)'!$DK728))+(DET_UTIL_stroke*('Comparator (DET)'!$DD728+'Comparator (DET)'!$DL728)))/((1+Discount_rate_QALYs)^$A728)</f>
        <v>90.155490863259899</v>
      </c>
      <c r="DT728" s="310">
        <f t="shared" ca="1" si="308"/>
        <v>22049.857764892622</v>
      </c>
      <c r="DU728" s="309"/>
      <c r="DV728" s="308">
        <f t="shared" si="278"/>
        <v>62</v>
      </c>
      <c r="DW728" s="318">
        <f t="shared" ca="1" si="324"/>
        <v>92614.815425824985</v>
      </c>
      <c r="DX728" s="319">
        <f t="shared" ca="1" si="309"/>
        <v>7270294.9609657023</v>
      </c>
      <c r="DZ728" s="95">
        <f t="shared" si="280"/>
        <v>62</v>
      </c>
      <c r="EA728" s="268">
        <f t="shared" ca="1" si="318"/>
        <v>0.84826164451088126</v>
      </c>
      <c r="EB728" s="268">
        <f t="shared" ca="1" si="319"/>
        <v>0.15173835548911918</v>
      </c>
      <c r="EC728" s="268">
        <f t="shared" ca="1" si="320"/>
        <v>0.15144111096485358</v>
      </c>
      <c r="ED728" s="290">
        <f t="shared" ca="1" si="321"/>
        <v>0.47646585019322252</v>
      </c>
      <c r="EF728" s="95">
        <f t="shared" si="281"/>
        <v>62</v>
      </c>
      <c r="EG728" s="339">
        <f t="shared" ca="1" si="325"/>
        <v>92614.815425824985</v>
      </c>
      <c r="EH728" s="341">
        <f t="shared" ca="1" si="310"/>
        <v>10370426.896821788</v>
      </c>
      <c r="EJ728" s="308">
        <f t="shared" si="283"/>
        <v>62</v>
      </c>
      <c r="EK728" s="318">
        <f t="shared" ca="1" si="284"/>
        <v>92614.815425824985</v>
      </c>
      <c r="EL728" s="319">
        <f t="shared" ca="1" si="311"/>
        <v>7270294.9609657023</v>
      </c>
      <c r="EN728" s="95">
        <f t="shared" si="285"/>
        <v>62</v>
      </c>
      <c r="EO728" s="339">
        <f t="shared" ca="1" si="286"/>
        <v>92614.815425824985</v>
      </c>
      <c r="EP728" s="341">
        <f t="shared" ca="1" si="312"/>
        <v>10370426.896821788</v>
      </c>
    </row>
    <row r="729" spans="1:146" s="266" customFormat="1" x14ac:dyDescent="0.25">
      <c r="A729" s="313">
        <v>63</v>
      </c>
      <c r="B729" s="314">
        <v>63</v>
      </c>
      <c r="C729" s="308">
        <f>VLOOKUP($B729,'Infant adult mortality'!$A$27:$I$128,3)</f>
        <v>3.0372848069530338E-3</v>
      </c>
      <c r="D729" s="309">
        <f t="shared" si="230"/>
        <v>0.27</v>
      </c>
      <c r="E729" s="309">
        <f>VLOOKUP($B729,'Infant pick up smoking rates'!$A$19:$I$104,3)</f>
        <v>0</v>
      </c>
      <c r="F729" s="309">
        <f t="shared" si="231"/>
        <v>5.407866389048116E-2</v>
      </c>
      <c r="G729" s="309">
        <f t="shared" si="232"/>
        <v>0.67288405130256579</v>
      </c>
      <c r="H729" s="309">
        <f>VLOOKUP($B729,'Infant adult mortality'!$A$27:$I$128,3)</f>
        <v>3.0372848069530338E-3</v>
      </c>
      <c r="I729" s="309">
        <f t="shared" si="233"/>
        <v>0.14000000000000001</v>
      </c>
      <c r="J729" s="309">
        <f>VLOOKUP($B729,'Infant pick up smoking rates'!$A$19:$I$104,2)</f>
        <v>0</v>
      </c>
      <c r="K729" s="309">
        <f t="shared" si="234"/>
        <v>5.407866389048116E-2</v>
      </c>
      <c r="L729" s="309">
        <f t="shared" si="235"/>
        <v>0.80288405130256579</v>
      </c>
      <c r="M729" s="309">
        <f>VLOOKUP($B729,'Infant adult mortality'!$A$27:$I$128,3)</f>
        <v>3.0372848069530338E-3</v>
      </c>
      <c r="N729" s="309">
        <f t="shared" si="236"/>
        <v>0.5714285714285714</v>
      </c>
      <c r="O729" s="309">
        <f>VLOOKUP($B729,'Infant pick up smoking rates'!$A$19:$I$104,2)</f>
        <v>0</v>
      </c>
      <c r="P729" s="309">
        <f t="shared" si="237"/>
        <v>4.443500640658192E-2</v>
      </c>
      <c r="Q729" s="309">
        <f t="shared" si="238"/>
        <v>0.38109913735789364</v>
      </c>
      <c r="R729" s="309">
        <f>VLOOKUP($B729,'Infant adult mortality'!$A$27:$I$128,3)</f>
        <v>3.0372848069530338E-3</v>
      </c>
      <c r="S729" s="309">
        <f t="shared" si="239"/>
        <v>8.6261668788331098E-3</v>
      </c>
      <c r="T729" s="309">
        <f>VLOOKUP($B729,'Infant pick up smoking rates'!$A$19:$I$104,2)</f>
        <v>0</v>
      </c>
      <c r="U729" s="309">
        <f t="shared" si="240"/>
        <v>4.443500640658192E-2</v>
      </c>
      <c r="V729" s="309">
        <f t="shared" si="241"/>
        <v>0.94390154190763187</v>
      </c>
      <c r="W729" s="309">
        <f>VLOOKUP($B729,'Infant adult mortality'!$A$27:$I$128,3)</f>
        <v>3.0372848069530338E-3</v>
      </c>
      <c r="X729" s="309">
        <f>VLOOKUP($B729,'Infant pick up smoking rates'!$A$19:$I$104,2)</f>
        <v>0</v>
      </c>
      <c r="Y729" s="309">
        <f t="shared" si="242"/>
        <v>0.99696271519304691</v>
      </c>
      <c r="Z729" s="309">
        <f>VLOOKUP($B729,'Infant adult mortality'!$A$27:$I$128,5)</f>
        <v>6.4901980611733251E-3</v>
      </c>
      <c r="AA729" s="309">
        <f t="shared" si="313"/>
        <v>0.25</v>
      </c>
      <c r="AB729" s="309">
        <f t="shared" si="244"/>
        <v>0.74350980193882665</v>
      </c>
      <c r="AC729" s="309">
        <f>VLOOKUP($B729,'Infant adult mortality'!$A$27:$I$128,5)</f>
        <v>6.4901980611733251E-3</v>
      </c>
      <c r="AD729" s="309">
        <f t="shared" si="314"/>
        <v>0.14000000000000001</v>
      </c>
      <c r="AE729" s="309">
        <f t="shared" si="246"/>
        <v>0.85350980193882664</v>
      </c>
      <c r="AF729" s="309">
        <f>VLOOKUP($B729,'Infant adult mortality'!$A$27:$I$128,4)</f>
        <v>4.2841701487548057E-3</v>
      </c>
      <c r="AG729" s="309">
        <f t="shared" si="315"/>
        <v>0.5714285714285714</v>
      </c>
      <c r="AH729" s="309">
        <f t="shared" si="248"/>
        <v>0.42428725842267379</v>
      </c>
      <c r="AI729" s="309">
        <f>VLOOKUP($B729,'Infant adult mortality'!$A$27:$I$128,4)</f>
        <v>4.2841701487548057E-3</v>
      </c>
      <c r="AJ729" s="309">
        <f t="shared" si="316"/>
        <v>8.6261668788331098E-3</v>
      </c>
      <c r="AK729" s="309">
        <f t="shared" si="250"/>
        <v>0.98708966297241207</v>
      </c>
      <c r="AL729" s="309"/>
      <c r="AM729" s="315">
        <f t="shared" si="287"/>
        <v>26.809521615795685</v>
      </c>
      <c r="AN729" s="316">
        <f t="shared" si="288"/>
        <v>7.7350037884900917</v>
      </c>
      <c r="AO729" s="316">
        <f t="shared" si="289"/>
        <v>1.1502909484395234</v>
      </c>
      <c r="AP729" s="316">
        <f t="shared" si="290"/>
        <v>52.410693277796881</v>
      </c>
      <c r="AQ729" s="316">
        <f t="shared" si="291"/>
        <v>70.004580660205249</v>
      </c>
      <c r="AR729" s="316">
        <f t="shared" si="292"/>
        <v>117.42900494271419</v>
      </c>
      <c r="AS729" s="316">
        <f t="shared" si="293"/>
        <v>29.836288436165063</v>
      </c>
      <c r="AT729" s="316">
        <f t="shared" si="294"/>
        <v>4.2438018643587974</v>
      </c>
      <c r="AU729" s="316">
        <f t="shared" si="295"/>
        <v>116.18113981669599</v>
      </c>
      <c r="AV729" s="316">
        <f t="shared" si="296"/>
        <v>84.199674649338391</v>
      </c>
      <c r="AW729" s="317">
        <f t="shared" si="251"/>
        <v>509.99999999999977</v>
      </c>
      <c r="AX729" s="309"/>
      <c r="AY729" s="308">
        <f>VLOOKUP($B729,'Infant adult mortality'!$A$134:$I$234,3)</f>
        <v>2.1139603877653353E-3</v>
      </c>
      <c r="AZ729" s="309">
        <f t="shared" si="252"/>
        <v>0.27</v>
      </c>
      <c r="BA729" s="309">
        <f ca="1">VLOOKUP($B729,'Infant pick up smoking rates'!$A$19:$I$104,7)</f>
        <v>0</v>
      </c>
      <c r="BB729" s="309">
        <f t="shared" si="253"/>
        <v>5.407866389048116E-2</v>
      </c>
      <c r="BC729" s="309">
        <f t="shared" ca="1" si="254"/>
        <v>0.67380737572175353</v>
      </c>
      <c r="BD729" s="309">
        <f>VLOOKUP($B729,'Infant adult mortality'!$A$134:$I$234,3)</f>
        <v>2.1139603877653353E-3</v>
      </c>
      <c r="BE729" s="309">
        <f t="shared" si="255"/>
        <v>0.14000000000000001</v>
      </c>
      <c r="BF729" s="309">
        <f>VLOOKUP($B729,'Infant pick up smoking rates'!$A$19:$I$104,6)</f>
        <v>0</v>
      </c>
      <c r="BG729" s="309">
        <f t="shared" si="256"/>
        <v>5.407866389048116E-2</v>
      </c>
      <c r="BH729" s="309">
        <f t="shared" si="257"/>
        <v>0.80380737572175354</v>
      </c>
      <c r="BI729" s="309">
        <f>VLOOKUP($B729,'Infant adult mortality'!$A$134:$I$234,3)</f>
        <v>2.1139603877653353E-3</v>
      </c>
      <c r="BJ729" s="309">
        <f t="shared" si="258"/>
        <v>0.5714285714285714</v>
      </c>
      <c r="BK729" s="309">
        <f>VLOOKUP($B729,'Infant pick up smoking rates'!$A$19:$I$104,6)</f>
        <v>0</v>
      </c>
      <c r="BL729" s="309">
        <f t="shared" si="259"/>
        <v>4.443500640658192E-2</v>
      </c>
      <c r="BM729" s="309">
        <f t="shared" si="260"/>
        <v>0.38202246177708132</v>
      </c>
      <c r="BN729" s="309">
        <f>VLOOKUP($B729,'Infant adult mortality'!$A$134:$I$234,3)</f>
        <v>2.1139603877653353E-3</v>
      </c>
      <c r="BO729" s="309">
        <f t="shared" si="261"/>
        <v>8.6261668788331098E-3</v>
      </c>
      <c r="BP729" s="309">
        <f>VLOOKUP($B729,'Infant pick up smoking rates'!$A$19:$I$104,6)</f>
        <v>0</v>
      </c>
      <c r="BQ729" s="309">
        <f t="shared" si="262"/>
        <v>4.443500640658192E-2</v>
      </c>
      <c r="BR729" s="309">
        <f t="shared" si="263"/>
        <v>0.94482486632681961</v>
      </c>
      <c r="BS729" s="309">
        <f>VLOOKUP($B729,'Infant adult mortality'!$A$134:$I$234,3)</f>
        <v>2.1139603877653353E-3</v>
      </c>
      <c r="BT729" s="309">
        <f>VLOOKUP($B729,'Infant pick up smoking rates'!$A$19:$I$104,6)</f>
        <v>0</v>
      </c>
      <c r="BU729" s="309">
        <f t="shared" si="264"/>
        <v>0.99788603961223465</v>
      </c>
      <c r="BV729" s="309">
        <f>VLOOKUP($B729,'Infant adult mortality'!$A$134:$I$234,5)</f>
        <v>4.5171995654354003E-3</v>
      </c>
      <c r="BW729" s="309">
        <f t="shared" si="322"/>
        <v>0.27</v>
      </c>
      <c r="BX729" s="309">
        <f t="shared" si="266"/>
        <v>0.72548280043456459</v>
      </c>
      <c r="BY729" s="309">
        <f>VLOOKUP($B729,'Infant adult mortality'!$A$134:$I$234,5)</f>
        <v>4.5171995654354003E-3</v>
      </c>
      <c r="BZ729" s="309">
        <f t="shared" si="267"/>
        <v>0.14000000000000001</v>
      </c>
      <c r="CA729" s="309">
        <f t="shared" si="268"/>
        <v>0.85548280043456459</v>
      </c>
      <c r="CB729" s="309">
        <f>VLOOKUP($B729,'Infant adult mortality'!$A$134:$I$234,4)</f>
        <v>2.9817967574795254E-3</v>
      </c>
      <c r="CC729" s="309">
        <f t="shared" si="269"/>
        <v>0.5714285714285714</v>
      </c>
      <c r="CD729" s="309">
        <f t="shared" si="270"/>
        <v>0.4255896318139491</v>
      </c>
      <c r="CE729" s="309">
        <f>VLOOKUP($B729,'Infant adult mortality'!$A$134:$I$234,4)</f>
        <v>2.9817967574795254E-3</v>
      </c>
      <c r="CF729" s="309">
        <f t="shared" si="271"/>
        <v>8.6261668788331098E-3</v>
      </c>
      <c r="CG729" s="309">
        <f t="shared" si="272"/>
        <v>0.98839203636368733</v>
      </c>
      <c r="CH729" s="309"/>
      <c r="CI729" s="315">
        <f t="shared" ca="1" si="297"/>
        <v>36.309891923112652</v>
      </c>
      <c r="CJ729" s="316">
        <f t="shared" ca="1" si="298"/>
        <v>10.466882738772235</v>
      </c>
      <c r="CK729" s="316">
        <f t="shared" ca="1" si="299"/>
        <v>1.5553722569346196</v>
      </c>
      <c r="CL729" s="316">
        <f t="shared" ca="1" si="300"/>
        <v>70.096590048712514</v>
      </c>
      <c r="CM729" s="316">
        <f t="shared" ca="1" si="301"/>
        <v>94.324573815926541</v>
      </c>
      <c r="CN729" s="316">
        <f t="shared" ca="1" si="302"/>
        <v>87.299995387511643</v>
      </c>
      <c r="CO729" s="316">
        <f t="shared" ca="1" si="303"/>
        <v>23.922866513986051</v>
      </c>
      <c r="CP729" s="316">
        <f t="shared" ca="1" si="304"/>
        <v>3.3986333305628418</v>
      </c>
      <c r="CQ729" s="316">
        <f t="shared" ca="1" si="305"/>
        <v>91.8793663180886</v>
      </c>
      <c r="CR729" s="316">
        <f t="shared" ca="1" si="306"/>
        <v>70.745827666392884</v>
      </c>
      <c r="CS729" s="317">
        <f t="shared" ca="1" si="273"/>
        <v>490.00000000000063</v>
      </c>
      <c r="CT729" s="309"/>
      <c r="CU729" s="309">
        <f t="shared" ca="1" si="274"/>
        <v>1000.0000000000005</v>
      </c>
      <c r="CV729" s="309" t="str">
        <f t="shared" ca="1" si="317"/>
        <v>OKAY</v>
      </c>
      <c r="CW729" s="309"/>
      <c r="CX729" s="315">
        <f>(SUM($AR729:$AS729))-((SUM($AR729:$AS729)*VLOOKUP($B729,Lifetime_morbidity_array!$A$30:$Y$48,4))+(SUM($AR729:$AS729)*VLOOKUP($B729,Lifetime_morbidity_array!$A$30:$Y$48,7))+(SUM($AR729:$AS729)*VLOOKUP($B729,Lifetime_morbidity_array!$A$30:$Y$48,10))+(SUM($AR729:$AS729)*VLOOKUP($B729,Lifetime_morbidity_array!$A$30:$Y$48,13)))</f>
        <v>87.419658880621967</v>
      </c>
      <c r="CY729" s="316">
        <f>(SUM($AT729:$AU729))-((SUM($AT729:$AU729)*(VLOOKUP($B729,Lifetime_morbidity_array!$A$30:$Y$48,3)))+(SUM($AT729:$AU729)*(VLOOKUP($B729,Lifetime_morbidity_array!$A$30:$Y$48,6)))+(SUM($AT729:$AU729)*(VLOOKUP($B729,Lifetime_morbidity_array!$A$30:$Y$48,9)))+(SUM($AT729:$AU729)*(VLOOKUP($B729,Lifetime_morbidity_array!$A$30:$Y$48,12))))</f>
        <v>99.016961359745721</v>
      </c>
      <c r="CZ729" s="316">
        <f>(SUM($AM729:$AQ729))-((SUM($AM729:$AQ729)*VLOOKUP($B729,Lifetime_morbidity_array!$A$30:$Y$48,2))+(SUM($AM729:$AQ729)*VLOOKUP($B729,Lifetime_morbidity_array!$A$30:$Y$48,5))+(SUM($AM729:$AQ729)*VLOOKUP($B729,Lifetime_morbidity_array!$A$30:$Y$48,8))+(SUM($AM729:$AQ729)*VLOOKUP($B729,Lifetime_morbidity_array!$A$30:$Y$48,11)))</f>
        <v>141.90461602581885</v>
      </c>
      <c r="DA729" s="316">
        <f>(SUM($AM729:$AQ729)*VLOOKUP($B729,Lifetime_morbidity_array!$A$30:$Y$48,2))+(SUM($AR729:$AS729)*VLOOKUP($B729,Lifetime_morbidity_array!$A$30:$Y$48,4))+(SUM($AT729:$AU729)*(VLOOKUP($B729,Lifetime_morbidity_array!$A$30:$Y$48,3)))</f>
        <v>56.406549117258308</v>
      </c>
      <c r="DB729" s="316">
        <f>(SUM($AM729:$AQ729)*VLOOKUP($B729,Lifetime_morbidity_array!$A$30:$Y$48,5))+(SUM($AR729:$AS729)*VLOOKUP($B729,Lifetime_morbidity_array!$A$30:$Y$48,7))+(SUM($AT729:$AU729)*(VLOOKUP($B729,Lifetime_morbidity_array!$A$30:$Y$48,6)))</f>
        <v>24.758265732167857</v>
      </c>
      <c r="DC729" s="316">
        <f>(SUM($AM729:$AQ729)*VLOOKUP($B729,Lifetime_morbidity_array!$A$30:$Y$48,8))+(SUM($AR729:$AS729)*VLOOKUP($B729,Lifetime_morbidity_array!$A$30:$Y$48,10))+(SUM($AT729:$AU729)*(VLOOKUP($B729,Lifetime_morbidity_array!$A$30:$Y$48,9)))</f>
        <v>1.1291512601306539</v>
      </c>
      <c r="DD729" s="317">
        <f>(SUM($AM729:$AQ729)*VLOOKUP($B729,Lifetime_morbidity_array!$A$30:$Y$48,11))+(SUM($AR729:$AS729)*VLOOKUP($B729,Lifetime_morbidity_array!$A$30:$Y$48,13))+(SUM($AT729:$AU729)*(VLOOKUP($B729,Lifetime_morbidity_array!$A$30:$Y$48,12)))</f>
        <v>15.165122974918107</v>
      </c>
      <c r="DE729" s="309"/>
      <c r="DF729" s="315">
        <f ca="1">(SUM($CN729:$CO729))-((SUM($CN729:$CO729)*VLOOKUP($B729,Lifetime_morbidity_array!$A$6:$Y$24,4))+(SUM($CN729:$CO729)*VLOOKUP($B729,Lifetime_morbidity_array!$A$6:$Y$24,7))+(SUM($CN729:$CO729)*VLOOKUP($B729,Lifetime_morbidity_array!$A$6:$Y$24,10))+(SUM($CN729:$CO729)*VLOOKUP($B729,Lifetime_morbidity_array!$A$6:$Y$24,13)))</f>
        <v>83.269420136500258</v>
      </c>
      <c r="DG729" s="316">
        <f ca="1">(SUM($CP729:$CQ729))-(((SUM($CP729:$CQ729)*VLOOKUP($B729,Lifetime_morbidity_array!$A$6:$Y$24,3))+(SUM($CP729:$CQ729)*VLOOKUP($B729,Lifetime_morbidity_array!$A$6:$Y$24,6))+(SUM($CP729:$CQ729)*VLOOKUP($B729,Lifetime_morbidity_array!$A$6:$Y$24,9))+(SUM($CP729:$CQ729)*VLOOKUP($B729,Lifetime_morbidity_array!$A$6:$Y$24,12))))</f>
        <v>83.988596212992576</v>
      </c>
      <c r="DH729" s="316">
        <f ca="1">(SUM($CI729:$CM729))-((SUM($CI729:$CM729)*VLOOKUP($B729,Lifetime_morbidity_array!$A$6:$Y$24,2))+(SUM($CI729:$CM729)*VLOOKUP($B729,Lifetime_morbidity_array!$A$6:$Y$24,5))+(SUM($CI729:$CM729)*VLOOKUP($B729,Lifetime_morbidity_array!$A$6:$Y$24,8))+(SUM($CI729:$CM729)*VLOOKUP($B729,Lifetime_morbidity_array!$A$6:$Y$24,11)))</f>
        <v>199.21667089561078</v>
      </c>
      <c r="DI729" s="316">
        <f ca="1">(SUM($CI729:$CM729)*VLOOKUP($B729,Lifetime_morbidity_array!$A$6:$Y$24,2))+(SUM($CN729:$CO729)*VLOOKUP($B729,Lifetime_morbidity_array!$A$6:$Y$24,4))+(SUM($CP729:$CQ729)*VLOOKUP($B729,Lifetime_morbidity_array!$A$6:$Y$24,3))</f>
        <v>20.778641038178112</v>
      </c>
      <c r="DJ729" s="316">
        <f ca="1">(SUM($CI729:$CM729)*VLOOKUP($B729,Lifetime_morbidity_array!$A$6:$Y$24,5))+(SUM($CN729:$CO729)*VLOOKUP($B729,Lifetime_morbidity_array!$A$6:$Y$24,7))+(SUM($CP729:$CQ729)*VLOOKUP($B729,Lifetime_morbidity_array!$A$6:$Y$24,6))</f>
        <v>19.826064380114698</v>
      </c>
      <c r="DK729" s="316">
        <f ca="1">(SUM($CI729:$CM729)*VLOOKUP($B729,Lifetime_morbidity_array!$A$6:$Y$24,8))+(SUM($CN729:$CO729)*VLOOKUP($B729,Lifetime_morbidity_array!$A$6:$Y$24,10))+(SUM($CP729:$CQ729)*VLOOKUP($B729,Lifetime_morbidity_array!$A$6:$Y$24,9))</f>
        <v>0.65600471589513387</v>
      </c>
      <c r="DL729" s="317">
        <f ca="1">(SUM($CI729:$CM729)*VLOOKUP($B729,Lifetime_morbidity_array!$A$6:$Y$24,11))+(SUM($CN729:$CO729)*VLOOKUP($B729,Lifetime_morbidity_array!$A$6:$Y$24,13))+(SUM($CP729:$CQ729)*VLOOKUP($B729,Lifetime_morbidity_array!$A$6:$Y$24,12))</f>
        <v>11.518774954316156</v>
      </c>
      <c r="DM729" s="309"/>
      <c r="DN729" s="308">
        <f t="shared" si="275"/>
        <v>63</v>
      </c>
      <c r="DO729" s="309">
        <f t="shared" ca="1" si="323"/>
        <v>96.748152525749276</v>
      </c>
      <c r="DP729" s="310">
        <f t="shared" ca="1" si="307"/>
        <v>22395.8246277869</v>
      </c>
      <c r="DQ729" s="309"/>
      <c r="DR729" s="308">
        <f t="shared" si="277"/>
        <v>63</v>
      </c>
      <c r="DS729" s="309">
        <f ca="1">((VLOOKUP($B729,'Mahawesran Tariff'!$A$21:$M$120,4)*'Comparator (DET)'!$CX729)+(VLOOKUP($B729,'Mahawesran Tariff'!$A$21:$M$120,3)*'Comparator (DET)'!$CY729)+(VLOOKUP($B729,'Mahawesran Tariff'!$A$21:$M$120,2)*'Comparator (DET)'!$CZ729)+(VLOOKUP($B729,'Mahawesran Tariff'!$A$21:$M$120,7)*'Comparator (DET)'!$DF729)+(VLOOKUP($B729,'Mahawesran Tariff'!$A$21:$M$120,6)*'Comparator (DET)'!$DG729)+(VLOOKUP($B729,'Mahawesran Tariff'!$A$21:$M$120,5)*'Comparator (DET)'!$DH729)+(DET_UTIL_chd*('Comparator (DET)'!$DA729+'Comparator (DET)'!$DI729))+(DET_UTIL_copd*('Comparator (DET)'!$DB729+'Comparator (DET)'!$DJ729))+(DET_UTIL_lc*('Comparator (DET)'!$DC729+'Comparator (DET)'!$DK729))+(DET_UTIL_stroke*('Comparator (DET)'!$DD729+'Comparator (DET)'!$DL729)))/((1+Discount_rate_QALYs)^$A729)</f>
        <v>86.796490527441037</v>
      </c>
      <c r="DT729" s="310">
        <f t="shared" ca="1" si="308"/>
        <v>22136.654255420064</v>
      </c>
      <c r="DU729" s="309"/>
      <c r="DV729" s="308">
        <f t="shared" si="278"/>
        <v>63</v>
      </c>
      <c r="DW729" s="318">
        <f t="shared" ca="1" si="324"/>
        <v>88875.461220193596</v>
      </c>
      <c r="DX729" s="319">
        <f t="shared" ca="1" si="309"/>
        <v>7359170.422185896</v>
      </c>
      <c r="DZ729" s="95">
        <f t="shared" si="280"/>
        <v>63</v>
      </c>
      <c r="EA729" s="268">
        <f t="shared" ca="1" si="318"/>
        <v>0.8450544976842691</v>
      </c>
      <c r="EB729" s="268">
        <f t="shared" ca="1" si="319"/>
        <v>0.15494550231573129</v>
      </c>
      <c r="EC729" s="268">
        <f t="shared" ca="1" si="320"/>
        <v>0.15023857417297903</v>
      </c>
      <c r="ED729" s="290">
        <f t="shared" ca="1" si="321"/>
        <v>0.47419109661008313</v>
      </c>
      <c r="EF729" s="95">
        <f t="shared" si="281"/>
        <v>63</v>
      </c>
      <c r="EG729" s="339">
        <f t="shared" ca="1" si="325"/>
        <v>88875.461220193596</v>
      </c>
      <c r="EH729" s="341">
        <f t="shared" ca="1" si="310"/>
        <v>10459302.358041981</v>
      </c>
      <c r="EJ729" s="308">
        <f t="shared" si="283"/>
        <v>63</v>
      </c>
      <c r="EK729" s="318">
        <f t="shared" ca="1" si="284"/>
        <v>88875.461220193596</v>
      </c>
      <c r="EL729" s="319">
        <f t="shared" ca="1" si="311"/>
        <v>7359170.422185896</v>
      </c>
      <c r="EN729" s="95">
        <f t="shared" si="285"/>
        <v>63</v>
      </c>
      <c r="EO729" s="339">
        <f t="shared" ca="1" si="286"/>
        <v>88875.461220193596</v>
      </c>
      <c r="EP729" s="341">
        <f t="shared" ca="1" si="312"/>
        <v>10459302.358041981</v>
      </c>
    </row>
    <row r="730" spans="1:146" s="266" customFormat="1" x14ac:dyDescent="0.25">
      <c r="A730" s="313">
        <v>64</v>
      </c>
      <c r="B730" s="314">
        <v>64</v>
      </c>
      <c r="C730" s="308">
        <f>VLOOKUP($B730,'Infant adult mortality'!$A$27:$I$128,3)</f>
        <v>3.2868126358014376E-3</v>
      </c>
      <c r="D730" s="309">
        <f t="shared" si="230"/>
        <v>0.27</v>
      </c>
      <c r="E730" s="309">
        <f>VLOOKUP($B730,'Infant pick up smoking rates'!$A$19:$I$104,3)</f>
        <v>0</v>
      </c>
      <c r="F730" s="309">
        <f t="shared" si="231"/>
        <v>5.9920963347607645E-2</v>
      </c>
      <c r="G730" s="309">
        <f t="shared" si="232"/>
        <v>0.66679222401659088</v>
      </c>
      <c r="H730" s="309">
        <f>VLOOKUP($B730,'Infant adult mortality'!$A$27:$I$128,3)</f>
        <v>3.2868126358014376E-3</v>
      </c>
      <c r="I730" s="309">
        <f t="shared" si="233"/>
        <v>0.14000000000000001</v>
      </c>
      <c r="J730" s="309">
        <f>VLOOKUP($B730,'Infant pick up smoking rates'!$A$19:$I$104,2)</f>
        <v>0</v>
      </c>
      <c r="K730" s="309">
        <f t="shared" si="234"/>
        <v>5.9920963347607645E-2</v>
      </c>
      <c r="L730" s="309">
        <f t="shared" si="235"/>
        <v>0.79679222401659089</v>
      </c>
      <c r="M730" s="309">
        <f>VLOOKUP($B730,'Infant adult mortality'!$A$27:$I$128,3)</f>
        <v>3.2868126358014376E-3</v>
      </c>
      <c r="N730" s="309">
        <f t="shared" si="236"/>
        <v>0.5714285714285714</v>
      </c>
      <c r="O730" s="309">
        <f>VLOOKUP($B730,'Infant pick up smoking rates'!$A$19:$I$104,2)</f>
        <v>0</v>
      </c>
      <c r="P730" s="309">
        <f t="shared" si="237"/>
        <v>4.9235469197828514E-2</v>
      </c>
      <c r="Q730" s="309">
        <f t="shared" si="238"/>
        <v>0.37604914673779866</v>
      </c>
      <c r="R730" s="309">
        <f>VLOOKUP($B730,'Infant adult mortality'!$A$27:$I$128,3)</f>
        <v>3.2868126358014376E-3</v>
      </c>
      <c r="S730" s="309">
        <f t="shared" si="239"/>
        <v>8.6261668788331098E-3</v>
      </c>
      <c r="T730" s="309">
        <f>VLOOKUP($B730,'Infant pick up smoking rates'!$A$19:$I$104,2)</f>
        <v>0</v>
      </c>
      <c r="U730" s="309">
        <f t="shared" si="240"/>
        <v>4.9235469197828514E-2</v>
      </c>
      <c r="V730" s="309">
        <f t="shared" si="241"/>
        <v>0.93885155128753695</v>
      </c>
      <c r="W730" s="309">
        <f>VLOOKUP($B730,'Infant adult mortality'!$A$27:$I$128,3)</f>
        <v>3.2868126358014376E-3</v>
      </c>
      <c r="X730" s="309">
        <f>VLOOKUP($B730,'Infant pick up smoking rates'!$A$19:$I$104,2)</f>
        <v>0</v>
      </c>
      <c r="Y730" s="309">
        <f t="shared" si="242"/>
        <v>0.99671318736419856</v>
      </c>
      <c r="Z730" s="309">
        <f>VLOOKUP($B730,'Infant adult mortality'!$A$27:$I$128,5)</f>
        <v>7.0233996322914931E-3</v>
      </c>
      <c r="AA730" s="309">
        <f t="shared" si="313"/>
        <v>0.25</v>
      </c>
      <c r="AB730" s="309">
        <f t="shared" si="244"/>
        <v>0.74297660036770852</v>
      </c>
      <c r="AC730" s="309">
        <f>VLOOKUP($B730,'Infant adult mortality'!$A$27:$I$128,5)</f>
        <v>7.0233996322914931E-3</v>
      </c>
      <c r="AD730" s="309">
        <f t="shared" si="314"/>
        <v>0.14000000000000001</v>
      </c>
      <c r="AE730" s="309">
        <f t="shared" si="246"/>
        <v>0.8529766003677085</v>
      </c>
      <c r="AF730" s="309">
        <f>VLOOKUP($B730,'Infant adult mortality'!$A$27:$I$128,4)</f>
        <v>4.6361357178672903E-3</v>
      </c>
      <c r="AG730" s="309">
        <f t="shared" si="315"/>
        <v>0.5714285714285714</v>
      </c>
      <c r="AH730" s="309">
        <f t="shared" si="248"/>
        <v>0.4239352928535613</v>
      </c>
      <c r="AI730" s="309">
        <f>VLOOKUP($B730,'Infant adult mortality'!$A$27:$I$128,4)</f>
        <v>4.6361357178672903E-3</v>
      </c>
      <c r="AJ730" s="309">
        <f t="shared" si="316"/>
        <v>8.6261668788331098E-3</v>
      </c>
      <c r="AK730" s="309">
        <f t="shared" si="250"/>
        <v>0.98673769740329964</v>
      </c>
      <c r="AL730" s="309"/>
      <c r="AM730" s="315">
        <f t="shared" si="287"/>
        <v>24.924240730535555</v>
      </c>
      <c r="AN730" s="316">
        <f t="shared" si="288"/>
        <v>7.2385708362648353</v>
      </c>
      <c r="AO730" s="316">
        <f t="shared" si="289"/>
        <v>1.082900530388613</v>
      </c>
      <c r="AP730" s="316">
        <f t="shared" si="290"/>
        <v>49.863169801308899</v>
      </c>
      <c r="AQ730" s="316">
        <f t="shared" si="291"/>
        <v>74.481530149614258</v>
      </c>
      <c r="AR730" s="316">
        <f t="shared" si="292"/>
        <v>115.49795404118238</v>
      </c>
      <c r="AS730" s="316">
        <f t="shared" si="293"/>
        <v>29.357251235678547</v>
      </c>
      <c r="AT730" s="316">
        <f t="shared" si="294"/>
        <v>4.1770803810631092</v>
      </c>
      <c r="AU730" s="316">
        <f t="shared" si="295"/>
        <v>117.06534002119388</v>
      </c>
      <c r="AV730" s="316">
        <f t="shared" si="296"/>
        <v>86.311962272769819</v>
      </c>
      <c r="AW730" s="317">
        <f t="shared" si="251"/>
        <v>509.99999999999989</v>
      </c>
      <c r="AX730" s="309"/>
      <c r="AY730" s="308">
        <f>VLOOKUP($B730,'Infant adult mortality'!$A$134:$I$234,3)</f>
        <v>2.2781422363362864E-3</v>
      </c>
      <c r="AZ730" s="309">
        <f t="shared" si="252"/>
        <v>0.27</v>
      </c>
      <c r="BA730" s="309">
        <f ca="1">VLOOKUP($B730,'Infant pick up smoking rates'!$A$19:$I$104,7)</f>
        <v>0</v>
      </c>
      <c r="BB730" s="309">
        <f t="shared" si="253"/>
        <v>5.9920963347607645E-2</v>
      </c>
      <c r="BC730" s="309">
        <f t="shared" ca="1" si="254"/>
        <v>0.66780089441605606</v>
      </c>
      <c r="BD730" s="309">
        <f>VLOOKUP($B730,'Infant adult mortality'!$A$134:$I$234,3)</f>
        <v>2.2781422363362864E-3</v>
      </c>
      <c r="BE730" s="309">
        <f t="shared" si="255"/>
        <v>0.14000000000000001</v>
      </c>
      <c r="BF730" s="309">
        <f>VLOOKUP($B730,'Infant pick up smoking rates'!$A$19:$I$104,6)</f>
        <v>0</v>
      </c>
      <c r="BG730" s="309">
        <f t="shared" si="256"/>
        <v>5.9920963347607645E-2</v>
      </c>
      <c r="BH730" s="309">
        <f t="shared" si="257"/>
        <v>0.79780089441605606</v>
      </c>
      <c r="BI730" s="309">
        <f>VLOOKUP($B730,'Infant adult mortality'!$A$134:$I$234,3)</f>
        <v>2.2781422363362864E-3</v>
      </c>
      <c r="BJ730" s="309">
        <f t="shared" si="258"/>
        <v>0.5714285714285714</v>
      </c>
      <c r="BK730" s="309">
        <f>VLOOKUP($B730,'Infant pick up smoking rates'!$A$19:$I$104,6)</f>
        <v>0</v>
      </c>
      <c r="BL730" s="309">
        <f t="shared" si="259"/>
        <v>4.9235469197828514E-2</v>
      </c>
      <c r="BM730" s="309">
        <f t="shared" si="260"/>
        <v>0.37705781713726383</v>
      </c>
      <c r="BN730" s="309">
        <f>VLOOKUP($B730,'Infant adult mortality'!$A$134:$I$234,3)</f>
        <v>2.2781422363362864E-3</v>
      </c>
      <c r="BO730" s="309">
        <f t="shared" si="261"/>
        <v>8.6261668788331098E-3</v>
      </c>
      <c r="BP730" s="309">
        <f>VLOOKUP($B730,'Infant pick up smoking rates'!$A$19:$I$104,6)</f>
        <v>0</v>
      </c>
      <c r="BQ730" s="309">
        <f t="shared" si="262"/>
        <v>4.9235469197828514E-2</v>
      </c>
      <c r="BR730" s="309">
        <f t="shared" si="263"/>
        <v>0.93986022168700212</v>
      </c>
      <c r="BS730" s="309">
        <f>VLOOKUP($B730,'Infant adult mortality'!$A$134:$I$234,3)</f>
        <v>2.2781422363362864E-3</v>
      </c>
      <c r="BT730" s="309">
        <f>VLOOKUP($B730,'Infant pick up smoking rates'!$A$19:$I$104,6)</f>
        <v>0</v>
      </c>
      <c r="BU730" s="309">
        <f t="shared" si="264"/>
        <v>0.99772185776366373</v>
      </c>
      <c r="BV730" s="309">
        <f>VLOOKUP($B730,'Infant adult mortality'!$A$134:$I$234,5)</f>
        <v>4.8680302523817489E-3</v>
      </c>
      <c r="BW730" s="309">
        <f t="shared" si="322"/>
        <v>0.27</v>
      </c>
      <c r="BX730" s="309">
        <f t="shared" si="266"/>
        <v>0.72513196974761829</v>
      </c>
      <c r="BY730" s="309">
        <f>VLOOKUP($B730,'Infant adult mortality'!$A$134:$I$234,5)</f>
        <v>4.8680302523817489E-3</v>
      </c>
      <c r="BZ730" s="309">
        <f t="shared" si="267"/>
        <v>0.14000000000000001</v>
      </c>
      <c r="CA730" s="309">
        <f t="shared" si="268"/>
        <v>0.85513196974761829</v>
      </c>
      <c r="CB730" s="309">
        <f>VLOOKUP($B730,'Infant adult mortality'!$A$134:$I$234,4)</f>
        <v>3.2133795754638143E-3</v>
      </c>
      <c r="CC730" s="309">
        <f t="shared" si="269"/>
        <v>0.5714285714285714</v>
      </c>
      <c r="CD730" s="309">
        <f t="shared" si="270"/>
        <v>0.4253580489959648</v>
      </c>
      <c r="CE730" s="309">
        <f>VLOOKUP($B730,'Infant adult mortality'!$A$134:$I$234,4)</f>
        <v>3.2133795754638143E-3</v>
      </c>
      <c r="CF730" s="309">
        <f t="shared" si="271"/>
        <v>8.6261668788331098E-3</v>
      </c>
      <c r="CG730" s="309">
        <f t="shared" si="272"/>
        <v>0.98816045354570303</v>
      </c>
      <c r="CH730" s="309"/>
      <c r="CI730" s="315">
        <f t="shared" ca="1" si="297"/>
        <v>33.7893968645784</v>
      </c>
      <c r="CJ730" s="316">
        <f t="shared" ca="1" si="298"/>
        <v>9.8036708192404163</v>
      </c>
      <c r="CK730" s="316">
        <f t="shared" ca="1" si="299"/>
        <v>1.4653635834281129</v>
      </c>
      <c r="CL730" s="316">
        <f t="shared" ca="1" si="300"/>
        <v>66.769780809505633</v>
      </c>
      <c r="CM730" s="316">
        <f t="shared" ca="1" si="301"/>
        <v>100.44041640348983</v>
      </c>
      <c r="CN730" s="316">
        <f t="shared" ca="1" si="302"/>
        <v>85.999428367740677</v>
      </c>
      <c r="CO730" s="316">
        <f t="shared" ca="1" si="303"/>
        <v>23.570998754628146</v>
      </c>
      <c r="CP730" s="316">
        <f t="shared" ca="1" si="304"/>
        <v>3.3492013119580473</v>
      </c>
      <c r="CQ730" s="316">
        <f t="shared" ca="1" si="305"/>
        <v>92.733632481267279</v>
      </c>
      <c r="CR730" s="316">
        <f t="shared" ca="1" si="306"/>
        <v>72.078110604164053</v>
      </c>
      <c r="CS730" s="317">
        <f t="shared" ca="1" si="273"/>
        <v>490.00000000000057</v>
      </c>
      <c r="CT730" s="309"/>
      <c r="CU730" s="309">
        <f t="shared" ca="1" si="274"/>
        <v>1000.0000000000005</v>
      </c>
      <c r="CV730" s="309" t="str">
        <f t="shared" ca="1" si="317"/>
        <v>OKAY</v>
      </c>
      <c r="CW730" s="309"/>
      <c r="CX730" s="315">
        <f>(SUM($AR730:$AS730))-((SUM($AR730:$AS730)*VLOOKUP($B730,Lifetime_morbidity_array!$A$30:$Y$48,4))+(SUM($AR730:$AS730)*VLOOKUP($B730,Lifetime_morbidity_array!$A$30:$Y$48,7))+(SUM($AR730:$AS730)*VLOOKUP($B730,Lifetime_morbidity_array!$A$30:$Y$48,10))+(SUM($AR730:$AS730)*VLOOKUP($B730,Lifetime_morbidity_array!$A$30:$Y$48,13)))</f>
        <v>85.988981801748849</v>
      </c>
      <c r="CY730" s="316">
        <f>(SUM($AT730:$AU730))-((SUM($AT730:$AU730)*(VLOOKUP($B730,Lifetime_morbidity_array!$A$30:$Y$48,3)))+(SUM($AT730:$AU730)*(VLOOKUP($B730,Lifetime_morbidity_array!$A$30:$Y$48,6)))+(SUM($AT730:$AU730)*(VLOOKUP($B730,Lifetime_morbidity_array!$A$30:$Y$48,9)))+(SUM($AT730:$AU730)*(VLOOKUP($B730,Lifetime_morbidity_array!$A$30:$Y$48,12))))</f>
        <v>99.689116627747211</v>
      </c>
      <c r="CZ730" s="316">
        <f>(SUM($AM730:$AQ730))-((SUM($AM730:$AQ730)*VLOOKUP($B730,Lifetime_morbidity_array!$A$30:$Y$48,2))+(SUM($AM730:$AQ730)*VLOOKUP($B730,Lifetime_morbidity_array!$A$30:$Y$48,5))+(SUM($AM730:$AQ730)*VLOOKUP($B730,Lifetime_morbidity_array!$A$30:$Y$48,8))+(SUM($AM730:$AQ730)*VLOOKUP($B730,Lifetime_morbidity_array!$A$30:$Y$48,11)))</f>
        <v>141.43820214078664</v>
      </c>
      <c r="DA730" s="316">
        <f>(SUM($AM730:$AQ730)*VLOOKUP($B730,Lifetime_morbidity_array!$A$30:$Y$48,2))+(SUM($AR730:$AS730)*VLOOKUP($B730,Lifetime_morbidity_array!$A$30:$Y$48,4))+(SUM($AT730:$AU730)*(VLOOKUP($B730,Lifetime_morbidity_array!$A$30:$Y$48,3)))</f>
        <v>55.938591556179325</v>
      </c>
      <c r="DB730" s="316">
        <f>(SUM($AM730:$AQ730)*VLOOKUP($B730,Lifetime_morbidity_array!$A$30:$Y$48,5))+(SUM($AR730:$AS730)*VLOOKUP($B730,Lifetime_morbidity_array!$A$30:$Y$48,7))+(SUM($AT730:$AU730)*(VLOOKUP($B730,Lifetime_morbidity_array!$A$30:$Y$48,6)))</f>
        <v>24.466597232725448</v>
      </c>
      <c r="DC730" s="316">
        <f>(SUM($AM730:$AQ730)*VLOOKUP($B730,Lifetime_morbidity_array!$A$30:$Y$48,8))+(SUM($AR730:$AS730)*VLOOKUP($B730,Lifetime_morbidity_array!$A$30:$Y$48,10))+(SUM($AT730:$AU730)*(VLOOKUP($B730,Lifetime_morbidity_array!$A$30:$Y$48,9)))</f>
        <v>1.1154352198745028</v>
      </c>
      <c r="DD730" s="317">
        <f>(SUM($AM730:$AQ730)*VLOOKUP($B730,Lifetime_morbidity_array!$A$30:$Y$48,11))+(SUM($AR730:$AS730)*VLOOKUP($B730,Lifetime_morbidity_array!$A$30:$Y$48,13))+(SUM($AT730:$AU730)*(VLOOKUP($B730,Lifetime_morbidity_array!$A$30:$Y$48,12)))</f>
        <v>15.051113148168104</v>
      </c>
      <c r="DE730" s="309"/>
      <c r="DF730" s="315">
        <f ca="1">(SUM($CN730:$CO730))-((SUM($CN730:$CO730)*VLOOKUP($B730,Lifetime_morbidity_array!$A$6:$Y$24,4))+(SUM($CN730:$CO730)*VLOOKUP($B730,Lifetime_morbidity_array!$A$6:$Y$24,7))+(SUM($CN730:$CO730)*VLOOKUP($B730,Lifetime_morbidity_array!$A$6:$Y$24,10))+(SUM($CN730:$CO730)*VLOOKUP($B730,Lifetime_morbidity_array!$A$6:$Y$24,13)))</f>
        <v>82.032288817281852</v>
      </c>
      <c r="DG730" s="316">
        <f ca="1">(SUM($CP730:$CQ730))-(((SUM($CP730:$CQ730)*VLOOKUP($B730,Lifetime_morbidity_array!$A$6:$Y$24,3))+(SUM($CP730:$CQ730)*VLOOKUP($B730,Lifetime_morbidity_array!$A$6:$Y$24,6))+(SUM($CP730:$CQ730)*VLOOKUP($B730,Lifetime_morbidity_array!$A$6:$Y$24,9))+(SUM($CP730:$CQ730)*VLOOKUP($B730,Lifetime_morbidity_array!$A$6:$Y$24,12))))</f>
        <v>84.698066292510575</v>
      </c>
      <c r="DH730" s="316">
        <f ca="1">(SUM($CI730:$CM730))-((SUM($CI730:$CM730)*VLOOKUP($B730,Lifetime_morbidity_array!$A$6:$Y$24,2))+(SUM($CI730:$CM730)*VLOOKUP($B730,Lifetime_morbidity_array!$A$6:$Y$24,5))+(SUM($CI730:$CM730)*VLOOKUP($B730,Lifetime_morbidity_array!$A$6:$Y$24,8))+(SUM($CI730:$CM730)*VLOOKUP($B730,Lifetime_morbidity_array!$A$6:$Y$24,11)))</f>
        <v>198.7628269834612</v>
      </c>
      <c r="DI730" s="316">
        <f ca="1">(SUM($CI730:$CM730)*VLOOKUP($B730,Lifetime_morbidity_array!$A$6:$Y$24,2))+(SUM($CN730:$CO730)*VLOOKUP($B730,Lifetime_morbidity_array!$A$6:$Y$24,4))+(SUM($CP730:$CQ730)*VLOOKUP($B730,Lifetime_morbidity_array!$A$6:$Y$24,3))</f>
        <v>20.631543720179216</v>
      </c>
      <c r="DJ730" s="316">
        <f ca="1">(SUM($CI730:$CM730)*VLOOKUP($B730,Lifetime_morbidity_array!$A$6:$Y$24,5))+(SUM($CN730:$CO730)*VLOOKUP($B730,Lifetime_morbidity_array!$A$6:$Y$24,7))+(SUM($CP730:$CQ730)*VLOOKUP($B730,Lifetime_morbidity_array!$A$6:$Y$24,6))</f>
        <v>19.690396681550233</v>
      </c>
      <c r="DK730" s="316">
        <f ca="1">(SUM($CI730:$CM730)*VLOOKUP($B730,Lifetime_morbidity_array!$A$6:$Y$24,8))+(SUM($CN730:$CO730)*VLOOKUP($B730,Lifetime_morbidity_array!$A$6:$Y$24,10))+(SUM($CP730:$CQ730)*VLOOKUP($B730,Lifetime_morbidity_array!$A$6:$Y$24,9))</f>
        <v>0.64949017569237333</v>
      </c>
      <c r="DL730" s="317">
        <f ca="1">(SUM($CI730:$CM730)*VLOOKUP($B730,Lifetime_morbidity_array!$A$6:$Y$24,11))+(SUM($CN730:$CO730)*VLOOKUP($B730,Lifetime_morbidity_array!$A$6:$Y$24,13))+(SUM($CP730:$CQ730)*VLOOKUP($B730,Lifetime_morbidity_array!$A$6:$Y$24,12))</f>
        <v>11.457276725161108</v>
      </c>
      <c r="DM730" s="309"/>
      <c r="DN730" s="308">
        <f t="shared" si="275"/>
        <v>64</v>
      </c>
      <c r="DO730" s="309">
        <f t="shared" ca="1" si="323"/>
        <v>93.095451548390301</v>
      </c>
      <c r="DP730" s="310">
        <f t="shared" ca="1" si="307"/>
        <v>22488.92007933529</v>
      </c>
      <c r="DQ730" s="309"/>
      <c r="DR730" s="308">
        <f t="shared" si="277"/>
        <v>64</v>
      </c>
      <c r="DS730" s="309">
        <f ca="1">((VLOOKUP($B730,'Mahawesran Tariff'!$A$21:$M$120,4)*'Comparator (DET)'!$CX730)+(VLOOKUP($B730,'Mahawesran Tariff'!$A$21:$M$120,3)*'Comparator (DET)'!$CY730)+(VLOOKUP($B730,'Mahawesran Tariff'!$A$21:$M$120,2)*'Comparator (DET)'!$CZ730)+(VLOOKUP($B730,'Mahawesran Tariff'!$A$21:$M$120,7)*'Comparator (DET)'!$DF730)+(VLOOKUP($B730,'Mahawesran Tariff'!$A$21:$M$120,6)*'Comparator (DET)'!$DG730)+(VLOOKUP($B730,'Mahawesran Tariff'!$A$21:$M$120,5)*'Comparator (DET)'!$DH730)+(DET_UTIL_chd*('Comparator (DET)'!$DA730+'Comparator (DET)'!$DI730))+(DET_UTIL_copd*('Comparator (DET)'!$DB730+'Comparator (DET)'!$DJ730))+(DET_UTIL_lc*('Comparator (DET)'!$DC730+'Comparator (DET)'!$DK730))+(DET_UTIL_stroke*('Comparator (DET)'!$DD730+'Comparator (DET)'!$DL730)))/((1+Discount_rate_QALYs)^$A730)</f>
        <v>83.537827481483234</v>
      </c>
      <c r="DT730" s="310">
        <f t="shared" ca="1" si="308"/>
        <v>22220.192082901547</v>
      </c>
      <c r="DU730" s="309"/>
      <c r="DV730" s="308">
        <f t="shared" si="278"/>
        <v>64</v>
      </c>
      <c r="DW730" s="318">
        <f t="shared" ca="1" si="324"/>
        <v>85261.891891282794</v>
      </c>
      <c r="DX730" s="319">
        <f t="shared" ca="1" si="309"/>
        <v>7444432.3140771789</v>
      </c>
      <c r="DZ730" s="95">
        <f t="shared" si="280"/>
        <v>64</v>
      </c>
      <c r="EA730" s="268">
        <f t="shared" ca="1" si="318"/>
        <v>0.8416099271230667</v>
      </c>
      <c r="EB730" s="268">
        <f t="shared" ca="1" si="319"/>
        <v>0.15839007287693385</v>
      </c>
      <c r="EC730" s="268">
        <f t="shared" ca="1" si="320"/>
        <v>0.14900044445953031</v>
      </c>
      <c r="ED730" s="290">
        <f t="shared" ca="1" si="321"/>
        <v>0.47175088659471209</v>
      </c>
      <c r="EF730" s="95">
        <f t="shared" si="281"/>
        <v>64</v>
      </c>
      <c r="EG730" s="339">
        <f t="shared" ca="1" si="325"/>
        <v>85261.891891282794</v>
      </c>
      <c r="EH730" s="341">
        <f t="shared" ca="1" si="310"/>
        <v>10544564.249933263</v>
      </c>
      <c r="EJ730" s="308">
        <f t="shared" si="283"/>
        <v>64</v>
      </c>
      <c r="EK730" s="318">
        <f t="shared" ca="1" si="284"/>
        <v>85261.891891282794</v>
      </c>
      <c r="EL730" s="319">
        <f t="shared" ca="1" si="311"/>
        <v>7444432.3140771789</v>
      </c>
      <c r="EN730" s="95">
        <f t="shared" si="285"/>
        <v>64</v>
      </c>
      <c r="EO730" s="339">
        <f t="shared" ca="1" si="286"/>
        <v>85261.891891282794</v>
      </c>
      <c r="EP730" s="341">
        <f t="shared" ca="1" si="312"/>
        <v>10544564.249933263</v>
      </c>
    </row>
    <row r="731" spans="1:146" s="266" customFormat="1" x14ac:dyDescent="0.25">
      <c r="A731" s="313">
        <v>65</v>
      </c>
      <c r="B731" s="314">
        <v>65</v>
      </c>
      <c r="C731" s="308">
        <f>VLOOKUP($B731,'Infant adult mortality'!$A$27:$I$128,3)</f>
        <v>3.675856370816878E-3</v>
      </c>
      <c r="D731" s="309">
        <f t="shared" si="230"/>
        <v>0.27</v>
      </c>
      <c r="E731" s="309">
        <f>VLOOKUP($B731,'Infant pick up smoking rates'!$A$19:$I$104,3)</f>
        <v>0</v>
      </c>
      <c r="F731" s="309">
        <f t="shared" si="231"/>
        <v>6.636574417506827E-2</v>
      </c>
      <c r="G731" s="309">
        <f t="shared" si="232"/>
        <v>0.65995839945411483</v>
      </c>
      <c r="H731" s="309">
        <f>VLOOKUP($B731,'Infant adult mortality'!$A$27:$I$128,3)</f>
        <v>3.675856370816878E-3</v>
      </c>
      <c r="I731" s="309">
        <f t="shared" si="233"/>
        <v>0.14000000000000001</v>
      </c>
      <c r="J731" s="309">
        <f>VLOOKUP($B731,'Infant pick up smoking rates'!$A$19:$I$104,2)</f>
        <v>0</v>
      </c>
      <c r="K731" s="309">
        <f t="shared" si="234"/>
        <v>6.636574417506827E-2</v>
      </c>
      <c r="L731" s="309">
        <f t="shared" si="235"/>
        <v>0.78995839945411483</v>
      </c>
      <c r="M731" s="309">
        <f>VLOOKUP($B731,'Infant adult mortality'!$A$27:$I$128,3)</f>
        <v>3.675856370816878E-3</v>
      </c>
      <c r="N731" s="309">
        <f t="shared" si="236"/>
        <v>0.5714285714285714</v>
      </c>
      <c r="O731" s="309">
        <f>VLOOKUP($B731,'Infant pick up smoking rates'!$A$19:$I$104,2)</f>
        <v>0</v>
      </c>
      <c r="P731" s="309">
        <f t="shared" si="237"/>
        <v>5.4530974980611664E-2</v>
      </c>
      <c r="Q731" s="309">
        <f t="shared" si="238"/>
        <v>0.37036459722000009</v>
      </c>
      <c r="R731" s="309">
        <f>VLOOKUP($B731,'Infant adult mortality'!$A$27:$I$128,3)</f>
        <v>3.675856370816878E-3</v>
      </c>
      <c r="S731" s="309">
        <f t="shared" si="239"/>
        <v>8.6261668788331098E-3</v>
      </c>
      <c r="T731" s="309">
        <f>VLOOKUP($B731,'Infant pick up smoking rates'!$A$19:$I$104,2)</f>
        <v>0</v>
      </c>
      <c r="U731" s="309">
        <f t="shared" si="240"/>
        <v>5.4530974980611664E-2</v>
      </c>
      <c r="V731" s="309">
        <f t="shared" si="241"/>
        <v>0.93316700176973832</v>
      </c>
      <c r="W731" s="309">
        <f>VLOOKUP($B731,'Infant adult mortality'!$A$27:$I$128,3)</f>
        <v>3.675856370816878E-3</v>
      </c>
      <c r="X731" s="309">
        <f>VLOOKUP($B731,'Infant pick up smoking rates'!$A$19:$I$104,2)</f>
        <v>0</v>
      </c>
      <c r="Y731" s="309">
        <f t="shared" si="242"/>
        <v>0.99632414362918309</v>
      </c>
      <c r="Z731" s="309">
        <f>VLOOKUP($B731,'Infant adult mortality'!$A$27:$I$128,5)</f>
        <v>7.2896729716621627E-3</v>
      </c>
      <c r="AA731" s="309">
        <f t="shared" si="313"/>
        <v>0.25</v>
      </c>
      <c r="AB731" s="309">
        <f t="shared" si="244"/>
        <v>0.74271032702833784</v>
      </c>
      <c r="AC731" s="309">
        <f>VLOOKUP($B731,'Infant adult mortality'!$A$27:$I$128,5)</f>
        <v>7.2896729716621627E-3</v>
      </c>
      <c r="AD731" s="309">
        <f t="shared" si="314"/>
        <v>0.14000000000000001</v>
      </c>
      <c r="AE731" s="309">
        <f t="shared" si="246"/>
        <v>0.85271032702833782</v>
      </c>
      <c r="AF731" s="309">
        <f>VLOOKUP($B731,'Infant adult mortality'!$A$27:$I$128,4)</f>
        <v>4.9011418277558382E-3</v>
      </c>
      <c r="AG731" s="309">
        <f t="shared" si="315"/>
        <v>0.5714285714285714</v>
      </c>
      <c r="AH731" s="309">
        <f t="shared" si="248"/>
        <v>0.42367028674367274</v>
      </c>
      <c r="AI731" s="309">
        <f>VLOOKUP($B731,'Infant adult mortality'!$A$27:$I$128,4)</f>
        <v>4.9011418277558382E-3</v>
      </c>
      <c r="AJ731" s="309">
        <f t="shared" si="316"/>
        <v>8.6261668788331098E-3</v>
      </c>
      <c r="AK731" s="309">
        <f t="shared" si="250"/>
        <v>0.98647269129341109</v>
      </c>
      <c r="AL731" s="309"/>
      <c r="AM731" s="315">
        <f t="shared" si="287"/>
        <v>22.998327894864691</v>
      </c>
      <c r="AN731" s="316">
        <f t="shared" si="288"/>
        <v>6.7295449972446004</v>
      </c>
      <c r="AO731" s="316">
        <f t="shared" si="289"/>
        <v>1.0133999170770771</v>
      </c>
      <c r="AP731" s="316">
        <f t="shared" si="290"/>
        <v>47.149464965301988</v>
      </c>
      <c r="AQ731" s="316">
        <f t="shared" si="291"/>
        <v>79.120394553517087</v>
      </c>
      <c r="AR731" s="316">
        <f t="shared" si="292"/>
        <v>113.59428452040555</v>
      </c>
      <c r="AS731" s="316">
        <f t="shared" si="293"/>
        <v>28.874488510295595</v>
      </c>
      <c r="AT731" s="316">
        <f t="shared" si="294"/>
        <v>4.1100151729949967</v>
      </c>
      <c r="AU731" s="316">
        <f t="shared" si="295"/>
        <v>117.8686641027786</v>
      </c>
      <c r="AV731" s="316">
        <f t="shared" si="296"/>
        <v>88.541415365519683</v>
      </c>
      <c r="AW731" s="317">
        <f t="shared" si="251"/>
        <v>509.99999999999989</v>
      </c>
      <c r="AX731" s="309"/>
      <c r="AY731" s="308">
        <f>VLOOKUP($B731,'Infant adult mortality'!$A$134:$I$234,3)</f>
        <v>2.5399542714612351E-3</v>
      </c>
      <c r="AZ731" s="309">
        <f t="shared" si="252"/>
        <v>0.27</v>
      </c>
      <c r="BA731" s="309">
        <f ca="1">VLOOKUP($B731,'Infant pick up smoking rates'!$A$19:$I$104,7)</f>
        <v>0</v>
      </c>
      <c r="BB731" s="309">
        <f t="shared" si="253"/>
        <v>6.636574417506827E-2</v>
      </c>
      <c r="BC731" s="309">
        <f t="shared" ca="1" si="254"/>
        <v>0.66109430155347049</v>
      </c>
      <c r="BD731" s="309">
        <f>VLOOKUP($B731,'Infant adult mortality'!$A$134:$I$234,3)</f>
        <v>2.5399542714612351E-3</v>
      </c>
      <c r="BE731" s="309">
        <f t="shared" si="255"/>
        <v>0.14000000000000001</v>
      </c>
      <c r="BF731" s="309">
        <f>VLOOKUP($B731,'Infant pick up smoking rates'!$A$19:$I$104,6)</f>
        <v>0</v>
      </c>
      <c r="BG731" s="309">
        <f t="shared" si="256"/>
        <v>6.636574417506827E-2</v>
      </c>
      <c r="BH731" s="309">
        <f t="shared" si="257"/>
        <v>0.79109430155347049</v>
      </c>
      <c r="BI731" s="309">
        <f>VLOOKUP($B731,'Infant adult mortality'!$A$134:$I$234,3)</f>
        <v>2.5399542714612351E-3</v>
      </c>
      <c r="BJ731" s="309">
        <f t="shared" si="258"/>
        <v>0.5714285714285714</v>
      </c>
      <c r="BK731" s="309">
        <f>VLOOKUP($B731,'Infant pick up smoking rates'!$A$19:$I$104,6)</f>
        <v>0</v>
      </c>
      <c r="BL731" s="309">
        <f t="shared" si="259"/>
        <v>5.4530974980611664E-2</v>
      </c>
      <c r="BM731" s="309">
        <f t="shared" si="260"/>
        <v>0.37150049931935569</v>
      </c>
      <c r="BN731" s="309">
        <f>VLOOKUP($B731,'Infant adult mortality'!$A$134:$I$234,3)</f>
        <v>2.5399542714612351E-3</v>
      </c>
      <c r="BO731" s="309">
        <f t="shared" si="261"/>
        <v>8.6261668788331098E-3</v>
      </c>
      <c r="BP731" s="309">
        <f>VLOOKUP($B731,'Infant pick up smoking rates'!$A$19:$I$104,6)</f>
        <v>0</v>
      </c>
      <c r="BQ731" s="309">
        <f t="shared" si="262"/>
        <v>5.4530974980611664E-2</v>
      </c>
      <c r="BR731" s="309">
        <f t="shared" si="263"/>
        <v>0.93430290386909398</v>
      </c>
      <c r="BS731" s="309">
        <f>VLOOKUP($B731,'Infant adult mortality'!$A$134:$I$234,3)</f>
        <v>2.5399542714612351E-3</v>
      </c>
      <c r="BT731" s="309">
        <f>VLOOKUP($B731,'Infant pick up smoking rates'!$A$19:$I$104,6)</f>
        <v>0</v>
      </c>
      <c r="BU731" s="309">
        <f t="shared" si="264"/>
        <v>0.99746004572853875</v>
      </c>
      <c r="BV731" s="309">
        <f>VLOOKUP($B731,'Infant adult mortality'!$A$134:$I$234,5)</f>
        <v>5.0370401163999179E-3</v>
      </c>
      <c r="BW731" s="309">
        <f t="shared" si="322"/>
        <v>0.27</v>
      </c>
      <c r="BX731" s="309">
        <f t="shared" si="266"/>
        <v>0.72496295988360004</v>
      </c>
      <c r="BY731" s="309">
        <f>VLOOKUP($B731,'Infant adult mortality'!$A$134:$I$234,5)</f>
        <v>5.0370401163999179E-3</v>
      </c>
      <c r="BZ731" s="309">
        <f t="shared" si="267"/>
        <v>0.14000000000000001</v>
      </c>
      <c r="CA731" s="309">
        <f t="shared" si="268"/>
        <v>0.85496295988360005</v>
      </c>
      <c r="CB731" s="309">
        <f>VLOOKUP($B731,'Infant adult mortality'!$A$134:$I$234,4)</f>
        <v>3.3866056952816474E-3</v>
      </c>
      <c r="CC731" s="309">
        <f t="shared" si="269"/>
        <v>0.5714285714285714</v>
      </c>
      <c r="CD731" s="309">
        <f t="shared" si="270"/>
        <v>0.42518482287614695</v>
      </c>
      <c r="CE731" s="309">
        <f>VLOOKUP($B731,'Infant adult mortality'!$A$134:$I$234,4)</f>
        <v>3.3866056952816474E-3</v>
      </c>
      <c r="CF731" s="309">
        <f t="shared" si="271"/>
        <v>8.6261668788331098E-3</v>
      </c>
      <c r="CG731" s="309">
        <f t="shared" si="272"/>
        <v>0.98798722742588529</v>
      </c>
      <c r="CH731" s="309"/>
      <c r="CI731" s="315">
        <f t="shared" ca="1" si="297"/>
        <v>31.213956414162471</v>
      </c>
      <c r="CJ731" s="316">
        <f t="shared" ca="1" si="298"/>
        <v>9.1231371534361685</v>
      </c>
      <c r="CK731" s="316">
        <f t="shared" ca="1" si="299"/>
        <v>1.3725139146936585</v>
      </c>
      <c r="CL731" s="316">
        <f t="shared" ca="1" si="300"/>
        <v>63.220550720125793</v>
      </c>
      <c r="CM731" s="316">
        <f t="shared" ca="1" si="301"/>
        <v>106.79931766821869</v>
      </c>
      <c r="CN731" s="316">
        <f t="shared" ca="1" si="302"/>
        <v>84.722696356109694</v>
      </c>
      <c r="CO731" s="316">
        <f t="shared" ca="1" si="303"/>
        <v>23.219845659289984</v>
      </c>
      <c r="CP731" s="316">
        <f t="shared" ca="1" si="304"/>
        <v>3.2999398256479409</v>
      </c>
      <c r="CQ731" s="316">
        <f t="shared" ca="1" si="305"/>
        <v>93.533473765417156</v>
      </c>
      <c r="CR731" s="316">
        <f t="shared" ca="1" si="306"/>
        <v>73.494568522899044</v>
      </c>
      <c r="CS731" s="317">
        <f t="shared" ca="1" si="273"/>
        <v>490.00000000000063</v>
      </c>
      <c r="CT731" s="309"/>
      <c r="CU731" s="309">
        <f t="shared" ca="1" si="274"/>
        <v>1000.0000000000005</v>
      </c>
      <c r="CV731" s="309" t="str">
        <f t="shared" ca="1" si="317"/>
        <v>OKAY</v>
      </c>
      <c r="CW731" s="309"/>
      <c r="CX731" s="315">
        <f>(SUM($AR731:$AS731))-((SUM($AR731:$AS731)*VLOOKUP($B731,Lifetime_morbidity_array!$A$30:$Y$48,4))+(SUM($AR731:$AS731)*VLOOKUP($B731,Lifetime_morbidity_array!$A$30:$Y$48,7))+(SUM($AR731:$AS731)*VLOOKUP($B731,Lifetime_morbidity_array!$A$30:$Y$48,10))+(SUM($AR731:$AS731)*VLOOKUP($B731,Lifetime_morbidity_array!$A$30:$Y$48,13)))</f>
        <v>32.160469093763552</v>
      </c>
      <c r="CY731" s="316">
        <f>(SUM($AT731:$AU731))-((SUM($AT731:$AU731)*(VLOOKUP($B731,Lifetime_morbidity_array!$A$30:$Y$48,3)))+(SUM($AT731:$AU731)*(VLOOKUP($B731,Lifetime_morbidity_array!$A$30:$Y$48,6)))+(SUM($AT731:$AU731)*(VLOOKUP($B731,Lifetime_morbidity_array!$A$30:$Y$48,9)))+(SUM($AT731:$AU731)*(VLOOKUP($B731,Lifetime_morbidity_array!$A$30:$Y$48,12))))</f>
        <v>77.423052383012134</v>
      </c>
      <c r="CZ731" s="316">
        <f>(SUM($AM731:$AQ731))-((SUM($AM731:$AQ731)*VLOOKUP($B731,Lifetime_morbidity_array!$A$30:$Y$48,2))+(SUM($AM731:$AQ731)*VLOOKUP($B731,Lifetime_morbidity_array!$A$30:$Y$48,5))+(SUM($AM731:$AQ731)*VLOOKUP($B731,Lifetime_morbidity_array!$A$30:$Y$48,8))+(SUM($AM731:$AQ731)*VLOOKUP($B731,Lifetime_morbidity_array!$A$30:$Y$48,11)))</f>
        <v>124.40114877868311</v>
      </c>
      <c r="DA731" s="316">
        <f>(SUM($AM731:$AQ731)*VLOOKUP($B731,Lifetime_morbidity_array!$A$30:$Y$48,2))+(SUM($AR731:$AS731)*VLOOKUP($B731,Lifetime_morbidity_array!$A$30:$Y$48,4))+(SUM($AT731:$AU731)*(VLOOKUP($B731,Lifetime_morbidity_array!$A$30:$Y$48,3)))</f>
        <v>105.41969010645052</v>
      </c>
      <c r="DB731" s="316">
        <f>(SUM($AM731:$AQ731)*VLOOKUP($B731,Lifetime_morbidity_array!$A$30:$Y$48,5))+(SUM($AR731:$AS731)*VLOOKUP($B731,Lifetime_morbidity_array!$A$30:$Y$48,7))+(SUM($AT731:$AU731)*(VLOOKUP($B731,Lifetime_morbidity_array!$A$30:$Y$48,6)))</f>
        <v>41.27600149148531</v>
      </c>
      <c r="DC731" s="316">
        <f>(SUM($AM731:$AQ731)*VLOOKUP($B731,Lifetime_morbidity_array!$A$30:$Y$48,8))+(SUM($AR731:$AS731)*VLOOKUP($B731,Lifetime_morbidity_array!$A$30:$Y$48,10))+(SUM($AT731:$AU731)*(VLOOKUP($B731,Lifetime_morbidity_array!$A$30:$Y$48,9)))</f>
        <v>5.6377054542753688</v>
      </c>
      <c r="DD731" s="317">
        <f>(SUM($AM731:$AQ731)*VLOOKUP($B731,Lifetime_morbidity_array!$A$30:$Y$48,11))+(SUM($AR731:$AS731)*VLOOKUP($B731,Lifetime_morbidity_array!$A$30:$Y$48,13))+(SUM($AT731:$AU731)*(VLOOKUP($B731,Lifetime_morbidity_array!$A$30:$Y$48,12)))</f>
        <v>35.140517326810155</v>
      </c>
      <c r="DE731" s="309"/>
      <c r="DF731" s="315">
        <f ca="1">(SUM($CN731:$CO731))-((SUM($CN731:$CO731)*VLOOKUP($B731,Lifetime_morbidity_array!$A$6:$Y$24,4))+(SUM($CN731:$CO731)*VLOOKUP($B731,Lifetime_morbidity_array!$A$6:$Y$24,7))+(SUM($CN731:$CO731)*VLOOKUP($B731,Lifetime_morbidity_array!$A$6:$Y$24,10))+(SUM($CN731:$CO731)*VLOOKUP($B731,Lifetime_morbidity_array!$A$6:$Y$24,13)))</f>
        <v>43.231929683864081</v>
      </c>
      <c r="DG731" s="316">
        <f ca="1">(SUM($CP731:$CQ731))-(((SUM($CP731:$CQ731)*VLOOKUP($B731,Lifetime_morbidity_array!$A$6:$Y$24,3))+(SUM($CP731:$CQ731)*VLOOKUP($B731,Lifetime_morbidity_array!$A$6:$Y$24,6))+(SUM($CP731:$CQ731)*VLOOKUP($B731,Lifetime_morbidity_array!$A$6:$Y$24,9))+(SUM($CP731:$CQ731)*VLOOKUP($B731,Lifetime_morbidity_array!$A$6:$Y$24,12))))</f>
        <v>70.64457378744109</v>
      </c>
      <c r="DH731" s="316">
        <f ca="1">(SUM($CI731:$CM731))-((SUM($CI731:$CM731)*VLOOKUP($B731,Lifetime_morbidity_array!$A$6:$Y$24,2))+(SUM($CI731:$CM731)*VLOOKUP($B731,Lifetime_morbidity_array!$A$6:$Y$24,5))+(SUM($CI731:$CM731)*VLOOKUP($B731,Lifetime_morbidity_array!$A$6:$Y$24,8))+(SUM($CI731:$CM731)*VLOOKUP($B731,Lifetime_morbidity_array!$A$6:$Y$24,11)))</f>
        <v>185.98715994361166</v>
      </c>
      <c r="DI731" s="316">
        <f ca="1">(SUM($CI731:$CM731)*VLOOKUP($B731,Lifetime_morbidity_array!$A$6:$Y$24,2))+(SUM($CN731:$CO731)*VLOOKUP($B731,Lifetime_morbidity_array!$A$6:$Y$24,4))+(SUM($CP731:$CQ731)*VLOOKUP($B731,Lifetime_morbidity_array!$A$6:$Y$24,3))</f>
        <v>55.824665237036783</v>
      </c>
      <c r="DJ731" s="316">
        <f ca="1">(SUM($CI731:$CM731)*VLOOKUP($B731,Lifetime_morbidity_array!$A$6:$Y$24,5))+(SUM($CN731:$CO731)*VLOOKUP($B731,Lifetime_morbidity_array!$A$6:$Y$24,7))+(SUM($CP731:$CQ731)*VLOOKUP($B731,Lifetime_morbidity_array!$A$6:$Y$24,6))</f>
        <v>37.465058682874989</v>
      </c>
      <c r="DK731" s="316">
        <f ca="1">(SUM($CI731:$CM731)*VLOOKUP($B731,Lifetime_morbidity_array!$A$6:$Y$24,8))+(SUM($CN731:$CO731)*VLOOKUP($B731,Lifetime_morbidity_array!$A$6:$Y$24,10))+(SUM($CP731:$CQ731)*VLOOKUP($B731,Lifetime_morbidity_array!$A$6:$Y$24,9))</f>
        <v>2.0651408183788509</v>
      </c>
      <c r="DL731" s="317">
        <f ca="1">(SUM($CI731:$CM731)*VLOOKUP($B731,Lifetime_morbidity_array!$A$6:$Y$24,11))+(SUM($CN731:$CO731)*VLOOKUP($B731,Lifetime_morbidity_array!$A$6:$Y$24,13))+(SUM($CP731:$CQ731)*VLOOKUP($B731,Lifetime_morbidity_array!$A$6:$Y$24,12))</f>
        <v>21.286903323894094</v>
      </c>
      <c r="DM731" s="309"/>
      <c r="DN731" s="308">
        <f t="shared" si="275"/>
        <v>65</v>
      </c>
      <c r="DO731" s="309">
        <f t="shared" ca="1" si="323"/>
        <v>89.557638423675044</v>
      </c>
      <c r="DP731" s="310">
        <f t="shared" ca="1" si="307"/>
        <v>22578.477717758964</v>
      </c>
      <c r="DQ731" s="309"/>
      <c r="DR731" s="308">
        <f t="shared" si="277"/>
        <v>65</v>
      </c>
      <c r="DS731" s="309">
        <f ca="1">((VLOOKUP($B731,'Mahawesran Tariff'!$A$21:$M$120,4)*'Comparator (DET)'!$CX731)+(VLOOKUP($B731,'Mahawesran Tariff'!$A$21:$M$120,3)*'Comparator (DET)'!$CY731)+(VLOOKUP($B731,'Mahawesran Tariff'!$A$21:$M$120,2)*'Comparator (DET)'!$CZ731)+(VLOOKUP($B731,'Mahawesran Tariff'!$A$21:$M$120,7)*'Comparator (DET)'!$DF731)+(VLOOKUP($B731,'Mahawesran Tariff'!$A$21:$M$120,6)*'Comparator (DET)'!$DG731)+(VLOOKUP($B731,'Mahawesran Tariff'!$A$21:$M$120,5)*'Comparator (DET)'!$DH731)+(DET_UTIL_chd*('Comparator (DET)'!$DA731+'Comparator (DET)'!$DI731))+(DET_UTIL_copd*('Comparator (DET)'!$DB731+'Comparator (DET)'!$DJ731))+(DET_UTIL_lc*('Comparator (DET)'!$DC731+'Comparator (DET)'!$DK731))+(DET_UTIL_stroke*('Comparator (DET)'!$DD731+'Comparator (DET)'!$DL731)))/((1+Discount_rate_QALYs)^$A731)</f>
        <v>76.687365374900324</v>
      </c>
      <c r="DT731" s="310">
        <f t="shared" ca="1" si="308"/>
        <v>22296.879448276446</v>
      </c>
      <c r="DU731" s="309"/>
      <c r="DV731" s="308">
        <f t="shared" si="278"/>
        <v>65</v>
      </c>
      <c r="DW731" s="318">
        <f t="shared" ca="1" si="324"/>
        <v>177667.04426762267</v>
      </c>
      <c r="DX731" s="319">
        <f t="shared" ca="1" si="309"/>
        <v>7622099.3583448017</v>
      </c>
      <c r="DZ731" s="95">
        <f t="shared" si="280"/>
        <v>65</v>
      </c>
      <c r="EA731" s="268">
        <f t="shared" ca="1" si="318"/>
        <v>0.83796401611158167</v>
      </c>
      <c r="EB731" s="268">
        <f t="shared" ca="1" si="319"/>
        <v>0.16203598388841875</v>
      </c>
      <c r="EC731" s="268">
        <f t="shared" ca="1" si="320"/>
        <v>0.30411568244120607</v>
      </c>
      <c r="ED731" s="290">
        <f t="shared" ca="1" si="321"/>
        <v>0.46922340791293954</v>
      </c>
      <c r="EF731" s="95">
        <f t="shared" si="281"/>
        <v>65</v>
      </c>
      <c r="EG731" s="339">
        <f t="shared" ca="1" si="325"/>
        <v>177667.04426762267</v>
      </c>
      <c r="EH731" s="341">
        <f t="shared" ca="1" si="310"/>
        <v>10722231.294200886</v>
      </c>
      <c r="EJ731" s="308">
        <f t="shared" si="283"/>
        <v>65</v>
      </c>
      <c r="EK731" s="318">
        <f t="shared" ca="1" si="284"/>
        <v>177667.04426762267</v>
      </c>
      <c r="EL731" s="319">
        <f t="shared" ca="1" si="311"/>
        <v>7622099.3583448017</v>
      </c>
      <c r="EN731" s="95">
        <f t="shared" si="285"/>
        <v>65</v>
      </c>
      <c r="EO731" s="339">
        <f t="shared" ca="1" si="286"/>
        <v>177667.04426762267</v>
      </c>
      <c r="EP731" s="341">
        <f t="shared" ca="1" si="312"/>
        <v>10722231.294200886</v>
      </c>
    </row>
    <row r="732" spans="1:146" s="266" customFormat="1" x14ac:dyDescent="0.25">
      <c r="A732" s="313">
        <v>66</v>
      </c>
      <c r="B732" s="314">
        <v>66</v>
      </c>
      <c r="C732" s="308">
        <f>VLOOKUP($B732,'Infant adult mortality'!$A$27:$I$128,3)</f>
        <v>3.9766015381417583E-3</v>
      </c>
      <c r="D732" s="309">
        <f t="shared" si="230"/>
        <v>0.27</v>
      </c>
      <c r="E732" s="309">
        <f>VLOOKUP($B732,'Infant pick up smoking rates'!$A$19:$I$104,3)</f>
        <v>0</v>
      </c>
      <c r="F732" s="309">
        <f t="shared" si="231"/>
        <v>7.3463397511548706E-2</v>
      </c>
      <c r="G732" s="309">
        <f t="shared" si="232"/>
        <v>0.65256000095030953</v>
      </c>
      <c r="H732" s="309">
        <f>VLOOKUP($B732,'Infant adult mortality'!$A$27:$I$128,3)</f>
        <v>3.9766015381417583E-3</v>
      </c>
      <c r="I732" s="309">
        <f t="shared" si="233"/>
        <v>0.14000000000000001</v>
      </c>
      <c r="J732" s="309">
        <f>VLOOKUP($B732,'Infant pick up smoking rates'!$A$19:$I$104,2)</f>
        <v>0</v>
      </c>
      <c r="K732" s="309">
        <f t="shared" si="234"/>
        <v>7.3463397511548706E-2</v>
      </c>
      <c r="L732" s="309">
        <f t="shared" si="235"/>
        <v>0.78256000095030953</v>
      </c>
      <c r="M732" s="309">
        <f>VLOOKUP($B732,'Infant adult mortality'!$A$27:$I$128,3)</f>
        <v>3.9766015381417583E-3</v>
      </c>
      <c r="N732" s="309">
        <f t="shared" si="236"/>
        <v>0.5714285714285714</v>
      </c>
      <c r="O732" s="309">
        <f>VLOOKUP($B732,'Infant pick up smoking rates'!$A$19:$I$104,2)</f>
        <v>0</v>
      </c>
      <c r="P732" s="309">
        <f t="shared" si="237"/>
        <v>6.0362928819502989E-2</v>
      </c>
      <c r="Q732" s="309">
        <f t="shared" si="238"/>
        <v>0.36423189821378382</v>
      </c>
      <c r="R732" s="309">
        <f>VLOOKUP($B732,'Infant adult mortality'!$A$27:$I$128,3)</f>
        <v>3.9766015381417583E-3</v>
      </c>
      <c r="S732" s="309">
        <f t="shared" si="239"/>
        <v>8.6261668788331098E-3</v>
      </c>
      <c r="T732" s="309">
        <f>VLOOKUP($B732,'Infant pick up smoking rates'!$A$19:$I$104,2)</f>
        <v>0</v>
      </c>
      <c r="U732" s="309">
        <f t="shared" si="240"/>
        <v>6.0362928819502989E-2</v>
      </c>
      <c r="V732" s="309">
        <f t="shared" si="241"/>
        <v>0.92703430276352217</v>
      </c>
      <c r="W732" s="309">
        <f>VLOOKUP($B732,'Infant adult mortality'!$A$27:$I$128,3)</f>
        <v>3.9766015381417583E-3</v>
      </c>
      <c r="X732" s="309">
        <f>VLOOKUP($B732,'Infant pick up smoking rates'!$A$19:$I$104,2)</f>
        <v>0</v>
      </c>
      <c r="Y732" s="309">
        <f t="shared" si="242"/>
        <v>0.99602339846185828</v>
      </c>
      <c r="Z732" s="309">
        <f>VLOOKUP($B732,'Infant adult mortality'!$A$27:$I$128,5)</f>
        <v>7.8860874385089721E-3</v>
      </c>
      <c r="AA732" s="309">
        <f t="shared" si="313"/>
        <v>0.25</v>
      </c>
      <c r="AB732" s="309">
        <f t="shared" si="244"/>
        <v>0.74211391256149106</v>
      </c>
      <c r="AC732" s="309">
        <f>VLOOKUP($B732,'Infant adult mortality'!$A$27:$I$128,5)</f>
        <v>7.8860874385089721E-3</v>
      </c>
      <c r="AD732" s="309">
        <f t="shared" si="314"/>
        <v>0.14000000000000001</v>
      </c>
      <c r="AE732" s="309">
        <f t="shared" si="246"/>
        <v>0.85211391256149105</v>
      </c>
      <c r="AF732" s="309">
        <f>VLOOKUP($B732,'Infant adult mortality'!$A$27:$I$128,4)</f>
        <v>5.3021353841890117E-3</v>
      </c>
      <c r="AG732" s="309">
        <f t="shared" si="315"/>
        <v>0.5714285714285714</v>
      </c>
      <c r="AH732" s="309">
        <f t="shared" si="248"/>
        <v>0.4232692931872396</v>
      </c>
      <c r="AI732" s="309">
        <f>VLOOKUP($B732,'Infant adult mortality'!$A$27:$I$128,4)</f>
        <v>5.3021353841890117E-3</v>
      </c>
      <c r="AJ732" s="309">
        <f t="shared" si="316"/>
        <v>8.6261668788331098E-3</v>
      </c>
      <c r="AK732" s="309">
        <f t="shared" si="250"/>
        <v>0.98607169773697789</v>
      </c>
      <c r="AL732" s="309"/>
      <c r="AM732" s="315">
        <f t="shared" si="287"/>
        <v>21.049893340852385</v>
      </c>
      <c r="AN732" s="316">
        <f t="shared" si="288"/>
        <v>6.2095485316134669</v>
      </c>
      <c r="AO732" s="316">
        <f t="shared" si="289"/>
        <v>0.94213629961424417</v>
      </c>
      <c r="AP732" s="316">
        <f t="shared" si="290"/>
        <v>44.288257046683029</v>
      </c>
      <c r="AQ732" s="316">
        <f t="shared" si="291"/>
        <v>83.896926398921394</v>
      </c>
      <c r="AR732" s="316">
        <f t="shared" si="292"/>
        <v>111.66065029137931</v>
      </c>
      <c r="AS732" s="316">
        <f t="shared" si="293"/>
        <v>28.398571130101388</v>
      </c>
      <c r="AT732" s="316">
        <f t="shared" si="294"/>
        <v>4.0424283914413834</v>
      </c>
      <c r="AU732" s="316">
        <f t="shared" si="295"/>
        <v>118.57553382067076</v>
      </c>
      <c r="AV732" s="316">
        <f t="shared" si="296"/>
        <v>90.93605474872254</v>
      </c>
      <c r="AW732" s="317">
        <f t="shared" si="251"/>
        <v>509.99999999999989</v>
      </c>
      <c r="AX732" s="309"/>
      <c r="AY732" s="308">
        <f>VLOOKUP($B732,'Infant adult mortality'!$A$134:$I$234,3)</f>
        <v>2.7397121180627727E-3</v>
      </c>
      <c r="AZ732" s="309">
        <f t="shared" si="252"/>
        <v>0.27</v>
      </c>
      <c r="BA732" s="309">
        <f ca="1">VLOOKUP($B732,'Infant pick up smoking rates'!$A$19:$I$104,7)</f>
        <v>0</v>
      </c>
      <c r="BB732" s="309">
        <f t="shared" si="253"/>
        <v>7.3463397511548706E-2</v>
      </c>
      <c r="BC732" s="309">
        <f t="shared" ca="1" si="254"/>
        <v>0.65379689037038846</v>
      </c>
      <c r="BD732" s="309">
        <f>VLOOKUP($B732,'Infant adult mortality'!$A$134:$I$234,3)</f>
        <v>2.7397121180627727E-3</v>
      </c>
      <c r="BE732" s="309">
        <f t="shared" si="255"/>
        <v>0.14000000000000001</v>
      </c>
      <c r="BF732" s="309">
        <f>VLOOKUP($B732,'Infant pick up smoking rates'!$A$19:$I$104,6)</f>
        <v>0</v>
      </c>
      <c r="BG732" s="309">
        <f t="shared" si="256"/>
        <v>7.3463397511548706E-2</v>
      </c>
      <c r="BH732" s="309">
        <f t="shared" si="257"/>
        <v>0.78379689037038847</v>
      </c>
      <c r="BI732" s="309">
        <f>VLOOKUP($B732,'Infant adult mortality'!$A$134:$I$234,3)</f>
        <v>2.7397121180627727E-3</v>
      </c>
      <c r="BJ732" s="309">
        <f t="shared" si="258"/>
        <v>0.5714285714285714</v>
      </c>
      <c r="BK732" s="309">
        <f>VLOOKUP($B732,'Infant pick up smoking rates'!$A$19:$I$104,6)</f>
        <v>0</v>
      </c>
      <c r="BL732" s="309">
        <f t="shared" si="259"/>
        <v>6.0362928819502989E-2</v>
      </c>
      <c r="BM732" s="309">
        <f t="shared" si="260"/>
        <v>0.36546878763386281</v>
      </c>
      <c r="BN732" s="309">
        <f>VLOOKUP($B732,'Infant adult mortality'!$A$134:$I$234,3)</f>
        <v>2.7397121180627727E-3</v>
      </c>
      <c r="BO732" s="309">
        <f t="shared" si="261"/>
        <v>8.6261668788331098E-3</v>
      </c>
      <c r="BP732" s="309">
        <f>VLOOKUP($B732,'Infant pick up smoking rates'!$A$19:$I$104,6)</f>
        <v>0</v>
      </c>
      <c r="BQ732" s="309">
        <f t="shared" si="262"/>
        <v>6.0362928819502989E-2</v>
      </c>
      <c r="BR732" s="309">
        <f t="shared" si="263"/>
        <v>0.9282711921836011</v>
      </c>
      <c r="BS732" s="309">
        <f>VLOOKUP($B732,'Infant adult mortality'!$A$134:$I$234,3)</f>
        <v>2.7397121180627727E-3</v>
      </c>
      <c r="BT732" s="309">
        <f>VLOOKUP($B732,'Infant pick up smoking rates'!$A$19:$I$104,6)</f>
        <v>0</v>
      </c>
      <c r="BU732" s="309">
        <f t="shared" si="264"/>
        <v>0.99726028788193721</v>
      </c>
      <c r="BV732" s="309">
        <f>VLOOKUP($B732,'Infant adult mortality'!$A$134:$I$234,5)</f>
        <v>5.4331843691540222E-3</v>
      </c>
      <c r="BW732" s="309">
        <f t="shared" si="322"/>
        <v>0.27</v>
      </c>
      <c r="BX732" s="309">
        <f t="shared" si="266"/>
        <v>0.72456681563084591</v>
      </c>
      <c r="BY732" s="309">
        <f>VLOOKUP($B732,'Infant adult mortality'!$A$134:$I$234,5)</f>
        <v>5.4331843691540222E-3</v>
      </c>
      <c r="BZ732" s="309">
        <f t="shared" si="267"/>
        <v>0.14000000000000001</v>
      </c>
      <c r="CA732" s="309">
        <f t="shared" si="268"/>
        <v>0.85456681563084591</v>
      </c>
      <c r="CB732" s="309">
        <f>VLOOKUP($B732,'Infant adult mortality'!$A$134:$I$234,4)</f>
        <v>3.6529494907503639E-3</v>
      </c>
      <c r="CC732" s="309">
        <f t="shared" si="269"/>
        <v>0.5714285714285714</v>
      </c>
      <c r="CD732" s="309">
        <f t="shared" si="270"/>
        <v>0.42491847908067826</v>
      </c>
      <c r="CE732" s="309">
        <f>VLOOKUP($B732,'Infant adult mortality'!$A$134:$I$234,4)</f>
        <v>3.6529494907503639E-3</v>
      </c>
      <c r="CF732" s="309">
        <f t="shared" si="271"/>
        <v>8.6261668788331098E-3</v>
      </c>
      <c r="CG732" s="309">
        <f t="shared" si="272"/>
        <v>0.98772088363041655</v>
      </c>
      <c r="CH732" s="309"/>
      <c r="CI732" s="315">
        <f t="shared" ca="1" si="297"/>
        <v>28.605236188119328</v>
      </c>
      <c r="CJ732" s="316">
        <f t="shared" ca="1" si="298"/>
        <v>8.4277682318238671</v>
      </c>
      <c r="CK732" s="316">
        <f t="shared" ca="1" si="299"/>
        <v>1.2772392014810636</v>
      </c>
      <c r="CL732" s="316">
        <f t="shared" ca="1" si="300"/>
        <v>59.470109653014219</v>
      </c>
      <c r="CM732" s="316">
        <f t="shared" ca="1" si="301"/>
        <v>113.36904478540443</v>
      </c>
      <c r="CN732" s="316">
        <f t="shared" ca="1" si="302"/>
        <v>83.439204640134164</v>
      </c>
      <c r="CO732" s="316">
        <f t="shared" ca="1" si="303"/>
        <v>22.87512801614962</v>
      </c>
      <c r="CP732" s="316">
        <f t="shared" ca="1" si="304"/>
        <v>3.2507783923005982</v>
      </c>
      <c r="CQ732" s="316">
        <f t="shared" ca="1" si="305"/>
        <v>94.270645256970468</v>
      </c>
      <c r="CR732" s="316">
        <f t="shared" ca="1" si="306"/>
        <v>75.014845634602821</v>
      </c>
      <c r="CS732" s="317">
        <f t="shared" ca="1" si="273"/>
        <v>490.00000000000057</v>
      </c>
      <c r="CT732" s="309"/>
      <c r="CU732" s="309">
        <f t="shared" ca="1" si="274"/>
        <v>1000.0000000000005</v>
      </c>
      <c r="CV732" s="309" t="str">
        <f t="shared" ca="1" si="317"/>
        <v>OKAY</v>
      </c>
      <c r="CW732" s="309"/>
      <c r="CX732" s="315">
        <f>(SUM($AR732:$AS732))-((SUM($AR732:$AS732)*VLOOKUP($B732,Lifetime_morbidity_array!$A$30:$Y$48,4))+(SUM($AR732:$AS732)*VLOOKUP($B732,Lifetime_morbidity_array!$A$30:$Y$48,7))+(SUM($AR732:$AS732)*VLOOKUP($B732,Lifetime_morbidity_array!$A$30:$Y$48,10))+(SUM($AR732:$AS732)*VLOOKUP($B732,Lifetime_morbidity_array!$A$30:$Y$48,13)))</f>
        <v>31.616544215281834</v>
      </c>
      <c r="CY732" s="316">
        <f>(SUM($AT732:$AU732))-((SUM($AT732:$AU732)*(VLOOKUP($B732,Lifetime_morbidity_array!$A$30:$Y$48,3)))+(SUM($AT732:$AU732)*(VLOOKUP($B732,Lifetime_morbidity_array!$A$30:$Y$48,6)))+(SUM($AT732:$AU732)*(VLOOKUP($B732,Lifetime_morbidity_array!$A$30:$Y$48,9)))+(SUM($AT732:$AU732)*(VLOOKUP($B732,Lifetime_morbidity_array!$A$30:$Y$48,12))))</f>
        <v>77.828821953248294</v>
      </c>
      <c r="CZ732" s="316">
        <f>(SUM($AM732:$AQ732))-((SUM($AM732:$AQ732)*VLOOKUP($B732,Lifetime_morbidity_array!$A$30:$Y$48,2))+(SUM($AM732:$AQ732)*VLOOKUP($B732,Lifetime_morbidity_array!$A$30:$Y$48,5))+(SUM($AM732:$AQ732)*VLOOKUP($B732,Lifetime_morbidity_array!$A$30:$Y$48,8))+(SUM($AM732:$AQ732)*VLOOKUP($B732,Lifetime_morbidity_array!$A$30:$Y$48,11)))</f>
        <v>123.9064549791032</v>
      </c>
      <c r="DA732" s="316">
        <f>(SUM($AM732:$AQ732)*VLOOKUP($B732,Lifetime_morbidity_array!$A$30:$Y$48,2))+(SUM($AR732:$AS732)*VLOOKUP($B732,Lifetime_morbidity_array!$A$30:$Y$48,4))+(SUM($AT732:$AU732)*(VLOOKUP($B732,Lifetime_morbidity_array!$A$30:$Y$48,3)))</f>
        <v>104.53077693475507</v>
      </c>
      <c r="DB732" s="316">
        <f>(SUM($AM732:$AQ732)*VLOOKUP($B732,Lifetime_morbidity_array!$A$30:$Y$48,5))+(SUM($AR732:$AS732)*VLOOKUP($B732,Lifetime_morbidity_array!$A$30:$Y$48,7))+(SUM($AT732:$AU732)*(VLOOKUP($B732,Lifetime_morbidity_array!$A$30:$Y$48,6)))</f>
        <v>40.762091700526099</v>
      </c>
      <c r="DC732" s="316">
        <f>(SUM($AM732:$AQ732)*VLOOKUP($B732,Lifetime_morbidity_array!$A$30:$Y$48,8))+(SUM($AR732:$AS732)*VLOOKUP($B732,Lifetime_morbidity_array!$A$30:$Y$48,10))+(SUM($AT732:$AU732)*(VLOOKUP($B732,Lifetime_morbidity_array!$A$30:$Y$48,9)))</f>
        <v>5.5676843272546455</v>
      </c>
      <c r="DD732" s="317">
        <f>(SUM($AM732:$AQ732)*VLOOKUP($B732,Lifetime_morbidity_array!$A$30:$Y$48,11))+(SUM($AR732:$AS732)*VLOOKUP($B732,Lifetime_morbidity_array!$A$30:$Y$48,13))+(SUM($AT732:$AU732)*(VLOOKUP($B732,Lifetime_morbidity_array!$A$30:$Y$48,12)))</f>
        <v>34.851571141108167</v>
      </c>
      <c r="DE732" s="309"/>
      <c r="DF732" s="315">
        <f ca="1">(SUM($CN732:$CO732))-((SUM($CN732:$CO732)*VLOOKUP($B732,Lifetime_morbidity_array!$A$6:$Y$24,4))+(SUM($CN732:$CO732)*VLOOKUP($B732,Lifetime_morbidity_array!$A$6:$Y$24,7))+(SUM($CN732:$CO732)*VLOOKUP($B732,Lifetime_morbidity_array!$A$6:$Y$24,10))+(SUM($CN732:$CO732)*VLOOKUP($B732,Lifetime_morbidity_array!$A$6:$Y$24,13)))</f>
        <v>42.579817632307382</v>
      </c>
      <c r="DG732" s="316">
        <f ca="1">(SUM($CP732:$CQ732))-(((SUM($CP732:$CQ732)*VLOOKUP($B732,Lifetime_morbidity_array!$A$6:$Y$24,3))+(SUM($CP732:$CQ732)*VLOOKUP($B732,Lifetime_morbidity_array!$A$6:$Y$24,6))+(SUM($CP732:$CQ732)*VLOOKUP($B732,Lifetime_morbidity_array!$A$6:$Y$24,9))+(SUM($CP732:$CQ732)*VLOOKUP($B732,Lifetime_morbidity_array!$A$6:$Y$24,12))))</f>
        <v>71.146509798172815</v>
      </c>
      <c r="DH732" s="316">
        <f ca="1">(SUM($CI732:$CM732))-((SUM($CI732:$CM732)*VLOOKUP($B732,Lifetime_morbidity_array!$A$6:$Y$24,2))+(SUM($CI732:$CM732)*VLOOKUP($B732,Lifetime_morbidity_array!$A$6:$Y$24,5))+(SUM($CI732:$CM732)*VLOOKUP($B732,Lifetime_morbidity_array!$A$6:$Y$24,8))+(SUM($CI732:$CM732)*VLOOKUP($B732,Lifetime_morbidity_array!$A$6:$Y$24,11)))</f>
        <v>185.47760866771006</v>
      </c>
      <c r="DI732" s="316">
        <f ca="1">(SUM($CI732:$CM732)*VLOOKUP($B732,Lifetime_morbidity_array!$A$6:$Y$24,2))+(SUM($CN732:$CO732)*VLOOKUP($B732,Lifetime_morbidity_array!$A$6:$Y$24,4))+(SUM($CP732:$CQ732)*VLOOKUP($B732,Lifetime_morbidity_array!$A$6:$Y$24,3))</f>
        <v>55.446478083772902</v>
      </c>
      <c r="DJ732" s="316">
        <f ca="1">(SUM($CI732:$CM732)*VLOOKUP($B732,Lifetime_morbidity_array!$A$6:$Y$24,5))+(SUM($CN732:$CO732)*VLOOKUP($B732,Lifetime_morbidity_array!$A$6:$Y$24,7))+(SUM($CP732:$CQ732)*VLOOKUP($B732,Lifetime_morbidity_array!$A$6:$Y$24,6))</f>
        <v>37.129773643762725</v>
      </c>
      <c r="DK732" s="316">
        <f ca="1">(SUM($CI732:$CM732)*VLOOKUP($B732,Lifetime_morbidity_array!$A$6:$Y$24,8))+(SUM($CN732:$CO732)*VLOOKUP($B732,Lifetime_morbidity_array!$A$6:$Y$24,10))+(SUM($CP732:$CQ732)*VLOOKUP($B732,Lifetime_morbidity_array!$A$6:$Y$24,9))</f>
        <v>2.044381790766888</v>
      </c>
      <c r="DL732" s="317">
        <f ca="1">(SUM($CI732:$CM732)*VLOOKUP($B732,Lifetime_morbidity_array!$A$6:$Y$24,11))+(SUM($CN732:$CO732)*VLOOKUP($B732,Lifetime_morbidity_array!$A$6:$Y$24,13))+(SUM($CP732:$CQ732)*VLOOKUP($B732,Lifetime_morbidity_array!$A$6:$Y$24,12))</f>
        <v>21.160584748904974</v>
      </c>
      <c r="DM732" s="309"/>
      <c r="DN732" s="308">
        <f t="shared" si="275"/>
        <v>66</v>
      </c>
      <c r="DO732" s="309">
        <f t="shared" ca="1" si="323"/>
        <v>86.124860511213214</v>
      </c>
      <c r="DP732" s="310">
        <f t="shared" ca="1" si="307"/>
        <v>22664.602578270176</v>
      </c>
      <c r="DQ732" s="309"/>
      <c r="DR732" s="308">
        <f t="shared" si="277"/>
        <v>66</v>
      </c>
      <c r="DS732" s="309">
        <f ca="1">((VLOOKUP($B732,'Mahawesran Tariff'!$A$21:$M$120,4)*'Comparator (DET)'!$CX732)+(VLOOKUP($B732,'Mahawesran Tariff'!$A$21:$M$120,3)*'Comparator (DET)'!$CY732)+(VLOOKUP($B732,'Mahawesran Tariff'!$A$21:$M$120,2)*'Comparator (DET)'!$CZ732)+(VLOOKUP($B732,'Mahawesran Tariff'!$A$21:$M$120,7)*'Comparator (DET)'!$DF732)+(VLOOKUP($B732,'Mahawesran Tariff'!$A$21:$M$120,6)*'Comparator (DET)'!$DG732)+(VLOOKUP($B732,'Mahawesran Tariff'!$A$21:$M$120,5)*'Comparator (DET)'!$DH732)+(DET_UTIL_chd*('Comparator (DET)'!$DA732+'Comparator (DET)'!$DI732))+(DET_UTIL_copd*('Comparator (DET)'!$DB732+'Comparator (DET)'!$DJ732))+(DET_UTIL_lc*('Comparator (DET)'!$DC732+'Comparator (DET)'!$DK732))+(DET_UTIL_stroke*('Comparator (DET)'!$DD732+'Comparator (DET)'!$DL732)))/((1+Discount_rate_QALYs)^$A732)</f>
        <v>73.774286423040891</v>
      </c>
      <c r="DT732" s="310">
        <f t="shared" ca="1" si="308"/>
        <v>22370.653734699488</v>
      </c>
      <c r="DU732" s="309"/>
      <c r="DV732" s="308">
        <f t="shared" si="278"/>
        <v>66</v>
      </c>
      <c r="DW732" s="318">
        <f t="shared" ca="1" si="324"/>
        <v>170323.28414248282</v>
      </c>
      <c r="DX732" s="319">
        <f t="shared" ca="1" si="309"/>
        <v>7792422.6424872847</v>
      </c>
      <c r="DZ732" s="95">
        <f t="shared" si="280"/>
        <v>66</v>
      </c>
      <c r="EA732" s="268">
        <f t="shared" ca="1" si="318"/>
        <v>0.83404909961667506</v>
      </c>
      <c r="EB732" s="268">
        <f t="shared" ca="1" si="319"/>
        <v>0.16595090038332536</v>
      </c>
      <c r="EC732" s="268">
        <f t="shared" ca="1" si="320"/>
        <v>0.30149334237085146</v>
      </c>
      <c r="ED732" s="290">
        <f t="shared" ca="1" si="321"/>
        <v>0.46651293993914766</v>
      </c>
      <c r="EF732" s="95">
        <f t="shared" si="281"/>
        <v>66</v>
      </c>
      <c r="EG732" s="339">
        <f t="shared" ca="1" si="325"/>
        <v>170323.28414248282</v>
      </c>
      <c r="EH732" s="341">
        <f t="shared" ca="1" si="310"/>
        <v>10892554.578343369</v>
      </c>
      <c r="EJ732" s="308">
        <f t="shared" si="283"/>
        <v>66</v>
      </c>
      <c r="EK732" s="318">
        <f t="shared" ca="1" si="284"/>
        <v>170323.28414248282</v>
      </c>
      <c r="EL732" s="319">
        <f t="shared" ca="1" si="311"/>
        <v>7792422.6424872847</v>
      </c>
      <c r="EN732" s="95">
        <f t="shared" si="285"/>
        <v>66</v>
      </c>
      <c r="EO732" s="339">
        <f t="shared" ca="1" si="286"/>
        <v>170323.28414248282</v>
      </c>
      <c r="EP732" s="341">
        <f t="shared" ca="1" si="312"/>
        <v>10892554.578343369</v>
      </c>
    </row>
    <row r="733" spans="1:146" s="266" customFormat="1" x14ac:dyDescent="0.25">
      <c r="A733" s="313">
        <v>67</v>
      </c>
      <c r="B733" s="314">
        <v>67</v>
      </c>
      <c r="C733" s="308">
        <f>VLOOKUP($B733,'Infant adult mortality'!$A$27:$I$128,3)</f>
        <v>4.303537726044482E-3</v>
      </c>
      <c r="D733" s="309">
        <f t="shared" si="230"/>
        <v>0.27</v>
      </c>
      <c r="E733" s="309">
        <f>VLOOKUP($B733,'Infant pick up smoking rates'!$A$19:$I$104,3)</f>
        <v>0</v>
      </c>
      <c r="F733" s="309">
        <f t="shared" si="231"/>
        <v>8.1197699868496467E-2</v>
      </c>
      <c r="G733" s="309">
        <f t="shared" si="232"/>
        <v>0.644498762405459</v>
      </c>
      <c r="H733" s="309">
        <f>VLOOKUP($B733,'Infant adult mortality'!$A$27:$I$128,3)</f>
        <v>4.303537726044482E-3</v>
      </c>
      <c r="I733" s="309">
        <f t="shared" si="233"/>
        <v>0.14000000000000001</v>
      </c>
      <c r="J733" s="309">
        <f>VLOOKUP($B733,'Infant pick up smoking rates'!$A$19:$I$104,2)</f>
        <v>0</v>
      </c>
      <c r="K733" s="309">
        <f t="shared" si="234"/>
        <v>8.1197699868496467E-2</v>
      </c>
      <c r="L733" s="309">
        <f t="shared" si="235"/>
        <v>0.77449876240545901</v>
      </c>
      <c r="M733" s="309">
        <f>VLOOKUP($B733,'Infant adult mortality'!$A$27:$I$128,3)</f>
        <v>4.303537726044482E-3</v>
      </c>
      <c r="N733" s="309">
        <f t="shared" si="236"/>
        <v>0.5714285714285714</v>
      </c>
      <c r="O733" s="309">
        <f>VLOOKUP($B733,'Infant pick up smoking rates'!$A$19:$I$104,2)</f>
        <v>0</v>
      </c>
      <c r="P733" s="309">
        <f t="shared" si="237"/>
        <v>6.6718000303469666E-2</v>
      </c>
      <c r="Q733" s="309">
        <f t="shared" si="238"/>
        <v>0.35754989054191449</v>
      </c>
      <c r="R733" s="309">
        <f>VLOOKUP($B733,'Infant adult mortality'!$A$27:$I$128,3)</f>
        <v>4.303537726044482E-3</v>
      </c>
      <c r="S733" s="309">
        <f t="shared" si="239"/>
        <v>8.6261668788331098E-3</v>
      </c>
      <c r="T733" s="309">
        <f>VLOOKUP($B733,'Infant pick up smoking rates'!$A$19:$I$104,2)</f>
        <v>0</v>
      </c>
      <c r="U733" s="309">
        <f t="shared" si="240"/>
        <v>6.6718000303469666E-2</v>
      </c>
      <c r="V733" s="309">
        <f t="shared" si="241"/>
        <v>0.92035229509165273</v>
      </c>
      <c r="W733" s="309">
        <f>VLOOKUP($B733,'Infant adult mortality'!$A$27:$I$128,3)</f>
        <v>4.303537726044482E-3</v>
      </c>
      <c r="X733" s="309">
        <f>VLOOKUP($B733,'Infant pick up smoking rates'!$A$19:$I$104,2)</f>
        <v>0</v>
      </c>
      <c r="Y733" s="309">
        <f t="shared" si="242"/>
        <v>0.99569646227395547</v>
      </c>
      <c r="Z733" s="309">
        <f>VLOOKUP($B733,'Infant adult mortality'!$A$27:$I$128,5)</f>
        <v>8.5344419039700692E-3</v>
      </c>
      <c r="AA733" s="309">
        <f t="shared" si="313"/>
        <v>0.25</v>
      </c>
      <c r="AB733" s="309">
        <f t="shared" si="244"/>
        <v>0.74146555809602988</v>
      </c>
      <c r="AC733" s="309">
        <f>VLOOKUP($B733,'Infant adult mortality'!$A$27:$I$128,5)</f>
        <v>8.5344419039700692E-3</v>
      </c>
      <c r="AD733" s="309">
        <f t="shared" si="314"/>
        <v>0.14000000000000001</v>
      </c>
      <c r="AE733" s="309">
        <f t="shared" si="246"/>
        <v>0.85146555809602997</v>
      </c>
      <c r="AF733" s="309">
        <f>VLOOKUP($B733,'Infant adult mortality'!$A$27:$I$128,4)</f>
        <v>5.7380503013926432E-3</v>
      </c>
      <c r="AG733" s="309">
        <f t="shared" si="315"/>
        <v>0.5714285714285714</v>
      </c>
      <c r="AH733" s="309">
        <f t="shared" si="248"/>
        <v>0.42283337827003598</v>
      </c>
      <c r="AI733" s="309">
        <f>VLOOKUP($B733,'Infant adult mortality'!$A$27:$I$128,4)</f>
        <v>5.7380503013926432E-3</v>
      </c>
      <c r="AJ733" s="309">
        <f t="shared" si="316"/>
        <v>8.6261668788331098E-3</v>
      </c>
      <c r="AK733" s="309">
        <f t="shared" si="250"/>
        <v>0.98563578281977426</v>
      </c>
      <c r="AL733" s="309"/>
      <c r="AM733" s="315">
        <f t="shared" si="287"/>
        <v>19.094816486637523</v>
      </c>
      <c r="AN733" s="316">
        <f t="shared" si="288"/>
        <v>5.6834712020301446</v>
      </c>
      <c r="AO733" s="316">
        <f t="shared" si="289"/>
        <v>0.86933679442588541</v>
      </c>
      <c r="AP733" s="316">
        <f t="shared" si="290"/>
        <v>41.299162618303349</v>
      </c>
      <c r="AQ733" s="316">
        <f t="shared" si="291"/>
        <v>88.766958187811966</v>
      </c>
      <c r="AR733" s="316">
        <f t="shared" si="292"/>
        <v>109.70505759773647</v>
      </c>
      <c r="AS733" s="316">
        <f t="shared" si="293"/>
        <v>27.915162572844828</v>
      </c>
      <c r="AT733" s="316">
        <f t="shared" si="294"/>
        <v>3.9757999582141945</v>
      </c>
      <c r="AU733" s="316">
        <f t="shared" si="295"/>
        <v>119.18224818143308</v>
      </c>
      <c r="AV733" s="316">
        <f t="shared" si="296"/>
        <v>93.507986400562444</v>
      </c>
      <c r="AW733" s="317">
        <f t="shared" si="251"/>
        <v>509.99999999999989</v>
      </c>
      <c r="AX733" s="309"/>
      <c r="AY733" s="308">
        <f>VLOOKUP($B733,'Infant adult mortality'!$A$134:$I$234,3)</f>
        <v>2.9586821866555814E-3</v>
      </c>
      <c r="AZ733" s="309">
        <f t="shared" si="252"/>
        <v>0.27</v>
      </c>
      <c r="BA733" s="309">
        <f ca="1">VLOOKUP($B733,'Infant pick up smoking rates'!$A$19:$I$104,7)</f>
        <v>0</v>
      </c>
      <c r="BB733" s="309">
        <f t="shared" si="253"/>
        <v>8.1197699868496467E-2</v>
      </c>
      <c r="BC733" s="309">
        <f t="shared" ca="1" si="254"/>
        <v>0.6458436179448479</v>
      </c>
      <c r="BD733" s="309">
        <f>VLOOKUP($B733,'Infant adult mortality'!$A$134:$I$234,3)</f>
        <v>2.9586821866555814E-3</v>
      </c>
      <c r="BE733" s="309">
        <f t="shared" si="255"/>
        <v>0.14000000000000001</v>
      </c>
      <c r="BF733" s="309">
        <f>VLOOKUP($B733,'Infant pick up smoking rates'!$A$19:$I$104,6)</f>
        <v>0</v>
      </c>
      <c r="BG733" s="309">
        <f t="shared" si="256"/>
        <v>8.1197699868496467E-2</v>
      </c>
      <c r="BH733" s="309">
        <f t="shared" si="257"/>
        <v>0.77584361794484791</v>
      </c>
      <c r="BI733" s="309">
        <f>VLOOKUP($B733,'Infant adult mortality'!$A$134:$I$234,3)</f>
        <v>2.9586821866555814E-3</v>
      </c>
      <c r="BJ733" s="309">
        <f t="shared" si="258"/>
        <v>0.5714285714285714</v>
      </c>
      <c r="BK733" s="309">
        <f>VLOOKUP($B733,'Infant pick up smoking rates'!$A$19:$I$104,6)</f>
        <v>0</v>
      </c>
      <c r="BL733" s="309">
        <f t="shared" si="259"/>
        <v>6.6718000303469666E-2</v>
      </c>
      <c r="BM733" s="309">
        <f t="shared" si="260"/>
        <v>0.3588947460813034</v>
      </c>
      <c r="BN733" s="309">
        <f>VLOOKUP($B733,'Infant adult mortality'!$A$134:$I$234,3)</f>
        <v>2.9586821866555814E-3</v>
      </c>
      <c r="BO733" s="309">
        <f t="shared" si="261"/>
        <v>8.6261668788331098E-3</v>
      </c>
      <c r="BP733" s="309">
        <f>VLOOKUP($B733,'Infant pick up smoking rates'!$A$19:$I$104,6)</f>
        <v>0</v>
      </c>
      <c r="BQ733" s="309">
        <f t="shared" si="262"/>
        <v>6.6718000303469666E-2</v>
      </c>
      <c r="BR733" s="309">
        <f t="shared" si="263"/>
        <v>0.92169715063104163</v>
      </c>
      <c r="BS733" s="309">
        <f>VLOOKUP($B733,'Infant adult mortality'!$A$134:$I$234,3)</f>
        <v>2.9586821866555814E-3</v>
      </c>
      <c r="BT733" s="309">
        <f>VLOOKUP($B733,'Infant pick up smoking rates'!$A$19:$I$104,6)</f>
        <v>0</v>
      </c>
      <c r="BU733" s="309">
        <f t="shared" si="264"/>
        <v>0.99704131781334437</v>
      </c>
      <c r="BV733" s="309">
        <f>VLOOKUP($B733,'Infant adult mortality'!$A$134:$I$234,5)</f>
        <v>5.8674288089794234E-3</v>
      </c>
      <c r="BW733" s="309">
        <f t="shared" si="322"/>
        <v>0.27</v>
      </c>
      <c r="BX733" s="309">
        <f t="shared" si="266"/>
        <v>0.72413257119102059</v>
      </c>
      <c r="BY733" s="309">
        <f>VLOOKUP($B733,'Infant adult mortality'!$A$134:$I$234,5)</f>
        <v>5.8674288089794234E-3</v>
      </c>
      <c r="BZ733" s="309">
        <f t="shared" si="267"/>
        <v>0.14000000000000001</v>
      </c>
      <c r="CA733" s="309">
        <f t="shared" si="268"/>
        <v>0.8541325711910206</v>
      </c>
      <c r="CB733" s="309">
        <f>VLOOKUP($B733,'Infant adult mortality'!$A$134:$I$234,4)</f>
        <v>3.9449095822074428E-3</v>
      </c>
      <c r="CC733" s="309">
        <f t="shared" si="269"/>
        <v>0.5714285714285714</v>
      </c>
      <c r="CD733" s="309">
        <f t="shared" si="270"/>
        <v>0.42462651898922116</v>
      </c>
      <c r="CE733" s="309">
        <f>VLOOKUP($B733,'Infant adult mortality'!$A$134:$I$234,4)</f>
        <v>3.9449095822074428E-3</v>
      </c>
      <c r="CF733" s="309">
        <f t="shared" si="271"/>
        <v>8.6261668788331098E-3</v>
      </c>
      <c r="CG733" s="309">
        <f t="shared" si="272"/>
        <v>0.9874289235389595</v>
      </c>
      <c r="CH733" s="309"/>
      <c r="CI733" s="315">
        <f t="shared" ca="1" si="297"/>
        <v>25.984532957150797</v>
      </c>
      <c r="CJ733" s="316">
        <f t="shared" ca="1" si="298"/>
        <v>7.7234137707922192</v>
      </c>
      <c r="CK733" s="316">
        <f t="shared" ca="1" si="299"/>
        <v>1.1798875524553416</v>
      </c>
      <c r="CL733" s="316">
        <f t="shared" ca="1" si="300"/>
        <v>55.543281587173709</v>
      </c>
      <c r="CM733" s="316">
        <f t="shared" ca="1" si="301"/>
        <v>120.09355822950813</v>
      </c>
      <c r="CN733" s="316">
        <f t="shared" ca="1" si="302"/>
        <v>82.152998733441578</v>
      </c>
      <c r="CO733" s="316">
        <f t="shared" ca="1" si="303"/>
        <v>22.528585252836226</v>
      </c>
      <c r="CP733" s="316">
        <f t="shared" ca="1" si="304"/>
        <v>3.202517922260947</v>
      </c>
      <c r="CQ733" s="316">
        <f t="shared" ca="1" si="305"/>
        <v>94.943149420156672</v>
      </c>
      <c r="CR733" s="316">
        <f t="shared" ca="1" si="306"/>
        <v>76.64807457422495</v>
      </c>
      <c r="CS733" s="317">
        <f t="shared" ca="1" si="273"/>
        <v>490.00000000000057</v>
      </c>
      <c r="CT733" s="309"/>
      <c r="CU733" s="309">
        <f t="shared" ca="1" si="274"/>
        <v>1000.0000000000005</v>
      </c>
      <c r="CV733" s="309" t="str">
        <f t="shared" ca="1" si="317"/>
        <v>OKAY</v>
      </c>
      <c r="CW733" s="309"/>
      <c r="CX733" s="315">
        <f>(SUM($AR733:$AS733))-((SUM($AR733:$AS733)*VLOOKUP($B733,Lifetime_morbidity_array!$A$30:$Y$48,4))+(SUM($AR733:$AS733)*VLOOKUP($B733,Lifetime_morbidity_array!$A$30:$Y$48,7))+(SUM($AR733:$AS733)*VLOOKUP($B733,Lifetime_morbidity_array!$A$30:$Y$48,10))+(SUM($AR733:$AS733)*VLOOKUP($B733,Lifetime_morbidity_array!$A$30:$Y$48,13)))</f>
        <v>31.065971463930239</v>
      </c>
      <c r="CY733" s="316">
        <f>(SUM($AT733:$AU733))-((SUM($AT733:$AU733)*(VLOOKUP($B733,Lifetime_morbidity_array!$A$30:$Y$48,3)))+(SUM($AT733:$AU733)*(VLOOKUP($B733,Lifetime_morbidity_array!$A$30:$Y$48,6)))+(SUM($AT733:$AU733)*(VLOOKUP($B733,Lifetime_morbidity_array!$A$30:$Y$48,9)))+(SUM($AT733:$AU733)*(VLOOKUP($B733,Lifetime_morbidity_array!$A$30:$Y$48,12))))</f>
        <v>78.171628592139214</v>
      </c>
      <c r="CZ733" s="316">
        <f>(SUM($AM733:$AQ733))-((SUM($AM733:$AQ733)*VLOOKUP($B733,Lifetime_morbidity_array!$A$30:$Y$48,2))+(SUM($AM733:$AQ733)*VLOOKUP($B733,Lifetime_morbidity_array!$A$30:$Y$48,5))+(SUM($AM733:$AQ733)*VLOOKUP($B733,Lifetime_morbidity_array!$A$30:$Y$48,8))+(SUM($AM733:$AQ733)*VLOOKUP($B733,Lifetime_morbidity_array!$A$30:$Y$48,11)))</f>
        <v>123.3732188756002</v>
      </c>
      <c r="DA733" s="316">
        <f>(SUM($AM733:$AQ733)*VLOOKUP($B733,Lifetime_morbidity_array!$A$30:$Y$48,2))+(SUM($AR733:$AS733)*VLOOKUP($B733,Lifetime_morbidity_array!$A$30:$Y$48,4))+(SUM($AT733:$AU733)*(VLOOKUP($B733,Lifetime_morbidity_array!$A$30:$Y$48,3)))</f>
        <v>103.60118897189525</v>
      </c>
      <c r="DB733" s="316">
        <f>(SUM($AM733:$AQ733)*VLOOKUP($B733,Lifetime_morbidity_array!$A$30:$Y$48,5))+(SUM($AR733:$AS733)*VLOOKUP($B733,Lifetime_morbidity_array!$A$30:$Y$48,7))+(SUM($AT733:$AU733)*(VLOOKUP($B733,Lifetime_morbidity_array!$A$30:$Y$48,6)))</f>
        <v>40.234909690140981</v>
      </c>
      <c r="DC733" s="316">
        <f>(SUM($AM733:$AQ733)*VLOOKUP($B733,Lifetime_morbidity_array!$A$30:$Y$48,8))+(SUM($AR733:$AS733)*VLOOKUP($B733,Lifetime_morbidity_array!$A$30:$Y$48,10))+(SUM($AT733:$AU733)*(VLOOKUP($B733,Lifetime_morbidity_array!$A$30:$Y$48,9)))</f>
        <v>5.4958476483643022</v>
      </c>
      <c r="DD733" s="317">
        <f>(SUM($AM733:$AQ733)*VLOOKUP($B733,Lifetime_morbidity_array!$A$30:$Y$48,11))+(SUM($AR733:$AS733)*VLOOKUP($B733,Lifetime_morbidity_array!$A$30:$Y$48,13))+(SUM($AT733:$AU733)*(VLOOKUP($B733,Lifetime_morbidity_array!$A$30:$Y$48,12)))</f>
        <v>34.549248357367247</v>
      </c>
      <c r="DE733" s="309"/>
      <c r="DF733" s="315">
        <f ca="1">(SUM($CN733:$CO733))-((SUM($CN733:$CO733)*VLOOKUP($B733,Lifetime_morbidity_array!$A$6:$Y$24,4))+(SUM($CN733:$CO733)*VLOOKUP($B733,Lifetime_morbidity_array!$A$6:$Y$24,7))+(SUM($CN733:$CO733)*VLOOKUP($B733,Lifetime_morbidity_array!$A$6:$Y$24,10))+(SUM($CN733:$CO733)*VLOOKUP($B733,Lifetime_morbidity_array!$A$6:$Y$24,13)))</f>
        <v>41.925887547141784</v>
      </c>
      <c r="DG733" s="316">
        <f ca="1">(SUM($CP733:$CQ733))-(((SUM($CP733:$CQ733)*VLOOKUP($B733,Lifetime_morbidity_array!$A$6:$Y$24,3))+(SUM($CP733:$CQ733)*VLOOKUP($B733,Lifetime_morbidity_array!$A$6:$Y$24,6))+(SUM($CP733:$CQ733)*VLOOKUP($B733,Lifetime_morbidity_array!$A$6:$Y$24,9))+(SUM($CP733:$CQ733)*VLOOKUP($B733,Lifetime_morbidity_array!$A$6:$Y$24,12))))</f>
        <v>71.601925217359337</v>
      </c>
      <c r="DH733" s="316">
        <f ca="1">(SUM($CI733:$CM733))-((SUM($CI733:$CM733)*VLOOKUP($B733,Lifetime_morbidity_array!$A$6:$Y$24,2))+(SUM($CI733:$CM733)*VLOOKUP($B733,Lifetime_morbidity_array!$A$6:$Y$24,5))+(SUM($CI733:$CM733)*VLOOKUP($B733,Lifetime_morbidity_array!$A$6:$Y$24,8))+(SUM($CI733:$CM733)*VLOOKUP($B733,Lifetime_morbidity_array!$A$6:$Y$24,11)))</f>
        <v>184.92883937092145</v>
      </c>
      <c r="DI733" s="316">
        <f ca="1">(SUM($CI733:$CM733)*VLOOKUP($B733,Lifetime_morbidity_array!$A$6:$Y$24,2))+(SUM($CN733:$CO733)*VLOOKUP($B733,Lifetime_morbidity_array!$A$6:$Y$24,4))+(SUM($CP733:$CQ733)*VLOOKUP($B733,Lifetime_morbidity_array!$A$6:$Y$24,3))</f>
        <v>55.055922920462841</v>
      </c>
      <c r="DJ733" s="316">
        <f ca="1">(SUM($CI733:$CM733)*VLOOKUP($B733,Lifetime_morbidity_array!$A$6:$Y$24,5))+(SUM($CN733:$CO733)*VLOOKUP($B733,Lifetime_morbidity_array!$A$6:$Y$24,7))+(SUM($CP733:$CQ733)*VLOOKUP($B733,Lifetime_morbidity_array!$A$6:$Y$24,6))</f>
        <v>36.786760514198654</v>
      </c>
      <c r="DK733" s="316">
        <f ca="1">(SUM($CI733:$CM733)*VLOOKUP($B733,Lifetime_morbidity_array!$A$6:$Y$24,8))+(SUM($CN733:$CO733)*VLOOKUP($B733,Lifetime_morbidity_array!$A$6:$Y$24,10))+(SUM($CP733:$CQ733)*VLOOKUP($B733,Lifetime_morbidity_array!$A$6:$Y$24,9))</f>
        <v>2.0232694595702432</v>
      </c>
      <c r="DL733" s="317">
        <f ca="1">(SUM($CI733:$CM733)*VLOOKUP($B733,Lifetime_morbidity_array!$A$6:$Y$24,11))+(SUM($CN733:$CO733)*VLOOKUP($B733,Lifetime_morbidity_array!$A$6:$Y$24,13))+(SUM($CP733:$CQ733)*VLOOKUP($B733,Lifetime_morbidity_array!$A$6:$Y$24,12))</f>
        <v>21.029320396121332</v>
      </c>
      <c r="DM733" s="309"/>
      <c r="DN733" s="308">
        <f t="shared" si="275"/>
        <v>67</v>
      </c>
      <c r="DO733" s="309">
        <f t="shared" ca="1" si="323"/>
        <v>82.792880035097141</v>
      </c>
      <c r="DP733" s="310">
        <f t="shared" ca="1" si="307"/>
        <v>22747.395458305273</v>
      </c>
      <c r="DQ733" s="309"/>
      <c r="DR733" s="308">
        <f t="shared" si="277"/>
        <v>67</v>
      </c>
      <c r="DS733" s="309">
        <f ca="1">((VLOOKUP($B733,'Mahawesran Tariff'!$A$21:$M$120,4)*'Comparator (DET)'!$CX733)+(VLOOKUP($B733,'Mahawesran Tariff'!$A$21:$M$120,3)*'Comparator (DET)'!$CY733)+(VLOOKUP($B733,'Mahawesran Tariff'!$A$21:$M$120,2)*'Comparator (DET)'!$CZ733)+(VLOOKUP($B733,'Mahawesran Tariff'!$A$21:$M$120,7)*'Comparator (DET)'!$DF733)+(VLOOKUP($B733,'Mahawesran Tariff'!$A$21:$M$120,6)*'Comparator (DET)'!$DG733)+(VLOOKUP($B733,'Mahawesran Tariff'!$A$21:$M$120,5)*'Comparator (DET)'!$DH733)+(DET_UTIL_chd*('Comparator (DET)'!$DA733+'Comparator (DET)'!$DI733))+(DET_UTIL_copd*('Comparator (DET)'!$DB733+'Comparator (DET)'!$DJ733))+(DET_UTIL_lc*('Comparator (DET)'!$DC733+'Comparator (DET)'!$DK733))+(DET_UTIL_stroke*('Comparator (DET)'!$DD733+'Comparator (DET)'!$DL733)))/((1+Discount_rate_QALYs)^$A733)</f>
        <v>70.945535104368531</v>
      </c>
      <c r="DT733" s="310">
        <f t="shared" ca="1" si="308"/>
        <v>22441.599269803857</v>
      </c>
      <c r="DU733" s="309"/>
      <c r="DV733" s="308">
        <f t="shared" si="278"/>
        <v>67</v>
      </c>
      <c r="DW733" s="318">
        <f t="shared" ca="1" si="324"/>
        <v>163219.7536779212</v>
      </c>
      <c r="DX733" s="319">
        <f t="shared" ca="1" si="309"/>
        <v>7955642.3961652061</v>
      </c>
      <c r="DZ733" s="95">
        <f t="shared" si="280"/>
        <v>67</v>
      </c>
      <c r="EA733" s="268">
        <f t="shared" ca="1" si="318"/>
        <v>0.82984393902521314</v>
      </c>
      <c r="EB733" s="268">
        <f t="shared" ca="1" si="319"/>
        <v>0.17015606097478742</v>
      </c>
      <c r="EC733" s="268">
        <f t="shared" ca="1" si="320"/>
        <v>0.29877646795812085</v>
      </c>
      <c r="ED733" s="290">
        <f t="shared" ca="1" si="321"/>
        <v>0.46360551963892399</v>
      </c>
      <c r="EF733" s="95">
        <f t="shared" si="281"/>
        <v>67</v>
      </c>
      <c r="EG733" s="339">
        <f t="shared" ca="1" si="325"/>
        <v>163219.7536779212</v>
      </c>
      <c r="EH733" s="341">
        <f t="shared" ca="1" si="310"/>
        <v>11055774.33202129</v>
      </c>
      <c r="EJ733" s="308">
        <f t="shared" si="283"/>
        <v>67</v>
      </c>
      <c r="EK733" s="318">
        <f t="shared" ca="1" si="284"/>
        <v>163219.7536779212</v>
      </c>
      <c r="EL733" s="319">
        <f t="shared" ca="1" si="311"/>
        <v>7955642.3961652061</v>
      </c>
      <c r="EN733" s="95">
        <f t="shared" si="285"/>
        <v>67</v>
      </c>
      <c r="EO733" s="339">
        <f t="shared" ca="1" si="286"/>
        <v>163219.7536779212</v>
      </c>
      <c r="EP733" s="341">
        <f t="shared" ca="1" si="312"/>
        <v>11055774.33202129</v>
      </c>
    </row>
    <row r="734" spans="1:146" s="266" customFormat="1" x14ac:dyDescent="0.25">
      <c r="A734" s="313">
        <v>68</v>
      </c>
      <c r="B734" s="314">
        <v>68</v>
      </c>
      <c r="C734" s="308">
        <f>VLOOKUP($B734,'Infant adult mortality'!$A$27:$I$128,3)</f>
        <v>4.6822812305134069E-3</v>
      </c>
      <c r="D734" s="309">
        <f t="shared" si="230"/>
        <v>0.27</v>
      </c>
      <c r="E734" s="309">
        <f>VLOOKUP($B734,'Infant pick up smoking rates'!$A$19:$I$104,3)</f>
        <v>0</v>
      </c>
      <c r="F734" s="309">
        <f t="shared" si="231"/>
        <v>8.9474751660653468E-2</v>
      </c>
      <c r="G734" s="309">
        <f t="shared" si="232"/>
        <v>0.63584296710883315</v>
      </c>
      <c r="H734" s="309">
        <f>VLOOKUP($B734,'Infant adult mortality'!$A$27:$I$128,3)</f>
        <v>4.6822812305134069E-3</v>
      </c>
      <c r="I734" s="309">
        <f t="shared" si="233"/>
        <v>0.14000000000000001</v>
      </c>
      <c r="J734" s="309">
        <f>VLOOKUP($B734,'Infant pick up smoking rates'!$A$19:$I$104,2)</f>
        <v>0</v>
      </c>
      <c r="K734" s="309">
        <f t="shared" si="234"/>
        <v>8.9474751660653468E-2</v>
      </c>
      <c r="L734" s="309">
        <f t="shared" si="235"/>
        <v>0.76584296710883315</v>
      </c>
      <c r="M734" s="309">
        <f>VLOOKUP($B734,'Infant adult mortality'!$A$27:$I$128,3)</f>
        <v>4.6822812305134069E-3</v>
      </c>
      <c r="N734" s="309">
        <f t="shared" si="236"/>
        <v>0.5714285714285714</v>
      </c>
      <c r="O734" s="309">
        <f>VLOOKUP($B734,'Infant pick up smoking rates'!$A$19:$I$104,2)</f>
        <v>0</v>
      </c>
      <c r="P734" s="309">
        <f t="shared" si="237"/>
        <v>7.3519034629261223E-2</v>
      </c>
      <c r="Q734" s="309">
        <f t="shared" si="238"/>
        <v>0.35037011271165397</v>
      </c>
      <c r="R734" s="309">
        <f>VLOOKUP($B734,'Infant adult mortality'!$A$27:$I$128,3)</f>
        <v>4.6822812305134069E-3</v>
      </c>
      <c r="S734" s="309">
        <f t="shared" si="239"/>
        <v>8.6261668788331098E-3</v>
      </c>
      <c r="T734" s="309">
        <f>VLOOKUP($B734,'Infant pick up smoking rates'!$A$19:$I$104,2)</f>
        <v>0</v>
      </c>
      <c r="U734" s="309">
        <f t="shared" si="240"/>
        <v>7.3519034629261223E-2</v>
      </c>
      <c r="V734" s="309">
        <f t="shared" si="241"/>
        <v>0.91317251726139226</v>
      </c>
      <c r="W734" s="309">
        <f>VLOOKUP($B734,'Infant adult mortality'!$A$27:$I$128,3)</f>
        <v>4.6822812305134069E-3</v>
      </c>
      <c r="X734" s="309">
        <f>VLOOKUP($B734,'Infant pick up smoking rates'!$A$19:$I$104,2)</f>
        <v>0</v>
      </c>
      <c r="Y734" s="309">
        <f t="shared" si="242"/>
        <v>0.9953177187694866</v>
      </c>
      <c r="Z734" s="309">
        <f>VLOOKUP($B734,'Infant adult mortality'!$A$27:$I$128,5)</f>
        <v>9.2855366174738451E-3</v>
      </c>
      <c r="AA734" s="309">
        <f t="shared" si="313"/>
        <v>0.25</v>
      </c>
      <c r="AB734" s="309">
        <f t="shared" si="244"/>
        <v>0.74071446338252611</v>
      </c>
      <c r="AC734" s="309">
        <f>VLOOKUP($B734,'Infant adult mortality'!$A$27:$I$128,5)</f>
        <v>9.2855366174738451E-3</v>
      </c>
      <c r="AD734" s="309">
        <f t="shared" si="314"/>
        <v>0.14000000000000001</v>
      </c>
      <c r="AE734" s="309">
        <f t="shared" si="246"/>
        <v>0.8507144633825261</v>
      </c>
      <c r="AF734" s="309">
        <f>VLOOKUP($B734,'Infant adult mortality'!$A$27:$I$128,4)</f>
        <v>6.2430416406845431E-3</v>
      </c>
      <c r="AG734" s="309">
        <f t="shared" si="315"/>
        <v>0.5714285714285714</v>
      </c>
      <c r="AH734" s="309">
        <f t="shared" si="248"/>
        <v>0.42232838693074404</v>
      </c>
      <c r="AI734" s="309">
        <f>VLOOKUP($B734,'Infant adult mortality'!$A$27:$I$128,4)</f>
        <v>6.2430416406845431E-3</v>
      </c>
      <c r="AJ734" s="309">
        <f t="shared" si="316"/>
        <v>8.6261668788331098E-3</v>
      </c>
      <c r="AK734" s="309">
        <f t="shared" si="250"/>
        <v>0.98513079148048233</v>
      </c>
      <c r="AL734" s="309"/>
      <c r="AM734" s="315">
        <f t="shared" si="287"/>
        <v>17.154794319451575</v>
      </c>
      <c r="AN734" s="316">
        <f t="shared" si="288"/>
        <v>5.1556004513921314</v>
      </c>
      <c r="AO734" s="316">
        <f t="shared" si="289"/>
        <v>0.79568596828422034</v>
      </c>
      <c r="AP734" s="316">
        <f t="shared" si="290"/>
        <v>38.210024171472739</v>
      </c>
      <c r="AQ734" s="316">
        <f t="shared" si="291"/>
        <v>93.668544831707592</v>
      </c>
      <c r="AR734" s="316">
        <f t="shared" si="292"/>
        <v>107.71513456216961</v>
      </c>
      <c r="AS734" s="316">
        <f t="shared" si="293"/>
        <v>27.426264399434118</v>
      </c>
      <c r="AT734" s="316">
        <f t="shared" si="294"/>
        <v>3.9081227601982764</v>
      </c>
      <c r="AU734" s="316">
        <f t="shared" si="295"/>
        <v>119.68198817180657</v>
      </c>
      <c r="AV734" s="316">
        <f t="shared" si="296"/>
        <v>96.283840364083034</v>
      </c>
      <c r="AW734" s="317">
        <f t="shared" si="251"/>
        <v>509.99999999999989</v>
      </c>
      <c r="AX734" s="309"/>
      <c r="AY734" s="308">
        <f>VLOOKUP($B734,'Infant adult mortality'!$A$134:$I$234,3)</f>
        <v>3.2139420078985655E-3</v>
      </c>
      <c r="AZ734" s="309">
        <f t="shared" si="252"/>
        <v>0.27</v>
      </c>
      <c r="BA734" s="309">
        <f ca="1">VLOOKUP($B734,'Infant pick up smoking rates'!$A$19:$I$104,7)</f>
        <v>0</v>
      </c>
      <c r="BB734" s="309">
        <f t="shared" si="253"/>
        <v>8.9474751660653468E-2</v>
      </c>
      <c r="BC734" s="309">
        <f t="shared" ca="1" si="254"/>
        <v>0.63731130633144795</v>
      </c>
      <c r="BD734" s="309">
        <f>VLOOKUP($B734,'Infant adult mortality'!$A$134:$I$234,3)</f>
        <v>3.2139420078985655E-3</v>
      </c>
      <c r="BE734" s="309">
        <f t="shared" si="255"/>
        <v>0.14000000000000001</v>
      </c>
      <c r="BF734" s="309">
        <f>VLOOKUP($B734,'Infant pick up smoking rates'!$A$19:$I$104,6)</f>
        <v>0</v>
      </c>
      <c r="BG734" s="309">
        <f t="shared" si="256"/>
        <v>8.9474751660653468E-2</v>
      </c>
      <c r="BH734" s="309">
        <f t="shared" si="257"/>
        <v>0.76731130633144795</v>
      </c>
      <c r="BI734" s="309">
        <f>VLOOKUP($B734,'Infant adult mortality'!$A$134:$I$234,3)</f>
        <v>3.2139420078985655E-3</v>
      </c>
      <c r="BJ734" s="309">
        <f t="shared" si="258"/>
        <v>0.5714285714285714</v>
      </c>
      <c r="BK734" s="309">
        <f>VLOOKUP($B734,'Infant pick up smoking rates'!$A$19:$I$104,6)</f>
        <v>0</v>
      </c>
      <c r="BL734" s="309">
        <f t="shared" si="259"/>
        <v>7.3519034629261223E-2</v>
      </c>
      <c r="BM734" s="309">
        <f t="shared" si="260"/>
        <v>0.35183845193426883</v>
      </c>
      <c r="BN734" s="309">
        <f>VLOOKUP($B734,'Infant adult mortality'!$A$134:$I$234,3)</f>
        <v>3.2139420078985655E-3</v>
      </c>
      <c r="BO734" s="309">
        <f t="shared" si="261"/>
        <v>8.6261668788331098E-3</v>
      </c>
      <c r="BP734" s="309">
        <f>VLOOKUP($B734,'Infant pick up smoking rates'!$A$19:$I$104,6)</f>
        <v>0</v>
      </c>
      <c r="BQ734" s="309">
        <f t="shared" si="262"/>
        <v>7.3519034629261223E-2</v>
      </c>
      <c r="BR734" s="309">
        <f t="shared" si="263"/>
        <v>0.91464085648400706</v>
      </c>
      <c r="BS734" s="309">
        <f>VLOOKUP($B734,'Infant adult mortality'!$A$134:$I$234,3)</f>
        <v>3.2139420078985655E-3</v>
      </c>
      <c r="BT734" s="309">
        <f>VLOOKUP($B734,'Infant pick up smoking rates'!$A$19:$I$104,6)</f>
        <v>0</v>
      </c>
      <c r="BU734" s="309">
        <f t="shared" si="264"/>
        <v>0.9967860579921014</v>
      </c>
      <c r="BV734" s="309">
        <f>VLOOKUP($B734,'Infant adult mortality'!$A$134:$I$234,5)</f>
        <v>6.3736402688283787E-3</v>
      </c>
      <c r="BW734" s="309">
        <f t="shared" si="322"/>
        <v>0.27</v>
      </c>
      <c r="BX734" s="309">
        <f t="shared" si="266"/>
        <v>0.72362635973117162</v>
      </c>
      <c r="BY734" s="309">
        <f>VLOOKUP($B734,'Infant adult mortality'!$A$134:$I$234,5)</f>
        <v>6.3736402688283787E-3</v>
      </c>
      <c r="BZ734" s="309">
        <f t="shared" si="267"/>
        <v>0.14000000000000001</v>
      </c>
      <c r="CA734" s="309">
        <f t="shared" si="268"/>
        <v>0.85362635973117162</v>
      </c>
      <c r="CB734" s="309">
        <f>VLOOKUP($B734,'Infant adult mortality'!$A$134:$I$234,4)</f>
        <v>4.2852560105314215E-3</v>
      </c>
      <c r="CC734" s="309">
        <f t="shared" si="269"/>
        <v>0.5714285714285714</v>
      </c>
      <c r="CD734" s="309">
        <f t="shared" si="270"/>
        <v>0.42428617256089718</v>
      </c>
      <c r="CE734" s="309">
        <f>VLOOKUP($B734,'Infant adult mortality'!$A$134:$I$234,4)</f>
        <v>4.2852560105314215E-3</v>
      </c>
      <c r="CF734" s="309">
        <f t="shared" si="271"/>
        <v>8.6261668788331098E-3</v>
      </c>
      <c r="CG734" s="309">
        <f t="shared" si="272"/>
        <v>0.98708857711063547</v>
      </c>
      <c r="CH734" s="309"/>
      <c r="CI734" s="315">
        <f t="shared" ca="1" si="297"/>
        <v>23.380754779020588</v>
      </c>
      <c r="CJ734" s="316">
        <f t="shared" ca="1" si="298"/>
        <v>7.0158238984307157</v>
      </c>
      <c r="CK734" s="316">
        <f t="shared" ca="1" si="299"/>
        <v>1.0812779279109108</v>
      </c>
      <c r="CL734" s="316">
        <f t="shared" ca="1" si="300"/>
        <v>51.476376101370846</v>
      </c>
      <c r="CM734" s="316">
        <f t="shared" ca="1" si="301"/>
        <v>126.89382729656738</v>
      </c>
      <c r="CN734" s="316">
        <f t="shared" ca="1" si="302"/>
        <v>80.856849156445861</v>
      </c>
      <c r="CO734" s="316">
        <f t="shared" ca="1" si="303"/>
        <v>22.181309658029228</v>
      </c>
      <c r="CP734" s="316">
        <f t="shared" ca="1" si="304"/>
        <v>3.1540019353970719</v>
      </c>
      <c r="CQ734" s="316">
        <f t="shared" ca="1" si="305"/>
        <v>95.547308508836878</v>
      </c>
      <c r="CR734" s="316">
        <f t="shared" ca="1" si="306"/>
        <v>78.4124707379911</v>
      </c>
      <c r="CS734" s="317">
        <f t="shared" ca="1" si="273"/>
        <v>490.00000000000057</v>
      </c>
      <c r="CT734" s="309"/>
      <c r="CU734" s="309">
        <f t="shared" ca="1" si="274"/>
        <v>1000.0000000000005</v>
      </c>
      <c r="CV734" s="309" t="str">
        <f t="shared" ca="1" si="317"/>
        <v>OKAY</v>
      </c>
      <c r="CW734" s="309"/>
      <c r="CX734" s="315">
        <f>(SUM($AR734:$AS734))-((SUM($AR734:$AS734)*VLOOKUP($B734,Lifetime_morbidity_array!$A$30:$Y$48,4))+(SUM($AR734:$AS734)*VLOOKUP($B734,Lifetime_morbidity_array!$A$30:$Y$48,7))+(SUM($AR734:$AS734)*VLOOKUP($B734,Lifetime_morbidity_array!$A$30:$Y$48,10))+(SUM($AR734:$AS734)*VLOOKUP($B734,Lifetime_morbidity_array!$A$30:$Y$48,13)))</f>
        <v>30.506409875910464</v>
      </c>
      <c r="CY734" s="316">
        <f>(SUM($AT734:$AU734))-((SUM($AT734:$AU734)*(VLOOKUP($B734,Lifetime_morbidity_array!$A$30:$Y$48,3)))+(SUM($AT734:$AU734)*(VLOOKUP($B734,Lifetime_morbidity_array!$A$30:$Y$48,6)))+(SUM($AT734:$AU734)*(VLOOKUP($B734,Lifetime_morbidity_array!$A$30:$Y$48,9)))+(SUM($AT734:$AU734)*(VLOOKUP($B734,Lifetime_morbidity_array!$A$30:$Y$48,12))))</f>
        <v>78.445870126840717</v>
      </c>
      <c r="CZ734" s="316">
        <f>(SUM($AM734:$AQ734))-((SUM($AM734:$AQ734)*VLOOKUP($B734,Lifetime_morbidity_array!$A$30:$Y$48,2))+(SUM($AM734:$AQ734)*VLOOKUP($B734,Lifetime_morbidity_array!$A$30:$Y$48,5))+(SUM($AM734:$AQ734)*VLOOKUP($B734,Lifetime_morbidity_array!$A$30:$Y$48,8))+(SUM($AM734:$AQ734)*VLOOKUP($B734,Lifetime_morbidity_array!$A$30:$Y$48,11)))</f>
        <v>122.79555076851094</v>
      </c>
      <c r="DA734" s="316">
        <f>(SUM($AM734:$AQ734)*VLOOKUP($B734,Lifetime_morbidity_array!$A$30:$Y$48,2))+(SUM($AR734:$AS734)*VLOOKUP($B734,Lifetime_morbidity_array!$A$30:$Y$48,4))+(SUM($AT734:$AU734)*(VLOOKUP($B734,Lifetime_morbidity_array!$A$30:$Y$48,3)))</f>
        <v>102.62383142541088</v>
      </c>
      <c r="DB734" s="316">
        <f>(SUM($AM734:$AQ734)*VLOOKUP($B734,Lifetime_morbidity_array!$A$30:$Y$48,5))+(SUM($AR734:$AS734)*VLOOKUP($B734,Lifetime_morbidity_array!$A$30:$Y$48,7))+(SUM($AT734:$AU734)*(VLOOKUP($B734,Lifetime_morbidity_array!$A$30:$Y$48,6)))</f>
        <v>39.691484924950096</v>
      </c>
      <c r="DC734" s="316">
        <f>(SUM($AM734:$AQ734)*VLOOKUP($B734,Lifetime_morbidity_array!$A$30:$Y$48,8))+(SUM($AR734:$AS734)*VLOOKUP($B734,Lifetime_morbidity_array!$A$30:$Y$48,10))+(SUM($AT734:$AU734)*(VLOOKUP($B734,Lifetime_morbidity_array!$A$30:$Y$48,9)))</f>
        <v>5.421789883169561</v>
      </c>
      <c r="DD734" s="317">
        <f>(SUM($AM734:$AQ734)*VLOOKUP($B734,Lifetime_morbidity_array!$A$30:$Y$48,11))+(SUM($AR734:$AS734)*VLOOKUP($B734,Lifetime_morbidity_array!$A$30:$Y$48,13))+(SUM($AT734:$AU734)*(VLOOKUP($B734,Lifetime_morbidity_array!$A$30:$Y$48,12)))</f>
        <v>34.231222631124162</v>
      </c>
      <c r="DE734" s="309"/>
      <c r="DF734" s="315">
        <f ca="1">(SUM($CN734:$CO734))-((SUM($CN734:$CO734)*VLOOKUP($B734,Lifetime_morbidity_array!$A$6:$Y$24,4))+(SUM($CN734:$CO734)*VLOOKUP($B734,Lifetime_morbidity_array!$A$6:$Y$24,7))+(SUM($CN734:$CO734)*VLOOKUP($B734,Lifetime_morbidity_array!$A$6:$Y$24,10))+(SUM($CN734:$CO734)*VLOOKUP($B734,Lifetime_morbidity_array!$A$6:$Y$24,13)))</f>
        <v>41.2676814298731</v>
      </c>
      <c r="DG734" s="316">
        <f ca="1">(SUM($CP734:$CQ734))-(((SUM($CP734:$CQ734)*VLOOKUP($B734,Lifetime_morbidity_array!$A$6:$Y$24,3))+(SUM($CP734:$CQ734)*VLOOKUP($B734,Lifetime_morbidity_array!$A$6:$Y$24,6))+(SUM($CP734:$CQ734)*VLOOKUP($B734,Lifetime_morbidity_array!$A$6:$Y$24,9))+(SUM($CP734:$CQ734)*VLOOKUP($B734,Lifetime_morbidity_array!$A$6:$Y$24,12))))</f>
        <v>72.007293247360991</v>
      </c>
      <c r="DH734" s="316">
        <f ca="1">(SUM($CI734:$CM734))-((SUM($CI734:$CM734)*VLOOKUP($B734,Lifetime_morbidity_array!$A$6:$Y$24,2))+(SUM($CI734:$CM734)*VLOOKUP($B734,Lifetime_morbidity_array!$A$6:$Y$24,5))+(SUM($CI734:$CM734)*VLOOKUP($B734,Lifetime_morbidity_array!$A$6:$Y$24,8))+(SUM($CI734:$CM734)*VLOOKUP($B734,Lifetime_morbidity_array!$A$6:$Y$24,11)))</f>
        <v>184.3344888055953</v>
      </c>
      <c r="DI734" s="316">
        <f ca="1">(SUM($CI734:$CM734)*VLOOKUP($B734,Lifetime_morbidity_array!$A$6:$Y$24,2))+(SUM($CN734:$CO734)*VLOOKUP($B734,Lifetime_morbidity_array!$A$6:$Y$24,4))+(SUM($CP734:$CQ734)*VLOOKUP($B734,Lifetime_morbidity_array!$A$6:$Y$24,3))</f>
        <v>54.650279997392254</v>
      </c>
      <c r="DJ734" s="316">
        <f ca="1">(SUM($CI734:$CM734)*VLOOKUP($B734,Lifetime_morbidity_array!$A$6:$Y$24,5))+(SUM($CN734:$CO734)*VLOOKUP($B734,Lifetime_morbidity_array!$A$6:$Y$24,7))+(SUM($CP734:$CQ734)*VLOOKUP($B734,Lifetime_morbidity_array!$A$6:$Y$24,6))</f>
        <v>36.4339861120596</v>
      </c>
      <c r="DK734" s="316">
        <f ca="1">(SUM($CI734:$CM734)*VLOOKUP($B734,Lifetime_morbidity_array!$A$6:$Y$24,8))+(SUM($CN734:$CO734)*VLOOKUP($B734,Lifetime_morbidity_array!$A$6:$Y$24,10))+(SUM($CP734:$CQ734)*VLOOKUP($B734,Lifetime_morbidity_array!$A$6:$Y$24,9))</f>
        <v>2.0016920554605</v>
      </c>
      <c r="DL734" s="317">
        <f ca="1">(SUM($CI734:$CM734)*VLOOKUP($B734,Lifetime_morbidity_array!$A$6:$Y$24,11))+(SUM($CN734:$CO734)*VLOOKUP($B734,Lifetime_morbidity_array!$A$6:$Y$24,13))+(SUM($CP734:$CQ734)*VLOOKUP($B734,Lifetime_morbidity_array!$A$6:$Y$24,12))</f>
        <v>20.892107614267708</v>
      </c>
      <c r="DM734" s="309"/>
      <c r="DN734" s="308">
        <f t="shared" si="275"/>
        <v>68</v>
      </c>
      <c r="DO734" s="309">
        <f t="shared" ca="1" si="323"/>
        <v>79.555461676211422</v>
      </c>
      <c r="DP734" s="310">
        <f t="shared" ca="1" si="307"/>
        <v>22826.950919981486</v>
      </c>
      <c r="DQ734" s="309"/>
      <c r="DR734" s="308">
        <f t="shared" si="277"/>
        <v>68</v>
      </c>
      <c r="DS734" s="309">
        <f ca="1">((VLOOKUP($B734,'Mahawesran Tariff'!$A$21:$M$120,4)*'Comparator (DET)'!$CX734)+(VLOOKUP($B734,'Mahawesran Tariff'!$A$21:$M$120,3)*'Comparator (DET)'!$CY734)+(VLOOKUP($B734,'Mahawesran Tariff'!$A$21:$M$120,2)*'Comparator (DET)'!$CZ734)+(VLOOKUP($B734,'Mahawesran Tariff'!$A$21:$M$120,7)*'Comparator (DET)'!$DF734)+(VLOOKUP($B734,'Mahawesran Tariff'!$A$21:$M$120,6)*'Comparator (DET)'!$DG734)+(VLOOKUP($B734,'Mahawesran Tariff'!$A$21:$M$120,5)*'Comparator (DET)'!$DH734)+(DET_UTIL_chd*('Comparator (DET)'!$DA734+'Comparator (DET)'!$DI734))+(DET_UTIL_copd*('Comparator (DET)'!$DB734+'Comparator (DET)'!$DJ734))+(DET_UTIL_lc*('Comparator (DET)'!$DC734+'Comparator (DET)'!$DK734))+(DET_UTIL_stroke*('Comparator (DET)'!$DD734+'Comparator (DET)'!$DL734)))/((1+Discount_rate_QALYs)^$A734)</f>
        <v>68.19593515882525</v>
      </c>
      <c r="DT734" s="310">
        <f t="shared" ca="1" si="308"/>
        <v>22509.795204962684</v>
      </c>
      <c r="DU734" s="309"/>
      <c r="DV734" s="308">
        <f t="shared" si="278"/>
        <v>68</v>
      </c>
      <c r="DW734" s="318">
        <f t="shared" ca="1" si="324"/>
        <v>156340.8107295527</v>
      </c>
      <c r="DX734" s="319">
        <f t="shared" ca="1" si="309"/>
        <v>8111983.2068947591</v>
      </c>
      <c r="DZ734" s="95">
        <f t="shared" si="280"/>
        <v>68</v>
      </c>
      <c r="EA734" s="268">
        <f t="shared" ca="1" si="318"/>
        <v>0.82530368889792638</v>
      </c>
      <c r="EB734" s="268">
        <f t="shared" ca="1" si="319"/>
        <v>0.17469631110207412</v>
      </c>
      <c r="EC734" s="268">
        <f t="shared" ca="1" si="320"/>
        <v>0.29594639464383476</v>
      </c>
      <c r="ED734" s="290">
        <f t="shared" ca="1" si="321"/>
        <v>0.46047097915231761</v>
      </c>
      <c r="EF734" s="95">
        <f t="shared" si="281"/>
        <v>68</v>
      </c>
      <c r="EG734" s="339">
        <f t="shared" ca="1" si="325"/>
        <v>156340.8107295527</v>
      </c>
      <c r="EH734" s="341">
        <f t="shared" ca="1" si="310"/>
        <v>11212115.142750842</v>
      </c>
      <c r="EJ734" s="308">
        <f t="shared" si="283"/>
        <v>68</v>
      </c>
      <c r="EK734" s="318">
        <f t="shared" ca="1" si="284"/>
        <v>156340.8107295527</v>
      </c>
      <c r="EL734" s="319">
        <f t="shared" ca="1" si="311"/>
        <v>8111983.2068947591</v>
      </c>
      <c r="EN734" s="95">
        <f t="shared" si="285"/>
        <v>68</v>
      </c>
      <c r="EO734" s="339">
        <f t="shared" ca="1" si="286"/>
        <v>156340.8107295527</v>
      </c>
      <c r="EP734" s="341">
        <f t="shared" ca="1" si="312"/>
        <v>11212115.142750842</v>
      </c>
    </row>
    <row r="735" spans="1:146" s="266" customFormat="1" x14ac:dyDescent="0.25">
      <c r="A735" s="313">
        <v>69</v>
      </c>
      <c r="B735" s="314">
        <v>69</v>
      </c>
      <c r="C735" s="308">
        <f>VLOOKUP($B735,'Infant adult mortality'!$A$27:$I$128,3)</f>
        <v>5.1163625025982123E-3</v>
      </c>
      <c r="D735" s="309">
        <f t="shared" si="230"/>
        <v>0.27</v>
      </c>
      <c r="E735" s="309">
        <f>VLOOKUP($B735,'Infant pick up smoking rates'!$A$19:$I$104,3)</f>
        <v>0</v>
      </c>
      <c r="F735" s="309">
        <f t="shared" si="231"/>
        <v>9.8124452068651585E-2</v>
      </c>
      <c r="G735" s="309">
        <f t="shared" si="232"/>
        <v>0.6267591854287502</v>
      </c>
      <c r="H735" s="309">
        <f>VLOOKUP($B735,'Infant adult mortality'!$A$27:$I$128,3)</f>
        <v>5.1163625025982123E-3</v>
      </c>
      <c r="I735" s="309">
        <f t="shared" si="233"/>
        <v>0.14000000000000001</v>
      </c>
      <c r="J735" s="309">
        <f>VLOOKUP($B735,'Infant pick up smoking rates'!$A$19:$I$104,2)</f>
        <v>0</v>
      </c>
      <c r="K735" s="309">
        <f t="shared" si="234"/>
        <v>9.8124452068651585E-2</v>
      </c>
      <c r="L735" s="309">
        <f t="shared" si="235"/>
        <v>0.7567591854287502</v>
      </c>
      <c r="M735" s="309">
        <f>VLOOKUP($B735,'Infant adult mortality'!$A$27:$I$128,3)</f>
        <v>5.1163625025982123E-3</v>
      </c>
      <c r="N735" s="309">
        <f t="shared" si="236"/>
        <v>0.5714285714285714</v>
      </c>
      <c r="O735" s="309">
        <f>VLOOKUP($B735,'Infant pick up smoking rates'!$A$19:$I$104,2)</f>
        <v>0</v>
      </c>
      <c r="P735" s="309">
        <f t="shared" si="237"/>
        <v>8.0626264456957905E-2</v>
      </c>
      <c r="Q735" s="309">
        <f t="shared" si="238"/>
        <v>0.34282880161187251</v>
      </c>
      <c r="R735" s="309">
        <f>VLOOKUP($B735,'Infant adult mortality'!$A$27:$I$128,3)</f>
        <v>5.1163625025982123E-3</v>
      </c>
      <c r="S735" s="309">
        <f t="shared" si="239"/>
        <v>8.6261668788331098E-3</v>
      </c>
      <c r="T735" s="309">
        <f>VLOOKUP($B735,'Infant pick up smoking rates'!$A$19:$I$104,2)</f>
        <v>0</v>
      </c>
      <c r="U735" s="309">
        <f t="shared" si="240"/>
        <v>8.0626264456957905E-2</v>
      </c>
      <c r="V735" s="309">
        <f t="shared" si="241"/>
        <v>0.90563120616161086</v>
      </c>
      <c r="W735" s="309">
        <f>VLOOKUP($B735,'Infant adult mortality'!$A$27:$I$128,3)</f>
        <v>5.1163625025982123E-3</v>
      </c>
      <c r="X735" s="309">
        <f>VLOOKUP($B735,'Infant pick up smoking rates'!$A$19:$I$104,2)</f>
        <v>0</v>
      </c>
      <c r="Y735" s="309">
        <f t="shared" si="242"/>
        <v>0.99488363749740183</v>
      </c>
      <c r="Z735" s="309">
        <f>VLOOKUP($B735,'Infant adult mortality'!$A$27:$I$128,5)</f>
        <v>1.0146372895447932E-2</v>
      </c>
      <c r="AA735" s="309">
        <f t="shared" si="313"/>
        <v>0.25</v>
      </c>
      <c r="AB735" s="309">
        <f t="shared" si="244"/>
        <v>0.73985362710455205</v>
      </c>
      <c r="AC735" s="309">
        <f>VLOOKUP($B735,'Infant adult mortality'!$A$27:$I$128,5)</f>
        <v>1.0146372895447932E-2</v>
      </c>
      <c r="AD735" s="309">
        <f t="shared" si="314"/>
        <v>0.14000000000000001</v>
      </c>
      <c r="AE735" s="309">
        <f t="shared" si="246"/>
        <v>0.84985362710455203</v>
      </c>
      <c r="AF735" s="309">
        <f>VLOOKUP($B735,'Infant adult mortality'!$A$27:$I$128,4)</f>
        <v>6.8218166701309504E-3</v>
      </c>
      <c r="AG735" s="309">
        <f t="shared" si="315"/>
        <v>0.5714285714285714</v>
      </c>
      <c r="AH735" s="309">
        <f t="shared" si="248"/>
        <v>0.42174961190129767</v>
      </c>
      <c r="AI735" s="309">
        <f>VLOOKUP($B735,'Infant adult mortality'!$A$27:$I$128,4)</f>
        <v>6.8218166701309504E-3</v>
      </c>
      <c r="AJ735" s="309">
        <f t="shared" si="316"/>
        <v>8.6261668788331098E-3</v>
      </c>
      <c r="AK735" s="309">
        <f t="shared" si="250"/>
        <v>0.98455201645103596</v>
      </c>
      <c r="AL735" s="309"/>
      <c r="AM735" s="315">
        <f t="shared" si="287"/>
        <v>15.255863023762458</v>
      </c>
      <c r="AN735" s="316">
        <f t="shared" si="288"/>
        <v>4.6317944662519253</v>
      </c>
      <c r="AO735" s="316">
        <f t="shared" si="289"/>
        <v>0.72178406319489852</v>
      </c>
      <c r="AP735" s="316">
        <f t="shared" si="290"/>
        <v>35.058867974037575</v>
      </c>
      <c r="AQ735" s="316">
        <f t="shared" si="291"/>
        <v>98.523382564641551</v>
      </c>
      <c r="AR735" s="316">
        <f t="shared" si="292"/>
        <v>105.68238933740041</v>
      </c>
      <c r="AS735" s="316">
        <f t="shared" si="293"/>
        <v>26.928783640542402</v>
      </c>
      <c r="AT735" s="316">
        <f t="shared" si="294"/>
        <v>3.8396770159207767</v>
      </c>
      <c r="AU735" s="316">
        <f t="shared" si="295"/>
        <v>120.06635579324879</v>
      </c>
      <c r="AV735" s="316">
        <f t="shared" si="296"/>
        <v>99.291102120999113</v>
      </c>
      <c r="AW735" s="317">
        <f t="shared" si="251"/>
        <v>509.99999999999989</v>
      </c>
      <c r="AX735" s="309"/>
      <c r="AY735" s="308">
        <f>VLOOKUP($B735,'Infant adult mortality'!$A$134:$I$234,3)</f>
        <v>3.5068873415090417E-3</v>
      </c>
      <c r="AZ735" s="309">
        <f t="shared" si="252"/>
        <v>0.27</v>
      </c>
      <c r="BA735" s="309">
        <f ca="1">VLOOKUP($B735,'Infant pick up smoking rates'!$A$19:$I$104,7)</f>
        <v>0</v>
      </c>
      <c r="BB735" s="309">
        <f t="shared" si="253"/>
        <v>9.8124452068651585E-2</v>
      </c>
      <c r="BC735" s="309">
        <f t="shared" ca="1" si="254"/>
        <v>0.62836866058983931</v>
      </c>
      <c r="BD735" s="309">
        <f>VLOOKUP($B735,'Infant adult mortality'!$A$134:$I$234,3)</f>
        <v>3.5068873415090417E-3</v>
      </c>
      <c r="BE735" s="309">
        <f t="shared" si="255"/>
        <v>0.14000000000000001</v>
      </c>
      <c r="BF735" s="309">
        <f>VLOOKUP($B735,'Infant pick up smoking rates'!$A$19:$I$104,6)</f>
        <v>0</v>
      </c>
      <c r="BG735" s="309">
        <f t="shared" si="256"/>
        <v>9.8124452068651585E-2</v>
      </c>
      <c r="BH735" s="309">
        <f t="shared" si="257"/>
        <v>0.75836866058983932</v>
      </c>
      <c r="BI735" s="309">
        <f>VLOOKUP($B735,'Infant adult mortality'!$A$134:$I$234,3)</f>
        <v>3.5068873415090417E-3</v>
      </c>
      <c r="BJ735" s="309">
        <f t="shared" si="258"/>
        <v>0.5714285714285714</v>
      </c>
      <c r="BK735" s="309">
        <f>VLOOKUP($B735,'Infant pick up smoking rates'!$A$19:$I$104,6)</f>
        <v>0</v>
      </c>
      <c r="BL735" s="309">
        <f t="shared" si="259"/>
        <v>8.0626264456957905E-2</v>
      </c>
      <c r="BM735" s="309">
        <f t="shared" si="260"/>
        <v>0.34443827677296168</v>
      </c>
      <c r="BN735" s="309">
        <f>VLOOKUP($B735,'Infant adult mortality'!$A$134:$I$234,3)</f>
        <v>3.5068873415090417E-3</v>
      </c>
      <c r="BO735" s="309">
        <f t="shared" si="261"/>
        <v>8.6261668788331098E-3</v>
      </c>
      <c r="BP735" s="309">
        <f>VLOOKUP($B735,'Infant pick up smoking rates'!$A$19:$I$104,6)</f>
        <v>0</v>
      </c>
      <c r="BQ735" s="309">
        <f t="shared" si="262"/>
        <v>8.0626264456957905E-2</v>
      </c>
      <c r="BR735" s="309">
        <f t="shared" si="263"/>
        <v>0.90724068132269997</v>
      </c>
      <c r="BS735" s="309">
        <f>VLOOKUP($B735,'Infant adult mortality'!$A$134:$I$234,3)</f>
        <v>3.5068873415090417E-3</v>
      </c>
      <c r="BT735" s="309">
        <f>VLOOKUP($B735,'Infant pick up smoking rates'!$A$19:$I$104,6)</f>
        <v>0</v>
      </c>
      <c r="BU735" s="309">
        <f t="shared" si="264"/>
        <v>0.99649311265849094</v>
      </c>
      <c r="BV735" s="309">
        <f>VLOOKUP($B735,'Infant adult mortality'!$A$134:$I$234,5)</f>
        <v>6.9545867110094922E-3</v>
      </c>
      <c r="BW735" s="309">
        <f t="shared" si="322"/>
        <v>0.27</v>
      </c>
      <c r="BX735" s="309">
        <f t="shared" si="266"/>
        <v>0.72304541328899052</v>
      </c>
      <c r="BY735" s="309">
        <f>VLOOKUP($B735,'Infant adult mortality'!$A$134:$I$234,5)</f>
        <v>6.9545867110094922E-3</v>
      </c>
      <c r="BZ735" s="309">
        <f t="shared" si="267"/>
        <v>0.14000000000000001</v>
      </c>
      <c r="CA735" s="309">
        <f t="shared" si="268"/>
        <v>0.85304541328899053</v>
      </c>
      <c r="CB735" s="309">
        <f>VLOOKUP($B735,'Infant adult mortality'!$A$134:$I$234,4)</f>
        <v>4.6758497886787232E-3</v>
      </c>
      <c r="CC735" s="309">
        <f t="shared" si="269"/>
        <v>0.5714285714285714</v>
      </c>
      <c r="CD735" s="309">
        <f t="shared" si="270"/>
        <v>0.42389557878274986</v>
      </c>
      <c r="CE735" s="309">
        <f>VLOOKUP($B735,'Infant adult mortality'!$A$134:$I$234,4)</f>
        <v>4.6758497886787232E-3</v>
      </c>
      <c r="CF735" s="309">
        <f t="shared" si="271"/>
        <v>8.6261668788331098E-3</v>
      </c>
      <c r="CG735" s="309">
        <f t="shared" si="272"/>
        <v>0.98669798333248815</v>
      </c>
      <c r="CH735" s="309"/>
      <c r="CI735" s="315">
        <f t="shared" ca="1" si="297"/>
        <v>20.828791853630012</v>
      </c>
      <c r="CJ735" s="316">
        <f t="shared" ca="1" si="298"/>
        <v>6.3128037903355594</v>
      </c>
      <c r="CK735" s="316">
        <f t="shared" ca="1" si="299"/>
        <v>0.98221534578030034</v>
      </c>
      <c r="CL735" s="316">
        <f t="shared" ca="1" si="300"/>
        <v>47.319335627894617</v>
      </c>
      <c r="CM735" s="316">
        <f t="shared" ca="1" si="301"/>
        <v>133.66899988039415</v>
      </c>
      <c r="CN735" s="316">
        <f t="shared" ca="1" si="302"/>
        <v>79.54601288400022</v>
      </c>
      <c r="CO735" s="316">
        <f t="shared" ca="1" si="303"/>
        <v>21.831349272240384</v>
      </c>
      <c r="CP735" s="316">
        <f t="shared" ca="1" si="304"/>
        <v>3.1053833521240923</v>
      </c>
      <c r="CQ735" s="316">
        <f t="shared" ca="1" si="305"/>
        <v>96.078623438743335</v>
      </c>
      <c r="CR735" s="316">
        <f t="shared" ca="1" si="306"/>
        <v>80.326484554857942</v>
      </c>
      <c r="CS735" s="317">
        <f t="shared" ca="1" si="273"/>
        <v>490.00000000000063</v>
      </c>
      <c r="CT735" s="309"/>
      <c r="CU735" s="309">
        <f t="shared" ca="1" si="274"/>
        <v>1000.0000000000005</v>
      </c>
      <c r="CV735" s="309" t="str">
        <f t="shared" ca="1" si="317"/>
        <v>OKAY</v>
      </c>
      <c r="CW735" s="309"/>
      <c r="CX735" s="315">
        <f>(SUM($AR735:$AS735))-((SUM($AR735:$AS735)*VLOOKUP($B735,Lifetime_morbidity_array!$A$30:$Y$48,4))+(SUM($AR735:$AS735)*VLOOKUP($B735,Lifetime_morbidity_array!$A$30:$Y$48,7))+(SUM($AR735:$AS735)*VLOOKUP($B735,Lifetime_morbidity_array!$A$30:$Y$48,10))+(SUM($AR735:$AS735)*VLOOKUP($B735,Lifetime_morbidity_array!$A$30:$Y$48,13)))</f>
        <v>29.935244329828095</v>
      </c>
      <c r="CY735" s="316">
        <f>(SUM($AT735:$AU735))-((SUM($AT735:$AU735)*(VLOOKUP($B735,Lifetime_morbidity_array!$A$30:$Y$48,3)))+(SUM($AT735:$AU735)*(VLOOKUP($B735,Lifetime_morbidity_array!$A$30:$Y$48,6)))+(SUM($AT735:$AU735)*(VLOOKUP($B735,Lifetime_morbidity_array!$A$30:$Y$48,9)))+(SUM($AT735:$AU735)*(VLOOKUP($B735,Lifetime_morbidity_array!$A$30:$Y$48,12))))</f>
        <v>78.64639399043628</v>
      </c>
      <c r="CZ735" s="316">
        <f>(SUM($AM735:$AQ735))-((SUM($AM735:$AQ735)*VLOOKUP($B735,Lifetime_morbidity_array!$A$30:$Y$48,2))+(SUM($AM735:$AQ735)*VLOOKUP($B735,Lifetime_morbidity_array!$A$30:$Y$48,5))+(SUM($AM735:$AQ735)*VLOOKUP($B735,Lifetime_morbidity_array!$A$30:$Y$48,8))+(SUM($AM735:$AQ735)*VLOOKUP($B735,Lifetime_morbidity_array!$A$30:$Y$48,11)))</f>
        <v>122.16728421707305</v>
      </c>
      <c r="DA735" s="316">
        <f>(SUM($AM735:$AQ735)*VLOOKUP($B735,Lifetime_morbidity_array!$A$30:$Y$48,2))+(SUM($AR735:$AS735)*VLOOKUP($B735,Lifetime_morbidity_array!$A$30:$Y$48,4))+(SUM($AT735:$AU735)*(VLOOKUP($B735,Lifetime_morbidity_array!$A$30:$Y$48,3)))</f>
        <v>101.59124311797952</v>
      </c>
      <c r="DB735" s="316">
        <f>(SUM($AM735:$AQ735)*VLOOKUP($B735,Lifetime_morbidity_array!$A$30:$Y$48,5))+(SUM($AR735:$AS735)*VLOOKUP($B735,Lifetime_morbidity_array!$A$30:$Y$48,7))+(SUM($AT735:$AU735)*(VLOOKUP($B735,Lifetime_morbidity_array!$A$30:$Y$48,6)))</f>
        <v>39.128611665856283</v>
      </c>
      <c r="DC735" s="316">
        <f>(SUM($AM735:$AQ735)*VLOOKUP($B735,Lifetime_morbidity_array!$A$30:$Y$48,8))+(SUM($AR735:$AS735)*VLOOKUP($B735,Lifetime_morbidity_array!$A$30:$Y$48,10))+(SUM($AT735:$AU735)*(VLOOKUP($B735,Lifetime_morbidity_array!$A$30:$Y$48,9)))</f>
        <v>5.3450734668046387</v>
      </c>
      <c r="DD735" s="317">
        <f>(SUM($AM735:$AQ735)*VLOOKUP($B735,Lifetime_morbidity_array!$A$30:$Y$48,11))+(SUM($AR735:$AS735)*VLOOKUP($B735,Lifetime_morbidity_array!$A$30:$Y$48,13))+(SUM($AT735:$AU735)*(VLOOKUP($B735,Lifetime_morbidity_array!$A$30:$Y$48,12)))</f>
        <v>33.895047091022889</v>
      </c>
      <c r="DE735" s="309"/>
      <c r="DF735" s="315">
        <f ca="1">(SUM($CN735:$CO735))-((SUM($CN735:$CO735)*VLOOKUP($B735,Lifetime_morbidity_array!$A$6:$Y$24,4))+(SUM($CN735:$CO735)*VLOOKUP($B735,Lifetime_morbidity_array!$A$6:$Y$24,7))+(SUM($CN735:$CO735)*VLOOKUP($B735,Lifetime_morbidity_array!$A$6:$Y$24,10))+(SUM($CN735:$CO735)*VLOOKUP($B735,Lifetime_morbidity_array!$A$6:$Y$24,13)))</f>
        <v>40.602517880753176</v>
      </c>
      <c r="DG735" s="316">
        <f ca="1">(SUM($CP735:$CQ735))-(((SUM($CP735:$CQ735)*VLOOKUP($B735,Lifetime_morbidity_array!$A$6:$Y$24,3))+(SUM($CP735:$CQ735)*VLOOKUP($B735,Lifetime_morbidity_array!$A$6:$Y$24,6))+(SUM($CP735:$CQ735)*VLOOKUP($B735,Lifetime_morbidity_array!$A$6:$Y$24,9))+(SUM($CP735:$CQ735)*VLOOKUP($B735,Lifetime_morbidity_array!$A$6:$Y$24,12))))</f>
        <v>72.359443155250062</v>
      </c>
      <c r="DH735" s="316">
        <f ca="1">(SUM($CI735:$CM735))-((SUM($CI735:$CM735)*VLOOKUP($B735,Lifetime_morbidity_array!$A$6:$Y$24,2))+(SUM($CI735:$CM735)*VLOOKUP($B735,Lifetime_morbidity_array!$A$6:$Y$24,5))+(SUM($CI735:$CM735)*VLOOKUP($B735,Lifetime_morbidity_array!$A$6:$Y$24,8))+(SUM($CI735:$CM735)*VLOOKUP($B735,Lifetime_morbidity_array!$A$6:$Y$24,11)))</f>
        <v>183.68804852019943</v>
      </c>
      <c r="DI735" s="316">
        <f ca="1">(SUM($CI735:$CM735)*VLOOKUP($B735,Lifetime_morbidity_array!$A$6:$Y$24,2))+(SUM($CN735:$CO735)*VLOOKUP($B735,Lifetime_morbidity_array!$A$6:$Y$24,4))+(SUM($CP735:$CQ735)*VLOOKUP($B735,Lifetime_morbidity_array!$A$6:$Y$24,3))</f>
        <v>54.226733216566217</v>
      </c>
      <c r="DJ735" s="316">
        <f ca="1">(SUM($CI735:$CM735)*VLOOKUP($B735,Lifetime_morbidity_array!$A$6:$Y$24,5))+(SUM($CN735:$CO735)*VLOOKUP($B735,Lifetime_morbidity_array!$A$6:$Y$24,7))+(SUM($CP735:$CQ735)*VLOOKUP($B735,Lifetime_morbidity_array!$A$6:$Y$24,6))</f>
        <v>36.069327660237526</v>
      </c>
      <c r="DK735" s="316">
        <f ca="1">(SUM($CI735:$CM735)*VLOOKUP($B735,Lifetime_morbidity_array!$A$6:$Y$24,8))+(SUM($CN735:$CO735)*VLOOKUP($B735,Lifetime_morbidity_array!$A$6:$Y$24,10))+(SUM($CP735:$CQ735)*VLOOKUP($B735,Lifetime_morbidity_array!$A$6:$Y$24,9))</f>
        <v>1.9795317529388263</v>
      </c>
      <c r="DL735" s="317">
        <f ca="1">(SUM($CI735:$CM735)*VLOOKUP($B735,Lifetime_morbidity_array!$A$6:$Y$24,11))+(SUM($CN735:$CO735)*VLOOKUP($B735,Lifetime_morbidity_array!$A$6:$Y$24,13))+(SUM($CP735:$CQ735)*VLOOKUP($B735,Lifetime_morbidity_array!$A$6:$Y$24,12))</f>
        <v>20.747913259197439</v>
      </c>
      <c r="DM735" s="309"/>
      <c r="DN735" s="308">
        <f t="shared" si="275"/>
        <v>69</v>
      </c>
      <c r="DO735" s="309">
        <f t="shared" ca="1" si="323"/>
        <v>76.406834254431715</v>
      </c>
      <c r="DP735" s="310">
        <f t="shared" ca="1" si="307"/>
        <v>22903.357754235916</v>
      </c>
      <c r="DQ735" s="309"/>
      <c r="DR735" s="308">
        <f t="shared" si="277"/>
        <v>69</v>
      </c>
      <c r="DS735" s="309">
        <f ca="1">((VLOOKUP($B735,'Mahawesran Tariff'!$A$21:$M$120,4)*'Comparator (DET)'!$CX735)+(VLOOKUP($B735,'Mahawesran Tariff'!$A$21:$M$120,3)*'Comparator (DET)'!$CY735)+(VLOOKUP($B735,'Mahawesran Tariff'!$A$21:$M$120,2)*'Comparator (DET)'!$CZ735)+(VLOOKUP($B735,'Mahawesran Tariff'!$A$21:$M$120,7)*'Comparator (DET)'!$DF735)+(VLOOKUP($B735,'Mahawesran Tariff'!$A$21:$M$120,6)*'Comparator (DET)'!$DG735)+(VLOOKUP($B735,'Mahawesran Tariff'!$A$21:$M$120,5)*'Comparator (DET)'!$DH735)+(DET_UTIL_chd*('Comparator (DET)'!$DA735+'Comparator (DET)'!$DI735))+(DET_UTIL_copd*('Comparator (DET)'!$DB735+'Comparator (DET)'!$DJ735))+(DET_UTIL_lc*('Comparator (DET)'!$DC735+'Comparator (DET)'!$DK735))+(DET_UTIL_stroke*('Comparator (DET)'!$DD735+'Comparator (DET)'!$DL735)))/((1+Discount_rate_QALYs)^$A735)</f>
        <v>65.520706227962705</v>
      </c>
      <c r="DT735" s="310">
        <f t="shared" ca="1" si="308"/>
        <v>22575.315911190646</v>
      </c>
      <c r="DU735" s="309"/>
      <c r="DV735" s="308">
        <f t="shared" si="278"/>
        <v>69</v>
      </c>
      <c r="DW735" s="318">
        <f t="shared" ca="1" si="324"/>
        <v>149671.74010861997</v>
      </c>
      <c r="DX735" s="319">
        <f t="shared" ca="1" si="309"/>
        <v>8261654.9470033795</v>
      </c>
      <c r="DZ735" s="95">
        <f t="shared" si="280"/>
        <v>69</v>
      </c>
      <c r="EA735" s="268">
        <f t="shared" ca="1" si="318"/>
        <v>0.82038241332414352</v>
      </c>
      <c r="EB735" s="268">
        <f t="shared" ca="1" si="319"/>
        <v>0.17961758667585706</v>
      </c>
      <c r="EC735" s="268">
        <f t="shared" ca="1" si="320"/>
        <v>0.2929834812306033</v>
      </c>
      <c r="ED735" s="290">
        <f t="shared" ca="1" si="321"/>
        <v>0.45707857473422042</v>
      </c>
      <c r="EF735" s="95">
        <f t="shared" si="281"/>
        <v>69</v>
      </c>
      <c r="EG735" s="339">
        <f t="shared" ca="1" si="325"/>
        <v>149671.74010861997</v>
      </c>
      <c r="EH735" s="341">
        <f t="shared" ca="1" si="310"/>
        <v>11361786.882859463</v>
      </c>
      <c r="EJ735" s="308">
        <f t="shared" si="283"/>
        <v>69</v>
      </c>
      <c r="EK735" s="318">
        <f t="shared" ca="1" si="284"/>
        <v>149671.74010861997</v>
      </c>
      <c r="EL735" s="319">
        <f t="shared" ca="1" si="311"/>
        <v>8261654.9470033795</v>
      </c>
      <c r="EN735" s="95">
        <f t="shared" si="285"/>
        <v>69</v>
      </c>
      <c r="EO735" s="339">
        <f t="shared" ca="1" si="286"/>
        <v>149671.74010861997</v>
      </c>
      <c r="EP735" s="341">
        <f t="shared" ca="1" si="312"/>
        <v>11361786.882859463</v>
      </c>
    </row>
    <row r="736" spans="1:146" s="266" customFormat="1" x14ac:dyDescent="0.25">
      <c r="A736" s="313">
        <v>70</v>
      </c>
      <c r="B736" s="314">
        <v>70</v>
      </c>
      <c r="C736" s="308">
        <f>VLOOKUP($B736,'Infant adult mortality'!$A$27:$I$128,3)</f>
        <v>5.5703949282893371E-3</v>
      </c>
      <c r="D736" s="309">
        <f t="shared" si="230"/>
        <v>0.27</v>
      </c>
      <c r="E736" s="309">
        <f>VLOOKUP($B736,'Infant pick up smoking rates'!$A$19:$I$104,3)</f>
        <v>0</v>
      </c>
      <c r="F736" s="309">
        <f t="shared" si="231"/>
        <v>0.10693712479347205</v>
      </c>
      <c r="G736" s="309">
        <f t="shared" si="232"/>
        <v>0.61749248027823855</v>
      </c>
      <c r="H736" s="309">
        <f>VLOOKUP($B736,'Infant adult mortality'!$A$27:$I$128,3)</f>
        <v>5.5703949282893371E-3</v>
      </c>
      <c r="I736" s="309">
        <f t="shared" si="233"/>
        <v>0.14000000000000001</v>
      </c>
      <c r="J736" s="309">
        <f>VLOOKUP($B736,'Infant pick up smoking rates'!$A$19:$I$104,2)</f>
        <v>0</v>
      </c>
      <c r="K736" s="309">
        <f t="shared" si="234"/>
        <v>0.10693712479347205</v>
      </c>
      <c r="L736" s="309">
        <f t="shared" si="235"/>
        <v>0.74749248027823856</v>
      </c>
      <c r="M736" s="309">
        <f>VLOOKUP($B736,'Infant adult mortality'!$A$27:$I$128,3)</f>
        <v>5.5703949282893371E-3</v>
      </c>
      <c r="N736" s="309">
        <f t="shared" si="236"/>
        <v>0.5714285714285714</v>
      </c>
      <c r="O736" s="309">
        <f>VLOOKUP($B736,'Infant pick up smoking rates'!$A$19:$I$104,2)</f>
        <v>0</v>
      </c>
      <c r="P736" s="309">
        <f t="shared" si="237"/>
        <v>8.7867404322756887E-2</v>
      </c>
      <c r="Q736" s="309">
        <f t="shared" si="238"/>
        <v>0.33513362932038243</v>
      </c>
      <c r="R736" s="309">
        <f>VLOOKUP($B736,'Infant adult mortality'!$A$27:$I$128,3)</f>
        <v>5.5703949282893371E-3</v>
      </c>
      <c r="S736" s="309">
        <f t="shared" si="239"/>
        <v>8.6261668788331098E-3</v>
      </c>
      <c r="T736" s="309">
        <f>VLOOKUP($B736,'Infant pick up smoking rates'!$A$19:$I$104,2)</f>
        <v>0</v>
      </c>
      <c r="U736" s="309">
        <f t="shared" si="240"/>
        <v>8.7867404322756887E-2</v>
      </c>
      <c r="V736" s="309">
        <f t="shared" si="241"/>
        <v>0.89793603387012066</v>
      </c>
      <c r="W736" s="309">
        <f>VLOOKUP($B736,'Infant adult mortality'!$A$27:$I$128,3)</f>
        <v>5.5703949282893371E-3</v>
      </c>
      <c r="X736" s="309">
        <f>VLOOKUP($B736,'Infant pick up smoking rates'!$A$19:$I$104,2)</f>
        <v>0</v>
      </c>
      <c r="Y736" s="309">
        <f t="shared" si="242"/>
        <v>0.99442960507171063</v>
      </c>
      <c r="Z736" s="309">
        <f>VLOOKUP($B736,'Infant adult mortality'!$A$27:$I$128,5)</f>
        <v>1.1046774752303749E-2</v>
      </c>
      <c r="AA736" s="309">
        <f t="shared" si="313"/>
        <v>0.25</v>
      </c>
      <c r="AB736" s="309">
        <f t="shared" si="244"/>
        <v>0.73895322524769624</v>
      </c>
      <c r="AC736" s="309">
        <f>VLOOKUP($B736,'Infant adult mortality'!$A$27:$I$128,5)</f>
        <v>1.1046774752303749E-2</v>
      </c>
      <c r="AD736" s="309">
        <f t="shared" si="314"/>
        <v>0.14000000000000001</v>
      </c>
      <c r="AE736" s="309">
        <f t="shared" si="246"/>
        <v>0.84895322524769623</v>
      </c>
      <c r="AF736" s="309">
        <f>VLOOKUP($B736,'Infant adult mortality'!$A$27:$I$128,4)</f>
        <v>7.4271932377191173E-3</v>
      </c>
      <c r="AG736" s="309">
        <f t="shared" si="315"/>
        <v>0.5714285714285714</v>
      </c>
      <c r="AH736" s="309">
        <f t="shared" si="248"/>
        <v>0.42114423533370948</v>
      </c>
      <c r="AI736" s="309">
        <f>VLOOKUP($B736,'Infant adult mortality'!$A$27:$I$128,4)</f>
        <v>7.4271932377191173E-3</v>
      </c>
      <c r="AJ736" s="309">
        <f t="shared" si="316"/>
        <v>8.6261668788331098E-3</v>
      </c>
      <c r="AK736" s="309">
        <f t="shared" si="250"/>
        <v>0.98394663988344777</v>
      </c>
      <c r="AL736" s="309"/>
      <c r="AM736" s="315">
        <f t="shared" si="287"/>
        <v>13.426929989456966</v>
      </c>
      <c r="AN736" s="316">
        <f t="shared" si="288"/>
        <v>4.1190830164158641</v>
      </c>
      <c r="AO736" s="316">
        <f t="shared" si="289"/>
        <v>0.64845122527526955</v>
      </c>
      <c r="AP736" s="316">
        <f t="shared" si="290"/>
        <v>31.893068896694864</v>
      </c>
      <c r="AQ736" s="316">
        <f t="shared" si="291"/>
        <v>103.24525034443243</v>
      </c>
      <c r="AR736" s="316">
        <f t="shared" si="292"/>
        <v>103.60839043879494</v>
      </c>
      <c r="AS736" s="316">
        <f t="shared" si="293"/>
        <v>26.420597334350102</v>
      </c>
      <c r="AT736" s="316">
        <f t="shared" si="294"/>
        <v>3.7700297096759368</v>
      </c>
      <c r="AU736" s="316">
        <f t="shared" si="295"/>
        <v>120.3329884977724</v>
      </c>
      <c r="AV736" s="316">
        <f t="shared" si="296"/>
        <v>102.5352105471311</v>
      </c>
      <c r="AW736" s="317">
        <f t="shared" si="251"/>
        <v>509.99999999999989</v>
      </c>
      <c r="AX736" s="309"/>
      <c r="AY736" s="308">
        <f>VLOOKUP($B736,'Infant adult mortality'!$A$134:$I$234,3)</f>
        <v>3.8187985865724386E-3</v>
      </c>
      <c r="AZ736" s="309">
        <f t="shared" si="252"/>
        <v>0.27</v>
      </c>
      <c r="BA736" s="309">
        <f ca="1">VLOOKUP($B736,'Infant pick up smoking rates'!$A$19:$I$104,7)</f>
        <v>0</v>
      </c>
      <c r="BB736" s="309">
        <f t="shared" si="253"/>
        <v>0.10693712479347205</v>
      </c>
      <c r="BC736" s="309">
        <f t="shared" ca="1" si="254"/>
        <v>0.61924407661995551</v>
      </c>
      <c r="BD736" s="309">
        <f>VLOOKUP($B736,'Infant adult mortality'!$A$134:$I$234,3)</f>
        <v>3.8187985865724386E-3</v>
      </c>
      <c r="BE736" s="309">
        <f t="shared" si="255"/>
        <v>0.14000000000000001</v>
      </c>
      <c r="BF736" s="309">
        <f>VLOOKUP($B736,'Infant pick up smoking rates'!$A$19:$I$104,6)</f>
        <v>0</v>
      </c>
      <c r="BG736" s="309">
        <f t="shared" si="256"/>
        <v>0.10693712479347205</v>
      </c>
      <c r="BH736" s="309">
        <f t="shared" si="257"/>
        <v>0.74924407661995551</v>
      </c>
      <c r="BI736" s="309">
        <f>VLOOKUP($B736,'Infant adult mortality'!$A$134:$I$234,3)</f>
        <v>3.8187985865724386E-3</v>
      </c>
      <c r="BJ736" s="309">
        <f t="shared" si="258"/>
        <v>0.5714285714285714</v>
      </c>
      <c r="BK736" s="309">
        <f>VLOOKUP($B736,'Infant pick up smoking rates'!$A$19:$I$104,6)</f>
        <v>0</v>
      </c>
      <c r="BL736" s="309">
        <f t="shared" si="259"/>
        <v>8.7867404322756887E-2</v>
      </c>
      <c r="BM736" s="309">
        <f t="shared" si="260"/>
        <v>0.33688522566209933</v>
      </c>
      <c r="BN736" s="309">
        <f>VLOOKUP($B736,'Infant adult mortality'!$A$134:$I$234,3)</f>
        <v>3.8187985865724386E-3</v>
      </c>
      <c r="BO736" s="309">
        <f t="shared" si="261"/>
        <v>8.6261668788331098E-3</v>
      </c>
      <c r="BP736" s="309">
        <f>VLOOKUP($B736,'Infant pick up smoking rates'!$A$19:$I$104,6)</f>
        <v>0</v>
      </c>
      <c r="BQ736" s="309">
        <f t="shared" si="262"/>
        <v>8.7867404322756887E-2</v>
      </c>
      <c r="BR736" s="309">
        <f t="shared" si="263"/>
        <v>0.89968763021183762</v>
      </c>
      <c r="BS736" s="309">
        <f>VLOOKUP($B736,'Infant adult mortality'!$A$134:$I$234,3)</f>
        <v>3.8187985865724386E-3</v>
      </c>
      <c r="BT736" s="309">
        <f>VLOOKUP($B736,'Infant pick up smoking rates'!$A$19:$I$104,6)</f>
        <v>0</v>
      </c>
      <c r="BU736" s="309">
        <f t="shared" si="264"/>
        <v>0.99618120141342759</v>
      </c>
      <c r="BV736" s="309">
        <f>VLOOKUP($B736,'Infant adult mortality'!$A$134:$I$234,5)</f>
        <v>7.5731448763250893E-3</v>
      </c>
      <c r="BW736" s="309">
        <f t="shared" si="322"/>
        <v>0.27</v>
      </c>
      <c r="BX736" s="309">
        <f t="shared" si="266"/>
        <v>0.72242685512367488</v>
      </c>
      <c r="BY736" s="309">
        <f>VLOOKUP($B736,'Infant adult mortality'!$A$134:$I$234,5)</f>
        <v>7.5731448763250893E-3</v>
      </c>
      <c r="BZ736" s="309">
        <f t="shared" si="267"/>
        <v>0.14000000000000001</v>
      </c>
      <c r="CA736" s="309">
        <f t="shared" si="268"/>
        <v>0.85242685512367489</v>
      </c>
      <c r="CB736" s="309">
        <f>VLOOKUP($B736,'Infant adult mortality'!$A$134:$I$234,4)</f>
        <v>5.0917314487632518E-3</v>
      </c>
      <c r="CC736" s="309">
        <f t="shared" si="269"/>
        <v>0.5714285714285714</v>
      </c>
      <c r="CD736" s="309">
        <f t="shared" si="270"/>
        <v>0.42347969712266537</v>
      </c>
      <c r="CE736" s="309">
        <f>VLOOKUP($B736,'Infant adult mortality'!$A$134:$I$234,4)</f>
        <v>5.0917314487632518E-3</v>
      </c>
      <c r="CF736" s="309">
        <f t="shared" si="271"/>
        <v>8.6261668788331098E-3</v>
      </c>
      <c r="CG736" s="309">
        <f t="shared" si="272"/>
        <v>0.9862821016724036</v>
      </c>
      <c r="CH736" s="309"/>
      <c r="CI736" s="315">
        <f t="shared" ca="1" si="297"/>
        <v>18.367015149417</v>
      </c>
      <c r="CJ736" s="316">
        <f t="shared" ca="1" si="298"/>
        <v>5.6237738004801034</v>
      </c>
      <c r="CK736" s="316">
        <f t="shared" ca="1" si="299"/>
        <v>0.88379253064697838</v>
      </c>
      <c r="CL736" s="316">
        <f t="shared" ca="1" si="300"/>
        <v>43.133886846133542</v>
      </c>
      <c r="CM736" s="316">
        <f t="shared" ca="1" si="301"/>
        <v>140.30512100187522</v>
      </c>
      <c r="CN736" s="316">
        <f t="shared" ca="1" si="302"/>
        <v>78.219661369336464</v>
      </c>
      <c r="CO736" s="316">
        <f t="shared" ca="1" si="303"/>
        <v>21.477423478680059</v>
      </c>
      <c r="CP736" s="316">
        <f t="shared" ca="1" si="304"/>
        <v>3.0563888981136542</v>
      </c>
      <c r="CQ736" s="316">
        <f t="shared" ca="1" si="305"/>
        <v>96.535131423597576</v>
      </c>
      <c r="CR736" s="316">
        <f t="shared" ca="1" si="306"/>
        <v>82.397805501720057</v>
      </c>
      <c r="CS736" s="317">
        <f t="shared" ca="1" si="273"/>
        <v>490.00000000000068</v>
      </c>
      <c r="CT736" s="309"/>
      <c r="CU736" s="309">
        <f t="shared" ca="1" si="274"/>
        <v>1000.0000000000006</v>
      </c>
      <c r="CV736" s="309" t="str">
        <f t="shared" ca="1" si="317"/>
        <v>OKAY</v>
      </c>
      <c r="CW736" s="309"/>
      <c r="CX736" s="315">
        <f>(SUM($AR736:$AS736))-((SUM($AR736:$AS736)*VLOOKUP($B736,Lifetime_morbidity_array!$A$30:$Y$48,4))+(SUM($AR736:$AS736)*VLOOKUP($B736,Lifetime_morbidity_array!$A$30:$Y$48,7))+(SUM($AR736:$AS736)*VLOOKUP($B736,Lifetime_morbidity_array!$A$30:$Y$48,10))+(SUM($AR736:$AS736)*VLOOKUP($B736,Lifetime_morbidity_array!$A$30:$Y$48,13)))</f>
        <v>18.90647946469862</v>
      </c>
      <c r="CY736" s="316">
        <f>(SUM($AT736:$AU736))-((SUM($AT736:$AU736)*(VLOOKUP($B736,Lifetime_morbidity_array!$A$30:$Y$48,3)))+(SUM($AT736:$AU736)*(VLOOKUP($B736,Lifetime_morbidity_array!$A$30:$Y$48,6)))+(SUM($AT736:$AU736)*(VLOOKUP($B736,Lifetime_morbidity_array!$A$30:$Y$48,9)))+(SUM($AT736:$AU736)*(VLOOKUP($B736,Lifetime_morbidity_array!$A$30:$Y$48,12))))</f>
        <v>76.03190884512324</v>
      </c>
      <c r="CZ736" s="316">
        <f>(SUM($AM736:$AQ736))-((SUM($AM736:$AQ736)*VLOOKUP($B736,Lifetime_morbidity_array!$A$30:$Y$48,2))+(SUM($AM736:$AQ736)*VLOOKUP($B736,Lifetime_morbidity_array!$A$30:$Y$48,5))+(SUM($AM736:$AQ736)*VLOOKUP($B736,Lifetime_morbidity_array!$A$30:$Y$48,8))+(SUM($AM736:$AQ736)*VLOOKUP($B736,Lifetime_morbidity_array!$A$30:$Y$48,11)))</f>
        <v>121.05582671467744</v>
      </c>
      <c r="DA736" s="316">
        <f>(SUM($AM736:$AQ736)*VLOOKUP($B736,Lifetime_morbidity_array!$A$30:$Y$48,2))+(SUM($AR736:$AS736)*VLOOKUP($B736,Lifetime_morbidity_array!$A$30:$Y$48,4))+(SUM($AT736:$AU736)*(VLOOKUP($B736,Lifetime_morbidity_array!$A$30:$Y$48,3)))</f>
        <v>100.51858044931264</v>
      </c>
      <c r="DB736" s="316">
        <f>(SUM($AM736:$AQ736)*VLOOKUP($B736,Lifetime_morbidity_array!$A$30:$Y$48,5))+(SUM($AR736:$AS736)*VLOOKUP($B736,Lifetime_morbidity_array!$A$30:$Y$48,7))+(SUM($AT736:$AU736)*(VLOOKUP($B736,Lifetime_morbidity_array!$A$30:$Y$48,6)))</f>
        <v>52.090245084351672</v>
      </c>
      <c r="DC736" s="316">
        <f>(SUM($AM736:$AQ736)*VLOOKUP($B736,Lifetime_morbidity_array!$A$30:$Y$48,8))+(SUM($AR736:$AS736)*VLOOKUP($B736,Lifetime_morbidity_array!$A$30:$Y$48,10))+(SUM($AT736:$AU736)*(VLOOKUP($B736,Lifetime_morbidity_array!$A$30:$Y$48,9)))</f>
        <v>5.2682472024932601</v>
      </c>
      <c r="DD736" s="317">
        <f>(SUM($AM736:$AQ736)*VLOOKUP($B736,Lifetime_morbidity_array!$A$30:$Y$48,11))+(SUM($AR736:$AS736)*VLOOKUP($B736,Lifetime_morbidity_array!$A$30:$Y$48,13))+(SUM($AT736:$AU736)*(VLOOKUP($B736,Lifetime_morbidity_array!$A$30:$Y$48,12)))</f>
        <v>33.593501692211937</v>
      </c>
      <c r="DE736" s="309"/>
      <c r="DF736" s="315">
        <f ca="1">(SUM($CN736:$CO736))-((SUM($CN736:$CO736)*VLOOKUP($B736,Lifetime_morbidity_array!$A$6:$Y$24,4))+(SUM($CN736:$CO736)*VLOOKUP($B736,Lifetime_morbidity_array!$A$6:$Y$24,7))+(SUM($CN736:$CO736)*VLOOKUP($B736,Lifetime_morbidity_array!$A$6:$Y$24,10))+(SUM($CN736:$CO736)*VLOOKUP($B736,Lifetime_morbidity_array!$A$6:$Y$24,13)))</f>
        <v>34.650322095483475</v>
      </c>
      <c r="DG736" s="316">
        <f ca="1">(SUM($CP736:$CQ736))-(((SUM($CP736:$CQ736)*VLOOKUP($B736,Lifetime_morbidity_array!$A$6:$Y$24,3))+(SUM($CP736:$CQ736)*VLOOKUP($B736,Lifetime_morbidity_array!$A$6:$Y$24,6))+(SUM($CP736:$CQ736)*VLOOKUP($B736,Lifetime_morbidity_array!$A$6:$Y$24,9))+(SUM($CP736:$CQ736)*VLOOKUP($B736,Lifetime_morbidity_array!$A$6:$Y$24,12))))</f>
        <v>70.529057867824037</v>
      </c>
      <c r="DH736" s="316">
        <f ca="1">(SUM($CI736:$CM736))-((SUM($CI736:$CM736)*VLOOKUP($B736,Lifetime_morbidity_array!$A$6:$Y$24,2))+(SUM($CI736:$CM736)*VLOOKUP($B736,Lifetime_morbidity_array!$A$6:$Y$24,5))+(SUM($CI736:$CM736)*VLOOKUP($B736,Lifetime_morbidity_array!$A$6:$Y$24,8))+(SUM($CI736:$CM736)*VLOOKUP($B736,Lifetime_morbidity_array!$A$6:$Y$24,11)))</f>
        <v>182.73673033887545</v>
      </c>
      <c r="DI736" s="316">
        <f ca="1">(SUM($CI736:$CM736)*VLOOKUP($B736,Lifetime_morbidity_array!$A$6:$Y$24,2))+(SUM($CN736:$CO736)*VLOOKUP($B736,Lifetime_morbidity_array!$A$6:$Y$24,4))+(SUM($CP736:$CQ736)*VLOOKUP($B736,Lifetime_morbidity_array!$A$6:$Y$24,3))</f>
        <v>53.674084166151196</v>
      </c>
      <c r="DJ736" s="316">
        <f ca="1">(SUM($CI736:$CM736)*VLOOKUP($B736,Lifetime_morbidity_array!$A$6:$Y$24,5))+(SUM($CN736:$CO736)*VLOOKUP($B736,Lifetime_morbidity_array!$A$6:$Y$24,7))+(SUM($CP736:$CQ736)*VLOOKUP($B736,Lifetime_morbidity_array!$A$6:$Y$24,6))</f>
        <v>43.470771785693891</v>
      </c>
      <c r="DK736" s="316">
        <f ca="1">(SUM($CI736:$CM736)*VLOOKUP($B736,Lifetime_morbidity_array!$A$6:$Y$24,8))+(SUM($CN736:$CO736)*VLOOKUP($B736,Lifetime_morbidity_array!$A$6:$Y$24,10))+(SUM($CP736:$CQ736)*VLOOKUP($B736,Lifetime_morbidity_array!$A$6:$Y$24,9))</f>
        <v>1.9544861728869662</v>
      </c>
      <c r="DL736" s="317">
        <f ca="1">(SUM($CI736:$CM736)*VLOOKUP($B736,Lifetime_morbidity_array!$A$6:$Y$24,11))+(SUM($CN736:$CO736)*VLOOKUP($B736,Lifetime_morbidity_array!$A$6:$Y$24,13))+(SUM($CP736:$CQ736)*VLOOKUP($B736,Lifetime_morbidity_array!$A$6:$Y$24,12))</f>
        <v>20.586742071365581</v>
      </c>
      <c r="DM736" s="309"/>
      <c r="DN736" s="308">
        <f t="shared" si="275"/>
        <v>70</v>
      </c>
      <c r="DO736" s="309">
        <f t="shared" ca="1" si="323"/>
        <v>73.344713412869325</v>
      </c>
      <c r="DP736" s="310">
        <f t="shared" ca="1" si="307"/>
        <v>22976.702467648785</v>
      </c>
      <c r="DQ736" s="309"/>
      <c r="DR736" s="308">
        <f t="shared" si="277"/>
        <v>70</v>
      </c>
      <c r="DS736" s="309">
        <f ca="1">((VLOOKUP($B736,'Mahawesran Tariff'!$A$21:$M$120,4)*'Comparator (DET)'!$CX736)+(VLOOKUP($B736,'Mahawesran Tariff'!$A$21:$M$120,3)*'Comparator (DET)'!$CY736)+(VLOOKUP($B736,'Mahawesran Tariff'!$A$21:$M$120,2)*'Comparator (DET)'!$CZ736)+(VLOOKUP($B736,'Mahawesran Tariff'!$A$21:$M$120,7)*'Comparator (DET)'!$DF736)+(VLOOKUP($B736,'Mahawesran Tariff'!$A$21:$M$120,6)*'Comparator (DET)'!$DG736)+(VLOOKUP($B736,'Mahawesran Tariff'!$A$21:$M$120,5)*'Comparator (DET)'!$DH736)+(DET_UTIL_chd*('Comparator (DET)'!$DA736+'Comparator (DET)'!$DI736))+(DET_UTIL_copd*('Comparator (DET)'!$DB736+'Comparator (DET)'!$DJ736))+(DET_UTIL_lc*('Comparator (DET)'!$DC736+'Comparator (DET)'!$DK736))+(DET_UTIL_stroke*('Comparator (DET)'!$DD736+'Comparator (DET)'!$DL736)))/((1+Discount_rate_QALYs)^$A736)</f>
        <v>62.572618637622888</v>
      </c>
      <c r="DT736" s="310">
        <f t="shared" ca="1" si="308"/>
        <v>22637.888529828269</v>
      </c>
      <c r="DU736" s="309"/>
      <c r="DV736" s="308">
        <f t="shared" si="278"/>
        <v>70</v>
      </c>
      <c r="DW736" s="318">
        <f t="shared" ca="1" si="324"/>
        <v>144895.19568574597</v>
      </c>
      <c r="DX736" s="319">
        <f t="shared" ca="1" si="309"/>
        <v>8406550.1426891256</v>
      </c>
      <c r="DZ736" s="95">
        <f t="shared" si="280"/>
        <v>70</v>
      </c>
      <c r="EA736" s="268">
        <f t="shared" ca="1" si="318"/>
        <v>0.8150669839511494</v>
      </c>
      <c r="EB736" s="268">
        <f t="shared" ca="1" si="319"/>
        <v>0.18493301604885115</v>
      </c>
      <c r="EC736" s="268">
        <f t="shared" ca="1" si="320"/>
        <v>0.31115665862446712</v>
      </c>
      <c r="ED736" s="290">
        <f t="shared" ca="1" si="321"/>
        <v>0.45342061115032112</v>
      </c>
      <c r="EF736" s="95">
        <f t="shared" si="281"/>
        <v>70</v>
      </c>
      <c r="EG736" s="339">
        <f t="shared" ca="1" si="325"/>
        <v>144895.19568574597</v>
      </c>
      <c r="EH736" s="341">
        <f t="shared" ca="1" si="310"/>
        <v>11506682.078545209</v>
      </c>
      <c r="EJ736" s="308">
        <f t="shared" si="283"/>
        <v>70</v>
      </c>
      <c r="EK736" s="318">
        <f t="shared" ca="1" si="284"/>
        <v>144895.19568574597</v>
      </c>
      <c r="EL736" s="319">
        <f t="shared" ca="1" si="311"/>
        <v>8406550.1426891256</v>
      </c>
      <c r="EN736" s="95">
        <f t="shared" si="285"/>
        <v>70</v>
      </c>
      <c r="EO736" s="339">
        <f t="shared" ca="1" si="286"/>
        <v>144895.19568574597</v>
      </c>
      <c r="EP736" s="341">
        <f t="shared" ca="1" si="312"/>
        <v>11506682.078545209</v>
      </c>
    </row>
    <row r="737" spans="1:146" s="266" customFormat="1" x14ac:dyDescent="0.25">
      <c r="A737" s="313">
        <v>71</v>
      </c>
      <c r="B737" s="314">
        <v>71</v>
      </c>
      <c r="C737" s="308">
        <f>VLOOKUP($B737,'Infant adult mortality'!$A$27:$I$128,3)</f>
        <v>6.0274651839534402E-3</v>
      </c>
      <c r="D737" s="309">
        <f t="shared" si="230"/>
        <v>0.27</v>
      </c>
      <c r="E737" s="309">
        <f>VLOOKUP($B737,'Infant pick up smoking rates'!$A$19:$I$104,3)</f>
        <v>0</v>
      </c>
      <c r="F737" s="309">
        <f t="shared" si="231"/>
        <v>0.1158972837778602</v>
      </c>
      <c r="G737" s="309">
        <f t="shared" si="232"/>
        <v>0.60807525103818627</v>
      </c>
      <c r="H737" s="309">
        <f>VLOOKUP($B737,'Infant adult mortality'!$A$27:$I$128,3)</f>
        <v>6.0274651839534402E-3</v>
      </c>
      <c r="I737" s="309">
        <f t="shared" si="233"/>
        <v>0.14000000000000001</v>
      </c>
      <c r="J737" s="309">
        <f>VLOOKUP($B737,'Infant pick up smoking rates'!$A$19:$I$104,2)</f>
        <v>0</v>
      </c>
      <c r="K737" s="309">
        <f t="shared" si="234"/>
        <v>0.1158972837778602</v>
      </c>
      <c r="L737" s="309">
        <f t="shared" si="235"/>
        <v>0.73807525103818628</v>
      </c>
      <c r="M737" s="309">
        <f>VLOOKUP($B737,'Infant adult mortality'!$A$27:$I$128,3)</f>
        <v>6.0274651839534402E-3</v>
      </c>
      <c r="N737" s="309">
        <f t="shared" si="236"/>
        <v>0.5714285714285714</v>
      </c>
      <c r="O737" s="309">
        <f>VLOOKUP($B737,'Infant pick up smoking rates'!$A$19:$I$104,2)</f>
        <v>0</v>
      </c>
      <c r="P737" s="309">
        <f t="shared" si="237"/>
        <v>9.5229729743399535E-2</v>
      </c>
      <c r="Q737" s="309">
        <f t="shared" si="238"/>
        <v>0.32731423364407569</v>
      </c>
      <c r="R737" s="309">
        <f>VLOOKUP($B737,'Infant adult mortality'!$A$27:$I$128,3)</f>
        <v>6.0274651839534402E-3</v>
      </c>
      <c r="S737" s="309">
        <f t="shared" si="239"/>
        <v>8.6261668788331098E-3</v>
      </c>
      <c r="T737" s="309">
        <f>VLOOKUP($B737,'Infant pick up smoking rates'!$A$19:$I$104,2)</f>
        <v>0</v>
      </c>
      <c r="U737" s="309">
        <f t="shared" si="240"/>
        <v>9.5229729743399535E-2</v>
      </c>
      <c r="V737" s="309">
        <f t="shared" si="241"/>
        <v>0.89011663819381392</v>
      </c>
      <c r="W737" s="309">
        <f>VLOOKUP($B737,'Infant adult mortality'!$A$27:$I$128,3)</f>
        <v>6.0274651839534402E-3</v>
      </c>
      <c r="X737" s="309">
        <f>VLOOKUP($B737,'Infant pick up smoking rates'!$A$19:$I$104,2)</f>
        <v>0</v>
      </c>
      <c r="Y737" s="309">
        <f t="shared" si="242"/>
        <v>0.99397253481604653</v>
      </c>
      <c r="Z737" s="309">
        <f>VLOOKUP($B737,'Infant adult mortality'!$A$27:$I$128,5)</f>
        <v>1.1953200997713574E-2</v>
      </c>
      <c r="AA737" s="309">
        <f t="shared" si="313"/>
        <v>0.25</v>
      </c>
      <c r="AB737" s="309">
        <f t="shared" si="244"/>
        <v>0.73804679900228642</v>
      </c>
      <c r="AC737" s="309">
        <f>VLOOKUP($B737,'Infant adult mortality'!$A$27:$I$128,5)</f>
        <v>1.1953200997713574E-2</v>
      </c>
      <c r="AD737" s="309">
        <f t="shared" si="314"/>
        <v>0.14000000000000001</v>
      </c>
      <c r="AE737" s="309">
        <f t="shared" si="246"/>
        <v>0.84804679900228641</v>
      </c>
      <c r="AF737" s="309">
        <f>VLOOKUP($B737,'Infant adult mortality'!$A$27:$I$128,4)</f>
        <v>8.0366202452712542E-3</v>
      </c>
      <c r="AG737" s="309">
        <f t="shared" si="315"/>
        <v>0.5714285714285714</v>
      </c>
      <c r="AH737" s="309">
        <f t="shared" si="248"/>
        <v>0.42053480832615736</v>
      </c>
      <c r="AI737" s="309">
        <f>VLOOKUP($B737,'Infant adult mortality'!$A$27:$I$128,4)</f>
        <v>8.0366202452712542E-3</v>
      </c>
      <c r="AJ737" s="309">
        <f t="shared" si="316"/>
        <v>8.6261668788331098E-3</v>
      </c>
      <c r="AK737" s="309">
        <f t="shared" si="250"/>
        <v>0.98333721287589559</v>
      </c>
      <c r="AL737" s="309"/>
      <c r="AM737" s="315">
        <f t="shared" si="287"/>
        <v>11.692139305837014</v>
      </c>
      <c r="AN737" s="316">
        <f t="shared" si="288"/>
        <v>3.625271097153381</v>
      </c>
      <c r="AO737" s="316">
        <f t="shared" si="289"/>
        <v>0.576671622298221</v>
      </c>
      <c r="AP737" s="316">
        <f t="shared" si="290"/>
        <v>28.759094825309873</v>
      </c>
      <c r="AQ737" s="316">
        <f t="shared" si="291"/>
        <v>107.75539860773908</v>
      </c>
      <c r="AR737" s="316">
        <f t="shared" si="292"/>
        <v>101.49718507140864</v>
      </c>
      <c r="AS737" s="316">
        <f t="shared" si="293"/>
        <v>25.902097609698735</v>
      </c>
      <c r="AT737" s="316">
        <f t="shared" si="294"/>
        <v>3.6988836268090148</v>
      </c>
      <c r="AU737" s="316">
        <f t="shared" si="295"/>
        <v>120.48220821767011</v>
      </c>
      <c r="AV737" s="316">
        <f t="shared" si="296"/>
        <v>106.01105001607581</v>
      </c>
      <c r="AW737" s="317">
        <f t="shared" si="251"/>
        <v>509.99999999999989</v>
      </c>
      <c r="AX737" s="309"/>
      <c r="AY737" s="308">
        <f>VLOOKUP($B737,'Infant adult mortality'!$A$134:$I$234,3)</f>
        <v>4.1367033880690086E-3</v>
      </c>
      <c r="AZ737" s="309">
        <f t="shared" si="252"/>
        <v>0.27</v>
      </c>
      <c r="BA737" s="309">
        <f ca="1">VLOOKUP($B737,'Infant pick up smoking rates'!$A$19:$I$104,7)</f>
        <v>0</v>
      </c>
      <c r="BB737" s="309">
        <f t="shared" si="253"/>
        <v>0.1158972837778602</v>
      </c>
      <c r="BC737" s="309">
        <f t="shared" ca="1" si="254"/>
        <v>0.6099660128340707</v>
      </c>
      <c r="BD737" s="309">
        <f>VLOOKUP($B737,'Infant adult mortality'!$A$134:$I$234,3)</f>
        <v>4.1367033880690086E-3</v>
      </c>
      <c r="BE737" s="309">
        <f t="shared" si="255"/>
        <v>0.14000000000000001</v>
      </c>
      <c r="BF737" s="309">
        <f>VLOOKUP($B737,'Infant pick up smoking rates'!$A$19:$I$104,6)</f>
        <v>0</v>
      </c>
      <c r="BG737" s="309">
        <f t="shared" si="256"/>
        <v>0.1158972837778602</v>
      </c>
      <c r="BH737" s="309">
        <f t="shared" si="257"/>
        <v>0.73996601283407071</v>
      </c>
      <c r="BI737" s="309">
        <f>VLOOKUP($B737,'Infant adult mortality'!$A$134:$I$234,3)</f>
        <v>4.1367033880690086E-3</v>
      </c>
      <c r="BJ737" s="309">
        <f t="shared" si="258"/>
        <v>0.5714285714285714</v>
      </c>
      <c r="BK737" s="309">
        <f>VLOOKUP($B737,'Infant pick up smoking rates'!$A$19:$I$104,6)</f>
        <v>0</v>
      </c>
      <c r="BL737" s="309">
        <f t="shared" si="259"/>
        <v>9.5229729743399535E-2</v>
      </c>
      <c r="BM737" s="309">
        <f t="shared" si="260"/>
        <v>0.32920499543996012</v>
      </c>
      <c r="BN737" s="309">
        <f>VLOOKUP($B737,'Infant adult mortality'!$A$134:$I$234,3)</f>
        <v>4.1367033880690086E-3</v>
      </c>
      <c r="BO737" s="309">
        <f t="shared" si="261"/>
        <v>8.6261668788331098E-3</v>
      </c>
      <c r="BP737" s="309">
        <f>VLOOKUP($B737,'Infant pick up smoking rates'!$A$19:$I$104,6)</f>
        <v>0</v>
      </c>
      <c r="BQ737" s="309">
        <f t="shared" si="262"/>
        <v>9.5229729743399535E-2</v>
      </c>
      <c r="BR737" s="309">
        <f t="shared" si="263"/>
        <v>0.89200739998969836</v>
      </c>
      <c r="BS737" s="309">
        <f>VLOOKUP($B737,'Infant adult mortality'!$A$134:$I$234,3)</f>
        <v>4.1367033880690086E-3</v>
      </c>
      <c r="BT737" s="309">
        <f>VLOOKUP($B737,'Infant pick up smoking rates'!$A$19:$I$104,6)</f>
        <v>0</v>
      </c>
      <c r="BU737" s="309">
        <f t="shared" si="264"/>
        <v>0.99586329661193096</v>
      </c>
      <c r="BV737" s="309">
        <f>VLOOKUP($B737,'Infant adult mortality'!$A$134:$I$234,5)</f>
        <v>8.2035889974364298E-3</v>
      </c>
      <c r="BW737" s="309">
        <f t="shared" si="322"/>
        <v>0.27</v>
      </c>
      <c r="BX737" s="309">
        <f t="shared" si="266"/>
        <v>0.72179641100256353</v>
      </c>
      <c r="BY737" s="309">
        <f>VLOOKUP($B737,'Infant adult mortality'!$A$134:$I$234,5)</f>
        <v>8.2035889974364298E-3</v>
      </c>
      <c r="BZ737" s="309">
        <f t="shared" si="267"/>
        <v>0.14000000000000001</v>
      </c>
      <c r="CA737" s="309">
        <f t="shared" si="268"/>
        <v>0.85179641100256354</v>
      </c>
      <c r="CB737" s="309">
        <f>VLOOKUP($B737,'Infant adult mortality'!$A$134:$I$234,4)</f>
        <v>5.5156045174253451E-3</v>
      </c>
      <c r="CC737" s="309">
        <f t="shared" si="269"/>
        <v>0.5714285714285714</v>
      </c>
      <c r="CD737" s="309">
        <f t="shared" si="270"/>
        <v>0.42305582405400327</v>
      </c>
      <c r="CE737" s="309">
        <f>VLOOKUP($B737,'Infant adult mortality'!$A$134:$I$234,4)</f>
        <v>5.5156045174253451E-3</v>
      </c>
      <c r="CF737" s="309">
        <f t="shared" si="271"/>
        <v>8.6261668788331098E-3</v>
      </c>
      <c r="CG737" s="309">
        <f t="shared" si="272"/>
        <v>0.9858582286037415</v>
      </c>
      <c r="CH737" s="309"/>
      <c r="CI737" s="315">
        <f t="shared" ca="1" si="297"/>
        <v>16.027685496663796</v>
      </c>
      <c r="CJ737" s="316">
        <f t="shared" ca="1" si="298"/>
        <v>4.9590940903425906</v>
      </c>
      <c r="CK737" s="316">
        <f t="shared" ca="1" si="299"/>
        <v>0.78732833206721453</v>
      </c>
      <c r="CL737" s="316">
        <f t="shared" ca="1" si="300"/>
        <v>38.980770560296278</v>
      </c>
      <c r="CM737" s="316">
        <f t="shared" ca="1" si="301"/>
        <v>146.69697931842674</v>
      </c>
      <c r="CN737" s="316">
        <f t="shared" ca="1" si="302"/>
        <v>76.878814360195804</v>
      </c>
      <c r="CO737" s="316">
        <f t="shared" ca="1" si="303"/>
        <v>21.119308569720847</v>
      </c>
      <c r="CP737" s="316">
        <f t="shared" ca="1" si="304"/>
        <v>3.0068392870152088</v>
      </c>
      <c r="CQ737" s="316">
        <f t="shared" ca="1" si="305"/>
        <v>96.91646160507652</v>
      </c>
      <c r="CR737" s="316">
        <f t="shared" ca="1" si="306"/>
        <v>84.626718380195669</v>
      </c>
      <c r="CS737" s="317">
        <f t="shared" ca="1" si="273"/>
        <v>490.00000000000063</v>
      </c>
      <c r="CT737" s="309"/>
      <c r="CU737" s="309">
        <f t="shared" ca="1" si="274"/>
        <v>1000.0000000000005</v>
      </c>
      <c r="CV737" s="309" t="str">
        <f t="shared" ca="1" si="317"/>
        <v>OKAY</v>
      </c>
      <c r="CW737" s="309"/>
      <c r="CX737" s="315">
        <f>(SUM($AR737:$AS737))-((SUM($AR737:$AS737)*VLOOKUP($B737,Lifetime_morbidity_array!$A$30:$Y$48,4))+(SUM($AR737:$AS737)*VLOOKUP($B737,Lifetime_morbidity_array!$A$30:$Y$48,7))+(SUM($AR737:$AS737)*VLOOKUP($B737,Lifetime_morbidity_array!$A$30:$Y$48,10))+(SUM($AR737:$AS737)*VLOOKUP($B737,Lifetime_morbidity_array!$A$30:$Y$48,13)))</f>
        <v>18.524114992189098</v>
      </c>
      <c r="CY737" s="316">
        <f>(SUM($AT737:$AU737))-((SUM($AT737:$AU737)*(VLOOKUP($B737,Lifetime_morbidity_array!$A$30:$Y$48,3)))+(SUM($AT737:$AU737)*(VLOOKUP($B737,Lifetime_morbidity_array!$A$30:$Y$48,6)))+(SUM($AT737:$AU737)*(VLOOKUP($B737,Lifetime_morbidity_array!$A$30:$Y$48,9)))+(SUM($AT737:$AU737)*(VLOOKUP($B737,Lifetime_morbidity_array!$A$30:$Y$48,12))))</f>
        <v>76.079740781361949</v>
      </c>
      <c r="CZ737" s="316">
        <f>(SUM($AM737:$AQ737))-((SUM($AM737:$AQ737)*VLOOKUP($B737,Lifetime_morbidity_array!$A$30:$Y$48,2))+(SUM($AM737:$AQ737)*VLOOKUP($B737,Lifetime_morbidity_array!$A$30:$Y$48,5))+(SUM($AM737:$AQ737)*VLOOKUP($B737,Lifetime_morbidity_array!$A$30:$Y$48,8))+(SUM($AM737:$AQ737)*VLOOKUP($B737,Lifetime_morbidity_array!$A$30:$Y$48,11)))</f>
        <v>120.32616693384</v>
      </c>
      <c r="DA737" s="316">
        <f>(SUM($AM737:$AQ737)*VLOOKUP($B737,Lifetime_morbidity_array!$A$30:$Y$48,2))+(SUM($AR737:$AS737)*VLOOKUP($B737,Lifetime_morbidity_array!$A$30:$Y$48,4))+(SUM($AT737:$AU737)*(VLOOKUP($B737,Lifetime_morbidity_array!$A$30:$Y$48,3)))</f>
        <v>99.374901206773956</v>
      </c>
      <c r="DB737" s="316">
        <f>(SUM($AM737:$AQ737)*VLOOKUP($B737,Lifetime_morbidity_array!$A$30:$Y$48,5))+(SUM($AR737:$AS737)*VLOOKUP($B737,Lifetime_morbidity_array!$A$30:$Y$48,7))+(SUM($AT737:$AU737)*(VLOOKUP($B737,Lifetime_morbidity_array!$A$30:$Y$48,6)))</f>
        <v>51.27754456379148</v>
      </c>
      <c r="DC737" s="316">
        <f>(SUM($AM737:$AQ737)*VLOOKUP($B737,Lifetime_morbidity_array!$A$30:$Y$48,8))+(SUM($AR737:$AS737)*VLOOKUP($B737,Lifetime_morbidity_array!$A$30:$Y$48,10))+(SUM($AT737:$AU737)*(VLOOKUP($B737,Lifetime_morbidity_array!$A$30:$Y$48,9)))</f>
        <v>5.1862250615565166</v>
      </c>
      <c r="DD737" s="317">
        <f>(SUM($AM737:$AQ737)*VLOOKUP($B737,Lifetime_morbidity_array!$A$30:$Y$48,11))+(SUM($AR737:$AS737)*VLOOKUP($B737,Lifetime_morbidity_array!$A$30:$Y$48,13))+(SUM($AT737:$AU737)*(VLOOKUP($B737,Lifetime_morbidity_array!$A$30:$Y$48,12)))</f>
        <v>33.220256444411056</v>
      </c>
      <c r="DE737" s="309"/>
      <c r="DF737" s="315">
        <f ca="1">(SUM($CN737:$CO737))-((SUM($CN737:$CO737)*VLOOKUP($B737,Lifetime_morbidity_array!$A$6:$Y$24,4))+(SUM($CN737:$CO737)*VLOOKUP($B737,Lifetime_morbidity_array!$A$6:$Y$24,7))+(SUM($CN737:$CO737)*VLOOKUP($B737,Lifetime_morbidity_array!$A$6:$Y$24,10))+(SUM($CN737:$CO737)*VLOOKUP($B737,Lifetime_morbidity_array!$A$6:$Y$24,13)))</f>
        <v>34.059837651732032</v>
      </c>
      <c r="DG737" s="316">
        <f ca="1">(SUM($CP737:$CQ737))-(((SUM($CP737:$CQ737)*VLOOKUP($B737,Lifetime_morbidity_array!$A$6:$Y$24,3))+(SUM($CP737:$CQ737)*VLOOKUP($B737,Lifetime_morbidity_array!$A$6:$Y$24,6))+(SUM($CP737:$CQ737)*VLOOKUP($B737,Lifetime_morbidity_array!$A$6:$Y$24,9))+(SUM($CP737:$CQ737)*VLOOKUP($B737,Lifetime_morbidity_array!$A$6:$Y$24,12))))</f>
        <v>70.764019348201046</v>
      </c>
      <c r="DH737" s="316">
        <f ca="1">(SUM($CI737:$CM737))-((SUM($CI737:$CM737)*VLOOKUP($B737,Lifetime_morbidity_array!$A$6:$Y$24,2))+(SUM($CI737:$CM737)*VLOOKUP($B737,Lifetime_morbidity_array!$A$6:$Y$24,5))+(SUM($CI737:$CM737)*VLOOKUP($B737,Lifetime_morbidity_array!$A$6:$Y$24,8))+(SUM($CI737:$CM737)*VLOOKUP($B737,Lifetime_morbidity_array!$A$6:$Y$24,11)))</f>
        <v>181.98080268735799</v>
      </c>
      <c r="DI737" s="316">
        <f ca="1">(SUM($CI737:$CM737)*VLOOKUP($B737,Lifetime_morbidity_array!$A$6:$Y$24,2))+(SUM($CN737:$CO737)*VLOOKUP($B737,Lifetime_morbidity_array!$A$6:$Y$24,4))+(SUM($CP737:$CQ737)*VLOOKUP($B737,Lifetime_morbidity_array!$A$6:$Y$24,3))</f>
        <v>53.213628336496548</v>
      </c>
      <c r="DJ737" s="316">
        <f ca="1">(SUM($CI737:$CM737)*VLOOKUP($B737,Lifetime_morbidity_array!$A$6:$Y$24,5))+(SUM($CN737:$CO737)*VLOOKUP($B737,Lifetime_morbidity_array!$A$6:$Y$24,7))+(SUM($CP737:$CQ737)*VLOOKUP($B737,Lifetime_morbidity_array!$A$6:$Y$24,6))</f>
        <v>42.996004588994353</v>
      </c>
      <c r="DK737" s="316">
        <f ca="1">(SUM($CI737:$CM737)*VLOOKUP($B737,Lifetime_morbidity_array!$A$6:$Y$24,8))+(SUM($CN737:$CO737)*VLOOKUP($B737,Lifetime_morbidity_array!$A$6:$Y$24,10))+(SUM($CP737:$CQ737)*VLOOKUP($B737,Lifetime_morbidity_array!$A$6:$Y$24,9))</f>
        <v>1.9311133239572711</v>
      </c>
      <c r="DL737" s="317">
        <f ca="1">(SUM($CI737:$CM737)*VLOOKUP($B737,Lifetime_morbidity_array!$A$6:$Y$24,11))+(SUM($CN737:$CO737)*VLOOKUP($B737,Lifetime_morbidity_array!$A$6:$Y$24,13))+(SUM($CP737:$CQ737)*VLOOKUP($B737,Lifetime_morbidity_array!$A$6:$Y$24,12))</f>
        <v>20.427875683065757</v>
      </c>
      <c r="DM737" s="309"/>
      <c r="DN737" s="308">
        <f t="shared" si="275"/>
        <v>71</v>
      </c>
      <c r="DO737" s="309">
        <f t="shared" ca="1" si="323"/>
        <v>70.368468500148097</v>
      </c>
      <c r="DP737" s="310">
        <f t="shared" ca="1" si="307"/>
        <v>23047.070936148935</v>
      </c>
      <c r="DQ737" s="309"/>
      <c r="DR737" s="308">
        <f t="shared" si="277"/>
        <v>71</v>
      </c>
      <c r="DS737" s="309">
        <f ca="1">((VLOOKUP($B737,'Mahawesran Tariff'!$A$21:$M$120,4)*'Comparator (DET)'!$CX737)+(VLOOKUP($B737,'Mahawesran Tariff'!$A$21:$M$120,3)*'Comparator (DET)'!$CY737)+(VLOOKUP($B737,'Mahawesran Tariff'!$A$21:$M$120,2)*'Comparator (DET)'!$CZ737)+(VLOOKUP($B737,'Mahawesran Tariff'!$A$21:$M$120,7)*'Comparator (DET)'!$DF737)+(VLOOKUP($B737,'Mahawesran Tariff'!$A$21:$M$120,6)*'Comparator (DET)'!$DG737)+(VLOOKUP($B737,'Mahawesran Tariff'!$A$21:$M$120,5)*'Comparator (DET)'!$DH737)+(DET_UTIL_chd*('Comparator (DET)'!$DA737+'Comparator (DET)'!$DI737))+(DET_UTIL_copd*('Comparator (DET)'!$DB737+'Comparator (DET)'!$DJ737))+(DET_UTIL_lc*('Comparator (DET)'!$DC737+'Comparator (DET)'!$DK737))+(DET_UTIL_stroke*('Comparator (DET)'!$DD737+'Comparator (DET)'!$DL737)))/((1+Discount_rate_QALYs)^$A737)</f>
        <v>60.058103655760199</v>
      </c>
      <c r="DT737" s="310">
        <f t="shared" ca="1" si="308"/>
        <v>22697.946633484029</v>
      </c>
      <c r="DU737" s="309"/>
      <c r="DV737" s="308">
        <f t="shared" si="278"/>
        <v>71</v>
      </c>
      <c r="DW737" s="318">
        <f t="shared" ca="1" si="324"/>
        <v>138551.8691604831</v>
      </c>
      <c r="DX737" s="319">
        <f t="shared" ca="1" si="309"/>
        <v>8545102.0118496083</v>
      </c>
      <c r="DZ737" s="95">
        <f t="shared" si="280"/>
        <v>71</v>
      </c>
      <c r="EA737" s="268">
        <f t="shared" ca="1" si="318"/>
        <v>0.809362231603729</v>
      </c>
      <c r="EB737" s="268">
        <f t="shared" ca="1" si="319"/>
        <v>0.1906377683962715</v>
      </c>
      <c r="EC737" s="268">
        <f t="shared" ca="1" si="320"/>
        <v>0.30762754920904695</v>
      </c>
      <c r="ED737" s="290">
        <f t="shared" ca="1" si="321"/>
        <v>0.44950179834759485</v>
      </c>
      <c r="EF737" s="95">
        <f t="shared" si="281"/>
        <v>71</v>
      </c>
      <c r="EG737" s="339">
        <f t="shared" ca="1" si="325"/>
        <v>138551.8691604831</v>
      </c>
      <c r="EH737" s="341">
        <f t="shared" ca="1" si="310"/>
        <v>11645233.947705692</v>
      </c>
      <c r="EJ737" s="308">
        <f t="shared" si="283"/>
        <v>71</v>
      </c>
      <c r="EK737" s="318">
        <f t="shared" ca="1" si="284"/>
        <v>138551.8691604831</v>
      </c>
      <c r="EL737" s="319">
        <f t="shared" ca="1" si="311"/>
        <v>8545102.0118496083</v>
      </c>
      <c r="EN737" s="95">
        <f t="shared" si="285"/>
        <v>71</v>
      </c>
      <c r="EO737" s="339">
        <f t="shared" ca="1" si="286"/>
        <v>138551.8691604831</v>
      </c>
      <c r="EP737" s="341">
        <f t="shared" ca="1" si="312"/>
        <v>11645233.947705692</v>
      </c>
    </row>
    <row r="738" spans="1:146" s="266" customFormat="1" x14ac:dyDescent="0.25">
      <c r="A738" s="313">
        <v>72</v>
      </c>
      <c r="B738" s="314">
        <v>72</v>
      </c>
      <c r="C738" s="308">
        <f>VLOOKUP($B738,'Infant adult mortality'!$A$27:$I$128,3)</f>
        <v>6.5094128039908557E-3</v>
      </c>
      <c r="D738" s="309">
        <f t="shared" si="230"/>
        <v>0.27</v>
      </c>
      <c r="E738" s="309">
        <f>VLOOKUP($B738,'Infant pick up smoking rates'!$A$19:$I$104,3)</f>
        <v>0</v>
      </c>
      <c r="F738" s="309">
        <f t="shared" si="231"/>
        <v>0.12520735391307281</v>
      </c>
      <c r="G738" s="309">
        <f t="shared" si="232"/>
        <v>0.59828323328293631</v>
      </c>
      <c r="H738" s="309">
        <f>VLOOKUP($B738,'Infant adult mortality'!$A$27:$I$128,3)</f>
        <v>6.5094128039908557E-3</v>
      </c>
      <c r="I738" s="309">
        <f t="shared" si="233"/>
        <v>0.14000000000000001</v>
      </c>
      <c r="J738" s="309">
        <f>VLOOKUP($B738,'Infant pick up smoking rates'!$A$19:$I$104,2)</f>
        <v>0</v>
      </c>
      <c r="K738" s="309">
        <f t="shared" si="234"/>
        <v>0.12520735391307281</v>
      </c>
      <c r="L738" s="309">
        <f t="shared" si="235"/>
        <v>0.72828323328293632</v>
      </c>
      <c r="M738" s="309">
        <f>VLOOKUP($B738,'Infant adult mortality'!$A$27:$I$128,3)</f>
        <v>6.5094128039908557E-3</v>
      </c>
      <c r="N738" s="309">
        <f t="shared" si="236"/>
        <v>0.5714285714285714</v>
      </c>
      <c r="O738" s="309">
        <f>VLOOKUP($B738,'Infant pick up smoking rates'!$A$19:$I$104,2)</f>
        <v>0</v>
      </c>
      <c r="P738" s="309">
        <f t="shared" si="237"/>
        <v>0.10287956789290895</v>
      </c>
      <c r="Q738" s="309">
        <f t="shared" si="238"/>
        <v>0.31918244787452876</v>
      </c>
      <c r="R738" s="309">
        <f>VLOOKUP($B738,'Infant adult mortality'!$A$27:$I$128,3)</f>
        <v>6.5094128039908557E-3</v>
      </c>
      <c r="S738" s="309">
        <f t="shared" si="239"/>
        <v>8.6261668788331098E-3</v>
      </c>
      <c r="T738" s="309">
        <f>VLOOKUP($B738,'Infant pick up smoking rates'!$A$19:$I$104,2)</f>
        <v>0</v>
      </c>
      <c r="U738" s="309">
        <f t="shared" si="240"/>
        <v>0.10287956789290895</v>
      </c>
      <c r="V738" s="309">
        <f t="shared" si="241"/>
        <v>0.88198485242426705</v>
      </c>
      <c r="W738" s="309">
        <f>VLOOKUP($B738,'Infant adult mortality'!$A$27:$I$128,3)</f>
        <v>6.5094128039908557E-3</v>
      </c>
      <c r="X738" s="309">
        <f>VLOOKUP($B738,'Infant pick up smoking rates'!$A$19:$I$104,2)</f>
        <v>0</v>
      </c>
      <c r="Y738" s="309">
        <f t="shared" si="242"/>
        <v>0.99349058719600913</v>
      </c>
      <c r="Z738" s="309">
        <f>VLOOKUP($B738,'Infant adult mortality'!$A$27:$I$128,5)</f>
        <v>1.2908962100741359E-2</v>
      </c>
      <c r="AA738" s="309">
        <f t="shared" si="313"/>
        <v>0.25</v>
      </c>
      <c r="AB738" s="309">
        <f t="shared" si="244"/>
        <v>0.73709103789925867</v>
      </c>
      <c r="AC738" s="309">
        <f>VLOOKUP($B738,'Infant adult mortality'!$A$27:$I$128,5)</f>
        <v>1.2908962100741359E-2</v>
      </c>
      <c r="AD738" s="309">
        <f t="shared" si="314"/>
        <v>0.14000000000000001</v>
      </c>
      <c r="AE738" s="309">
        <f t="shared" si="246"/>
        <v>0.84709103789925866</v>
      </c>
      <c r="AF738" s="309">
        <f>VLOOKUP($B738,'Infant adult mortality'!$A$27:$I$128,4)</f>
        <v>8.6792170719878093E-3</v>
      </c>
      <c r="AG738" s="309">
        <f t="shared" si="315"/>
        <v>0.5714285714285714</v>
      </c>
      <c r="AH738" s="309">
        <f t="shared" si="248"/>
        <v>0.41989221149944078</v>
      </c>
      <c r="AI738" s="309">
        <f>VLOOKUP($B738,'Infant adult mortality'!$A$27:$I$128,4)</f>
        <v>8.6792170719878093E-3</v>
      </c>
      <c r="AJ738" s="309">
        <f t="shared" si="316"/>
        <v>8.6261668788331098E-3</v>
      </c>
      <c r="AK738" s="309">
        <f t="shared" si="250"/>
        <v>0.98269461604917907</v>
      </c>
      <c r="AL738" s="309"/>
      <c r="AM738" s="315">
        <f t="shared" si="287"/>
        <v>10.067579275324949</v>
      </c>
      <c r="AN738" s="316">
        <f t="shared" si="288"/>
        <v>3.1568776125759941</v>
      </c>
      <c r="AO738" s="316">
        <f t="shared" si="289"/>
        <v>0.50753795360147336</v>
      </c>
      <c r="AP738" s="316">
        <f t="shared" si="290"/>
        <v>25.6946126466697</v>
      </c>
      <c r="AQ738" s="316">
        <f t="shared" si="291"/>
        <v>111.98987763763894</v>
      </c>
      <c r="AR738" s="316">
        <f t="shared" si="292"/>
        <v>99.346532296261202</v>
      </c>
      <c r="AS738" s="316">
        <f t="shared" si="293"/>
        <v>25.374296267852159</v>
      </c>
      <c r="AT738" s="316">
        <f t="shared" si="294"/>
        <v>3.6262936653578235</v>
      </c>
      <c r="AU738" s="316">
        <f t="shared" si="295"/>
        <v>120.51086513196857</v>
      </c>
      <c r="AV738" s="316">
        <f t="shared" si="296"/>
        <v>109.72552751274905</v>
      </c>
      <c r="AW738" s="317">
        <f t="shared" si="251"/>
        <v>509.99999999999989</v>
      </c>
      <c r="AX738" s="309"/>
      <c r="AY738" s="308">
        <f>VLOOKUP($B738,'Infant adult mortality'!$A$134:$I$234,3)</f>
        <v>4.4719320307628355E-3</v>
      </c>
      <c r="AZ738" s="309">
        <f t="shared" si="252"/>
        <v>0.27</v>
      </c>
      <c r="BA738" s="309">
        <f ca="1">VLOOKUP($B738,'Infant pick up smoking rates'!$A$19:$I$104,7)</f>
        <v>0</v>
      </c>
      <c r="BB738" s="309">
        <f t="shared" si="253"/>
        <v>0.12520735391307281</v>
      </c>
      <c r="BC738" s="309">
        <f t="shared" ca="1" si="254"/>
        <v>0.60032071405616438</v>
      </c>
      <c r="BD738" s="309">
        <f>VLOOKUP($B738,'Infant adult mortality'!$A$134:$I$234,3)</f>
        <v>4.4719320307628355E-3</v>
      </c>
      <c r="BE738" s="309">
        <f t="shared" si="255"/>
        <v>0.14000000000000001</v>
      </c>
      <c r="BF738" s="309">
        <f>VLOOKUP($B738,'Infant pick up smoking rates'!$A$19:$I$104,6)</f>
        <v>0</v>
      </c>
      <c r="BG738" s="309">
        <f t="shared" si="256"/>
        <v>0.12520735391307281</v>
      </c>
      <c r="BH738" s="309">
        <f t="shared" si="257"/>
        <v>0.73032071405616439</v>
      </c>
      <c r="BI738" s="309">
        <f>VLOOKUP($B738,'Infant adult mortality'!$A$134:$I$234,3)</f>
        <v>4.4719320307628355E-3</v>
      </c>
      <c r="BJ738" s="309">
        <f t="shared" si="258"/>
        <v>0.5714285714285714</v>
      </c>
      <c r="BK738" s="309">
        <f>VLOOKUP($B738,'Infant pick up smoking rates'!$A$19:$I$104,6)</f>
        <v>0</v>
      </c>
      <c r="BL738" s="309">
        <f t="shared" si="259"/>
        <v>0.10287956789290895</v>
      </c>
      <c r="BM738" s="309">
        <f t="shared" si="260"/>
        <v>0.32121992864775678</v>
      </c>
      <c r="BN738" s="309">
        <f>VLOOKUP($B738,'Infant adult mortality'!$A$134:$I$234,3)</f>
        <v>4.4719320307628355E-3</v>
      </c>
      <c r="BO738" s="309">
        <f t="shared" si="261"/>
        <v>8.6261668788331098E-3</v>
      </c>
      <c r="BP738" s="309">
        <f>VLOOKUP($B738,'Infant pick up smoking rates'!$A$19:$I$104,6)</f>
        <v>0</v>
      </c>
      <c r="BQ738" s="309">
        <f t="shared" si="262"/>
        <v>0.10287956789290895</v>
      </c>
      <c r="BR738" s="309">
        <f t="shared" si="263"/>
        <v>0.88402233319749512</v>
      </c>
      <c r="BS738" s="309">
        <f>VLOOKUP($B738,'Infant adult mortality'!$A$134:$I$234,3)</f>
        <v>4.4719320307628355E-3</v>
      </c>
      <c r="BT738" s="309">
        <f>VLOOKUP($B738,'Infant pick up smoking rates'!$A$19:$I$104,6)</f>
        <v>0</v>
      </c>
      <c r="BU738" s="309">
        <f t="shared" si="264"/>
        <v>0.99552806796923721</v>
      </c>
      <c r="BV738" s="309">
        <f>VLOOKUP($B738,'Infant adult mortality'!$A$134:$I$234,5)</f>
        <v>8.868388415436846E-3</v>
      </c>
      <c r="BW738" s="309">
        <f t="shared" si="322"/>
        <v>0.27</v>
      </c>
      <c r="BX738" s="309">
        <f t="shared" si="266"/>
        <v>0.72113161158456318</v>
      </c>
      <c r="BY738" s="309">
        <f>VLOOKUP($B738,'Infant adult mortality'!$A$134:$I$234,5)</f>
        <v>8.868388415436846E-3</v>
      </c>
      <c r="BZ738" s="309">
        <f t="shared" si="267"/>
        <v>0.14000000000000001</v>
      </c>
      <c r="CA738" s="309">
        <f t="shared" si="268"/>
        <v>0.85113161158456319</v>
      </c>
      <c r="CB738" s="309">
        <f>VLOOKUP($B738,'Infant adult mortality'!$A$134:$I$234,4)</f>
        <v>5.9625760410171149E-3</v>
      </c>
      <c r="CC738" s="309">
        <f t="shared" si="269"/>
        <v>0.5714285714285714</v>
      </c>
      <c r="CD738" s="309">
        <f t="shared" si="270"/>
        <v>0.42260885253041147</v>
      </c>
      <c r="CE738" s="309">
        <f>VLOOKUP($B738,'Infant adult mortality'!$A$134:$I$234,4)</f>
        <v>5.9625760410171149E-3</v>
      </c>
      <c r="CF738" s="309">
        <f t="shared" si="271"/>
        <v>8.6261668788331098E-3</v>
      </c>
      <c r="CG738" s="309">
        <f t="shared" si="272"/>
        <v>0.98541125708014976</v>
      </c>
      <c r="CH738" s="309"/>
      <c r="CI738" s="315">
        <f t="shared" ca="1" si="297"/>
        <v>13.832640921723154</v>
      </c>
      <c r="CJ738" s="316">
        <f t="shared" ca="1" si="298"/>
        <v>4.3274750840992251</v>
      </c>
      <c r="CK738" s="316">
        <f t="shared" ca="1" si="299"/>
        <v>0.69427317264796273</v>
      </c>
      <c r="CL738" s="316">
        <f t="shared" ca="1" si="300"/>
        <v>34.909773644587752</v>
      </c>
      <c r="CM738" s="316">
        <f t="shared" ca="1" si="301"/>
        <v>152.7599843670113</v>
      </c>
      <c r="CN738" s="316">
        <f t="shared" ca="1" si="302"/>
        <v>75.521788906716907</v>
      </c>
      <c r="CO738" s="316">
        <f t="shared" ca="1" si="303"/>
        <v>20.75727987725287</v>
      </c>
      <c r="CP738" s="316">
        <f t="shared" ca="1" si="304"/>
        <v>2.956703199760919</v>
      </c>
      <c r="CQ738" s="316">
        <f t="shared" ca="1" si="305"/>
        <v>97.220766140312918</v>
      </c>
      <c r="CR738" s="316">
        <f t="shared" ca="1" si="306"/>
        <v>87.019314685887664</v>
      </c>
      <c r="CS738" s="317">
        <f t="shared" ca="1" si="273"/>
        <v>490.00000000000063</v>
      </c>
      <c r="CT738" s="309"/>
      <c r="CU738" s="309">
        <f t="shared" ca="1" si="274"/>
        <v>1000.0000000000005</v>
      </c>
      <c r="CV738" s="309" t="str">
        <f t="shared" ca="1" si="317"/>
        <v>OKAY</v>
      </c>
      <c r="CW738" s="309"/>
      <c r="CX738" s="315">
        <f>(SUM($AR738:$AS738))-((SUM($AR738:$AS738)*VLOOKUP($B738,Lifetime_morbidity_array!$A$30:$Y$48,4))+(SUM($AR738:$AS738)*VLOOKUP($B738,Lifetime_morbidity_array!$A$30:$Y$48,7))+(SUM($AR738:$AS738)*VLOOKUP($B738,Lifetime_morbidity_array!$A$30:$Y$48,10))+(SUM($AR738:$AS738)*VLOOKUP($B738,Lifetime_morbidity_array!$A$30:$Y$48,13)))</f>
        <v>18.134662312234141</v>
      </c>
      <c r="CY738" s="316">
        <f>(SUM($AT738:$AU738))-((SUM($AT738:$AU738)*(VLOOKUP($B738,Lifetime_morbidity_array!$A$30:$Y$48,3)))+(SUM($AT738:$AU738)*(VLOOKUP($B738,Lifetime_morbidity_array!$A$30:$Y$48,6)))+(SUM($AT738:$AU738)*(VLOOKUP($B738,Lifetime_morbidity_array!$A$30:$Y$48,9)))+(SUM($AT738:$AU738)*(VLOOKUP($B738,Lifetime_morbidity_array!$A$30:$Y$48,12))))</f>
        <v>76.052825131084859</v>
      </c>
      <c r="CZ738" s="316">
        <f>(SUM($AM738:$AQ738))-((SUM($AM738:$AQ738)*VLOOKUP($B738,Lifetime_morbidity_array!$A$30:$Y$48,2))+(SUM($AM738:$AQ738)*VLOOKUP($B738,Lifetime_morbidity_array!$A$30:$Y$48,5))+(SUM($AM738:$AQ738)*VLOOKUP($B738,Lifetime_morbidity_array!$A$30:$Y$48,8))+(SUM($AM738:$AQ738)*VLOOKUP($B738,Lifetime_morbidity_array!$A$30:$Y$48,11)))</f>
        <v>119.54291424214571</v>
      </c>
      <c r="DA738" s="316">
        <f>(SUM($AM738:$AQ738)*VLOOKUP($B738,Lifetime_morbidity_array!$A$30:$Y$48,2))+(SUM($AR738:$AS738)*VLOOKUP($B738,Lifetime_morbidity_array!$A$30:$Y$48,4))+(SUM($AT738:$AU738)*(VLOOKUP($B738,Lifetime_morbidity_array!$A$30:$Y$48,3)))</f>
        <v>98.175136674044268</v>
      </c>
      <c r="DB738" s="316">
        <f>(SUM($AM738:$AQ738)*VLOOKUP($B738,Lifetime_morbidity_array!$A$30:$Y$48,5))+(SUM($AR738:$AS738)*VLOOKUP($B738,Lifetime_morbidity_array!$A$30:$Y$48,7))+(SUM($AT738:$AU738)*(VLOOKUP($B738,Lifetime_morbidity_array!$A$30:$Y$48,6)))</f>
        <v>50.438843206201746</v>
      </c>
      <c r="DC738" s="316">
        <f>(SUM($AM738:$AQ738)*VLOOKUP($B738,Lifetime_morbidity_array!$A$30:$Y$48,8))+(SUM($AR738:$AS738)*VLOOKUP($B738,Lifetime_morbidity_array!$A$30:$Y$48,10))+(SUM($AT738:$AU738)*(VLOOKUP($B738,Lifetime_morbidity_array!$A$30:$Y$48,9)))</f>
        <v>5.101570864716388</v>
      </c>
      <c r="DD738" s="317">
        <f>(SUM($AM738:$AQ738)*VLOOKUP($B738,Lifetime_morbidity_array!$A$30:$Y$48,11))+(SUM($AR738:$AS738)*VLOOKUP($B738,Lifetime_morbidity_array!$A$30:$Y$48,13))+(SUM($AT738:$AU738)*(VLOOKUP($B738,Lifetime_morbidity_array!$A$30:$Y$48,12)))</f>
        <v>32.828520056823699</v>
      </c>
      <c r="DE738" s="309"/>
      <c r="DF738" s="315">
        <f ca="1">(SUM($CN738:$CO738))-((SUM($CN738:$CO738)*VLOOKUP($B738,Lifetime_morbidity_array!$A$6:$Y$24,4))+(SUM($CN738:$CO738)*VLOOKUP($B738,Lifetime_morbidity_array!$A$6:$Y$24,7))+(SUM($CN738:$CO738)*VLOOKUP($B738,Lifetime_morbidity_array!$A$6:$Y$24,10))+(SUM($CN738:$CO738)*VLOOKUP($B738,Lifetime_morbidity_array!$A$6:$Y$24,13)))</f>
        <v>33.462370033221006</v>
      </c>
      <c r="DG738" s="316">
        <f ca="1">(SUM($CP738:$CQ738))-(((SUM($CP738:$CQ738)*VLOOKUP($B738,Lifetime_morbidity_array!$A$6:$Y$24,3))+(SUM($CP738:$CQ738)*VLOOKUP($B738,Lifetime_morbidity_array!$A$6:$Y$24,6))+(SUM($CP738:$CQ738)*VLOOKUP($B738,Lifetime_morbidity_array!$A$6:$Y$24,9))+(SUM($CP738:$CQ738)*VLOOKUP($B738,Lifetime_morbidity_array!$A$6:$Y$24,12))))</f>
        <v>70.944017214665962</v>
      </c>
      <c r="DH738" s="316">
        <f ca="1">(SUM($CI738:$CM738))-((SUM($CI738:$CM738)*VLOOKUP($B738,Lifetime_morbidity_array!$A$6:$Y$24,2))+(SUM($CI738:$CM738)*VLOOKUP($B738,Lifetime_morbidity_array!$A$6:$Y$24,5))+(SUM($CI738:$CM738)*VLOOKUP($B738,Lifetime_morbidity_array!$A$6:$Y$24,8))+(SUM($CI738:$CM738)*VLOOKUP($B738,Lifetime_morbidity_array!$A$6:$Y$24,11)))</f>
        <v>181.16699690683646</v>
      </c>
      <c r="DI738" s="316">
        <f ca="1">(SUM($CI738:$CM738)*VLOOKUP($B738,Lifetime_morbidity_array!$A$6:$Y$24,2))+(SUM($CN738:$CO738)*VLOOKUP($B738,Lifetime_morbidity_array!$A$6:$Y$24,4))+(SUM($CP738:$CQ738)*VLOOKUP($B738,Lifetime_morbidity_array!$A$6:$Y$24,3))</f>
        <v>52.733527588598598</v>
      </c>
      <c r="DJ738" s="316">
        <f ca="1">(SUM($CI738:$CM738)*VLOOKUP($B738,Lifetime_morbidity_array!$A$6:$Y$24,5))+(SUM($CN738:$CO738)*VLOOKUP($B738,Lifetime_morbidity_array!$A$6:$Y$24,7))+(SUM($CP738:$CQ738)*VLOOKUP($B738,Lifetime_morbidity_array!$A$6:$Y$24,6))</f>
        <v>42.505333848235736</v>
      </c>
      <c r="DK738" s="316">
        <f ca="1">(SUM($CI738:$CM738)*VLOOKUP($B738,Lifetime_morbidity_array!$A$6:$Y$24,8))+(SUM($CN738:$CO738)*VLOOKUP($B738,Lifetime_morbidity_array!$A$6:$Y$24,10))+(SUM($CP738:$CQ738)*VLOOKUP($B738,Lifetime_morbidity_array!$A$6:$Y$24,9))</f>
        <v>1.9070963322517702</v>
      </c>
      <c r="DL738" s="317">
        <f ca="1">(SUM($CI738:$CM738)*VLOOKUP($B738,Lifetime_morbidity_array!$A$6:$Y$24,11))+(SUM($CN738:$CO738)*VLOOKUP($B738,Lifetime_morbidity_array!$A$6:$Y$24,13))+(SUM($CP738:$CQ738)*VLOOKUP($B738,Lifetime_morbidity_array!$A$6:$Y$24,12))</f>
        <v>20.26134339030348</v>
      </c>
      <c r="DM738" s="309"/>
      <c r="DN738" s="308">
        <f t="shared" si="275"/>
        <v>72</v>
      </c>
      <c r="DO738" s="309">
        <f t="shared" ca="1" si="323"/>
        <v>67.475845911650339</v>
      </c>
      <c r="DP738" s="310">
        <f t="shared" ca="1" si="307"/>
        <v>23114.546782060585</v>
      </c>
      <c r="DQ738" s="309"/>
      <c r="DR738" s="308">
        <f t="shared" si="277"/>
        <v>72</v>
      </c>
      <c r="DS738" s="309">
        <f ca="1">((VLOOKUP($B738,'Mahawesran Tariff'!$A$21:$M$120,4)*'Comparator (DET)'!$CX738)+(VLOOKUP($B738,'Mahawesran Tariff'!$A$21:$M$120,3)*'Comparator (DET)'!$CY738)+(VLOOKUP($B738,'Mahawesran Tariff'!$A$21:$M$120,2)*'Comparator (DET)'!$CZ738)+(VLOOKUP($B738,'Mahawesran Tariff'!$A$21:$M$120,7)*'Comparator (DET)'!$DF738)+(VLOOKUP($B738,'Mahawesran Tariff'!$A$21:$M$120,6)*'Comparator (DET)'!$DG738)+(VLOOKUP($B738,'Mahawesran Tariff'!$A$21:$M$120,5)*'Comparator (DET)'!$DH738)+(DET_UTIL_chd*('Comparator (DET)'!$DA738+'Comparator (DET)'!$DI738))+(DET_UTIL_copd*('Comparator (DET)'!$DB738+'Comparator (DET)'!$DJ738))+(DET_UTIL_lc*('Comparator (DET)'!$DC738+'Comparator (DET)'!$DK738))+(DET_UTIL_stroke*('Comparator (DET)'!$DD738+'Comparator (DET)'!$DL738)))/((1+Discount_rate_QALYs)^$A738)</f>
        <v>57.613185930722096</v>
      </c>
      <c r="DT738" s="310">
        <f t="shared" ca="1" si="308"/>
        <v>22755.55981941475</v>
      </c>
      <c r="DU738" s="309"/>
      <c r="DV738" s="308">
        <f t="shared" si="278"/>
        <v>72</v>
      </c>
      <c r="DW738" s="318">
        <f t="shared" ca="1" si="324"/>
        <v>132406.83357202457</v>
      </c>
      <c r="DX738" s="319">
        <f t="shared" ca="1" si="309"/>
        <v>8677508.8454216328</v>
      </c>
      <c r="DZ738" s="95">
        <f t="shared" si="280"/>
        <v>72</v>
      </c>
      <c r="EA738" s="268">
        <f t="shared" ca="1" si="318"/>
        <v>0.80325515780136381</v>
      </c>
      <c r="EB738" s="268">
        <f t="shared" ca="1" si="319"/>
        <v>0.19674484219863672</v>
      </c>
      <c r="EC738" s="268">
        <f t="shared" ca="1" si="320"/>
        <v>0.30395137196117566</v>
      </c>
      <c r="ED738" s="290">
        <f t="shared" ca="1" si="321"/>
        <v>0.44531452548548339</v>
      </c>
      <c r="EF738" s="95">
        <f t="shared" si="281"/>
        <v>72</v>
      </c>
      <c r="EG738" s="339">
        <f t="shared" ca="1" si="325"/>
        <v>132406.83357202457</v>
      </c>
      <c r="EH738" s="341">
        <f t="shared" ca="1" si="310"/>
        <v>11777640.781277716</v>
      </c>
      <c r="EJ738" s="308">
        <f t="shared" si="283"/>
        <v>72</v>
      </c>
      <c r="EK738" s="318">
        <f t="shared" ca="1" si="284"/>
        <v>132406.83357202457</v>
      </c>
      <c r="EL738" s="319">
        <f t="shared" ca="1" si="311"/>
        <v>8677508.8454216328</v>
      </c>
      <c r="EN738" s="95">
        <f t="shared" si="285"/>
        <v>72</v>
      </c>
      <c r="EO738" s="339">
        <f t="shared" ca="1" si="286"/>
        <v>132406.83357202457</v>
      </c>
      <c r="EP738" s="341">
        <f t="shared" ca="1" si="312"/>
        <v>11777640.781277716</v>
      </c>
    </row>
    <row r="739" spans="1:146" s="266" customFormat="1" x14ac:dyDescent="0.25">
      <c r="A739" s="313">
        <v>73</v>
      </c>
      <c r="B739" s="314">
        <v>73</v>
      </c>
      <c r="C739" s="308">
        <f>VLOOKUP($B739,'Infant adult mortality'!$A$27:$I$128,3)</f>
        <v>7.0567148202037014E-3</v>
      </c>
      <c r="D739" s="309">
        <f t="shared" si="230"/>
        <v>0.27</v>
      </c>
      <c r="E739" s="309">
        <f>VLOOKUP($B739,'Infant pick up smoking rates'!$A$19:$I$104,3)</f>
        <v>0</v>
      </c>
      <c r="F739" s="309">
        <f t="shared" si="231"/>
        <v>0.13518062059547492</v>
      </c>
      <c r="G739" s="309">
        <f t="shared" si="232"/>
        <v>0.58776266458432147</v>
      </c>
      <c r="H739" s="309">
        <f>VLOOKUP($B739,'Infant adult mortality'!$A$27:$I$128,3)</f>
        <v>7.0567148202037014E-3</v>
      </c>
      <c r="I739" s="309">
        <f t="shared" si="233"/>
        <v>0.14000000000000001</v>
      </c>
      <c r="J739" s="309">
        <f>VLOOKUP($B739,'Infant pick up smoking rates'!$A$19:$I$104,2)</f>
        <v>0</v>
      </c>
      <c r="K739" s="309">
        <f t="shared" si="234"/>
        <v>0.13518062059547492</v>
      </c>
      <c r="L739" s="309">
        <f t="shared" si="235"/>
        <v>0.71776266458432147</v>
      </c>
      <c r="M739" s="309">
        <f>VLOOKUP($B739,'Infant adult mortality'!$A$27:$I$128,3)</f>
        <v>7.0567148202037014E-3</v>
      </c>
      <c r="N739" s="309">
        <f t="shared" si="236"/>
        <v>0.5714285714285714</v>
      </c>
      <c r="O739" s="309">
        <f>VLOOKUP($B739,'Infant pick up smoking rates'!$A$19:$I$104,2)</f>
        <v>0</v>
      </c>
      <c r="P739" s="309">
        <f t="shared" si="237"/>
        <v>0.11107433708736557</v>
      </c>
      <c r="Q739" s="309">
        <f t="shared" si="238"/>
        <v>0.31044037666385932</v>
      </c>
      <c r="R739" s="309">
        <f>VLOOKUP($B739,'Infant adult mortality'!$A$27:$I$128,3)</f>
        <v>7.0567148202037014E-3</v>
      </c>
      <c r="S739" s="309">
        <f t="shared" si="239"/>
        <v>8.6261668788331098E-3</v>
      </c>
      <c r="T739" s="309">
        <f>VLOOKUP($B739,'Infant pick up smoking rates'!$A$19:$I$104,2)</f>
        <v>0</v>
      </c>
      <c r="U739" s="309">
        <f t="shared" si="240"/>
        <v>0.11107433708736557</v>
      </c>
      <c r="V739" s="309">
        <f t="shared" si="241"/>
        <v>0.87324278121359766</v>
      </c>
      <c r="W739" s="309">
        <f>VLOOKUP($B739,'Infant adult mortality'!$A$27:$I$128,3)</f>
        <v>7.0567148202037014E-3</v>
      </c>
      <c r="X739" s="309">
        <f>VLOOKUP($B739,'Infant pick up smoking rates'!$A$19:$I$104,2)</f>
        <v>0</v>
      </c>
      <c r="Y739" s="309">
        <f t="shared" si="242"/>
        <v>0.99294328517979635</v>
      </c>
      <c r="Z739" s="309">
        <f>VLOOKUP($B739,'Infant adult mortality'!$A$27:$I$128,5)</f>
        <v>1.3994328968336455E-2</v>
      </c>
      <c r="AA739" s="309">
        <f t="shared" si="313"/>
        <v>0.25</v>
      </c>
      <c r="AB739" s="309">
        <f t="shared" si="244"/>
        <v>0.73600567103166359</v>
      </c>
      <c r="AC739" s="309">
        <f>VLOOKUP($B739,'Infant adult mortality'!$A$27:$I$128,5)</f>
        <v>1.3994328968336455E-2</v>
      </c>
      <c r="AD739" s="309">
        <f t="shared" si="314"/>
        <v>0.14000000000000001</v>
      </c>
      <c r="AE739" s="309">
        <f t="shared" si="246"/>
        <v>0.84600567103166358</v>
      </c>
      <c r="AF739" s="309">
        <f>VLOOKUP($B739,'Infant adult mortality'!$A$27:$I$128,4)</f>
        <v>9.4089530936049357E-3</v>
      </c>
      <c r="AG739" s="309">
        <f t="shared" si="315"/>
        <v>0.5714285714285714</v>
      </c>
      <c r="AH739" s="309">
        <f t="shared" si="248"/>
        <v>0.41916247547782365</v>
      </c>
      <c r="AI739" s="309">
        <f>VLOOKUP($B739,'Infant adult mortality'!$A$27:$I$128,4)</f>
        <v>9.4089530936049357E-3</v>
      </c>
      <c r="AJ739" s="309">
        <f t="shared" si="316"/>
        <v>8.6261668788331098E-3</v>
      </c>
      <c r="AK739" s="309">
        <f t="shared" si="250"/>
        <v>0.98196488002756199</v>
      </c>
      <c r="AL739" s="309"/>
      <c r="AM739" s="315">
        <f t="shared" si="287"/>
        <v>8.5624423978124149</v>
      </c>
      <c r="AN739" s="316">
        <f t="shared" si="288"/>
        <v>2.7182464043377363</v>
      </c>
      <c r="AO739" s="316">
        <f t="shared" si="289"/>
        <v>0.4419628657606392</v>
      </c>
      <c r="AP739" s="316">
        <f t="shared" si="290"/>
        <v>22.727656697556199</v>
      </c>
      <c r="AQ739" s="316">
        <f t="shared" si="291"/>
        <v>115.8976738057336</v>
      </c>
      <c r="AR739" s="316">
        <f t="shared" si="292"/>
        <v>97.145962771340905</v>
      </c>
      <c r="AS739" s="316">
        <f t="shared" si="293"/>
        <v>24.836633074065301</v>
      </c>
      <c r="AT739" s="316">
        <f t="shared" si="294"/>
        <v>3.5524014774993025</v>
      </c>
      <c r="AU739" s="316">
        <f t="shared" si="295"/>
        <v>120.40960503010713</v>
      </c>
      <c r="AV739" s="316">
        <f t="shared" si="296"/>
        <v>113.70741547578665</v>
      </c>
      <c r="AW739" s="317">
        <f t="shared" si="251"/>
        <v>509.99999999999983</v>
      </c>
      <c r="AX739" s="309"/>
      <c r="AY739" s="308">
        <f>VLOOKUP($B739,'Infant adult mortality'!$A$134:$I$234,3)</f>
        <v>4.8525639160257742E-3</v>
      </c>
      <c r="AZ739" s="309">
        <f t="shared" si="252"/>
        <v>0.27</v>
      </c>
      <c r="BA739" s="309">
        <f ca="1">VLOOKUP($B739,'Infant pick up smoking rates'!$A$19:$I$104,7)</f>
        <v>0</v>
      </c>
      <c r="BB739" s="309">
        <f t="shared" si="253"/>
        <v>0.13518062059547492</v>
      </c>
      <c r="BC739" s="309">
        <f t="shared" ca="1" si="254"/>
        <v>0.58996681548849939</v>
      </c>
      <c r="BD739" s="309">
        <f>VLOOKUP($B739,'Infant adult mortality'!$A$134:$I$234,3)</f>
        <v>4.8525639160257742E-3</v>
      </c>
      <c r="BE739" s="309">
        <f t="shared" si="255"/>
        <v>0.14000000000000001</v>
      </c>
      <c r="BF739" s="309">
        <f>VLOOKUP($B739,'Infant pick up smoking rates'!$A$19:$I$104,6)</f>
        <v>0</v>
      </c>
      <c r="BG739" s="309">
        <f t="shared" si="256"/>
        <v>0.13518062059547492</v>
      </c>
      <c r="BH739" s="309">
        <f t="shared" si="257"/>
        <v>0.71996681548849939</v>
      </c>
      <c r="BI739" s="309">
        <f>VLOOKUP($B739,'Infant adult mortality'!$A$134:$I$234,3)</f>
        <v>4.8525639160257742E-3</v>
      </c>
      <c r="BJ739" s="309">
        <f t="shared" si="258"/>
        <v>0.5714285714285714</v>
      </c>
      <c r="BK739" s="309">
        <f>VLOOKUP($B739,'Infant pick up smoking rates'!$A$19:$I$104,6)</f>
        <v>0</v>
      </c>
      <c r="BL739" s="309">
        <f t="shared" si="259"/>
        <v>0.11107433708736557</v>
      </c>
      <c r="BM739" s="309">
        <f t="shared" si="260"/>
        <v>0.31264452756803723</v>
      </c>
      <c r="BN739" s="309">
        <f>VLOOKUP($B739,'Infant adult mortality'!$A$134:$I$234,3)</f>
        <v>4.8525639160257742E-3</v>
      </c>
      <c r="BO739" s="309">
        <f t="shared" si="261"/>
        <v>8.6261668788331098E-3</v>
      </c>
      <c r="BP739" s="309">
        <f>VLOOKUP($B739,'Infant pick up smoking rates'!$A$19:$I$104,6)</f>
        <v>0</v>
      </c>
      <c r="BQ739" s="309">
        <f t="shared" si="262"/>
        <v>0.11107433708736557</v>
      </c>
      <c r="BR739" s="309">
        <f t="shared" si="263"/>
        <v>0.87544693211777558</v>
      </c>
      <c r="BS739" s="309">
        <f>VLOOKUP($B739,'Infant adult mortality'!$A$134:$I$234,3)</f>
        <v>4.8525639160257742E-3</v>
      </c>
      <c r="BT739" s="309">
        <f>VLOOKUP($B739,'Infant pick up smoking rates'!$A$19:$I$104,6)</f>
        <v>0</v>
      </c>
      <c r="BU739" s="309">
        <f t="shared" si="264"/>
        <v>0.99514743608397427</v>
      </c>
      <c r="BV739" s="309">
        <f>VLOOKUP($B739,'Infant adult mortality'!$A$134:$I$234,5)</f>
        <v>9.6232280191228432E-3</v>
      </c>
      <c r="BW739" s="309">
        <f t="shared" si="322"/>
        <v>0.27</v>
      </c>
      <c r="BX739" s="309">
        <f t="shared" si="266"/>
        <v>0.72037677198087713</v>
      </c>
      <c r="BY739" s="309">
        <f>VLOOKUP($B739,'Infant adult mortality'!$A$134:$I$234,5)</f>
        <v>9.6232280191228432E-3</v>
      </c>
      <c r="BZ739" s="309">
        <f t="shared" si="267"/>
        <v>0.14000000000000001</v>
      </c>
      <c r="CA739" s="309">
        <f t="shared" si="268"/>
        <v>0.85037677198087713</v>
      </c>
      <c r="CB739" s="309">
        <f>VLOOKUP($B739,'Infant adult mortality'!$A$134:$I$234,4)</f>
        <v>6.4700852213676998E-3</v>
      </c>
      <c r="CC739" s="309">
        <f t="shared" si="269"/>
        <v>0.5714285714285714</v>
      </c>
      <c r="CD739" s="309">
        <f t="shared" si="270"/>
        <v>0.42210134335006089</v>
      </c>
      <c r="CE739" s="309">
        <f>VLOOKUP($B739,'Infant adult mortality'!$A$134:$I$234,4)</f>
        <v>6.4700852213676998E-3</v>
      </c>
      <c r="CF739" s="309">
        <f t="shared" si="271"/>
        <v>8.6261668788331098E-3</v>
      </c>
      <c r="CG739" s="309">
        <f t="shared" si="272"/>
        <v>0.98490374789979918</v>
      </c>
      <c r="CH739" s="309"/>
      <c r="CI739" s="315">
        <f t="shared" ca="1" si="297"/>
        <v>11.794635811015842</v>
      </c>
      <c r="CJ739" s="316">
        <f t="shared" ca="1" si="298"/>
        <v>3.7348130488652518</v>
      </c>
      <c r="CK739" s="316">
        <f t="shared" ca="1" si="299"/>
        <v>0.60584651177389159</v>
      </c>
      <c r="CL739" s="316">
        <f t="shared" ca="1" si="300"/>
        <v>30.958381765307735</v>
      </c>
      <c r="CM739" s="316">
        <f t="shared" ca="1" si="301"/>
        <v>158.42829842866414</v>
      </c>
      <c r="CN739" s="316">
        <f t="shared" ca="1" si="302"/>
        <v>74.14232210928472</v>
      </c>
      <c r="CO739" s="316">
        <f t="shared" ca="1" si="303"/>
        <v>20.390883004813567</v>
      </c>
      <c r="CP739" s="316">
        <f t="shared" ca="1" si="304"/>
        <v>2.9060191828154021</v>
      </c>
      <c r="CQ739" s="316">
        <f t="shared" ca="1" si="305"/>
        <v>97.442641630861758</v>
      </c>
      <c r="CR739" s="316">
        <f t="shared" ca="1" si="306"/>
        <v>89.596158506598371</v>
      </c>
      <c r="CS739" s="317">
        <f t="shared" ca="1" si="273"/>
        <v>490.00000000000074</v>
      </c>
      <c r="CT739" s="309"/>
      <c r="CU739" s="309">
        <f t="shared" ca="1" si="274"/>
        <v>1000.0000000000006</v>
      </c>
      <c r="CV739" s="309" t="str">
        <f t="shared" ca="1" si="317"/>
        <v>OKAY</v>
      </c>
      <c r="CW739" s="309"/>
      <c r="CX739" s="315">
        <f>(SUM($AR739:$AS739))-((SUM($AR739:$AS739)*VLOOKUP($B739,Lifetime_morbidity_array!$A$30:$Y$48,4))+(SUM($AR739:$AS739)*VLOOKUP($B739,Lifetime_morbidity_array!$A$30:$Y$48,7))+(SUM($AR739:$AS739)*VLOOKUP($B739,Lifetime_morbidity_array!$A$30:$Y$48,10))+(SUM($AR739:$AS739)*VLOOKUP($B739,Lifetime_morbidity_array!$A$30:$Y$48,13)))</f>
        <v>17.736517701925223</v>
      </c>
      <c r="CY739" s="316">
        <f>(SUM($AT739:$AU739))-((SUM($AT739:$AU739)*(VLOOKUP($B739,Lifetime_morbidity_array!$A$30:$Y$48,3)))+(SUM($AT739:$AU739)*(VLOOKUP($B739,Lifetime_morbidity_array!$A$30:$Y$48,6)))+(SUM($AT739:$AU739)*(VLOOKUP($B739,Lifetime_morbidity_array!$A$30:$Y$48,9)))+(SUM($AT739:$AU739)*(VLOOKUP($B739,Lifetime_morbidity_array!$A$30:$Y$48,12))))</f>
        <v>75.945517805941947</v>
      </c>
      <c r="CZ739" s="316">
        <f>(SUM($AM739:$AQ739))-((SUM($AM739:$AQ739)*VLOOKUP($B739,Lifetime_morbidity_array!$A$30:$Y$48,2))+(SUM($AM739:$AQ739)*VLOOKUP($B739,Lifetime_morbidity_array!$A$30:$Y$48,5))+(SUM($AM739:$AQ739)*VLOOKUP($B739,Lifetime_morbidity_array!$A$30:$Y$48,8))+(SUM($AM739:$AQ739)*VLOOKUP($B739,Lifetime_morbidity_array!$A$30:$Y$48,11)))</f>
        <v>118.69933398756282</v>
      </c>
      <c r="DA739" s="316">
        <f>(SUM($AM739:$AQ739)*VLOOKUP($B739,Lifetime_morbidity_array!$A$30:$Y$48,2))+(SUM($AR739:$AS739)*VLOOKUP($B739,Lifetime_morbidity_array!$A$30:$Y$48,4))+(SUM($AT739:$AU739)*(VLOOKUP($B739,Lifetime_morbidity_array!$A$30:$Y$48,3)))</f>
        <v>96.911690394879514</v>
      </c>
      <c r="DB739" s="316">
        <f>(SUM($AM739:$AQ739)*VLOOKUP($B739,Lifetime_morbidity_array!$A$30:$Y$48,5))+(SUM($AR739:$AS739)*VLOOKUP($B739,Lifetime_morbidity_array!$A$30:$Y$48,7))+(SUM($AT739:$AU739)*(VLOOKUP($B739,Lifetime_morbidity_array!$A$30:$Y$48,6)))</f>
        <v>49.569879746127</v>
      </c>
      <c r="DC739" s="316">
        <f>(SUM($AM739:$AQ739)*VLOOKUP($B739,Lifetime_morbidity_array!$A$30:$Y$48,8))+(SUM($AR739:$AS739)*VLOOKUP($B739,Lifetime_morbidity_array!$A$30:$Y$48,10))+(SUM($AT739:$AU739)*(VLOOKUP($B739,Lifetime_morbidity_array!$A$30:$Y$48,9)))</f>
        <v>5.0138538931813965</v>
      </c>
      <c r="DD739" s="317">
        <f>(SUM($AM739:$AQ739)*VLOOKUP($B739,Lifetime_morbidity_array!$A$30:$Y$48,11))+(SUM($AR739:$AS739)*VLOOKUP($B739,Lifetime_morbidity_array!$A$30:$Y$48,13))+(SUM($AT739:$AU739)*(VLOOKUP($B739,Lifetime_morbidity_array!$A$30:$Y$48,12)))</f>
        <v>32.415790994595341</v>
      </c>
      <c r="DE739" s="309"/>
      <c r="DF739" s="315">
        <f ca="1">(SUM($CN739:$CO739))-((SUM($CN739:$CO739)*VLOOKUP($B739,Lifetime_morbidity_array!$A$6:$Y$24,4))+(SUM($CN739:$CO739)*VLOOKUP($B739,Lifetime_morbidity_array!$A$6:$Y$24,7))+(SUM($CN739:$CO739)*VLOOKUP($B739,Lifetime_morbidity_array!$A$6:$Y$24,10))+(SUM($CN739:$CO739)*VLOOKUP($B739,Lifetime_morbidity_array!$A$6:$Y$24,13)))</f>
        <v>32.855584603255117</v>
      </c>
      <c r="DG739" s="316">
        <f ca="1">(SUM($CP739:$CQ739))-(((SUM($CP739:$CQ739)*VLOOKUP($B739,Lifetime_morbidity_array!$A$6:$Y$24,3))+(SUM($CP739:$CQ739)*VLOOKUP($B739,Lifetime_morbidity_array!$A$6:$Y$24,6))+(SUM($CP739:$CQ739)*VLOOKUP($B739,Lifetime_morbidity_array!$A$6:$Y$24,9))+(SUM($CP739:$CQ739)*VLOOKUP($B739,Lifetime_morbidity_array!$A$6:$Y$24,12))))</f>
        <v>71.065252168296993</v>
      </c>
      <c r="DH739" s="316">
        <f ca="1">(SUM($CI739:$CM739))-((SUM($CI739:$CM739)*VLOOKUP($B739,Lifetime_morbidity_array!$A$6:$Y$24,2))+(SUM($CI739:$CM739)*VLOOKUP($B739,Lifetime_morbidity_array!$A$6:$Y$24,5))+(SUM($CI739:$CM739)*VLOOKUP($B739,Lifetime_morbidity_array!$A$6:$Y$24,8))+(SUM($CI739:$CM739)*VLOOKUP($B739,Lifetime_morbidity_array!$A$6:$Y$24,11)))</f>
        <v>180.28787247487159</v>
      </c>
      <c r="DI739" s="316">
        <f ca="1">(SUM($CI739:$CM739)*VLOOKUP($B739,Lifetime_morbidity_array!$A$6:$Y$24,2))+(SUM($CN739:$CO739)*VLOOKUP($B739,Lifetime_morbidity_array!$A$6:$Y$24,4))+(SUM($CP739:$CQ739)*VLOOKUP($B739,Lifetime_morbidity_array!$A$6:$Y$24,3))</f>
        <v>52.230759338833458</v>
      </c>
      <c r="DJ739" s="316">
        <f ca="1">(SUM($CI739:$CM739)*VLOOKUP($B739,Lifetime_morbidity_array!$A$6:$Y$24,5))+(SUM($CN739:$CO739)*VLOOKUP($B739,Lifetime_morbidity_array!$A$6:$Y$24,7))+(SUM($CP739:$CQ739)*VLOOKUP($B739,Lifetime_morbidity_array!$A$6:$Y$24,6))</f>
        <v>41.996036035751736</v>
      </c>
      <c r="DK739" s="316">
        <f ca="1">(SUM($CI739:$CM739)*VLOOKUP($B739,Lifetime_morbidity_array!$A$6:$Y$24,8))+(SUM($CN739:$CO739)*VLOOKUP($B739,Lifetime_morbidity_array!$A$6:$Y$24,10))+(SUM($CP739:$CQ739)*VLOOKUP($B739,Lifetime_morbidity_array!$A$6:$Y$24,9))</f>
        <v>1.8823123697301822</v>
      </c>
      <c r="DL739" s="317">
        <f ca="1">(SUM($CI739:$CM739)*VLOOKUP($B739,Lifetime_morbidity_array!$A$6:$Y$24,11))+(SUM($CN739:$CO739)*VLOOKUP($B739,Lifetime_morbidity_array!$A$6:$Y$24,13))+(SUM($CP739:$CQ739)*VLOOKUP($B739,Lifetime_morbidity_array!$A$6:$Y$24,12))</f>
        <v>20.086024502663228</v>
      </c>
      <c r="DM739" s="309"/>
      <c r="DN739" s="308">
        <f t="shared" si="275"/>
        <v>73</v>
      </c>
      <c r="DO739" s="309">
        <f t="shared" ca="1" si="323"/>
        <v>64.661732117889571</v>
      </c>
      <c r="DP739" s="310">
        <f t="shared" ca="1" si="307"/>
        <v>23179.208514178474</v>
      </c>
      <c r="DQ739" s="309"/>
      <c r="DR739" s="308">
        <f t="shared" si="277"/>
        <v>73</v>
      </c>
      <c r="DS739" s="309">
        <f ca="1">((VLOOKUP($B739,'Mahawesran Tariff'!$A$21:$M$120,4)*'Comparator (DET)'!$CX739)+(VLOOKUP($B739,'Mahawesran Tariff'!$A$21:$M$120,3)*'Comparator (DET)'!$CY739)+(VLOOKUP($B739,'Mahawesran Tariff'!$A$21:$M$120,2)*'Comparator (DET)'!$CZ739)+(VLOOKUP($B739,'Mahawesran Tariff'!$A$21:$M$120,7)*'Comparator (DET)'!$DF739)+(VLOOKUP($B739,'Mahawesran Tariff'!$A$21:$M$120,6)*'Comparator (DET)'!$DG739)+(VLOOKUP($B739,'Mahawesran Tariff'!$A$21:$M$120,5)*'Comparator (DET)'!$DH739)+(DET_UTIL_chd*('Comparator (DET)'!$DA739+'Comparator (DET)'!$DI739))+(DET_UTIL_copd*('Comparator (DET)'!$DB739+'Comparator (DET)'!$DJ739))+(DET_UTIL_lc*('Comparator (DET)'!$DC739+'Comparator (DET)'!$DK739))+(DET_UTIL_stroke*('Comparator (DET)'!$DD739+'Comparator (DET)'!$DL739)))/((1+Discount_rate_QALYs)^$A739)</f>
        <v>55.233647763539594</v>
      </c>
      <c r="DT739" s="310">
        <f t="shared" ca="1" si="308"/>
        <v>22810.79346717829</v>
      </c>
      <c r="DU739" s="309"/>
      <c r="DV739" s="308">
        <f t="shared" si="278"/>
        <v>73</v>
      </c>
      <c r="DW739" s="318">
        <f t="shared" ca="1" si="324"/>
        <v>126447.25192876092</v>
      </c>
      <c r="DX739" s="319">
        <f t="shared" ca="1" si="309"/>
        <v>8803956.0973503944</v>
      </c>
      <c r="DZ739" s="95">
        <f t="shared" si="280"/>
        <v>73</v>
      </c>
      <c r="EA739" s="268">
        <f t="shared" ca="1" si="318"/>
        <v>0.79669642601761548</v>
      </c>
      <c r="EB739" s="268">
        <f t="shared" ca="1" si="319"/>
        <v>0.20330357398238502</v>
      </c>
      <c r="EC739" s="268">
        <f t="shared" ca="1" si="320"/>
        <v>0.30010634727576185</v>
      </c>
      <c r="ED739" s="290">
        <f t="shared" ca="1" si="321"/>
        <v>0.44082646828078803</v>
      </c>
      <c r="EF739" s="95">
        <f t="shared" si="281"/>
        <v>73</v>
      </c>
      <c r="EG739" s="339">
        <f t="shared" ca="1" si="325"/>
        <v>126447.25192876092</v>
      </c>
      <c r="EH739" s="341">
        <f t="shared" ca="1" si="310"/>
        <v>11904088.033206478</v>
      </c>
      <c r="EJ739" s="308">
        <f t="shared" si="283"/>
        <v>73</v>
      </c>
      <c r="EK739" s="318">
        <f t="shared" ca="1" si="284"/>
        <v>126447.25192876092</v>
      </c>
      <c r="EL739" s="319">
        <f t="shared" ca="1" si="311"/>
        <v>8803956.0973503944</v>
      </c>
      <c r="EN739" s="95">
        <f t="shared" si="285"/>
        <v>73</v>
      </c>
      <c r="EO739" s="339">
        <f t="shared" ca="1" si="286"/>
        <v>126447.25192876092</v>
      </c>
      <c r="EP739" s="341">
        <f t="shared" ca="1" si="312"/>
        <v>11904088.033206478</v>
      </c>
    </row>
    <row r="740" spans="1:146" s="266" customFormat="1" x14ac:dyDescent="0.25">
      <c r="A740" s="313">
        <v>74</v>
      </c>
      <c r="B740" s="314">
        <v>74</v>
      </c>
      <c r="C740" s="308">
        <f>VLOOKUP($B740,'Infant adult mortality'!$A$27:$I$128,3)</f>
        <v>7.6738869257950539E-3</v>
      </c>
      <c r="D740" s="309">
        <f t="shared" si="230"/>
        <v>0.27</v>
      </c>
      <c r="E740" s="309">
        <f>VLOOKUP($B740,'Infant pick up smoking rates'!$A$19:$I$104,3)</f>
        <v>0</v>
      </c>
      <c r="F740" s="309">
        <f t="shared" si="231"/>
        <v>0.14624098391610749</v>
      </c>
      <c r="G740" s="309">
        <f t="shared" si="232"/>
        <v>0.5760851291580974</v>
      </c>
      <c r="H740" s="309">
        <f>VLOOKUP($B740,'Infant adult mortality'!$A$27:$I$128,3)</f>
        <v>7.6738869257950539E-3</v>
      </c>
      <c r="I740" s="309">
        <f t="shared" si="233"/>
        <v>0.14000000000000001</v>
      </c>
      <c r="J740" s="309">
        <f>VLOOKUP($B740,'Infant pick up smoking rates'!$A$19:$I$104,2)</f>
        <v>0</v>
      </c>
      <c r="K740" s="309">
        <f t="shared" si="234"/>
        <v>0.14624098391610749</v>
      </c>
      <c r="L740" s="309">
        <f t="shared" si="235"/>
        <v>0.7060851291580974</v>
      </c>
      <c r="M740" s="309">
        <f>VLOOKUP($B740,'Infant adult mortality'!$A$27:$I$128,3)</f>
        <v>7.6738869257950539E-3</v>
      </c>
      <c r="N740" s="309">
        <f t="shared" si="236"/>
        <v>0.5714285714285714</v>
      </c>
      <c r="O740" s="309">
        <f>VLOOKUP($B740,'Infant pick up smoking rates'!$A$19:$I$104,2)</f>
        <v>0</v>
      </c>
      <c r="P740" s="309">
        <f t="shared" si="237"/>
        <v>0.12016234480898272</v>
      </c>
      <c r="Q740" s="309">
        <f t="shared" si="238"/>
        <v>0.30073519683665084</v>
      </c>
      <c r="R740" s="309">
        <f>VLOOKUP($B740,'Infant adult mortality'!$A$27:$I$128,3)</f>
        <v>7.6738869257950539E-3</v>
      </c>
      <c r="S740" s="309">
        <f t="shared" si="239"/>
        <v>8.6261668788331098E-3</v>
      </c>
      <c r="T740" s="309">
        <f>VLOOKUP($B740,'Infant pick up smoking rates'!$A$19:$I$104,2)</f>
        <v>0</v>
      </c>
      <c r="U740" s="309">
        <f t="shared" si="240"/>
        <v>0.12016234480898272</v>
      </c>
      <c r="V740" s="309">
        <f t="shared" si="241"/>
        <v>0.86353760138638913</v>
      </c>
      <c r="W740" s="309">
        <f>VLOOKUP($B740,'Infant adult mortality'!$A$27:$I$128,3)</f>
        <v>7.6738869257950539E-3</v>
      </c>
      <c r="X740" s="309">
        <f>VLOOKUP($B740,'Infant pick up smoking rates'!$A$19:$I$104,2)</f>
        <v>0</v>
      </c>
      <c r="Y740" s="309">
        <f t="shared" si="242"/>
        <v>0.99232611307420493</v>
      </c>
      <c r="Z740" s="309">
        <f>VLOOKUP($B740,'Infant adult mortality'!$A$27:$I$128,5)</f>
        <v>1.5218256772673735E-2</v>
      </c>
      <c r="AA740" s="309">
        <f t="shared" si="313"/>
        <v>0.25</v>
      </c>
      <c r="AB740" s="309">
        <f t="shared" si="244"/>
        <v>0.73478174322732626</v>
      </c>
      <c r="AC740" s="309">
        <f>VLOOKUP($B740,'Infant adult mortality'!$A$27:$I$128,5)</f>
        <v>1.5218256772673735E-2</v>
      </c>
      <c r="AD740" s="309">
        <f t="shared" si="314"/>
        <v>0.14000000000000001</v>
      </c>
      <c r="AE740" s="309">
        <f t="shared" si="246"/>
        <v>0.84478174322732624</v>
      </c>
      <c r="AF740" s="309">
        <f>VLOOKUP($B740,'Infant adult mortality'!$A$27:$I$128,4)</f>
        <v>1.0231849234393407E-2</v>
      </c>
      <c r="AG740" s="309">
        <f t="shared" si="315"/>
        <v>0.5714285714285714</v>
      </c>
      <c r="AH740" s="309">
        <f t="shared" si="248"/>
        <v>0.41833957933703519</v>
      </c>
      <c r="AI740" s="309">
        <f>VLOOKUP($B740,'Infant adult mortality'!$A$27:$I$128,4)</f>
        <v>1.0231849234393407E-2</v>
      </c>
      <c r="AJ740" s="309">
        <f t="shared" si="316"/>
        <v>8.6261668788331098E-3</v>
      </c>
      <c r="AK740" s="309">
        <f t="shared" si="250"/>
        <v>0.98114198388677354</v>
      </c>
      <c r="AL740" s="309"/>
      <c r="AM740" s="315">
        <f t="shared" si="287"/>
        <v>7.1809754470098435</v>
      </c>
      <c r="AN740" s="316">
        <f t="shared" si="288"/>
        <v>2.3118594474093523</v>
      </c>
      <c r="AO740" s="316">
        <f t="shared" si="289"/>
        <v>0.38055449660728313</v>
      </c>
      <c r="AP740" s="316">
        <f t="shared" si="290"/>
        <v>19.878736358747062</v>
      </c>
      <c r="AQ740" s="316">
        <f t="shared" si="291"/>
        <v>119.4421030067238</v>
      </c>
      <c r="AR740" s="316">
        <f t="shared" si="292"/>
        <v>94.887397543366575</v>
      </c>
      <c r="AS740" s="316">
        <f t="shared" si="293"/>
        <v>24.286490692835226</v>
      </c>
      <c r="AT740" s="316">
        <f t="shared" si="294"/>
        <v>3.4771286303691422</v>
      </c>
      <c r="AU740" s="316">
        <f t="shared" si="295"/>
        <v>120.1688624596903</v>
      </c>
      <c r="AV740" s="316">
        <f t="shared" si="296"/>
        <v>117.98589191724129</v>
      </c>
      <c r="AW740" s="317">
        <f t="shared" si="251"/>
        <v>509.99999999999983</v>
      </c>
      <c r="AX740" s="309"/>
      <c r="AY740" s="308">
        <f>VLOOKUP($B740,'Infant adult mortality'!$A$134:$I$234,3)</f>
        <v>5.2859062564955313E-3</v>
      </c>
      <c r="AZ740" s="309">
        <f t="shared" si="252"/>
        <v>0.27</v>
      </c>
      <c r="BA740" s="309">
        <f ca="1">VLOOKUP($B740,'Infant pick up smoking rates'!$A$19:$I$104,7)</f>
        <v>0</v>
      </c>
      <c r="BB740" s="309">
        <f t="shared" si="253"/>
        <v>0.14624098391610749</v>
      </c>
      <c r="BC740" s="309">
        <f t="shared" ca="1" si="254"/>
        <v>0.57847310982739697</v>
      </c>
      <c r="BD740" s="309">
        <f>VLOOKUP($B740,'Infant adult mortality'!$A$134:$I$234,3)</f>
        <v>5.2859062564955313E-3</v>
      </c>
      <c r="BE740" s="309">
        <f t="shared" si="255"/>
        <v>0.14000000000000001</v>
      </c>
      <c r="BF740" s="309">
        <f>VLOOKUP($B740,'Infant pick up smoking rates'!$A$19:$I$104,6)</f>
        <v>0</v>
      </c>
      <c r="BG740" s="309">
        <f t="shared" si="256"/>
        <v>0.14624098391610749</v>
      </c>
      <c r="BH740" s="309">
        <f t="shared" si="257"/>
        <v>0.70847310982739697</v>
      </c>
      <c r="BI740" s="309">
        <f>VLOOKUP($B740,'Infant adult mortality'!$A$134:$I$234,3)</f>
        <v>5.2859062564955313E-3</v>
      </c>
      <c r="BJ740" s="309">
        <f t="shared" si="258"/>
        <v>0.5714285714285714</v>
      </c>
      <c r="BK740" s="309">
        <f>VLOOKUP($B740,'Infant pick up smoking rates'!$A$19:$I$104,6)</f>
        <v>0</v>
      </c>
      <c r="BL740" s="309">
        <f t="shared" si="259"/>
        <v>0.12016234480898272</v>
      </c>
      <c r="BM740" s="309">
        <f t="shared" si="260"/>
        <v>0.30312317750595036</v>
      </c>
      <c r="BN740" s="309">
        <f>VLOOKUP($B740,'Infant adult mortality'!$A$134:$I$234,3)</f>
        <v>5.2859062564955313E-3</v>
      </c>
      <c r="BO740" s="309">
        <f t="shared" si="261"/>
        <v>8.6261668788331098E-3</v>
      </c>
      <c r="BP740" s="309">
        <f>VLOOKUP($B740,'Infant pick up smoking rates'!$A$19:$I$104,6)</f>
        <v>0</v>
      </c>
      <c r="BQ740" s="309">
        <f t="shared" si="262"/>
        <v>0.12016234480898272</v>
      </c>
      <c r="BR740" s="309">
        <f t="shared" si="263"/>
        <v>0.8659255820556887</v>
      </c>
      <c r="BS740" s="309">
        <f>VLOOKUP($B740,'Infant adult mortality'!$A$134:$I$234,3)</f>
        <v>5.2859062564955313E-3</v>
      </c>
      <c r="BT740" s="309">
        <f>VLOOKUP($B740,'Infant pick up smoking rates'!$A$19:$I$104,6)</f>
        <v>0</v>
      </c>
      <c r="BU740" s="309">
        <f t="shared" si="264"/>
        <v>0.9947140937435045</v>
      </c>
      <c r="BV740" s="309">
        <f>VLOOKUP($B740,'Infant adult mortality'!$A$134:$I$234,5)</f>
        <v>1.0482598905286496E-2</v>
      </c>
      <c r="BW740" s="309">
        <f t="shared" si="322"/>
        <v>0.27</v>
      </c>
      <c r="BX740" s="309">
        <f t="shared" si="266"/>
        <v>0.71951740109471352</v>
      </c>
      <c r="BY740" s="309">
        <f>VLOOKUP($B740,'Infant adult mortality'!$A$134:$I$234,5)</f>
        <v>1.0482598905286496E-2</v>
      </c>
      <c r="BZ740" s="309">
        <f t="shared" si="267"/>
        <v>0.14000000000000001</v>
      </c>
      <c r="CA740" s="309">
        <f t="shared" si="268"/>
        <v>0.84951740109471352</v>
      </c>
      <c r="CB740" s="309">
        <f>VLOOKUP($B740,'Infant adult mortality'!$A$134:$I$234,4)</f>
        <v>7.0478750086607096E-3</v>
      </c>
      <c r="CC740" s="309">
        <f t="shared" si="269"/>
        <v>0.5714285714285714</v>
      </c>
      <c r="CD740" s="309">
        <f t="shared" si="270"/>
        <v>0.42152355356276788</v>
      </c>
      <c r="CE740" s="309">
        <f>VLOOKUP($B740,'Infant adult mortality'!$A$134:$I$234,4)</f>
        <v>7.0478750086607096E-3</v>
      </c>
      <c r="CF740" s="309">
        <f t="shared" si="271"/>
        <v>8.6261668788331098E-3</v>
      </c>
      <c r="CG740" s="309">
        <f t="shared" si="272"/>
        <v>0.98432595811250623</v>
      </c>
      <c r="CH740" s="309"/>
      <c r="CI740" s="315">
        <f t="shared" ca="1" si="297"/>
        <v>9.9195925593693914</v>
      </c>
      <c r="CJ740" s="316">
        <f t="shared" ca="1" si="298"/>
        <v>3.1845516689742777</v>
      </c>
      <c r="CK740" s="316">
        <f t="shared" ca="1" si="299"/>
        <v>0.52287382684113526</v>
      </c>
      <c r="CL740" s="316">
        <f t="shared" ca="1" si="300"/>
        <v>27.153852756354258</v>
      </c>
      <c r="CM740" s="316">
        <f t="shared" ca="1" si="301"/>
        <v>163.65473485759813</v>
      </c>
      <c r="CN740" s="316">
        <f t="shared" ca="1" si="302"/>
        <v>72.7346128719593</v>
      </c>
      <c r="CO740" s="316">
        <f t="shared" ca="1" si="303"/>
        <v>20.018426969506876</v>
      </c>
      <c r="CP740" s="316">
        <f t="shared" ca="1" si="304"/>
        <v>2.8547236206738997</v>
      </c>
      <c r="CQ740" s="316">
        <f t="shared" ca="1" si="305"/>
        <v>97.575903974491808</v>
      </c>
      <c r="CR740" s="316">
        <f t="shared" ca="1" si="306"/>
        <v>92.3807268942316</v>
      </c>
      <c r="CS740" s="317">
        <f t="shared" ca="1" si="273"/>
        <v>490.00000000000074</v>
      </c>
      <c r="CT740" s="309"/>
      <c r="CU740" s="309">
        <f t="shared" ca="1" si="274"/>
        <v>1000.0000000000006</v>
      </c>
      <c r="CV740" s="309" t="str">
        <f t="shared" ca="1" si="317"/>
        <v>OKAY</v>
      </c>
      <c r="CW740" s="309"/>
      <c r="CX740" s="315">
        <f>(SUM($AR740:$AS740))-((SUM($AR740:$AS740)*VLOOKUP($B740,Lifetime_morbidity_array!$A$30:$Y$48,4))+(SUM($AR740:$AS740)*VLOOKUP($B740,Lifetime_morbidity_array!$A$30:$Y$48,7))+(SUM($AR740:$AS740)*VLOOKUP($B740,Lifetime_morbidity_array!$A$30:$Y$48,10))+(SUM($AR740:$AS740)*VLOOKUP($B740,Lifetime_morbidity_array!$A$30:$Y$48,13)))</f>
        <v>17.328125899103412</v>
      </c>
      <c r="CY740" s="316">
        <f>(SUM($AT740:$AU740))-((SUM($AT740:$AU740)*(VLOOKUP($B740,Lifetime_morbidity_array!$A$30:$Y$48,3)))+(SUM($AT740:$AU740)*(VLOOKUP($B740,Lifetime_morbidity_array!$A$30:$Y$48,6)))+(SUM($AT740:$AU740)*(VLOOKUP($B740,Lifetime_morbidity_array!$A$30:$Y$48,9)))+(SUM($AT740:$AU740)*(VLOOKUP($B740,Lifetime_morbidity_array!$A$30:$Y$48,12))))</f>
        <v>75.751910464495793</v>
      </c>
      <c r="CZ740" s="316">
        <f>(SUM($AM740:$AQ740))-((SUM($AM740:$AQ740)*VLOOKUP($B740,Lifetime_morbidity_array!$A$30:$Y$48,2))+(SUM($AM740:$AQ740)*VLOOKUP($B740,Lifetime_morbidity_array!$A$30:$Y$48,5))+(SUM($AM740:$AQ740)*VLOOKUP($B740,Lifetime_morbidity_array!$A$30:$Y$48,8))+(SUM($AM740:$AQ740)*VLOOKUP($B740,Lifetime_morbidity_array!$A$30:$Y$48,11)))</f>
        <v>117.78844872037509</v>
      </c>
      <c r="DA740" s="316">
        <f>(SUM($AM740:$AQ740)*VLOOKUP($B740,Lifetime_morbidity_array!$A$30:$Y$48,2))+(SUM($AR740:$AS740)*VLOOKUP($B740,Lifetime_morbidity_array!$A$30:$Y$48,4))+(SUM($AT740:$AU740)*(VLOOKUP($B740,Lifetime_morbidity_array!$A$30:$Y$48,3)))</f>
        <v>95.576956098657575</v>
      </c>
      <c r="DB740" s="316">
        <f>(SUM($AM740:$AQ740)*VLOOKUP($B740,Lifetime_morbidity_array!$A$30:$Y$48,5))+(SUM($AR740:$AS740)*VLOOKUP($B740,Lifetime_morbidity_array!$A$30:$Y$48,7))+(SUM($AT740:$AU740)*(VLOOKUP($B740,Lifetime_morbidity_array!$A$30:$Y$48,6)))</f>
        <v>48.66645598306863</v>
      </c>
      <c r="DC740" s="316">
        <f>(SUM($AM740:$AQ740)*VLOOKUP($B740,Lifetime_morbidity_array!$A$30:$Y$48,8))+(SUM($AR740:$AS740)*VLOOKUP($B740,Lifetime_morbidity_array!$A$30:$Y$48,10))+(SUM($AT740:$AU740)*(VLOOKUP($B740,Lifetime_morbidity_array!$A$30:$Y$48,9)))</f>
        <v>4.922649753138904</v>
      </c>
      <c r="DD740" s="317">
        <f>(SUM($AM740:$AQ740)*VLOOKUP($B740,Lifetime_morbidity_array!$A$30:$Y$48,11))+(SUM($AR740:$AS740)*VLOOKUP($B740,Lifetime_morbidity_array!$A$30:$Y$48,13))+(SUM($AT740:$AU740)*(VLOOKUP($B740,Lifetime_morbidity_array!$A$30:$Y$48,12)))</f>
        <v>31.979561163919186</v>
      </c>
      <c r="DE740" s="309"/>
      <c r="DF740" s="315">
        <f ca="1">(SUM($CN740:$CO740))-((SUM($CN740:$CO740)*VLOOKUP($B740,Lifetime_morbidity_array!$A$6:$Y$24,4))+(SUM($CN740:$CO740)*VLOOKUP($B740,Lifetime_morbidity_array!$A$6:$Y$24,7))+(SUM($CN740:$CO740)*VLOOKUP($B740,Lifetime_morbidity_array!$A$6:$Y$24,10))+(SUM($CN740:$CO740)*VLOOKUP($B740,Lifetime_morbidity_array!$A$6:$Y$24,13)))</f>
        <v>32.236877444726566</v>
      </c>
      <c r="DG740" s="316">
        <f ca="1">(SUM($CP740:$CQ740))-(((SUM($CP740:$CQ740)*VLOOKUP($B740,Lifetime_morbidity_array!$A$6:$Y$24,3))+(SUM($CP740:$CQ740)*VLOOKUP($B740,Lifetime_morbidity_array!$A$6:$Y$24,6))+(SUM($CP740:$CQ740)*VLOOKUP($B740,Lifetime_morbidity_array!$A$6:$Y$24,9))+(SUM($CP740:$CQ740)*VLOOKUP($B740,Lifetime_morbidity_array!$A$6:$Y$24,12))))</f>
        <v>71.123299679331765</v>
      </c>
      <c r="DH740" s="316">
        <f ca="1">(SUM($CI740:$CM740))-((SUM($CI740:$CM740)*VLOOKUP($B740,Lifetime_morbidity_array!$A$6:$Y$24,2))+(SUM($CI740:$CM740)*VLOOKUP($B740,Lifetime_morbidity_array!$A$6:$Y$24,5))+(SUM($CI740:$CM740)*VLOOKUP($B740,Lifetime_morbidity_array!$A$6:$Y$24,8))+(SUM($CI740:$CM740)*VLOOKUP($B740,Lifetime_morbidity_array!$A$6:$Y$24,11)))</f>
        <v>179.3348876817864</v>
      </c>
      <c r="DI740" s="316">
        <f ca="1">(SUM($CI740:$CM740)*VLOOKUP($B740,Lifetime_morbidity_array!$A$6:$Y$24,2))+(SUM($CN740:$CO740)*VLOOKUP($B740,Lifetime_morbidity_array!$A$6:$Y$24,4))+(SUM($CP740:$CQ740)*VLOOKUP($B740,Lifetime_morbidity_array!$A$6:$Y$24,3))</f>
        <v>51.70189891174612</v>
      </c>
      <c r="DJ740" s="316">
        <f ca="1">(SUM($CI740:$CM740)*VLOOKUP($B740,Lifetime_morbidity_array!$A$6:$Y$24,5))+(SUM($CN740:$CO740)*VLOOKUP($B740,Lifetime_morbidity_array!$A$6:$Y$24,7))+(SUM($CP740:$CQ740)*VLOOKUP($B740,Lifetime_morbidity_array!$A$6:$Y$24,6))</f>
        <v>41.46503942406892</v>
      </c>
      <c r="DK740" s="316">
        <f ca="1">(SUM($CI740:$CM740)*VLOOKUP($B740,Lifetime_morbidity_array!$A$6:$Y$24,8))+(SUM($CN740:$CO740)*VLOOKUP($B740,Lifetime_morbidity_array!$A$6:$Y$24,10))+(SUM($CP740:$CQ740)*VLOOKUP($B740,Lifetime_morbidity_array!$A$6:$Y$24,9))</f>
        <v>1.8566231921506464</v>
      </c>
      <c r="DL740" s="317">
        <f ca="1">(SUM($CI740:$CM740)*VLOOKUP($B740,Lifetime_morbidity_array!$A$6:$Y$24,11))+(SUM($CN740:$CO740)*VLOOKUP($B740,Lifetime_morbidity_array!$A$6:$Y$24,13))+(SUM($CP740:$CQ740)*VLOOKUP($B740,Lifetime_morbidity_array!$A$6:$Y$24,12))</f>
        <v>19.900646771958662</v>
      </c>
      <c r="DM740" s="309"/>
      <c r="DN740" s="308">
        <f t="shared" si="275"/>
        <v>74</v>
      </c>
      <c r="DO740" s="309">
        <f t="shared" ca="1" si="323"/>
        <v>61.921235745822216</v>
      </c>
      <c r="DP740" s="310">
        <f t="shared" ca="1" si="307"/>
        <v>23241.129749924297</v>
      </c>
      <c r="DQ740" s="309"/>
      <c r="DR740" s="308">
        <f t="shared" si="277"/>
        <v>74</v>
      </c>
      <c r="DS740" s="309">
        <f ca="1">((VLOOKUP($B740,'Mahawesran Tariff'!$A$21:$M$120,4)*'Comparator (DET)'!$CX740)+(VLOOKUP($B740,'Mahawesran Tariff'!$A$21:$M$120,3)*'Comparator (DET)'!$CY740)+(VLOOKUP($B740,'Mahawesran Tariff'!$A$21:$M$120,2)*'Comparator (DET)'!$CZ740)+(VLOOKUP($B740,'Mahawesran Tariff'!$A$21:$M$120,7)*'Comparator (DET)'!$DF740)+(VLOOKUP($B740,'Mahawesran Tariff'!$A$21:$M$120,6)*'Comparator (DET)'!$DG740)+(VLOOKUP($B740,'Mahawesran Tariff'!$A$21:$M$120,5)*'Comparator (DET)'!$DH740)+(DET_UTIL_chd*('Comparator (DET)'!$DA740+'Comparator (DET)'!$DI740))+(DET_UTIL_copd*('Comparator (DET)'!$DB740+'Comparator (DET)'!$DJ740))+(DET_UTIL_lc*('Comparator (DET)'!$DC740+'Comparator (DET)'!$DK740))+(DET_UTIL_stroke*('Comparator (DET)'!$DD740+'Comparator (DET)'!$DL740)))/((1+Discount_rate_QALYs)^$A740)</f>
        <v>52.915443901891393</v>
      </c>
      <c r="DT740" s="310">
        <f t="shared" ca="1" si="308"/>
        <v>22863.708911080183</v>
      </c>
      <c r="DU740" s="309"/>
      <c r="DV740" s="308">
        <f t="shared" si="278"/>
        <v>74</v>
      </c>
      <c r="DW740" s="318">
        <f t="shared" ca="1" si="324"/>
        <v>120661.10040011062</v>
      </c>
      <c r="DX740" s="319">
        <f t="shared" ca="1" si="309"/>
        <v>8924617.1977505051</v>
      </c>
      <c r="DZ740" s="95">
        <f t="shared" si="280"/>
        <v>74</v>
      </c>
      <c r="EA740" s="268">
        <f t="shared" ca="1" si="318"/>
        <v>0.78963338118852766</v>
      </c>
      <c r="EB740" s="268">
        <f t="shared" ca="1" si="319"/>
        <v>0.21036661881147289</v>
      </c>
      <c r="EC740" s="268">
        <f t="shared" ca="1" si="320"/>
        <v>0.29606983129870867</v>
      </c>
      <c r="ED740" s="290">
        <f t="shared" ca="1" si="321"/>
        <v>0.4360035467628931</v>
      </c>
      <c r="EF740" s="95">
        <f t="shared" si="281"/>
        <v>74</v>
      </c>
      <c r="EG740" s="339">
        <f t="shared" ca="1" si="325"/>
        <v>120661.10040011062</v>
      </c>
      <c r="EH740" s="341">
        <f t="shared" ca="1" si="310"/>
        <v>12024749.133606588</v>
      </c>
      <c r="EJ740" s="308">
        <f t="shared" si="283"/>
        <v>74</v>
      </c>
      <c r="EK740" s="318">
        <f t="shared" ca="1" si="284"/>
        <v>120661.10040011062</v>
      </c>
      <c r="EL740" s="319">
        <f t="shared" ca="1" si="311"/>
        <v>8924617.1977505051</v>
      </c>
      <c r="EN740" s="95">
        <f t="shared" si="285"/>
        <v>74</v>
      </c>
      <c r="EO740" s="339">
        <f t="shared" ca="1" si="286"/>
        <v>120661.10040011062</v>
      </c>
      <c r="EP740" s="341">
        <f t="shared" ca="1" si="312"/>
        <v>12024749.133606588</v>
      </c>
    </row>
    <row r="741" spans="1:146" s="266" customFormat="1" x14ac:dyDescent="0.25">
      <c r="A741" s="313">
        <v>75</v>
      </c>
      <c r="B741" s="314">
        <v>75</v>
      </c>
      <c r="C741" s="308">
        <f>VLOOKUP($B741,'Infant adult mortality'!$A$27:$I$128,3)</f>
        <v>9.1366800885309719E-3</v>
      </c>
      <c r="D741" s="309">
        <f t="shared" si="230"/>
        <v>0.27</v>
      </c>
      <c r="E741" s="309">
        <f>VLOOKUP($B741,'Infant pick up smoking rates'!$A$19:$I$104,3)</f>
        <v>0</v>
      </c>
      <c r="F741" s="309">
        <f t="shared" si="231"/>
        <v>0.14624098391610749</v>
      </c>
      <c r="G741" s="309">
        <f t="shared" si="232"/>
        <v>0.5746223359953615</v>
      </c>
      <c r="H741" s="309">
        <f>VLOOKUP($B741,'Infant adult mortality'!$A$27:$I$128,3)</f>
        <v>9.1366800885309719E-3</v>
      </c>
      <c r="I741" s="309">
        <f t="shared" si="233"/>
        <v>0.14000000000000001</v>
      </c>
      <c r="J741" s="309">
        <f>VLOOKUP($B741,'Infant pick up smoking rates'!$A$19:$I$104,2)</f>
        <v>0</v>
      </c>
      <c r="K741" s="309">
        <f t="shared" si="234"/>
        <v>0.14624098391610749</v>
      </c>
      <c r="L741" s="309">
        <f t="shared" si="235"/>
        <v>0.7046223359953615</v>
      </c>
      <c r="M741" s="309">
        <f>VLOOKUP($B741,'Infant adult mortality'!$A$27:$I$128,3)</f>
        <v>9.1366800885309719E-3</v>
      </c>
      <c r="N741" s="309">
        <f t="shared" si="236"/>
        <v>0.5714285714285714</v>
      </c>
      <c r="O741" s="309">
        <f>VLOOKUP($B741,'Infant pick up smoking rates'!$A$19:$I$104,2)</f>
        <v>0</v>
      </c>
      <c r="P741" s="309">
        <f t="shared" si="237"/>
        <v>0.12016234480898272</v>
      </c>
      <c r="Q741" s="309">
        <f t="shared" si="238"/>
        <v>0.29927240367391494</v>
      </c>
      <c r="R741" s="309">
        <f>VLOOKUP($B741,'Infant adult mortality'!$A$27:$I$128,3)</f>
        <v>9.1366800885309719E-3</v>
      </c>
      <c r="S741" s="309">
        <f t="shared" si="239"/>
        <v>8.6261668788331098E-3</v>
      </c>
      <c r="T741" s="309">
        <f>VLOOKUP($B741,'Infant pick up smoking rates'!$A$19:$I$104,2)</f>
        <v>0</v>
      </c>
      <c r="U741" s="309">
        <f t="shared" si="240"/>
        <v>0.12016234480898272</v>
      </c>
      <c r="V741" s="309">
        <f t="shared" si="241"/>
        <v>0.86207480822365323</v>
      </c>
      <c r="W741" s="309">
        <f>VLOOKUP($B741,'Infant adult mortality'!$A$27:$I$128,3)</f>
        <v>9.1366800885309719E-3</v>
      </c>
      <c r="X741" s="309">
        <f>VLOOKUP($B741,'Infant pick up smoking rates'!$A$19:$I$104,2)</f>
        <v>0</v>
      </c>
      <c r="Y741" s="309">
        <f t="shared" si="242"/>
        <v>0.99086331991146903</v>
      </c>
      <c r="Z741" s="309">
        <f>VLOOKUP($B741,'Infant adult mortality'!$A$27:$I$128,5)</f>
        <v>1.4369259486413695E-2</v>
      </c>
      <c r="AA741" s="309">
        <f t="shared" si="313"/>
        <v>0.25</v>
      </c>
      <c r="AB741" s="309">
        <f t="shared" si="244"/>
        <v>0.73563074051358635</v>
      </c>
      <c r="AC741" s="309">
        <f>VLOOKUP($B741,'Infant adult mortality'!$A$27:$I$128,5)</f>
        <v>1.4369259486413695E-2</v>
      </c>
      <c r="AD741" s="309">
        <f t="shared" si="314"/>
        <v>0.14000000000000001</v>
      </c>
      <c r="AE741" s="309">
        <f t="shared" si="246"/>
        <v>0.84563074051358633</v>
      </c>
      <c r="AF741" s="309">
        <f>VLOOKUP($B741,'Infant adult mortality'!$A$27:$I$128,4)</f>
        <v>1.0478714700941307E-2</v>
      </c>
      <c r="AG741" s="309">
        <f t="shared" si="315"/>
        <v>0.5714285714285714</v>
      </c>
      <c r="AH741" s="309">
        <f t="shared" si="248"/>
        <v>0.4180927138704873</v>
      </c>
      <c r="AI741" s="309">
        <f>VLOOKUP($B741,'Infant adult mortality'!$A$27:$I$128,4)</f>
        <v>1.0478714700941307E-2</v>
      </c>
      <c r="AJ741" s="309">
        <f t="shared" si="316"/>
        <v>8.6261668788331098E-3</v>
      </c>
      <c r="AK741" s="309">
        <f t="shared" si="250"/>
        <v>0.98089511842022559</v>
      </c>
      <c r="AL741" s="309"/>
      <c r="AM741" s="315">
        <f t="shared" si="287"/>
        <v>6.0407034465121123</v>
      </c>
      <c r="AN741" s="316">
        <f t="shared" si="288"/>
        <v>1.9388633706926579</v>
      </c>
      <c r="AO741" s="316">
        <f t="shared" si="289"/>
        <v>0.32366032263730937</v>
      </c>
      <c r="AP741" s="316">
        <f t="shared" si="290"/>
        <v>17.354417546542454</v>
      </c>
      <c r="AQ741" s="316">
        <f t="shared" si="291"/>
        <v>122.17344413090957</v>
      </c>
      <c r="AR741" s="316">
        <f t="shared" si="292"/>
        <v>92.82984843605702</v>
      </c>
      <c r="AS741" s="316">
        <f t="shared" si="293"/>
        <v>23.721849385841644</v>
      </c>
      <c r="AT741" s="316">
        <f t="shared" si="294"/>
        <v>3.4001086969969321</v>
      </c>
      <c r="AU741" s="316">
        <f t="shared" si="295"/>
        <v>119.85998121874695</v>
      </c>
      <c r="AV741" s="316">
        <f t="shared" si="296"/>
        <v>122.35712344506321</v>
      </c>
      <c r="AW741" s="317">
        <f t="shared" si="251"/>
        <v>509.99999999999989</v>
      </c>
      <c r="AX741" s="309"/>
      <c r="AY741" s="308">
        <f>VLOOKUP($B741,'Infant adult mortality'!$A$134:$I$234,3)</f>
        <v>6.3083819098157384E-3</v>
      </c>
      <c r="AZ741" s="309">
        <f t="shared" si="252"/>
        <v>0.27</v>
      </c>
      <c r="BA741" s="309">
        <f ca="1">VLOOKUP($B741,'Infant pick up smoking rates'!$A$19:$I$104,7)</f>
        <v>0</v>
      </c>
      <c r="BB741" s="309">
        <f t="shared" si="253"/>
        <v>0.14624098391610749</v>
      </c>
      <c r="BC741" s="309">
        <f t="shared" ca="1" si="254"/>
        <v>0.57745063417407672</v>
      </c>
      <c r="BD741" s="309">
        <f>VLOOKUP($B741,'Infant adult mortality'!$A$134:$I$234,3)</f>
        <v>6.3083819098157384E-3</v>
      </c>
      <c r="BE741" s="309">
        <f t="shared" si="255"/>
        <v>0.14000000000000001</v>
      </c>
      <c r="BF741" s="309">
        <f>VLOOKUP($B741,'Infant pick up smoking rates'!$A$19:$I$104,6)</f>
        <v>0</v>
      </c>
      <c r="BG741" s="309">
        <f t="shared" si="256"/>
        <v>0.14624098391610749</v>
      </c>
      <c r="BH741" s="309">
        <f t="shared" si="257"/>
        <v>0.70745063417407672</v>
      </c>
      <c r="BI741" s="309">
        <f>VLOOKUP($B741,'Infant adult mortality'!$A$134:$I$234,3)</f>
        <v>6.3083819098157384E-3</v>
      </c>
      <c r="BJ741" s="309">
        <f t="shared" si="258"/>
        <v>0.5714285714285714</v>
      </c>
      <c r="BK741" s="309">
        <f>VLOOKUP($B741,'Infant pick up smoking rates'!$A$19:$I$104,6)</f>
        <v>0</v>
      </c>
      <c r="BL741" s="309">
        <f t="shared" si="259"/>
        <v>0.12016234480898272</v>
      </c>
      <c r="BM741" s="309">
        <f t="shared" si="260"/>
        <v>0.30210070185263016</v>
      </c>
      <c r="BN741" s="309">
        <f>VLOOKUP($B741,'Infant adult mortality'!$A$134:$I$234,3)</f>
        <v>6.3083819098157384E-3</v>
      </c>
      <c r="BO741" s="309">
        <f t="shared" si="261"/>
        <v>8.6261668788331098E-3</v>
      </c>
      <c r="BP741" s="309">
        <f>VLOOKUP($B741,'Infant pick up smoking rates'!$A$19:$I$104,6)</f>
        <v>0</v>
      </c>
      <c r="BQ741" s="309">
        <f t="shared" si="262"/>
        <v>0.12016234480898272</v>
      </c>
      <c r="BR741" s="309">
        <f t="shared" si="263"/>
        <v>0.86490310640236845</v>
      </c>
      <c r="BS741" s="309">
        <f>VLOOKUP($B741,'Infant adult mortality'!$A$134:$I$234,3)</f>
        <v>6.3083819098157384E-3</v>
      </c>
      <c r="BT741" s="309">
        <f>VLOOKUP($B741,'Infant pick up smoking rates'!$A$19:$I$104,6)</f>
        <v>0</v>
      </c>
      <c r="BU741" s="309">
        <f t="shared" si="264"/>
        <v>0.99369161809018425</v>
      </c>
      <c r="BV741" s="309">
        <f>VLOOKUP($B741,'Infant adult mortality'!$A$134:$I$234,5)</f>
        <v>9.9211941014906262E-3</v>
      </c>
      <c r="BW741" s="309">
        <f t="shared" si="322"/>
        <v>0.27</v>
      </c>
      <c r="BX741" s="309">
        <f t="shared" si="266"/>
        <v>0.72007880589850937</v>
      </c>
      <c r="BY741" s="309">
        <f>VLOOKUP($B741,'Infant adult mortality'!$A$134:$I$234,5)</f>
        <v>9.9211941014906262E-3</v>
      </c>
      <c r="BZ741" s="309">
        <f t="shared" si="267"/>
        <v>0.14000000000000001</v>
      </c>
      <c r="CA741" s="309">
        <f t="shared" si="268"/>
        <v>0.85007880589850937</v>
      </c>
      <c r="CB741" s="309">
        <f>VLOOKUP($B741,'Infant adult mortality'!$A$134:$I$234,4)</f>
        <v>7.2349840004266551E-3</v>
      </c>
      <c r="CC741" s="309">
        <f t="shared" si="269"/>
        <v>0.5714285714285714</v>
      </c>
      <c r="CD741" s="309">
        <f t="shared" si="270"/>
        <v>0.42133644457100194</v>
      </c>
      <c r="CE741" s="309">
        <f>VLOOKUP($B741,'Infant adult mortality'!$A$134:$I$234,4)</f>
        <v>7.2349840004266551E-3</v>
      </c>
      <c r="CF741" s="309">
        <f t="shared" si="271"/>
        <v>8.6261668788331098E-3</v>
      </c>
      <c r="CG741" s="309">
        <f t="shared" si="272"/>
        <v>0.98413884912074023</v>
      </c>
      <c r="CH741" s="309"/>
      <c r="CI741" s="315">
        <f t="shared" ca="1" si="297"/>
        <v>8.3731823272809258</v>
      </c>
      <c r="CJ741" s="316">
        <f t="shared" ca="1" si="298"/>
        <v>2.678289991029736</v>
      </c>
      <c r="CK741" s="316">
        <f t="shared" ca="1" si="299"/>
        <v>0.44583723365639893</v>
      </c>
      <c r="CL741" s="316">
        <f t="shared" ca="1" si="300"/>
        <v>23.784236643672532</v>
      </c>
      <c r="CM741" s="316">
        <f t="shared" ca="1" si="301"/>
        <v>167.86440159697219</v>
      </c>
      <c r="CN741" s="316">
        <f t="shared" ca="1" si="302"/>
        <v>71.43639881014029</v>
      </c>
      <c r="CO741" s="316">
        <f t="shared" ca="1" si="303"/>
        <v>19.638345475429013</v>
      </c>
      <c r="CP741" s="316">
        <f t="shared" ca="1" si="304"/>
        <v>2.8025797757309632</v>
      </c>
      <c r="CQ741" s="316">
        <f t="shared" ca="1" si="305"/>
        <v>97.659508479757307</v>
      </c>
      <c r="CR741" s="316">
        <f t="shared" ca="1" si="306"/>
        <v>95.317219666331312</v>
      </c>
      <c r="CS741" s="317">
        <f t="shared" ca="1" si="273"/>
        <v>490.00000000000068</v>
      </c>
      <c r="CT741" s="309"/>
      <c r="CU741" s="309">
        <f t="shared" ca="1" si="274"/>
        <v>1000.0000000000006</v>
      </c>
      <c r="CV741" s="309" t="str">
        <f t="shared" ca="1" si="317"/>
        <v>OKAY</v>
      </c>
      <c r="CW741" s="309"/>
      <c r="CX741" s="315">
        <f>(SUM($AR741:$AS741))-((SUM($AR741:$AS741)*VLOOKUP($B741,Lifetime_morbidity_array!$A$30:$Y$48,4))+(SUM($AR741:$AS741)*VLOOKUP($B741,Lifetime_morbidity_array!$A$30:$Y$48,7))+(SUM($AR741:$AS741)*VLOOKUP($B741,Lifetime_morbidity_array!$A$30:$Y$48,10))+(SUM($AR741:$AS741)*VLOOKUP($B741,Lifetime_morbidity_array!$A$30:$Y$48,13)))</f>
        <v>-1.0514456710608897</v>
      </c>
      <c r="CY741" s="316">
        <f>(SUM($AT741:$AU741))-((SUM($AT741:$AU741)*(VLOOKUP($B741,Lifetime_morbidity_array!$A$30:$Y$48,3)))+(SUM($AT741:$AU741)*(VLOOKUP($B741,Lifetime_morbidity_array!$A$30:$Y$48,6)))+(SUM($AT741:$AU741)*(VLOOKUP($B741,Lifetime_morbidity_array!$A$30:$Y$48,9)))+(SUM($AT741:$AU741)*(VLOOKUP($B741,Lifetime_morbidity_array!$A$30:$Y$48,12))))</f>
        <v>56.522489447011452</v>
      </c>
      <c r="CZ741" s="316">
        <f>(SUM($AM741:$AQ741))-((SUM($AM741:$AQ741)*VLOOKUP($B741,Lifetime_morbidity_array!$A$30:$Y$48,2))+(SUM($AM741:$AQ741)*VLOOKUP($B741,Lifetime_morbidity_array!$A$30:$Y$48,5))+(SUM($AM741:$AQ741)*VLOOKUP($B741,Lifetime_morbidity_array!$A$30:$Y$48,8))+(SUM($AM741:$AQ741)*VLOOKUP($B741,Lifetime_morbidity_array!$A$30:$Y$48,11)))</f>
        <v>94.355022524193231</v>
      </c>
      <c r="DA741" s="316">
        <f>(SUM($AM741:$AQ741)*VLOOKUP($B741,Lifetime_morbidity_array!$A$30:$Y$48,2))+(SUM($AR741:$AS741)*VLOOKUP($B741,Lifetime_morbidity_array!$A$30:$Y$48,4))+(SUM($AT741:$AU741)*(VLOOKUP($B741,Lifetime_morbidity_array!$A$30:$Y$48,3)))</f>
        <v>122.95677388210581</v>
      </c>
      <c r="DB741" s="316">
        <f>(SUM($AM741:$AQ741)*VLOOKUP($B741,Lifetime_morbidity_array!$A$30:$Y$48,5))+(SUM($AR741:$AS741)*VLOOKUP($B741,Lifetime_morbidity_array!$A$30:$Y$48,7))+(SUM($AT741:$AU741)*(VLOOKUP($B741,Lifetime_morbidity_array!$A$30:$Y$48,6)))</f>
        <v>56.086807206600341</v>
      </c>
      <c r="DC741" s="316">
        <f>(SUM($AM741:$AQ741)*VLOOKUP($B741,Lifetime_morbidity_array!$A$30:$Y$48,8))+(SUM($AR741:$AS741)*VLOOKUP($B741,Lifetime_morbidity_array!$A$30:$Y$48,10))+(SUM($AT741:$AU741)*(VLOOKUP($B741,Lifetime_morbidity_array!$A$30:$Y$48,9)))</f>
        <v>4.7605073187479174</v>
      </c>
      <c r="DD741" s="317">
        <f>(SUM($AM741:$AQ741)*VLOOKUP($B741,Lifetime_morbidity_array!$A$30:$Y$48,11))+(SUM($AR741:$AS741)*VLOOKUP($B741,Lifetime_morbidity_array!$A$30:$Y$48,13))+(SUM($AT741:$AU741)*(VLOOKUP($B741,Lifetime_morbidity_array!$A$30:$Y$48,12)))</f>
        <v>54.012721847338774</v>
      </c>
      <c r="DE741" s="309"/>
      <c r="DF741" s="315">
        <f ca="1">(SUM($CN741:$CO741))-((SUM($CN741:$CO741)*VLOOKUP($B741,Lifetime_morbidity_array!$A$6:$Y$24,4))+(SUM($CN741:$CO741)*VLOOKUP($B741,Lifetime_morbidity_array!$A$6:$Y$24,7))+(SUM($CN741:$CO741)*VLOOKUP($B741,Lifetime_morbidity_array!$A$6:$Y$24,10))+(SUM($CN741:$CO741)*VLOOKUP($B741,Lifetime_morbidity_array!$A$6:$Y$24,13)))</f>
        <v>6.751685261810195</v>
      </c>
      <c r="DG741" s="316">
        <f ca="1">(SUM($CP741:$CQ741))-(((SUM($CP741:$CQ741)*VLOOKUP($B741,Lifetime_morbidity_array!$A$6:$Y$24,3))+(SUM($CP741:$CQ741)*VLOOKUP($B741,Lifetime_morbidity_array!$A$6:$Y$24,6))+(SUM($CP741:$CQ741)*VLOOKUP($B741,Lifetime_morbidity_array!$A$6:$Y$24,9))+(SUM($CP741:$CQ741)*VLOOKUP($B741,Lifetime_morbidity_array!$A$6:$Y$24,12))))</f>
        <v>55.612181922736873</v>
      </c>
      <c r="DH741" s="316">
        <f ca="1">(SUM($CI741:$CM741))-((SUM($CI741:$CM741)*VLOOKUP($B741,Lifetime_morbidity_array!$A$6:$Y$24,2))+(SUM($CI741:$CM741)*VLOOKUP($B741,Lifetime_morbidity_array!$A$6:$Y$24,5))+(SUM($CI741:$CM741)*VLOOKUP($B741,Lifetime_morbidity_array!$A$6:$Y$24,8))+(SUM($CI741:$CM741)*VLOOKUP($B741,Lifetime_morbidity_array!$A$6:$Y$24,11)))</f>
        <v>146.2292246135267</v>
      </c>
      <c r="DI741" s="316">
        <f ca="1">(SUM($CI741:$CM741)*VLOOKUP($B741,Lifetime_morbidity_array!$A$6:$Y$24,2))+(SUM($CN741:$CO741)*VLOOKUP($B741,Lifetime_morbidity_array!$A$6:$Y$24,4))+(SUM($CP741:$CQ741)*VLOOKUP($B741,Lifetime_morbidity_array!$A$6:$Y$24,3))</f>
        <v>86.401651492633974</v>
      </c>
      <c r="DJ741" s="316">
        <f ca="1">(SUM($CI741:$CM741)*VLOOKUP($B741,Lifetime_morbidity_array!$A$6:$Y$24,5))+(SUM($CN741:$CO741)*VLOOKUP($B741,Lifetime_morbidity_array!$A$6:$Y$24,7))+(SUM($CP741:$CQ741)*VLOOKUP($B741,Lifetime_morbidity_array!$A$6:$Y$24,6))</f>
        <v>50.880404116607771</v>
      </c>
      <c r="DK741" s="316">
        <f ca="1">(SUM($CI741:$CM741)*VLOOKUP($B741,Lifetime_morbidity_array!$A$6:$Y$24,8))+(SUM($CN741:$CO741)*VLOOKUP($B741,Lifetime_morbidity_array!$A$6:$Y$24,10))+(SUM($CP741:$CQ741)*VLOOKUP($B741,Lifetime_morbidity_array!$A$6:$Y$24,9))</f>
        <v>1.8619655525570313</v>
      </c>
      <c r="DL741" s="317">
        <f ca="1">(SUM($CI741:$CM741)*VLOOKUP($B741,Lifetime_morbidity_array!$A$6:$Y$24,11))+(SUM($CN741:$CO741)*VLOOKUP($B741,Lifetime_morbidity_array!$A$6:$Y$24,13))+(SUM($CP741:$CQ741)*VLOOKUP($B741,Lifetime_morbidity_array!$A$6:$Y$24,12))</f>
        <v>46.945667373796788</v>
      </c>
      <c r="DM741" s="309"/>
      <c r="DN741" s="308">
        <f t="shared" si="275"/>
        <v>75</v>
      </c>
      <c r="DO741" s="309">
        <f t="shared" ca="1" si="323"/>
        <v>59.273604631973704</v>
      </c>
      <c r="DP741" s="310">
        <f t="shared" ca="1" si="307"/>
        <v>23300.403354556271</v>
      </c>
      <c r="DQ741" s="309"/>
      <c r="DR741" s="308">
        <f t="shared" si="277"/>
        <v>75</v>
      </c>
      <c r="DS741" s="309">
        <f ca="1">((VLOOKUP($B741,'Mahawesran Tariff'!$A$21:$M$120,4)*'Comparator (DET)'!$CX741)+(VLOOKUP($B741,'Mahawesran Tariff'!$A$21:$M$120,3)*'Comparator (DET)'!$CY741)+(VLOOKUP($B741,'Mahawesran Tariff'!$A$21:$M$120,2)*'Comparator (DET)'!$CZ741)+(VLOOKUP($B741,'Mahawesran Tariff'!$A$21:$M$120,7)*'Comparator (DET)'!$DF741)+(VLOOKUP($B741,'Mahawesran Tariff'!$A$21:$M$120,6)*'Comparator (DET)'!$DG741)+(VLOOKUP($B741,'Mahawesran Tariff'!$A$21:$M$120,5)*'Comparator (DET)'!$DH741)+(DET_UTIL_chd*('Comparator (DET)'!$DA741+'Comparator (DET)'!$DI741))+(DET_UTIL_copd*('Comparator (DET)'!$DB741+'Comparator (DET)'!$DJ741))+(DET_UTIL_lc*('Comparator (DET)'!$DC741+'Comparator (DET)'!$DK741))+(DET_UTIL_stroke*('Comparator (DET)'!$DD741+'Comparator (DET)'!$DL741)))/((1+Discount_rate_QALYs)^$A741)</f>
        <v>48.377778644909135</v>
      </c>
      <c r="DT741" s="310">
        <f t="shared" ca="1" si="308"/>
        <v>22912.086689725093</v>
      </c>
      <c r="DU741" s="309"/>
      <c r="DV741" s="308">
        <f t="shared" si="278"/>
        <v>75</v>
      </c>
      <c r="DW741" s="318">
        <f t="shared" ca="1" si="324"/>
        <v>206974.3363173806</v>
      </c>
      <c r="DX741" s="319">
        <f t="shared" ca="1" si="309"/>
        <v>9131591.534067886</v>
      </c>
      <c r="DZ741" s="95">
        <f t="shared" si="280"/>
        <v>75</v>
      </c>
      <c r="EA741" s="268">
        <f t="shared" ca="1" si="318"/>
        <v>0.78232565688860611</v>
      </c>
      <c r="EB741" s="268">
        <f t="shared" ca="1" si="319"/>
        <v>0.21767434311139452</v>
      </c>
      <c r="EC741" s="268">
        <f t="shared" ca="1" si="320"/>
        <v>0.42390649879038844</v>
      </c>
      <c r="ED741" s="290">
        <f t="shared" ca="1" si="321"/>
        <v>0.43134862027870008</v>
      </c>
      <c r="EF741" s="95">
        <f t="shared" si="281"/>
        <v>75</v>
      </c>
      <c r="EG741" s="339">
        <f t="shared" ca="1" si="325"/>
        <v>206974.3363173806</v>
      </c>
      <c r="EH741" s="341">
        <f t="shared" ca="1" si="310"/>
        <v>12231723.469923969</v>
      </c>
      <c r="EJ741" s="308">
        <f t="shared" si="283"/>
        <v>75</v>
      </c>
      <c r="EK741" s="318">
        <f t="shared" ca="1" si="284"/>
        <v>206974.3363173806</v>
      </c>
      <c r="EL741" s="319">
        <f t="shared" ca="1" si="311"/>
        <v>9131591.534067886</v>
      </c>
      <c r="EN741" s="95">
        <f t="shared" si="285"/>
        <v>75</v>
      </c>
      <c r="EO741" s="339">
        <f t="shared" ca="1" si="286"/>
        <v>206974.3363173806</v>
      </c>
      <c r="EP741" s="341">
        <f t="shared" ca="1" si="312"/>
        <v>12231723.469923969</v>
      </c>
    </row>
    <row r="742" spans="1:146" s="266" customFormat="1" x14ac:dyDescent="0.25">
      <c r="A742" s="313">
        <v>76</v>
      </c>
      <c r="B742" s="314">
        <v>76</v>
      </c>
      <c r="C742" s="308">
        <f>VLOOKUP($B742,'Infant adult mortality'!$A$27:$I$128,3)</f>
        <v>9.9470760779712553E-3</v>
      </c>
      <c r="D742" s="309">
        <f t="shared" si="230"/>
        <v>0.27</v>
      </c>
      <c r="E742" s="309">
        <f>VLOOKUP($B742,'Infant pick up smoking rates'!$A$19:$I$104,3)</f>
        <v>0</v>
      </c>
      <c r="F742" s="309">
        <f t="shared" si="231"/>
        <v>0.14624098391610749</v>
      </c>
      <c r="G742" s="309">
        <f t="shared" si="232"/>
        <v>0.57381194000592117</v>
      </c>
      <c r="H742" s="309">
        <f>VLOOKUP($B742,'Infant adult mortality'!$A$27:$I$128,3)</f>
        <v>9.9470760779712553E-3</v>
      </c>
      <c r="I742" s="309">
        <f t="shared" si="233"/>
        <v>0.14000000000000001</v>
      </c>
      <c r="J742" s="309">
        <f>VLOOKUP($B742,'Infant pick up smoking rates'!$A$19:$I$104,2)</f>
        <v>0</v>
      </c>
      <c r="K742" s="309">
        <f t="shared" si="234"/>
        <v>0.14624098391610749</v>
      </c>
      <c r="L742" s="309">
        <f t="shared" si="235"/>
        <v>0.70381194000592118</v>
      </c>
      <c r="M742" s="309">
        <f>VLOOKUP($B742,'Infant adult mortality'!$A$27:$I$128,3)</f>
        <v>9.9470760779712553E-3</v>
      </c>
      <c r="N742" s="309">
        <f t="shared" si="236"/>
        <v>0.5714285714285714</v>
      </c>
      <c r="O742" s="309">
        <f>VLOOKUP($B742,'Infant pick up smoking rates'!$A$19:$I$104,2)</f>
        <v>0</v>
      </c>
      <c r="P742" s="309">
        <f t="shared" si="237"/>
        <v>0.12016234480898272</v>
      </c>
      <c r="Q742" s="309">
        <f t="shared" si="238"/>
        <v>0.29846200768447467</v>
      </c>
      <c r="R742" s="309">
        <f>VLOOKUP($B742,'Infant adult mortality'!$A$27:$I$128,3)</f>
        <v>9.9470760779712553E-3</v>
      </c>
      <c r="S742" s="309">
        <f t="shared" si="239"/>
        <v>8.6261668788331098E-3</v>
      </c>
      <c r="T742" s="309">
        <f>VLOOKUP($B742,'Infant pick up smoking rates'!$A$19:$I$104,2)</f>
        <v>0</v>
      </c>
      <c r="U742" s="309">
        <f t="shared" si="240"/>
        <v>0.12016234480898272</v>
      </c>
      <c r="V742" s="309">
        <f t="shared" si="241"/>
        <v>0.86126441223421291</v>
      </c>
      <c r="W742" s="309">
        <f>VLOOKUP($B742,'Infant adult mortality'!$A$27:$I$128,3)</f>
        <v>9.9470760779712553E-3</v>
      </c>
      <c r="X742" s="309">
        <f>VLOOKUP($B742,'Infant pick up smoking rates'!$A$19:$I$104,2)</f>
        <v>0</v>
      </c>
      <c r="Y742" s="309">
        <f t="shared" si="242"/>
        <v>0.9900529239220287</v>
      </c>
      <c r="Z742" s="309">
        <f>VLOOKUP($B742,'Infant adult mortality'!$A$27:$I$128,5)</f>
        <v>1.5643769499480015E-2</v>
      </c>
      <c r="AA742" s="309">
        <f t="shared" si="313"/>
        <v>0.25</v>
      </c>
      <c r="AB742" s="309">
        <f t="shared" si="244"/>
        <v>0.73435623050052001</v>
      </c>
      <c r="AC742" s="309">
        <f>VLOOKUP($B742,'Infant adult mortality'!$A$27:$I$128,5)</f>
        <v>1.5643769499480015E-2</v>
      </c>
      <c r="AD742" s="309">
        <f t="shared" si="314"/>
        <v>0.14000000000000001</v>
      </c>
      <c r="AE742" s="309">
        <f t="shared" si="246"/>
        <v>0.84435623050052</v>
      </c>
      <c r="AF742" s="309">
        <f>VLOOKUP($B742,'Infant adult mortality'!$A$27:$I$128,4)</f>
        <v>1.1408145116130237E-2</v>
      </c>
      <c r="AG742" s="309">
        <f t="shared" si="315"/>
        <v>0.5714285714285714</v>
      </c>
      <c r="AH742" s="309">
        <f t="shared" si="248"/>
        <v>0.41716328345529835</v>
      </c>
      <c r="AI742" s="309">
        <f>VLOOKUP($B742,'Infant adult mortality'!$A$27:$I$128,4)</f>
        <v>1.1408145116130237E-2</v>
      </c>
      <c r="AJ742" s="309">
        <f t="shared" si="316"/>
        <v>8.6261668788331098E-3</v>
      </c>
      <c r="AK742" s="309">
        <f t="shared" si="250"/>
        <v>0.97996568800503669</v>
      </c>
      <c r="AL742" s="309"/>
      <c r="AM742" s="315">
        <f t="shared" si="287"/>
        <v>5.0771253655207493</v>
      </c>
      <c r="AN742" s="316">
        <f t="shared" si="288"/>
        <v>1.6309899305582705</v>
      </c>
      <c r="AO742" s="316">
        <f t="shared" si="289"/>
        <v>0.27144087189697214</v>
      </c>
      <c r="AP742" s="316">
        <f t="shared" si="290"/>
        <v>15.131690983682745</v>
      </c>
      <c r="AQ742" s="316">
        <f t="shared" si="291"/>
        <v>124.24935457848041</v>
      </c>
      <c r="AR742" s="316">
        <f t="shared" si="292"/>
        <v>90.652201611598613</v>
      </c>
      <c r="AS742" s="316">
        <f t="shared" si="293"/>
        <v>23.207462109014255</v>
      </c>
      <c r="AT742" s="316">
        <f t="shared" si="294"/>
        <v>3.3210589140178306</v>
      </c>
      <c r="AU742" s="316">
        <f t="shared" si="295"/>
        <v>119.40158821472696</v>
      </c>
      <c r="AV742" s="316">
        <f t="shared" si="296"/>
        <v>127.05708742050307</v>
      </c>
      <c r="AW742" s="317">
        <f t="shared" si="251"/>
        <v>509.99999999999989</v>
      </c>
      <c r="AX742" s="309"/>
      <c r="AY742" s="308">
        <f>VLOOKUP($B742,'Infant adult mortality'!$A$134:$I$234,3)</f>
        <v>6.8973523372710061E-3</v>
      </c>
      <c r="AZ742" s="309">
        <f t="shared" si="252"/>
        <v>0.27</v>
      </c>
      <c r="BA742" s="309">
        <f ca="1">VLOOKUP($B742,'Infant pick up smoking rates'!$A$19:$I$104,7)</f>
        <v>0</v>
      </c>
      <c r="BB742" s="309">
        <f t="shared" si="253"/>
        <v>0.14624098391610749</v>
      </c>
      <c r="BC742" s="309">
        <f t="shared" ca="1" si="254"/>
        <v>0.57686166374662151</v>
      </c>
      <c r="BD742" s="309">
        <f>VLOOKUP($B742,'Infant adult mortality'!$A$134:$I$234,3)</f>
        <v>6.8973523372710061E-3</v>
      </c>
      <c r="BE742" s="309">
        <f t="shared" si="255"/>
        <v>0.14000000000000001</v>
      </c>
      <c r="BF742" s="309">
        <f>VLOOKUP($B742,'Infant pick up smoking rates'!$A$19:$I$104,6)</f>
        <v>0</v>
      </c>
      <c r="BG742" s="309">
        <f t="shared" si="256"/>
        <v>0.14624098391610749</v>
      </c>
      <c r="BH742" s="309">
        <f t="shared" si="257"/>
        <v>0.70686166374662152</v>
      </c>
      <c r="BI742" s="309">
        <f>VLOOKUP($B742,'Infant adult mortality'!$A$134:$I$234,3)</f>
        <v>6.8973523372710061E-3</v>
      </c>
      <c r="BJ742" s="309">
        <f t="shared" si="258"/>
        <v>0.5714285714285714</v>
      </c>
      <c r="BK742" s="309">
        <f>VLOOKUP($B742,'Infant pick up smoking rates'!$A$19:$I$104,6)</f>
        <v>0</v>
      </c>
      <c r="BL742" s="309">
        <f t="shared" si="259"/>
        <v>0.12016234480898272</v>
      </c>
      <c r="BM742" s="309">
        <f t="shared" si="260"/>
        <v>0.3015117314251749</v>
      </c>
      <c r="BN742" s="309">
        <f>VLOOKUP($B742,'Infant adult mortality'!$A$134:$I$234,3)</f>
        <v>6.8973523372710061E-3</v>
      </c>
      <c r="BO742" s="309">
        <f t="shared" si="261"/>
        <v>8.6261668788331098E-3</v>
      </c>
      <c r="BP742" s="309">
        <f>VLOOKUP($B742,'Infant pick up smoking rates'!$A$19:$I$104,6)</f>
        <v>0</v>
      </c>
      <c r="BQ742" s="309">
        <f t="shared" si="262"/>
        <v>0.12016234480898272</v>
      </c>
      <c r="BR742" s="309">
        <f t="shared" si="263"/>
        <v>0.86431413597491324</v>
      </c>
      <c r="BS742" s="309">
        <f>VLOOKUP($B742,'Infant adult mortality'!$A$134:$I$234,3)</f>
        <v>6.8973523372710061E-3</v>
      </c>
      <c r="BT742" s="309">
        <f>VLOOKUP($B742,'Infant pick up smoking rates'!$A$19:$I$104,6)</f>
        <v>0</v>
      </c>
      <c r="BU742" s="309">
        <f t="shared" si="264"/>
        <v>0.99310264766272904</v>
      </c>
      <c r="BV742" s="309">
        <f>VLOOKUP($B742,'Infant adult mortality'!$A$134:$I$234,5)</f>
        <v>1.0847468067518198E-2</v>
      </c>
      <c r="BW742" s="309">
        <f t="shared" si="322"/>
        <v>0.27</v>
      </c>
      <c r="BX742" s="309">
        <f t="shared" si="266"/>
        <v>0.71915253193248174</v>
      </c>
      <c r="BY742" s="309">
        <f>VLOOKUP($B742,'Infant adult mortality'!$A$134:$I$234,5)</f>
        <v>1.0847468067518198E-2</v>
      </c>
      <c r="BZ742" s="309">
        <f t="shared" si="267"/>
        <v>0.14000000000000001</v>
      </c>
      <c r="CA742" s="309">
        <f t="shared" si="268"/>
        <v>0.84915253193248175</v>
      </c>
      <c r="CB742" s="309">
        <f>VLOOKUP($B742,'Infant adult mortality'!$A$134:$I$234,4)</f>
        <v>7.9104649209354415E-3</v>
      </c>
      <c r="CC742" s="309">
        <f t="shared" si="269"/>
        <v>0.5714285714285714</v>
      </c>
      <c r="CD742" s="309">
        <f t="shared" si="270"/>
        <v>0.42066096365049316</v>
      </c>
      <c r="CE742" s="309">
        <f>VLOOKUP($B742,'Infant adult mortality'!$A$134:$I$234,4)</f>
        <v>7.9104649209354415E-3</v>
      </c>
      <c r="CF742" s="309">
        <f t="shared" si="271"/>
        <v>8.6261668788331098E-3</v>
      </c>
      <c r="CG742" s="309">
        <f t="shared" si="272"/>
        <v>0.9834633682002315</v>
      </c>
      <c r="CH742" s="309"/>
      <c r="CI742" s="315">
        <f t="shared" ca="1" si="297"/>
        <v>7.0629403578518142</v>
      </c>
      <c r="CJ742" s="316">
        <f t="shared" ca="1" si="298"/>
        <v>2.26075922836585</v>
      </c>
      <c r="CK742" s="316">
        <f t="shared" ca="1" si="299"/>
        <v>0.3749605987441631</v>
      </c>
      <c r="CL742" s="316">
        <f t="shared" ca="1" si="300"/>
        <v>20.811816078016637</v>
      </c>
      <c r="CM742" s="316">
        <f t="shared" ca="1" si="301"/>
        <v>171.23430235181883</v>
      </c>
      <c r="CN742" s="316">
        <f t="shared" ca="1" si="302"/>
        <v>70.070980986493836</v>
      </c>
      <c r="CO742" s="316">
        <f t="shared" ca="1" si="303"/>
        <v>19.28782767873788</v>
      </c>
      <c r="CP742" s="316">
        <f t="shared" ca="1" si="304"/>
        <v>2.7493683665600619</v>
      </c>
      <c r="CQ742" s="316">
        <f t="shared" ca="1" si="305"/>
        <v>97.64602330384173</v>
      </c>
      <c r="CR742" s="316">
        <f t="shared" ca="1" si="306"/>
        <v>98.501021049569871</v>
      </c>
      <c r="CS742" s="317">
        <f t="shared" ca="1" si="273"/>
        <v>490.00000000000068</v>
      </c>
      <c r="CT742" s="309"/>
      <c r="CU742" s="309">
        <f t="shared" ca="1" si="274"/>
        <v>1000.0000000000006</v>
      </c>
      <c r="CV742" s="309" t="str">
        <f t="shared" ca="1" si="317"/>
        <v>OKAY</v>
      </c>
      <c r="CW742" s="309"/>
      <c r="CX742" s="315">
        <f>(SUM($AR742:$AS742))-((SUM($AR742:$AS742)*VLOOKUP($B742,Lifetime_morbidity_array!$A$30:$Y$48,4))+(SUM($AR742:$AS742)*VLOOKUP($B742,Lifetime_morbidity_array!$A$30:$Y$48,7))+(SUM($AR742:$AS742)*VLOOKUP($B742,Lifetime_morbidity_array!$A$30:$Y$48,10))+(SUM($AR742:$AS742)*VLOOKUP($B742,Lifetime_morbidity_array!$A$30:$Y$48,13)))</f>
        <v>-1.0271600737247439</v>
      </c>
      <c r="CY742" s="316">
        <f>(SUM($AT742:$AU742))-((SUM($AT742:$AU742)*(VLOOKUP($B742,Lifetime_morbidity_array!$A$30:$Y$48,3)))+(SUM($AT742:$AU742)*(VLOOKUP($B742,Lifetime_morbidity_array!$A$30:$Y$48,6)))+(SUM($AT742:$AU742)*(VLOOKUP($B742,Lifetime_morbidity_array!$A$30:$Y$48,9)))+(SUM($AT742:$AU742)*(VLOOKUP($B742,Lifetime_morbidity_array!$A$30:$Y$48,12))))</f>
        <v>56.276038188722623</v>
      </c>
      <c r="CZ742" s="316">
        <f>(SUM($AM742:$AQ742))-((SUM($AM742:$AQ742)*VLOOKUP($B742,Lifetime_morbidity_array!$A$30:$Y$48,2))+(SUM($AM742:$AQ742)*VLOOKUP($B742,Lifetime_morbidity_array!$A$30:$Y$48,5))+(SUM($AM742:$AQ742)*VLOOKUP($B742,Lifetime_morbidity_array!$A$30:$Y$48,8))+(SUM($AM742:$AQ742)*VLOOKUP($B742,Lifetime_morbidity_array!$A$30:$Y$48,11)))</f>
        <v>93.416465936806375</v>
      </c>
      <c r="DA742" s="316">
        <f>(SUM($AM742:$AQ742)*VLOOKUP($B742,Lifetime_morbidity_array!$A$30:$Y$48,2))+(SUM($AR742:$AS742)*VLOOKUP($B742,Lifetime_morbidity_array!$A$30:$Y$48,4))+(SUM($AT742:$AU742)*(VLOOKUP($B742,Lifetime_morbidity_array!$A$30:$Y$48,3)))</f>
        <v>121.25086047765542</v>
      </c>
      <c r="DB742" s="316">
        <f>(SUM($AM742:$AQ742)*VLOOKUP($B742,Lifetime_morbidity_array!$A$30:$Y$48,5))+(SUM($AR742:$AS742)*VLOOKUP($B742,Lifetime_morbidity_array!$A$30:$Y$48,7))+(SUM($AT742:$AU742)*(VLOOKUP($B742,Lifetime_morbidity_array!$A$30:$Y$48,6)))</f>
        <v>55.054610715961346</v>
      </c>
      <c r="DC742" s="316">
        <f>(SUM($AM742:$AQ742)*VLOOKUP($B742,Lifetime_morbidity_array!$A$30:$Y$48,8))+(SUM($AR742:$AS742)*VLOOKUP($B742,Lifetime_morbidity_array!$A$30:$Y$48,10))+(SUM($AT742:$AU742)*(VLOOKUP($B742,Lifetime_morbidity_array!$A$30:$Y$48,9)))</f>
        <v>4.6730541874022018</v>
      </c>
      <c r="DD742" s="317">
        <f>(SUM($AM742:$AQ742)*VLOOKUP($B742,Lifetime_morbidity_array!$A$30:$Y$48,11))+(SUM($AR742:$AS742)*VLOOKUP($B742,Lifetime_morbidity_array!$A$30:$Y$48,13))+(SUM($AT742:$AU742)*(VLOOKUP($B742,Lifetime_morbidity_array!$A$30:$Y$48,12)))</f>
        <v>53.299043146673569</v>
      </c>
      <c r="DE742" s="309"/>
      <c r="DF742" s="315">
        <f ca="1">(SUM($CN742:$CO742))-((SUM($CN742:$CO742)*VLOOKUP($B742,Lifetime_morbidity_array!$A$6:$Y$24,4))+(SUM($CN742:$CO742)*VLOOKUP($B742,Lifetime_morbidity_array!$A$6:$Y$24,7))+(SUM($CN742:$CO742)*VLOOKUP($B742,Lifetime_morbidity_array!$A$6:$Y$24,10))+(SUM($CN742:$CO742)*VLOOKUP($B742,Lifetime_morbidity_array!$A$6:$Y$24,13)))</f>
        <v>6.6244770293970419</v>
      </c>
      <c r="DG742" s="316">
        <f ca="1">(SUM($CP742:$CQ742))-(((SUM($CP742:$CQ742)*VLOOKUP($B742,Lifetime_morbidity_array!$A$6:$Y$24,3))+(SUM($CP742:$CQ742)*VLOOKUP($B742,Lifetime_morbidity_array!$A$6:$Y$24,6))+(SUM($CP742:$CQ742)*VLOOKUP($B742,Lifetime_morbidity_array!$A$6:$Y$24,9))+(SUM($CP742:$CQ742)*VLOOKUP($B742,Lifetime_morbidity_array!$A$6:$Y$24,12))))</f>
        <v>55.575261103272901</v>
      </c>
      <c r="DH742" s="316">
        <f ca="1">(SUM($CI742:$CM742))-((SUM($CI742:$CM742)*VLOOKUP($B742,Lifetime_morbidity_array!$A$6:$Y$24,2))+(SUM($CI742:$CM742)*VLOOKUP($B742,Lifetime_morbidity_array!$A$6:$Y$24,5))+(SUM($CI742:$CM742)*VLOOKUP($B742,Lifetime_morbidity_array!$A$6:$Y$24,8))+(SUM($CI742:$CM742)*VLOOKUP($B742,Lifetime_morbidity_array!$A$6:$Y$24,11)))</f>
        <v>145.22063012936127</v>
      </c>
      <c r="DI742" s="316">
        <f ca="1">(SUM($CI742:$CM742)*VLOOKUP($B742,Lifetime_morbidity_array!$A$6:$Y$24,2))+(SUM($CN742:$CO742)*VLOOKUP($B742,Lifetime_morbidity_array!$A$6:$Y$24,4))+(SUM($CP742:$CQ742)*VLOOKUP($B742,Lifetime_morbidity_array!$A$6:$Y$24,3))</f>
        <v>85.539212635049495</v>
      </c>
      <c r="DJ742" s="316">
        <f ca="1">(SUM($CI742:$CM742)*VLOOKUP($B742,Lifetime_morbidity_array!$A$6:$Y$24,5))+(SUM($CN742:$CO742)*VLOOKUP($B742,Lifetime_morbidity_array!$A$6:$Y$24,7))+(SUM($CP742:$CQ742)*VLOOKUP($B742,Lifetime_morbidity_array!$A$6:$Y$24,6))</f>
        <v>50.19802654985574</v>
      </c>
      <c r="DK742" s="316">
        <f ca="1">(SUM($CI742:$CM742)*VLOOKUP($B742,Lifetime_morbidity_array!$A$6:$Y$24,8))+(SUM($CN742:$CO742)*VLOOKUP($B742,Lifetime_morbidity_array!$A$6:$Y$24,10))+(SUM($CP742:$CQ742)*VLOOKUP($B742,Lifetime_morbidity_array!$A$6:$Y$24,9))</f>
        <v>1.8357810502232135</v>
      </c>
      <c r="DL742" s="317">
        <f ca="1">(SUM($CI742:$CM742)*VLOOKUP($B742,Lifetime_morbidity_array!$A$6:$Y$24,11))+(SUM($CN742:$CO742)*VLOOKUP($B742,Lifetime_morbidity_array!$A$6:$Y$24,13))+(SUM($CP742:$CQ742)*VLOOKUP($B742,Lifetime_morbidity_array!$A$6:$Y$24,12))</f>
        <v>46.505590453271147</v>
      </c>
      <c r="DM742" s="309"/>
      <c r="DN742" s="308">
        <f t="shared" si="275"/>
        <v>76</v>
      </c>
      <c r="DO742" s="309">
        <f t="shared" ca="1" si="323"/>
        <v>56.692061915901746</v>
      </c>
      <c r="DP742" s="310">
        <f t="shared" ca="1" si="307"/>
        <v>23357.095416472173</v>
      </c>
      <c r="DQ742" s="309"/>
      <c r="DR742" s="308">
        <f t="shared" si="277"/>
        <v>76</v>
      </c>
      <c r="DS742" s="309">
        <f ca="1">((VLOOKUP($B742,'Mahawesran Tariff'!$A$21:$M$120,4)*'Comparator (DET)'!$CX742)+(VLOOKUP($B742,'Mahawesran Tariff'!$A$21:$M$120,3)*'Comparator (DET)'!$CY742)+(VLOOKUP($B742,'Mahawesran Tariff'!$A$21:$M$120,2)*'Comparator (DET)'!$CZ742)+(VLOOKUP($B742,'Mahawesran Tariff'!$A$21:$M$120,7)*'Comparator (DET)'!$DF742)+(VLOOKUP($B742,'Mahawesran Tariff'!$A$21:$M$120,6)*'Comparator (DET)'!$DG742)+(VLOOKUP($B742,'Mahawesran Tariff'!$A$21:$M$120,5)*'Comparator (DET)'!$DH742)+(DET_UTIL_chd*('Comparator (DET)'!$DA742+'Comparator (DET)'!$DI742))+(DET_UTIL_copd*('Comparator (DET)'!$DB742+'Comparator (DET)'!$DJ742))+(DET_UTIL_lc*('Comparator (DET)'!$DC742+'Comparator (DET)'!$DK742))+(DET_UTIL_stroke*('Comparator (DET)'!$DD742+'Comparator (DET)'!$DL742)))/((1+Discount_rate_QALYs)^$A742)</f>
        <v>46.288308078505928</v>
      </c>
      <c r="DT742" s="310">
        <f t="shared" ca="1" si="308"/>
        <v>22958.374997803599</v>
      </c>
      <c r="DU742" s="309"/>
      <c r="DV742" s="308">
        <f t="shared" si="278"/>
        <v>76</v>
      </c>
      <c r="DW742" s="318">
        <f t="shared" ca="1" si="324"/>
        <v>197609.27700989053</v>
      </c>
      <c r="DX742" s="319">
        <f t="shared" ca="1" si="309"/>
        <v>9329200.8110777773</v>
      </c>
      <c r="DZ742" s="95">
        <f t="shared" si="280"/>
        <v>76</v>
      </c>
      <c r="EA742" s="268">
        <f t="shared" ca="1" si="318"/>
        <v>0.7744418915299276</v>
      </c>
      <c r="EB742" s="268">
        <f t="shared" ca="1" si="319"/>
        <v>0.22555810847007293</v>
      </c>
      <c r="EC742" s="268">
        <f t="shared" ca="1" si="320"/>
        <v>0.41835617921609214</v>
      </c>
      <c r="ED742" s="290">
        <f t="shared" ca="1" si="321"/>
        <v>0.42633651118499122</v>
      </c>
      <c r="EF742" s="95">
        <f t="shared" si="281"/>
        <v>76</v>
      </c>
      <c r="EG742" s="339">
        <f t="shared" ca="1" si="325"/>
        <v>197609.27700989053</v>
      </c>
      <c r="EH742" s="341">
        <f t="shared" ca="1" si="310"/>
        <v>12429332.746933861</v>
      </c>
      <c r="EJ742" s="308">
        <f t="shared" si="283"/>
        <v>76</v>
      </c>
      <c r="EK742" s="318">
        <f t="shared" ca="1" si="284"/>
        <v>197609.27700989053</v>
      </c>
      <c r="EL742" s="319">
        <f t="shared" ca="1" si="311"/>
        <v>9329200.8110777773</v>
      </c>
      <c r="EN742" s="95">
        <f t="shared" si="285"/>
        <v>76</v>
      </c>
      <c r="EO742" s="339">
        <f t="shared" ca="1" si="286"/>
        <v>197609.27700989053</v>
      </c>
      <c r="EP742" s="341">
        <f t="shared" ca="1" si="312"/>
        <v>12429332.746933861</v>
      </c>
    </row>
    <row r="743" spans="1:146" s="266" customFormat="1" x14ac:dyDescent="0.25">
      <c r="A743" s="313">
        <v>77</v>
      </c>
      <c r="B743" s="314">
        <v>77</v>
      </c>
      <c r="C743" s="308">
        <f>VLOOKUP($B743,'Infant adult mortality'!$A$27:$I$128,3)</f>
        <v>1.0849762672995386E-2</v>
      </c>
      <c r="D743" s="309">
        <f t="shared" si="230"/>
        <v>0.27</v>
      </c>
      <c r="E743" s="309">
        <f>VLOOKUP($B743,'Infant pick up smoking rates'!$A$19:$I$104,3)</f>
        <v>0</v>
      </c>
      <c r="F743" s="309">
        <f t="shared" si="231"/>
        <v>0.14624098391610749</v>
      </c>
      <c r="G743" s="309">
        <f t="shared" si="232"/>
        <v>0.57290925341089705</v>
      </c>
      <c r="H743" s="309">
        <f>VLOOKUP($B743,'Infant adult mortality'!$A$27:$I$128,3)</f>
        <v>1.0849762672995386E-2</v>
      </c>
      <c r="I743" s="309">
        <f t="shared" si="233"/>
        <v>0.14000000000000001</v>
      </c>
      <c r="J743" s="309">
        <f>VLOOKUP($B743,'Infant pick up smoking rates'!$A$19:$I$104,2)</f>
        <v>0</v>
      </c>
      <c r="K743" s="309">
        <f t="shared" si="234"/>
        <v>0.14624098391610749</v>
      </c>
      <c r="L743" s="309">
        <f t="shared" si="235"/>
        <v>0.70290925341089705</v>
      </c>
      <c r="M743" s="309">
        <f>VLOOKUP($B743,'Infant adult mortality'!$A$27:$I$128,3)</f>
        <v>1.0849762672995386E-2</v>
      </c>
      <c r="N743" s="309">
        <f t="shared" si="236"/>
        <v>0.5714285714285714</v>
      </c>
      <c r="O743" s="309">
        <f>VLOOKUP($B743,'Infant pick up smoking rates'!$A$19:$I$104,2)</f>
        <v>0</v>
      </c>
      <c r="P743" s="309">
        <f t="shared" si="237"/>
        <v>0.12016234480898272</v>
      </c>
      <c r="Q743" s="309">
        <f t="shared" si="238"/>
        <v>0.29755932108945055</v>
      </c>
      <c r="R743" s="309">
        <f>VLOOKUP($B743,'Infant adult mortality'!$A$27:$I$128,3)</f>
        <v>1.0849762672995386E-2</v>
      </c>
      <c r="S743" s="309">
        <f t="shared" si="239"/>
        <v>8.6261668788331098E-3</v>
      </c>
      <c r="T743" s="309">
        <f>VLOOKUP($B743,'Infant pick up smoking rates'!$A$19:$I$104,2)</f>
        <v>0</v>
      </c>
      <c r="U743" s="309">
        <f t="shared" si="240"/>
        <v>0.12016234480898272</v>
      </c>
      <c r="V743" s="309">
        <f t="shared" si="241"/>
        <v>0.86036172563918878</v>
      </c>
      <c r="W743" s="309">
        <f>VLOOKUP($B743,'Infant adult mortality'!$A$27:$I$128,3)</f>
        <v>1.0849762672995386E-2</v>
      </c>
      <c r="X743" s="309">
        <f>VLOOKUP($B743,'Infant pick up smoking rates'!$A$19:$I$104,2)</f>
        <v>0</v>
      </c>
      <c r="Y743" s="309">
        <f t="shared" si="242"/>
        <v>0.98915023732700458</v>
      </c>
      <c r="Z743" s="309">
        <f>VLOOKUP($B743,'Infant adult mortality'!$A$27:$I$128,5)</f>
        <v>1.7063424975333988E-2</v>
      </c>
      <c r="AA743" s="309">
        <f t="shared" si="313"/>
        <v>0.25</v>
      </c>
      <c r="AB743" s="309">
        <f t="shared" si="244"/>
        <v>0.73293657502466603</v>
      </c>
      <c r="AC743" s="309">
        <f>VLOOKUP($B743,'Infant adult mortality'!$A$27:$I$128,5)</f>
        <v>1.7063424975333988E-2</v>
      </c>
      <c r="AD743" s="309">
        <f t="shared" si="314"/>
        <v>0.14000000000000001</v>
      </c>
      <c r="AE743" s="309">
        <f t="shared" si="246"/>
        <v>0.84293657502466601</v>
      </c>
      <c r="AF743" s="309">
        <f>VLOOKUP($B743,'Infant adult mortality'!$A$27:$I$128,4)</f>
        <v>1.2443422175408654E-2</v>
      </c>
      <c r="AG743" s="309">
        <f t="shared" si="315"/>
        <v>0.5714285714285714</v>
      </c>
      <c r="AH743" s="309">
        <f t="shared" si="248"/>
        <v>0.41612800639601993</v>
      </c>
      <c r="AI743" s="309">
        <f>VLOOKUP($B743,'Infant adult mortality'!$A$27:$I$128,4)</f>
        <v>1.2443422175408654E-2</v>
      </c>
      <c r="AJ743" s="309">
        <f t="shared" si="316"/>
        <v>8.6261668788331098E-3</v>
      </c>
      <c r="AK743" s="309">
        <f t="shared" si="250"/>
        <v>0.97893041094575828</v>
      </c>
      <c r="AL743" s="309"/>
      <c r="AM743" s="315">
        <f t="shared" si="287"/>
        <v>4.2664682701851975</v>
      </c>
      <c r="AN743" s="316">
        <f t="shared" si="288"/>
        <v>1.3708238486906024</v>
      </c>
      <c r="AO743" s="316">
        <f t="shared" si="289"/>
        <v>0.22833859027815789</v>
      </c>
      <c r="AP743" s="316">
        <f t="shared" si="290"/>
        <v>13.173836836215655</v>
      </c>
      <c r="AQ743" s="316">
        <f t="shared" si="291"/>
        <v>125.73315639132072</v>
      </c>
      <c r="AR743" s="316">
        <f t="shared" si="292"/>
        <v>88.416696443389696</v>
      </c>
      <c r="AS743" s="316">
        <f t="shared" si="293"/>
        <v>22.663050402899653</v>
      </c>
      <c r="AT743" s="316">
        <f t="shared" si="294"/>
        <v>3.249044695261996</v>
      </c>
      <c r="AU743" s="316">
        <f t="shared" si="295"/>
        <v>118.78359376948619</v>
      </c>
      <c r="AV743" s="316">
        <f t="shared" si="296"/>
        <v>132.11499075227198</v>
      </c>
      <c r="AW743" s="317">
        <f t="shared" si="251"/>
        <v>509.99999999999983</v>
      </c>
      <c r="AX743" s="309"/>
      <c r="AY743" s="308">
        <f>VLOOKUP($B743,'Infant adult mortality'!$A$134:$I$234,3)</f>
        <v>7.5645945441454891E-3</v>
      </c>
      <c r="AZ743" s="309">
        <f t="shared" si="252"/>
        <v>0.27</v>
      </c>
      <c r="BA743" s="309">
        <f ca="1">VLOOKUP($B743,'Infant pick up smoking rates'!$A$19:$I$104,7)</f>
        <v>0</v>
      </c>
      <c r="BB743" s="309">
        <f t="shared" si="253"/>
        <v>0.14624098391610749</v>
      </c>
      <c r="BC743" s="309">
        <f t="shared" ca="1" si="254"/>
        <v>0.57619442153974698</v>
      </c>
      <c r="BD743" s="309">
        <f>VLOOKUP($B743,'Infant adult mortality'!$A$134:$I$234,3)</f>
        <v>7.5645945441454891E-3</v>
      </c>
      <c r="BE743" s="309">
        <f t="shared" si="255"/>
        <v>0.14000000000000001</v>
      </c>
      <c r="BF743" s="309">
        <f>VLOOKUP($B743,'Infant pick up smoking rates'!$A$19:$I$104,6)</f>
        <v>0</v>
      </c>
      <c r="BG743" s="309">
        <f t="shared" si="256"/>
        <v>0.14624098391610749</v>
      </c>
      <c r="BH743" s="309">
        <f t="shared" si="257"/>
        <v>0.70619442153974699</v>
      </c>
      <c r="BI743" s="309">
        <f>VLOOKUP($B743,'Infant adult mortality'!$A$134:$I$234,3)</f>
        <v>7.5645945441454891E-3</v>
      </c>
      <c r="BJ743" s="309">
        <f t="shared" si="258"/>
        <v>0.5714285714285714</v>
      </c>
      <c r="BK743" s="309">
        <f>VLOOKUP($B743,'Infant pick up smoking rates'!$A$19:$I$104,6)</f>
        <v>0</v>
      </c>
      <c r="BL743" s="309">
        <f t="shared" si="259"/>
        <v>0.12016234480898272</v>
      </c>
      <c r="BM743" s="309">
        <f t="shared" si="260"/>
        <v>0.30084448921830043</v>
      </c>
      <c r="BN743" s="309">
        <f>VLOOKUP($B743,'Infant adult mortality'!$A$134:$I$234,3)</f>
        <v>7.5645945441454891E-3</v>
      </c>
      <c r="BO743" s="309">
        <f t="shared" si="261"/>
        <v>8.6261668788331098E-3</v>
      </c>
      <c r="BP743" s="309">
        <f>VLOOKUP($B743,'Infant pick up smoking rates'!$A$19:$I$104,6)</f>
        <v>0</v>
      </c>
      <c r="BQ743" s="309">
        <f t="shared" si="262"/>
        <v>0.12016234480898272</v>
      </c>
      <c r="BR743" s="309">
        <f t="shared" si="263"/>
        <v>0.86364689376803871</v>
      </c>
      <c r="BS743" s="309">
        <f>VLOOKUP($B743,'Infant adult mortality'!$A$134:$I$234,3)</f>
        <v>7.5645945441454891E-3</v>
      </c>
      <c r="BT743" s="309">
        <f>VLOOKUP($B743,'Infant pick up smoking rates'!$A$19:$I$104,6)</f>
        <v>0</v>
      </c>
      <c r="BU743" s="309">
        <f t="shared" si="264"/>
        <v>0.99243540545585451</v>
      </c>
      <c r="BV743" s="309">
        <f>VLOOKUP($B743,'Infant adult mortality'!$A$134:$I$234,5)</f>
        <v>1.1896840084264419E-2</v>
      </c>
      <c r="BW743" s="309">
        <f t="shared" si="322"/>
        <v>0.27</v>
      </c>
      <c r="BX743" s="309">
        <f t="shared" si="266"/>
        <v>0.71810315991573559</v>
      </c>
      <c r="BY743" s="309">
        <f>VLOOKUP($B743,'Infant adult mortality'!$A$134:$I$234,5)</f>
        <v>1.1896840084264419E-2</v>
      </c>
      <c r="BZ743" s="309">
        <f t="shared" si="267"/>
        <v>0.14000000000000001</v>
      </c>
      <c r="CA743" s="309">
        <f t="shared" si="268"/>
        <v>0.84810315991573559</v>
      </c>
      <c r="CB743" s="309">
        <f>VLOOKUP($B743,'Infant adult mortality'!$A$134:$I$234,4)</f>
        <v>8.6757145142796182E-3</v>
      </c>
      <c r="CC743" s="309">
        <f t="shared" si="269"/>
        <v>0.5714285714285714</v>
      </c>
      <c r="CD743" s="309">
        <f t="shared" si="270"/>
        <v>0.41989571405714898</v>
      </c>
      <c r="CE743" s="309">
        <f>VLOOKUP($B743,'Infant adult mortality'!$A$134:$I$234,4)</f>
        <v>8.6757145142796182E-3</v>
      </c>
      <c r="CF743" s="309">
        <f t="shared" si="271"/>
        <v>8.6261668788331098E-3</v>
      </c>
      <c r="CG743" s="309">
        <f t="shared" si="272"/>
        <v>0.98269811860688727</v>
      </c>
      <c r="CH743" s="309"/>
      <c r="CI743" s="315">
        <f t="shared" ca="1" si="297"/>
        <v>5.9584934177253546</v>
      </c>
      <c r="CJ743" s="316">
        <f t="shared" ca="1" si="298"/>
        <v>1.90699389661999</v>
      </c>
      <c r="CK743" s="316">
        <f t="shared" ca="1" si="299"/>
        <v>0.31650629197121904</v>
      </c>
      <c r="CL743" s="316">
        <f t="shared" ca="1" si="300"/>
        <v>18.188323508733173</v>
      </c>
      <c r="CM743" s="316">
        <f t="shared" ca="1" si="301"/>
        <v>173.84834404812821</v>
      </c>
      <c r="CN743" s="316">
        <f t="shared" ca="1" si="302"/>
        <v>68.673019352600676</v>
      </c>
      <c r="CO743" s="316">
        <f t="shared" ca="1" si="303"/>
        <v>18.919164866353338</v>
      </c>
      <c r="CP743" s="316">
        <f t="shared" ca="1" si="304"/>
        <v>2.7002958750233033</v>
      </c>
      <c r="CQ743" s="316">
        <f t="shared" ca="1" si="305"/>
        <v>97.527631028163867</v>
      </c>
      <c r="CR743" s="316">
        <f t="shared" ca="1" si="306"/>
        <v>101.96122771468153</v>
      </c>
      <c r="CS743" s="317">
        <f t="shared" ca="1" si="273"/>
        <v>490.00000000000063</v>
      </c>
      <c r="CT743" s="309"/>
      <c r="CU743" s="309">
        <f t="shared" ca="1" si="274"/>
        <v>1000.0000000000005</v>
      </c>
      <c r="CV743" s="309" t="str">
        <f t="shared" ca="1" si="317"/>
        <v>OKAY</v>
      </c>
      <c r="CW743" s="309"/>
      <c r="CX743" s="315">
        <f>(SUM($AR743:$AS743))-((SUM($AR743:$AS743)*VLOOKUP($B743,Lifetime_morbidity_array!$A$30:$Y$48,4))+(SUM($AR743:$AS743)*VLOOKUP($B743,Lifetime_morbidity_array!$A$30:$Y$48,7))+(SUM($AR743:$AS743)*VLOOKUP($B743,Lifetime_morbidity_array!$A$30:$Y$48,10))+(SUM($AR743:$AS743)*VLOOKUP($B743,Lifetime_morbidity_array!$A$30:$Y$48,13)))</f>
        <v>-1.0020816611572769</v>
      </c>
      <c r="CY743" s="316">
        <f>(SUM($AT743:$AU743))-((SUM($AT743:$AU743)*(VLOOKUP($B743,Lifetime_morbidity_array!$A$30:$Y$48,3)))+(SUM($AT743:$AU743)*(VLOOKUP($B743,Lifetime_morbidity_array!$A$30:$Y$48,6)))+(SUM($AT743:$AU743)*(VLOOKUP($B743,Lifetime_morbidity_array!$A$30:$Y$48,9)))+(SUM($AT743:$AU743)*(VLOOKUP($B743,Lifetime_morbidity_array!$A$30:$Y$48,12))))</f>
        <v>55.959625897803861</v>
      </c>
      <c r="CZ743" s="316">
        <f>(SUM($AM743:$AQ743))-((SUM($AM743:$AQ743)*VLOOKUP($B743,Lifetime_morbidity_array!$A$30:$Y$48,2))+(SUM($AM743:$AQ743)*VLOOKUP($B743,Lifetime_morbidity_array!$A$30:$Y$48,5))+(SUM($AM743:$AQ743)*VLOOKUP($B743,Lifetime_morbidity_array!$A$30:$Y$48,8))+(SUM($AM743:$AQ743)*VLOOKUP($B743,Lifetime_morbidity_array!$A$30:$Y$48,11)))</f>
        <v>92.402919451642063</v>
      </c>
      <c r="DA743" s="316">
        <f>(SUM($AM743:$AQ743)*VLOOKUP($B743,Lifetime_morbidity_array!$A$30:$Y$48,2))+(SUM($AR743:$AS743)*VLOOKUP($B743,Lifetime_morbidity_array!$A$30:$Y$48,4))+(SUM($AT743:$AU743)*(VLOOKUP($B743,Lifetime_morbidity_array!$A$30:$Y$48,3)))</f>
        <v>119.43298908352335</v>
      </c>
      <c r="DB743" s="316">
        <f>(SUM($AM743:$AQ743)*VLOOKUP($B743,Lifetime_morbidity_array!$A$30:$Y$48,5))+(SUM($AR743:$AS743)*VLOOKUP($B743,Lifetime_morbidity_array!$A$30:$Y$48,7))+(SUM($AT743:$AU743)*(VLOOKUP($B743,Lifetime_morbidity_array!$A$30:$Y$48,6)))</f>
        <v>53.974007996110373</v>
      </c>
      <c r="DC743" s="316">
        <f>(SUM($AM743:$AQ743)*VLOOKUP($B743,Lifetime_morbidity_array!$A$30:$Y$48,8))+(SUM($AR743:$AS743)*VLOOKUP($B743,Lifetime_morbidity_array!$A$30:$Y$48,10))+(SUM($AT743:$AU743)*(VLOOKUP($B743,Lifetime_morbidity_array!$A$30:$Y$48,9)))</f>
        <v>4.581489524742917</v>
      </c>
      <c r="DD743" s="317">
        <f>(SUM($AM743:$AQ743)*VLOOKUP($B743,Lifetime_morbidity_array!$A$30:$Y$48,11))+(SUM($AR743:$AS743)*VLOOKUP($B743,Lifetime_morbidity_array!$A$30:$Y$48,13))+(SUM($AT743:$AU743)*(VLOOKUP($B743,Lifetime_morbidity_array!$A$30:$Y$48,12)))</f>
        <v>52.536058955062572</v>
      </c>
      <c r="DE743" s="309"/>
      <c r="DF743" s="315">
        <f ca="1">(SUM($CN743:$CO743))-((SUM($CN743:$CO743)*VLOOKUP($B743,Lifetime_morbidity_array!$A$6:$Y$24,4))+(SUM($CN743:$CO743)*VLOOKUP($B743,Lifetime_morbidity_array!$A$6:$Y$24,7))+(SUM($CN743:$CO743)*VLOOKUP($B743,Lifetime_morbidity_array!$A$6:$Y$24,10))+(SUM($CN743:$CO743)*VLOOKUP($B743,Lifetime_morbidity_array!$A$6:$Y$24,13)))</f>
        <v>6.4935110592957415</v>
      </c>
      <c r="DG743" s="316">
        <f ca="1">(SUM($CP743:$CQ743))-(((SUM($CP743:$CQ743)*VLOOKUP($B743,Lifetime_morbidity_array!$A$6:$Y$24,3))+(SUM($CP743:$CQ743)*VLOOKUP($B743,Lifetime_morbidity_array!$A$6:$Y$24,6))+(SUM($CP743:$CQ743)*VLOOKUP($B743,Lifetime_morbidity_array!$A$6:$Y$24,9))+(SUM($CP743:$CQ743)*VLOOKUP($B743,Lifetime_morbidity_array!$A$6:$Y$24,12))))</f>
        <v>55.482558659378796</v>
      </c>
      <c r="DH743" s="316">
        <f ca="1">(SUM($CI743:$CM743))-((SUM($CI743:$CM743)*VLOOKUP($B743,Lifetime_morbidity_array!$A$6:$Y$24,2))+(SUM($CI743:$CM743)*VLOOKUP($B743,Lifetime_morbidity_array!$A$6:$Y$24,5))+(SUM($CI743:$CM743)*VLOOKUP($B743,Lifetime_morbidity_array!$A$6:$Y$24,8))+(SUM($CI743:$CM743)*VLOOKUP($B743,Lifetime_morbidity_array!$A$6:$Y$24,11)))</f>
        <v>144.12209494298736</v>
      </c>
      <c r="DI743" s="316">
        <f ca="1">(SUM($CI743:$CM743)*VLOOKUP($B743,Lifetime_morbidity_array!$A$6:$Y$24,2))+(SUM($CN743:$CO743)*VLOOKUP($B743,Lifetime_morbidity_array!$A$6:$Y$24,4))+(SUM($CP743:$CQ743)*VLOOKUP($B743,Lifetime_morbidity_array!$A$6:$Y$24,3))</f>
        <v>84.617580128483269</v>
      </c>
      <c r="DJ743" s="316">
        <f ca="1">(SUM($CI743:$CM743)*VLOOKUP($B743,Lifetime_morbidity_array!$A$6:$Y$24,5))+(SUM($CN743:$CO743)*VLOOKUP($B743,Lifetime_morbidity_array!$A$6:$Y$24,7))+(SUM($CP743:$CQ743)*VLOOKUP($B743,Lifetime_morbidity_array!$A$6:$Y$24,6))</f>
        <v>49.481405550981648</v>
      </c>
      <c r="DK743" s="316">
        <f ca="1">(SUM($CI743:$CM743)*VLOOKUP($B743,Lifetime_morbidity_array!$A$6:$Y$24,8))+(SUM($CN743:$CO743)*VLOOKUP($B743,Lifetime_morbidity_array!$A$6:$Y$24,10))+(SUM($CP743:$CQ743)*VLOOKUP($B743,Lifetime_morbidity_array!$A$6:$Y$24,9))</f>
        <v>1.8083718712368626</v>
      </c>
      <c r="DL743" s="317">
        <f ca="1">(SUM($CI743:$CM743)*VLOOKUP($B743,Lifetime_morbidity_array!$A$6:$Y$24,11))+(SUM($CN743:$CO743)*VLOOKUP($B743,Lifetime_morbidity_array!$A$6:$Y$24,13))+(SUM($CP743:$CQ743)*VLOOKUP($B743,Lifetime_morbidity_array!$A$6:$Y$24,12))</f>
        <v>46.033250072955482</v>
      </c>
      <c r="DM743" s="309"/>
      <c r="DN743" s="308">
        <f t="shared" si="275"/>
        <v>77</v>
      </c>
      <c r="DO743" s="309">
        <f t="shared" ca="1" si="323"/>
        <v>54.172467823131939</v>
      </c>
      <c r="DP743" s="310">
        <f t="shared" ca="1" si="307"/>
        <v>23411.267884295306</v>
      </c>
      <c r="DQ743" s="309"/>
      <c r="DR743" s="308">
        <f t="shared" si="277"/>
        <v>77</v>
      </c>
      <c r="DS743" s="309">
        <f ca="1">((VLOOKUP($B743,'Mahawesran Tariff'!$A$21:$M$120,4)*'Comparator (DET)'!$CX743)+(VLOOKUP($B743,'Mahawesran Tariff'!$A$21:$M$120,3)*'Comparator (DET)'!$CY743)+(VLOOKUP($B743,'Mahawesran Tariff'!$A$21:$M$120,2)*'Comparator (DET)'!$CZ743)+(VLOOKUP($B743,'Mahawesran Tariff'!$A$21:$M$120,7)*'Comparator (DET)'!$DF743)+(VLOOKUP($B743,'Mahawesran Tariff'!$A$21:$M$120,6)*'Comparator (DET)'!$DG743)+(VLOOKUP($B743,'Mahawesran Tariff'!$A$21:$M$120,5)*'Comparator (DET)'!$DH743)+(DET_UTIL_chd*('Comparator (DET)'!$DA743+'Comparator (DET)'!$DI743))+(DET_UTIL_copd*('Comparator (DET)'!$DB743+'Comparator (DET)'!$DJ743))+(DET_UTIL_lc*('Comparator (DET)'!$DC743+'Comparator (DET)'!$DK743))+(DET_UTIL_stroke*('Comparator (DET)'!$DD743+'Comparator (DET)'!$DL743)))/((1+Discount_rate_QALYs)^$A743)</f>
        <v>44.248201036248169</v>
      </c>
      <c r="DT743" s="310">
        <f t="shared" ca="1" si="308"/>
        <v>23002.623198839847</v>
      </c>
      <c r="DU743" s="309"/>
      <c r="DV743" s="308">
        <f t="shared" si="278"/>
        <v>77</v>
      </c>
      <c r="DW743" s="318">
        <f t="shared" ca="1" si="324"/>
        <v>188484.78688227059</v>
      </c>
      <c r="DX743" s="319">
        <f t="shared" ca="1" si="309"/>
        <v>9517685.5979600474</v>
      </c>
      <c r="DZ743" s="95">
        <f t="shared" si="280"/>
        <v>77</v>
      </c>
      <c r="EA743" s="268">
        <f t="shared" ca="1" si="318"/>
        <v>0.76592378153304697</v>
      </c>
      <c r="EB743" s="268">
        <f t="shared" ca="1" si="319"/>
        <v>0.23407621846695348</v>
      </c>
      <c r="EC743" s="268">
        <f t="shared" ca="1" si="320"/>
        <v>0.41246515318309651</v>
      </c>
      <c r="ED743" s="290">
        <f t="shared" ca="1" si="321"/>
        <v>0.4209324964331787</v>
      </c>
      <c r="EF743" s="95">
        <f t="shared" si="281"/>
        <v>77</v>
      </c>
      <c r="EG743" s="339">
        <f t="shared" ca="1" si="325"/>
        <v>188484.78688227059</v>
      </c>
      <c r="EH743" s="341">
        <f t="shared" ca="1" si="310"/>
        <v>12617817.533816131</v>
      </c>
      <c r="EJ743" s="308">
        <f t="shared" si="283"/>
        <v>77</v>
      </c>
      <c r="EK743" s="318">
        <f t="shared" ca="1" si="284"/>
        <v>188484.78688227059</v>
      </c>
      <c r="EL743" s="319">
        <f t="shared" ca="1" si="311"/>
        <v>9517685.5979600474</v>
      </c>
      <c r="EN743" s="95">
        <f t="shared" si="285"/>
        <v>77</v>
      </c>
      <c r="EO743" s="339">
        <f t="shared" ca="1" si="286"/>
        <v>188484.78688227059</v>
      </c>
      <c r="EP743" s="341">
        <f t="shared" ca="1" si="312"/>
        <v>12617817.533816131</v>
      </c>
    </row>
    <row r="744" spans="1:146" s="266" customFormat="1" x14ac:dyDescent="0.25">
      <c r="A744" s="313">
        <v>78</v>
      </c>
      <c r="B744" s="314">
        <v>78</v>
      </c>
      <c r="C744" s="308">
        <f>VLOOKUP($B744,'Infant adult mortality'!$A$27:$I$128,3)</f>
        <v>1.185543372176742E-2</v>
      </c>
      <c r="D744" s="309">
        <f t="shared" si="230"/>
        <v>0.27</v>
      </c>
      <c r="E744" s="309">
        <f>VLOOKUP($B744,'Infant pick up smoking rates'!$A$19:$I$104,3)</f>
        <v>0</v>
      </c>
      <c r="F744" s="309">
        <f t="shared" si="231"/>
        <v>0.14624098391610749</v>
      </c>
      <c r="G744" s="309">
        <f t="shared" si="232"/>
        <v>0.57190358236212502</v>
      </c>
      <c r="H744" s="309">
        <f>VLOOKUP($B744,'Infant adult mortality'!$A$27:$I$128,3)</f>
        <v>1.185543372176742E-2</v>
      </c>
      <c r="I744" s="309">
        <f t="shared" si="233"/>
        <v>0.14000000000000001</v>
      </c>
      <c r="J744" s="309">
        <f>VLOOKUP($B744,'Infant pick up smoking rates'!$A$19:$I$104,2)</f>
        <v>0</v>
      </c>
      <c r="K744" s="309">
        <f t="shared" si="234"/>
        <v>0.14624098391610749</v>
      </c>
      <c r="L744" s="309">
        <f t="shared" si="235"/>
        <v>0.70190358236212502</v>
      </c>
      <c r="M744" s="309">
        <f>VLOOKUP($B744,'Infant adult mortality'!$A$27:$I$128,3)</f>
        <v>1.185543372176742E-2</v>
      </c>
      <c r="N744" s="309">
        <f t="shared" si="236"/>
        <v>0.5714285714285714</v>
      </c>
      <c r="O744" s="309">
        <f>VLOOKUP($B744,'Infant pick up smoking rates'!$A$19:$I$104,2)</f>
        <v>0</v>
      </c>
      <c r="P744" s="309">
        <f t="shared" si="237"/>
        <v>0.12016234480898272</v>
      </c>
      <c r="Q744" s="309">
        <f t="shared" si="238"/>
        <v>0.29655365004067852</v>
      </c>
      <c r="R744" s="309">
        <f>VLOOKUP($B744,'Infant adult mortality'!$A$27:$I$128,3)</f>
        <v>1.185543372176742E-2</v>
      </c>
      <c r="S744" s="309">
        <f t="shared" si="239"/>
        <v>8.6261668788331098E-3</v>
      </c>
      <c r="T744" s="309">
        <f>VLOOKUP($B744,'Infant pick up smoking rates'!$A$19:$I$104,2)</f>
        <v>0</v>
      </c>
      <c r="U744" s="309">
        <f t="shared" si="240"/>
        <v>0.12016234480898272</v>
      </c>
      <c r="V744" s="309">
        <f t="shared" si="241"/>
        <v>0.85935605459041675</v>
      </c>
      <c r="W744" s="309">
        <f>VLOOKUP($B744,'Infant adult mortality'!$A$27:$I$128,3)</f>
        <v>1.185543372176742E-2</v>
      </c>
      <c r="X744" s="309">
        <f>VLOOKUP($B744,'Infant pick up smoking rates'!$A$19:$I$104,2)</f>
        <v>0</v>
      </c>
      <c r="Y744" s="309">
        <f t="shared" si="242"/>
        <v>0.98814456627823255</v>
      </c>
      <c r="Z744" s="309">
        <f>VLOOKUP($B744,'Infant adult mortality'!$A$27:$I$128,5)</f>
        <v>1.8645044132156476E-2</v>
      </c>
      <c r="AA744" s="309">
        <f t="shared" si="313"/>
        <v>0.25</v>
      </c>
      <c r="AB744" s="309">
        <f t="shared" si="244"/>
        <v>0.73135495586784349</v>
      </c>
      <c r="AC744" s="309">
        <f>VLOOKUP($B744,'Infant adult mortality'!$A$27:$I$128,5)</f>
        <v>1.8645044132156476E-2</v>
      </c>
      <c r="AD744" s="309">
        <f t="shared" si="314"/>
        <v>0.14000000000000001</v>
      </c>
      <c r="AE744" s="309">
        <f t="shared" si="246"/>
        <v>0.84135495586784348</v>
      </c>
      <c r="AF744" s="309">
        <f>VLOOKUP($B744,'Infant adult mortality'!$A$27:$I$128,4)</f>
        <v>1.3596810485053732E-2</v>
      </c>
      <c r="AG744" s="309">
        <f t="shared" si="315"/>
        <v>0.5714285714285714</v>
      </c>
      <c r="AH744" s="309">
        <f t="shared" si="248"/>
        <v>0.41497461808637487</v>
      </c>
      <c r="AI744" s="309">
        <f>VLOOKUP($B744,'Infant adult mortality'!$A$27:$I$128,4)</f>
        <v>1.3596810485053732E-2</v>
      </c>
      <c r="AJ744" s="309">
        <f t="shared" si="316"/>
        <v>8.6261668788331098E-3</v>
      </c>
      <c r="AK744" s="309">
        <f t="shared" si="250"/>
        <v>0.97777702263611321</v>
      </c>
      <c r="AL744" s="309"/>
      <c r="AM744" s="315">
        <f t="shared" si="287"/>
        <v>3.5835490153124678</v>
      </c>
      <c r="AN744" s="316">
        <f t="shared" si="288"/>
        <v>1.1519464329500033</v>
      </c>
      <c r="AO744" s="316">
        <f t="shared" si="289"/>
        <v>0.19191533881668435</v>
      </c>
      <c r="AP744" s="316">
        <f t="shared" si="290"/>
        <v>11.451495641832846</v>
      </c>
      <c r="AQ744" s="316">
        <f t="shared" si="291"/>
        <v>126.67737525997053</v>
      </c>
      <c r="AR744" s="316">
        <f t="shared" si="292"/>
        <v>86.104577080783159</v>
      </c>
      <c r="AS744" s="316">
        <f t="shared" si="293"/>
        <v>22.104174110847424</v>
      </c>
      <c r="AT744" s="316">
        <f t="shared" si="294"/>
        <v>3.1728270564059518</v>
      </c>
      <c r="AU744" s="316">
        <f t="shared" si="295"/>
        <v>118.00046562266691</v>
      </c>
      <c r="AV744" s="316">
        <f t="shared" si="296"/>
        <v>137.56167444041384</v>
      </c>
      <c r="AW744" s="317">
        <f t="shared" si="251"/>
        <v>509.99999999999989</v>
      </c>
      <c r="AX744" s="309"/>
      <c r="AY744" s="308">
        <f>VLOOKUP($B744,'Infant adult mortality'!$A$134:$I$234,3)</f>
        <v>8.325655049198688E-3</v>
      </c>
      <c r="AZ744" s="309">
        <f t="shared" si="252"/>
        <v>0.27</v>
      </c>
      <c r="BA744" s="309">
        <f ca="1">VLOOKUP($B744,'Infant pick up smoking rates'!$A$19:$I$104,7)</f>
        <v>0</v>
      </c>
      <c r="BB744" s="309">
        <f t="shared" si="253"/>
        <v>0.14624098391610749</v>
      </c>
      <c r="BC744" s="309">
        <f t="shared" ca="1" si="254"/>
        <v>0.57543336103469378</v>
      </c>
      <c r="BD744" s="309">
        <f>VLOOKUP($B744,'Infant adult mortality'!$A$134:$I$234,3)</f>
        <v>8.325655049198688E-3</v>
      </c>
      <c r="BE744" s="309">
        <f t="shared" si="255"/>
        <v>0.14000000000000001</v>
      </c>
      <c r="BF744" s="309">
        <f>VLOOKUP($B744,'Infant pick up smoking rates'!$A$19:$I$104,6)</f>
        <v>0</v>
      </c>
      <c r="BG744" s="309">
        <f t="shared" si="256"/>
        <v>0.14624098391610749</v>
      </c>
      <c r="BH744" s="309">
        <f t="shared" si="257"/>
        <v>0.70543336103469378</v>
      </c>
      <c r="BI744" s="309">
        <f>VLOOKUP($B744,'Infant adult mortality'!$A$134:$I$234,3)</f>
        <v>8.325655049198688E-3</v>
      </c>
      <c r="BJ744" s="309">
        <f t="shared" si="258"/>
        <v>0.5714285714285714</v>
      </c>
      <c r="BK744" s="309">
        <f>VLOOKUP($B744,'Infant pick up smoking rates'!$A$19:$I$104,6)</f>
        <v>0</v>
      </c>
      <c r="BL744" s="309">
        <f t="shared" si="259"/>
        <v>0.12016234480898272</v>
      </c>
      <c r="BM744" s="309">
        <f t="shared" si="260"/>
        <v>0.30008342871324722</v>
      </c>
      <c r="BN744" s="309">
        <f>VLOOKUP($B744,'Infant adult mortality'!$A$134:$I$234,3)</f>
        <v>8.325655049198688E-3</v>
      </c>
      <c r="BO744" s="309">
        <f t="shared" si="261"/>
        <v>8.6261668788331098E-3</v>
      </c>
      <c r="BP744" s="309">
        <f>VLOOKUP($B744,'Infant pick up smoking rates'!$A$19:$I$104,6)</f>
        <v>0</v>
      </c>
      <c r="BQ744" s="309">
        <f t="shared" si="262"/>
        <v>0.12016234480898272</v>
      </c>
      <c r="BR744" s="309">
        <f t="shared" si="263"/>
        <v>0.86288583326298551</v>
      </c>
      <c r="BS744" s="309">
        <f>VLOOKUP($B744,'Infant adult mortality'!$A$134:$I$234,3)</f>
        <v>8.325655049198688E-3</v>
      </c>
      <c r="BT744" s="309">
        <f>VLOOKUP($B744,'Infant pick up smoking rates'!$A$19:$I$104,6)</f>
        <v>0</v>
      </c>
      <c r="BU744" s="309">
        <f t="shared" si="264"/>
        <v>0.99167434495080131</v>
      </c>
      <c r="BV744" s="309">
        <f>VLOOKUP($B744,'Infant adult mortality'!$A$134:$I$234,5)</f>
        <v>1.3093760166395562E-2</v>
      </c>
      <c r="BW744" s="309">
        <f t="shared" si="322"/>
        <v>0.27</v>
      </c>
      <c r="BX744" s="309">
        <f t="shared" si="266"/>
        <v>0.71690623983360446</v>
      </c>
      <c r="BY744" s="309">
        <f>VLOOKUP($B744,'Infant adult mortality'!$A$134:$I$234,5)</f>
        <v>1.3093760166395562E-2</v>
      </c>
      <c r="BZ744" s="309">
        <f t="shared" si="267"/>
        <v>0.14000000000000001</v>
      </c>
      <c r="CA744" s="309">
        <f t="shared" si="268"/>
        <v>0.84690623983360447</v>
      </c>
      <c r="CB744" s="309">
        <f>VLOOKUP($B744,'Infant adult mortality'!$A$134:$I$234,4)</f>
        <v>9.548562838324311E-3</v>
      </c>
      <c r="CC744" s="309">
        <f t="shared" si="269"/>
        <v>0.5714285714285714</v>
      </c>
      <c r="CD744" s="309">
        <f t="shared" si="270"/>
        <v>0.41902286573310427</v>
      </c>
      <c r="CE744" s="309">
        <f>VLOOKUP($B744,'Infant adult mortality'!$A$134:$I$234,4)</f>
        <v>9.548562838324311E-3</v>
      </c>
      <c r="CF744" s="309">
        <f t="shared" si="271"/>
        <v>8.6261668788331098E-3</v>
      </c>
      <c r="CG744" s="309">
        <f t="shared" si="272"/>
        <v>0.98182527028284261</v>
      </c>
      <c r="CH744" s="309"/>
      <c r="CI744" s="315">
        <f t="shared" ca="1" si="297"/>
        <v>5.0258468151666635</v>
      </c>
      <c r="CJ744" s="316">
        <f t="shared" ca="1" si="298"/>
        <v>1.6087932227858459</v>
      </c>
      <c r="CK744" s="316">
        <f t="shared" ca="1" si="299"/>
        <v>0.26697914552679863</v>
      </c>
      <c r="CL744" s="316">
        <f t="shared" ca="1" si="300"/>
        <v>15.875307424759242</v>
      </c>
      <c r="CM744" s="316">
        <f t="shared" ca="1" si="301"/>
        <v>175.77478304768238</v>
      </c>
      <c r="CN744" s="316">
        <f t="shared" ca="1" si="302"/>
        <v>67.227650196274396</v>
      </c>
      <c r="CO744" s="316">
        <f t="shared" ca="1" si="303"/>
        <v>18.541715225202182</v>
      </c>
      <c r="CP744" s="316">
        <f t="shared" ca="1" si="304"/>
        <v>2.6486830812894677</v>
      </c>
      <c r="CQ744" s="316">
        <f t="shared" ca="1" si="305"/>
        <v>97.298118908571368</v>
      </c>
      <c r="CR744" s="316">
        <f t="shared" ca="1" si="306"/>
        <v>105.73212293274231</v>
      </c>
      <c r="CS744" s="317">
        <f t="shared" ca="1" si="273"/>
        <v>490.00000000000063</v>
      </c>
      <c r="CT744" s="309"/>
      <c r="CU744" s="309">
        <f t="shared" ca="1" si="274"/>
        <v>1000.0000000000005</v>
      </c>
      <c r="CV744" s="309" t="str">
        <f t="shared" ca="1" si="317"/>
        <v>OKAY</v>
      </c>
      <c r="CW744" s="309"/>
      <c r="CX744" s="315">
        <f>(SUM($AR744:$AS744))-((SUM($AR744:$AS744)*VLOOKUP($B744,Lifetime_morbidity_array!$A$30:$Y$48,4))+(SUM($AR744:$AS744)*VLOOKUP($B744,Lifetime_morbidity_array!$A$30:$Y$48,7))+(SUM($AR744:$AS744)*VLOOKUP($B744,Lifetime_morbidity_array!$A$30:$Y$48,10))+(SUM($AR744:$AS744)*VLOOKUP($B744,Lifetime_morbidity_array!$A$30:$Y$48,13)))</f>
        <v>-0.97618160127707654</v>
      </c>
      <c r="CY744" s="316">
        <f>(SUM($AT744:$AU744))-((SUM($AT744:$AU744)*(VLOOKUP($B744,Lifetime_morbidity_array!$A$30:$Y$48,3)))+(SUM($AT744:$AU744)*(VLOOKUP($B744,Lifetime_morbidity_array!$A$30:$Y$48,6)))+(SUM($AT744:$AU744)*(VLOOKUP($B744,Lifetime_morbidity_array!$A$30:$Y$48,9)))+(SUM($AT744:$AU744)*(VLOOKUP($B744,Lifetime_morbidity_array!$A$30:$Y$48,12))))</f>
        <v>55.56556190567656</v>
      </c>
      <c r="CZ744" s="316">
        <f>(SUM($AM744:$AQ744))-((SUM($AM744:$AQ744)*VLOOKUP($B744,Lifetime_morbidity_array!$A$30:$Y$48,2))+(SUM($AM744:$AQ744)*VLOOKUP($B744,Lifetime_morbidity_array!$A$30:$Y$48,5))+(SUM($AM744:$AQ744)*VLOOKUP($B744,Lifetime_morbidity_array!$A$30:$Y$48,8))+(SUM($AM744:$AQ744)*VLOOKUP($B744,Lifetime_morbidity_array!$A$30:$Y$48,11)))</f>
        <v>91.307442764385314</v>
      </c>
      <c r="DA744" s="316">
        <f>(SUM($AM744:$AQ744)*VLOOKUP($B744,Lifetime_morbidity_array!$A$30:$Y$48,2))+(SUM($AR744:$AS744)*VLOOKUP($B744,Lifetime_morbidity_array!$A$30:$Y$48,4))+(SUM($AT744:$AU744)*(VLOOKUP($B744,Lifetime_morbidity_array!$A$30:$Y$48,3)))</f>
        <v>117.49422372166453</v>
      </c>
      <c r="DB744" s="316">
        <f>(SUM($AM744:$AQ744)*VLOOKUP($B744,Lifetime_morbidity_array!$A$30:$Y$48,5))+(SUM($AR744:$AS744)*VLOOKUP($B744,Lifetime_morbidity_array!$A$30:$Y$48,7))+(SUM($AT744:$AU744)*(VLOOKUP($B744,Lifetime_morbidity_array!$A$30:$Y$48,6)))</f>
        <v>52.842003276994099</v>
      </c>
      <c r="DC744" s="316">
        <f>(SUM($AM744:$AQ744)*VLOOKUP($B744,Lifetime_morbidity_array!$A$30:$Y$48,8))+(SUM($AR744:$AS744)*VLOOKUP($B744,Lifetime_morbidity_array!$A$30:$Y$48,10))+(SUM($AT744:$AU744)*(VLOOKUP($B744,Lifetime_morbidity_array!$A$30:$Y$48,9)))</f>
        <v>4.4855582596454937</v>
      </c>
      <c r="DD744" s="317">
        <f>(SUM($AM744:$AQ744)*VLOOKUP($B744,Lifetime_morbidity_array!$A$30:$Y$48,11))+(SUM($AR744:$AS744)*VLOOKUP($B744,Lifetime_morbidity_array!$A$30:$Y$48,13))+(SUM($AT744:$AU744)*(VLOOKUP($B744,Lifetime_morbidity_array!$A$30:$Y$48,12)))</f>
        <v>51.719717232497061</v>
      </c>
      <c r="DE744" s="309"/>
      <c r="DF744" s="315">
        <f ca="1">(SUM($CN744:$CO744))-((SUM($CN744:$CO744)*VLOOKUP($B744,Lifetime_morbidity_array!$A$6:$Y$24,4))+(SUM($CN744:$CO744)*VLOOKUP($B744,Lifetime_morbidity_array!$A$6:$Y$24,7))+(SUM($CN744:$CO744)*VLOOKUP($B744,Lifetime_morbidity_array!$A$6:$Y$24,10))+(SUM($CN744:$CO744)*VLOOKUP($B744,Lifetime_morbidity_array!$A$6:$Y$24,13)))</f>
        <v>6.3583792079090529</v>
      </c>
      <c r="DG744" s="316">
        <f ca="1">(SUM($CP744:$CQ744))-(((SUM($CP744:$CQ744)*VLOOKUP($B744,Lifetime_morbidity_array!$A$6:$Y$24,3))+(SUM($CP744:$CQ744)*VLOOKUP($B744,Lifetime_morbidity_array!$A$6:$Y$24,6))+(SUM($CP744:$CQ744)*VLOOKUP($B744,Lifetime_morbidity_array!$A$6:$Y$24,9))+(SUM($CP744:$CQ744)*VLOOKUP($B744,Lifetime_morbidity_array!$A$6:$Y$24,12))))</f>
        <v>55.326938065636419</v>
      </c>
      <c r="DH744" s="316">
        <f ca="1">(SUM($CI744:$CM744))-((SUM($CI744:$CM744)*VLOOKUP($B744,Lifetime_morbidity_array!$A$6:$Y$24,2))+(SUM($CI744:$CM744)*VLOOKUP($B744,Lifetime_morbidity_array!$A$6:$Y$24,5))+(SUM($CI744:$CM744)*VLOOKUP($B744,Lifetime_morbidity_array!$A$6:$Y$24,8))+(SUM($CI744:$CM744)*VLOOKUP($B744,Lifetime_morbidity_array!$A$6:$Y$24,11)))</f>
        <v>142.92218409552416</v>
      </c>
      <c r="DI744" s="316">
        <f ca="1">(SUM($CI744:$CM744)*VLOOKUP($B744,Lifetime_morbidity_array!$A$6:$Y$24,2))+(SUM($CN744:$CO744)*VLOOKUP($B744,Lifetime_morbidity_array!$A$6:$Y$24,4))+(SUM($CP744:$CQ744)*VLOOKUP($B744,Lifetime_morbidity_array!$A$6:$Y$24,3))</f>
        <v>83.629552476063466</v>
      </c>
      <c r="DJ744" s="316">
        <f ca="1">(SUM($CI744:$CM744)*VLOOKUP($B744,Lifetime_morbidity_array!$A$6:$Y$24,5))+(SUM($CN744:$CO744)*VLOOKUP($B744,Lifetime_morbidity_array!$A$6:$Y$24,7))+(SUM($CP744:$CQ744)*VLOOKUP($B744,Lifetime_morbidity_array!$A$6:$Y$24,6))</f>
        <v>48.726532146944415</v>
      </c>
      <c r="DK744" s="316">
        <f ca="1">(SUM($CI744:$CM744)*VLOOKUP($B744,Lifetime_morbidity_array!$A$6:$Y$24,8))+(SUM($CN744:$CO744)*VLOOKUP($B744,Lifetime_morbidity_array!$A$6:$Y$24,10))+(SUM($CP744:$CQ744)*VLOOKUP($B744,Lifetime_morbidity_array!$A$6:$Y$24,9))</f>
        <v>1.7795956842874934</v>
      </c>
      <c r="DL744" s="317">
        <f ca="1">(SUM($CI744:$CM744)*VLOOKUP($B744,Lifetime_morbidity_array!$A$6:$Y$24,11))+(SUM($CN744:$CO744)*VLOOKUP($B744,Lifetime_morbidity_array!$A$6:$Y$24,13))+(SUM($CP744:$CQ744)*VLOOKUP($B744,Lifetime_morbidity_array!$A$6:$Y$24,12))</f>
        <v>45.524695390893335</v>
      </c>
      <c r="DM744" s="309"/>
      <c r="DN744" s="308">
        <f t="shared" si="275"/>
        <v>78</v>
      </c>
      <c r="DO744" s="309">
        <f t="shared" ca="1" si="323"/>
        <v>51.710651563028854</v>
      </c>
      <c r="DP744" s="310">
        <f t="shared" ca="1" si="307"/>
        <v>23462.978535858336</v>
      </c>
      <c r="DQ744" s="309"/>
      <c r="DR744" s="308">
        <f t="shared" si="277"/>
        <v>78</v>
      </c>
      <c r="DS744" s="309">
        <f ca="1">((VLOOKUP($B744,'Mahawesran Tariff'!$A$21:$M$120,4)*'Comparator (DET)'!$CX744)+(VLOOKUP($B744,'Mahawesran Tariff'!$A$21:$M$120,3)*'Comparator (DET)'!$CY744)+(VLOOKUP($B744,'Mahawesran Tariff'!$A$21:$M$120,2)*'Comparator (DET)'!$CZ744)+(VLOOKUP($B744,'Mahawesran Tariff'!$A$21:$M$120,7)*'Comparator (DET)'!$DF744)+(VLOOKUP($B744,'Mahawesran Tariff'!$A$21:$M$120,6)*'Comparator (DET)'!$DG744)+(VLOOKUP($B744,'Mahawesran Tariff'!$A$21:$M$120,5)*'Comparator (DET)'!$DH744)+(DET_UTIL_chd*('Comparator (DET)'!$DA744+'Comparator (DET)'!$DI744))+(DET_UTIL_copd*('Comparator (DET)'!$DB744+'Comparator (DET)'!$DJ744))+(DET_UTIL_lc*('Comparator (DET)'!$DC744+'Comparator (DET)'!$DK744))+(DET_UTIL_stroke*('Comparator (DET)'!$DD744+'Comparator (DET)'!$DL744)))/((1+Discount_rate_QALYs)^$A744)</f>
        <v>42.254070554836971</v>
      </c>
      <c r="DT744" s="310">
        <f t="shared" ca="1" si="308"/>
        <v>23044.877269394685</v>
      </c>
      <c r="DU744" s="309"/>
      <c r="DV744" s="308">
        <f t="shared" si="278"/>
        <v>78</v>
      </c>
      <c r="DW744" s="318">
        <f t="shared" ca="1" si="324"/>
        <v>179586.01274458074</v>
      </c>
      <c r="DX744" s="319">
        <f t="shared" ca="1" si="309"/>
        <v>9697271.6107046288</v>
      </c>
      <c r="DZ744" s="95">
        <f t="shared" si="280"/>
        <v>78</v>
      </c>
      <c r="EA744" s="268">
        <f t="shared" ca="1" si="318"/>
        <v>0.75670620262684429</v>
      </c>
      <c r="EB744" s="268">
        <f t="shared" ca="1" si="319"/>
        <v>0.24329379737315618</v>
      </c>
      <c r="EC744" s="268">
        <f t="shared" ca="1" si="320"/>
        <v>0.4062018781889899</v>
      </c>
      <c r="ED744" s="290">
        <f t="shared" ca="1" si="321"/>
        <v>0.41509821128204089</v>
      </c>
      <c r="EF744" s="95">
        <f t="shared" si="281"/>
        <v>78</v>
      </c>
      <c r="EG744" s="339">
        <f t="shared" ca="1" si="325"/>
        <v>179586.01274458074</v>
      </c>
      <c r="EH744" s="341">
        <f t="shared" ca="1" si="310"/>
        <v>12797403.546560712</v>
      </c>
      <c r="EJ744" s="308">
        <f t="shared" si="283"/>
        <v>78</v>
      </c>
      <c r="EK744" s="318">
        <f t="shared" ca="1" si="284"/>
        <v>179586.01274458074</v>
      </c>
      <c r="EL744" s="319">
        <f t="shared" ca="1" si="311"/>
        <v>9697271.6107046288</v>
      </c>
      <c r="EN744" s="95">
        <f t="shared" si="285"/>
        <v>78</v>
      </c>
      <c r="EO744" s="339">
        <f t="shared" ca="1" si="286"/>
        <v>179586.01274458074</v>
      </c>
      <c r="EP744" s="341">
        <f t="shared" ca="1" si="312"/>
        <v>12797403.546560712</v>
      </c>
    </row>
    <row r="745" spans="1:146" s="266" customFormat="1" x14ac:dyDescent="0.25">
      <c r="A745" s="313">
        <v>79</v>
      </c>
      <c r="B745" s="314">
        <v>79</v>
      </c>
      <c r="C745" s="308">
        <f>VLOOKUP($B745,'Infant adult mortality'!$A$27:$I$128,3)</f>
        <v>1.2964628409909071E-2</v>
      </c>
      <c r="D745" s="309">
        <f t="shared" si="230"/>
        <v>0.27</v>
      </c>
      <c r="E745" s="309">
        <f>VLOOKUP($B745,'Infant pick up smoking rates'!$A$19:$I$104,3)</f>
        <v>0</v>
      </c>
      <c r="F745" s="309">
        <f t="shared" si="231"/>
        <v>0.14624098391610749</v>
      </c>
      <c r="G745" s="309">
        <f t="shared" si="232"/>
        <v>0.57079438767398338</v>
      </c>
      <c r="H745" s="309">
        <f>VLOOKUP($B745,'Infant adult mortality'!$A$27:$I$128,3)</f>
        <v>1.2964628409909071E-2</v>
      </c>
      <c r="I745" s="309">
        <f t="shared" si="233"/>
        <v>0.14000000000000001</v>
      </c>
      <c r="J745" s="309">
        <f>VLOOKUP($B745,'Infant pick up smoking rates'!$A$19:$I$104,2)</f>
        <v>0</v>
      </c>
      <c r="K745" s="309">
        <f t="shared" si="234"/>
        <v>0.14624098391610749</v>
      </c>
      <c r="L745" s="309">
        <f t="shared" si="235"/>
        <v>0.70079438767398339</v>
      </c>
      <c r="M745" s="309">
        <f>VLOOKUP($B745,'Infant adult mortality'!$A$27:$I$128,3)</f>
        <v>1.2964628409909071E-2</v>
      </c>
      <c r="N745" s="309">
        <f t="shared" si="236"/>
        <v>0.5714285714285714</v>
      </c>
      <c r="O745" s="309">
        <f>VLOOKUP($B745,'Infant pick up smoking rates'!$A$19:$I$104,2)</f>
        <v>0</v>
      </c>
      <c r="P745" s="309">
        <f t="shared" si="237"/>
        <v>0.12016234480898272</v>
      </c>
      <c r="Q745" s="309">
        <f t="shared" si="238"/>
        <v>0.29544445535253683</v>
      </c>
      <c r="R745" s="309">
        <f>VLOOKUP($B745,'Infant adult mortality'!$A$27:$I$128,3)</f>
        <v>1.2964628409909071E-2</v>
      </c>
      <c r="S745" s="309">
        <f t="shared" si="239"/>
        <v>8.6261668788331098E-3</v>
      </c>
      <c r="T745" s="309">
        <f>VLOOKUP($B745,'Infant pick up smoking rates'!$A$19:$I$104,2)</f>
        <v>0</v>
      </c>
      <c r="U745" s="309">
        <f t="shared" si="240"/>
        <v>0.12016234480898272</v>
      </c>
      <c r="V745" s="309">
        <f t="shared" si="241"/>
        <v>0.85824685990227512</v>
      </c>
      <c r="W745" s="309">
        <f>VLOOKUP($B745,'Infant adult mortality'!$A$27:$I$128,3)</f>
        <v>1.2964628409909071E-2</v>
      </c>
      <c r="X745" s="309">
        <f>VLOOKUP($B745,'Infant pick up smoking rates'!$A$19:$I$104,2)</f>
        <v>0</v>
      </c>
      <c r="Y745" s="309">
        <f t="shared" si="242"/>
        <v>0.98703537159009092</v>
      </c>
      <c r="Z745" s="309">
        <f>VLOOKUP($B745,'Infant adult mortality'!$A$27:$I$128,5)</f>
        <v>2.038947494733474E-2</v>
      </c>
      <c r="AA745" s="309">
        <f t="shared" ref="AA745:AA766" si="326">DET_P_01Q_CS_MALE</f>
        <v>0.25</v>
      </c>
      <c r="AB745" s="309">
        <f t="shared" si="244"/>
        <v>0.72961052505266522</v>
      </c>
      <c r="AC745" s="309">
        <f>VLOOKUP($B745,'Infant adult mortality'!$A$27:$I$128,5)</f>
        <v>2.038947494733474E-2</v>
      </c>
      <c r="AD745" s="309">
        <f t="shared" ref="AD745:AD766" si="327">DET_P_12Q_01Q</f>
        <v>0.14000000000000001</v>
      </c>
      <c r="AE745" s="309">
        <f t="shared" si="246"/>
        <v>0.8396105250526652</v>
      </c>
      <c r="AF745" s="309">
        <f>VLOOKUP($B745,'Infant adult mortality'!$A$27:$I$128,4)</f>
        <v>1.486892842857524E-2</v>
      </c>
      <c r="AG745" s="309">
        <f t="shared" ref="AG745:AG766" si="328">DET_P_LTQ_12Q</f>
        <v>0.5714285714285714</v>
      </c>
      <c r="AH745" s="309">
        <f t="shared" si="248"/>
        <v>0.41370250014285337</v>
      </c>
      <c r="AI745" s="309">
        <f>VLOOKUP($B745,'Infant adult mortality'!$A$27:$I$128,4)</f>
        <v>1.486892842857524E-2</v>
      </c>
      <c r="AJ745" s="309">
        <f t="shared" ref="AJ745:AJ766" si="329">DET_P_CS_LTQ</f>
        <v>8.6261668788331098E-3</v>
      </c>
      <c r="AK745" s="309">
        <f t="shared" si="250"/>
        <v>0.97650490469259166</v>
      </c>
      <c r="AL745" s="309"/>
      <c r="AM745" s="315">
        <f t="shared" si="287"/>
        <v>3.008230096176586</v>
      </c>
      <c r="AN745" s="316">
        <f t="shared" si="288"/>
        <v>0.96755823413436637</v>
      </c>
      <c r="AO745" s="316">
        <f t="shared" si="289"/>
        <v>0.16127250061300047</v>
      </c>
      <c r="AP745" s="316">
        <f t="shared" si="290"/>
        <v>9.9378760836828768</v>
      </c>
      <c r="AQ745" s="316">
        <f t="shared" si="291"/>
        <v>127.12667324047607</v>
      </c>
      <c r="AR745" s="316">
        <f t="shared" si="292"/>
        <v>83.712201118409183</v>
      </c>
      <c r="AS745" s="316">
        <f t="shared" si="293"/>
        <v>21.52614427019579</v>
      </c>
      <c r="AT745" s="316">
        <f t="shared" si="294"/>
        <v>3.0945843755186395</v>
      </c>
      <c r="AU745" s="316">
        <f t="shared" si="295"/>
        <v>117.04107746877575</v>
      </c>
      <c r="AV745" s="316">
        <f t="shared" si="296"/>
        <v>143.42438261201752</v>
      </c>
      <c r="AW745" s="317">
        <f t="shared" si="251"/>
        <v>509.99999999999977</v>
      </c>
      <c r="AX745" s="309"/>
      <c r="AY745" s="308">
        <f>VLOOKUP($B745,'Infant adult mortality'!$A$134:$I$234,3)</f>
        <v>9.1860155729180555E-3</v>
      </c>
      <c r="AZ745" s="309">
        <f t="shared" si="252"/>
        <v>0.27</v>
      </c>
      <c r="BA745" s="309">
        <f ca="1">VLOOKUP($B745,'Infant pick up smoking rates'!$A$19:$I$104,7)</f>
        <v>0</v>
      </c>
      <c r="BB745" s="309">
        <f t="shared" si="253"/>
        <v>0.14624098391610749</v>
      </c>
      <c r="BC745" s="309">
        <f t="shared" ca="1" si="254"/>
        <v>0.57457300051097437</v>
      </c>
      <c r="BD745" s="309">
        <f>VLOOKUP($B745,'Infant adult mortality'!$A$134:$I$234,3)</f>
        <v>9.1860155729180555E-3</v>
      </c>
      <c r="BE745" s="309">
        <f t="shared" si="255"/>
        <v>0.14000000000000001</v>
      </c>
      <c r="BF745" s="309">
        <f>VLOOKUP($B745,'Infant pick up smoking rates'!$A$19:$I$104,6)</f>
        <v>0</v>
      </c>
      <c r="BG745" s="309">
        <f t="shared" si="256"/>
        <v>0.14624098391610749</v>
      </c>
      <c r="BH745" s="309">
        <f t="shared" si="257"/>
        <v>0.70457300051097438</v>
      </c>
      <c r="BI745" s="309">
        <f>VLOOKUP($B745,'Infant adult mortality'!$A$134:$I$234,3)</f>
        <v>9.1860155729180555E-3</v>
      </c>
      <c r="BJ745" s="309">
        <f t="shared" si="258"/>
        <v>0.5714285714285714</v>
      </c>
      <c r="BK745" s="309">
        <f>VLOOKUP($B745,'Infant pick up smoking rates'!$A$19:$I$104,6)</f>
        <v>0</v>
      </c>
      <c r="BL745" s="309">
        <f t="shared" si="259"/>
        <v>0.12016234480898272</v>
      </c>
      <c r="BM745" s="309">
        <f t="shared" si="260"/>
        <v>0.29922306818952787</v>
      </c>
      <c r="BN745" s="309">
        <f>VLOOKUP($B745,'Infant adult mortality'!$A$134:$I$234,3)</f>
        <v>9.1860155729180555E-3</v>
      </c>
      <c r="BO745" s="309">
        <f t="shared" si="261"/>
        <v>8.6261668788331098E-3</v>
      </c>
      <c r="BP745" s="309">
        <f>VLOOKUP($B745,'Infant pick up smoking rates'!$A$19:$I$104,6)</f>
        <v>0</v>
      </c>
      <c r="BQ745" s="309">
        <f t="shared" si="262"/>
        <v>0.12016234480898272</v>
      </c>
      <c r="BR745" s="309">
        <f t="shared" si="263"/>
        <v>0.86202547273926611</v>
      </c>
      <c r="BS745" s="309">
        <f>VLOOKUP($B745,'Infant adult mortality'!$A$134:$I$234,3)</f>
        <v>9.1860155729180555E-3</v>
      </c>
      <c r="BT745" s="309">
        <f>VLOOKUP($B745,'Infant pick up smoking rates'!$A$19:$I$104,6)</f>
        <v>0</v>
      </c>
      <c r="BU745" s="309">
        <f t="shared" si="264"/>
        <v>0.99081398442708191</v>
      </c>
      <c r="BV745" s="309">
        <f>VLOOKUP($B745,'Infant adult mortality'!$A$134:$I$234,5)</f>
        <v>1.444684941734887E-2</v>
      </c>
      <c r="BW745" s="309">
        <f t="shared" si="322"/>
        <v>0.27</v>
      </c>
      <c r="BX745" s="309">
        <f t="shared" si="266"/>
        <v>0.71555315058265112</v>
      </c>
      <c r="BY745" s="309">
        <f>VLOOKUP($B745,'Infant adult mortality'!$A$134:$I$234,5)</f>
        <v>1.444684941734887E-2</v>
      </c>
      <c r="BZ745" s="309">
        <f t="shared" si="267"/>
        <v>0.14000000000000001</v>
      </c>
      <c r="CA745" s="309">
        <f t="shared" si="268"/>
        <v>0.84555315058265113</v>
      </c>
      <c r="CB745" s="309">
        <f>VLOOKUP($B745,'Infant adult mortality'!$A$134:$I$234,4)</f>
        <v>1.0535296792085544E-2</v>
      </c>
      <c r="CC745" s="309">
        <f t="shared" si="269"/>
        <v>0.5714285714285714</v>
      </c>
      <c r="CD745" s="309">
        <f t="shared" si="270"/>
        <v>0.41803613177934307</v>
      </c>
      <c r="CE745" s="309">
        <f>VLOOKUP($B745,'Infant adult mortality'!$A$134:$I$234,4)</f>
        <v>1.0535296792085544E-2</v>
      </c>
      <c r="CF745" s="309">
        <f t="shared" si="271"/>
        <v>8.6261668788331098E-3</v>
      </c>
      <c r="CG745" s="309">
        <f t="shared" si="272"/>
        <v>0.98083853632908136</v>
      </c>
      <c r="CH745" s="309"/>
      <c r="CI745" s="315">
        <f t="shared" ca="1" si="297"/>
        <v>4.2380575230446764</v>
      </c>
      <c r="CJ745" s="316">
        <f t="shared" ca="1" si="298"/>
        <v>1.3569786400949992</v>
      </c>
      <c r="CK745" s="316">
        <f t="shared" ca="1" si="299"/>
        <v>0.22523105119001846</v>
      </c>
      <c r="CL745" s="316">
        <f t="shared" ca="1" si="300"/>
        <v>13.837478899438866</v>
      </c>
      <c r="CM745" s="316">
        <f t="shared" ca="1" si="301"/>
        <v>177.07006444522355</v>
      </c>
      <c r="CN745" s="316">
        <f t="shared" ca="1" si="302"/>
        <v>65.729517670402061</v>
      </c>
      <c r="CO745" s="316">
        <f t="shared" ca="1" si="303"/>
        <v>18.15146555299409</v>
      </c>
      <c r="CP745" s="316">
        <f t="shared" ca="1" si="304"/>
        <v>2.5958401315283059</v>
      </c>
      <c r="CQ745" s="316">
        <f t="shared" ca="1" si="305"/>
        <v>96.94727772716432</v>
      </c>
      <c r="CR745" s="316">
        <f t="shared" ca="1" si="306"/>
        <v>109.84808835891974</v>
      </c>
      <c r="CS745" s="317">
        <f t="shared" ca="1" si="273"/>
        <v>490.00000000000057</v>
      </c>
      <c r="CT745" s="309"/>
      <c r="CU745" s="309">
        <f t="shared" ca="1" si="274"/>
        <v>1000.0000000000003</v>
      </c>
      <c r="CV745" s="309" t="str">
        <f t="shared" ref="CV745:CV766" ca="1" si="330">IF(CU745=Cohort,"OKAY",IF(CU745&lt;Cohort,"Too few","Too many"))</f>
        <v>OKAY</v>
      </c>
      <c r="CW745" s="309"/>
      <c r="CX745" s="315">
        <f>(SUM($AR745:$AS745))-((SUM($AR745:$AS745)*VLOOKUP($B745,Lifetime_morbidity_array!$A$30:$Y$48,4))+(SUM($AR745:$AS745)*VLOOKUP($B745,Lifetime_morbidity_array!$A$30:$Y$48,7))+(SUM($AR745:$AS745)*VLOOKUP($B745,Lifetime_morbidity_array!$A$30:$Y$48,10))+(SUM($AR745:$AS745)*VLOOKUP($B745,Lifetime_morbidity_array!$A$30:$Y$48,13)))</f>
        <v>-0.9493847344681825</v>
      </c>
      <c r="CY745" s="316">
        <f>(SUM($AT745:$AU745))-((SUM($AT745:$AU745)*(VLOOKUP($B745,Lifetime_morbidity_array!$A$30:$Y$48,3)))+(SUM($AT745:$AU745)*(VLOOKUP($B745,Lifetime_morbidity_array!$A$30:$Y$48,6)))+(SUM($AT745:$AU745)*(VLOOKUP($B745,Lifetime_morbidity_array!$A$30:$Y$48,9)))+(SUM($AT745:$AU745)*(VLOOKUP($B745,Lifetime_morbidity_array!$A$30:$Y$48,12))))</f>
        <v>55.08974302586924</v>
      </c>
      <c r="CZ745" s="316">
        <f>(SUM($AM745:$AQ745))-((SUM($AM745:$AQ745)*VLOOKUP($B745,Lifetime_morbidity_array!$A$30:$Y$48,2))+(SUM($AM745:$AQ745)*VLOOKUP($B745,Lifetime_morbidity_array!$A$30:$Y$48,5))+(SUM($AM745:$AQ745)*VLOOKUP($B745,Lifetime_morbidity_array!$A$30:$Y$48,8))+(SUM($AM745:$AQ745)*VLOOKUP($B745,Lifetime_morbidity_array!$A$30:$Y$48,11)))</f>
        <v>90.123675697886029</v>
      </c>
      <c r="DA745" s="316">
        <f>(SUM($AM745:$AQ745)*VLOOKUP($B745,Lifetime_morbidity_array!$A$30:$Y$48,2))+(SUM($AR745:$AS745)*VLOOKUP($B745,Lifetime_morbidity_array!$A$30:$Y$48,4))+(SUM($AT745:$AU745)*(VLOOKUP($B745,Lifetime_morbidity_array!$A$30:$Y$48,3)))</f>
        <v>115.42587093567519</v>
      </c>
      <c r="DB745" s="316">
        <f>(SUM($AM745:$AQ745)*VLOOKUP($B745,Lifetime_morbidity_array!$A$30:$Y$48,5))+(SUM($AR745:$AS745)*VLOOKUP($B745,Lifetime_morbidity_array!$A$30:$Y$48,7))+(SUM($AT745:$AU745)*(VLOOKUP($B745,Lifetime_morbidity_array!$A$30:$Y$48,6)))</f>
        <v>51.654582801539227</v>
      </c>
      <c r="DC745" s="316">
        <f>(SUM($AM745:$AQ745)*VLOOKUP($B745,Lifetime_morbidity_array!$A$30:$Y$48,8))+(SUM($AR745:$AS745)*VLOOKUP($B745,Lifetime_morbidity_array!$A$30:$Y$48,10))+(SUM($AT745:$AU745)*(VLOOKUP($B745,Lifetime_morbidity_array!$A$30:$Y$48,9)))</f>
        <v>4.3849197234372355</v>
      </c>
      <c r="DD745" s="317">
        <f>(SUM($AM745:$AQ745)*VLOOKUP($B745,Lifetime_morbidity_array!$A$30:$Y$48,11))+(SUM($AR745:$AS745)*VLOOKUP($B745,Lifetime_morbidity_array!$A$30:$Y$48,13))+(SUM($AT745:$AU745)*(VLOOKUP($B745,Lifetime_morbidity_array!$A$30:$Y$48,12)))</f>
        <v>50.84620993804355</v>
      </c>
      <c r="DE745" s="309"/>
      <c r="DF745" s="315">
        <f ca="1">(SUM($CN745:$CO745))-((SUM($CN745:$CO745)*VLOOKUP($B745,Lifetime_morbidity_array!$A$6:$Y$24,4))+(SUM($CN745:$CO745)*VLOOKUP($B745,Lifetime_morbidity_array!$A$6:$Y$24,7))+(SUM($CN745:$CO745)*VLOOKUP($B745,Lifetime_morbidity_array!$A$6:$Y$24,10))+(SUM($CN745:$CO745)*VLOOKUP($B745,Lifetime_morbidity_array!$A$6:$Y$24,13)))</f>
        <v>6.2183869152546976</v>
      </c>
      <c r="DG745" s="316">
        <f ca="1">(SUM($CP745:$CQ745))-(((SUM($CP745:$CQ745)*VLOOKUP($B745,Lifetime_morbidity_array!$A$6:$Y$24,3))+(SUM($CP745:$CQ745)*VLOOKUP($B745,Lifetime_morbidity_array!$A$6:$Y$24,6))+(SUM($CP745:$CQ745)*VLOOKUP($B745,Lifetime_morbidity_array!$A$6:$Y$24,9))+(SUM($CP745:$CQ745)*VLOOKUP($B745,Lifetime_morbidity_array!$A$6:$Y$24,12))))</f>
        <v>55.103473117498417</v>
      </c>
      <c r="DH745" s="316">
        <f ca="1">(SUM($CI745:$CM745))-((SUM($CI745:$CM745)*VLOOKUP($B745,Lifetime_morbidity_array!$A$6:$Y$24,2))+(SUM($CI745:$CM745)*VLOOKUP($B745,Lifetime_morbidity_array!$A$6:$Y$24,5))+(SUM($CI745:$CM745)*VLOOKUP($B745,Lifetime_morbidity_array!$A$6:$Y$24,8))+(SUM($CI745:$CM745)*VLOOKUP($B745,Lifetime_morbidity_array!$A$6:$Y$24,11)))</f>
        <v>141.60929868670718</v>
      </c>
      <c r="DI745" s="316">
        <f ca="1">(SUM($CI745:$CM745)*VLOOKUP($B745,Lifetime_morbidity_array!$A$6:$Y$24,2))+(SUM($CN745:$CO745)*VLOOKUP($B745,Lifetime_morbidity_array!$A$6:$Y$24,4))+(SUM($CP745:$CQ745)*VLOOKUP($B745,Lifetime_morbidity_array!$A$6:$Y$24,3))</f>
        <v>82.567307214699454</v>
      </c>
      <c r="DJ745" s="316">
        <f ca="1">(SUM($CI745:$CM745)*VLOOKUP($B745,Lifetime_morbidity_array!$A$6:$Y$24,5))+(SUM($CN745:$CO745)*VLOOKUP($B745,Lifetime_morbidity_array!$A$6:$Y$24,7))+(SUM($CP745:$CQ745)*VLOOKUP($B745,Lifetime_morbidity_array!$A$6:$Y$24,6))</f>
        <v>47.928441240474747</v>
      </c>
      <c r="DK745" s="316">
        <f ca="1">(SUM($CI745:$CM745)*VLOOKUP($B745,Lifetime_morbidity_array!$A$6:$Y$24,8))+(SUM($CN745:$CO745)*VLOOKUP($B745,Lifetime_morbidity_array!$A$6:$Y$24,10))+(SUM($CP745:$CQ745)*VLOOKUP($B745,Lifetime_morbidity_array!$A$6:$Y$24,9))</f>
        <v>1.7492697579089511</v>
      </c>
      <c r="DL745" s="317">
        <f ca="1">(SUM($CI745:$CM745)*VLOOKUP($B745,Lifetime_morbidity_array!$A$6:$Y$24,11))+(SUM($CN745:$CO745)*VLOOKUP($B745,Lifetime_morbidity_array!$A$6:$Y$24,13))+(SUM($CP745:$CQ745)*VLOOKUP($B745,Lifetime_morbidity_array!$A$6:$Y$24,12))</f>
        <v>44.975734708537416</v>
      </c>
      <c r="DM745" s="309"/>
      <c r="DN745" s="308">
        <f t="shared" si="275"/>
        <v>79</v>
      </c>
      <c r="DO745" s="309">
        <f t="shared" ca="1" si="323"/>
        <v>49.303134260045105</v>
      </c>
      <c r="DP745" s="310">
        <f t="shared" ca="1" si="307"/>
        <v>23512.28167011838</v>
      </c>
      <c r="DQ745" s="309"/>
      <c r="DR745" s="308">
        <f t="shared" si="277"/>
        <v>79</v>
      </c>
      <c r="DS745" s="309">
        <f ca="1">((VLOOKUP($B745,'Mahawesran Tariff'!$A$21:$M$120,4)*'Comparator (DET)'!$CX745)+(VLOOKUP($B745,'Mahawesran Tariff'!$A$21:$M$120,3)*'Comparator (DET)'!$CY745)+(VLOOKUP($B745,'Mahawesran Tariff'!$A$21:$M$120,2)*'Comparator (DET)'!$CZ745)+(VLOOKUP($B745,'Mahawesran Tariff'!$A$21:$M$120,7)*'Comparator (DET)'!$DF745)+(VLOOKUP($B745,'Mahawesran Tariff'!$A$21:$M$120,6)*'Comparator (DET)'!$DG745)+(VLOOKUP($B745,'Mahawesran Tariff'!$A$21:$M$120,5)*'Comparator (DET)'!$DH745)+(DET_UTIL_chd*('Comparator (DET)'!$DA745+'Comparator (DET)'!$DI745))+(DET_UTIL_copd*('Comparator (DET)'!$DB745+'Comparator (DET)'!$DJ745))+(DET_UTIL_lc*('Comparator (DET)'!$DC745+'Comparator (DET)'!$DK745))+(DET_UTIL_stroke*('Comparator (DET)'!$DD745+'Comparator (DET)'!$DL745)))/((1+Discount_rate_QALYs)^$A745)</f>
        <v>40.30315041316338</v>
      </c>
      <c r="DT745" s="310">
        <f t="shared" ca="1" si="308"/>
        <v>23085.18041980785</v>
      </c>
      <c r="DU745" s="309"/>
      <c r="DV745" s="308">
        <f t="shared" si="278"/>
        <v>79</v>
      </c>
      <c r="DW745" s="318">
        <f t="shared" ca="1" si="324"/>
        <v>170899.40698516622</v>
      </c>
      <c r="DX745" s="319">
        <f t="shared" ca="1" si="309"/>
        <v>9868171.0176897943</v>
      </c>
      <c r="DZ745" s="95">
        <f t="shared" si="280"/>
        <v>79</v>
      </c>
      <c r="EA745" s="268">
        <f t="shared" ref="EA745:EA766" ca="1" si="331">(SUM($AM745:$AU745)+SUM($CI745:$CQ745))/Cohort</f>
        <v>0.74672752902906314</v>
      </c>
      <c r="EB745" s="268">
        <f t="shared" ref="EB745:EB766" ca="1" si="332">($AV745+$CR745)/Cohort</f>
        <v>0.25327247097093725</v>
      </c>
      <c r="EC745" s="268">
        <f t="shared" ref="EC745:EC766" ca="1" si="333">(SUM($DA745:$DD745)+SUM($DI745:$DL745))/Cohort</f>
        <v>0.39953233632031582</v>
      </c>
      <c r="ED745" s="290">
        <f t="shared" ref="ED745:ED766" ca="1" si="334">(SUM($AR745:$AU745)+SUM($CN745:$CQ745))/Cohort</f>
        <v>0.40879810831498814</v>
      </c>
      <c r="EF745" s="95">
        <f t="shared" si="281"/>
        <v>79</v>
      </c>
      <c r="EG745" s="339">
        <f t="shared" ca="1" si="325"/>
        <v>170899.40698516622</v>
      </c>
      <c r="EH745" s="341">
        <f t="shared" ca="1" si="310"/>
        <v>12968302.953545878</v>
      </c>
      <c r="EJ745" s="308">
        <f t="shared" si="283"/>
        <v>79</v>
      </c>
      <c r="EK745" s="318">
        <f t="shared" ca="1" si="284"/>
        <v>170899.40698516622</v>
      </c>
      <c r="EL745" s="319">
        <f t="shared" ca="1" si="311"/>
        <v>9868171.0176897943</v>
      </c>
      <c r="EN745" s="95">
        <f t="shared" si="285"/>
        <v>79</v>
      </c>
      <c r="EO745" s="339">
        <f t="shared" ca="1" si="286"/>
        <v>170899.40698516622</v>
      </c>
      <c r="EP745" s="341">
        <f t="shared" ca="1" si="312"/>
        <v>12968302.953545878</v>
      </c>
    </row>
    <row r="746" spans="1:146" s="266" customFormat="1" x14ac:dyDescent="0.25">
      <c r="A746" s="313">
        <v>80</v>
      </c>
      <c r="B746" s="314">
        <v>80</v>
      </c>
      <c r="C746" s="308">
        <f>VLOOKUP($B746,'Infant adult mortality'!$A$27:$I$128,3)</f>
        <v>1.4186512892989521E-2</v>
      </c>
      <c r="D746" s="309">
        <f t="shared" ref="D746:D766" si="335">VLOOKUP($A746,$A$555:$N$655,4)</f>
        <v>0.27</v>
      </c>
      <c r="E746" s="309">
        <f>VLOOKUP($B746,'Infant pick up smoking rates'!$A$19:$I$104,3)</f>
        <v>0</v>
      </c>
      <c r="F746" s="309">
        <f t="shared" ref="F746:F766" si="336">VLOOKUP($A746,$A$555:$N$655,3)</f>
        <v>0.14624098391610749</v>
      </c>
      <c r="G746" s="309">
        <f t="shared" ref="G746:G766" si="337">1-F746-E746-D746-C746</f>
        <v>0.56957250319090291</v>
      </c>
      <c r="H746" s="309">
        <f>VLOOKUP($B746,'Infant adult mortality'!$A$27:$I$128,3)</f>
        <v>1.4186512892989521E-2</v>
      </c>
      <c r="I746" s="309">
        <f t="shared" ref="I746:I766" si="338">VLOOKUP($A746,$A$555:$N$655,7)</f>
        <v>0.14000000000000001</v>
      </c>
      <c r="J746" s="309">
        <f>VLOOKUP($B746,'Infant pick up smoking rates'!$A$19:$I$104,2)</f>
        <v>0</v>
      </c>
      <c r="K746" s="309">
        <f t="shared" ref="K746:K766" si="339">VLOOKUP($A746,$A$555:$N$655,6)</f>
        <v>0.14624098391610749</v>
      </c>
      <c r="L746" s="309">
        <f t="shared" ref="L746:L766" si="340">1-K746-J746-I746-H746</f>
        <v>0.69957250319090292</v>
      </c>
      <c r="M746" s="309">
        <f>VLOOKUP($B746,'Infant adult mortality'!$A$27:$I$128,3)</f>
        <v>1.4186512892989521E-2</v>
      </c>
      <c r="N746" s="309">
        <f t="shared" ref="N746:N766" si="341">VLOOKUP($A746,$A$555:$N$655,11)</f>
        <v>0.5714285714285714</v>
      </c>
      <c r="O746" s="309">
        <f>VLOOKUP($B746,'Infant pick up smoking rates'!$A$19:$I$104,2)</f>
        <v>0</v>
      </c>
      <c r="P746" s="309">
        <f t="shared" ref="P746:P766" si="342">VLOOKUP($A746,$A$555:$N$655,9)</f>
        <v>0.12016234480898272</v>
      </c>
      <c r="Q746" s="309">
        <f t="shared" ref="Q746:Q766" si="343">1-P746-O746-N746-M746</f>
        <v>0.29422257086945641</v>
      </c>
      <c r="R746" s="309">
        <f>VLOOKUP($B746,'Infant adult mortality'!$A$27:$I$128,3)</f>
        <v>1.4186512892989521E-2</v>
      </c>
      <c r="S746" s="309">
        <f t="shared" ref="S746:S766" si="344">VLOOKUP($A746,$A$555:$N$655,13)</f>
        <v>8.6261668788331098E-3</v>
      </c>
      <c r="T746" s="309">
        <f>VLOOKUP($B746,'Infant pick up smoking rates'!$A$19:$I$104,2)</f>
        <v>0</v>
      </c>
      <c r="U746" s="309">
        <f t="shared" ref="U746:U766" si="345">VLOOKUP($A746,$A$555:$N$655,12)</f>
        <v>0.12016234480898272</v>
      </c>
      <c r="V746" s="309">
        <f t="shared" ref="V746:V766" si="346">1-U746-T746-S746-R746</f>
        <v>0.85702497541919465</v>
      </c>
      <c r="W746" s="309">
        <f>VLOOKUP($B746,'Infant adult mortality'!$A$27:$I$128,3)</f>
        <v>1.4186512892989521E-2</v>
      </c>
      <c r="X746" s="309">
        <f>VLOOKUP($B746,'Infant pick up smoking rates'!$A$19:$I$104,2)</f>
        <v>0</v>
      </c>
      <c r="Y746" s="309">
        <f t="shared" ref="Y746:Y766" si="347">1-X746-W746</f>
        <v>0.98581348710701044</v>
      </c>
      <c r="Z746" s="309">
        <f>VLOOKUP($B746,'Infant adult mortality'!$A$27:$I$128,5)</f>
        <v>2.2311133036452362E-2</v>
      </c>
      <c r="AA746" s="309">
        <f t="shared" si="326"/>
        <v>0.25</v>
      </c>
      <c r="AB746" s="309">
        <f t="shared" ref="AB746:AB766" si="348">1-AA746-Z746</f>
        <v>0.72768886696354762</v>
      </c>
      <c r="AC746" s="309">
        <f>VLOOKUP($B746,'Infant adult mortality'!$A$27:$I$128,5)</f>
        <v>2.2311133036452362E-2</v>
      </c>
      <c r="AD746" s="309">
        <f t="shared" si="327"/>
        <v>0.14000000000000001</v>
      </c>
      <c r="AE746" s="309">
        <f t="shared" ref="AE746:AE766" si="349">1-AD746-AC746</f>
        <v>0.83768886696354761</v>
      </c>
      <c r="AF746" s="309">
        <f>VLOOKUP($B746,'Infant adult mortality'!$A$27:$I$128,4)</f>
        <v>1.6270288525639314E-2</v>
      </c>
      <c r="AG746" s="309">
        <f t="shared" si="328"/>
        <v>0.5714285714285714</v>
      </c>
      <c r="AH746" s="309">
        <f t="shared" ref="AH746:AH766" si="350">1-AG746-AF746</f>
        <v>0.41230114004578927</v>
      </c>
      <c r="AI746" s="309">
        <f>VLOOKUP($B746,'Infant adult mortality'!$A$27:$I$128,4)</f>
        <v>1.6270288525639314E-2</v>
      </c>
      <c r="AJ746" s="309">
        <f t="shared" si="329"/>
        <v>8.6261668788331098E-3</v>
      </c>
      <c r="AK746" s="309">
        <f t="shared" ref="AK746:AK766" si="351">1-AJ746-AI746</f>
        <v>0.97510354459552762</v>
      </c>
      <c r="AL746" s="309"/>
      <c r="AM746" s="315">
        <f t="shared" si="287"/>
        <v>2.5234580691497732</v>
      </c>
      <c r="AN746" s="316">
        <f t="shared" si="288"/>
        <v>0.81222212596767829</v>
      </c>
      <c r="AO746" s="316">
        <f t="shared" si="289"/>
        <v>0.13545815277881129</v>
      </c>
      <c r="AP746" s="316">
        <f t="shared" si="290"/>
        <v>8.6091637209733207</v>
      </c>
      <c r="AQ746" s="316">
        <f t="shared" si="291"/>
        <v>127.11814962323734</v>
      </c>
      <c r="AR746" s="316">
        <f t="shared" si="292"/>
        <v>81.234164718592297</v>
      </c>
      <c r="AS746" s="316">
        <f t="shared" si="293"/>
        <v>20.928050279602296</v>
      </c>
      <c r="AT746" s="316">
        <f t="shared" si="294"/>
        <v>3.0136601978274107</v>
      </c>
      <c r="AU746" s="316">
        <f t="shared" si="295"/>
        <v>115.89550343195077</v>
      </c>
      <c r="AV746" s="316">
        <f t="shared" si="296"/>
        <v>149.7301696799201</v>
      </c>
      <c r="AW746" s="317">
        <f t="shared" ref="AW746:AW766" si="352">SUM(AM746:AV746)</f>
        <v>509.99999999999977</v>
      </c>
      <c r="AX746" s="309"/>
      <c r="AY746" s="308">
        <f>VLOOKUP($B746,'Infant adult mortality'!$A$134:$I$234,3)</f>
        <v>1.0154842270872776E-2</v>
      </c>
      <c r="AZ746" s="309">
        <f t="shared" ref="AZ746:AZ766" si="353">VLOOKUP($A746,$A$555:$N$655,4)</f>
        <v>0.27</v>
      </c>
      <c r="BA746" s="309">
        <f ca="1">VLOOKUP($B746,'Infant pick up smoking rates'!$A$19:$I$104,7)</f>
        <v>0</v>
      </c>
      <c r="BB746" s="309">
        <f t="shared" ref="BB746:BB766" si="354">VLOOKUP($A746,$A$555:$N$655,3)</f>
        <v>0.14624098391610749</v>
      </c>
      <c r="BC746" s="309">
        <f t="shared" ref="BC746:BC766" ca="1" si="355">1-BB746-BA746-AZ746-AY746</f>
        <v>0.57360417381301965</v>
      </c>
      <c r="BD746" s="309">
        <f>VLOOKUP($B746,'Infant adult mortality'!$A$134:$I$234,3)</f>
        <v>1.0154842270872776E-2</v>
      </c>
      <c r="BE746" s="309">
        <f t="shared" ref="BE746:BE766" si="356">VLOOKUP($A746,$A$555:$N$655,7)</f>
        <v>0.14000000000000001</v>
      </c>
      <c r="BF746" s="309">
        <f>VLOOKUP($B746,'Infant pick up smoking rates'!$A$19:$I$104,6)</f>
        <v>0</v>
      </c>
      <c r="BG746" s="309">
        <f t="shared" ref="BG746:BG766" si="357">VLOOKUP($A746,$A$555:$N$655,6)</f>
        <v>0.14624098391610749</v>
      </c>
      <c r="BH746" s="309">
        <f t="shared" ref="BH746:BH766" si="358">1-BG746-BF746-BE746-BD746</f>
        <v>0.70360417381301965</v>
      </c>
      <c r="BI746" s="309">
        <f>VLOOKUP($B746,'Infant adult mortality'!$A$134:$I$234,3)</f>
        <v>1.0154842270872776E-2</v>
      </c>
      <c r="BJ746" s="309">
        <f t="shared" ref="BJ746:BJ766" si="359">VLOOKUP($A746,$A$555:$N$655,11)</f>
        <v>0.5714285714285714</v>
      </c>
      <c r="BK746" s="309">
        <f>VLOOKUP($B746,'Infant pick up smoking rates'!$A$19:$I$104,6)</f>
        <v>0</v>
      </c>
      <c r="BL746" s="309">
        <f t="shared" ref="BL746:BL766" si="360">VLOOKUP($A746,$A$555:$N$655,9)</f>
        <v>0.12016234480898272</v>
      </c>
      <c r="BM746" s="309">
        <f t="shared" ref="BM746:BM766" si="361">1-BL746-BK746-BJ746-BI746</f>
        <v>0.29825424149157315</v>
      </c>
      <c r="BN746" s="309">
        <f>VLOOKUP($B746,'Infant adult mortality'!$A$134:$I$234,3)</f>
        <v>1.0154842270872776E-2</v>
      </c>
      <c r="BO746" s="309">
        <f t="shared" ref="BO746:BO766" si="362">VLOOKUP($A746,$A$555:$N$655,13)</f>
        <v>8.6261668788331098E-3</v>
      </c>
      <c r="BP746" s="309">
        <f>VLOOKUP($B746,'Infant pick up smoking rates'!$A$19:$I$104,6)</f>
        <v>0</v>
      </c>
      <c r="BQ746" s="309">
        <f t="shared" ref="BQ746:BQ766" si="363">VLOOKUP($A746,$A$555:$N$655,12)</f>
        <v>0.12016234480898272</v>
      </c>
      <c r="BR746" s="309">
        <f t="shared" ref="BR746:BR766" si="364">1-BQ746-BP746-BO746-BN746</f>
        <v>0.86105664604131138</v>
      </c>
      <c r="BS746" s="309">
        <f>VLOOKUP($B746,'Infant adult mortality'!$A$134:$I$234,3)</f>
        <v>1.0154842270872776E-2</v>
      </c>
      <c r="BT746" s="309">
        <f>VLOOKUP($B746,'Infant pick up smoking rates'!$A$19:$I$104,6)</f>
        <v>0</v>
      </c>
      <c r="BU746" s="309">
        <f t="shared" ref="BU746:BU766" si="365">1-BT746-BS746</f>
        <v>0.98984515772912718</v>
      </c>
      <c r="BV746" s="309">
        <f>VLOOKUP($B746,'Infant adult mortality'!$A$134:$I$234,5)</f>
        <v>1.5970523452707927E-2</v>
      </c>
      <c r="BW746" s="309">
        <f t="shared" ref="BW746:BW766" si="366">DET_P_01Q_CS_FEMALE</f>
        <v>0.27</v>
      </c>
      <c r="BX746" s="309">
        <f t="shared" ref="BX746:BX766" si="367">1-BW746-BV746</f>
        <v>0.7140294765472921</v>
      </c>
      <c r="BY746" s="309">
        <f>VLOOKUP($B746,'Infant adult mortality'!$A$134:$I$234,5)</f>
        <v>1.5970523452707927E-2</v>
      </c>
      <c r="BZ746" s="309">
        <f t="shared" ref="BZ746:BZ766" si="368">DET_P_12Q_01Q</f>
        <v>0.14000000000000001</v>
      </c>
      <c r="CA746" s="309">
        <f t="shared" ref="CA746:CA766" si="369">1-BZ746-BY746</f>
        <v>0.8440294765472921</v>
      </c>
      <c r="CB746" s="309">
        <f>VLOOKUP($B746,'Infant adult mortality'!$A$134:$I$234,4)</f>
        <v>1.1646428895229459E-2</v>
      </c>
      <c r="CC746" s="309">
        <f t="shared" ref="CC746:CC766" si="370">DET_P_LTQ_12Q</f>
        <v>0.5714285714285714</v>
      </c>
      <c r="CD746" s="309">
        <f t="shared" ref="CD746:CD766" si="371">1-CC746-CB746</f>
        <v>0.41692499967619917</v>
      </c>
      <c r="CE746" s="309">
        <f>VLOOKUP($B746,'Infant adult mortality'!$A$134:$I$234,4)</f>
        <v>1.1646428895229459E-2</v>
      </c>
      <c r="CF746" s="309">
        <f t="shared" ref="CF746:CF766" si="372">DET_P_CS_LTQ</f>
        <v>8.6261668788331098E-3</v>
      </c>
      <c r="CG746" s="309">
        <f t="shared" ref="CG746:CG766" si="373">1-CF746-CE746</f>
        <v>0.9797274042259374</v>
      </c>
      <c r="CH746" s="309"/>
      <c r="CI746" s="315">
        <f t="shared" ca="1" si="297"/>
        <v>3.5722838375259709</v>
      </c>
      <c r="CJ746" s="316">
        <f t="shared" ca="1" si="298"/>
        <v>1.1442755312220627</v>
      </c>
      <c r="CK746" s="316">
        <f t="shared" ca="1" si="299"/>
        <v>0.18997700961329991</v>
      </c>
      <c r="CL746" s="316">
        <f t="shared" ca="1" si="300"/>
        <v>12.043556628641113</v>
      </c>
      <c r="CM746" s="316">
        <f t="shared" ca="1" si="301"/>
        <v>177.77997766546895</v>
      </c>
      <c r="CN746" s="316">
        <f t="shared" ca="1" si="302"/>
        <v>64.171739107282974</v>
      </c>
      <c r="CO746" s="316">
        <f t="shared" ca="1" si="303"/>
        <v>17.746969771008558</v>
      </c>
      <c r="CP746" s="316">
        <f t="shared" ca="1" si="304"/>
        <v>2.5412051774191728</v>
      </c>
      <c r="CQ746" s="316">
        <f t="shared" ca="1" si="305"/>
        <v>96.465241972421907</v>
      </c>
      <c r="CR746" s="316">
        <f t="shared" ca="1" si="306"/>
        <v>114.34477329939662</v>
      </c>
      <c r="CS746" s="317">
        <f t="shared" ref="CS746:CS766" ca="1" si="374">SUM(CI746:CR746)</f>
        <v>490.00000000000057</v>
      </c>
      <c r="CT746" s="309"/>
      <c r="CU746" s="309">
        <f t="shared" ref="CU746:CU766" ca="1" si="375">CS746+AW746</f>
        <v>1000.0000000000003</v>
      </c>
      <c r="CV746" s="309" t="str">
        <f t="shared" ca="1" si="330"/>
        <v>OKAY</v>
      </c>
      <c r="CW746" s="309"/>
      <c r="CX746" s="315">
        <f>(SUM($AR746:$AS746))-((SUM($AR746:$AS746)*VLOOKUP($B746,Lifetime_morbidity_array!$A$30:$Y$48,4))+(SUM($AR746:$AS746)*VLOOKUP($B746,Lifetime_morbidity_array!$A$30:$Y$48,7))+(SUM($AR746:$AS746)*VLOOKUP($B746,Lifetime_morbidity_array!$A$30:$Y$48,10))+(SUM($AR746:$AS746)*VLOOKUP($B746,Lifetime_morbidity_array!$A$30:$Y$48,13)))</f>
        <v>-5.3931337957398284</v>
      </c>
      <c r="CY746" s="316">
        <f>(SUM($AT746:$AU746))-((SUM($AT746:$AU746)*(VLOOKUP($B746,Lifetime_morbidity_array!$A$30:$Y$48,3)))+(SUM($AT746:$AU746)*(VLOOKUP($B746,Lifetime_morbidity_array!$A$30:$Y$48,6)))+(SUM($AT746:$AU746)*(VLOOKUP($B746,Lifetime_morbidity_array!$A$30:$Y$48,9)))+(SUM($AT746:$AU746)*(VLOOKUP($B746,Lifetime_morbidity_array!$A$30:$Y$48,12))))</f>
        <v>53.070965031778726</v>
      </c>
      <c r="CZ746" s="316">
        <f>(SUM($AM746:$AQ746))-((SUM($AM746:$AQ746)*VLOOKUP($B746,Lifetime_morbidity_array!$A$30:$Y$48,2))+(SUM($AM746:$AQ746)*VLOOKUP($B746,Lifetime_morbidity_array!$A$30:$Y$48,5))+(SUM($AM746:$AQ746)*VLOOKUP($B746,Lifetime_morbidity_array!$A$30:$Y$48,8))+(SUM($AM746:$AQ746)*VLOOKUP($B746,Lifetime_morbidity_array!$A$30:$Y$48,11)))</f>
        <v>88.617238152195753</v>
      </c>
      <c r="DA746" s="316">
        <f>(SUM($AM746:$AQ746)*VLOOKUP($B746,Lifetime_morbidity_array!$A$30:$Y$48,2))+(SUM($AR746:$AS746)*VLOOKUP($B746,Lifetime_morbidity_array!$A$30:$Y$48,4))+(SUM($AT746:$AU746)*(VLOOKUP($B746,Lifetime_morbidity_array!$A$30:$Y$48,3)))</f>
        <v>113.12719637021117</v>
      </c>
      <c r="DB746" s="316">
        <f>(SUM($AM746:$AQ746)*VLOOKUP($B746,Lifetime_morbidity_array!$A$30:$Y$48,5))+(SUM($AR746:$AS746)*VLOOKUP($B746,Lifetime_morbidity_array!$A$30:$Y$48,7))+(SUM($AT746:$AU746)*(VLOOKUP($B746,Lifetime_morbidity_array!$A$30:$Y$48,6)))</f>
        <v>56.698050327339601</v>
      </c>
      <c r="DC746" s="316">
        <f>(SUM($AM746:$AQ746)*VLOOKUP($B746,Lifetime_morbidity_array!$A$30:$Y$48,8))+(SUM($AR746:$AS746)*VLOOKUP($B746,Lifetime_morbidity_array!$A$30:$Y$48,10))+(SUM($AT746:$AU746)*(VLOOKUP($B746,Lifetime_morbidity_array!$A$30:$Y$48,9)))</f>
        <v>4.2809071893452266</v>
      </c>
      <c r="DD746" s="317">
        <f>(SUM($AM746:$AQ746)*VLOOKUP($B746,Lifetime_morbidity_array!$A$30:$Y$48,11))+(SUM($AR746:$AS746)*VLOOKUP($B746,Lifetime_morbidity_array!$A$30:$Y$48,13))+(SUM($AT746:$AU746)*(VLOOKUP($B746,Lifetime_morbidity_array!$A$30:$Y$48,12)))</f>
        <v>49.868607044949044</v>
      </c>
      <c r="DE746" s="309"/>
      <c r="DF746" s="315">
        <f ca="1">(SUM($CN746:$CO746))-((SUM($CN746:$CO746)*VLOOKUP($B746,Lifetime_morbidity_array!$A$6:$Y$24,4))+(SUM($CN746:$CO746)*VLOOKUP($B746,Lifetime_morbidity_array!$A$6:$Y$24,7))+(SUM($CN746:$CO746)*VLOOKUP($B746,Lifetime_morbidity_array!$A$6:$Y$24,10))+(SUM($CN746:$CO746)*VLOOKUP($B746,Lifetime_morbidity_array!$A$6:$Y$24,13)))</f>
        <v>6.2389336679595289</v>
      </c>
      <c r="DG746" s="316">
        <f ca="1">(SUM($CP746:$CQ746))-(((SUM($CP746:$CQ746)*VLOOKUP($B746,Lifetime_morbidity_array!$A$6:$Y$24,3))+(SUM($CP746:$CQ746)*VLOOKUP($B746,Lifetime_morbidity_array!$A$6:$Y$24,6))+(SUM($CP746:$CQ746)*VLOOKUP($B746,Lifetime_morbidity_array!$A$6:$Y$24,9))+(SUM($CP746:$CQ746)*VLOOKUP($B746,Lifetime_morbidity_array!$A$6:$Y$24,12))))</f>
        <v>54.87356290681101</v>
      </c>
      <c r="DH746" s="316">
        <f ca="1">(SUM($CI746:$CM746))-((SUM($CI746:$CM746)*VLOOKUP($B746,Lifetime_morbidity_array!$A$6:$Y$24,2))+(SUM($CI746:$CM746)*VLOOKUP($B746,Lifetime_morbidity_array!$A$6:$Y$24,5))+(SUM($CI746:$CM746)*VLOOKUP($B746,Lifetime_morbidity_array!$A$6:$Y$24,8))+(SUM($CI746:$CM746)*VLOOKUP($B746,Lifetime_morbidity_array!$A$6:$Y$24,11)))</f>
        <v>140.18876340076568</v>
      </c>
      <c r="DI746" s="316">
        <f ca="1">(SUM($CI746:$CM746)*VLOOKUP($B746,Lifetime_morbidity_array!$A$6:$Y$24,2))+(SUM($CN746:$CO746)*VLOOKUP($B746,Lifetime_morbidity_array!$A$6:$Y$24,4))+(SUM($CP746:$CQ746)*VLOOKUP($B746,Lifetime_morbidity_array!$A$6:$Y$24,3))</f>
        <v>81.2943251789237</v>
      </c>
      <c r="DJ746" s="316">
        <f ca="1">(SUM($CI746:$CM746)*VLOOKUP($B746,Lifetime_morbidity_array!$A$6:$Y$24,5))+(SUM($CN746:$CO746)*VLOOKUP($B746,Lifetime_morbidity_array!$A$6:$Y$24,7))+(SUM($CP746:$CQ746)*VLOOKUP($B746,Lifetime_morbidity_array!$A$6:$Y$24,6))</f>
        <v>46.84768289391458</v>
      </c>
      <c r="DK746" s="316">
        <f ca="1">(SUM($CI746:$CM746)*VLOOKUP($B746,Lifetime_morbidity_array!$A$6:$Y$24,8))+(SUM($CN746:$CO746)*VLOOKUP($B746,Lifetime_morbidity_array!$A$6:$Y$24,10))+(SUM($CP746:$CQ746)*VLOOKUP($B746,Lifetime_morbidity_array!$A$6:$Y$24,9))</f>
        <v>1.7168904680163486</v>
      </c>
      <c r="DL746" s="317">
        <f ca="1">(SUM($CI746:$CM746)*VLOOKUP($B746,Lifetime_morbidity_array!$A$6:$Y$24,11))+(SUM($CN746:$CO746)*VLOOKUP($B746,Lifetime_morbidity_array!$A$6:$Y$24,13))+(SUM($CP746:$CQ746)*VLOOKUP($B746,Lifetime_morbidity_array!$A$6:$Y$24,12))</f>
        <v>44.495068184213153</v>
      </c>
      <c r="DM746" s="309"/>
      <c r="DN746" s="308">
        <f t="shared" ref="DN746:DN766" si="376">$B746</f>
        <v>80</v>
      </c>
      <c r="DO746" s="309">
        <f t="shared" ref="DO746:DO766" ca="1" si="377">((SUM($CX746:$DD746)+SUM($DF746:$DL746))/((1+Discount_rate_QALYs)^$A746))</f>
        <v>46.946758017405969</v>
      </c>
      <c r="DP746" s="310">
        <f t="shared" ca="1" si="307"/>
        <v>23559.228428135786</v>
      </c>
      <c r="DQ746" s="309"/>
      <c r="DR746" s="308">
        <f t="shared" ref="DR746:DR766" si="378">$B746</f>
        <v>80</v>
      </c>
      <c r="DS746" s="309">
        <f ca="1">((VLOOKUP($B746,'Mahawesran Tariff'!$A$21:$M$120,4)*'Comparator (DET)'!$CX746)+(VLOOKUP($B746,'Mahawesran Tariff'!$A$21:$M$120,3)*'Comparator (DET)'!$CY746)+(VLOOKUP($B746,'Mahawesran Tariff'!$A$21:$M$120,2)*'Comparator (DET)'!$CZ746)+(VLOOKUP($B746,'Mahawesran Tariff'!$A$21:$M$120,7)*'Comparator (DET)'!$DF746)+(VLOOKUP($B746,'Mahawesran Tariff'!$A$21:$M$120,6)*'Comparator (DET)'!$DG746)+(VLOOKUP($B746,'Mahawesran Tariff'!$A$21:$M$120,5)*'Comparator (DET)'!$DH746)+(DET_UTIL_chd*('Comparator (DET)'!$DA746+'Comparator (DET)'!$DI746))+(DET_UTIL_copd*('Comparator (DET)'!$DB746+'Comparator (DET)'!$DJ746))+(DET_UTIL_lc*('Comparator (DET)'!$DC746+'Comparator (DET)'!$DK746))+(DET_UTIL_stroke*('Comparator (DET)'!$DD746+'Comparator (DET)'!$DL746)))/((1+Discount_rate_QALYs)^$A746)</f>
        <v>38.327213730446417</v>
      </c>
      <c r="DT746" s="310">
        <f t="shared" ca="1" si="308"/>
        <v>23123.507633538295</v>
      </c>
      <c r="DU746" s="309"/>
      <c r="DV746" s="308">
        <f t="shared" ref="DV746:DV766" si="379">$B746</f>
        <v>80</v>
      </c>
      <c r="DW746" s="318">
        <f t="shared" ref="DW746:DW766" ca="1" si="380">((DET_COST_chd*($DA746+$DI746))+(DET_COST_copd*($DB746+$DJ746))+(DET_cost_lc*($DC746+$DK746))+(DET_COST_stroke*($DD746+$DL746)))/((1+Discount_rate_costs)^$A746)</f>
        <v>162810.40468537118</v>
      </c>
      <c r="DX746" s="319">
        <f t="shared" ca="1" si="309"/>
        <v>10030981.422375165</v>
      </c>
      <c r="DZ746" s="95">
        <f t="shared" ref="DZ746:DZ766" si="381">$A746</f>
        <v>80</v>
      </c>
      <c r="EA746" s="268">
        <f t="shared" ca="1" si="331"/>
        <v>0.73592505702068367</v>
      </c>
      <c r="EB746" s="268">
        <f t="shared" ca="1" si="332"/>
        <v>0.26407494297931666</v>
      </c>
      <c r="EC746" s="268">
        <f t="shared" ca="1" si="333"/>
        <v>0.3983287276569128</v>
      </c>
      <c r="ED746" s="290">
        <f t="shared" ca="1" si="334"/>
        <v>0.40199653465610541</v>
      </c>
      <c r="EF746" s="95">
        <f t="shared" ref="EF746:EF766" si="382">$A746</f>
        <v>80</v>
      </c>
      <c r="EG746" s="339">
        <f t="shared" ref="EG746:EG766" ca="1" si="383">((DET_COST_chd*($DA746+$DI746))+(DET_COST_copd*($DB746+$DJ746))+(DET_cost_lc*($DC746+$DK746))+(DET_COST_stroke*($DD746+$DL746)))/((1+Discount_rate_costs)^$A746)</f>
        <v>162810.40468537118</v>
      </c>
      <c r="EH746" s="341">
        <f t="shared" ca="1" si="310"/>
        <v>13131113.358231248</v>
      </c>
      <c r="EJ746" s="308">
        <f t="shared" ref="EJ746:EJ766" si="384">$B746</f>
        <v>80</v>
      </c>
      <c r="EK746" s="318">
        <f t="shared" ref="EK746:EK766" ca="1" si="385">((DET_COST_chd*($DA746+$DI746))+(DET_COST_copd*($DB746+$DJ746))+(DET_cost_lc*($DC746+$DK746))+(DET_COST_stroke*($DD746+$DL746)))/((1+Discount_rate_costs)^$A746)</f>
        <v>162810.40468537118</v>
      </c>
      <c r="EL746" s="319">
        <f t="shared" ca="1" si="311"/>
        <v>10030981.422375165</v>
      </c>
      <c r="EN746" s="95">
        <f t="shared" ref="EN746:EN766" si="386">$A746</f>
        <v>80</v>
      </c>
      <c r="EO746" s="339">
        <f t="shared" ref="EO746:EO766" ca="1" si="387">((DET_COST_chd*($DA746+$DI746))+(DET_COST_copd*($DB746+$DJ746))+(DET_cost_lc*($DC746+$DK746))+(DET_COST_stroke*($DD746+$DL746)))/((1+Discount_rate_costs)^$A746)</f>
        <v>162810.40468537118</v>
      </c>
      <c r="EP746" s="341">
        <f t="shared" ca="1" si="312"/>
        <v>13131113.358231248</v>
      </c>
    </row>
    <row r="747" spans="1:146" s="266" customFormat="1" x14ac:dyDescent="0.25">
      <c r="A747" s="313">
        <v>81</v>
      </c>
      <c r="B747" s="314">
        <v>81</v>
      </c>
      <c r="C747" s="308">
        <f>VLOOKUP($B747,'Infant adult mortality'!$A$27:$I$128,3)</f>
        <v>1.5544272152742594E-2</v>
      </c>
      <c r="D747" s="309">
        <f t="shared" si="335"/>
        <v>0.27</v>
      </c>
      <c r="E747" s="309">
        <f>VLOOKUP($B747,'Infant pick up smoking rates'!$A$19:$I$104,3)</f>
        <v>0</v>
      </c>
      <c r="F747" s="309">
        <f t="shared" si="336"/>
        <v>0.14624098391610749</v>
      </c>
      <c r="G747" s="309">
        <f t="shared" si="337"/>
        <v>0.5682147439311499</v>
      </c>
      <c r="H747" s="309">
        <f>VLOOKUP($B747,'Infant adult mortality'!$A$27:$I$128,3)</f>
        <v>1.5544272152742594E-2</v>
      </c>
      <c r="I747" s="309">
        <f t="shared" si="338"/>
        <v>0.14000000000000001</v>
      </c>
      <c r="J747" s="309">
        <f>VLOOKUP($B747,'Infant pick up smoking rates'!$A$19:$I$104,2)</f>
        <v>0</v>
      </c>
      <c r="K747" s="309">
        <f t="shared" si="339"/>
        <v>0.14624098391610749</v>
      </c>
      <c r="L747" s="309">
        <f t="shared" si="340"/>
        <v>0.69821474393114991</v>
      </c>
      <c r="M747" s="309">
        <f>VLOOKUP($B747,'Infant adult mortality'!$A$27:$I$128,3)</f>
        <v>1.5544272152742594E-2</v>
      </c>
      <c r="N747" s="309">
        <f t="shared" si="341"/>
        <v>0.5714285714285714</v>
      </c>
      <c r="O747" s="309">
        <f>VLOOKUP($B747,'Infant pick up smoking rates'!$A$19:$I$104,2)</f>
        <v>0</v>
      </c>
      <c r="P747" s="309">
        <f t="shared" si="342"/>
        <v>0.12016234480898272</v>
      </c>
      <c r="Q747" s="309">
        <f t="shared" si="343"/>
        <v>0.29286481160970335</v>
      </c>
      <c r="R747" s="309">
        <f>VLOOKUP($B747,'Infant adult mortality'!$A$27:$I$128,3)</f>
        <v>1.5544272152742594E-2</v>
      </c>
      <c r="S747" s="309">
        <f t="shared" si="344"/>
        <v>8.6261668788331098E-3</v>
      </c>
      <c r="T747" s="309">
        <f>VLOOKUP($B747,'Infant pick up smoking rates'!$A$19:$I$104,2)</f>
        <v>0</v>
      </c>
      <c r="U747" s="309">
        <f t="shared" si="345"/>
        <v>0.12016234480898272</v>
      </c>
      <c r="V747" s="309">
        <f t="shared" si="346"/>
        <v>0.85566721615944163</v>
      </c>
      <c r="W747" s="309">
        <f>VLOOKUP($B747,'Infant adult mortality'!$A$27:$I$128,3)</f>
        <v>1.5544272152742594E-2</v>
      </c>
      <c r="X747" s="309">
        <f>VLOOKUP($B747,'Infant pick up smoking rates'!$A$19:$I$104,2)</f>
        <v>0</v>
      </c>
      <c r="Y747" s="309">
        <f t="shared" si="347"/>
        <v>0.98445572784725743</v>
      </c>
      <c r="Z747" s="309">
        <f>VLOOKUP($B747,'Infant adult mortality'!$A$27:$I$128,5)</f>
        <v>2.444648142716194E-2</v>
      </c>
      <c r="AA747" s="309">
        <f t="shared" si="326"/>
        <v>0.25</v>
      </c>
      <c r="AB747" s="309">
        <f t="shared" si="348"/>
        <v>0.72555351857283801</v>
      </c>
      <c r="AC747" s="309">
        <f>VLOOKUP($B747,'Infant adult mortality'!$A$27:$I$128,5)</f>
        <v>2.444648142716194E-2</v>
      </c>
      <c r="AD747" s="309">
        <f t="shared" si="327"/>
        <v>0.14000000000000001</v>
      </c>
      <c r="AE747" s="309">
        <f t="shared" si="349"/>
        <v>0.83555351857283799</v>
      </c>
      <c r="AF747" s="309">
        <f>VLOOKUP($B747,'Infant adult mortality'!$A$27:$I$128,4)</f>
        <v>1.7827481267166208E-2</v>
      </c>
      <c r="AG747" s="309">
        <f t="shared" si="328"/>
        <v>0.5714285714285714</v>
      </c>
      <c r="AH747" s="309">
        <f t="shared" si="350"/>
        <v>0.41074394730426239</v>
      </c>
      <c r="AI747" s="309">
        <f>VLOOKUP($B747,'Infant adult mortality'!$A$27:$I$128,4)</f>
        <v>1.7827481267166208E-2</v>
      </c>
      <c r="AJ747" s="309">
        <f t="shared" si="329"/>
        <v>8.6261668788331098E-3</v>
      </c>
      <c r="AK747" s="309">
        <f t="shared" si="351"/>
        <v>0.97354635185400074</v>
      </c>
      <c r="AL747" s="309"/>
      <c r="AM747" s="315">
        <f t="shared" ref="AM747:AM766" si="388">(AM746*G747)+(AN746*L747)+(AO746*Q747)+(AP746*S747)</f>
        <v>2.1149065536195462</v>
      </c>
      <c r="AN747" s="316">
        <f t="shared" ref="AN747:AN766" si="389">AM746*D747</f>
        <v>0.68133367867043881</v>
      </c>
      <c r="AO747" s="316">
        <f t="shared" ref="AO747:AO766" si="390">AN746*I747</f>
        <v>0.11371109763547498</v>
      </c>
      <c r="AP747" s="316">
        <f t="shared" ref="AP747:AP766" si="391">(AO746*N747)+(AP746*V747)</f>
        <v>7.4439838133168506</v>
      </c>
      <c r="AQ747" s="316">
        <f t="shared" ref="AQ747:AQ766" si="392">(AM746*F747)+(AN746*K747)+(AO746*P747)+(AP746*U747)+(AQ746*Y747)</f>
        <v>126.68077793252212</v>
      </c>
      <c r="AR747" s="316">
        <f t="shared" ref="AR747:AR766" si="393">(AR746*AB747)+(AS746*AE747)+(AT746*AH747)+(AU746*AJ747)+(AM746*E747)+(AN746*J747)+(AO746*O747)+(AP746*T747)+(AQ746*X747)</f>
        <v>78.66381672649085</v>
      </c>
      <c r="AS747" s="316">
        <f t="shared" ref="AS747:AS766" si="394">AR746*AA747</f>
        <v>20.308541179648074</v>
      </c>
      <c r="AT747" s="316">
        <f t="shared" ref="AT747:AT766" si="395">AS746*AD747</f>
        <v>2.9299270391443217</v>
      </c>
      <c r="AU747" s="316">
        <f t="shared" ref="AU747:AU766" si="396">(AT746*AG747)+(AU746*AK747)</f>
        <v>114.55173610407417</v>
      </c>
      <c r="AV747" s="316">
        <f t="shared" ref="AV747:AV766" si="397">AV746+(AM746*C747)+(AN746*H747)+(AO746*M747)+(AP746*R747)+(AQ746*W747)+(AR746*Z747)+(AS746*AC747)+(AT746*AF747)+(AU746*AI747)</f>
        <v>156.51126587487798</v>
      </c>
      <c r="AW747" s="317">
        <f t="shared" si="352"/>
        <v>509.99999999999977</v>
      </c>
      <c r="AX747" s="309"/>
      <c r="AY747" s="308">
        <f>VLOOKUP($B747,'Infant adult mortality'!$A$134:$I$234,3)</f>
        <v>1.1236987813658303E-2</v>
      </c>
      <c r="AZ747" s="309">
        <f t="shared" si="353"/>
        <v>0.27</v>
      </c>
      <c r="BA747" s="309">
        <f ca="1">VLOOKUP($B747,'Infant pick up smoking rates'!$A$19:$I$104,7)</f>
        <v>0</v>
      </c>
      <c r="BB747" s="309">
        <f t="shared" si="354"/>
        <v>0.14624098391610749</v>
      </c>
      <c r="BC747" s="309">
        <f t="shared" ca="1" si="355"/>
        <v>0.57252202827023413</v>
      </c>
      <c r="BD747" s="309">
        <f>VLOOKUP($B747,'Infant adult mortality'!$A$134:$I$234,3)</f>
        <v>1.1236987813658303E-2</v>
      </c>
      <c r="BE747" s="309">
        <f t="shared" si="356"/>
        <v>0.14000000000000001</v>
      </c>
      <c r="BF747" s="309">
        <f>VLOOKUP($B747,'Infant pick up smoking rates'!$A$19:$I$104,6)</f>
        <v>0</v>
      </c>
      <c r="BG747" s="309">
        <f t="shared" si="357"/>
        <v>0.14624098391610749</v>
      </c>
      <c r="BH747" s="309">
        <f t="shared" si="358"/>
        <v>0.70252202827023413</v>
      </c>
      <c r="BI747" s="309">
        <f>VLOOKUP($B747,'Infant adult mortality'!$A$134:$I$234,3)</f>
        <v>1.1236987813658303E-2</v>
      </c>
      <c r="BJ747" s="309">
        <f t="shared" si="359"/>
        <v>0.5714285714285714</v>
      </c>
      <c r="BK747" s="309">
        <f>VLOOKUP($B747,'Infant pick up smoking rates'!$A$19:$I$104,6)</f>
        <v>0</v>
      </c>
      <c r="BL747" s="309">
        <f t="shared" si="360"/>
        <v>0.12016234480898272</v>
      </c>
      <c r="BM747" s="309">
        <f t="shared" si="361"/>
        <v>0.29717209594878763</v>
      </c>
      <c r="BN747" s="309">
        <f>VLOOKUP($B747,'Infant adult mortality'!$A$134:$I$234,3)</f>
        <v>1.1236987813658303E-2</v>
      </c>
      <c r="BO747" s="309">
        <f t="shared" si="362"/>
        <v>8.6261668788331098E-3</v>
      </c>
      <c r="BP747" s="309">
        <f>VLOOKUP($B747,'Infant pick up smoking rates'!$A$19:$I$104,6)</f>
        <v>0</v>
      </c>
      <c r="BQ747" s="309">
        <f t="shared" si="363"/>
        <v>0.12016234480898272</v>
      </c>
      <c r="BR747" s="309">
        <f t="shared" si="364"/>
        <v>0.85997450049852586</v>
      </c>
      <c r="BS747" s="309">
        <f>VLOOKUP($B747,'Infant adult mortality'!$A$134:$I$234,3)</f>
        <v>1.1236987813658303E-2</v>
      </c>
      <c r="BT747" s="309">
        <f>VLOOKUP($B747,'Infant pick up smoking rates'!$A$19:$I$104,6)</f>
        <v>0</v>
      </c>
      <c r="BU747" s="309">
        <f t="shared" si="365"/>
        <v>0.98876301218634166</v>
      </c>
      <c r="BV747" s="309">
        <f>VLOOKUP($B747,'Infant adult mortality'!$A$134:$I$234,5)</f>
        <v>1.7672414068958159E-2</v>
      </c>
      <c r="BW747" s="309">
        <f t="shared" si="366"/>
        <v>0.27</v>
      </c>
      <c r="BX747" s="309">
        <f t="shared" si="367"/>
        <v>0.71232758593104184</v>
      </c>
      <c r="BY747" s="309">
        <f>VLOOKUP($B747,'Infant adult mortality'!$A$134:$I$234,5)</f>
        <v>1.7672414068958159E-2</v>
      </c>
      <c r="BZ747" s="309">
        <f t="shared" si="368"/>
        <v>0.14000000000000001</v>
      </c>
      <c r="CA747" s="309">
        <f t="shared" si="369"/>
        <v>0.84232758593104184</v>
      </c>
      <c r="CB747" s="309">
        <f>VLOOKUP($B747,'Infant adult mortality'!$A$134:$I$234,4)</f>
        <v>1.2887524599344016E-2</v>
      </c>
      <c r="CC747" s="309">
        <f t="shared" si="370"/>
        <v>0.5714285714285714</v>
      </c>
      <c r="CD747" s="309">
        <f t="shared" si="371"/>
        <v>0.4156839039720846</v>
      </c>
      <c r="CE747" s="309">
        <f>VLOOKUP($B747,'Infant adult mortality'!$A$134:$I$234,4)</f>
        <v>1.2887524599344016E-2</v>
      </c>
      <c r="CF747" s="309">
        <f t="shared" si="372"/>
        <v>8.6261668788331098E-3</v>
      </c>
      <c r="CG747" s="309">
        <f t="shared" si="373"/>
        <v>0.97848630852182283</v>
      </c>
      <c r="CH747" s="309"/>
      <c r="CI747" s="315">
        <f t="shared" ref="CI747:CI766" ca="1" si="398">(CI746*BC747)+(CJ746*BH747)+(CK746*BM747)+(CL746*BO747)</f>
        <v>3.0094355507336696</v>
      </c>
      <c r="CJ747" s="316">
        <f t="shared" ref="CJ747:CJ766" ca="1" si="399">CI746*AZ747</f>
        <v>0.96451663613201222</v>
      </c>
      <c r="CK747" s="316">
        <f t="shared" ref="CK747:CK766" ca="1" si="400">CJ746*BE747</f>
        <v>0.16019857437108881</v>
      </c>
      <c r="CL747" s="316">
        <f t="shared" ref="CL747:CL766" ca="1" si="401">(CK746*BJ747)+(CL746*BR747)</f>
        <v>10.465709887148952</v>
      </c>
      <c r="CM747" s="316">
        <f t="shared" ref="CM747:CM766" ca="1" si="402">(CI746*BB747)+(CJ746*BG747)+(CK746*BL747)+(CL746*BQ747)+(CM746*BU747)</f>
        <v>177.94203059298627</v>
      </c>
      <c r="CN747" s="316">
        <f t="shared" ref="CN747:CN766" ca="1" si="403">(CN746*BX747)+(CO746*CA747)+(CP746*CD747)+(CQ746*CF747)+(CI746*BA747)+(CJ746*BF747)+(CK746*BK747)+(CL746*BP747)+(CM746*BT747)</f>
        <v>62.54852557229713</v>
      </c>
      <c r="CO747" s="316">
        <f t="shared" ref="CO747:CO766" ca="1" si="404">CN746*BW747</f>
        <v>17.326369558966405</v>
      </c>
      <c r="CP747" s="316">
        <f t="shared" ref="CP747:CP766" ca="1" si="405">CO746*BZ747</f>
        <v>2.4845757679411986</v>
      </c>
      <c r="CQ747" s="316">
        <f t="shared" ref="CQ747:CQ766" ca="1" si="406">(CP746*CC747)+(CQ746*CG747)</f>
        <v>95.842035762499052</v>
      </c>
      <c r="CR747" s="316">
        <f t="shared" ref="CR747:CR766" ca="1" si="407">CR746+(CI746*AY747)+(CJ746*BD747)+(CK746*BI747)+(CL746*BN747)+(CM746*BS747)+(CN746*BV747)+(CO746*BY747)+(CP746*CB747)+(CQ746*CE747)</f>
        <v>119.25660209692485</v>
      </c>
      <c r="CS747" s="317">
        <f t="shared" ca="1" si="374"/>
        <v>490.00000000000063</v>
      </c>
      <c r="CT747" s="309"/>
      <c r="CU747" s="309">
        <f t="shared" ca="1" si="375"/>
        <v>1000.0000000000005</v>
      </c>
      <c r="CV747" s="309" t="str">
        <f t="shared" ca="1" si="330"/>
        <v>OKAY</v>
      </c>
      <c r="CW747" s="309"/>
      <c r="CX747" s="315">
        <f>(SUM($AR747:$AS747))-((SUM($AR747:$AS747)*VLOOKUP($B747,Lifetime_morbidity_array!$A$30:$Y$48,4))+(SUM($AR747:$AS747)*VLOOKUP($B747,Lifetime_morbidity_array!$A$30:$Y$48,7))+(SUM($AR747:$AS747)*VLOOKUP($B747,Lifetime_morbidity_array!$A$30:$Y$48,10))+(SUM($AR747:$AS747)*VLOOKUP($B747,Lifetime_morbidity_array!$A$30:$Y$48,13)))</f>
        <v>-5.224741537535067</v>
      </c>
      <c r="CY747" s="316">
        <f>(SUM($AT747:$AU747))-((SUM($AT747:$AU747)*(VLOOKUP($B747,Lifetime_morbidity_array!$A$30:$Y$48,3)))+(SUM($AT747:$AU747)*(VLOOKUP($B747,Lifetime_morbidity_array!$A$30:$Y$48,6)))+(SUM($AT747:$AU747)*(VLOOKUP($B747,Lifetime_morbidity_array!$A$30:$Y$48,9)))+(SUM($AT747:$AU747)*(VLOOKUP($B747,Lifetime_morbidity_array!$A$30:$Y$48,12))))</f>
        <v>52.433849892015971</v>
      </c>
      <c r="CZ747" s="316">
        <f>(SUM($AM747:$AQ747))-((SUM($AM747:$AQ747)*VLOOKUP($B747,Lifetime_morbidity_array!$A$30:$Y$48,2))+(SUM($AM747:$AQ747)*VLOOKUP($B747,Lifetime_morbidity_array!$A$30:$Y$48,5))+(SUM($AM747:$AQ747)*VLOOKUP($B747,Lifetime_morbidity_array!$A$30:$Y$48,8))+(SUM($AM747:$AQ747)*VLOOKUP($B747,Lifetime_morbidity_array!$A$30:$Y$48,11)))</f>
        <v>87.239747684933633</v>
      </c>
      <c r="DA747" s="316">
        <f>(SUM($AM747:$AQ747)*VLOOKUP($B747,Lifetime_morbidity_array!$A$30:$Y$48,2))+(SUM($AR747:$AS747)*VLOOKUP($B747,Lifetime_morbidity_array!$A$30:$Y$48,4))+(SUM($AT747:$AU747)*(VLOOKUP($B747,Lifetime_morbidity_array!$A$30:$Y$48,3)))</f>
        <v>110.77496551640098</v>
      </c>
      <c r="DB747" s="316">
        <f>(SUM($AM747:$AQ747)*VLOOKUP($B747,Lifetime_morbidity_array!$A$30:$Y$48,5))+(SUM($AR747:$AS747)*VLOOKUP($B747,Lifetime_morbidity_array!$A$30:$Y$48,7))+(SUM($AT747:$AU747)*(VLOOKUP($B747,Lifetime_morbidity_array!$A$30:$Y$48,6)))</f>
        <v>55.225227553773337</v>
      </c>
      <c r="DC747" s="316">
        <f>(SUM($AM747:$AQ747)*VLOOKUP($B747,Lifetime_morbidity_array!$A$30:$Y$48,8))+(SUM($AR747:$AS747)*VLOOKUP($B747,Lifetime_morbidity_array!$A$30:$Y$48,10))+(SUM($AT747:$AU747)*(VLOOKUP($B747,Lifetime_morbidity_array!$A$30:$Y$48,9)))</f>
        <v>4.1698619312382865</v>
      </c>
      <c r="DD747" s="317">
        <f>(SUM($AM747:$AQ747)*VLOOKUP($B747,Lifetime_morbidity_array!$A$30:$Y$48,11))+(SUM($AR747:$AS747)*VLOOKUP($B747,Lifetime_morbidity_array!$A$30:$Y$48,13))+(SUM($AT747:$AU747)*(VLOOKUP($B747,Lifetime_morbidity_array!$A$30:$Y$48,12)))</f>
        <v>48.869823084294694</v>
      </c>
      <c r="DE747" s="309"/>
      <c r="DF747" s="315">
        <f ca="1">(SUM($CN747:$CO747))-((SUM($CN747:$CO747)*VLOOKUP($B747,Lifetime_morbidity_array!$A$6:$Y$24,4))+(SUM($CN747:$CO747)*VLOOKUP($B747,Lifetime_morbidity_array!$A$6:$Y$24,7))+(SUM($CN747:$CO747)*VLOOKUP($B747,Lifetime_morbidity_array!$A$6:$Y$24,10))+(SUM($CN747:$CO747)*VLOOKUP($B747,Lifetime_morbidity_array!$A$6:$Y$24,13)))</f>
        <v>6.0832766932345379</v>
      </c>
      <c r="DG747" s="316">
        <f ca="1">(SUM($CP747:$CQ747))-(((SUM($CP747:$CQ747)*VLOOKUP($B747,Lifetime_morbidity_array!$A$6:$Y$24,3))+(SUM($CP747:$CQ747)*VLOOKUP($B747,Lifetime_morbidity_array!$A$6:$Y$24,6))+(SUM($CP747:$CQ747)*VLOOKUP($B747,Lifetime_morbidity_array!$A$6:$Y$24,9))+(SUM($CP747:$CQ747)*VLOOKUP($B747,Lifetime_morbidity_array!$A$6:$Y$24,12))))</f>
        <v>54.496769236283441</v>
      </c>
      <c r="DH747" s="316">
        <f ca="1">(SUM($CI747:$CM747))-((SUM($CI747:$CM747)*VLOOKUP($B747,Lifetime_morbidity_array!$A$6:$Y$24,2))+(SUM($CI747:$CM747)*VLOOKUP($B747,Lifetime_morbidity_array!$A$6:$Y$24,5))+(SUM($CI747:$CM747)*VLOOKUP($B747,Lifetime_morbidity_array!$A$6:$Y$24,8))+(SUM($CI747:$CM747)*VLOOKUP($B747,Lifetime_morbidity_array!$A$6:$Y$24,11)))</f>
        <v>138.61346397481944</v>
      </c>
      <c r="DI747" s="316">
        <f ca="1">(SUM($CI747:$CM747)*VLOOKUP($B747,Lifetime_morbidity_array!$A$6:$Y$24,2))+(SUM($CN747:$CO747)*VLOOKUP($B747,Lifetime_morbidity_array!$A$6:$Y$24,4))+(SUM($CP747:$CQ747)*VLOOKUP($B747,Lifetime_morbidity_array!$A$6:$Y$24,3))</f>
        <v>80.062288814609758</v>
      </c>
      <c r="DJ747" s="316">
        <f ca="1">(SUM($CI747:$CM747)*VLOOKUP($B747,Lifetime_morbidity_array!$A$6:$Y$24,5))+(SUM($CN747:$CO747)*VLOOKUP($B747,Lifetime_morbidity_array!$A$6:$Y$24,7))+(SUM($CP747:$CQ747)*VLOOKUP($B747,Lifetime_morbidity_array!$A$6:$Y$24,6))</f>
        <v>45.953588763791529</v>
      </c>
      <c r="DK747" s="316">
        <f ca="1">(SUM($CI747:$CM747)*VLOOKUP($B747,Lifetime_morbidity_array!$A$6:$Y$24,8))+(SUM($CN747:$CO747)*VLOOKUP($B747,Lifetime_morbidity_array!$A$6:$Y$24,10))+(SUM($CP747:$CQ747)*VLOOKUP($B747,Lifetime_morbidity_array!$A$6:$Y$24,9))</f>
        <v>1.6829600680599097</v>
      </c>
      <c r="DL747" s="317">
        <f ca="1">(SUM($CI747:$CM747)*VLOOKUP($B747,Lifetime_morbidity_array!$A$6:$Y$24,11))+(SUM($CN747:$CO747)*VLOOKUP($B747,Lifetime_morbidity_array!$A$6:$Y$24,13))+(SUM($CP747:$CQ747)*VLOOKUP($B747,Lifetime_morbidity_array!$A$6:$Y$24,12))</f>
        <v>43.851050352277156</v>
      </c>
      <c r="DM747" s="309"/>
      <c r="DN747" s="308">
        <f t="shared" si="376"/>
        <v>81</v>
      </c>
      <c r="DO747" s="309">
        <f t="shared" ca="1" si="377"/>
        <v>44.638485978298661</v>
      </c>
      <c r="DP747" s="310">
        <f t="shared" ref="DP747:DP766" ca="1" si="408">DO747+DP746</f>
        <v>23603.866914114085</v>
      </c>
      <c r="DQ747" s="309"/>
      <c r="DR747" s="308">
        <f t="shared" si="378"/>
        <v>81</v>
      </c>
      <c r="DS747" s="309">
        <f ca="1">((VLOOKUP($B747,'Mahawesran Tariff'!$A$21:$M$120,4)*'Comparator (DET)'!$CX747)+(VLOOKUP($B747,'Mahawesran Tariff'!$A$21:$M$120,3)*'Comparator (DET)'!$CY747)+(VLOOKUP($B747,'Mahawesran Tariff'!$A$21:$M$120,2)*'Comparator (DET)'!$CZ747)+(VLOOKUP($B747,'Mahawesran Tariff'!$A$21:$M$120,7)*'Comparator (DET)'!$DF747)+(VLOOKUP($B747,'Mahawesran Tariff'!$A$21:$M$120,6)*'Comparator (DET)'!$DG747)+(VLOOKUP($B747,'Mahawesran Tariff'!$A$21:$M$120,5)*'Comparator (DET)'!$DH747)+(DET_UTIL_chd*('Comparator (DET)'!$DA747+'Comparator (DET)'!$DI747))+(DET_UTIL_copd*('Comparator (DET)'!$DB747+'Comparator (DET)'!$DJ747))+(DET_UTIL_lc*('Comparator (DET)'!$DC747+'Comparator (DET)'!$DK747))+(DET_UTIL_stroke*('Comparator (DET)'!$DD747+'Comparator (DET)'!$DL747)))/((1+Discount_rate_QALYs)^$A747)</f>
        <v>36.459096053750692</v>
      </c>
      <c r="DT747" s="310">
        <f t="shared" ref="DT747:DT766" ca="1" si="409">DS747+DT746</f>
        <v>23159.966729592044</v>
      </c>
      <c r="DU747" s="309"/>
      <c r="DV747" s="308">
        <f t="shared" si="379"/>
        <v>81</v>
      </c>
      <c r="DW747" s="318">
        <f t="shared" ca="1" si="380"/>
        <v>154490.34074504214</v>
      </c>
      <c r="DX747" s="319">
        <f t="shared" ref="DX747:DX766" ca="1" si="410">DW747+DX746</f>
        <v>10185471.763120208</v>
      </c>
      <c r="DZ747" s="95">
        <f t="shared" si="381"/>
        <v>81</v>
      </c>
      <c r="EA747" s="268">
        <f t="shared" ca="1" si="331"/>
        <v>0.72423213202819758</v>
      </c>
      <c r="EB747" s="268">
        <f t="shared" ca="1" si="332"/>
        <v>0.27576786797180286</v>
      </c>
      <c r="EC747" s="268">
        <f t="shared" ca="1" si="333"/>
        <v>0.39058976608444562</v>
      </c>
      <c r="ED747" s="290">
        <f t="shared" ca="1" si="334"/>
        <v>0.39465552771106116</v>
      </c>
      <c r="EF747" s="95">
        <f t="shared" si="382"/>
        <v>81</v>
      </c>
      <c r="EG747" s="339">
        <f t="shared" ca="1" si="383"/>
        <v>154490.34074504214</v>
      </c>
      <c r="EH747" s="341">
        <f t="shared" ref="EH747:EH766" ca="1" si="411">EG747+EH746</f>
        <v>13285603.698976291</v>
      </c>
      <c r="EJ747" s="308">
        <f t="shared" si="384"/>
        <v>81</v>
      </c>
      <c r="EK747" s="318">
        <f t="shared" ca="1" si="385"/>
        <v>154490.34074504214</v>
      </c>
      <c r="EL747" s="319">
        <f t="shared" ref="EL747:EL766" ca="1" si="412">EK747+EL746</f>
        <v>10185471.763120208</v>
      </c>
      <c r="EN747" s="95">
        <f t="shared" si="386"/>
        <v>81</v>
      </c>
      <c r="EO747" s="339">
        <f t="shared" ca="1" si="387"/>
        <v>154490.34074504214</v>
      </c>
      <c r="EP747" s="341">
        <f t="shared" ref="EP747:EP766" ca="1" si="413">EO747+EP746</f>
        <v>13285603.698976291</v>
      </c>
    </row>
    <row r="748" spans="1:146" s="266" customFormat="1" x14ac:dyDescent="0.25">
      <c r="A748" s="313">
        <v>82</v>
      </c>
      <c r="B748" s="314">
        <v>82</v>
      </c>
      <c r="C748" s="308">
        <f>VLOOKUP($B748,'Infant adult mortality'!$A$27:$I$128,3)</f>
        <v>1.7060821578091252E-2</v>
      </c>
      <c r="D748" s="309">
        <f t="shared" si="335"/>
        <v>0.27</v>
      </c>
      <c r="E748" s="309">
        <f>VLOOKUP($B748,'Infant pick up smoking rates'!$A$19:$I$104,3)</f>
        <v>0</v>
      </c>
      <c r="F748" s="309">
        <f t="shared" si="336"/>
        <v>0.14624098391610749</v>
      </c>
      <c r="G748" s="309">
        <f t="shared" si="337"/>
        <v>0.56669819450580117</v>
      </c>
      <c r="H748" s="309">
        <f>VLOOKUP($B748,'Infant adult mortality'!$A$27:$I$128,3)</f>
        <v>1.7060821578091252E-2</v>
      </c>
      <c r="I748" s="309">
        <f t="shared" si="338"/>
        <v>0.14000000000000001</v>
      </c>
      <c r="J748" s="309">
        <f>VLOOKUP($B748,'Infant pick up smoking rates'!$A$19:$I$104,2)</f>
        <v>0</v>
      </c>
      <c r="K748" s="309">
        <f t="shared" si="339"/>
        <v>0.14624098391610749</v>
      </c>
      <c r="L748" s="309">
        <f t="shared" si="340"/>
        <v>0.69669819450580117</v>
      </c>
      <c r="M748" s="309">
        <f>VLOOKUP($B748,'Infant adult mortality'!$A$27:$I$128,3)</f>
        <v>1.7060821578091252E-2</v>
      </c>
      <c r="N748" s="309">
        <f t="shared" si="341"/>
        <v>0.5714285714285714</v>
      </c>
      <c r="O748" s="309">
        <f>VLOOKUP($B748,'Infant pick up smoking rates'!$A$19:$I$104,2)</f>
        <v>0</v>
      </c>
      <c r="P748" s="309">
        <f t="shared" si="342"/>
        <v>0.12016234480898272</v>
      </c>
      <c r="Q748" s="309">
        <f t="shared" si="343"/>
        <v>0.29134826218435467</v>
      </c>
      <c r="R748" s="309">
        <f>VLOOKUP($B748,'Infant adult mortality'!$A$27:$I$128,3)</f>
        <v>1.7060821578091252E-2</v>
      </c>
      <c r="S748" s="309">
        <f t="shared" si="344"/>
        <v>8.6261668788331098E-3</v>
      </c>
      <c r="T748" s="309">
        <f>VLOOKUP($B748,'Infant pick up smoking rates'!$A$19:$I$104,2)</f>
        <v>0</v>
      </c>
      <c r="U748" s="309">
        <f t="shared" si="345"/>
        <v>0.12016234480898272</v>
      </c>
      <c r="V748" s="309">
        <f t="shared" si="346"/>
        <v>0.8541506667340929</v>
      </c>
      <c r="W748" s="309">
        <f>VLOOKUP($B748,'Infant adult mortality'!$A$27:$I$128,3)</f>
        <v>1.7060821578091252E-2</v>
      </c>
      <c r="X748" s="309">
        <f>VLOOKUP($B748,'Infant pick up smoking rates'!$A$19:$I$104,2)</f>
        <v>0</v>
      </c>
      <c r="Y748" s="309">
        <f t="shared" si="347"/>
        <v>0.9829391784219087</v>
      </c>
      <c r="Z748" s="309">
        <f>VLOOKUP($B748,'Infant adult mortality'!$A$27:$I$128,5)</f>
        <v>2.6831559158422443E-2</v>
      </c>
      <c r="AA748" s="309">
        <f t="shared" si="326"/>
        <v>0.25</v>
      </c>
      <c r="AB748" s="309">
        <f t="shared" si="348"/>
        <v>0.72316844084157761</v>
      </c>
      <c r="AC748" s="309">
        <f>VLOOKUP($B748,'Infant adult mortality'!$A$27:$I$128,5)</f>
        <v>2.6831559158422443E-2</v>
      </c>
      <c r="AD748" s="309">
        <f t="shared" si="327"/>
        <v>0.14000000000000001</v>
      </c>
      <c r="AE748" s="309">
        <f t="shared" si="349"/>
        <v>0.8331684408415776</v>
      </c>
      <c r="AF748" s="309">
        <f>VLOOKUP($B748,'Infant adult mortality'!$A$27:$I$128,4)</f>
        <v>1.9566787952321273E-2</v>
      </c>
      <c r="AG748" s="309">
        <f t="shared" si="328"/>
        <v>0.5714285714285714</v>
      </c>
      <c r="AH748" s="309">
        <f t="shared" si="350"/>
        <v>0.40900464061910735</v>
      </c>
      <c r="AI748" s="309">
        <f>VLOOKUP($B748,'Infant adult mortality'!$A$27:$I$128,4)</f>
        <v>1.9566787952321273E-2</v>
      </c>
      <c r="AJ748" s="309">
        <f t="shared" si="329"/>
        <v>8.6261668788331098E-3</v>
      </c>
      <c r="AK748" s="309">
        <f t="shared" si="351"/>
        <v>0.97180704516884564</v>
      </c>
      <c r="AL748" s="309"/>
      <c r="AM748" s="315">
        <f t="shared" si="388"/>
        <v>1.7705402465745483</v>
      </c>
      <c r="AN748" s="316">
        <f t="shared" si="389"/>
        <v>0.57102476947727754</v>
      </c>
      <c r="AO748" s="316">
        <f t="shared" si="390"/>
        <v>9.5386715013861437E-2</v>
      </c>
      <c r="AP748" s="316">
        <f t="shared" si="391"/>
        <v>6.423261507379797</v>
      </c>
      <c r="AQ748" s="316">
        <f t="shared" si="392"/>
        <v>125.83657504752838</v>
      </c>
      <c r="AR748" s="316">
        <f t="shared" si="393"/>
        <v>75.994121430737579</v>
      </c>
      <c r="AS748" s="316">
        <f t="shared" si="394"/>
        <v>19.665954181622713</v>
      </c>
      <c r="AT748" s="316">
        <f t="shared" si="395"/>
        <v>2.8431957651507305</v>
      </c>
      <c r="AU748" s="316">
        <f t="shared" si="396"/>
        <v>112.99642820462988</v>
      </c>
      <c r="AV748" s="316">
        <f t="shared" si="397"/>
        <v>163.80351213188501</v>
      </c>
      <c r="AW748" s="317">
        <f t="shared" si="352"/>
        <v>509.99999999999977</v>
      </c>
      <c r="AX748" s="309"/>
      <c r="AY748" s="308">
        <f>VLOOKUP($B748,'Infant adult mortality'!$A$134:$I$234,3)</f>
        <v>1.2441618356843818E-2</v>
      </c>
      <c r="AZ748" s="309">
        <f t="shared" si="353"/>
        <v>0.27</v>
      </c>
      <c r="BA748" s="309">
        <f ca="1">VLOOKUP($B748,'Infant pick up smoking rates'!$A$19:$I$104,7)</f>
        <v>0</v>
      </c>
      <c r="BB748" s="309">
        <f t="shared" si="354"/>
        <v>0.14624098391610749</v>
      </c>
      <c r="BC748" s="309">
        <f t="shared" ca="1" si="355"/>
        <v>0.5713173977270487</v>
      </c>
      <c r="BD748" s="309">
        <f>VLOOKUP($B748,'Infant adult mortality'!$A$134:$I$234,3)</f>
        <v>1.2441618356843818E-2</v>
      </c>
      <c r="BE748" s="309">
        <f t="shared" si="356"/>
        <v>0.14000000000000001</v>
      </c>
      <c r="BF748" s="309">
        <f>VLOOKUP($B748,'Infant pick up smoking rates'!$A$19:$I$104,6)</f>
        <v>0</v>
      </c>
      <c r="BG748" s="309">
        <f t="shared" si="357"/>
        <v>0.14624098391610749</v>
      </c>
      <c r="BH748" s="309">
        <f t="shared" si="358"/>
        <v>0.70131739772704871</v>
      </c>
      <c r="BI748" s="309">
        <f>VLOOKUP($B748,'Infant adult mortality'!$A$134:$I$234,3)</f>
        <v>1.2441618356843818E-2</v>
      </c>
      <c r="BJ748" s="309">
        <f t="shared" si="359"/>
        <v>0.5714285714285714</v>
      </c>
      <c r="BK748" s="309">
        <f>VLOOKUP($B748,'Infant pick up smoking rates'!$A$19:$I$104,6)</f>
        <v>0</v>
      </c>
      <c r="BL748" s="309">
        <f t="shared" si="360"/>
        <v>0.12016234480898272</v>
      </c>
      <c r="BM748" s="309">
        <f t="shared" si="361"/>
        <v>0.29596746540560209</v>
      </c>
      <c r="BN748" s="309">
        <f>VLOOKUP($B748,'Infant adult mortality'!$A$134:$I$234,3)</f>
        <v>1.2441618356843818E-2</v>
      </c>
      <c r="BO748" s="309">
        <f t="shared" si="362"/>
        <v>8.6261668788331098E-3</v>
      </c>
      <c r="BP748" s="309">
        <f>VLOOKUP($B748,'Infant pick up smoking rates'!$A$19:$I$104,6)</f>
        <v>0</v>
      </c>
      <c r="BQ748" s="309">
        <f t="shared" si="363"/>
        <v>0.12016234480898272</v>
      </c>
      <c r="BR748" s="309">
        <f t="shared" si="364"/>
        <v>0.85876986995534044</v>
      </c>
      <c r="BS748" s="309">
        <f>VLOOKUP($B748,'Infant adult mortality'!$A$134:$I$234,3)</f>
        <v>1.2441618356843818E-2</v>
      </c>
      <c r="BT748" s="309">
        <f>VLOOKUP($B748,'Infant pick up smoking rates'!$A$19:$I$104,6)</f>
        <v>0</v>
      </c>
      <c r="BU748" s="309">
        <f t="shared" si="365"/>
        <v>0.98755838164315624</v>
      </c>
      <c r="BV748" s="309">
        <f>VLOOKUP($B748,'Infant adult mortality'!$A$134:$I$234,5)</f>
        <v>1.9566936881683154E-2</v>
      </c>
      <c r="BW748" s="309">
        <f t="shared" si="366"/>
        <v>0.27</v>
      </c>
      <c r="BX748" s="309">
        <f t="shared" si="367"/>
        <v>0.71043306311831678</v>
      </c>
      <c r="BY748" s="309">
        <f>VLOOKUP($B748,'Infant adult mortality'!$A$134:$I$234,5)</f>
        <v>1.9566936881683154E-2</v>
      </c>
      <c r="BZ748" s="309">
        <f t="shared" si="368"/>
        <v>0.14000000000000001</v>
      </c>
      <c r="CA748" s="309">
        <f t="shared" si="369"/>
        <v>0.84043306311831678</v>
      </c>
      <c r="CB748" s="309">
        <f>VLOOKUP($B748,'Infant adult mortality'!$A$134:$I$234,4)</f>
        <v>1.4269096424095356E-2</v>
      </c>
      <c r="CC748" s="309">
        <f t="shared" si="370"/>
        <v>0.5714285714285714</v>
      </c>
      <c r="CD748" s="309">
        <f t="shared" si="371"/>
        <v>0.41430233214733325</v>
      </c>
      <c r="CE748" s="309">
        <f>VLOOKUP($B748,'Infant adult mortality'!$A$134:$I$234,4)</f>
        <v>1.4269096424095356E-2</v>
      </c>
      <c r="CF748" s="309">
        <f t="shared" si="372"/>
        <v>8.6261668788331098E-3</v>
      </c>
      <c r="CG748" s="309">
        <f t="shared" si="373"/>
        <v>0.97710473669707154</v>
      </c>
      <c r="CH748" s="309"/>
      <c r="CI748" s="315">
        <f t="shared" ca="1" si="398"/>
        <v>2.5334677107991799</v>
      </c>
      <c r="CJ748" s="316">
        <f t="shared" ca="1" si="399"/>
        <v>0.8125475986980909</v>
      </c>
      <c r="CK748" s="316">
        <f t="shared" ca="1" si="400"/>
        <v>0.13503232905848173</v>
      </c>
      <c r="CL748" s="316">
        <f t="shared" ca="1" si="401"/>
        <v>9.0791783612749928</v>
      </c>
      <c r="CM748" s="316">
        <f t="shared" ca="1" si="402"/>
        <v>177.58613251301119</v>
      </c>
      <c r="CN748" s="316">
        <f t="shared" ca="1" si="403"/>
        <v>60.854309386572716</v>
      </c>
      <c r="CO748" s="316">
        <f t="shared" ca="1" si="404"/>
        <v>16.888101904520227</v>
      </c>
      <c r="CP748" s="316">
        <f t="shared" ca="1" si="405"/>
        <v>2.4256917382552969</v>
      </c>
      <c r="CQ748" s="316">
        <f t="shared" ca="1" si="406"/>
        <v>95.067464699908641</v>
      </c>
      <c r="CR748" s="316">
        <f t="shared" ca="1" si="407"/>
        <v>124.61807375790185</v>
      </c>
      <c r="CS748" s="317">
        <f t="shared" ca="1" si="374"/>
        <v>490.00000000000074</v>
      </c>
      <c r="CT748" s="309"/>
      <c r="CU748" s="309">
        <f t="shared" ca="1" si="375"/>
        <v>1000.0000000000005</v>
      </c>
      <c r="CV748" s="309" t="str">
        <f t="shared" ca="1" si="330"/>
        <v>OKAY</v>
      </c>
      <c r="CW748" s="309"/>
      <c r="CX748" s="315">
        <f>(SUM($AR748:$AS748))-((SUM($AR748:$AS748)*VLOOKUP($B748,Lifetime_morbidity_array!$A$30:$Y$48,4))+(SUM($AR748:$AS748)*VLOOKUP($B748,Lifetime_morbidity_array!$A$30:$Y$48,7))+(SUM($AR748:$AS748)*VLOOKUP($B748,Lifetime_morbidity_array!$A$30:$Y$48,10))+(SUM($AR748:$AS748)*VLOOKUP($B748,Lifetime_morbidity_array!$A$30:$Y$48,13)))</f>
        <v>-5.0498864643563479</v>
      </c>
      <c r="CY748" s="316">
        <f>(SUM($AT748:$AU748))-((SUM($AT748:$AU748)*(VLOOKUP($B748,Lifetime_morbidity_array!$A$30:$Y$48,3)))+(SUM($AT748:$AU748)*(VLOOKUP($B748,Lifetime_morbidity_array!$A$30:$Y$48,6)))+(SUM($AT748:$AU748)*(VLOOKUP($B748,Lifetime_morbidity_array!$A$30:$Y$48,9)))+(SUM($AT748:$AU748)*(VLOOKUP($B748,Lifetime_morbidity_array!$A$30:$Y$48,12))))</f>
        <v>51.700982879128262</v>
      </c>
      <c r="CZ748" s="316">
        <f>(SUM($AM748:$AQ748))-((SUM($AM748:$AQ748)*VLOOKUP($B748,Lifetime_morbidity_array!$A$30:$Y$48,2))+(SUM($AM748:$AQ748)*VLOOKUP($B748,Lifetime_morbidity_array!$A$30:$Y$48,5))+(SUM($AM748:$AQ748)*VLOOKUP($B748,Lifetime_morbidity_array!$A$30:$Y$48,8))+(SUM($AM748:$AQ748)*VLOOKUP($B748,Lifetime_morbidity_array!$A$30:$Y$48,11)))</f>
        <v>85.751365915163262</v>
      </c>
      <c r="DA748" s="316">
        <f>(SUM($AM748:$AQ748)*VLOOKUP($B748,Lifetime_morbidity_array!$A$30:$Y$48,2))+(SUM($AR748:$AS748)*VLOOKUP($B748,Lifetime_morbidity_array!$A$30:$Y$48,4))+(SUM($AT748:$AU748)*(VLOOKUP($B748,Lifetime_morbidity_array!$A$30:$Y$48,3)))</f>
        <v>108.26391094362768</v>
      </c>
      <c r="DB748" s="316">
        <f>(SUM($AM748:$AQ748)*VLOOKUP($B748,Lifetime_morbidity_array!$A$30:$Y$48,5))+(SUM($AR748:$AS748)*VLOOKUP($B748,Lifetime_morbidity_array!$A$30:$Y$48,7))+(SUM($AT748:$AU748)*(VLOOKUP($B748,Lifetime_morbidity_array!$A$30:$Y$48,6)))</f>
        <v>53.676148082120356</v>
      </c>
      <c r="DC748" s="316">
        <f>(SUM($AM748:$AQ748)*VLOOKUP($B748,Lifetime_morbidity_array!$A$30:$Y$48,8))+(SUM($AR748:$AS748)*VLOOKUP($B748,Lifetime_morbidity_array!$A$30:$Y$48,10))+(SUM($AT748:$AU748)*(VLOOKUP($B748,Lifetime_morbidity_array!$A$30:$Y$48,9)))</f>
        <v>4.0530555808334183</v>
      </c>
      <c r="DD748" s="317">
        <f>(SUM($AM748:$AQ748)*VLOOKUP($B748,Lifetime_morbidity_array!$A$30:$Y$48,11))+(SUM($AR748:$AS748)*VLOOKUP($B748,Lifetime_morbidity_array!$A$30:$Y$48,13))+(SUM($AT748:$AU748)*(VLOOKUP($B748,Lifetime_morbidity_array!$A$30:$Y$48,12)))</f>
        <v>47.800910931598139</v>
      </c>
      <c r="DE748" s="309"/>
      <c r="DF748" s="315">
        <f ca="1">(SUM($CN748:$CO748))-((SUM($CN748:$CO748)*VLOOKUP($B748,Lifetime_morbidity_array!$A$6:$Y$24,4))+(SUM($CN748:$CO748)*VLOOKUP($B748,Lifetime_morbidity_array!$A$6:$Y$24,7))+(SUM($CN748:$CO748)*VLOOKUP($B748,Lifetime_morbidity_array!$A$6:$Y$24,10))+(SUM($CN748:$CO748)*VLOOKUP($B748,Lifetime_morbidity_array!$A$6:$Y$24,13)))</f>
        <v>5.9208665990204565</v>
      </c>
      <c r="DG748" s="316">
        <f ca="1">(SUM($CP748:$CQ748))-(((SUM($CP748:$CQ748)*VLOOKUP($B748,Lifetime_morbidity_array!$A$6:$Y$24,3))+(SUM($CP748:$CQ748)*VLOOKUP($B748,Lifetime_morbidity_array!$A$6:$Y$24,6))+(SUM($CP748:$CQ748)*VLOOKUP($B748,Lifetime_morbidity_array!$A$6:$Y$24,9))+(SUM($CP748:$CQ748)*VLOOKUP($B748,Lifetime_morbidity_array!$A$6:$Y$24,12))))</f>
        <v>54.034833152799813</v>
      </c>
      <c r="DH748" s="316">
        <f ca="1">(SUM($CI748:$CM748))-((SUM($CI748:$CM748)*VLOOKUP($B748,Lifetime_morbidity_array!$A$6:$Y$24,2))+(SUM($CI748:$CM748)*VLOOKUP($B748,Lifetime_morbidity_array!$A$6:$Y$24,5))+(SUM($CI748:$CM748)*VLOOKUP($B748,Lifetime_morbidity_array!$A$6:$Y$24,8))+(SUM($CI748:$CM748)*VLOOKUP($B748,Lifetime_morbidity_array!$A$6:$Y$24,11)))</f>
        <v>136.88888815692462</v>
      </c>
      <c r="DI748" s="316">
        <f ca="1">(SUM($CI748:$CM748)*VLOOKUP($B748,Lifetime_morbidity_array!$A$6:$Y$24,2))+(SUM($CN748:$CO748)*VLOOKUP($B748,Lifetime_morbidity_array!$A$6:$Y$24,4))+(SUM($CP748:$CQ748)*VLOOKUP($B748,Lifetime_morbidity_array!$A$6:$Y$24,3))</f>
        <v>78.733308773704323</v>
      </c>
      <c r="DJ748" s="316">
        <f ca="1">(SUM($CI748:$CM748)*VLOOKUP($B748,Lifetime_morbidity_array!$A$6:$Y$24,5))+(SUM($CN748:$CO748)*VLOOKUP($B748,Lifetime_morbidity_array!$A$6:$Y$24,7))+(SUM($CP748:$CQ748)*VLOOKUP($B748,Lifetime_morbidity_array!$A$6:$Y$24,6))</f>
        <v>45.002962422985263</v>
      </c>
      <c r="DK748" s="316">
        <f ca="1">(SUM($CI748:$CM748)*VLOOKUP($B748,Lifetime_morbidity_array!$A$6:$Y$24,8))+(SUM($CN748:$CO748)*VLOOKUP($B748,Lifetime_morbidity_array!$A$6:$Y$24,10))+(SUM($CP748:$CQ748)*VLOOKUP($B748,Lifetime_morbidity_array!$A$6:$Y$24,9))</f>
        <v>1.6469861690742857</v>
      </c>
      <c r="DL748" s="317">
        <f ca="1">(SUM($CI748:$CM748)*VLOOKUP($B748,Lifetime_morbidity_array!$A$6:$Y$24,11))+(SUM($CN748:$CO748)*VLOOKUP($B748,Lifetime_morbidity_array!$A$6:$Y$24,13))+(SUM($CP748:$CQ748)*VLOOKUP($B748,Lifetime_morbidity_array!$A$6:$Y$24,12))</f>
        <v>43.154080967590033</v>
      </c>
      <c r="DM748" s="309"/>
      <c r="DN748" s="308">
        <f t="shared" si="376"/>
        <v>82</v>
      </c>
      <c r="DO748" s="309">
        <f t="shared" ca="1" si="377"/>
        <v>42.375426485632111</v>
      </c>
      <c r="DP748" s="310">
        <f t="shared" ca="1" si="408"/>
        <v>23646.242340599718</v>
      </c>
      <c r="DQ748" s="309"/>
      <c r="DR748" s="308">
        <f t="shared" si="378"/>
        <v>82</v>
      </c>
      <c r="DS748" s="309">
        <f ca="1">((VLOOKUP($B748,'Mahawesran Tariff'!$A$21:$M$120,4)*'Comparator (DET)'!$CX748)+(VLOOKUP($B748,'Mahawesran Tariff'!$A$21:$M$120,3)*'Comparator (DET)'!$CY748)+(VLOOKUP($B748,'Mahawesran Tariff'!$A$21:$M$120,2)*'Comparator (DET)'!$CZ748)+(VLOOKUP($B748,'Mahawesran Tariff'!$A$21:$M$120,7)*'Comparator (DET)'!$DF748)+(VLOOKUP($B748,'Mahawesran Tariff'!$A$21:$M$120,6)*'Comparator (DET)'!$DG748)+(VLOOKUP($B748,'Mahawesran Tariff'!$A$21:$M$120,5)*'Comparator (DET)'!$DH748)+(DET_UTIL_chd*('Comparator (DET)'!$DA748+'Comparator (DET)'!$DI748))+(DET_UTIL_copd*('Comparator (DET)'!$DB748+'Comparator (DET)'!$DJ748))+(DET_UTIL_lc*('Comparator (DET)'!$DC748+'Comparator (DET)'!$DK748))+(DET_UTIL_stroke*('Comparator (DET)'!$DD748+'Comparator (DET)'!$DL748)))/((1+Discount_rate_QALYs)^$A748)</f>
        <v>34.626811181460226</v>
      </c>
      <c r="DT748" s="310">
        <f t="shared" ca="1" si="409"/>
        <v>23194.593540773505</v>
      </c>
      <c r="DU748" s="309"/>
      <c r="DV748" s="308">
        <f t="shared" si="379"/>
        <v>82</v>
      </c>
      <c r="DW748" s="318">
        <f t="shared" ca="1" si="380"/>
        <v>146348.45378289765</v>
      </c>
      <c r="DX748" s="319">
        <f t="shared" ca="1" si="410"/>
        <v>10331820.216903105</v>
      </c>
      <c r="DZ748" s="95">
        <f t="shared" si="381"/>
        <v>82</v>
      </c>
      <c r="EA748" s="268">
        <f t="shared" ca="1" si="331"/>
        <v>0.71157841411021361</v>
      </c>
      <c r="EB748" s="268">
        <f t="shared" ca="1" si="332"/>
        <v>0.28842158588978684</v>
      </c>
      <c r="EC748" s="268">
        <f t="shared" ca="1" si="333"/>
        <v>0.38233136387153349</v>
      </c>
      <c r="ED748" s="290">
        <f t="shared" ca="1" si="334"/>
        <v>0.38673526731139779</v>
      </c>
      <c r="EF748" s="95">
        <f t="shared" si="382"/>
        <v>82</v>
      </c>
      <c r="EG748" s="339">
        <f t="shared" ca="1" si="383"/>
        <v>146348.45378289765</v>
      </c>
      <c r="EH748" s="341">
        <f t="shared" ca="1" si="411"/>
        <v>13431952.152759189</v>
      </c>
      <c r="EJ748" s="308">
        <f t="shared" si="384"/>
        <v>82</v>
      </c>
      <c r="EK748" s="318">
        <f t="shared" ca="1" si="385"/>
        <v>146348.45378289765</v>
      </c>
      <c r="EL748" s="319">
        <f t="shared" ca="1" si="412"/>
        <v>10331820.216903105</v>
      </c>
      <c r="EN748" s="95">
        <f t="shared" si="386"/>
        <v>82</v>
      </c>
      <c r="EO748" s="339">
        <f t="shared" ca="1" si="387"/>
        <v>146348.45378289765</v>
      </c>
      <c r="EP748" s="341">
        <f t="shared" ca="1" si="413"/>
        <v>13431952.152759189</v>
      </c>
    </row>
    <row r="749" spans="1:146" s="266" customFormat="1" x14ac:dyDescent="0.25">
      <c r="A749" s="313">
        <v>83</v>
      </c>
      <c r="B749" s="314">
        <v>83</v>
      </c>
      <c r="C749" s="308">
        <f>VLOOKUP($B749,'Infant adult mortality'!$A$27:$I$128,3)</f>
        <v>1.8754223887363003E-2</v>
      </c>
      <c r="D749" s="309">
        <f t="shared" si="335"/>
        <v>0.27</v>
      </c>
      <c r="E749" s="309">
        <f>VLOOKUP($B749,'Infant pick up smoking rates'!$A$19:$I$104,3)</f>
        <v>0</v>
      </c>
      <c r="F749" s="309">
        <f t="shared" si="336"/>
        <v>0.14624098391610749</v>
      </c>
      <c r="G749" s="309">
        <f t="shared" si="337"/>
        <v>0.56500479219652944</v>
      </c>
      <c r="H749" s="309">
        <f>VLOOKUP($B749,'Infant adult mortality'!$A$27:$I$128,3)</f>
        <v>1.8754223887363003E-2</v>
      </c>
      <c r="I749" s="309">
        <f t="shared" si="338"/>
        <v>0.14000000000000001</v>
      </c>
      <c r="J749" s="309">
        <f>VLOOKUP($B749,'Infant pick up smoking rates'!$A$19:$I$104,2)</f>
        <v>0</v>
      </c>
      <c r="K749" s="309">
        <f t="shared" si="339"/>
        <v>0.14624098391610749</v>
      </c>
      <c r="L749" s="309">
        <f t="shared" si="340"/>
        <v>0.69500479219652944</v>
      </c>
      <c r="M749" s="309">
        <f>VLOOKUP($B749,'Infant adult mortality'!$A$27:$I$128,3)</f>
        <v>1.8754223887363003E-2</v>
      </c>
      <c r="N749" s="309">
        <f t="shared" si="341"/>
        <v>0.5714285714285714</v>
      </c>
      <c r="O749" s="309">
        <f>VLOOKUP($B749,'Infant pick up smoking rates'!$A$19:$I$104,2)</f>
        <v>0</v>
      </c>
      <c r="P749" s="309">
        <f t="shared" si="342"/>
        <v>0.12016234480898272</v>
      </c>
      <c r="Q749" s="309">
        <f t="shared" si="343"/>
        <v>0.28965485987508288</v>
      </c>
      <c r="R749" s="309">
        <f>VLOOKUP($B749,'Infant adult mortality'!$A$27:$I$128,3)</f>
        <v>1.8754223887363003E-2</v>
      </c>
      <c r="S749" s="309">
        <f t="shared" si="344"/>
        <v>8.6261668788331098E-3</v>
      </c>
      <c r="T749" s="309">
        <f>VLOOKUP($B749,'Infant pick up smoking rates'!$A$19:$I$104,2)</f>
        <v>0</v>
      </c>
      <c r="U749" s="309">
        <f t="shared" si="345"/>
        <v>0.12016234480898272</v>
      </c>
      <c r="V749" s="309">
        <f t="shared" si="346"/>
        <v>0.85245726442482117</v>
      </c>
      <c r="W749" s="309">
        <f>VLOOKUP($B749,'Infant adult mortality'!$A$27:$I$128,3)</f>
        <v>1.8754223887363003E-2</v>
      </c>
      <c r="X749" s="309">
        <f>VLOOKUP($B749,'Infant pick up smoking rates'!$A$19:$I$104,2)</f>
        <v>0</v>
      </c>
      <c r="Y749" s="309">
        <f t="shared" si="347"/>
        <v>0.98124577611263697</v>
      </c>
      <c r="Z749" s="309">
        <f>VLOOKUP($B749,'Infant adult mortality'!$A$27:$I$128,5)</f>
        <v>2.9494773472707392E-2</v>
      </c>
      <c r="AA749" s="309">
        <f t="shared" si="326"/>
        <v>0.25</v>
      </c>
      <c r="AB749" s="309">
        <f t="shared" si="348"/>
        <v>0.72050522652729265</v>
      </c>
      <c r="AC749" s="309">
        <f>VLOOKUP($B749,'Infant adult mortality'!$A$27:$I$128,5)</f>
        <v>2.9494773472707392E-2</v>
      </c>
      <c r="AD749" s="309">
        <f t="shared" si="327"/>
        <v>0.14000000000000001</v>
      </c>
      <c r="AE749" s="309">
        <f t="shared" si="349"/>
        <v>0.83050522652729264</v>
      </c>
      <c r="AF749" s="309">
        <f>VLOOKUP($B749,'Infant adult mortality'!$A$27:$I$128,4)</f>
        <v>2.1508924428681898E-2</v>
      </c>
      <c r="AG749" s="309">
        <f t="shared" si="328"/>
        <v>0.5714285714285714</v>
      </c>
      <c r="AH749" s="309">
        <f t="shared" si="350"/>
        <v>0.4070625041427467</v>
      </c>
      <c r="AI749" s="309">
        <f>VLOOKUP($B749,'Infant adult mortality'!$A$27:$I$128,4)</f>
        <v>2.1508924428681898E-2</v>
      </c>
      <c r="AJ749" s="309">
        <f t="shared" si="329"/>
        <v>8.6261668788331098E-3</v>
      </c>
      <c r="AK749" s="309">
        <f t="shared" si="351"/>
        <v>0.96986490869248498</v>
      </c>
      <c r="AL749" s="309"/>
      <c r="AM749" s="315">
        <f t="shared" si="388"/>
        <v>1.4802660265813989</v>
      </c>
      <c r="AN749" s="316">
        <f t="shared" si="389"/>
        <v>0.4780458665751281</v>
      </c>
      <c r="AO749" s="316">
        <f t="shared" si="390"/>
        <v>7.9943467726818859E-2</v>
      </c>
      <c r="AP749" s="316">
        <f t="shared" si="391"/>
        <v>5.5300626275598699</v>
      </c>
      <c r="AQ749" s="316">
        <f t="shared" si="392"/>
        <v>124.60233657310677</v>
      </c>
      <c r="AR749" s="316">
        <f t="shared" si="393"/>
        <v>73.218923843015631</v>
      </c>
      <c r="AS749" s="316">
        <f t="shared" si="394"/>
        <v>18.998530357684395</v>
      </c>
      <c r="AT749" s="316">
        <f t="shared" si="395"/>
        <v>2.7532335854271799</v>
      </c>
      <c r="AU749" s="316">
        <f t="shared" si="396"/>
        <v>111.21595381763214</v>
      </c>
      <c r="AV749" s="316">
        <f t="shared" si="397"/>
        <v>171.64270383469051</v>
      </c>
      <c r="AW749" s="317">
        <f t="shared" si="352"/>
        <v>509.99999999999983</v>
      </c>
      <c r="AX749" s="309"/>
      <c r="AY749" s="308">
        <f>VLOOKUP($B749,'Infant adult mortality'!$A$134:$I$234,3)</f>
        <v>1.3787156075837978E-2</v>
      </c>
      <c r="AZ749" s="309">
        <f t="shared" si="353"/>
        <v>0.27</v>
      </c>
      <c r="BA749" s="309">
        <f ca="1">VLOOKUP($B749,'Infant pick up smoking rates'!$A$19:$I$104,7)</f>
        <v>0</v>
      </c>
      <c r="BB749" s="309">
        <f t="shared" si="354"/>
        <v>0.14624098391610749</v>
      </c>
      <c r="BC749" s="309">
        <f t="shared" ca="1" si="355"/>
        <v>0.56997186000805444</v>
      </c>
      <c r="BD749" s="309">
        <f>VLOOKUP($B749,'Infant adult mortality'!$A$134:$I$234,3)</f>
        <v>1.3787156075837978E-2</v>
      </c>
      <c r="BE749" s="309">
        <f t="shared" si="356"/>
        <v>0.14000000000000001</v>
      </c>
      <c r="BF749" s="309">
        <f>VLOOKUP($B749,'Infant pick up smoking rates'!$A$19:$I$104,6)</f>
        <v>0</v>
      </c>
      <c r="BG749" s="309">
        <f t="shared" si="357"/>
        <v>0.14624098391610749</v>
      </c>
      <c r="BH749" s="309">
        <f t="shared" si="358"/>
        <v>0.69997186000805445</v>
      </c>
      <c r="BI749" s="309">
        <f>VLOOKUP($B749,'Infant adult mortality'!$A$134:$I$234,3)</f>
        <v>1.3787156075837978E-2</v>
      </c>
      <c r="BJ749" s="309">
        <f t="shared" si="359"/>
        <v>0.5714285714285714</v>
      </c>
      <c r="BK749" s="309">
        <f>VLOOKUP($B749,'Infant pick up smoking rates'!$A$19:$I$104,6)</f>
        <v>0</v>
      </c>
      <c r="BL749" s="309">
        <f t="shared" si="360"/>
        <v>0.12016234480898272</v>
      </c>
      <c r="BM749" s="309">
        <f t="shared" si="361"/>
        <v>0.29462192768660794</v>
      </c>
      <c r="BN749" s="309">
        <f>VLOOKUP($B749,'Infant adult mortality'!$A$134:$I$234,3)</f>
        <v>1.3787156075837978E-2</v>
      </c>
      <c r="BO749" s="309">
        <f t="shared" si="362"/>
        <v>8.6261668788331098E-3</v>
      </c>
      <c r="BP749" s="309">
        <f>VLOOKUP($B749,'Infant pick up smoking rates'!$A$19:$I$104,6)</f>
        <v>0</v>
      </c>
      <c r="BQ749" s="309">
        <f t="shared" si="363"/>
        <v>0.12016234480898272</v>
      </c>
      <c r="BR749" s="309">
        <f t="shared" si="364"/>
        <v>0.85742433223634618</v>
      </c>
      <c r="BS749" s="309">
        <f>VLOOKUP($B749,'Infant adult mortality'!$A$134:$I$234,3)</f>
        <v>1.3787156075837978E-2</v>
      </c>
      <c r="BT749" s="309">
        <f>VLOOKUP($B749,'Infant pick up smoking rates'!$A$19:$I$104,6)</f>
        <v>0</v>
      </c>
      <c r="BU749" s="309">
        <f t="shared" si="365"/>
        <v>0.98621284392416197</v>
      </c>
      <c r="BV749" s="309">
        <f>VLOOKUP($B749,'Infant adult mortality'!$A$134:$I$234,5)</f>
        <v>2.1683064451614623E-2</v>
      </c>
      <c r="BW749" s="309">
        <f t="shared" si="366"/>
        <v>0.27</v>
      </c>
      <c r="BX749" s="309">
        <f t="shared" si="367"/>
        <v>0.70831693554838537</v>
      </c>
      <c r="BY749" s="309">
        <f>VLOOKUP($B749,'Infant adult mortality'!$A$134:$I$234,5)</f>
        <v>2.1683064451614623E-2</v>
      </c>
      <c r="BZ749" s="309">
        <f t="shared" si="368"/>
        <v>0.14000000000000001</v>
      </c>
      <c r="CA749" s="309">
        <f t="shared" si="369"/>
        <v>0.83831693554838538</v>
      </c>
      <c r="CB749" s="309">
        <f>VLOOKUP($B749,'Infant adult mortality'!$A$134:$I$234,4)</f>
        <v>1.5812272472734059E-2</v>
      </c>
      <c r="CC749" s="309">
        <f t="shared" si="370"/>
        <v>0.5714285714285714</v>
      </c>
      <c r="CD749" s="309">
        <f t="shared" si="371"/>
        <v>0.41275915609869457</v>
      </c>
      <c r="CE749" s="309">
        <f>VLOOKUP($B749,'Infant adult mortality'!$A$134:$I$234,4)</f>
        <v>1.5812272472734059E-2</v>
      </c>
      <c r="CF749" s="309">
        <f t="shared" si="372"/>
        <v>8.6261668788331098E-3</v>
      </c>
      <c r="CG749" s="309">
        <f t="shared" si="373"/>
        <v>0.9755615606484328</v>
      </c>
      <c r="CH749" s="309"/>
      <c r="CI749" s="315">
        <f t="shared" ca="1" si="398"/>
        <v>2.1308677501546081</v>
      </c>
      <c r="CJ749" s="316">
        <f t="shared" ca="1" si="399"/>
        <v>0.68403628191577859</v>
      </c>
      <c r="CK749" s="316">
        <f t="shared" ca="1" si="400"/>
        <v>0.11375666381773274</v>
      </c>
      <c r="CL749" s="316">
        <f t="shared" ca="1" si="401"/>
        <v>7.8618697745614554</v>
      </c>
      <c r="CM749" s="316">
        <f t="shared" ca="1" si="402"/>
        <v>176.73425052032357</v>
      </c>
      <c r="CN749" s="316">
        <f t="shared" ca="1" si="403"/>
        <v>59.083014065523599</v>
      </c>
      <c r="CO749" s="316">
        <f t="shared" ca="1" si="404"/>
        <v>16.430663534374634</v>
      </c>
      <c r="CP749" s="316">
        <f t="shared" ca="1" si="405"/>
        <v>2.3643342666328317</v>
      </c>
      <c r="CQ749" s="316">
        <f t="shared" ca="1" si="406"/>
        <v>94.130273794249987</v>
      </c>
      <c r="CR749" s="316">
        <f t="shared" ca="1" si="407"/>
        <v>130.46693334844647</v>
      </c>
      <c r="CS749" s="317">
        <f t="shared" ca="1" si="374"/>
        <v>490.00000000000068</v>
      </c>
      <c r="CT749" s="309"/>
      <c r="CU749" s="309">
        <f t="shared" ca="1" si="375"/>
        <v>1000.0000000000005</v>
      </c>
      <c r="CV749" s="309" t="str">
        <f t="shared" ca="1" si="330"/>
        <v>OKAY</v>
      </c>
      <c r="CW749" s="309"/>
      <c r="CX749" s="315">
        <f>(SUM($AR749:$AS749))-((SUM($AR749:$AS749)*VLOOKUP($B749,Lifetime_morbidity_array!$A$30:$Y$48,4))+(SUM($AR749:$AS749)*VLOOKUP($B749,Lifetime_morbidity_array!$A$30:$Y$48,7))+(SUM($AR749:$AS749)*VLOOKUP($B749,Lifetime_morbidity_array!$A$30:$Y$48,10))+(SUM($AR749:$AS749)*VLOOKUP($B749,Lifetime_morbidity_array!$A$30:$Y$48,13)))</f>
        <v>-4.8681508013082322</v>
      </c>
      <c r="CY749" s="316">
        <f>(SUM($AT749:$AU749))-((SUM($AT749:$AU749)*(VLOOKUP($B749,Lifetime_morbidity_array!$A$30:$Y$48,3)))+(SUM($AT749:$AU749)*(VLOOKUP($B749,Lifetime_morbidity_array!$A$30:$Y$48,6)))+(SUM($AT749:$AU749)*(VLOOKUP($B749,Lifetime_morbidity_array!$A$30:$Y$48,9)))+(SUM($AT749:$AU749)*(VLOOKUP($B749,Lifetime_morbidity_array!$A$30:$Y$48,12))))</f>
        <v>50.866178642041135</v>
      </c>
      <c r="CZ749" s="316">
        <f>(SUM($AM749:$AQ749))-((SUM($AM749:$AQ749)*VLOOKUP($B749,Lifetime_morbidity_array!$A$30:$Y$48,2))+(SUM($AM749:$AQ749)*VLOOKUP($B749,Lifetime_morbidity_array!$A$30:$Y$48,5))+(SUM($AM749:$AQ749)*VLOOKUP($B749,Lifetime_morbidity_array!$A$30:$Y$48,8))+(SUM($AM749:$AQ749)*VLOOKUP($B749,Lifetime_morbidity_array!$A$30:$Y$48,11)))</f>
        <v>84.143165600143107</v>
      </c>
      <c r="DA749" s="316">
        <f>(SUM($AM749:$AQ749)*VLOOKUP($B749,Lifetime_morbidity_array!$A$30:$Y$48,2))+(SUM($AR749:$AS749)*VLOOKUP($B749,Lifetime_morbidity_array!$A$30:$Y$48,4))+(SUM($AT749:$AU749)*(VLOOKUP($B749,Lifetime_morbidity_array!$A$30:$Y$48,3)))</f>
        <v>105.58314166644267</v>
      </c>
      <c r="DB749" s="316">
        <f>(SUM($AM749:$AQ749)*VLOOKUP($B749,Lifetime_morbidity_array!$A$30:$Y$48,5))+(SUM($AR749:$AS749)*VLOOKUP($B749,Lifetime_morbidity_array!$A$30:$Y$48,7))+(SUM($AT749:$AU749)*(VLOOKUP($B749,Lifetime_morbidity_array!$A$30:$Y$48,6)))</f>
        <v>52.045835639107104</v>
      </c>
      <c r="DC749" s="316">
        <f>(SUM($AM749:$AQ749)*VLOOKUP($B749,Lifetime_morbidity_array!$A$30:$Y$48,8))+(SUM($AR749:$AS749)*VLOOKUP($B749,Lifetime_morbidity_array!$A$30:$Y$48,10))+(SUM($AT749:$AU749)*(VLOOKUP($B749,Lifetime_morbidity_array!$A$30:$Y$48,9)))</f>
        <v>3.9301121201324065</v>
      </c>
      <c r="DD749" s="317">
        <f>(SUM($AM749:$AQ749)*VLOOKUP($B749,Lifetime_morbidity_array!$A$30:$Y$48,11))+(SUM($AR749:$AS749)*VLOOKUP($B749,Lifetime_morbidity_array!$A$30:$Y$48,13))+(SUM($AT749:$AU749)*(VLOOKUP($B749,Lifetime_morbidity_array!$A$30:$Y$48,12)))</f>
        <v>46.657013298751139</v>
      </c>
      <c r="DE749" s="309"/>
      <c r="DF749" s="315">
        <f ca="1">(SUM($CN749:$CO749))-((SUM($CN749:$CO749)*VLOOKUP($B749,Lifetime_morbidity_array!$A$6:$Y$24,4))+(SUM($CN749:$CO749)*VLOOKUP($B749,Lifetime_morbidity_array!$A$6:$Y$24,7))+(SUM($CN749:$CO749)*VLOOKUP($B749,Lifetime_morbidity_array!$A$6:$Y$24,10))+(SUM($CN749:$CO749)*VLOOKUP($B749,Lifetime_morbidity_array!$A$6:$Y$24,13)))</f>
        <v>5.7511261105128852</v>
      </c>
      <c r="DG749" s="316">
        <f ca="1">(SUM($CP749:$CQ749))-(((SUM($CP749:$CQ749)*VLOOKUP($B749,Lifetime_morbidity_array!$A$6:$Y$24,3))+(SUM($CP749:$CQ749)*VLOOKUP($B749,Lifetime_morbidity_array!$A$6:$Y$24,6))+(SUM($CP749:$CQ749)*VLOOKUP($B749,Lifetime_morbidity_array!$A$6:$Y$24,9))+(SUM($CP749:$CQ749)*VLOOKUP($B749,Lifetime_morbidity_array!$A$6:$Y$24,12))))</f>
        <v>53.481395384112879</v>
      </c>
      <c r="DH749" s="316">
        <f ca="1">(SUM($CI749:$CM749))-((SUM($CI749:$CM749)*VLOOKUP($B749,Lifetime_morbidity_array!$A$6:$Y$24,2))+(SUM($CI749:$CM749)*VLOOKUP($B749,Lifetime_morbidity_array!$A$6:$Y$24,5))+(SUM($CI749:$CM749)*VLOOKUP($B749,Lifetime_morbidity_array!$A$6:$Y$24,8))+(SUM($CI749:$CM749)*VLOOKUP($B749,Lifetime_morbidity_array!$A$6:$Y$24,11)))</f>
        <v>135.00157969085717</v>
      </c>
      <c r="DI749" s="316">
        <f ca="1">(SUM($CI749:$CM749)*VLOOKUP($B749,Lifetime_morbidity_array!$A$6:$Y$24,2))+(SUM($CN749:$CO749)*VLOOKUP($B749,Lifetime_morbidity_array!$A$6:$Y$24,4))+(SUM($CP749:$CQ749)*VLOOKUP($B749,Lifetime_morbidity_array!$A$6:$Y$24,3))</f>
        <v>77.299281526959305</v>
      </c>
      <c r="DJ749" s="316">
        <f ca="1">(SUM($CI749:$CM749)*VLOOKUP($B749,Lifetime_morbidity_array!$A$6:$Y$24,5))+(SUM($CN749:$CO749)*VLOOKUP($B749,Lifetime_morbidity_array!$A$6:$Y$24,7))+(SUM($CP749:$CQ749)*VLOOKUP($B749,Lifetime_morbidity_array!$A$6:$Y$24,6))</f>
        <v>43.991164050696661</v>
      </c>
      <c r="DK749" s="316">
        <f ca="1">(SUM($CI749:$CM749)*VLOOKUP($B749,Lifetime_morbidity_array!$A$6:$Y$24,8))+(SUM($CN749:$CO749)*VLOOKUP($B749,Lifetime_morbidity_array!$A$6:$Y$24,10))+(SUM($CP749:$CQ749)*VLOOKUP($B749,Lifetime_morbidity_array!$A$6:$Y$24,9))</f>
        <v>1.608800160748336</v>
      </c>
      <c r="DL749" s="317">
        <f ca="1">(SUM($CI749:$CM749)*VLOOKUP($B749,Lifetime_morbidity_array!$A$6:$Y$24,11))+(SUM($CN749:$CO749)*VLOOKUP($B749,Lifetime_morbidity_array!$A$6:$Y$24,13))+(SUM($CP749:$CQ749)*VLOOKUP($B749,Lifetime_morbidity_array!$A$6:$Y$24,12))</f>
        <v>42.399719727666941</v>
      </c>
      <c r="DM749" s="309"/>
      <c r="DN749" s="308">
        <f t="shared" si="376"/>
        <v>83</v>
      </c>
      <c r="DO749" s="309">
        <f t="shared" ca="1" si="377"/>
        <v>40.154864835196015</v>
      </c>
      <c r="DP749" s="310">
        <f t="shared" ca="1" si="408"/>
        <v>23686.397205434914</v>
      </c>
      <c r="DQ749" s="309"/>
      <c r="DR749" s="308">
        <f t="shared" si="378"/>
        <v>83</v>
      </c>
      <c r="DS749" s="309">
        <f ca="1">((VLOOKUP($B749,'Mahawesran Tariff'!$A$21:$M$120,4)*'Comparator (DET)'!$CX749)+(VLOOKUP($B749,'Mahawesran Tariff'!$A$21:$M$120,3)*'Comparator (DET)'!$CY749)+(VLOOKUP($B749,'Mahawesran Tariff'!$A$21:$M$120,2)*'Comparator (DET)'!$CZ749)+(VLOOKUP($B749,'Mahawesran Tariff'!$A$21:$M$120,7)*'Comparator (DET)'!$DF749)+(VLOOKUP($B749,'Mahawesran Tariff'!$A$21:$M$120,6)*'Comparator (DET)'!$DG749)+(VLOOKUP($B749,'Mahawesran Tariff'!$A$21:$M$120,5)*'Comparator (DET)'!$DH749)+(DET_UTIL_chd*('Comparator (DET)'!$DA749+'Comparator (DET)'!$DI749))+(DET_UTIL_copd*('Comparator (DET)'!$DB749+'Comparator (DET)'!$DJ749))+(DET_UTIL_lc*('Comparator (DET)'!$DC749+'Comparator (DET)'!$DK749))+(DET_UTIL_stroke*('Comparator (DET)'!$DD749+'Comparator (DET)'!$DL749)))/((1+Discount_rate_QALYs)^$A749)</f>
        <v>32.828182445745888</v>
      </c>
      <c r="DT749" s="310">
        <f t="shared" ca="1" si="409"/>
        <v>23227.42172321925</v>
      </c>
      <c r="DU749" s="309"/>
      <c r="DV749" s="308">
        <f t="shared" si="379"/>
        <v>83</v>
      </c>
      <c r="DW749" s="318">
        <f t="shared" ca="1" si="380"/>
        <v>138374.51753644529</v>
      </c>
      <c r="DX749" s="319">
        <f t="shared" ca="1" si="410"/>
        <v>10470194.73443955</v>
      </c>
      <c r="DZ749" s="95">
        <f t="shared" si="381"/>
        <v>83</v>
      </c>
      <c r="EA749" s="268">
        <f t="shared" ca="1" si="331"/>
        <v>0.69789036281686356</v>
      </c>
      <c r="EB749" s="268">
        <f t="shared" ca="1" si="332"/>
        <v>0.30210963718313699</v>
      </c>
      <c r="EC749" s="268">
        <f t="shared" ca="1" si="333"/>
        <v>0.37351506819050451</v>
      </c>
      <c r="ED749" s="290">
        <f t="shared" ca="1" si="334"/>
        <v>0.3781949272645404</v>
      </c>
      <c r="EF749" s="95">
        <f t="shared" si="382"/>
        <v>83</v>
      </c>
      <c r="EG749" s="339">
        <f t="shared" ca="1" si="383"/>
        <v>138374.51753644529</v>
      </c>
      <c r="EH749" s="341">
        <f t="shared" ca="1" si="411"/>
        <v>13570326.670295633</v>
      </c>
      <c r="EJ749" s="308">
        <f t="shared" si="384"/>
        <v>83</v>
      </c>
      <c r="EK749" s="318">
        <f t="shared" ca="1" si="385"/>
        <v>138374.51753644529</v>
      </c>
      <c r="EL749" s="319">
        <f t="shared" ca="1" si="412"/>
        <v>10470194.73443955</v>
      </c>
      <c r="EN749" s="95">
        <f t="shared" si="386"/>
        <v>83</v>
      </c>
      <c r="EO749" s="339">
        <f t="shared" ca="1" si="387"/>
        <v>138374.51753644529</v>
      </c>
      <c r="EP749" s="341">
        <f t="shared" ca="1" si="413"/>
        <v>13570326.670295633</v>
      </c>
    </row>
    <row r="750" spans="1:146" s="266" customFormat="1" x14ac:dyDescent="0.25">
      <c r="A750" s="313">
        <v>84</v>
      </c>
      <c r="B750" s="314">
        <v>84</v>
      </c>
      <c r="C750" s="308">
        <f>VLOOKUP($B750,'Infant adult mortality'!$A$27:$I$128,3)</f>
        <v>2.063723980693848E-2</v>
      </c>
      <c r="D750" s="309">
        <f t="shared" si="335"/>
        <v>0.27</v>
      </c>
      <c r="E750" s="309">
        <f>VLOOKUP($B750,'Infant pick up smoking rates'!$A$19:$I$104,3)</f>
        <v>0</v>
      </c>
      <c r="F750" s="309">
        <f t="shared" si="336"/>
        <v>0.14624098391610749</v>
      </c>
      <c r="G750" s="309">
        <f t="shared" si="337"/>
        <v>0.56312177627695403</v>
      </c>
      <c r="H750" s="309">
        <f>VLOOKUP($B750,'Infant adult mortality'!$A$27:$I$128,3)</f>
        <v>2.063723980693848E-2</v>
      </c>
      <c r="I750" s="309">
        <f t="shared" si="338"/>
        <v>0.14000000000000001</v>
      </c>
      <c r="J750" s="309">
        <f>VLOOKUP($B750,'Infant pick up smoking rates'!$A$19:$I$104,2)</f>
        <v>0</v>
      </c>
      <c r="K750" s="309">
        <f t="shared" si="339"/>
        <v>0.14624098391610749</v>
      </c>
      <c r="L750" s="309">
        <f t="shared" si="340"/>
        <v>0.69312177627695404</v>
      </c>
      <c r="M750" s="309">
        <f>VLOOKUP($B750,'Infant adult mortality'!$A$27:$I$128,3)</f>
        <v>2.063723980693848E-2</v>
      </c>
      <c r="N750" s="309">
        <f t="shared" si="341"/>
        <v>0.5714285714285714</v>
      </c>
      <c r="O750" s="309">
        <f>VLOOKUP($B750,'Infant pick up smoking rates'!$A$19:$I$104,2)</f>
        <v>0</v>
      </c>
      <c r="P750" s="309">
        <f t="shared" si="342"/>
        <v>0.12016234480898272</v>
      </c>
      <c r="Q750" s="309">
        <f t="shared" si="343"/>
        <v>0.28777184395550742</v>
      </c>
      <c r="R750" s="309">
        <f>VLOOKUP($B750,'Infant adult mortality'!$A$27:$I$128,3)</f>
        <v>2.063723980693848E-2</v>
      </c>
      <c r="S750" s="309">
        <f t="shared" si="344"/>
        <v>8.6261668788331098E-3</v>
      </c>
      <c r="T750" s="309">
        <f>VLOOKUP($B750,'Infant pick up smoking rates'!$A$19:$I$104,2)</f>
        <v>0</v>
      </c>
      <c r="U750" s="309">
        <f t="shared" si="345"/>
        <v>0.12016234480898272</v>
      </c>
      <c r="V750" s="309">
        <f t="shared" si="346"/>
        <v>0.85057424850524577</v>
      </c>
      <c r="W750" s="309">
        <f>VLOOKUP($B750,'Infant adult mortality'!$A$27:$I$128,3)</f>
        <v>2.063723980693848E-2</v>
      </c>
      <c r="X750" s="309">
        <f>VLOOKUP($B750,'Infant pick up smoking rates'!$A$19:$I$104,2)</f>
        <v>0</v>
      </c>
      <c r="Y750" s="309">
        <f t="shared" si="347"/>
        <v>0.97936276019306157</v>
      </c>
      <c r="Z750" s="309">
        <f>VLOOKUP($B750,'Infant adult mortality'!$A$27:$I$128,5)</f>
        <v>3.2456193168182178E-2</v>
      </c>
      <c r="AA750" s="309">
        <f t="shared" si="326"/>
        <v>0.25</v>
      </c>
      <c r="AB750" s="309">
        <f t="shared" si="348"/>
        <v>0.71754380683181784</v>
      </c>
      <c r="AC750" s="309">
        <f>VLOOKUP($B750,'Infant adult mortality'!$A$27:$I$128,5)</f>
        <v>3.2456193168182178E-2</v>
      </c>
      <c r="AD750" s="309">
        <f t="shared" si="327"/>
        <v>0.14000000000000001</v>
      </c>
      <c r="AE750" s="309">
        <f t="shared" si="349"/>
        <v>0.82754380683181783</v>
      </c>
      <c r="AF750" s="309">
        <f>VLOOKUP($B750,'Infant adult mortality'!$A$27:$I$128,4)</f>
        <v>2.3668525772646058E-2</v>
      </c>
      <c r="AG750" s="309">
        <f t="shared" si="328"/>
        <v>0.5714285714285714</v>
      </c>
      <c r="AH750" s="309">
        <f t="shared" si="350"/>
        <v>0.40490290279878255</v>
      </c>
      <c r="AI750" s="309">
        <f>VLOOKUP($B750,'Infant adult mortality'!$A$27:$I$128,4)</f>
        <v>2.3668525772646058E-2</v>
      </c>
      <c r="AJ750" s="309">
        <f t="shared" si="329"/>
        <v>8.6261668788331098E-3</v>
      </c>
      <c r="AK750" s="309">
        <f t="shared" si="351"/>
        <v>0.96770530734852078</v>
      </c>
      <c r="AL750" s="309"/>
      <c r="AM750" s="315">
        <f t="shared" si="388"/>
        <v>1.235622756629029</v>
      </c>
      <c r="AN750" s="316">
        <f t="shared" si="389"/>
        <v>0.39967182717697775</v>
      </c>
      <c r="AO750" s="316">
        <f t="shared" si="390"/>
        <v>6.6926421320517945E-2</v>
      </c>
      <c r="AP750" s="316">
        <f t="shared" si="391"/>
        <v>4.7494108451818633</v>
      </c>
      <c r="AQ750" s="316">
        <f t="shared" si="392"/>
        <v>122.99138521761488</v>
      </c>
      <c r="AR750" s="316">
        <f t="shared" si="393"/>
        <v>70.334061130896444</v>
      </c>
      <c r="AS750" s="316">
        <f t="shared" si="394"/>
        <v>18.304730960753908</v>
      </c>
      <c r="AT750" s="316">
        <f t="shared" si="395"/>
        <v>2.6597942500758154</v>
      </c>
      <c r="AU750" s="316">
        <f t="shared" si="396"/>
        <v>109.19754510568043</v>
      </c>
      <c r="AV750" s="316">
        <f t="shared" si="397"/>
        <v>180.06085148467</v>
      </c>
      <c r="AW750" s="317">
        <f t="shared" si="352"/>
        <v>509.99999999999989</v>
      </c>
      <c r="AX750" s="309"/>
      <c r="AY750" s="308">
        <f>VLOOKUP($B750,'Infant adult mortality'!$A$134:$I$234,3)</f>
        <v>1.5291573824698009E-2</v>
      </c>
      <c r="AZ750" s="309">
        <f t="shared" si="353"/>
        <v>0.27</v>
      </c>
      <c r="BA750" s="309">
        <f ca="1">VLOOKUP($B750,'Infant pick up smoking rates'!$A$19:$I$104,7)</f>
        <v>0</v>
      </c>
      <c r="BB750" s="309">
        <f t="shared" si="354"/>
        <v>0.14624098391610749</v>
      </c>
      <c r="BC750" s="309">
        <f t="shared" ca="1" si="355"/>
        <v>0.56846744225919443</v>
      </c>
      <c r="BD750" s="309">
        <f>VLOOKUP($B750,'Infant adult mortality'!$A$134:$I$234,3)</f>
        <v>1.5291573824698009E-2</v>
      </c>
      <c r="BE750" s="309">
        <f t="shared" si="356"/>
        <v>0.14000000000000001</v>
      </c>
      <c r="BF750" s="309">
        <f>VLOOKUP($B750,'Infant pick up smoking rates'!$A$19:$I$104,6)</f>
        <v>0</v>
      </c>
      <c r="BG750" s="309">
        <f t="shared" si="357"/>
        <v>0.14624098391610749</v>
      </c>
      <c r="BH750" s="309">
        <f t="shared" si="358"/>
        <v>0.69846744225919444</v>
      </c>
      <c r="BI750" s="309">
        <f>VLOOKUP($B750,'Infant adult mortality'!$A$134:$I$234,3)</f>
        <v>1.5291573824698009E-2</v>
      </c>
      <c r="BJ750" s="309">
        <f t="shared" si="359"/>
        <v>0.5714285714285714</v>
      </c>
      <c r="BK750" s="309">
        <f>VLOOKUP($B750,'Infant pick up smoking rates'!$A$19:$I$104,6)</f>
        <v>0</v>
      </c>
      <c r="BL750" s="309">
        <f t="shared" si="360"/>
        <v>0.12016234480898272</v>
      </c>
      <c r="BM750" s="309">
        <f t="shared" si="361"/>
        <v>0.29311750993774788</v>
      </c>
      <c r="BN750" s="309">
        <f>VLOOKUP($B750,'Infant adult mortality'!$A$134:$I$234,3)</f>
        <v>1.5291573824698009E-2</v>
      </c>
      <c r="BO750" s="309">
        <f t="shared" si="362"/>
        <v>8.6261668788331098E-3</v>
      </c>
      <c r="BP750" s="309">
        <f>VLOOKUP($B750,'Infant pick up smoking rates'!$A$19:$I$104,6)</f>
        <v>0</v>
      </c>
      <c r="BQ750" s="309">
        <f t="shared" si="363"/>
        <v>0.12016234480898272</v>
      </c>
      <c r="BR750" s="309">
        <f t="shared" si="364"/>
        <v>0.85591991448748617</v>
      </c>
      <c r="BS750" s="309">
        <f>VLOOKUP($B750,'Infant adult mortality'!$A$134:$I$234,3)</f>
        <v>1.5291573824698009E-2</v>
      </c>
      <c r="BT750" s="309">
        <f>VLOOKUP($B750,'Infant pick up smoking rates'!$A$19:$I$104,6)</f>
        <v>0</v>
      </c>
      <c r="BU750" s="309">
        <f t="shared" si="365"/>
        <v>0.98470842617530197</v>
      </c>
      <c r="BV750" s="309">
        <f>VLOOKUP($B750,'Infant adult mortality'!$A$134:$I$234,5)</f>
        <v>2.4049062691661554E-2</v>
      </c>
      <c r="BW750" s="309">
        <f t="shared" si="366"/>
        <v>0.27</v>
      </c>
      <c r="BX750" s="309">
        <f t="shared" si="367"/>
        <v>0.70595093730833847</v>
      </c>
      <c r="BY750" s="309">
        <f>VLOOKUP($B750,'Infant adult mortality'!$A$134:$I$234,5)</f>
        <v>2.4049062691661554E-2</v>
      </c>
      <c r="BZ750" s="309">
        <f t="shared" si="368"/>
        <v>0.14000000000000001</v>
      </c>
      <c r="CA750" s="309">
        <f t="shared" si="369"/>
        <v>0.83595093730833847</v>
      </c>
      <c r="CB750" s="309">
        <f>VLOOKUP($B750,'Infant adult mortality'!$A$134:$I$234,4)</f>
        <v>1.7537665528919229E-2</v>
      </c>
      <c r="CC750" s="309">
        <f t="shared" si="370"/>
        <v>0.5714285714285714</v>
      </c>
      <c r="CD750" s="309">
        <f t="shared" si="371"/>
        <v>0.41103376304250938</v>
      </c>
      <c r="CE750" s="309">
        <f>VLOOKUP($B750,'Infant adult mortality'!$A$134:$I$234,4)</f>
        <v>1.7537665528919229E-2</v>
      </c>
      <c r="CF750" s="309">
        <f t="shared" si="372"/>
        <v>8.6261668788331098E-3</v>
      </c>
      <c r="CG750" s="309">
        <f t="shared" si="373"/>
        <v>0.97383616759224767</v>
      </c>
      <c r="CH750" s="309"/>
      <c r="CI750" s="315">
        <f t="shared" ca="1" si="398"/>
        <v>1.790267882657298</v>
      </c>
      <c r="CJ750" s="316">
        <f t="shared" ca="1" si="399"/>
        <v>0.57533429254174417</v>
      </c>
      <c r="CK750" s="316">
        <f t="shared" ca="1" si="400"/>
        <v>9.5765079468209016E-2</v>
      </c>
      <c r="CL750" s="316">
        <f t="shared" ca="1" si="401"/>
        <v>6.7941347130502399</v>
      </c>
      <c r="CM750" s="316">
        <f t="shared" ca="1" si="402"/>
        <v>175.40172999057492</v>
      </c>
      <c r="CN750" s="316">
        <f t="shared" ca="1" si="403"/>
        <v>57.228742401520442</v>
      </c>
      <c r="CO750" s="316">
        <f t="shared" ca="1" si="404"/>
        <v>15.952413797691372</v>
      </c>
      <c r="CP750" s="316">
        <f t="shared" ca="1" si="405"/>
        <v>2.3002928948124488</v>
      </c>
      <c r="CQ750" s="316">
        <f t="shared" ca="1" si="406"/>
        <v>93.018513238563003</v>
      </c>
      <c r="CR750" s="316">
        <f t="shared" ca="1" si="407"/>
        <v>136.84280570912102</v>
      </c>
      <c r="CS750" s="317">
        <f t="shared" ca="1" si="374"/>
        <v>490.00000000000068</v>
      </c>
      <c r="CT750" s="309"/>
      <c r="CU750" s="309">
        <f t="shared" ca="1" si="375"/>
        <v>1000.0000000000006</v>
      </c>
      <c r="CV750" s="309" t="str">
        <f t="shared" ca="1" si="330"/>
        <v>OKAY</v>
      </c>
      <c r="CW750" s="309"/>
      <c r="CX750" s="315">
        <f>(SUM($AR750:$AS750))-((SUM($AR750:$AS750)*VLOOKUP($B750,Lifetime_morbidity_array!$A$30:$Y$48,4))+(SUM($AR750:$AS750)*VLOOKUP($B750,Lifetime_morbidity_array!$A$30:$Y$48,7))+(SUM($AR750:$AS750)*VLOOKUP($B750,Lifetime_morbidity_array!$A$30:$Y$48,10))+(SUM($AR750:$AS750)*VLOOKUP($B750,Lifetime_morbidity_array!$A$30:$Y$48,13)))</f>
        <v>-4.6792335625405457</v>
      </c>
      <c r="CY750" s="316">
        <f>(SUM($AT750:$AU750))-((SUM($AT750:$AU750)*(VLOOKUP($B750,Lifetime_morbidity_array!$A$30:$Y$48,3)))+(SUM($AT750:$AU750)*(VLOOKUP($B750,Lifetime_morbidity_array!$A$30:$Y$48,6)))+(SUM($AT750:$AU750)*(VLOOKUP($B750,Lifetime_morbidity_array!$A$30:$Y$48,9)))+(SUM($AT750:$AU750)*(VLOOKUP($B750,Lifetime_morbidity_array!$A$30:$Y$48,12))))</f>
        <v>49.923628796010732</v>
      </c>
      <c r="CZ750" s="316">
        <f>(SUM($AM750:$AQ750))-((SUM($AM750:$AQ750)*VLOOKUP($B750,Lifetime_morbidity_array!$A$30:$Y$48,2))+(SUM($AM750:$AQ750)*VLOOKUP($B750,Lifetime_morbidity_array!$A$30:$Y$48,5))+(SUM($AM750:$AQ750)*VLOOKUP($B750,Lifetime_morbidity_array!$A$30:$Y$48,8))+(SUM($AM750:$AQ750)*VLOOKUP($B750,Lifetime_morbidity_array!$A$30:$Y$48,11)))</f>
        <v>82.406682913538035</v>
      </c>
      <c r="DA750" s="316">
        <f>(SUM($AM750:$AQ750)*VLOOKUP($B750,Lifetime_morbidity_array!$A$30:$Y$48,2))+(SUM($AR750:$AS750)*VLOOKUP($B750,Lifetime_morbidity_array!$A$30:$Y$48,4))+(SUM($AT750:$AU750)*(VLOOKUP($B750,Lifetime_morbidity_array!$A$30:$Y$48,3)))</f>
        <v>102.72317914472134</v>
      </c>
      <c r="DB750" s="316">
        <f>(SUM($AM750:$AQ750)*VLOOKUP($B750,Lifetime_morbidity_array!$A$30:$Y$48,5))+(SUM($AR750:$AS750)*VLOOKUP($B750,Lifetime_morbidity_array!$A$30:$Y$48,7))+(SUM($AT750:$AU750)*(VLOOKUP($B750,Lifetime_morbidity_array!$A$30:$Y$48,6)))</f>
        <v>50.330305507224409</v>
      </c>
      <c r="DC750" s="316">
        <f>(SUM($AM750:$AQ750)*VLOOKUP($B750,Lifetime_morbidity_array!$A$30:$Y$48,8))+(SUM($AR750:$AS750)*VLOOKUP($B750,Lifetime_morbidity_array!$A$30:$Y$48,10))+(SUM($AT750:$AU750)*(VLOOKUP($B750,Lifetime_morbidity_array!$A$30:$Y$48,9)))</f>
        <v>3.8007302614143152</v>
      </c>
      <c r="DD750" s="317">
        <f>(SUM($AM750:$AQ750)*VLOOKUP($B750,Lifetime_morbidity_array!$A$30:$Y$48,11))+(SUM($AR750:$AS750)*VLOOKUP($B750,Lifetime_morbidity_array!$A$30:$Y$48,13))+(SUM($AT750:$AU750)*(VLOOKUP($B750,Lifetime_morbidity_array!$A$30:$Y$48,12)))</f>
        <v>45.433855454961581</v>
      </c>
      <c r="DE750" s="309"/>
      <c r="DF750" s="315">
        <f ca="1">(SUM($CN750:$CO750))-((SUM($CN750:$CO750)*VLOOKUP($B750,Lifetime_morbidity_array!$A$6:$Y$24,4))+(SUM($CN750:$CO750)*VLOOKUP($B750,Lifetime_morbidity_array!$A$6:$Y$24,7))+(SUM($CN750:$CO750)*VLOOKUP($B750,Lifetime_morbidity_array!$A$6:$Y$24,10))+(SUM($CN750:$CO750)*VLOOKUP($B750,Lifetime_morbidity_array!$A$6:$Y$24,13)))</f>
        <v>5.5734811439692891</v>
      </c>
      <c r="DG750" s="316">
        <f ca="1">(SUM($CP750:$CQ750))-(((SUM($CP750:$CQ750)*VLOOKUP($B750,Lifetime_morbidity_array!$A$6:$Y$24,3))+(SUM($CP750:$CQ750)*VLOOKUP($B750,Lifetime_morbidity_array!$A$6:$Y$24,6))+(SUM($CP750:$CQ750)*VLOOKUP($B750,Lifetime_morbidity_array!$A$6:$Y$24,9))+(SUM($CP750:$CQ750)*VLOOKUP($B750,Lifetime_morbidity_array!$A$6:$Y$24,12))))</f>
        <v>52.829716196621405</v>
      </c>
      <c r="DH750" s="316">
        <f ca="1">(SUM($CI750:$CM750))-((SUM($CI750:$CM750)*VLOOKUP($B750,Lifetime_morbidity_array!$A$6:$Y$24,2))+(SUM($CI750:$CM750)*VLOOKUP($B750,Lifetime_morbidity_array!$A$6:$Y$24,5))+(SUM($CI750:$CM750)*VLOOKUP($B750,Lifetime_morbidity_array!$A$6:$Y$24,8))+(SUM($CI750:$CM750)*VLOOKUP($B750,Lifetime_morbidity_array!$A$6:$Y$24,11)))</f>
        <v>132.9371930685636</v>
      </c>
      <c r="DI750" s="316">
        <f ca="1">(SUM($CI750:$CM750)*VLOOKUP($B750,Lifetime_morbidity_array!$A$6:$Y$24,2))+(SUM($CN750:$CO750)*VLOOKUP($B750,Lifetime_morbidity_array!$A$6:$Y$24,4))+(SUM($CP750:$CQ750)*VLOOKUP($B750,Lifetime_morbidity_array!$A$6:$Y$24,3))</f>
        <v>75.751779398352113</v>
      </c>
      <c r="DJ750" s="316">
        <f ca="1">(SUM($CI750:$CM750)*VLOOKUP($B750,Lifetime_morbidity_array!$A$6:$Y$24,5))+(SUM($CN750:$CO750)*VLOOKUP($B750,Lifetime_morbidity_array!$A$6:$Y$24,7))+(SUM($CP750:$CQ750)*VLOOKUP($B750,Lifetime_morbidity_array!$A$6:$Y$24,6))</f>
        <v>42.913460455472666</v>
      </c>
      <c r="DK750" s="316">
        <f ca="1">(SUM($CI750:$CM750)*VLOOKUP($B750,Lifetime_morbidity_array!$A$6:$Y$24,8))+(SUM($CN750:$CO750)*VLOOKUP($B750,Lifetime_morbidity_array!$A$6:$Y$24,10))+(SUM($CP750:$CQ750)*VLOOKUP($B750,Lifetime_morbidity_array!$A$6:$Y$24,9))</f>
        <v>1.5682304959057809</v>
      </c>
      <c r="DL750" s="317">
        <f ca="1">(SUM($CI750:$CM750)*VLOOKUP($B750,Lifetime_morbidity_array!$A$6:$Y$24,11))+(SUM($CN750:$CO750)*VLOOKUP($B750,Lifetime_morbidity_array!$A$6:$Y$24,13))+(SUM($CP750:$CQ750)*VLOOKUP($B750,Lifetime_morbidity_array!$A$6:$Y$24,12))</f>
        <v>41.583333531994818</v>
      </c>
      <c r="DM750" s="309"/>
      <c r="DN750" s="308">
        <f t="shared" si="376"/>
        <v>84</v>
      </c>
      <c r="DO750" s="309">
        <f t="shared" ca="1" si="377"/>
        <v>37.974544878681755</v>
      </c>
      <c r="DP750" s="310">
        <f t="shared" ca="1" si="408"/>
        <v>23724.371750313596</v>
      </c>
      <c r="DQ750" s="309"/>
      <c r="DR750" s="308">
        <f t="shared" si="378"/>
        <v>84</v>
      </c>
      <c r="DS750" s="309">
        <f ca="1">((VLOOKUP($B750,'Mahawesran Tariff'!$A$21:$M$120,4)*'Comparator (DET)'!$CX750)+(VLOOKUP($B750,'Mahawesran Tariff'!$A$21:$M$120,3)*'Comparator (DET)'!$CY750)+(VLOOKUP($B750,'Mahawesran Tariff'!$A$21:$M$120,2)*'Comparator (DET)'!$CZ750)+(VLOOKUP($B750,'Mahawesran Tariff'!$A$21:$M$120,7)*'Comparator (DET)'!$DF750)+(VLOOKUP($B750,'Mahawesran Tariff'!$A$21:$M$120,6)*'Comparator (DET)'!$DG750)+(VLOOKUP($B750,'Mahawesran Tariff'!$A$21:$M$120,5)*'Comparator (DET)'!$DH750)+(DET_UTIL_chd*('Comparator (DET)'!$DA750+'Comparator (DET)'!$DI750))+(DET_UTIL_copd*('Comparator (DET)'!$DB750+'Comparator (DET)'!$DJ750))+(DET_UTIL_lc*('Comparator (DET)'!$DC750+'Comparator (DET)'!$DK750))+(DET_UTIL_stroke*('Comparator (DET)'!$DD750+'Comparator (DET)'!$DL750)))/((1+Discount_rate_QALYs)^$A750)</f>
        <v>31.061392412714969</v>
      </c>
      <c r="DT750" s="310">
        <f t="shared" ca="1" si="409"/>
        <v>23258.483115631963</v>
      </c>
      <c r="DU750" s="309"/>
      <c r="DV750" s="308">
        <f t="shared" si="379"/>
        <v>84</v>
      </c>
      <c r="DW750" s="318">
        <f t="shared" ca="1" si="380"/>
        <v>130560.20276450657</v>
      </c>
      <c r="DX750" s="319">
        <f t="shared" ca="1" si="410"/>
        <v>10600754.937204057</v>
      </c>
      <c r="DZ750" s="95">
        <f t="shared" si="381"/>
        <v>84</v>
      </c>
      <c r="EA750" s="268">
        <f t="shared" ca="1" si="331"/>
        <v>0.68309634280620957</v>
      </c>
      <c r="EB750" s="268">
        <f t="shared" ca="1" si="332"/>
        <v>0.31690365719379099</v>
      </c>
      <c r="EC750" s="268">
        <f t="shared" ca="1" si="333"/>
        <v>0.36410487425004701</v>
      </c>
      <c r="ED750" s="290">
        <f t="shared" ca="1" si="334"/>
        <v>0.36899609377999382</v>
      </c>
      <c r="EF750" s="95">
        <f t="shared" si="382"/>
        <v>84</v>
      </c>
      <c r="EG750" s="339">
        <f t="shared" ca="1" si="383"/>
        <v>130560.20276450657</v>
      </c>
      <c r="EH750" s="341">
        <f t="shared" ca="1" si="411"/>
        <v>13700886.873060141</v>
      </c>
      <c r="EJ750" s="308">
        <f t="shared" si="384"/>
        <v>84</v>
      </c>
      <c r="EK750" s="318">
        <f t="shared" ca="1" si="385"/>
        <v>130560.20276450657</v>
      </c>
      <c r="EL750" s="319">
        <f t="shared" ca="1" si="412"/>
        <v>10600754.937204057</v>
      </c>
      <c r="EN750" s="95">
        <f t="shared" si="386"/>
        <v>84</v>
      </c>
      <c r="EO750" s="339">
        <f t="shared" ca="1" si="387"/>
        <v>130560.20276450657</v>
      </c>
      <c r="EP750" s="341">
        <f t="shared" ca="1" si="413"/>
        <v>13700886.873060141</v>
      </c>
    </row>
    <row r="751" spans="1:146" s="266" customFormat="1" x14ac:dyDescent="0.25">
      <c r="A751" s="313">
        <v>85</v>
      </c>
      <c r="B751" s="314">
        <v>85</v>
      </c>
      <c r="C751" s="308">
        <f>VLOOKUP($B751,'Infant adult mortality'!$A$27:$I$128,3)</f>
        <v>2.3954593856425128E-2</v>
      </c>
      <c r="D751" s="309">
        <f t="shared" si="335"/>
        <v>0.27</v>
      </c>
      <c r="E751" s="309">
        <f>VLOOKUP($B751,'Infant pick up smoking rates'!$A$19:$I$104,3)</f>
        <v>0</v>
      </c>
      <c r="F751" s="309">
        <f t="shared" si="336"/>
        <v>0.14624098391610749</v>
      </c>
      <c r="G751" s="309">
        <f t="shared" si="337"/>
        <v>0.55980442222746729</v>
      </c>
      <c r="H751" s="309">
        <f>VLOOKUP($B751,'Infant adult mortality'!$A$27:$I$128,3)</f>
        <v>2.3954593856425128E-2</v>
      </c>
      <c r="I751" s="309">
        <f t="shared" si="338"/>
        <v>0.14000000000000001</v>
      </c>
      <c r="J751" s="309">
        <f>VLOOKUP($B751,'Infant pick up smoking rates'!$A$19:$I$104,2)</f>
        <v>0</v>
      </c>
      <c r="K751" s="309">
        <f t="shared" si="339"/>
        <v>0.14624098391610749</v>
      </c>
      <c r="L751" s="309">
        <f t="shared" si="340"/>
        <v>0.6898044222274673</v>
      </c>
      <c r="M751" s="309">
        <f>VLOOKUP($B751,'Infant adult mortality'!$A$27:$I$128,3)</f>
        <v>2.3954593856425128E-2</v>
      </c>
      <c r="N751" s="309">
        <f t="shared" si="341"/>
        <v>0.5714285714285714</v>
      </c>
      <c r="O751" s="309">
        <f>VLOOKUP($B751,'Infant pick up smoking rates'!$A$19:$I$104,2)</f>
        <v>0</v>
      </c>
      <c r="P751" s="309">
        <f t="shared" si="342"/>
        <v>0.12016234480898272</v>
      </c>
      <c r="Q751" s="309">
        <f t="shared" si="343"/>
        <v>0.28445448990602079</v>
      </c>
      <c r="R751" s="309">
        <f>VLOOKUP($B751,'Infant adult mortality'!$A$27:$I$128,3)</f>
        <v>2.3954593856425128E-2</v>
      </c>
      <c r="S751" s="309">
        <f t="shared" si="344"/>
        <v>8.6261668788331098E-3</v>
      </c>
      <c r="T751" s="309">
        <f>VLOOKUP($B751,'Infant pick up smoking rates'!$A$19:$I$104,2)</f>
        <v>0</v>
      </c>
      <c r="U751" s="309">
        <f t="shared" si="345"/>
        <v>0.12016234480898272</v>
      </c>
      <c r="V751" s="309">
        <f t="shared" si="346"/>
        <v>0.84725689445575902</v>
      </c>
      <c r="W751" s="309">
        <f>VLOOKUP($B751,'Infant adult mortality'!$A$27:$I$128,3)</f>
        <v>2.3954593856425128E-2</v>
      </c>
      <c r="X751" s="309">
        <f>VLOOKUP($B751,'Infant pick up smoking rates'!$A$19:$I$104,2)</f>
        <v>0</v>
      </c>
      <c r="Y751" s="309">
        <f t="shared" si="347"/>
        <v>0.97604540614357482</v>
      </c>
      <c r="Z751" s="309">
        <f>VLOOKUP($B751,'Infant adult mortality'!$A$27:$I$128,5)</f>
        <v>3.1072773881377077E-2</v>
      </c>
      <c r="AA751" s="309">
        <f t="shared" si="326"/>
        <v>0.25</v>
      </c>
      <c r="AB751" s="309">
        <f t="shared" si="348"/>
        <v>0.71892722611862292</v>
      </c>
      <c r="AC751" s="309">
        <f>VLOOKUP($B751,'Infant adult mortality'!$A$27:$I$128,5)</f>
        <v>3.1072773881377077E-2</v>
      </c>
      <c r="AD751" s="309">
        <f t="shared" si="327"/>
        <v>0.14000000000000001</v>
      </c>
      <c r="AE751" s="309">
        <f t="shared" si="349"/>
        <v>0.82892722611862291</v>
      </c>
      <c r="AF751" s="309">
        <f>VLOOKUP($B751,'Infant adult mortality'!$A$27:$I$128,4)</f>
        <v>2.5531675658360592E-2</v>
      </c>
      <c r="AG751" s="309">
        <f t="shared" si="328"/>
        <v>0.5714285714285714</v>
      </c>
      <c r="AH751" s="309">
        <f t="shared" si="350"/>
        <v>0.40303975291306804</v>
      </c>
      <c r="AI751" s="309">
        <f>VLOOKUP($B751,'Infant adult mortality'!$A$27:$I$128,4)</f>
        <v>2.5531675658360592E-2</v>
      </c>
      <c r="AJ751" s="309">
        <f t="shared" si="329"/>
        <v>8.6261668788331098E-3</v>
      </c>
      <c r="AK751" s="309">
        <f t="shared" si="351"/>
        <v>0.96584215746280633</v>
      </c>
      <c r="AL751" s="309"/>
      <c r="AM751" s="315">
        <f t="shared" si="388"/>
        <v>1.0274092087568771</v>
      </c>
      <c r="AN751" s="316">
        <f t="shared" si="389"/>
        <v>0.33361814428983783</v>
      </c>
      <c r="AO751" s="316">
        <f t="shared" si="390"/>
        <v>5.5954055804776887E-2</v>
      </c>
      <c r="AP751" s="316">
        <f t="shared" si="391"/>
        <v>4.0622147525092975</v>
      </c>
      <c r="AQ751" s="316">
        <f t="shared" si="392"/>
        <v>120.86306600515006</v>
      </c>
      <c r="AR751" s="316">
        <f t="shared" si="393"/>
        <v>67.752320394829113</v>
      </c>
      <c r="AS751" s="316">
        <f t="shared" si="394"/>
        <v>17.583515282724111</v>
      </c>
      <c r="AT751" s="316">
        <f t="shared" si="395"/>
        <v>2.5626623345055473</v>
      </c>
      <c r="AU751" s="316">
        <f t="shared" si="396"/>
        <v>106.98747498312724</v>
      </c>
      <c r="AV751" s="316">
        <f t="shared" si="397"/>
        <v>188.771764838303</v>
      </c>
      <c r="AW751" s="317">
        <f t="shared" si="352"/>
        <v>509.99999999999983</v>
      </c>
      <c r="AX751" s="309"/>
      <c r="AY751" s="308">
        <f>VLOOKUP($B751,'Infant adult mortality'!$A$134:$I$234,3)</f>
        <v>1.7904997471086086E-2</v>
      </c>
      <c r="AZ751" s="309">
        <f t="shared" si="353"/>
        <v>0.27</v>
      </c>
      <c r="BA751" s="309">
        <f ca="1">VLOOKUP($B751,'Infant pick up smoking rates'!$A$19:$I$104,7)</f>
        <v>0</v>
      </c>
      <c r="BB751" s="309">
        <f t="shared" si="354"/>
        <v>0.14624098391610749</v>
      </c>
      <c r="BC751" s="309">
        <f t="shared" ca="1" si="355"/>
        <v>0.56585401861280638</v>
      </c>
      <c r="BD751" s="309">
        <f>VLOOKUP($B751,'Infant adult mortality'!$A$134:$I$234,3)</f>
        <v>1.7904997471086086E-2</v>
      </c>
      <c r="BE751" s="309">
        <f t="shared" si="356"/>
        <v>0.14000000000000001</v>
      </c>
      <c r="BF751" s="309">
        <f>VLOOKUP($B751,'Infant pick up smoking rates'!$A$19:$I$104,6)</f>
        <v>0</v>
      </c>
      <c r="BG751" s="309">
        <f t="shared" si="357"/>
        <v>0.14624098391610749</v>
      </c>
      <c r="BH751" s="309">
        <f t="shared" si="358"/>
        <v>0.69585401861280638</v>
      </c>
      <c r="BI751" s="309">
        <f>VLOOKUP($B751,'Infant adult mortality'!$A$134:$I$234,3)</f>
        <v>1.7904997471086086E-2</v>
      </c>
      <c r="BJ751" s="309">
        <f t="shared" si="359"/>
        <v>0.5714285714285714</v>
      </c>
      <c r="BK751" s="309">
        <f>VLOOKUP($B751,'Infant pick up smoking rates'!$A$19:$I$104,6)</f>
        <v>0</v>
      </c>
      <c r="BL751" s="309">
        <f t="shared" si="360"/>
        <v>0.12016234480898272</v>
      </c>
      <c r="BM751" s="309">
        <f t="shared" si="361"/>
        <v>0.29050408629135982</v>
      </c>
      <c r="BN751" s="309">
        <f>VLOOKUP($B751,'Infant adult mortality'!$A$134:$I$234,3)</f>
        <v>1.7904997471086086E-2</v>
      </c>
      <c r="BO751" s="309">
        <f t="shared" si="362"/>
        <v>8.6261668788331098E-3</v>
      </c>
      <c r="BP751" s="309">
        <f>VLOOKUP($B751,'Infant pick up smoking rates'!$A$19:$I$104,6)</f>
        <v>0</v>
      </c>
      <c r="BQ751" s="309">
        <f t="shared" si="363"/>
        <v>0.12016234480898272</v>
      </c>
      <c r="BR751" s="309">
        <f t="shared" si="364"/>
        <v>0.85330649084109811</v>
      </c>
      <c r="BS751" s="309">
        <f>VLOOKUP($B751,'Infant adult mortality'!$A$134:$I$234,3)</f>
        <v>1.7904997471086086E-2</v>
      </c>
      <c r="BT751" s="309">
        <f>VLOOKUP($B751,'Infant pick up smoking rates'!$A$19:$I$104,6)</f>
        <v>0</v>
      </c>
      <c r="BU751" s="309">
        <f t="shared" si="365"/>
        <v>0.98209500252891391</v>
      </c>
      <c r="BV751" s="309">
        <f>VLOOKUP($B751,'Infant adult mortality'!$A$134:$I$234,5)</f>
        <v>2.3225521630643692E-2</v>
      </c>
      <c r="BW751" s="309">
        <f t="shared" si="366"/>
        <v>0.27</v>
      </c>
      <c r="BX751" s="309">
        <f t="shared" si="367"/>
        <v>0.70677447836935625</v>
      </c>
      <c r="BY751" s="309">
        <f>VLOOKUP($B751,'Infant adult mortality'!$A$134:$I$234,5)</f>
        <v>2.3225521630643692E-2</v>
      </c>
      <c r="BZ751" s="309">
        <f t="shared" si="368"/>
        <v>0.14000000000000001</v>
      </c>
      <c r="CA751" s="309">
        <f t="shared" si="369"/>
        <v>0.83677447836935626</v>
      </c>
      <c r="CB751" s="309">
        <f>VLOOKUP($B751,'Infant adult mortality'!$A$134:$I$234,4)</f>
        <v>1.9083796236976095E-2</v>
      </c>
      <c r="CC751" s="309">
        <f t="shared" si="370"/>
        <v>0.5714285714285714</v>
      </c>
      <c r="CD751" s="309">
        <f t="shared" si="371"/>
        <v>0.40948763233445251</v>
      </c>
      <c r="CE751" s="309">
        <f>VLOOKUP($B751,'Infant adult mortality'!$A$134:$I$234,4)</f>
        <v>1.9083796236976095E-2</v>
      </c>
      <c r="CF751" s="309">
        <f t="shared" si="372"/>
        <v>8.6261668788331098E-3</v>
      </c>
      <c r="CG751" s="309">
        <f t="shared" si="373"/>
        <v>0.9722900368841908</v>
      </c>
      <c r="CH751" s="309"/>
      <c r="CI751" s="315">
        <f t="shared" ca="1" si="398"/>
        <v>1.4998064420475767</v>
      </c>
      <c r="CJ751" s="316">
        <f t="shared" ca="1" si="399"/>
        <v>0.48337232831747046</v>
      </c>
      <c r="CK751" s="316">
        <f t="shared" ca="1" si="400"/>
        <v>8.0546800955844197E-2</v>
      </c>
      <c r="CL751" s="316">
        <f t="shared" ca="1" si="401"/>
        <v>5.8522021528478536</v>
      </c>
      <c r="CM751" s="316">
        <f t="shared" ca="1" si="402"/>
        <v>173.43501696289269</v>
      </c>
      <c r="CN751" s="316">
        <f t="shared" ca="1" si="403"/>
        <v>55.540722002053499</v>
      </c>
      <c r="CO751" s="316">
        <f t="shared" ca="1" si="404"/>
        <v>15.45176044841052</v>
      </c>
      <c r="CP751" s="316">
        <f t="shared" ca="1" si="405"/>
        <v>2.2333379316767923</v>
      </c>
      <c r="CQ751" s="316">
        <f t="shared" ca="1" si="406"/>
        <v>91.75542675038497</v>
      </c>
      <c r="CR751" s="316">
        <f t="shared" ca="1" si="407"/>
        <v>143.66780818041346</v>
      </c>
      <c r="CS751" s="317">
        <f t="shared" ca="1" si="374"/>
        <v>490.00000000000068</v>
      </c>
      <c r="CT751" s="309"/>
      <c r="CU751" s="309">
        <f t="shared" ca="1" si="375"/>
        <v>1000.0000000000005</v>
      </c>
      <c r="CV751" s="309" t="str">
        <f t="shared" ca="1" si="330"/>
        <v>OKAY</v>
      </c>
      <c r="CW751" s="309"/>
      <c r="CX751" s="315">
        <f>(SUM($AR751:$AS751))-((SUM($AR751:$AS751)*VLOOKUP($B751,Lifetime_morbidity_array!$A$30:$Y$48,4))+(SUM($AR751:$AS751)*VLOOKUP($B751,Lifetime_morbidity_array!$A$30:$Y$48,7))+(SUM($AR751:$AS751)*VLOOKUP($B751,Lifetime_morbidity_array!$A$30:$Y$48,10))+(SUM($AR751:$AS751)*VLOOKUP($B751,Lifetime_morbidity_array!$A$30:$Y$48,13)))</f>
        <v>-2.304973637246519</v>
      </c>
      <c r="CY751" s="316">
        <f>(SUM($AT751:$AU751))-((SUM($AT751:$AU751)*(VLOOKUP($B751,Lifetime_morbidity_array!$A$30:$Y$48,3)))+(SUM($AT751:$AU751)*(VLOOKUP($B751,Lifetime_morbidity_array!$A$30:$Y$48,6)))+(SUM($AT751:$AU751)*(VLOOKUP($B751,Lifetime_morbidity_array!$A$30:$Y$48,9)))+(SUM($AT751:$AU751)*(VLOOKUP($B751,Lifetime_morbidity_array!$A$30:$Y$48,12))))</f>
        <v>49.681183917145162</v>
      </c>
      <c r="CZ751" s="316">
        <f>(SUM($AM751:$AQ751))-((SUM($AM751:$AQ751)*VLOOKUP($B751,Lifetime_morbidity_array!$A$30:$Y$48,2))+(SUM($AM751:$AQ751)*VLOOKUP($B751,Lifetime_morbidity_array!$A$30:$Y$48,5))+(SUM($AM751:$AQ751)*VLOOKUP($B751,Lifetime_morbidity_array!$A$30:$Y$48,8))+(SUM($AM751:$AQ751)*VLOOKUP($B751,Lifetime_morbidity_array!$A$30:$Y$48,11)))</f>
        <v>80.547797302001825</v>
      </c>
      <c r="DA751" s="316">
        <f>(SUM($AM751:$AQ751)*VLOOKUP($B751,Lifetime_morbidity_array!$A$30:$Y$48,2))+(SUM($AR751:$AS751)*VLOOKUP($B751,Lifetime_morbidity_array!$A$30:$Y$48,4))+(SUM($AT751:$AU751)*(VLOOKUP($B751,Lifetime_morbidity_array!$A$30:$Y$48,3)))</f>
        <v>99.817510422954001</v>
      </c>
      <c r="DB751" s="316">
        <f>(SUM($AM751:$AQ751)*VLOOKUP($B751,Lifetime_morbidity_array!$A$30:$Y$48,5))+(SUM($AR751:$AS751)*VLOOKUP($B751,Lifetime_morbidity_array!$A$30:$Y$48,7))+(SUM($AT751:$AU751)*(VLOOKUP($B751,Lifetime_morbidity_array!$A$30:$Y$48,6)))</f>
        <v>45.514233731734286</v>
      </c>
      <c r="DC751" s="316">
        <f>(SUM($AM751:$AQ751)*VLOOKUP($B751,Lifetime_morbidity_array!$A$30:$Y$48,8))+(SUM($AR751:$AS751)*VLOOKUP($B751,Lifetime_morbidity_array!$A$30:$Y$48,10))+(SUM($AT751:$AU751)*(VLOOKUP($B751,Lifetime_morbidity_array!$A$30:$Y$48,9)))</f>
        <v>3.6775698678173865</v>
      </c>
      <c r="DD751" s="317">
        <f>(SUM($AM751:$AQ751)*VLOOKUP($B751,Lifetime_morbidity_array!$A$30:$Y$48,11))+(SUM($AR751:$AS751)*VLOOKUP($B751,Lifetime_morbidity_array!$A$30:$Y$48,13))+(SUM($AT751:$AU751)*(VLOOKUP($B751,Lifetime_morbidity_array!$A$30:$Y$48,12)))</f>
        <v>44.294913557290705</v>
      </c>
      <c r="DE751" s="309"/>
      <c r="DF751" s="315">
        <f ca="1">(SUM($CN751:$CO751))-((SUM($CN751:$CO751)*VLOOKUP($B751,Lifetime_morbidity_array!$A$6:$Y$24,4))+(SUM($CN751:$CO751)*VLOOKUP($B751,Lifetime_morbidity_array!$A$6:$Y$24,7))+(SUM($CN751:$CO751)*VLOOKUP($B751,Lifetime_morbidity_array!$A$6:$Y$24,10))+(SUM($CN751:$CO751)*VLOOKUP($B751,Lifetime_morbidity_array!$A$6:$Y$24,13)))</f>
        <v>11.255469044962098</v>
      </c>
      <c r="DG751" s="316">
        <f ca="1">(SUM($CP751:$CQ751))-(((SUM($CP751:$CQ751)*VLOOKUP($B751,Lifetime_morbidity_array!$A$6:$Y$24,3))+(SUM($CP751:$CQ751)*VLOOKUP($B751,Lifetime_morbidity_array!$A$6:$Y$24,6))+(SUM($CP751:$CQ751)*VLOOKUP($B751,Lifetime_morbidity_array!$A$6:$Y$24,9))+(SUM($CP751:$CQ751)*VLOOKUP($B751,Lifetime_morbidity_array!$A$6:$Y$24,12))))</f>
        <v>54.699839950686844</v>
      </c>
      <c r="DH751" s="316">
        <f ca="1">(SUM($CI751:$CM751))-((SUM($CI751:$CM751)*VLOOKUP($B751,Lifetime_morbidity_array!$A$6:$Y$24,2))+(SUM($CI751:$CM751)*VLOOKUP($B751,Lifetime_morbidity_array!$A$6:$Y$24,5))+(SUM($CI751:$CM751)*VLOOKUP($B751,Lifetime_morbidity_array!$A$6:$Y$24,8))+(SUM($CI751:$CM751)*VLOOKUP($B751,Lifetime_morbidity_array!$A$6:$Y$24,11)))</f>
        <v>131.26669099943675</v>
      </c>
      <c r="DI751" s="316">
        <f ca="1">(SUM($CI751:$CM751)*VLOOKUP($B751,Lifetime_morbidity_array!$A$6:$Y$24,2))+(SUM($CN751:$CO751)*VLOOKUP($B751,Lifetime_morbidity_array!$A$6:$Y$24,4))+(SUM($CP751:$CQ751)*VLOOKUP($B751,Lifetime_morbidity_array!$A$6:$Y$24,3))</f>
        <v>74.194194437887475</v>
      </c>
      <c r="DJ751" s="316">
        <f ca="1">(SUM($CI751:$CM751)*VLOOKUP($B751,Lifetime_morbidity_array!$A$6:$Y$24,5))+(SUM($CN751:$CO751)*VLOOKUP($B751,Lifetime_morbidity_array!$A$6:$Y$24,7))+(SUM($CP751:$CQ751)*VLOOKUP($B751,Lifetime_morbidity_array!$A$6:$Y$24,6))</f>
        <v>32.682726227885027</v>
      </c>
      <c r="DK751" s="316">
        <f ca="1">(SUM($CI751:$CM751)*VLOOKUP($B751,Lifetime_morbidity_array!$A$6:$Y$24,8))+(SUM($CN751:$CO751)*VLOOKUP($B751,Lifetime_morbidity_array!$A$6:$Y$24,10))+(SUM($CP751:$CQ751)*VLOOKUP($B751,Lifetime_morbidity_array!$A$6:$Y$24,9))</f>
        <v>1.5296025572070671</v>
      </c>
      <c r="DL751" s="317">
        <f ca="1">(SUM($CI751:$CM751)*VLOOKUP($B751,Lifetime_morbidity_array!$A$6:$Y$24,11))+(SUM($CN751:$CO751)*VLOOKUP($B751,Lifetime_morbidity_array!$A$6:$Y$24,13))+(SUM($CP751:$CQ751)*VLOOKUP($B751,Lifetime_morbidity_array!$A$6:$Y$24,12))</f>
        <v>40.703668601521962</v>
      </c>
      <c r="DM751" s="309"/>
      <c r="DN751" s="308">
        <f t="shared" si="376"/>
        <v>85</v>
      </c>
      <c r="DO751" s="309">
        <f t="shared" ca="1" si="377"/>
        <v>35.855918444115588</v>
      </c>
      <c r="DP751" s="310">
        <f t="shared" ca="1" si="408"/>
        <v>23760.22766875771</v>
      </c>
      <c r="DQ751" s="309"/>
      <c r="DR751" s="308">
        <f t="shared" si="378"/>
        <v>85</v>
      </c>
      <c r="DS751" s="309">
        <f ca="1">((VLOOKUP($B751,'Mahawesran Tariff'!$A$21:$M$120,4)*'Comparator (DET)'!$CX751)+(VLOOKUP($B751,'Mahawesran Tariff'!$A$21:$M$120,3)*'Comparator (DET)'!$CY751)+(VLOOKUP($B751,'Mahawesran Tariff'!$A$21:$M$120,2)*'Comparator (DET)'!$CZ751)+(VLOOKUP($B751,'Mahawesran Tariff'!$A$21:$M$120,7)*'Comparator (DET)'!$DF751)+(VLOOKUP($B751,'Mahawesran Tariff'!$A$21:$M$120,6)*'Comparator (DET)'!$DG751)+(VLOOKUP($B751,'Mahawesran Tariff'!$A$21:$M$120,5)*'Comparator (DET)'!$DH751)+(DET_UTIL_chd*('Comparator (DET)'!$DA751+'Comparator (DET)'!$DI751))+(DET_UTIL_copd*('Comparator (DET)'!$DB751+'Comparator (DET)'!$DJ751))+(DET_UTIL_lc*('Comparator (DET)'!$DC751+'Comparator (DET)'!$DK751))+(DET_UTIL_stroke*('Comparator (DET)'!$DD751+'Comparator (DET)'!$DL751)))/((1+Discount_rate_QALYs)^$A751)</f>
        <v>29.448621533349574</v>
      </c>
      <c r="DT751" s="310">
        <f t="shared" ca="1" si="409"/>
        <v>23287.931737165312</v>
      </c>
      <c r="DU751" s="309"/>
      <c r="DV751" s="308">
        <f t="shared" si="379"/>
        <v>85</v>
      </c>
      <c r="DW751" s="318">
        <f t="shared" ca="1" si="380"/>
        <v>122584.00629928538</v>
      </c>
      <c r="DX751" s="319">
        <f t="shared" ca="1" si="410"/>
        <v>10723338.943503343</v>
      </c>
      <c r="DZ751" s="95">
        <f t="shared" si="381"/>
        <v>85</v>
      </c>
      <c r="EA751" s="268">
        <f t="shared" ca="1" si="331"/>
        <v>0.66756042698128404</v>
      </c>
      <c r="EB751" s="268">
        <f t="shared" ca="1" si="332"/>
        <v>0.33243957301871646</v>
      </c>
      <c r="EC751" s="268">
        <f t="shared" ca="1" si="333"/>
        <v>0.3424144194042979</v>
      </c>
      <c r="ED751" s="290">
        <f t="shared" ca="1" si="334"/>
        <v>0.35986722012771177</v>
      </c>
      <c r="EF751" s="95">
        <f t="shared" si="382"/>
        <v>85</v>
      </c>
      <c r="EG751" s="339">
        <f t="shared" ca="1" si="383"/>
        <v>122584.00629928538</v>
      </c>
      <c r="EH751" s="341">
        <f t="shared" ca="1" si="411"/>
        <v>13823470.879359426</v>
      </c>
      <c r="EJ751" s="308">
        <f t="shared" si="384"/>
        <v>85</v>
      </c>
      <c r="EK751" s="318">
        <f t="shared" ca="1" si="385"/>
        <v>122584.00629928538</v>
      </c>
      <c r="EL751" s="319">
        <f t="shared" ca="1" si="412"/>
        <v>10723338.943503343</v>
      </c>
      <c r="EN751" s="95">
        <f t="shared" si="386"/>
        <v>85</v>
      </c>
      <c r="EO751" s="339">
        <f t="shared" ca="1" si="387"/>
        <v>122584.00629928538</v>
      </c>
      <c r="EP751" s="341">
        <f t="shared" ca="1" si="413"/>
        <v>13823470.879359426</v>
      </c>
    </row>
    <row r="752" spans="1:146" s="266" customFormat="1" x14ac:dyDescent="0.25">
      <c r="A752" s="313">
        <v>86</v>
      </c>
      <c r="B752" s="314">
        <v>86</v>
      </c>
      <c r="C752" s="308">
        <f>VLOOKUP($B752,'Infant adult mortality'!$A$27:$I$128,3)</f>
        <v>2.6381235458744989E-2</v>
      </c>
      <c r="D752" s="309">
        <f t="shared" si="335"/>
        <v>0.27</v>
      </c>
      <c r="E752" s="309">
        <f>VLOOKUP($B752,'Infant pick up smoking rates'!$A$19:$I$104,3)</f>
        <v>0</v>
      </c>
      <c r="F752" s="309">
        <f t="shared" si="336"/>
        <v>0.14624098391610749</v>
      </c>
      <c r="G752" s="309">
        <f t="shared" si="337"/>
        <v>0.55737778062514742</v>
      </c>
      <c r="H752" s="309">
        <f>VLOOKUP($B752,'Infant adult mortality'!$A$27:$I$128,3)</f>
        <v>2.6381235458744989E-2</v>
      </c>
      <c r="I752" s="309">
        <f t="shared" si="338"/>
        <v>0.14000000000000001</v>
      </c>
      <c r="J752" s="309">
        <f>VLOOKUP($B752,'Infant pick up smoking rates'!$A$19:$I$104,2)</f>
        <v>0</v>
      </c>
      <c r="K752" s="309">
        <f t="shared" si="339"/>
        <v>0.14624098391610749</v>
      </c>
      <c r="L752" s="309">
        <f t="shared" si="340"/>
        <v>0.68737778062514754</v>
      </c>
      <c r="M752" s="309">
        <f>VLOOKUP($B752,'Infant adult mortality'!$A$27:$I$128,3)</f>
        <v>2.6381235458744989E-2</v>
      </c>
      <c r="N752" s="309">
        <f t="shared" si="341"/>
        <v>0.5714285714285714</v>
      </c>
      <c r="O752" s="309">
        <f>VLOOKUP($B752,'Infant pick up smoking rates'!$A$19:$I$104,2)</f>
        <v>0</v>
      </c>
      <c r="P752" s="309">
        <f t="shared" si="342"/>
        <v>0.12016234480898272</v>
      </c>
      <c r="Q752" s="309">
        <f t="shared" si="343"/>
        <v>0.28202784830370092</v>
      </c>
      <c r="R752" s="309">
        <f>VLOOKUP($B752,'Infant adult mortality'!$A$27:$I$128,3)</f>
        <v>2.6381235458744989E-2</v>
      </c>
      <c r="S752" s="309">
        <f t="shared" si="344"/>
        <v>8.6261668788331098E-3</v>
      </c>
      <c r="T752" s="309">
        <f>VLOOKUP($B752,'Infant pick up smoking rates'!$A$19:$I$104,2)</f>
        <v>0</v>
      </c>
      <c r="U752" s="309">
        <f t="shared" si="345"/>
        <v>0.12016234480898272</v>
      </c>
      <c r="V752" s="309">
        <f t="shared" si="346"/>
        <v>0.84483025285343927</v>
      </c>
      <c r="W752" s="309">
        <f>VLOOKUP($B752,'Infant adult mortality'!$A$27:$I$128,3)</f>
        <v>2.6381235458744989E-2</v>
      </c>
      <c r="X752" s="309">
        <f>VLOOKUP($B752,'Infant pick up smoking rates'!$A$19:$I$104,2)</f>
        <v>0</v>
      </c>
      <c r="Y752" s="309">
        <f t="shared" si="347"/>
        <v>0.97361876454125507</v>
      </c>
      <c r="Z752" s="309">
        <f>VLOOKUP($B752,'Infant adult mortality'!$A$27:$I$128,5)</f>
        <v>3.4220499376201238E-2</v>
      </c>
      <c r="AA752" s="309">
        <f t="shared" si="326"/>
        <v>0.25</v>
      </c>
      <c r="AB752" s="309">
        <f t="shared" si="348"/>
        <v>0.7157795006237988</v>
      </c>
      <c r="AC752" s="309">
        <f>VLOOKUP($B752,'Infant adult mortality'!$A$27:$I$128,5)</f>
        <v>3.4220499376201238E-2</v>
      </c>
      <c r="AD752" s="309">
        <f t="shared" si="327"/>
        <v>0.14000000000000001</v>
      </c>
      <c r="AE752" s="309">
        <f t="shared" si="349"/>
        <v>0.82577950062379879</v>
      </c>
      <c r="AF752" s="309">
        <f>VLOOKUP($B752,'Infant adult mortality'!$A$27:$I$128,4)</f>
        <v>2.8118078362612545E-2</v>
      </c>
      <c r="AG752" s="309">
        <f t="shared" si="328"/>
        <v>0.5714285714285714</v>
      </c>
      <c r="AH752" s="309">
        <f t="shared" si="350"/>
        <v>0.40045335020881606</v>
      </c>
      <c r="AI752" s="309">
        <f>VLOOKUP($B752,'Infant adult mortality'!$A$27:$I$128,4)</f>
        <v>2.8118078362612545E-2</v>
      </c>
      <c r="AJ752" s="309">
        <f t="shared" si="329"/>
        <v>8.6261668788331098E-3</v>
      </c>
      <c r="AK752" s="309">
        <f t="shared" si="351"/>
        <v>0.96325575475855429</v>
      </c>
      <c r="AL752" s="309"/>
      <c r="AM752" s="315">
        <f t="shared" si="388"/>
        <v>0.85279870848426531</v>
      </c>
      <c r="AN752" s="316">
        <f t="shared" si="389"/>
        <v>0.27740048636435682</v>
      </c>
      <c r="AO752" s="316">
        <f t="shared" si="390"/>
        <v>4.6706540200577303E-2</v>
      </c>
      <c r="AP752" s="316">
        <f t="shared" si="391"/>
        <v>3.4638556626815595</v>
      </c>
      <c r="AQ752" s="316">
        <f t="shared" si="392"/>
        <v>118.36843580217489</v>
      </c>
      <c r="AR752" s="316">
        <f t="shared" si="393"/>
        <v>64.964947058149377</v>
      </c>
      <c r="AS752" s="316">
        <f t="shared" si="394"/>
        <v>16.938080098707278</v>
      </c>
      <c r="AT752" s="316">
        <f t="shared" si="395"/>
        <v>2.4616921395813756</v>
      </c>
      <c r="AU752" s="316">
        <f t="shared" si="396"/>
        <v>104.5206794414445</v>
      </c>
      <c r="AV752" s="316">
        <f t="shared" si="397"/>
        <v>198.10540406221168</v>
      </c>
      <c r="AW752" s="317">
        <f t="shared" si="352"/>
        <v>509.99999999999983</v>
      </c>
      <c r="AX752" s="309"/>
      <c r="AY752" s="308">
        <f>VLOOKUP($B752,'Infant adult mortality'!$A$134:$I$234,3)</f>
        <v>1.9891714940823414E-2</v>
      </c>
      <c r="AZ752" s="309">
        <f t="shared" si="353"/>
        <v>0.27</v>
      </c>
      <c r="BA752" s="309">
        <f ca="1">VLOOKUP($B752,'Infant pick up smoking rates'!$A$19:$I$104,7)</f>
        <v>0</v>
      </c>
      <c r="BB752" s="309">
        <f t="shared" si="354"/>
        <v>0.14624098391610749</v>
      </c>
      <c r="BC752" s="309">
        <f t="shared" ca="1" si="355"/>
        <v>0.56386730114306904</v>
      </c>
      <c r="BD752" s="309">
        <f>VLOOKUP($B752,'Infant adult mortality'!$A$134:$I$234,3)</f>
        <v>1.9891714940823414E-2</v>
      </c>
      <c r="BE752" s="309">
        <f t="shared" si="356"/>
        <v>0.14000000000000001</v>
      </c>
      <c r="BF752" s="309">
        <f>VLOOKUP($B752,'Infant pick up smoking rates'!$A$19:$I$104,6)</f>
        <v>0</v>
      </c>
      <c r="BG752" s="309">
        <f t="shared" si="357"/>
        <v>0.14624098391610749</v>
      </c>
      <c r="BH752" s="309">
        <f t="shared" si="358"/>
        <v>0.69386730114306905</v>
      </c>
      <c r="BI752" s="309">
        <f>VLOOKUP($B752,'Infant adult mortality'!$A$134:$I$234,3)</f>
        <v>1.9891714940823414E-2</v>
      </c>
      <c r="BJ752" s="309">
        <f t="shared" si="359"/>
        <v>0.5714285714285714</v>
      </c>
      <c r="BK752" s="309">
        <f>VLOOKUP($B752,'Infant pick up smoking rates'!$A$19:$I$104,6)</f>
        <v>0</v>
      </c>
      <c r="BL752" s="309">
        <f t="shared" si="360"/>
        <v>0.12016234480898272</v>
      </c>
      <c r="BM752" s="309">
        <f t="shared" si="361"/>
        <v>0.28851736882162249</v>
      </c>
      <c r="BN752" s="309">
        <f>VLOOKUP($B752,'Infant adult mortality'!$A$134:$I$234,3)</f>
        <v>1.9891714940823414E-2</v>
      </c>
      <c r="BO752" s="309">
        <f t="shared" si="362"/>
        <v>8.6261668788331098E-3</v>
      </c>
      <c r="BP752" s="309">
        <f>VLOOKUP($B752,'Infant pick up smoking rates'!$A$19:$I$104,6)</f>
        <v>0</v>
      </c>
      <c r="BQ752" s="309">
        <f t="shared" si="363"/>
        <v>0.12016234480898272</v>
      </c>
      <c r="BR752" s="309">
        <f t="shared" si="364"/>
        <v>0.85131977337136078</v>
      </c>
      <c r="BS752" s="309">
        <f>VLOOKUP($B752,'Infant adult mortality'!$A$134:$I$234,3)</f>
        <v>1.9891714940823414E-2</v>
      </c>
      <c r="BT752" s="309">
        <f>VLOOKUP($B752,'Infant pick up smoking rates'!$A$19:$I$104,6)</f>
        <v>0</v>
      </c>
      <c r="BU752" s="309">
        <f t="shared" si="365"/>
        <v>0.98010828505917658</v>
      </c>
      <c r="BV752" s="309">
        <f>VLOOKUP($B752,'Infant adult mortality'!$A$134:$I$234,5)</f>
        <v>2.580259820615706E-2</v>
      </c>
      <c r="BW752" s="309">
        <f t="shared" si="366"/>
        <v>0.27</v>
      </c>
      <c r="BX752" s="309">
        <f t="shared" si="367"/>
        <v>0.70419740179384294</v>
      </c>
      <c r="BY752" s="309">
        <f>VLOOKUP($B752,'Infant adult mortality'!$A$134:$I$234,5)</f>
        <v>2.580259820615706E-2</v>
      </c>
      <c r="BZ752" s="309">
        <f t="shared" si="368"/>
        <v>0.14000000000000001</v>
      </c>
      <c r="CA752" s="309">
        <f t="shared" si="369"/>
        <v>0.83419740179384294</v>
      </c>
      <c r="CB752" s="309">
        <f>VLOOKUP($B752,'Infant adult mortality'!$A$134:$I$234,4)</f>
        <v>2.1201311831945242E-2</v>
      </c>
      <c r="CC752" s="309">
        <f t="shared" si="370"/>
        <v>0.5714285714285714</v>
      </c>
      <c r="CD752" s="309">
        <f t="shared" si="371"/>
        <v>0.40737011673948337</v>
      </c>
      <c r="CE752" s="309">
        <f>VLOOKUP($B752,'Infant adult mortality'!$A$134:$I$234,4)</f>
        <v>2.1201311831945242E-2</v>
      </c>
      <c r="CF752" s="309">
        <f t="shared" si="372"/>
        <v>8.6261668788331098E-3</v>
      </c>
      <c r="CG752" s="309">
        <f t="shared" si="373"/>
        <v>0.9701725212892216</v>
      </c>
      <c r="CH752" s="309"/>
      <c r="CI752" s="315">
        <f t="shared" ca="1" si="398"/>
        <v>1.2548092870691516</v>
      </c>
      <c r="CJ752" s="316">
        <f t="shared" ca="1" si="399"/>
        <v>0.40494773935284573</v>
      </c>
      <c r="CK752" s="316">
        <f t="shared" ca="1" si="400"/>
        <v>6.767212596444587E-2</v>
      </c>
      <c r="CL752" s="316">
        <f t="shared" ca="1" si="401"/>
        <v>5.0281221538891634</v>
      </c>
      <c r="CM752" s="316">
        <f t="shared" ca="1" si="402"/>
        <v>170.98801208482178</v>
      </c>
      <c r="CN752" s="316">
        <f t="shared" ca="1" si="403"/>
        <v>53.702743303938384</v>
      </c>
      <c r="CO752" s="316">
        <f t="shared" ca="1" si="404"/>
        <v>14.995994940554446</v>
      </c>
      <c r="CP752" s="316">
        <f t="shared" ca="1" si="405"/>
        <v>2.1632464627774728</v>
      </c>
      <c r="CQ752" s="316">
        <f t="shared" ca="1" si="406"/>
        <v>90.294786816204791</v>
      </c>
      <c r="CR752" s="316">
        <f t="shared" ca="1" si="407"/>
        <v>151.0996650854282</v>
      </c>
      <c r="CS752" s="317">
        <f t="shared" ca="1" si="374"/>
        <v>490.00000000000068</v>
      </c>
      <c r="CT752" s="309"/>
      <c r="CU752" s="309">
        <f t="shared" ca="1" si="375"/>
        <v>1000.0000000000005</v>
      </c>
      <c r="CV752" s="309" t="str">
        <f t="shared" ca="1" si="330"/>
        <v>OKAY</v>
      </c>
      <c r="CW752" s="309"/>
      <c r="CX752" s="315">
        <f>(SUM($AR752:$AS752))-((SUM($AR752:$AS752)*VLOOKUP($B752,Lifetime_morbidity_array!$A$30:$Y$48,4))+(SUM($AR752:$AS752)*VLOOKUP($B752,Lifetime_morbidity_array!$A$30:$Y$48,7))+(SUM($AR752:$AS752)*VLOOKUP($B752,Lifetime_morbidity_array!$A$30:$Y$48,10))+(SUM($AR752:$AS752)*VLOOKUP($B752,Lifetime_morbidity_array!$A$30:$Y$48,13)))</f>
        <v>-2.2122513585098318</v>
      </c>
      <c r="CY752" s="316">
        <f>(SUM($AT752:$AU752))-((SUM($AT752:$AU752)*(VLOOKUP($B752,Lifetime_morbidity_array!$A$30:$Y$48,3)))+(SUM($AT752:$AU752)*(VLOOKUP($B752,Lifetime_morbidity_array!$A$30:$Y$48,6)))+(SUM($AT752:$AU752)*(VLOOKUP($B752,Lifetime_morbidity_array!$A$30:$Y$48,9)))+(SUM($AT752:$AU752)*(VLOOKUP($B752,Lifetime_morbidity_array!$A$30:$Y$48,12))))</f>
        <v>48.516697546428588</v>
      </c>
      <c r="CZ752" s="316">
        <f>(SUM($AM752:$AQ752))-((SUM($AM752:$AQ752)*VLOOKUP($B752,Lifetime_morbidity_array!$A$30:$Y$48,2))+(SUM($AM752:$AQ752)*VLOOKUP($B752,Lifetime_morbidity_array!$A$30:$Y$48,5))+(SUM($AM752:$AQ752)*VLOOKUP($B752,Lifetime_morbidity_array!$A$30:$Y$48,8))+(SUM($AM752:$AQ752)*VLOOKUP($B752,Lifetime_morbidity_array!$A$30:$Y$48,11)))</f>
        <v>78.422846895694448</v>
      </c>
      <c r="DA752" s="316">
        <f>(SUM($AM752:$AQ752)*VLOOKUP($B752,Lifetime_morbidity_array!$A$30:$Y$48,2))+(SUM($AR752:$AS752)*VLOOKUP($B752,Lifetime_morbidity_array!$A$30:$Y$48,4))+(SUM($AT752:$AU752)*(VLOOKUP($B752,Lifetime_morbidity_array!$A$30:$Y$48,3)))</f>
        <v>96.749905518555181</v>
      </c>
      <c r="DB752" s="316">
        <f>(SUM($AM752:$AQ752)*VLOOKUP($B752,Lifetime_morbidity_array!$A$30:$Y$48,5))+(SUM($AR752:$AS752)*VLOOKUP($B752,Lifetime_morbidity_array!$A$30:$Y$48,7))+(SUM($AT752:$AU752)*(VLOOKUP($B752,Lifetime_morbidity_array!$A$30:$Y$48,6)))</f>
        <v>43.906980646079546</v>
      </c>
      <c r="DC752" s="316">
        <f>(SUM($AM752:$AQ752)*VLOOKUP($B752,Lifetime_morbidity_array!$A$30:$Y$48,8))+(SUM($AR752:$AS752)*VLOOKUP($B752,Lifetime_morbidity_array!$A$30:$Y$48,10))+(SUM($AT752:$AU752)*(VLOOKUP($B752,Lifetime_morbidity_array!$A$30:$Y$48,9)))</f>
        <v>3.5478267203424876</v>
      </c>
      <c r="DD752" s="317">
        <f>(SUM($AM752:$AQ752)*VLOOKUP($B752,Lifetime_morbidity_array!$A$30:$Y$48,11))+(SUM($AR752:$AS752)*VLOOKUP($B752,Lifetime_morbidity_array!$A$30:$Y$48,13))+(SUM($AT752:$AU752)*(VLOOKUP($B752,Lifetime_morbidity_array!$A$30:$Y$48,12)))</f>
        <v>42.962589969197751</v>
      </c>
      <c r="DE752" s="309"/>
      <c r="DF752" s="315">
        <f ca="1">(SUM($CN752:$CO752))-((SUM($CN752:$CO752)*VLOOKUP($B752,Lifetime_morbidity_array!$A$6:$Y$24,4))+(SUM($CN752:$CO752)*VLOOKUP($B752,Lifetime_morbidity_array!$A$6:$Y$24,7))+(SUM($CN752:$CO752)*VLOOKUP($B752,Lifetime_morbidity_array!$A$6:$Y$24,10))+(SUM($CN752:$CO752)*VLOOKUP($B752,Lifetime_morbidity_array!$A$6:$Y$24,13)))</f>
        <v>10.891808471106486</v>
      </c>
      <c r="DG752" s="316">
        <f ca="1">(SUM($CP752:$CQ752))-(((SUM($CP752:$CQ752)*VLOOKUP($B752,Lifetime_morbidity_array!$A$6:$Y$24,3))+(SUM($CP752:$CQ752)*VLOOKUP($B752,Lifetime_morbidity_array!$A$6:$Y$24,6))+(SUM($CP752:$CQ752)*VLOOKUP($B752,Lifetime_morbidity_array!$A$6:$Y$24,9))+(SUM($CP752:$CQ752)*VLOOKUP($B752,Lifetime_morbidity_array!$A$6:$Y$24,12))))</f>
        <v>53.808980675759926</v>
      </c>
      <c r="DH752" s="316">
        <f ca="1">(SUM($CI752:$CM752))-((SUM($CI752:$CM752)*VLOOKUP($B752,Lifetime_morbidity_array!$A$6:$Y$24,2))+(SUM($CI752:$CM752)*VLOOKUP($B752,Lifetime_morbidity_array!$A$6:$Y$24,5))+(SUM($CI752:$CM752)*VLOOKUP($B752,Lifetime_morbidity_array!$A$6:$Y$24,8))+(SUM($CI752:$CM752)*VLOOKUP($B752,Lifetime_morbidity_array!$A$6:$Y$24,11)))</f>
        <v>128.65557140085082</v>
      </c>
      <c r="DI752" s="316">
        <f ca="1">(SUM($CI752:$CM752)*VLOOKUP($B752,Lifetime_morbidity_array!$A$6:$Y$24,2))+(SUM($CN752:$CO752)*VLOOKUP($B752,Lifetime_morbidity_array!$A$6:$Y$24,4))+(SUM($CP752:$CQ752)*VLOOKUP($B752,Lifetime_morbidity_array!$A$6:$Y$24,3))</f>
        <v>72.468071186272994</v>
      </c>
      <c r="DJ752" s="316">
        <f ca="1">(SUM($CI752:$CM752)*VLOOKUP($B752,Lifetime_morbidity_array!$A$6:$Y$24,5))+(SUM($CN752:$CO752)*VLOOKUP($B752,Lifetime_morbidity_array!$A$6:$Y$24,7))+(SUM($CP752:$CQ752)*VLOOKUP($B752,Lifetime_morbidity_array!$A$6:$Y$24,6))</f>
        <v>31.80726167898699</v>
      </c>
      <c r="DK752" s="316">
        <f ca="1">(SUM($CI752:$CM752)*VLOOKUP($B752,Lifetime_morbidity_array!$A$6:$Y$24,8))+(SUM($CN752:$CO752)*VLOOKUP($B752,Lifetime_morbidity_array!$A$6:$Y$24,10))+(SUM($CP752:$CQ752)*VLOOKUP($B752,Lifetime_morbidity_array!$A$6:$Y$24,9))</f>
        <v>1.4876796844046993</v>
      </c>
      <c r="DL752" s="317">
        <f ca="1">(SUM($CI752:$CM752)*VLOOKUP($B752,Lifetime_morbidity_array!$A$6:$Y$24,11))+(SUM($CN752:$CO752)*VLOOKUP($B752,Lifetime_morbidity_array!$A$6:$Y$24,13))+(SUM($CP752:$CQ752)*VLOOKUP($B752,Lifetime_morbidity_array!$A$6:$Y$24,12))</f>
        <v>39.780961817190573</v>
      </c>
      <c r="DM752" s="309"/>
      <c r="DN752" s="308">
        <f t="shared" si="376"/>
        <v>86</v>
      </c>
      <c r="DO752" s="309">
        <f t="shared" ca="1" si="377"/>
        <v>33.773345223457461</v>
      </c>
      <c r="DP752" s="310">
        <f t="shared" ca="1" si="408"/>
        <v>23794.001013981167</v>
      </c>
      <c r="DQ752" s="309"/>
      <c r="DR752" s="308">
        <f t="shared" si="378"/>
        <v>86</v>
      </c>
      <c r="DS752" s="309">
        <f ca="1">((VLOOKUP($B752,'Mahawesran Tariff'!$A$21:$M$120,4)*'Comparator (DET)'!$CX752)+(VLOOKUP($B752,'Mahawesran Tariff'!$A$21:$M$120,3)*'Comparator (DET)'!$CY752)+(VLOOKUP($B752,'Mahawesran Tariff'!$A$21:$M$120,2)*'Comparator (DET)'!$CZ752)+(VLOOKUP($B752,'Mahawesran Tariff'!$A$21:$M$120,7)*'Comparator (DET)'!$DF752)+(VLOOKUP($B752,'Mahawesran Tariff'!$A$21:$M$120,6)*'Comparator (DET)'!$DG752)+(VLOOKUP($B752,'Mahawesran Tariff'!$A$21:$M$120,5)*'Comparator (DET)'!$DH752)+(DET_UTIL_chd*('Comparator (DET)'!$DA752+'Comparator (DET)'!$DI752))+(DET_UTIL_copd*('Comparator (DET)'!$DB752+'Comparator (DET)'!$DJ752))+(DET_UTIL_lc*('Comparator (DET)'!$DC752+'Comparator (DET)'!$DK752))+(DET_UTIL_stroke*('Comparator (DET)'!$DD752+'Comparator (DET)'!$DL752)))/((1+Discount_rate_QALYs)^$A752)</f>
        <v>27.74892599359497</v>
      </c>
      <c r="DT752" s="310">
        <f t="shared" ca="1" si="409"/>
        <v>23315.680663158906</v>
      </c>
      <c r="DU752" s="309"/>
      <c r="DV752" s="308">
        <f t="shared" si="379"/>
        <v>86</v>
      </c>
      <c r="DW752" s="318">
        <f t="shared" ca="1" si="380"/>
        <v>115245.05740542663</v>
      </c>
      <c r="DX752" s="319">
        <f t="shared" ca="1" si="410"/>
        <v>10838584.00090877</v>
      </c>
      <c r="DZ752" s="95">
        <f t="shared" si="381"/>
        <v>86</v>
      </c>
      <c r="EA752" s="268">
        <f t="shared" ca="1" si="331"/>
        <v>0.65079493085236062</v>
      </c>
      <c r="EB752" s="268">
        <f t="shared" ca="1" si="332"/>
        <v>0.34920506914763982</v>
      </c>
      <c r="EC752" s="268">
        <f t="shared" ca="1" si="333"/>
        <v>0.33271127722103022</v>
      </c>
      <c r="ED752" s="290">
        <f t="shared" ca="1" si="334"/>
        <v>0.35004217026135764</v>
      </c>
      <c r="EF752" s="95">
        <f t="shared" si="382"/>
        <v>86</v>
      </c>
      <c r="EG752" s="339">
        <f t="shared" ca="1" si="383"/>
        <v>115245.05740542663</v>
      </c>
      <c r="EH752" s="341">
        <f t="shared" ca="1" si="411"/>
        <v>13938715.936764853</v>
      </c>
      <c r="EJ752" s="308">
        <f t="shared" si="384"/>
        <v>86</v>
      </c>
      <c r="EK752" s="318">
        <f t="shared" ca="1" si="385"/>
        <v>115245.05740542663</v>
      </c>
      <c r="EL752" s="319">
        <f t="shared" ca="1" si="412"/>
        <v>10838584.00090877</v>
      </c>
      <c r="EN752" s="95">
        <f t="shared" si="386"/>
        <v>86</v>
      </c>
      <c r="EO752" s="339">
        <f t="shared" ca="1" si="387"/>
        <v>115245.05740542663</v>
      </c>
      <c r="EP752" s="341">
        <f t="shared" ca="1" si="413"/>
        <v>13938715.936764853</v>
      </c>
    </row>
    <row r="753" spans="1:146" s="266" customFormat="1" x14ac:dyDescent="0.25">
      <c r="A753" s="313">
        <v>87</v>
      </c>
      <c r="B753" s="314">
        <v>87</v>
      </c>
      <c r="C753" s="308">
        <f>VLOOKUP($B753,'Infant adult mortality'!$A$27:$I$128,3)</f>
        <v>2.9052900495667132E-2</v>
      </c>
      <c r="D753" s="309">
        <f t="shared" si="335"/>
        <v>0.27</v>
      </c>
      <c r="E753" s="309">
        <f>VLOOKUP($B753,'Infant pick up smoking rates'!$A$19:$I$104,3)</f>
        <v>0</v>
      </c>
      <c r="F753" s="309">
        <f t="shared" si="336"/>
        <v>0.14624098391610749</v>
      </c>
      <c r="G753" s="309">
        <f t="shared" si="337"/>
        <v>0.55470611558822536</v>
      </c>
      <c r="H753" s="309">
        <f>VLOOKUP($B753,'Infant adult mortality'!$A$27:$I$128,3)</f>
        <v>2.9052900495667132E-2</v>
      </c>
      <c r="I753" s="309">
        <f t="shared" si="338"/>
        <v>0.14000000000000001</v>
      </c>
      <c r="J753" s="309">
        <f>VLOOKUP($B753,'Infant pick up smoking rates'!$A$19:$I$104,2)</f>
        <v>0</v>
      </c>
      <c r="K753" s="309">
        <f t="shared" si="339"/>
        <v>0.14624098391610749</v>
      </c>
      <c r="L753" s="309">
        <f t="shared" si="340"/>
        <v>0.68470611558822536</v>
      </c>
      <c r="M753" s="309">
        <f>VLOOKUP($B753,'Infant adult mortality'!$A$27:$I$128,3)</f>
        <v>2.9052900495667132E-2</v>
      </c>
      <c r="N753" s="309">
        <f t="shared" si="341"/>
        <v>0.5714285714285714</v>
      </c>
      <c r="O753" s="309">
        <f>VLOOKUP($B753,'Infant pick up smoking rates'!$A$19:$I$104,2)</f>
        <v>0</v>
      </c>
      <c r="P753" s="309">
        <f t="shared" si="342"/>
        <v>0.12016234480898272</v>
      </c>
      <c r="Q753" s="309">
        <f t="shared" si="343"/>
        <v>0.2793561832667788</v>
      </c>
      <c r="R753" s="309">
        <f>VLOOKUP($B753,'Infant adult mortality'!$A$27:$I$128,3)</f>
        <v>2.9052900495667132E-2</v>
      </c>
      <c r="S753" s="309">
        <f t="shared" si="344"/>
        <v>8.6261668788331098E-3</v>
      </c>
      <c r="T753" s="309">
        <f>VLOOKUP($B753,'Infant pick up smoking rates'!$A$19:$I$104,2)</f>
        <v>0</v>
      </c>
      <c r="U753" s="309">
        <f t="shared" si="345"/>
        <v>0.12016234480898272</v>
      </c>
      <c r="V753" s="309">
        <f t="shared" si="346"/>
        <v>0.84215858781651709</v>
      </c>
      <c r="W753" s="309">
        <f>VLOOKUP($B753,'Infant adult mortality'!$A$27:$I$128,3)</f>
        <v>2.9052900495667132E-2</v>
      </c>
      <c r="X753" s="309">
        <f>VLOOKUP($B753,'Infant pick up smoking rates'!$A$19:$I$104,2)</f>
        <v>0</v>
      </c>
      <c r="Y753" s="309">
        <f t="shared" si="347"/>
        <v>0.97094709950433289</v>
      </c>
      <c r="Z753" s="309">
        <f>VLOOKUP($B753,'Infant adult mortality'!$A$27:$I$128,5)</f>
        <v>3.768605776039384E-2</v>
      </c>
      <c r="AA753" s="309">
        <f t="shared" si="326"/>
        <v>0.25</v>
      </c>
      <c r="AB753" s="309">
        <f t="shared" si="348"/>
        <v>0.7123139422396062</v>
      </c>
      <c r="AC753" s="309">
        <f>VLOOKUP($B753,'Infant adult mortality'!$A$27:$I$128,5)</f>
        <v>3.768605776039384E-2</v>
      </c>
      <c r="AD753" s="309">
        <f t="shared" si="327"/>
        <v>0.14000000000000001</v>
      </c>
      <c r="AE753" s="309">
        <f t="shared" si="349"/>
        <v>0.82231394223960619</v>
      </c>
      <c r="AF753" s="309">
        <f>VLOOKUP($B753,'Infant adult mortality'!$A$27:$I$128,4)</f>
        <v>3.0965635937552694E-2</v>
      </c>
      <c r="AG753" s="309">
        <f t="shared" si="328"/>
        <v>0.5714285714285714</v>
      </c>
      <c r="AH753" s="309">
        <f t="shared" si="350"/>
        <v>0.39760579263387591</v>
      </c>
      <c r="AI753" s="309">
        <f>VLOOKUP($B753,'Infant adult mortality'!$A$27:$I$128,4)</f>
        <v>3.0965635937552694E-2</v>
      </c>
      <c r="AJ753" s="309">
        <f t="shared" si="329"/>
        <v>8.6261668788331098E-3</v>
      </c>
      <c r="AK753" s="309">
        <f t="shared" si="351"/>
        <v>0.96040819718361425</v>
      </c>
      <c r="AL753" s="309"/>
      <c r="AM753" s="315">
        <f t="shared" si="388"/>
        <v>0.70591802623729727</v>
      </c>
      <c r="AN753" s="316">
        <f t="shared" si="389"/>
        <v>0.23025565129075165</v>
      </c>
      <c r="AO753" s="316">
        <f t="shared" si="390"/>
        <v>3.8836068091009958E-2</v>
      </c>
      <c r="AP753" s="316">
        <f t="shared" si="391"/>
        <v>2.9438052448273351</v>
      </c>
      <c r="AQ753" s="316">
        <f t="shared" si="392"/>
        <v>115.5166082431585</v>
      </c>
      <c r="AR753" s="316">
        <f t="shared" si="393"/>
        <v>62.084252843845647</v>
      </c>
      <c r="AS753" s="316">
        <f t="shared" si="394"/>
        <v>16.241236764537344</v>
      </c>
      <c r="AT753" s="316">
        <f t="shared" si="395"/>
        <v>2.371331213819019</v>
      </c>
      <c r="AU753" s="316">
        <f t="shared" si="396"/>
        <v>101.78919853338211</v>
      </c>
      <c r="AV753" s="316">
        <f t="shared" si="397"/>
        <v>208.07855741081084</v>
      </c>
      <c r="AW753" s="317">
        <f t="shared" si="352"/>
        <v>509.99999999999983</v>
      </c>
      <c r="AX753" s="309"/>
      <c r="AY753" s="308">
        <f>VLOOKUP($B753,'Infant adult mortality'!$A$134:$I$234,3)</f>
        <v>2.2100242101358872E-2</v>
      </c>
      <c r="AZ753" s="309">
        <f t="shared" si="353"/>
        <v>0.27</v>
      </c>
      <c r="BA753" s="309">
        <f ca="1">VLOOKUP($B753,'Infant pick up smoking rates'!$A$19:$I$104,7)</f>
        <v>0</v>
      </c>
      <c r="BB753" s="309">
        <f t="shared" si="354"/>
        <v>0.14624098391610749</v>
      </c>
      <c r="BC753" s="309">
        <f t="shared" ca="1" si="355"/>
        <v>0.56165877398253361</v>
      </c>
      <c r="BD753" s="309">
        <f>VLOOKUP($B753,'Infant adult mortality'!$A$134:$I$234,3)</f>
        <v>2.2100242101358872E-2</v>
      </c>
      <c r="BE753" s="309">
        <f t="shared" si="356"/>
        <v>0.14000000000000001</v>
      </c>
      <c r="BF753" s="309">
        <f>VLOOKUP($B753,'Infant pick up smoking rates'!$A$19:$I$104,6)</f>
        <v>0</v>
      </c>
      <c r="BG753" s="309">
        <f t="shared" si="357"/>
        <v>0.14624098391610749</v>
      </c>
      <c r="BH753" s="309">
        <f t="shared" si="358"/>
        <v>0.69165877398253361</v>
      </c>
      <c r="BI753" s="309">
        <f>VLOOKUP($B753,'Infant adult mortality'!$A$134:$I$234,3)</f>
        <v>2.2100242101358872E-2</v>
      </c>
      <c r="BJ753" s="309">
        <f t="shared" si="359"/>
        <v>0.5714285714285714</v>
      </c>
      <c r="BK753" s="309">
        <f>VLOOKUP($B753,'Infant pick up smoking rates'!$A$19:$I$104,6)</f>
        <v>0</v>
      </c>
      <c r="BL753" s="309">
        <f t="shared" si="360"/>
        <v>0.12016234480898272</v>
      </c>
      <c r="BM753" s="309">
        <f t="shared" si="361"/>
        <v>0.28630884166108705</v>
      </c>
      <c r="BN753" s="309">
        <f>VLOOKUP($B753,'Infant adult mortality'!$A$134:$I$234,3)</f>
        <v>2.2100242101358872E-2</v>
      </c>
      <c r="BO753" s="309">
        <f t="shared" si="362"/>
        <v>8.6261668788331098E-3</v>
      </c>
      <c r="BP753" s="309">
        <f>VLOOKUP($B753,'Infant pick up smoking rates'!$A$19:$I$104,6)</f>
        <v>0</v>
      </c>
      <c r="BQ753" s="309">
        <f t="shared" si="363"/>
        <v>0.12016234480898272</v>
      </c>
      <c r="BR753" s="309">
        <f t="shared" si="364"/>
        <v>0.84911124621082534</v>
      </c>
      <c r="BS753" s="309">
        <f>VLOOKUP($B753,'Infant adult mortality'!$A$134:$I$234,3)</f>
        <v>2.2100242101358872E-2</v>
      </c>
      <c r="BT753" s="309">
        <f>VLOOKUP($B753,'Infant pick up smoking rates'!$A$19:$I$104,6)</f>
        <v>0</v>
      </c>
      <c r="BU753" s="309">
        <f t="shared" si="365"/>
        <v>0.97789975789864114</v>
      </c>
      <c r="BV753" s="309">
        <f>VLOOKUP($B753,'Infant adult mortality'!$A$134:$I$234,5)</f>
        <v>2.86673958930438E-2</v>
      </c>
      <c r="BW753" s="309">
        <f t="shared" si="366"/>
        <v>0.27</v>
      </c>
      <c r="BX753" s="309">
        <f t="shared" si="367"/>
        <v>0.70133260410695619</v>
      </c>
      <c r="BY753" s="309">
        <f>VLOOKUP($B753,'Infant adult mortality'!$A$134:$I$234,5)</f>
        <v>2.86673958930438E-2</v>
      </c>
      <c r="BZ753" s="309">
        <f t="shared" si="368"/>
        <v>0.14000000000000001</v>
      </c>
      <c r="CA753" s="309">
        <f t="shared" si="369"/>
        <v>0.8313326041069562</v>
      </c>
      <c r="CB753" s="309">
        <f>VLOOKUP($B753,'Infant adult mortality'!$A$134:$I$234,4)</f>
        <v>2.3555240246822002E-2</v>
      </c>
      <c r="CC753" s="309">
        <f t="shared" si="370"/>
        <v>0.5714285714285714</v>
      </c>
      <c r="CD753" s="309">
        <f t="shared" si="371"/>
        <v>0.40501618832460662</v>
      </c>
      <c r="CE753" s="309">
        <f>VLOOKUP($B753,'Infant adult mortality'!$A$134:$I$234,4)</f>
        <v>2.3555240246822002E-2</v>
      </c>
      <c r="CF753" s="309">
        <f t="shared" si="372"/>
        <v>8.6261668788331098E-3</v>
      </c>
      <c r="CG753" s="309">
        <f t="shared" si="373"/>
        <v>0.96781859287434491</v>
      </c>
      <c r="CH753" s="309"/>
      <c r="CI753" s="315">
        <f t="shared" ca="1" si="398"/>
        <v>1.0476088514691739</v>
      </c>
      <c r="CJ753" s="316">
        <f t="shared" ca="1" si="399"/>
        <v>0.33879850750867097</v>
      </c>
      <c r="CK753" s="316">
        <f t="shared" ca="1" si="400"/>
        <v>5.6692683509398406E-2</v>
      </c>
      <c r="CL753" s="316">
        <f t="shared" ca="1" si="401"/>
        <v>4.3081048544544842</v>
      </c>
      <c r="CM753" s="316">
        <f t="shared" ca="1" si="402"/>
        <v>168.06418271125418</v>
      </c>
      <c r="CN753" s="316">
        <f t="shared" ca="1" si="403"/>
        <v>51.785192070270433</v>
      </c>
      <c r="CO753" s="316">
        <f t="shared" ca="1" si="404"/>
        <v>14.499740692063364</v>
      </c>
      <c r="CP753" s="316">
        <f t="shared" ca="1" si="405"/>
        <v>2.0994392916776228</v>
      </c>
      <c r="CQ753" s="316">
        <f t="shared" ca="1" si="406"/>
        <v>88.625114356221118</v>
      </c>
      <c r="CR753" s="316">
        <f t="shared" ca="1" si="407"/>
        <v>159.17512598157225</v>
      </c>
      <c r="CS753" s="317">
        <f t="shared" ca="1" si="374"/>
        <v>490.00000000000068</v>
      </c>
      <c r="CT753" s="309"/>
      <c r="CU753" s="309">
        <f t="shared" ca="1" si="375"/>
        <v>1000.0000000000005</v>
      </c>
      <c r="CV753" s="309" t="str">
        <f t="shared" ca="1" si="330"/>
        <v>OKAY</v>
      </c>
      <c r="CW753" s="309"/>
      <c r="CX753" s="315">
        <f>(SUM($AR753:$AS753))-((SUM($AR753:$AS753)*VLOOKUP($B753,Lifetime_morbidity_array!$A$30:$Y$48,4))+(SUM($AR753:$AS753)*VLOOKUP($B753,Lifetime_morbidity_array!$A$30:$Y$48,7))+(SUM($AR753:$AS753)*VLOOKUP($B753,Lifetime_morbidity_array!$A$30:$Y$48,10))+(SUM($AR753:$AS753)*VLOOKUP($B753,Lifetime_morbidity_array!$A$30:$Y$48,13)))</f>
        <v>-2.1156198593275946</v>
      </c>
      <c r="CY753" s="316">
        <f>(SUM($AT753:$AU753))-((SUM($AT753:$AU753)*(VLOOKUP($B753,Lifetime_morbidity_array!$A$30:$Y$48,3)))+(SUM($AT753:$AU753)*(VLOOKUP($B753,Lifetime_morbidity_array!$A$30:$Y$48,6)))+(SUM($AT753:$AU753)*(VLOOKUP($B753,Lifetime_morbidity_array!$A$30:$Y$48,9)))+(SUM($AT753:$AU753)*(VLOOKUP($B753,Lifetime_morbidity_array!$A$30:$Y$48,12))))</f>
        <v>47.236987209554584</v>
      </c>
      <c r="CZ753" s="316">
        <f>(SUM($AM753:$AQ753))-((SUM($AM753:$AQ753)*VLOOKUP($B753,Lifetime_morbidity_array!$A$30:$Y$48,2))+(SUM($AM753:$AQ753)*VLOOKUP($B753,Lifetime_morbidity_array!$A$30:$Y$48,5))+(SUM($AM753:$AQ753)*VLOOKUP($B753,Lifetime_morbidity_array!$A$30:$Y$48,8))+(SUM($AM753:$AQ753)*VLOOKUP($B753,Lifetime_morbidity_array!$A$30:$Y$48,11)))</f>
        <v>76.144435728246918</v>
      </c>
      <c r="DA753" s="316">
        <f>(SUM($AM753:$AQ753)*VLOOKUP($B753,Lifetime_morbidity_array!$A$30:$Y$48,2))+(SUM($AR753:$AS753)*VLOOKUP($B753,Lifetime_morbidity_array!$A$30:$Y$48,4))+(SUM($AT753:$AU753)*(VLOOKUP($B753,Lifetime_morbidity_array!$A$30:$Y$48,3)))</f>
        <v>93.486562390420943</v>
      </c>
      <c r="DB753" s="316">
        <f>(SUM($AM753:$AQ753)*VLOOKUP($B753,Lifetime_morbidity_array!$A$30:$Y$48,5))+(SUM($AR753:$AS753)*VLOOKUP($B753,Lifetime_morbidity_array!$A$30:$Y$48,7))+(SUM($AT753:$AU753)*(VLOOKUP($B753,Lifetime_morbidity_array!$A$30:$Y$48,6)))</f>
        <v>42.214856730839415</v>
      </c>
      <c r="DC753" s="316">
        <f>(SUM($AM753:$AQ753)*VLOOKUP($B753,Lifetime_morbidity_array!$A$30:$Y$48,8))+(SUM($AR753:$AS753)*VLOOKUP($B753,Lifetime_morbidity_array!$A$30:$Y$48,10))+(SUM($AT753:$AU753)*(VLOOKUP($B753,Lifetime_morbidity_array!$A$30:$Y$48,9)))</f>
        <v>3.4112223459768454</v>
      </c>
      <c r="DD753" s="317">
        <f>(SUM($AM753:$AQ753)*VLOOKUP($B753,Lifetime_morbidity_array!$A$30:$Y$48,11))+(SUM($AR753:$AS753)*VLOOKUP($B753,Lifetime_morbidity_array!$A$30:$Y$48,13))+(SUM($AT753:$AU753)*(VLOOKUP($B753,Lifetime_morbidity_array!$A$30:$Y$48,12)))</f>
        <v>41.542998043477915</v>
      </c>
      <c r="DE753" s="309"/>
      <c r="DF753" s="315">
        <f ca="1">(SUM($CN753:$CO753))-((SUM($CN753:$CO753)*VLOOKUP($B753,Lifetime_morbidity_array!$A$6:$Y$24,4))+(SUM($CN753:$CO753)*VLOOKUP($B753,Lifetime_morbidity_array!$A$6:$Y$24,7))+(SUM($CN753:$CO753)*VLOOKUP($B753,Lifetime_morbidity_array!$A$6:$Y$24,10))+(SUM($CN753:$CO753)*VLOOKUP($B753,Lifetime_morbidity_array!$A$6:$Y$24,13)))</f>
        <v>10.509112839861899</v>
      </c>
      <c r="DG753" s="316">
        <f ca="1">(SUM($CP753:$CQ753))-(((SUM($CP753:$CQ753)*VLOOKUP($B753,Lifetime_morbidity_array!$A$6:$Y$24,3))+(SUM($CP753:$CQ753)*VLOOKUP($B753,Lifetime_morbidity_array!$A$6:$Y$24,6))+(SUM($CP753:$CQ753)*VLOOKUP($B753,Lifetime_morbidity_array!$A$6:$Y$24,9))+(SUM($CP753:$CQ753)*VLOOKUP($B753,Lifetime_morbidity_array!$A$6:$Y$24,12))))</f>
        <v>52.800125429084453</v>
      </c>
      <c r="DH753" s="316">
        <f ca="1">(SUM($CI753:$CM753))-((SUM($CI753:$CM753)*VLOOKUP($B753,Lifetime_morbidity_array!$A$6:$Y$24,2))+(SUM($CI753:$CM753)*VLOOKUP($B753,Lifetime_morbidity_array!$A$6:$Y$24,5))+(SUM($CI753:$CM753)*VLOOKUP($B753,Lifetime_morbidity_array!$A$6:$Y$24,8))+(SUM($CI753:$CM753)*VLOOKUP($B753,Lifetime_morbidity_array!$A$6:$Y$24,11)))</f>
        <v>125.81225212520334</v>
      </c>
      <c r="DI753" s="316">
        <f ca="1">(SUM($CI753:$CM753)*VLOOKUP($B753,Lifetime_morbidity_array!$A$6:$Y$24,2))+(SUM($CN753:$CO753)*VLOOKUP($B753,Lifetime_morbidity_array!$A$6:$Y$24,4))+(SUM($CP753:$CQ753)*VLOOKUP($B753,Lifetime_morbidity_array!$A$6:$Y$24,3))</f>
        <v>70.605238053967582</v>
      </c>
      <c r="DJ753" s="316">
        <f ca="1">(SUM($CI753:$CM753)*VLOOKUP($B753,Lifetime_morbidity_array!$A$6:$Y$24,5))+(SUM($CN753:$CO753)*VLOOKUP($B753,Lifetime_morbidity_array!$A$6:$Y$24,7))+(SUM($CP753:$CQ753)*VLOOKUP($B753,Lifetime_morbidity_array!$A$6:$Y$24,6))</f>
        <v>30.871995465819467</v>
      </c>
      <c r="DK753" s="316">
        <f ca="1">(SUM($CI753:$CM753)*VLOOKUP($B753,Lifetime_morbidity_array!$A$6:$Y$24,8))+(SUM($CN753:$CO753)*VLOOKUP($B753,Lifetime_morbidity_array!$A$6:$Y$24,10))+(SUM($CP753:$CQ753)*VLOOKUP($B753,Lifetime_morbidity_array!$A$6:$Y$24,9))</f>
        <v>1.4429844143962869</v>
      </c>
      <c r="DL753" s="317">
        <f ca="1">(SUM($CI753:$CM753)*VLOOKUP($B753,Lifetime_morbidity_array!$A$6:$Y$24,11))+(SUM($CN753:$CO753)*VLOOKUP($B753,Lifetime_morbidity_array!$A$6:$Y$24,13))+(SUM($CP753:$CQ753)*VLOOKUP($B753,Lifetime_morbidity_array!$A$6:$Y$24,12))</f>
        <v>38.783165690095409</v>
      </c>
      <c r="DM753" s="309"/>
      <c r="DN753" s="308">
        <f t="shared" si="376"/>
        <v>87</v>
      </c>
      <c r="DO753" s="309">
        <f t="shared" ca="1" si="377"/>
        <v>31.726282989876662</v>
      </c>
      <c r="DP753" s="310">
        <f t="shared" ca="1" si="408"/>
        <v>23825.727296971043</v>
      </c>
      <c r="DQ753" s="309"/>
      <c r="DR753" s="308">
        <f t="shared" si="378"/>
        <v>87</v>
      </c>
      <c r="DS753" s="309">
        <f ca="1">((VLOOKUP($B753,'Mahawesran Tariff'!$A$21:$M$120,4)*'Comparator (DET)'!$CX753)+(VLOOKUP($B753,'Mahawesran Tariff'!$A$21:$M$120,3)*'Comparator (DET)'!$CY753)+(VLOOKUP($B753,'Mahawesran Tariff'!$A$21:$M$120,2)*'Comparator (DET)'!$CZ753)+(VLOOKUP($B753,'Mahawesran Tariff'!$A$21:$M$120,7)*'Comparator (DET)'!$DF753)+(VLOOKUP($B753,'Mahawesran Tariff'!$A$21:$M$120,6)*'Comparator (DET)'!$DG753)+(VLOOKUP($B753,'Mahawesran Tariff'!$A$21:$M$120,5)*'Comparator (DET)'!$DH753)+(DET_UTIL_chd*('Comparator (DET)'!$DA753+'Comparator (DET)'!$DI753))+(DET_UTIL_copd*('Comparator (DET)'!$DB753+'Comparator (DET)'!$DJ753))+(DET_UTIL_lc*('Comparator (DET)'!$DC753+'Comparator (DET)'!$DK753))+(DET_UTIL_stroke*('Comparator (DET)'!$DD753+'Comparator (DET)'!$DL753)))/((1+Discount_rate_QALYs)^$A753)</f>
        <v>26.077600608107886</v>
      </c>
      <c r="DT753" s="310">
        <f t="shared" ca="1" si="409"/>
        <v>23341.758263767013</v>
      </c>
      <c r="DU753" s="309"/>
      <c r="DV753" s="308">
        <f t="shared" si="379"/>
        <v>87</v>
      </c>
      <c r="DW753" s="318">
        <f t="shared" ca="1" si="380"/>
        <v>108044.04199583043</v>
      </c>
      <c r="DX753" s="319">
        <f t="shared" ca="1" si="410"/>
        <v>10946628.042904601</v>
      </c>
      <c r="DZ753" s="95">
        <f t="shared" si="381"/>
        <v>87</v>
      </c>
      <c r="EA753" s="268">
        <f t="shared" ca="1" si="331"/>
        <v>0.63274631660761749</v>
      </c>
      <c r="EB753" s="268">
        <f t="shared" ca="1" si="332"/>
        <v>0.36725368339238307</v>
      </c>
      <c r="EC753" s="268">
        <f t="shared" ca="1" si="333"/>
        <v>0.32235902313499387</v>
      </c>
      <c r="ED753" s="290">
        <f t="shared" ca="1" si="334"/>
        <v>0.33949550576581666</v>
      </c>
      <c r="EF753" s="95">
        <f t="shared" si="382"/>
        <v>87</v>
      </c>
      <c r="EG753" s="339">
        <f t="shared" ca="1" si="383"/>
        <v>108044.04199583043</v>
      </c>
      <c r="EH753" s="341">
        <f t="shared" ca="1" si="411"/>
        <v>14046759.978760684</v>
      </c>
      <c r="EJ753" s="308">
        <f t="shared" si="384"/>
        <v>87</v>
      </c>
      <c r="EK753" s="318">
        <f t="shared" ca="1" si="385"/>
        <v>108044.04199583043</v>
      </c>
      <c r="EL753" s="319">
        <f t="shared" ca="1" si="412"/>
        <v>10946628.042904601</v>
      </c>
      <c r="EN753" s="95">
        <f t="shared" si="386"/>
        <v>87</v>
      </c>
      <c r="EO753" s="339">
        <f t="shared" ca="1" si="387"/>
        <v>108044.04199583043</v>
      </c>
      <c r="EP753" s="341">
        <f t="shared" ca="1" si="413"/>
        <v>14046759.978760684</v>
      </c>
    </row>
    <row r="754" spans="1:146" s="266" customFormat="1" x14ac:dyDescent="0.25">
      <c r="A754" s="313">
        <v>88</v>
      </c>
      <c r="B754" s="314">
        <v>88</v>
      </c>
      <c r="C754" s="308">
        <f>VLOOKUP($B754,'Infant adult mortality'!$A$27:$I$128,3)</f>
        <v>3.1963524968810067E-2</v>
      </c>
      <c r="D754" s="309">
        <f t="shared" si="335"/>
        <v>0.27</v>
      </c>
      <c r="E754" s="309">
        <f>VLOOKUP($B754,'Infant pick up smoking rates'!$A$19:$I$104,3)</f>
        <v>0</v>
      </c>
      <c r="F754" s="309">
        <f t="shared" si="336"/>
        <v>0.14624098391610749</v>
      </c>
      <c r="G754" s="309">
        <f t="shared" si="337"/>
        <v>0.55179549111508241</v>
      </c>
      <c r="H754" s="309">
        <f>VLOOKUP($B754,'Infant adult mortality'!$A$27:$I$128,3)</f>
        <v>3.1963524968810067E-2</v>
      </c>
      <c r="I754" s="309">
        <f t="shared" si="338"/>
        <v>0.14000000000000001</v>
      </c>
      <c r="J754" s="309">
        <f>VLOOKUP($B754,'Infant pick up smoking rates'!$A$19:$I$104,2)</f>
        <v>0</v>
      </c>
      <c r="K754" s="309">
        <f t="shared" si="339"/>
        <v>0.14624098391610749</v>
      </c>
      <c r="L754" s="309">
        <f t="shared" si="340"/>
        <v>0.68179549111508242</v>
      </c>
      <c r="M754" s="309">
        <f>VLOOKUP($B754,'Infant adult mortality'!$A$27:$I$128,3)</f>
        <v>3.1963524968810067E-2</v>
      </c>
      <c r="N754" s="309">
        <f t="shared" si="341"/>
        <v>0.5714285714285714</v>
      </c>
      <c r="O754" s="309">
        <f>VLOOKUP($B754,'Infant pick up smoking rates'!$A$19:$I$104,2)</f>
        <v>0</v>
      </c>
      <c r="P754" s="309">
        <f t="shared" si="342"/>
        <v>0.12016234480898272</v>
      </c>
      <c r="Q754" s="309">
        <f t="shared" si="343"/>
        <v>0.27644555879363586</v>
      </c>
      <c r="R754" s="309">
        <f>VLOOKUP($B754,'Infant adult mortality'!$A$27:$I$128,3)</f>
        <v>3.1963524968810067E-2</v>
      </c>
      <c r="S754" s="309">
        <f t="shared" si="344"/>
        <v>8.6261668788331098E-3</v>
      </c>
      <c r="T754" s="309">
        <f>VLOOKUP($B754,'Infant pick up smoking rates'!$A$19:$I$104,2)</f>
        <v>0</v>
      </c>
      <c r="U754" s="309">
        <f t="shared" si="345"/>
        <v>0.12016234480898272</v>
      </c>
      <c r="V754" s="309">
        <f t="shared" si="346"/>
        <v>0.83924796334337415</v>
      </c>
      <c r="W754" s="309">
        <f>VLOOKUP($B754,'Infant adult mortality'!$A$27:$I$128,3)</f>
        <v>3.1963524968810067E-2</v>
      </c>
      <c r="X754" s="309">
        <f>VLOOKUP($B754,'Infant pick up smoking rates'!$A$19:$I$104,2)</f>
        <v>0</v>
      </c>
      <c r="Y754" s="309">
        <f t="shared" si="347"/>
        <v>0.96803647503118995</v>
      </c>
      <c r="Z754" s="309">
        <f>VLOOKUP($B754,'Infant adult mortality'!$A$27:$I$128,5)</f>
        <v>4.1461583100111277E-2</v>
      </c>
      <c r="AA754" s="309">
        <f t="shared" si="326"/>
        <v>0.25</v>
      </c>
      <c r="AB754" s="309">
        <f t="shared" si="348"/>
        <v>0.70853841689988872</v>
      </c>
      <c r="AC754" s="309">
        <f>VLOOKUP($B754,'Infant adult mortality'!$A$27:$I$128,5)</f>
        <v>4.1461583100111277E-2</v>
      </c>
      <c r="AD754" s="309">
        <f t="shared" si="327"/>
        <v>0.14000000000000001</v>
      </c>
      <c r="AE754" s="309">
        <f t="shared" si="349"/>
        <v>0.81853841689988871</v>
      </c>
      <c r="AF754" s="309">
        <f>VLOOKUP($B754,'Infant adult mortality'!$A$27:$I$128,4)</f>
        <v>3.4067885153589376E-2</v>
      </c>
      <c r="AG754" s="309">
        <f t="shared" si="328"/>
        <v>0.5714285714285714</v>
      </c>
      <c r="AH754" s="309">
        <f t="shared" si="350"/>
        <v>0.39450354341783922</v>
      </c>
      <c r="AI754" s="309">
        <f>VLOOKUP($B754,'Infant adult mortality'!$A$27:$I$128,4)</f>
        <v>3.4067885153589376E-2</v>
      </c>
      <c r="AJ754" s="309">
        <f t="shared" si="329"/>
        <v>8.6261668788331098E-3</v>
      </c>
      <c r="AK754" s="309">
        <f t="shared" si="351"/>
        <v>0.95730594796757751</v>
      </c>
      <c r="AL754" s="309"/>
      <c r="AM754" s="315">
        <f t="shared" si="388"/>
        <v>0.58263946267383193</v>
      </c>
      <c r="AN754" s="316">
        <f t="shared" si="389"/>
        <v>0.19059786708407028</v>
      </c>
      <c r="AO754" s="316">
        <f t="shared" si="390"/>
        <v>3.2235791180705235E-2</v>
      </c>
      <c r="AP754" s="316">
        <f t="shared" si="391"/>
        <v>2.4927745951100322</v>
      </c>
      <c r="AQ754" s="316">
        <f t="shared" si="392"/>
        <v>112.31959838486853</v>
      </c>
      <c r="AR754" s="316">
        <f t="shared" si="393"/>
        <v>59.096703633612037</v>
      </c>
      <c r="AS754" s="316">
        <f t="shared" si="394"/>
        <v>15.521063210961412</v>
      </c>
      <c r="AT754" s="316">
        <f t="shared" si="395"/>
        <v>2.2737731470352283</v>
      </c>
      <c r="AU754" s="316">
        <f t="shared" si="396"/>
        <v>98.79845160275589</v>
      </c>
      <c r="AV754" s="316">
        <f t="shared" si="397"/>
        <v>218.6921623047181</v>
      </c>
      <c r="AW754" s="317">
        <f t="shared" si="352"/>
        <v>509.99999999999989</v>
      </c>
      <c r="AX754" s="309"/>
      <c r="AY754" s="308">
        <f>VLOOKUP($B754,'Infant adult mortality'!$A$134:$I$234,3)</f>
        <v>2.4552560946825373E-2</v>
      </c>
      <c r="AZ754" s="309">
        <f t="shared" si="353"/>
        <v>0.27</v>
      </c>
      <c r="BA754" s="309">
        <f ca="1">VLOOKUP($B754,'Infant pick up smoking rates'!$A$19:$I$104,7)</f>
        <v>0</v>
      </c>
      <c r="BB754" s="309">
        <f t="shared" si="354"/>
        <v>0.14624098391610749</v>
      </c>
      <c r="BC754" s="309">
        <f t="shared" ca="1" si="355"/>
        <v>0.55920645513706713</v>
      </c>
      <c r="BD754" s="309">
        <f>VLOOKUP($B754,'Infant adult mortality'!$A$134:$I$234,3)</f>
        <v>2.4552560946825373E-2</v>
      </c>
      <c r="BE754" s="309">
        <f t="shared" si="356"/>
        <v>0.14000000000000001</v>
      </c>
      <c r="BF754" s="309">
        <f>VLOOKUP($B754,'Infant pick up smoking rates'!$A$19:$I$104,6)</f>
        <v>0</v>
      </c>
      <c r="BG754" s="309">
        <f t="shared" si="357"/>
        <v>0.14624098391610749</v>
      </c>
      <c r="BH754" s="309">
        <f t="shared" si="358"/>
        <v>0.68920645513706713</v>
      </c>
      <c r="BI754" s="309">
        <f>VLOOKUP($B754,'Infant adult mortality'!$A$134:$I$234,3)</f>
        <v>2.4552560946825373E-2</v>
      </c>
      <c r="BJ754" s="309">
        <f t="shared" si="359"/>
        <v>0.5714285714285714</v>
      </c>
      <c r="BK754" s="309">
        <f>VLOOKUP($B754,'Infant pick up smoking rates'!$A$19:$I$104,6)</f>
        <v>0</v>
      </c>
      <c r="BL754" s="309">
        <f t="shared" si="360"/>
        <v>0.12016234480898272</v>
      </c>
      <c r="BM754" s="309">
        <f t="shared" si="361"/>
        <v>0.28385652281562052</v>
      </c>
      <c r="BN754" s="309">
        <f>VLOOKUP($B754,'Infant adult mortality'!$A$134:$I$234,3)</f>
        <v>2.4552560946825373E-2</v>
      </c>
      <c r="BO754" s="309">
        <f t="shared" si="362"/>
        <v>8.6261668788331098E-3</v>
      </c>
      <c r="BP754" s="309">
        <f>VLOOKUP($B754,'Infant pick up smoking rates'!$A$19:$I$104,6)</f>
        <v>0</v>
      </c>
      <c r="BQ754" s="309">
        <f t="shared" si="363"/>
        <v>0.12016234480898272</v>
      </c>
      <c r="BR754" s="309">
        <f t="shared" si="364"/>
        <v>0.84665892736535886</v>
      </c>
      <c r="BS754" s="309">
        <f>VLOOKUP($B754,'Infant adult mortality'!$A$134:$I$234,3)</f>
        <v>2.4552560946825373E-2</v>
      </c>
      <c r="BT754" s="309">
        <f>VLOOKUP($B754,'Infant pick up smoking rates'!$A$19:$I$104,6)</f>
        <v>0</v>
      </c>
      <c r="BU754" s="309">
        <f t="shared" si="365"/>
        <v>0.97544743905317466</v>
      </c>
      <c r="BV754" s="309">
        <f>VLOOKUP($B754,'Infant adult mortality'!$A$134:$I$234,5)</f>
        <v>3.1848428701486999E-2</v>
      </c>
      <c r="BW754" s="309">
        <f t="shared" si="366"/>
        <v>0.27</v>
      </c>
      <c r="BX754" s="309">
        <f t="shared" si="367"/>
        <v>0.69815157129851302</v>
      </c>
      <c r="BY754" s="309">
        <f>VLOOKUP($B754,'Infant adult mortality'!$A$134:$I$234,5)</f>
        <v>3.1848428701486999E-2</v>
      </c>
      <c r="BZ754" s="309">
        <f t="shared" si="368"/>
        <v>0.14000000000000001</v>
      </c>
      <c r="CA754" s="309">
        <f t="shared" si="369"/>
        <v>0.82815157129851302</v>
      </c>
      <c r="CB754" s="309">
        <f>VLOOKUP($B754,'Infant adult mortality'!$A$134:$I$234,4)</f>
        <v>2.6169010688876154E-2</v>
      </c>
      <c r="CC754" s="309">
        <f t="shared" si="370"/>
        <v>0.5714285714285714</v>
      </c>
      <c r="CD754" s="309">
        <f t="shared" si="371"/>
        <v>0.40240241788255243</v>
      </c>
      <c r="CE754" s="309">
        <f>VLOOKUP($B754,'Infant adult mortality'!$A$134:$I$234,4)</f>
        <v>2.6169010688876154E-2</v>
      </c>
      <c r="CF754" s="309">
        <f t="shared" si="372"/>
        <v>8.6261668788331098E-3</v>
      </c>
      <c r="CG754" s="309">
        <f t="shared" si="373"/>
        <v>0.96520482243229078</v>
      </c>
      <c r="CH754" s="309"/>
      <c r="CI754" s="315">
        <f t="shared" ca="1" si="398"/>
        <v>0.87258676998217088</v>
      </c>
      <c r="CJ754" s="316">
        <f t="shared" ca="1" si="399"/>
        <v>0.28285438989667699</v>
      </c>
      <c r="CK754" s="316">
        <f t="shared" ca="1" si="400"/>
        <v>4.7431791051213937E-2</v>
      </c>
      <c r="CL754" s="316">
        <f t="shared" ca="1" si="401"/>
        <v>3.6798912541981568</v>
      </c>
      <c r="CM754" s="316">
        <f t="shared" ca="1" si="402"/>
        <v>164.66501050532139</v>
      </c>
      <c r="CN754" s="316">
        <f t="shared" ca="1" si="403"/>
        <v>49.771210724669011</v>
      </c>
      <c r="CO754" s="316">
        <f t="shared" ca="1" si="404"/>
        <v>13.982001858973018</v>
      </c>
      <c r="CP754" s="316">
        <f t="shared" ca="1" si="405"/>
        <v>2.029963696888871</v>
      </c>
      <c r="CQ754" s="316">
        <f t="shared" ca="1" si="406"/>
        <v>86.741067360482234</v>
      </c>
      <c r="CR754" s="316">
        <f t="shared" ca="1" si="407"/>
        <v>167.92798164853798</v>
      </c>
      <c r="CS754" s="317">
        <f t="shared" ca="1" si="374"/>
        <v>490.00000000000068</v>
      </c>
      <c r="CT754" s="309"/>
      <c r="CU754" s="309">
        <f t="shared" ca="1" si="375"/>
        <v>1000.0000000000006</v>
      </c>
      <c r="CV754" s="309" t="str">
        <f t="shared" ca="1" si="330"/>
        <v>OKAY</v>
      </c>
      <c r="CW754" s="309"/>
      <c r="CX754" s="315">
        <f>(SUM($AR754:$AS754))-((SUM($AR754:$AS754)*VLOOKUP($B754,Lifetime_morbidity_array!$A$30:$Y$48,4))+(SUM($AR754:$AS754)*VLOOKUP($B754,Lifetime_morbidity_array!$A$30:$Y$48,7))+(SUM($AR754:$AS754)*VLOOKUP($B754,Lifetime_morbidity_array!$A$30:$Y$48,10))+(SUM($AR754:$AS754)*VLOOKUP($B754,Lifetime_morbidity_array!$A$30:$Y$48,13)))</f>
        <v>-2.0154719770581551</v>
      </c>
      <c r="CY754" s="316">
        <f>(SUM($AT754:$AU754))-((SUM($AT754:$AU754)*(VLOOKUP($B754,Lifetime_morbidity_array!$A$30:$Y$48,3)))+(SUM($AT754:$AU754)*(VLOOKUP($B754,Lifetime_morbidity_array!$A$30:$Y$48,6)))+(SUM($AT754:$AU754)*(VLOOKUP($B754,Lifetime_morbidity_array!$A$30:$Y$48,9)))+(SUM($AT754:$AU754)*(VLOOKUP($B754,Lifetime_morbidity_array!$A$30:$Y$48,12))))</f>
        <v>45.836435349690603</v>
      </c>
      <c r="CZ754" s="316">
        <f>(SUM($AM754:$AQ754))-((SUM($AM754:$AQ754)*VLOOKUP($B754,Lifetime_morbidity_array!$A$30:$Y$48,2))+(SUM($AM754:$AQ754)*VLOOKUP($B754,Lifetime_morbidity_array!$A$30:$Y$48,5))+(SUM($AM754:$AQ754)*VLOOKUP($B754,Lifetime_morbidity_array!$A$30:$Y$48,8))+(SUM($AM754:$AQ754)*VLOOKUP($B754,Lifetime_morbidity_array!$A$30:$Y$48,11)))</f>
        <v>73.710591155611127</v>
      </c>
      <c r="DA754" s="316">
        <f>(SUM($AM754:$AQ754)*VLOOKUP($B754,Lifetime_morbidity_array!$A$30:$Y$48,2))+(SUM($AR754:$AS754)*VLOOKUP($B754,Lifetime_morbidity_array!$A$30:$Y$48,4))+(SUM($AT754:$AU754)*(VLOOKUP($B754,Lifetime_morbidity_array!$A$30:$Y$48,3)))</f>
        <v>90.029602953588125</v>
      </c>
      <c r="DB754" s="316">
        <f>(SUM($AM754:$AQ754)*VLOOKUP($B754,Lifetime_morbidity_array!$A$30:$Y$48,5))+(SUM($AR754:$AS754)*VLOOKUP($B754,Lifetime_morbidity_array!$A$30:$Y$48,7))+(SUM($AT754:$AU754)*(VLOOKUP($B754,Lifetime_morbidity_array!$A$30:$Y$48,6)))</f>
        <v>40.44192180799709</v>
      </c>
      <c r="DC754" s="316">
        <f>(SUM($AM754:$AQ754)*VLOOKUP($B754,Lifetime_morbidity_array!$A$30:$Y$48,8))+(SUM($AR754:$AS754)*VLOOKUP($B754,Lifetime_morbidity_array!$A$30:$Y$48,10))+(SUM($AT754:$AU754)*(VLOOKUP($B754,Lifetime_morbidity_array!$A$30:$Y$48,9)))</f>
        <v>3.2680828155615513</v>
      </c>
      <c r="DD754" s="317">
        <f>(SUM($AM754:$AQ754)*VLOOKUP($B754,Lifetime_morbidity_array!$A$30:$Y$48,11))+(SUM($AR754:$AS754)*VLOOKUP($B754,Lifetime_morbidity_array!$A$30:$Y$48,13))+(SUM($AT754:$AU754)*(VLOOKUP($B754,Lifetime_morbidity_array!$A$30:$Y$48,12)))</f>
        <v>40.036675589891388</v>
      </c>
      <c r="DE754" s="309"/>
      <c r="DF754" s="315">
        <f ca="1">(SUM($CN754:$CO754))-((SUM($CN754:$CO754)*VLOOKUP($B754,Lifetime_morbidity_array!$A$6:$Y$24,4))+(SUM($CN754:$CO754)*VLOOKUP($B754,Lifetime_morbidity_array!$A$6:$Y$24,7))+(SUM($CN754:$CO754)*VLOOKUP($B754,Lifetime_morbidity_array!$A$6:$Y$24,10))+(SUM($CN754:$CO754)*VLOOKUP($B754,Lifetime_morbidity_array!$A$6:$Y$24,13)))</f>
        <v>10.107722479669121</v>
      </c>
      <c r="DG754" s="316">
        <f ca="1">(SUM($CP754:$CQ754))-(((SUM($CP754:$CQ754)*VLOOKUP($B754,Lifetime_morbidity_array!$A$6:$Y$24,3))+(SUM($CP754:$CQ754)*VLOOKUP($B754,Lifetime_morbidity_array!$A$6:$Y$24,6))+(SUM($CP754:$CQ754)*VLOOKUP($B754,Lifetime_morbidity_array!$A$6:$Y$24,9))+(SUM($CP754:$CQ754)*VLOOKUP($B754,Lifetime_morbidity_array!$A$6:$Y$24,12))))</f>
        <v>51.663208975257419</v>
      </c>
      <c r="DH754" s="316">
        <f ca="1">(SUM($CI754:$CM754))-((SUM($CI754:$CM754)*VLOOKUP($B754,Lifetime_morbidity_array!$A$6:$Y$24,2))+(SUM($CI754:$CM754)*VLOOKUP($B754,Lifetime_morbidity_array!$A$6:$Y$24,5))+(SUM($CI754:$CM754)*VLOOKUP($B754,Lifetime_morbidity_array!$A$6:$Y$24,8))+(SUM($CI754:$CM754)*VLOOKUP($B754,Lifetime_morbidity_array!$A$6:$Y$24,11)))</f>
        <v>122.72323913704193</v>
      </c>
      <c r="DI754" s="316">
        <f ca="1">(SUM($CI754:$CM754)*VLOOKUP($B754,Lifetime_morbidity_array!$A$6:$Y$24,2))+(SUM($CN754:$CO754)*VLOOKUP($B754,Lifetime_morbidity_array!$A$6:$Y$24,4))+(SUM($CP754:$CQ754)*VLOOKUP($B754,Lifetime_morbidity_array!$A$6:$Y$24,3))</f>
        <v>68.599930122067349</v>
      </c>
      <c r="DJ754" s="316">
        <f ca="1">(SUM($CI754:$CM754)*VLOOKUP($B754,Lifetime_morbidity_array!$A$6:$Y$24,5))+(SUM($CN754:$CO754)*VLOOKUP($B754,Lifetime_morbidity_array!$A$6:$Y$24,7))+(SUM($CP754:$CQ754)*VLOOKUP($B754,Lifetime_morbidity_array!$A$6:$Y$24,6))</f>
        <v>29.875586172607264</v>
      </c>
      <c r="DK754" s="316">
        <f ca="1">(SUM($CI754:$CM754)*VLOOKUP($B754,Lifetime_morbidity_array!$A$6:$Y$24,8))+(SUM($CN754:$CO754)*VLOOKUP($B754,Lifetime_morbidity_array!$A$6:$Y$24,10))+(SUM($CP754:$CQ754)*VLOOKUP($B754,Lifetime_morbidity_array!$A$6:$Y$24,9))</f>
        <v>1.3954665255365581</v>
      </c>
      <c r="DL754" s="317">
        <f ca="1">(SUM($CI754:$CM754)*VLOOKUP($B754,Lifetime_morbidity_array!$A$6:$Y$24,11))+(SUM($CN754:$CO754)*VLOOKUP($B754,Lifetime_morbidity_array!$A$6:$Y$24,13))+(SUM($CP754:$CQ754)*VLOOKUP($B754,Lifetime_morbidity_array!$A$6:$Y$24,12))</f>
        <v>37.706864939283086</v>
      </c>
      <c r="DM754" s="309"/>
      <c r="DN754" s="308">
        <f t="shared" si="376"/>
        <v>88</v>
      </c>
      <c r="DO754" s="309">
        <f t="shared" ca="1" si="377"/>
        <v>29.715204777603038</v>
      </c>
      <c r="DP754" s="310">
        <f t="shared" ca="1" si="408"/>
        <v>23855.442501748646</v>
      </c>
      <c r="DQ754" s="309"/>
      <c r="DR754" s="308">
        <f t="shared" si="378"/>
        <v>88</v>
      </c>
      <c r="DS754" s="309">
        <f ca="1">((VLOOKUP($B754,'Mahawesran Tariff'!$A$21:$M$120,4)*'Comparator (DET)'!$CX754)+(VLOOKUP($B754,'Mahawesran Tariff'!$A$21:$M$120,3)*'Comparator (DET)'!$CY754)+(VLOOKUP($B754,'Mahawesran Tariff'!$A$21:$M$120,2)*'Comparator (DET)'!$CZ754)+(VLOOKUP($B754,'Mahawesran Tariff'!$A$21:$M$120,7)*'Comparator (DET)'!$DF754)+(VLOOKUP($B754,'Mahawesran Tariff'!$A$21:$M$120,6)*'Comparator (DET)'!$DG754)+(VLOOKUP($B754,'Mahawesran Tariff'!$A$21:$M$120,5)*'Comparator (DET)'!$DH754)+(DET_UTIL_chd*('Comparator (DET)'!$DA754+'Comparator (DET)'!$DI754))+(DET_UTIL_copd*('Comparator (DET)'!$DB754+'Comparator (DET)'!$DJ754))+(DET_UTIL_lc*('Comparator (DET)'!$DC754+'Comparator (DET)'!$DK754))+(DET_UTIL_stroke*('Comparator (DET)'!$DD754+'Comparator (DET)'!$DL754)))/((1+Discount_rate_QALYs)^$A754)</f>
        <v>24.434950855364967</v>
      </c>
      <c r="DT754" s="310">
        <f t="shared" ca="1" si="409"/>
        <v>23366.193214622377</v>
      </c>
      <c r="DU754" s="309"/>
      <c r="DV754" s="308">
        <f t="shared" si="379"/>
        <v>88</v>
      </c>
      <c r="DW754" s="318">
        <f t="shared" ca="1" si="380"/>
        <v>100984.28964619884</v>
      </c>
      <c r="DX754" s="319">
        <f t="shared" ca="1" si="410"/>
        <v>11047612.332550799</v>
      </c>
      <c r="DZ754" s="95">
        <f t="shared" si="381"/>
        <v>88</v>
      </c>
      <c r="EA754" s="268">
        <f t="shared" ca="1" si="331"/>
        <v>0.61337985604674439</v>
      </c>
      <c r="EB754" s="268">
        <f t="shared" ca="1" si="332"/>
        <v>0.38662014395325606</v>
      </c>
      <c r="EC754" s="268">
        <f t="shared" ca="1" si="333"/>
        <v>0.31135413092653241</v>
      </c>
      <c r="ED754" s="290">
        <f t="shared" ca="1" si="334"/>
        <v>0.32821423523537774</v>
      </c>
      <c r="EF754" s="95">
        <f t="shared" si="382"/>
        <v>88</v>
      </c>
      <c r="EG754" s="339">
        <f t="shared" ca="1" si="383"/>
        <v>100984.28964619884</v>
      </c>
      <c r="EH754" s="341">
        <f t="shared" ca="1" si="411"/>
        <v>14147744.268406883</v>
      </c>
      <c r="EJ754" s="308">
        <f t="shared" si="384"/>
        <v>88</v>
      </c>
      <c r="EK754" s="318">
        <f t="shared" ca="1" si="385"/>
        <v>100984.28964619884</v>
      </c>
      <c r="EL754" s="319">
        <f t="shared" ca="1" si="412"/>
        <v>11047612.332550799</v>
      </c>
      <c r="EN754" s="95">
        <f t="shared" si="386"/>
        <v>88</v>
      </c>
      <c r="EO754" s="339">
        <f t="shared" ca="1" si="387"/>
        <v>100984.28964619884</v>
      </c>
      <c r="EP754" s="341">
        <f t="shared" ca="1" si="413"/>
        <v>14147744.268406883</v>
      </c>
    </row>
    <row r="755" spans="1:146" s="266" customFormat="1" x14ac:dyDescent="0.25">
      <c r="A755" s="313">
        <v>89</v>
      </c>
      <c r="B755" s="314">
        <v>89</v>
      </c>
      <c r="C755" s="308">
        <f>VLOOKUP($B755,'Infant adult mortality'!$A$27:$I$128,3)</f>
        <v>3.5093400883433927E-2</v>
      </c>
      <c r="D755" s="309">
        <f t="shared" si="335"/>
        <v>0.27</v>
      </c>
      <c r="E755" s="309">
        <f>VLOOKUP($B755,'Infant pick up smoking rates'!$A$19:$I$104,3)</f>
        <v>0</v>
      </c>
      <c r="F755" s="309">
        <f t="shared" si="336"/>
        <v>0.14624098391610749</v>
      </c>
      <c r="G755" s="309">
        <f t="shared" si="337"/>
        <v>0.54866561520045853</v>
      </c>
      <c r="H755" s="309">
        <f>VLOOKUP($B755,'Infant adult mortality'!$A$27:$I$128,3)</f>
        <v>3.5093400883433927E-2</v>
      </c>
      <c r="I755" s="309">
        <f t="shared" si="338"/>
        <v>0.14000000000000001</v>
      </c>
      <c r="J755" s="309">
        <f>VLOOKUP($B755,'Infant pick up smoking rates'!$A$19:$I$104,2)</f>
        <v>0</v>
      </c>
      <c r="K755" s="309">
        <f t="shared" si="339"/>
        <v>0.14624098391610749</v>
      </c>
      <c r="L755" s="309">
        <f t="shared" si="340"/>
        <v>0.67866561520045854</v>
      </c>
      <c r="M755" s="309">
        <f>VLOOKUP($B755,'Infant adult mortality'!$A$27:$I$128,3)</f>
        <v>3.5093400883433927E-2</v>
      </c>
      <c r="N755" s="309">
        <f t="shared" si="341"/>
        <v>0.5714285714285714</v>
      </c>
      <c r="O755" s="309">
        <f>VLOOKUP($B755,'Infant pick up smoking rates'!$A$19:$I$104,2)</f>
        <v>0</v>
      </c>
      <c r="P755" s="309">
        <f t="shared" si="342"/>
        <v>0.12016234480898272</v>
      </c>
      <c r="Q755" s="309">
        <f t="shared" si="343"/>
        <v>0.27331568287901198</v>
      </c>
      <c r="R755" s="309">
        <f>VLOOKUP($B755,'Infant adult mortality'!$A$27:$I$128,3)</f>
        <v>3.5093400883433927E-2</v>
      </c>
      <c r="S755" s="309">
        <f t="shared" si="344"/>
        <v>8.6261668788331098E-3</v>
      </c>
      <c r="T755" s="309">
        <f>VLOOKUP($B755,'Infant pick up smoking rates'!$A$19:$I$104,2)</f>
        <v>0</v>
      </c>
      <c r="U755" s="309">
        <f t="shared" si="345"/>
        <v>0.12016234480898272</v>
      </c>
      <c r="V755" s="309">
        <f t="shared" si="346"/>
        <v>0.83611808742875027</v>
      </c>
      <c r="W755" s="309">
        <f>VLOOKUP($B755,'Infant adult mortality'!$A$27:$I$128,3)</f>
        <v>3.5093400883433927E-2</v>
      </c>
      <c r="X755" s="309">
        <f>VLOOKUP($B755,'Infant pick up smoking rates'!$A$19:$I$104,2)</f>
        <v>0</v>
      </c>
      <c r="Y755" s="309">
        <f t="shared" si="347"/>
        <v>0.96490659911656607</v>
      </c>
      <c r="Z755" s="309">
        <f>VLOOKUP($B755,'Infant adult mortality'!$A$27:$I$128,5)</f>
        <v>4.5521511110361797E-2</v>
      </c>
      <c r="AA755" s="309">
        <f t="shared" si="326"/>
        <v>0.25</v>
      </c>
      <c r="AB755" s="309">
        <f t="shared" si="348"/>
        <v>0.70447848888963815</v>
      </c>
      <c r="AC755" s="309">
        <f>VLOOKUP($B755,'Infant adult mortality'!$A$27:$I$128,5)</f>
        <v>4.5521511110361797E-2</v>
      </c>
      <c r="AD755" s="309">
        <f t="shared" si="327"/>
        <v>0.14000000000000001</v>
      </c>
      <c r="AE755" s="309">
        <f t="shared" si="349"/>
        <v>0.81447848888963814</v>
      </c>
      <c r="AF755" s="309">
        <f>VLOOKUP($B755,'Infant adult mortality'!$A$27:$I$128,4)</f>
        <v>3.7403820514549685E-2</v>
      </c>
      <c r="AG755" s="309">
        <f t="shared" si="328"/>
        <v>0.5714285714285714</v>
      </c>
      <c r="AH755" s="309">
        <f t="shared" si="350"/>
        <v>0.39116760805687889</v>
      </c>
      <c r="AI755" s="309">
        <f>VLOOKUP($B755,'Infant adult mortality'!$A$27:$I$128,4)</f>
        <v>3.7403820514549685E-2</v>
      </c>
      <c r="AJ755" s="309">
        <f t="shared" si="329"/>
        <v>8.6261668788331098E-3</v>
      </c>
      <c r="AK755" s="309">
        <f t="shared" si="351"/>
        <v>0.95397001260661718</v>
      </c>
      <c r="AL755" s="309"/>
      <c r="AM755" s="315">
        <f t="shared" si="388"/>
        <v>0.47934009487694285</v>
      </c>
      <c r="AN755" s="316">
        <f t="shared" si="389"/>
        <v>0.15731265492193464</v>
      </c>
      <c r="AO755" s="316">
        <f t="shared" si="390"/>
        <v>2.6683701391769843E-2</v>
      </c>
      <c r="AP755" s="316">
        <f t="shared" si="391"/>
        <v>2.1026743789576376</v>
      </c>
      <c r="AQ755" s="316">
        <f t="shared" si="392"/>
        <v>108.79441184827023</v>
      </c>
      <c r="AR755" s="316">
        <f t="shared" si="393"/>
        <v>56.015606918275623</v>
      </c>
      <c r="AS755" s="316">
        <f t="shared" si="394"/>
        <v>14.774175908403009</v>
      </c>
      <c r="AT755" s="316">
        <f t="shared" si="395"/>
        <v>2.1729488495345977</v>
      </c>
      <c r="AU755" s="316">
        <f t="shared" si="396"/>
        <v>95.550059062158283</v>
      </c>
      <c r="AV755" s="316">
        <f t="shared" si="397"/>
        <v>229.92678658320978</v>
      </c>
      <c r="AW755" s="317">
        <f t="shared" si="352"/>
        <v>509.99999999999983</v>
      </c>
      <c r="AX755" s="309"/>
      <c r="AY755" s="308">
        <f>VLOOKUP($B755,'Infant adult mortality'!$A$134:$I$234,3)</f>
        <v>2.7264115723100786E-2</v>
      </c>
      <c r="AZ755" s="309">
        <f t="shared" si="353"/>
        <v>0.27</v>
      </c>
      <c r="BA755" s="309">
        <f ca="1">VLOOKUP($B755,'Infant pick up smoking rates'!$A$19:$I$104,7)</f>
        <v>0</v>
      </c>
      <c r="BB755" s="309">
        <f t="shared" si="354"/>
        <v>0.14624098391610749</v>
      </c>
      <c r="BC755" s="309">
        <f t="shared" ca="1" si="355"/>
        <v>0.55649490036079163</v>
      </c>
      <c r="BD755" s="309">
        <f>VLOOKUP($B755,'Infant adult mortality'!$A$134:$I$234,3)</f>
        <v>2.7264115723100786E-2</v>
      </c>
      <c r="BE755" s="309">
        <f t="shared" si="356"/>
        <v>0.14000000000000001</v>
      </c>
      <c r="BF755" s="309">
        <f>VLOOKUP($B755,'Infant pick up smoking rates'!$A$19:$I$104,6)</f>
        <v>0</v>
      </c>
      <c r="BG755" s="309">
        <f t="shared" si="357"/>
        <v>0.14624098391610749</v>
      </c>
      <c r="BH755" s="309">
        <f t="shared" si="358"/>
        <v>0.68649490036079164</v>
      </c>
      <c r="BI755" s="309">
        <f>VLOOKUP($B755,'Infant adult mortality'!$A$134:$I$234,3)</f>
        <v>2.7264115723100786E-2</v>
      </c>
      <c r="BJ755" s="309">
        <f t="shared" si="359"/>
        <v>0.5714285714285714</v>
      </c>
      <c r="BK755" s="309">
        <f>VLOOKUP($B755,'Infant pick up smoking rates'!$A$19:$I$104,6)</f>
        <v>0</v>
      </c>
      <c r="BL755" s="309">
        <f t="shared" si="360"/>
        <v>0.12016234480898272</v>
      </c>
      <c r="BM755" s="309">
        <f t="shared" si="361"/>
        <v>0.28114496803934513</v>
      </c>
      <c r="BN755" s="309">
        <f>VLOOKUP($B755,'Infant adult mortality'!$A$134:$I$234,3)</f>
        <v>2.7264115723100786E-2</v>
      </c>
      <c r="BO755" s="309">
        <f t="shared" si="362"/>
        <v>8.6261668788331098E-3</v>
      </c>
      <c r="BP755" s="309">
        <f>VLOOKUP($B755,'Infant pick up smoking rates'!$A$19:$I$104,6)</f>
        <v>0</v>
      </c>
      <c r="BQ755" s="309">
        <f t="shared" si="363"/>
        <v>0.12016234480898272</v>
      </c>
      <c r="BR755" s="309">
        <f t="shared" si="364"/>
        <v>0.84394737258908337</v>
      </c>
      <c r="BS755" s="309">
        <f>VLOOKUP($B755,'Infant adult mortality'!$A$134:$I$234,3)</f>
        <v>2.7264115723100786E-2</v>
      </c>
      <c r="BT755" s="309">
        <f>VLOOKUP($B755,'Infant pick up smoking rates'!$A$19:$I$104,6)</f>
        <v>0</v>
      </c>
      <c r="BU755" s="309">
        <f t="shared" si="365"/>
        <v>0.97273588427689917</v>
      </c>
      <c r="BV755" s="309">
        <f>VLOOKUP($B755,'Infant adult mortality'!$A$134:$I$234,5)</f>
        <v>3.536573018174461E-2</v>
      </c>
      <c r="BW755" s="309">
        <f t="shared" si="366"/>
        <v>0.27</v>
      </c>
      <c r="BX755" s="309">
        <f t="shared" si="367"/>
        <v>0.69463426981825538</v>
      </c>
      <c r="BY755" s="309">
        <f>VLOOKUP($B755,'Infant adult mortality'!$A$134:$I$234,5)</f>
        <v>3.536573018174461E-2</v>
      </c>
      <c r="BZ755" s="309">
        <f t="shared" si="368"/>
        <v>0.14000000000000001</v>
      </c>
      <c r="CA755" s="309">
        <f t="shared" si="369"/>
        <v>0.82463426981825538</v>
      </c>
      <c r="CB755" s="309">
        <f>VLOOKUP($B755,'Infant adult mortality'!$A$134:$I$234,4)</f>
        <v>2.9059084195973972E-2</v>
      </c>
      <c r="CC755" s="309">
        <f t="shared" si="370"/>
        <v>0.5714285714285714</v>
      </c>
      <c r="CD755" s="309">
        <f t="shared" si="371"/>
        <v>0.39951234437545463</v>
      </c>
      <c r="CE755" s="309">
        <f>VLOOKUP($B755,'Infant adult mortality'!$A$134:$I$234,4)</f>
        <v>2.9059084195973972E-2</v>
      </c>
      <c r="CF755" s="309">
        <f t="shared" si="372"/>
        <v>8.6261668788331098E-3</v>
      </c>
      <c r="CG755" s="309">
        <f t="shared" si="373"/>
        <v>0.96231474892519286</v>
      </c>
      <c r="CH755" s="309"/>
      <c r="CI755" s="315">
        <f t="shared" ca="1" si="398"/>
        <v>0.72484674925991921</v>
      </c>
      <c r="CJ755" s="316">
        <f t="shared" ca="1" si="399"/>
        <v>0.23559842789518615</v>
      </c>
      <c r="CK755" s="316">
        <f t="shared" ca="1" si="400"/>
        <v>3.9599614585534786E-2</v>
      </c>
      <c r="CL755" s="316">
        <f t="shared" ca="1" si="401"/>
        <v>3.1327384359947748</v>
      </c>
      <c r="CM755" s="316">
        <f t="shared" ca="1" si="402"/>
        <v>160.79242133241425</v>
      </c>
      <c r="CN755" s="316">
        <f t="shared" ca="1" si="403"/>
        <v>47.662064991113446</v>
      </c>
      <c r="CO755" s="316">
        <f t="shared" ca="1" si="404"/>
        <v>13.438226895660634</v>
      </c>
      <c r="CP755" s="316">
        <f t="shared" ca="1" si="405"/>
        <v>1.9574802602562227</v>
      </c>
      <c r="CQ755" s="316">
        <f t="shared" ca="1" si="406"/>
        <v>84.632187713870778</v>
      </c>
      <c r="CR755" s="316">
        <f t="shared" ca="1" si="407"/>
        <v>177.38483557894997</v>
      </c>
      <c r="CS755" s="317">
        <f t="shared" ca="1" si="374"/>
        <v>490.00000000000068</v>
      </c>
      <c r="CT755" s="309"/>
      <c r="CU755" s="309">
        <f t="shared" ca="1" si="375"/>
        <v>1000.0000000000005</v>
      </c>
      <c r="CV755" s="309" t="str">
        <f t="shared" ca="1" si="330"/>
        <v>OKAY</v>
      </c>
      <c r="CW755" s="309"/>
      <c r="CX755" s="315">
        <f>(SUM($AR755:$AS755))-((SUM($AR755:$AS755)*VLOOKUP($B755,Lifetime_morbidity_array!$A$30:$Y$48,4))+(SUM($AR755:$AS755)*VLOOKUP($B755,Lifetime_morbidity_array!$A$30:$Y$48,7))+(SUM($AR755:$AS755)*VLOOKUP($B755,Lifetime_morbidity_array!$A$30:$Y$48,10))+(SUM($AR755:$AS755)*VLOOKUP($B755,Lifetime_morbidity_array!$A$30:$Y$48,13)))</f>
        <v>-1.9120757640253601</v>
      </c>
      <c r="CY755" s="316">
        <f>(SUM($AT755:$AU755))-((SUM($AT755:$AU755)*(VLOOKUP($B755,Lifetime_morbidity_array!$A$30:$Y$48,3)))+(SUM($AT755:$AU755)*(VLOOKUP($B755,Lifetime_morbidity_array!$A$30:$Y$48,6)))+(SUM($AT755:$AU755)*(VLOOKUP($B755,Lifetime_morbidity_array!$A$30:$Y$48,9)))+(SUM($AT755:$AU755)*(VLOOKUP($B755,Lifetime_morbidity_array!$A$30:$Y$48,12))))</f>
        <v>44.317559501735133</v>
      </c>
      <c r="CZ755" s="316">
        <f>(SUM($AM755:$AQ755))-((SUM($AM755:$AQ755)*VLOOKUP($B755,Lifetime_morbidity_array!$A$30:$Y$48,2))+(SUM($AM755:$AQ755)*VLOOKUP($B755,Lifetime_morbidity_array!$A$30:$Y$48,5))+(SUM($AM755:$AQ755)*VLOOKUP($B755,Lifetime_morbidity_array!$A$30:$Y$48,8))+(SUM($AM755:$AQ755)*VLOOKUP($B755,Lifetime_morbidity_array!$A$30:$Y$48,11)))</f>
        <v>71.123835830832377</v>
      </c>
      <c r="DA755" s="316">
        <f>(SUM($AM755:$AQ755)*VLOOKUP($B755,Lifetime_morbidity_array!$A$30:$Y$48,2))+(SUM($AR755:$AS755)*VLOOKUP($B755,Lifetime_morbidity_array!$A$30:$Y$48,4))+(SUM($AT755:$AU755)*(VLOOKUP($B755,Lifetime_morbidity_array!$A$30:$Y$48,3)))</f>
        <v>86.386046229247214</v>
      </c>
      <c r="DB755" s="316">
        <f>(SUM($AM755:$AQ755)*VLOOKUP($B755,Lifetime_morbidity_array!$A$30:$Y$48,5))+(SUM($AR755:$AS755)*VLOOKUP($B755,Lifetime_morbidity_array!$A$30:$Y$48,7))+(SUM($AT755:$AU755)*(VLOOKUP($B755,Lifetime_morbidity_array!$A$30:$Y$48,6)))</f>
        <v>38.592531479493459</v>
      </c>
      <c r="DC755" s="316">
        <f>(SUM($AM755:$AQ755)*VLOOKUP($B755,Lifetime_morbidity_array!$A$30:$Y$48,8))+(SUM($AR755:$AS755)*VLOOKUP($B755,Lifetime_morbidity_array!$A$30:$Y$48,10))+(SUM($AT755:$AU755)*(VLOOKUP($B755,Lifetime_morbidity_array!$A$30:$Y$48,9)))</f>
        <v>3.1187594831439927</v>
      </c>
      <c r="DD755" s="317">
        <f>(SUM($AM755:$AQ755)*VLOOKUP($B755,Lifetime_morbidity_array!$A$30:$Y$48,11))+(SUM($AR755:$AS755)*VLOOKUP($B755,Lifetime_morbidity_array!$A$30:$Y$48,13))+(SUM($AT755:$AU755)*(VLOOKUP($B755,Lifetime_morbidity_array!$A$30:$Y$48,12)))</f>
        <v>38.446556656363214</v>
      </c>
      <c r="DE755" s="309"/>
      <c r="DF755" s="315">
        <f ca="1">(SUM($CN755:$CO755))-((SUM($CN755:$CO755)*VLOOKUP($B755,Lifetime_morbidity_array!$A$6:$Y$24,4))+(SUM($CN755:$CO755)*VLOOKUP($B755,Lifetime_morbidity_array!$A$6:$Y$24,7))+(SUM($CN755:$CO755)*VLOOKUP($B755,Lifetime_morbidity_array!$A$6:$Y$24,10))+(SUM($CN755:$CO755)*VLOOKUP($B755,Lifetime_morbidity_array!$A$6:$Y$24,13)))</f>
        <v>9.6871164415133038</v>
      </c>
      <c r="DG755" s="316">
        <f ca="1">(SUM($CP755:$CQ755))-(((SUM($CP755:$CQ755)*VLOOKUP($B755,Lifetime_morbidity_array!$A$6:$Y$24,3))+(SUM($CP755:$CQ755)*VLOOKUP($B755,Lifetime_morbidity_array!$A$6:$Y$24,6))+(SUM($CP755:$CQ755)*VLOOKUP($B755,Lifetime_morbidity_array!$A$6:$Y$24,9))+(SUM($CP755:$CQ755)*VLOOKUP($B755,Lifetime_morbidity_array!$A$6:$Y$24,12))))</f>
        <v>50.393693284404186</v>
      </c>
      <c r="DH755" s="316">
        <f ca="1">(SUM($CI755:$CM755))-((SUM($CI755:$CM755)*VLOOKUP($B755,Lifetime_morbidity_array!$A$6:$Y$24,2))+(SUM($CI755:$CM755)*VLOOKUP($B755,Lifetime_morbidity_array!$A$6:$Y$24,5))+(SUM($CI755:$CM755)*VLOOKUP($B755,Lifetime_morbidity_array!$A$6:$Y$24,8))+(SUM($CI755:$CM755)*VLOOKUP($B755,Lifetime_morbidity_array!$A$6:$Y$24,11)))</f>
        <v>119.37729854329584</v>
      </c>
      <c r="DI755" s="316">
        <f ca="1">(SUM($CI755:$CM755)*VLOOKUP($B755,Lifetime_morbidity_array!$A$6:$Y$24,2))+(SUM($CN755:$CO755)*VLOOKUP($B755,Lifetime_morbidity_array!$A$6:$Y$24,4))+(SUM($CP755:$CQ755)*VLOOKUP($B755,Lifetime_morbidity_array!$A$6:$Y$24,3))</f>
        <v>66.446859594638369</v>
      </c>
      <c r="DJ755" s="316">
        <f ca="1">(SUM($CI755:$CM755)*VLOOKUP($B755,Lifetime_morbidity_array!$A$6:$Y$24,5))+(SUM($CN755:$CO755)*VLOOKUP($B755,Lifetime_morbidity_array!$A$6:$Y$24,7))+(SUM($CP755:$CQ755)*VLOOKUP($B755,Lifetime_morbidity_array!$A$6:$Y$24,6))</f>
        <v>28.816080306976733</v>
      </c>
      <c r="DK755" s="316">
        <f ca="1">(SUM($CI755:$CM755)*VLOOKUP($B755,Lifetime_morbidity_array!$A$6:$Y$24,8))+(SUM($CN755:$CO755)*VLOOKUP($B755,Lifetime_morbidity_array!$A$6:$Y$24,10))+(SUM($CP755:$CQ755)*VLOOKUP($B755,Lifetime_morbidity_array!$A$6:$Y$24,9))</f>
        <v>1.3450368116650364</v>
      </c>
      <c r="DL755" s="317">
        <f ca="1">(SUM($CI755:$CM755)*VLOOKUP($B755,Lifetime_morbidity_array!$A$6:$Y$24,11))+(SUM($CN755:$CO755)*VLOOKUP($B755,Lifetime_morbidity_array!$A$6:$Y$24,13))+(SUM($CP755:$CQ755)*VLOOKUP($B755,Lifetime_morbidity_array!$A$6:$Y$24,12))</f>
        <v>36.549079438557271</v>
      </c>
      <c r="DM755" s="309"/>
      <c r="DN755" s="308">
        <f t="shared" si="376"/>
        <v>89</v>
      </c>
      <c r="DO755" s="309">
        <f t="shared" ca="1" si="377"/>
        <v>27.741841082442267</v>
      </c>
      <c r="DP755" s="310">
        <f t="shared" ca="1" si="408"/>
        <v>23883.184342831089</v>
      </c>
      <c r="DQ755" s="309"/>
      <c r="DR755" s="308">
        <f t="shared" si="378"/>
        <v>89</v>
      </c>
      <c r="DS755" s="309">
        <f ca="1">((VLOOKUP($B755,'Mahawesran Tariff'!$A$21:$M$120,4)*'Comparator (DET)'!$CX755)+(VLOOKUP($B755,'Mahawesran Tariff'!$A$21:$M$120,3)*'Comparator (DET)'!$CY755)+(VLOOKUP($B755,'Mahawesran Tariff'!$A$21:$M$120,2)*'Comparator (DET)'!$CZ755)+(VLOOKUP($B755,'Mahawesran Tariff'!$A$21:$M$120,7)*'Comparator (DET)'!$DF755)+(VLOOKUP($B755,'Mahawesran Tariff'!$A$21:$M$120,6)*'Comparator (DET)'!$DG755)+(VLOOKUP($B755,'Mahawesran Tariff'!$A$21:$M$120,5)*'Comparator (DET)'!$DH755)+(DET_UTIL_chd*('Comparator (DET)'!$DA755+'Comparator (DET)'!$DI755))+(DET_UTIL_copd*('Comparator (DET)'!$DB755+'Comparator (DET)'!$DJ755))+(DET_UTIL_lc*('Comparator (DET)'!$DC755+'Comparator (DET)'!$DK755))+(DET_UTIL_stroke*('Comparator (DET)'!$DD755+'Comparator (DET)'!$DL755)))/((1+Discount_rate_QALYs)^$A755)</f>
        <v>22.822384676616451</v>
      </c>
      <c r="DT755" s="310">
        <f t="shared" ca="1" si="409"/>
        <v>23389.015599298993</v>
      </c>
      <c r="DU755" s="309"/>
      <c r="DV755" s="308">
        <f t="shared" si="379"/>
        <v>89</v>
      </c>
      <c r="DW755" s="318">
        <f t="shared" ca="1" si="380"/>
        <v>94072.031112346463</v>
      </c>
      <c r="DX755" s="319">
        <f t="shared" ca="1" si="410"/>
        <v>11141684.363663146</v>
      </c>
      <c r="DZ755" s="95">
        <f t="shared" si="381"/>
        <v>89</v>
      </c>
      <c r="EA755" s="268">
        <f t="shared" ca="1" si="331"/>
        <v>0.59268837783784079</v>
      </c>
      <c r="EB755" s="268">
        <f t="shared" ca="1" si="332"/>
        <v>0.40731162216215977</v>
      </c>
      <c r="EC755" s="268">
        <f t="shared" ca="1" si="333"/>
        <v>0.29970095000008529</v>
      </c>
      <c r="ED755" s="290">
        <f t="shared" ca="1" si="334"/>
        <v>0.31620275059927255</v>
      </c>
      <c r="EF755" s="95">
        <f t="shared" si="382"/>
        <v>89</v>
      </c>
      <c r="EG755" s="339">
        <f t="shared" ca="1" si="383"/>
        <v>94072.031112346463</v>
      </c>
      <c r="EH755" s="341">
        <f t="shared" ca="1" si="411"/>
        <v>14241816.29951923</v>
      </c>
      <c r="EJ755" s="308">
        <f t="shared" si="384"/>
        <v>89</v>
      </c>
      <c r="EK755" s="318">
        <f t="shared" ca="1" si="385"/>
        <v>94072.031112346463</v>
      </c>
      <c r="EL755" s="319">
        <f t="shared" ca="1" si="412"/>
        <v>11141684.363663146</v>
      </c>
      <c r="EN755" s="95">
        <f t="shared" si="386"/>
        <v>89</v>
      </c>
      <c r="EO755" s="339">
        <f t="shared" ca="1" si="387"/>
        <v>94072.031112346463</v>
      </c>
      <c r="EP755" s="341">
        <f t="shared" ca="1" si="413"/>
        <v>14241816.29951923</v>
      </c>
    </row>
    <row r="756" spans="1:146" s="266" customFormat="1" x14ac:dyDescent="0.25">
      <c r="A756" s="313">
        <v>90</v>
      </c>
      <c r="B756" s="314">
        <v>90</v>
      </c>
      <c r="C756" s="308">
        <f>VLOOKUP($B756,'Infant adult mortality'!$A$27:$I$128,3)</f>
        <v>3.8455414236099404E-2</v>
      </c>
      <c r="D756" s="309">
        <f t="shared" si="335"/>
        <v>0.27</v>
      </c>
      <c r="E756" s="309">
        <f>VLOOKUP($B756,'Infant pick up smoking rates'!$A$19:$I$104,3)</f>
        <v>0</v>
      </c>
      <c r="F756" s="309">
        <f t="shared" si="336"/>
        <v>0.14624098391610749</v>
      </c>
      <c r="G756" s="309">
        <f t="shared" si="337"/>
        <v>0.54530360184779303</v>
      </c>
      <c r="H756" s="309">
        <f>VLOOKUP($B756,'Infant adult mortality'!$A$27:$I$128,3)</f>
        <v>3.8455414236099404E-2</v>
      </c>
      <c r="I756" s="309">
        <f t="shared" si="338"/>
        <v>0.14000000000000001</v>
      </c>
      <c r="J756" s="309">
        <f>VLOOKUP($B756,'Infant pick up smoking rates'!$A$19:$I$104,2)</f>
        <v>0</v>
      </c>
      <c r="K756" s="309">
        <f t="shared" si="339"/>
        <v>0.14624098391610749</v>
      </c>
      <c r="L756" s="309">
        <f t="shared" si="340"/>
        <v>0.67530360184779303</v>
      </c>
      <c r="M756" s="309">
        <f>VLOOKUP($B756,'Infant adult mortality'!$A$27:$I$128,3)</f>
        <v>3.8455414236099404E-2</v>
      </c>
      <c r="N756" s="309">
        <f t="shared" si="341"/>
        <v>0.5714285714285714</v>
      </c>
      <c r="O756" s="309">
        <f>VLOOKUP($B756,'Infant pick up smoking rates'!$A$19:$I$104,2)</f>
        <v>0</v>
      </c>
      <c r="P756" s="309">
        <f t="shared" si="342"/>
        <v>0.12016234480898272</v>
      </c>
      <c r="Q756" s="309">
        <f t="shared" si="343"/>
        <v>0.26995366952634653</v>
      </c>
      <c r="R756" s="309">
        <f>VLOOKUP($B756,'Infant adult mortality'!$A$27:$I$128,3)</f>
        <v>3.8455414236099404E-2</v>
      </c>
      <c r="S756" s="309">
        <f t="shared" si="344"/>
        <v>8.6261668788331098E-3</v>
      </c>
      <c r="T756" s="309">
        <f>VLOOKUP($B756,'Infant pick up smoking rates'!$A$19:$I$104,2)</f>
        <v>0</v>
      </c>
      <c r="U756" s="309">
        <f t="shared" si="345"/>
        <v>0.12016234480898272</v>
      </c>
      <c r="V756" s="309">
        <f t="shared" si="346"/>
        <v>0.83275607407608476</v>
      </c>
      <c r="W756" s="309">
        <f>VLOOKUP($B756,'Infant adult mortality'!$A$27:$I$128,3)</f>
        <v>3.8455414236099404E-2</v>
      </c>
      <c r="X756" s="309">
        <f>VLOOKUP($B756,'Infant pick up smoking rates'!$A$19:$I$104,2)</f>
        <v>0</v>
      </c>
      <c r="Y756" s="309">
        <f t="shared" si="347"/>
        <v>0.96154458576390056</v>
      </c>
      <c r="Z756" s="309">
        <f>VLOOKUP($B756,'Infant adult mortality'!$A$27:$I$128,5)</f>
        <v>4.9882556900563105E-2</v>
      </c>
      <c r="AA756" s="309">
        <f t="shared" si="326"/>
        <v>0.25</v>
      </c>
      <c r="AB756" s="309">
        <f t="shared" si="348"/>
        <v>0.70011744309943691</v>
      </c>
      <c r="AC756" s="309">
        <f>VLOOKUP($B756,'Infant adult mortality'!$A$27:$I$128,5)</f>
        <v>4.9882556900563105E-2</v>
      </c>
      <c r="AD756" s="309">
        <f t="shared" si="327"/>
        <v>0.14000000000000001</v>
      </c>
      <c r="AE756" s="309">
        <f t="shared" si="349"/>
        <v>0.8101174430994369</v>
      </c>
      <c r="AF756" s="309">
        <f>VLOOKUP($B756,'Infant adult mortality'!$A$27:$I$128,4)</f>
        <v>4.0987176383315914E-2</v>
      </c>
      <c r="AG756" s="309">
        <f t="shared" si="328"/>
        <v>0.5714285714285714</v>
      </c>
      <c r="AH756" s="309">
        <f t="shared" si="350"/>
        <v>0.38758425218811271</v>
      </c>
      <c r="AI756" s="309">
        <f>VLOOKUP($B756,'Infant adult mortality'!$A$27:$I$128,4)</f>
        <v>4.0987176383315914E-2</v>
      </c>
      <c r="AJ756" s="309">
        <f t="shared" si="329"/>
        <v>8.6261668788331098E-3</v>
      </c>
      <c r="AK756" s="309">
        <f t="shared" si="351"/>
        <v>0.95038665673785094</v>
      </c>
      <c r="AL756" s="309"/>
      <c r="AM756" s="315">
        <f t="shared" si="388"/>
        <v>0.39296106592347008</v>
      </c>
      <c r="AN756" s="316">
        <f t="shared" si="389"/>
        <v>0.12942182561677457</v>
      </c>
      <c r="AO756" s="316">
        <f t="shared" si="390"/>
        <v>2.202377168907085E-2</v>
      </c>
      <c r="AP756" s="316">
        <f t="shared" si="391"/>
        <v>1.7662626902478575</v>
      </c>
      <c r="AQ756" s="316">
        <f t="shared" si="392"/>
        <v>104.95965105848842</v>
      </c>
      <c r="AR756" s="316">
        <f t="shared" si="393"/>
        <v>52.852752609745423</v>
      </c>
      <c r="AS756" s="316">
        <f t="shared" si="394"/>
        <v>14.003901729568906</v>
      </c>
      <c r="AT756" s="316">
        <f t="shared" si="395"/>
        <v>2.0683846271764215</v>
      </c>
      <c r="AU756" s="316">
        <f t="shared" si="396"/>
        <v>92.051186240065732</v>
      </c>
      <c r="AV756" s="316">
        <f t="shared" si="397"/>
        <v>241.75345438147772</v>
      </c>
      <c r="AW756" s="317">
        <f t="shared" si="352"/>
        <v>509.99999999999977</v>
      </c>
      <c r="AX756" s="309"/>
      <c r="AY756" s="308">
        <f>VLOOKUP($B756,'Infant adult mortality'!$A$134:$I$234,3)</f>
        <v>3.0253287925279027E-2</v>
      </c>
      <c r="AZ756" s="309">
        <f t="shared" si="353"/>
        <v>0.27</v>
      </c>
      <c r="BA756" s="309">
        <f ca="1">VLOOKUP($B756,'Infant pick up smoking rates'!$A$19:$I$104,7)</f>
        <v>0</v>
      </c>
      <c r="BB756" s="309">
        <f t="shared" si="354"/>
        <v>0.14624098391610749</v>
      </c>
      <c r="BC756" s="309">
        <f t="shared" ca="1" si="355"/>
        <v>0.55350572815861343</v>
      </c>
      <c r="BD756" s="309">
        <f>VLOOKUP($B756,'Infant adult mortality'!$A$134:$I$234,3)</f>
        <v>3.0253287925279027E-2</v>
      </c>
      <c r="BE756" s="309">
        <f t="shared" si="356"/>
        <v>0.14000000000000001</v>
      </c>
      <c r="BF756" s="309">
        <f>VLOOKUP($B756,'Infant pick up smoking rates'!$A$19:$I$104,6)</f>
        <v>0</v>
      </c>
      <c r="BG756" s="309">
        <f t="shared" si="357"/>
        <v>0.14624098391610749</v>
      </c>
      <c r="BH756" s="309">
        <f t="shared" si="358"/>
        <v>0.68350572815861343</v>
      </c>
      <c r="BI756" s="309">
        <f>VLOOKUP($B756,'Infant adult mortality'!$A$134:$I$234,3)</f>
        <v>3.0253287925279027E-2</v>
      </c>
      <c r="BJ756" s="309">
        <f t="shared" si="359"/>
        <v>0.5714285714285714</v>
      </c>
      <c r="BK756" s="309">
        <f>VLOOKUP($B756,'Infant pick up smoking rates'!$A$19:$I$104,6)</f>
        <v>0</v>
      </c>
      <c r="BL756" s="309">
        <f t="shared" si="360"/>
        <v>0.12016234480898272</v>
      </c>
      <c r="BM756" s="309">
        <f t="shared" si="361"/>
        <v>0.27815579583716687</v>
      </c>
      <c r="BN756" s="309">
        <f>VLOOKUP($B756,'Infant adult mortality'!$A$134:$I$234,3)</f>
        <v>3.0253287925279027E-2</v>
      </c>
      <c r="BO756" s="309">
        <f t="shared" si="362"/>
        <v>8.6261668788331098E-3</v>
      </c>
      <c r="BP756" s="309">
        <f>VLOOKUP($B756,'Infant pick up smoking rates'!$A$19:$I$104,6)</f>
        <v>0</v>
      </c>
      <c r="BQ756" s="309">
        <f t="shared" si="363"/>
        <v>0.12016234480898272</v>
      </c>
      <c r="BR756" s="309">
        <f t="shared" si="364"/>
        <v>0.84095820038690516</v>
      </c>
      <c r="BS756" s="309">
        <f>VLOOKUP($B756,'Infant adult mortality'!$A$134:$I$234,3)</f>
        <v>3.0253287925279027E-2</v>
      </c>
      <c r="BT756" s="309">
        <f>VLOOKUP($B756,'Infant pick up smoking rates'!$A$19:$I$104,6)</f>
        <v>0</v>
      </c>
      <c r="BU756" s="309">
        <f t="shared" si="365"/>
        <v>0.96974671207472096</v>
      </c>
      <c r="BV756" s="309">
        <f>VLOOKUP($B756,'Infant adult mortality'!$A$134:$I$234,5)</f>
        <v>3.9243143945780087E-2</v>
      </c>
      <c r="BW756" s="309">
        <f t="shared" si="366"/>
        <v>0.27</v>
      </c>
      <c r="BX756" s="309">
        <f t="shared" si="367"/>
        <v>0.69075685605421988</v>
      </c>
      <c r="BY756" s="309">
        <f>VLOOKUP($B756,'Infant adult mortality'!$A$134:$I$234,5)</f>
        <v>3.9243143945780087E-2</v>
      </c>
      <c r="BZ756" s="309">
        <f t="shared" si="368"/>
        <v>0.14000000000000001</v>
      </c>
      <c r="CA756" s="309">
        <f t="shared" si="369"/>
        <v>0.82075685605421989</v>
      </c>
      <c r="CB756" s="309">
        <f>VLOOKUP($B756,'Infant adult mortality'!$A$134:$I$234,4)</f>
        <v>3.224505243281519E-2</v>
      </c>
      <c r="CC756" s="309">
        <f t="shared" si="370"/>
        <v>0.5714285714285714</v>
      </c>
      <c r="CD756" s="309">
        <f t="shared" si="371"/>
        <v>0.39632637613861343</v>
      </c>
      <c r="CE756" s="309">
        <f>VLOOKUP($B756,'Infant adult mortality'!$A$134:$I$234,4)</f>
        <v>3.224505243281519E-2</v>
      </c>
      <c r="CF756" s="309">
        <f t="shared" si="372"/>
        <v>8.6261668788331098E-3</v>
      </c>
      <c r="CG756" s="309">
        <f t="shared" si="373"/>
        <v>0.95912878068835172</v>
      </c>
      <c r="CH756" s="309"/>
      <c r="CI756" s="315">
        <f t="shared" ca="1" si="398"/>
        <v>0.6002780896105494</v>
      </c>
      <c r="CJ756" s="316">
        <f t="shared" ca="1" si="399"/>
        <v>0.19570862230017819</v>
      </c>
      <c r="CK756" s="316">
        <f t="shared" ca="1" si="400"/>
        <v>3.2983779905326062E-2</v>
      </c>
      <c r="CL756" s="316">
        <f t="shared" ca="1" si="401"/>
        <v>2.6571304286087876</v>
      </c>
      <c r="CM756" s="316">
        <f t="shared" ca="1" si="402"/>
        <v>156.44957394003106</v>
      </c>
      <c r="CN756" s="316">
        <f t="shared" ca="1" si="403"/>
        <v>45.458267456589908</v>
      </c>
      <c r="CO756" s="316">
        <f t="shared" ca="1" si="404"/>
        <v>12.868757547600632</v>
      </c>
      <c r="CP756" s="316">
        <f t="shared" ca="1" si="405"/>
        <v>1.8813517653924889</v>
      </c>
      <c r="CQ756" s="316">
        <f t="shared" ca="1" si="406"/>
        <v>82.291727157710426</v>
      </c>
      <c r="CR756" s="316">
        <f t="shared" ca="1" si="407"/>
        <v>187.5642212122514</v>
      </c>
      <c r="CS756" s="317">
        <f t="shared" ca="1" si="374"/>
        <v>490.00000000000068</v>
      </c>
      <c r="CT756" s="309"/>
      <c r="CU756" s="309">
        <f t="shared" ca="1" si="375"/>
        <v>1000.0000000000005</v>
      </c>
      <c r="CV756" s="309" t="str">
        <f t="shared" ca="1" si="330"/>
        <v>OKAY</v>
      </c>
      <c r="CW756" s="309"/>
      <c r="CX756" s="315">
        <f>(SUM($AR756:$AS756))-((SUM($AR756:$AS756)*VLOOKUP($B756,Lifetime_morbidity_array!$A$30:$Y$48,4))+(SUM($AR756:$AS756)*VLOOKUP($B756,Lifetime_morbidity_array!$A$30:$Y$48,7))+(SUM($AR756:$AS756)*VLOOKUP($B756,Lifetime_morbidity_array!$A$30:$Y$48,10))+(SUM($AR756:$AS756)*VLOOKUP($B756,Lifetime_morbidity_array!$A$30:$Y$48,13)))</f>
        <v>-1.8058395339199507</v>
      </c>
      <c r="CY756" s="316">
        <f>(SUM($AT756:$AU756))-((SUM($AT756:$AU756)*(VLOOKUP($B756,Lifetime_morbidity_array!$A$30:$Y$48,3)))+(SUM($AT756:$AU756)*(VLOOKUP($B756,Lifetime_morbidity_array!$A$30:$Y$48,6)))+(SUM($AT756:$AU756)*(VLOOKUP($B756,Lifetime_morbidity_array!$A$30:$Y$48,9)))+(SUM($AT756:$AU756)*(VLOOKUP($B756,Lifetime_morbidity_array!$A$30:$Y$48,12))))</f>
        <v>42.683394333870986</v>
      </c>
      <c r="CZ756" s="316">
        <f>(SUM($AM756:$AQ756))-((SUM($AM756:$AQ756)*VLOOKUP($B756,Lifetime_morbidity_array!$A$30:$Y$48,2))+(SUM($AM756:$AQ756)*VLOOKUP($B756,Lifetime_morbidity_array!$A$30:$Y$48,5))+(SUM($AM756:$AQ756)*VLOOKUP($B756,Lifetime_morbidity_array!$A$30:$Y$48,8))+(SUM($AM756:$AQ756)*VLOOKUP($B756,Lifetime_morbidity_array!$A$30:$Y$48,11)))</f>
        <v>68.388739261897385</v>
      </c>
      <c r="DA756" s="316">
        <f>(SUM($AM756:$AQ756)*VLOOKUP($B756,Lifetime_morbidity_array!$A$30:$Y$48,2))+(SUM($AR756:$AS756)*VLOOKUP($B756,Lifetime_morbidity_array!$A$30:$Y$48,4))+(SUM($AT756:$AU756)*(VLOOKUP($B756,Lifetime_morbidity_array!$A$30:$Y$48,3)))</f>
        <v>82.566314226927986</v>
      </c>
      <c r="DB756" s="316">
        <f>(SUM($AM756:$AQ756)*VLOOKUP($B756,Lifetime_morbidity_array!$A$30:$Y$48,5))+(SUM($AR756:$AS756)*VLOOKUP($B756,Lifetime_morbidity_array!$A$30:$Y$48,7))+(SUM($AT756:$AU756)*(VLOOKUP($B756,Lifetime_morbidity_array!$A$30:$Y$48,6)))</f>
        <v>36.673151581936764</v>
      </c>
      <c r="DC756" s="316">
        <f>(SUM($AM756:$AQ756)*VLOOKUP($B756,Lifetime_morbidity_array!$A$30:$Y$48,8))+(SUM($AR756:$AS756)*VLOOKUP($B756,Lifetime_morbidity_array!$A$30:$Y$48,10))+(SUM($AT756:$AU756)*(VLOOKUP($B756,Lifetime_morbidity_array!$A$30:$Y$48,9)))</f>
        <v>2.9637738587132048</v>
      </c>
      <c r="DD756" s="317">
        <f>(SUM($AM756:$AQ756)*VLOOKUP($B756,Lifetime_morbidity_array!$A$30:$Y$48,11))+(SUM($AR756:$AS756)*VLOOKUP($B756,Lifetime_morbidity_array!$A$30:$Y$48,13))+(SUM($AT756:$AU756)*(VLOOKUP($B756,Lifetime_morbidity_array!$A$30:$Y$48,12)))</f>
        <v>36.777011889095704</v>
      </c>
      <c r="DE756" s="309"/>
      <c r="DF756" s="315">
        <f ca="1">(SUM($CN756:$CO756))-((SUM($CN756:$CO756)*VLOOKUP($B756,Lifetime_morbidity_array!$A$6:$Y$24,4))+(SUM($CN756:$CO756)*VLOOKUP($B756,Lifetime_morbidity_array!$A$6:$Y$24,7))+(SUM($CN756:$CO756)*VLOOKUP($B756,Lifetime_morbidity_array!$A$6:$Y$24,10))+(SUM($CN756:$CO756)*VLOOKUP($B756,Lifetime_morbidity_array!$A$6:$Y$24,13)))</f>
        <v>9.247430175124201</v>
      </c>
      <c r="DG756" s="316">
        <f ca="1">(SUM($CP756:$CQ756))-(((SUM($CP756:$CQ756)*VLOOKUP($B756,Lifetime_morbidity_array!$A$6:$Y$24,3))+(SUM($CP756:$CQ756)*VLOOKUP($B756,Lifetime_morbidity_array!$A$6:$Y$24,6))+(SUM($CP756:$CQ756)*VLOOKUP($B756,Lifetime_morbidity_array!$A$6:$Y$24,9))+(SUM($CP756:$CQ756)*VLOOKUP($B756,Lifetime_morbidity_array!$A$6:$Y$24,12))))</f>
        <v>48.987280137420598</v>
      </c>
      <c r="DH756" s="316">
        <f ca="1">(SUM($CI756:$CM756))-((SUM($CI756:$CM756)*VLOOKUP($B756,Lifetime_morbidity_array!$A$6:$Y$24,2))+(SUM($CI756:$CM756)*VLOOKUP($B756,Lifetime_morbidity_array!$A$6:$Y$24,5))+(SUM($CI756:$CM756)*VLOOKUP($B756,Lifetime_morbidity_array!$A$6:$Y$24,8))+(SUM($CI756:$CM756)*VLOOKUP($B756,Lifetime_morbidity_array!$A$6:$Y$24,11)))</f>
        <v>115.76574275872349</v>
      </c>
      <c r="DI756" s="316">
        <f ca="1">(SUM($CI756:$CM756)*VLOOKUP($B756,Lifetime_morbidity_array!$A$6:$Y$24,2))+(SUM($CN756:$CO756)*VLOOKUP($B756,Lifetime_morbidity_array!$A$6:$Y$24,4))+(SUM($CP756:$CQ756)*VLOOKUP($B756,Lifetime_morbidity_array!$A$6:$Y$24,3))</f>
        <v>64.142890864659748</v>
      </c>
      <c r="DJ756" s="316">
        <f ca="1">(SUM($CI756:$CM756)*VLOOKUP($B756,Lifetime_morbidity_array!$A$6:$Y$24,5))+(SUM($CN756:$CO756)*VLOOKUP($B756,Lifetime_morbidity_array!$A$6:$Y$24,7))+(SUM($CP756:$CQ756)*VLOOKUP($B756,Lifetime_morbidity_array!$A$6:$Y$24,6))</f>
        <v>27.692830117105657</v>
      </c>
      <c r="DK756" s="316">
        <f ca="1">(SUM($CI756:$CM756)*VLOOKUP($B756,Lifetime_morbidity_array!$A$6:$Y$24,8))+(SUM($CN756:$CO756)*VLOOKUP($B756,Lifetime_morbidity_array!$A$6:$Y$24,10))+(SUM($CP756:$CQ756)*VLOOKUP($B756,Lifetime_morbidity_array!$A$6:$Y$24,9))</f>
        <v>1.2916703619502545</v>
      </c>
      <c r="DL756" s="317">
        <f ca="1">(SUM($CI756:$CM756)*VLOOKUP($B756,Lifetime_morbidity_array!$A$6:$Y$24,11))+(SUM($CN756:$CO756)*VLOOKUP($B756,Lifetime_morbidity_array!$A$6:$Y$24,13))+(SUM($CP756:$CQ756)*VLOOKUP($B756,Lifetime_morbidity_array!$A$6:$Y$24,12))</f>
        <v>35.307934372765388</v>
      </c>
      <c r="DM756" s="309"/>
      <c r="DN756" s="308">
        <f t="shared" si="376"/>
        <v>90</v>
      </c>
      <c r="DO756" s="309">
        <f t="shared" ca="1" si="377"/>
        <v>25.808510470312477</v>
      </c>
      <c r="DP756" s="310">
        <f t="shared" ca="1" si="408"/>
        <v>23908.992853301403</v>
      </c>
      <c r="DQ756" s="309"/>
      <c r="DR756" s="308">
        <f t="shared" si="378"/>
        <v>90</v>
      </c>
      <c r="DS756" s="309">
        <f ca="1">((VLOOKUP($B756,'Mahawesran Tariff'!$A$21:$M$120,4)*'Comparator (DET)'!$CX756)+(VLOOKUP($B756,'Mahawesran Tariff'!$A$21:$M$120,3)*'Comparator (DET)'!$CY756)+(VLOOKUP($B756,'Mahawesran Tariff'!$A$21:$M$120,2)*'Comparator (DET)'!$CZ756)+(VLOOKUP($B756,'Mahawesran Tariff'!$A$21:$M$120,7)*'Comparator (DET)'!$DF756)+(VLOOKUP($B756,'Mahawesran Tariff'!$A$21:$M$120,6)*'Comparator (DET)'!$DG756)+(VLOOKUP($B756,'Mahawesran Tariff'!$A$21:$M$120,5)*'Comparator (DET)'!$DH756)+(DET_UTIL_chd*('Comparator (DET)'!$DA756+'Comparator (DET)'!$DI756))+(DET_UTIL_copd*('Comparator (DET)'!$DB756+'Comparator (DET)'!$DJ756))+(DET_UTIL_lc*('Comparator (DET)'!$DC756+'Comparator (DET)'!$DK756))+(DET_UTIL_stroke*('Comparator (DET)'!$DD756+'Comparator (DET)'!$DL756)))/((1+Discount_rate_QALYs)^$A756)</f>
        <v>21.241776047768923</v>
      </c>
      <c r="DT756" s="310">
        <f t="shared" ca="1" si="409"/>
        <v>23410.257375346762</v>
      </c>
      <c r="DU756" s="309"/>
      <c r="DV756" s="308">
        <f t="shared" si="379"/>
        <v>90</v>
      </c>
      <c r="DW756" s="318">
        <f t="shared" ca="1" si="380"/>
        <v>87315.839203085692</v>
      </c>
      <c r="DX756" s="319">
        <f t="shared" ca="1" si="410"/>
        <v>11229000.202866232</v>
      </c>
      <c r="DZ756" s="95">
        <f t="shared" si="381"/>
        <v>90</v>
      </c>
      <c r="EA756" s="268">
        <f t="shared" ca="1" si="331"/>
        <v>0.57068232440627142</v>
      </c>
      <c r="EB756" s="268">
        <f t="shared" ca="1" si="332"/>
        <v>0.42931767559372913</v>
      </c>
      <c r="EC756" s="268">
        <f t="shared" ca="1" si="333"/>
        <v>0.28741557727315464</v>
      </c>
      <c r="ED756" s="290">
        <f t="shared" ca="1" si="334"/>
        <v>0.30347632913384998</v>
      </c>
      <c r="EF756" s="95">
        <f t="shared" si="382"/>
        <v>90</v>
      </c>
      <c r="EG756" s="339">
        <f t="shared" ca="1" si="383"/>
        <v>87315.839203085692</v>
      </c>
      <c r="EH756" s="341">
        <f t="shared" ca="1" si="411"/>
        <v>14329132.138722315</v>
      </c>
      <c r="EJ756" s="308">
        <f t="shared" si="384"/>
        <v>90</v>
      </c>
      <c r="EK756" s="318">
        <f t="shared" ca="1" si="385"/>
        <v>87315.839203085692</v>
      </c>
      <c r="EL756" s="319">
        <f t="shared" ca="1" si="412"/>
        <v>11229000.202866232</v>
      </c>
      <c r="EN756" s="95">
        <f t="shared" si="386"/>
        <v>90</v>
      </c>
      <c r="EO756" s="339">
        <f t="shared" ca="1" si="387"/>
        <v>87315.839203085692</v>
      </c>
      <c r="EP756" s="341">
        <f t="shared" ca="1" si="413"/>
        <v>14329132.138722315</v>
      </c>
    </row>
    <row r="757" spans="1:146" s="266" customFormat="1" x14ac:dyDescent="0.25">
      <c r="A757" s="313">
        <v>91</v>
      </c>
      <c r="B757" s="314">
        <v>91</v>
      </c>
      <c r="C757" s="308">
        <f>VLOOKUP($B757,'Infant adult mortality'!$A$27:$I$128,3)</f>
        <v>4.2102435512695151E-2</v>
      </c>
      <c r="D757" s="309">
        <f t="shared" si="335"/>
        <v>0.27</v>
      </c>
      <c r="E757" s="309">
        <f>VLOOKUP($B757,'Infant pick up smoking rates'!$A$19:$I$104,3)</f>
        <v>0</v>
      </c>
      <c r="F757" s="309">
        <f t="shared" si="336"/>
        <v>0.14624098391610749</v>
      </c>
      <c r="G757" s="309">
        <f t="shared" si="337"/>
        <v>0.54165658057119737</v>
      </c>
      <c r="H757" s="309">
        <f>VLOOKUP($B757,'Infant adult mortality'!$A$27:$I$128,3)</f>
        <v>4.2102435512695151E-2</v>
      </c>
      <c r="I757" s="309">
        <f t="shared" si="338"/>
        <v>0.14000000000000001</v>
      </c>
      <c r="J757" s="309">
        <f>VLOOKUP($B757,'Infant pick up smoking rates'!$A$19:$I$104,2)</f>
        <v>0</v>
      </c>
      <c r="K757" s="309">
        <f t="shared" si="339"/>
        <v>0.14624098391610749</v>
      </c>
      <c r="L757" s="309">
        <f t="shared" si="340"/>
        <v>0.67165658057119737</v>
      </c>
      <c r="M757" s="309">
        <f>VLOOKUP($B757,'Infant adult mortality'!$A$27:$I$128,3)</f>
        <v>4.2102435512695151E-2</v>
      </c>
      <c r="N757" s="309">
        <f t="shared" si="341"/>
        <v>0.5714285714285714</v>
      </c>
      <c r="O757" s="309">
        <f>VLOOKUP($B757,'Infant pick up smoking rates'!$A$19:$I$104,2)</f>
        <v>0</v>
      </c>
      <c r="P757" s="309">
        <f t="shared" si="342"/>
        <v>0.12016234480898272</v>
      </c>
      <c r="Q757" s="309">
        <f t="shared" si="343"/>
        <v>0.26630664824975075</v>
      </c>
      <c r="R757" s="309">
        <f>VLOOKUP($B757,'Infant adult mortality'!$A$27:$I$128,3)</f>
        <v>4.2102435512695151E-2</v>
      </c>
      <c r="S757" s="309">
        <f t="shared" si="344"/>
        <v>8.6261668788331098E-3</v>
      </c>
      <c r="T757" s="309">
        <f>VLOOKUP($B757,'Infant pick up smoking rates'!$A$19:$I$104,2)</f>
        <v>0</v>
      </c>
      <c r="U757" s="309">
        <f t="shared" si="345"/>
        <v>0.12016234480898272</v>
      </c>
      <c r="V757" s="309">
        <f t="shared" si="346"/>
        <v>0.8291090527994891</v>
      </c>
      <c r="W757" s="309">
        <f>VLOOKUP($B757,'Infant adult mortality'!$A$27:$I$128,3)</f>
        <v>4.2102435512695151E-2</v>
      </c>
      <c r="X757" s="309">
        <f>VLOOKUP($B757,'Infant pick up smoking rates'!$A$19:$I$104,2)</f>
        <v>0</v>
      </c>
      <c r="Y757" s="309">
        <f t="shared" si="347"/>
        <v>0.9578975644873049</v>
      </c>
      <c r="Z757" s="309">
        <f>VLOOKUP($B757,'Infant adult mortality'!$A$27:$I$128,5)</f>
        <v>5.461330158141417E-2</v>
      </c>
      <c r="AA757" s="309">
        <f t="shared" si="326"/>
        <v>0.25</v>
      </c>
      <c r="AB757" s="309">
        <f t="shared" si="348"/>
        <v>0.6953866984185858</v>
      </c>
      <c r="AC757" s="309">
        <f>VLOOKUP($B757,'Infant adult mortality'!$A$27:$I$128,5)</f>
        <v>5.461330158141417E-2</v>
      </c>
      <c r="AD757" s="309">
        <f t="shared" si="327"/>
        <v>0.14000000000000001</v>
      </c>
      <c r="AE757" s="309">
        <f t="shared" si="349"/>
        <v>0.80538669841858579</v>
      </c>
      <c r="AF757" s="309">
        <f>VLOOKUP($B757,'Infant adult mortality'!$A$27:$I$128,4)</f>
        <v>4.4874304042890382E-2</v>
      </c>
      <c r="AG757" s="309">
        <f t="shared" si="328"/>
        <v>0.5714285714285714</v>
      </c>
      <c r="AH757" s="309">
        <f t="shared" si="350"/>
        <v>0.38369712452853821</v>
      </c>
      <c r="AI757" s="309">
        <f>VLOOKUP($B757,'Infant adult mortality'!$A$27:$I$128,4)</f>
        <v>4.4874304042890382E-2</v>
      </c>
      <c r="AJ757" s="309">
        <f t="shared" si="329"/>
        <v>8.6261668788331098E-3</v>
      </c>
      <c r="AK757" s="309">
        <f t="shared" si="351"/>
        <v>0.9464995290782765</v>
      </c>
      <c r="AL757" s="309"/>
      <c r="AM757" s="315">
        <f t="shared" si="388"/>
        <v>0.32087812164903323</v>
      </c>
      <c r="AN757" s="316">
        <f t="shared" si="389"/>
        <v>0.10609948779933692</v>
      </c>
      <c r="AO757" s="316">
        <f t="shared" si="390"/>
        <v>1.8119055586348441E-2</v>
      </c>
      <c r="AP757" s="316">
        <f t="shared" si="391"/>
        <v>1.4770093985002333</v>
      </c>
      <c r="AQ757" s="316">
        <f t="shared" si="392"/>
        <v>100.83187260085971</v>
      </c>
      <c r="AR757" s="316">
        <f t="shared" si="393"/>
        <v>49.619339446348967</v>
      </c>
      <c r="AS757" s="316">
        <f t="shared" si="394"/>
        <v>13.213188152436356</v>
      </c>
      <c r="AT757" s="316">
        <f t="shared" si="395"/>
        <v>1.9605462421396469</v>
      </c>
      <c r="AU757" s="316">
        <f t="shared" si="396"/>
        <v>88.30833849999118</v>
      </c>
      <c r="AV757" s="316">
        <f t="shared" si="397"/>
        <v>254.14460899468898</v>
      </c>
      <c r="AW757" s="317">
        <f t="shared" si="352"/>
        <v>509.99999999999977</v>
      </c>
      <c r="AX757" s="309"/>
      <c r="AY757" s="308">
        <f>VLOOKUP($B757,'Infant adult mortality'!$A$134:$I$234,3)</f>
        <v>3.3548407795798638E-2</v>
      </c>
      <c r="AZ757" s="309">
        <f t="shared" si="353"/>
        <v>0.27</v>
      </c>
      <c r="BA757" s="309">
        <f ca="1">VLOOKUP($B757,'Infant pick up smoking rates'!$A$19:$I$104,7)</f>
        <v>0</v>
      </c>
      <c r="BB757" s="309">
        <f t="shared" si="354"/>
        <v>0.14624098391610749</v>
      </c>
      <c r="BC757" s="309">
        <f t="shared" ca="1" si="355"/>
        <v>0.55021060828809387</v>
      </c>
      <c r="BD757" s="309">
        <f>VLOOKUP($B757,'Infant adult mortality'!$A$134:$I$234,3)</f>
        <v>3.3548407795798638E-2</v>
      </c>
      <c r="BE757" s="309">
        <f t="shared" si="356"/>
        <v>0.14000000000000001</v>
      </c>
      <c r="BF757" s="309">
        <f>VLOOKUP($B757,'Infant pick up smoking rates'!$A$19:$I$104,6)</f>
        <v>0</v>
      </c>
      <c r="BG757" s="309">
        <f t="shared" si="357"/>
        <v>0.14624098391610749</v>
      </c>
      <c r="BH757" s="309">
        <f t="shared" si="358"/>
        <v>0.68021060828809388</v>
      </c>
      <c r="BI757" s="309">
        <f>VLOOKUP($B757,'Infant adult mortality'!$A$134:$I$234,3)</f>
        <v>3.3548407795798638E-2</v>
      </c>
      <c r="BJ757" s="309">
        <f t="shared" si="359"/>
        <v>0.5714285714285714</v>
      </c>
      <c r="BK757" s="309">
        <f>VLOOKUP($B757,'Infant pick up smoking rates'!$A$19:$I$104,6)</f>
        <v>0</v>
      </c>
      <c r="BL757" s="309">
        <f t="shared" si="360"/>
        <v>0.12016234480898272</v>
      </c>
      <c r="BM757" s="309">
        <f t="shared" si="361"/>
        <v>0.27486067596664726</v>
      </c>
      <c r="BN757" s="309">
        <f>VLOOKUP($B757,'Infant adult mortality'!$A$134:$I$234,3)</f>
        <v>3.3548407795798638E-2</v>
      </c>
      <c r="BO757" s="309">
        <f t="shared" si="362"/>
        <v>8.6261668788331098E-3</v>
      </c>
      <c r="BP757" s="309">
        <f>VLOOKUP($B757,'Infant pick up smoking rates'!$A$19:$I$104,6)</f>
        <v>0</v>
      </c>
      <c r="BQ757" s="309">
        <f t="shared" si="363"/>
        <v>0.12016234480898272</v>
      </c>
      <c r="BR757" s="309">
        <f t="shared" si="364"/>
        <v>0.83766308051638561</v>
      </c>
      <c r="BS757" s="309">
        <f>VLOOKUP($B757,'Infant adult mortality'!$A$134:$I$234,3)</f>
        <v>3.3548407795798638E-2</v>
      </c>
      <c r="BT757" s="309">
        <f>VLOOKUP($B757,'Infant pick up smoking rates'!$A$19:$I$104,6)</f>
        <v>0</v>
      </c>
      <c r="BU757" s="309">
        <f t="shared" si="365"/>
        <v>0.9664515922042014</v>
      </c>
      <c r="BV757" s="309">
        <f>VLOOKUP($B757,'Infant adult mortality'!$A$134:$I$234,5)</f>
        <v>4.3517418653269045E-2</v>
      </c>
      <c r="BW757" s="309">
        <f t="shared" si="366"/>
        <v>0.27</v>
      </c>
      <c r="BX757" s="309">
        <f t="shared" si="367"/>
        <v>0.6864825813467309</v>
      </c>
      <c r="BY757" s="309">
        <f>VLOOKUP($B757,'Infant adult mortality'!$A$134:$I$234,5)</f>
        <v>4.3517418653269045E-2</v>
      </c>
      <c r="BZ757" s="309">
        <f t="shared" si="368"/>
        <v>0.14000000000000001</v>
      </c>
      <c r="CA757" s="309">
        <f t="shared" si="369"/>
        <v>0.81648258134673091</v>
      </c>
      <c r="CB757" s="309">
        <f>VLOOKUP($B757,'Infant adult mortality'!$A$134:$I$234,4)</f>
        <v>3.5757110800148373E-2</v>
      </c>
      <c r="CC757" s="309">
        <f t="shared" si="370"/>
        <v>0.5714285714285714</v>
      </c>
      <c r="CD757" s="309">
        <f t="shared" si="371"/>
        <v>0.39281431777128023</v>
      </c>
      <c r="CE757" s="309">
        <f>VLOOKUP($B757,'Infant adult mortality'!$A$134:$I$234,4)</f>
        <v>3.5757110800148373E-2</v>
      </c>
      <c r="CF757" s="309">
        <f t="shared" si="372"/>
        <v>8.6261668788331098E-3</v>
      </c>
      <c r="CG757" s="309">
        <f t="shared" si="373"/>
        <v>0.95561672232101857</v>
      </c>
      <c r="CH757" s="309"/>
      <c r="CI757" s="315">
        <f t="shared" ca="1" si="398"/>
        <v>0.49538924838538212</v>
      </c>
      <c r="CJ757" s="316">
        <f t="shared" ca="1" si="399"/>
        <v>0.16207508419484834</v>
      </c>
      <c r="CK757" s="316">
        <f t="shared" ca="1" si="400"/>
        <v>2.7399207122024948E-2</v>
      </c>
      <c r="CL757" s="316">
        <f t="shared" ca="1" si="401"/>
        <v>2.2446279343938755</v>
      </c>
      <c r="CM757" s="316">
        <f t="shared" ca="1" si="402"/>
        <v>151.64059614504495</v>
      </c>
      <c r="CN757" s="316">
        <f t="shared" ca="1" si="403"/>
        <v>43.162309249760384</v>
      </c>
      <c r="CO757" s="316">
        <f t="shared" ca="1" si="404"/>
        <v>12.273732213279276</v>
      </c>
      <c r="CP757" s="316">
        <f t="shared" ca="1" si="405"/>
        <v>1.8016260566640887</v>
      </c>
      <c r="CQ757" s="316">
        <f t="shared" ca="1" si="406"/>
        <v>79.714408732239647</v>
      </c>
      <c r="CR757" s="316">
        <f t="shared" ca="1" si="407"/>
        <v>198.47783612891635</v>
      </c>
      <c r="CS757" s="317">
        <f t="shared" ca="1" si="374"/>
        <v>490.0000000000008</v>
      </c>
      <c r="CT757" s="309"/>
      <c r="CU757" s="309">
        <f t="shared" ca="1" si="375"/>
        <v>1000.0000000000006</v>
      </c>
      <c r="CV757" s="309" t="str">
        <f t="shared" ca="1" si="330"/>
        <v>OKAY</v>
      </c>
      <c r="CW757" s="309"/>
      <c r="CX757" s="315">
        <f>(SUM($AR757:$AS757))-((SUM($AR757:$AS757)*VLOOKUP($B757,Lifetime_morbidity_array!$A$30:$Y$48,4))+(SUM($AR757:$AS757)*VLOOKUP($B757,Lifetime_morbidity_array!$A$30:$Y$48,7))+(SUM($AR757:$AS757)*VLOOKUP($B757,Lifetime_morbidity_array!$A$30:$Y$48,10))+(SUM($AR757:$AS757)*VLOOKUP($B757,Lifetime_morbidity_array!$A$30:$Y$48,13)))</f>
        <v>-1.6971453847830418</v>
      </c>
      <c r="CY757" s="316">
        <f>(SUM($AT757:$AU757))-((SUM($AT757:$AU757)*(VLOOKUP($B757,Lifetime_morbidity_array!$A$30:$Y$48,3)))+(SUM($AT757:$AU757)*(VLOOKUP($B757,Lifetime_morbidity_array!$A$30:$Y$48,6)))+(SUM($AT757:$AU757)*(VLOOKUP($B757,Lifetime_morbidity_array!$A$30:$Y$48,9)))+(SUM($AT757:$AU757)*(VLOOKUP($B757,Lifetime_morbidity_array!$A$30:$Y$48,12))))</f>
        <v>40.937101264112655</v>
      </c>
      <c r="CZ757" s="316">
        <f>(SUM($AM757:$AQ757))-((SUM($AM757:$AQ757)*VLOOKUP($B757,Lifetime_morbidity_array!$A$30:$Y$48,2))+(SUM($AM757:$AQ757)*VLOOKUP($B757,Lifetime_morbidity_array!$A$30:$Y$48,5))+(SUM($AM757:$AQ757)*VLOOKUP($B757,Lifetime_morbidity_array!$A$30:$Y$48,8))+(SUM($AM757:$AQ757)*VLOOKUP($B757,Lifetime_morbidity_array!$A$30:$Y$48,11)))</f>
        <v>65.50940677732882</v>
      </c>
      <c r="DA757" s="316">
        <f>(SUM($AM757:$AQ757)*VLOOKUP($B757,Lifetime_morbidity_array!$A$30:$Y$48,2))+(SUM($AR757:$AS757)*VLOOKUP($B757,Lifetime_morbidity_array!$A$30:$Y$48,4))+(SUM($AT757:$AU757)*(VLOOKUP($B757,Lifetime_morbidity_array!$A$30:$Y$48,3)))</f>
        <v>78.580311418543019</v>
      </c>
      <c r="DB757" s="316">
        <f>(SUM($AM757:$AQ757)*VLOOKUP($B757,Lifetime_morbidity_array!$A$30:$Y$48,5))+(SUM($AR757:$AS757)*VLOOKUP($B757,Lifetime_morbidity_array!$A$30:$Y$48,7))+(SUM($AT757:$AU757)*(VLOOKUP($B757,Lifetime_morbidity_array!$A$30:$Y$48,6)))</f>
        <v>34.689903772021765</v>
      </c>
      <c r="DC757" s="316">
        <f>(SUM($AM757:$AQ757)*VLOOKUP($B757,Lifetime_morbidity_array!$A$30:$Y$48,8))+(SUM($AR757:$AS757)*VLOOKUP($B757,Lifetime_morbidity_array!$A$30:$Y$48,10))+(SUM($AT757:$AU757)*(VLOOKUP($B757,Lifetime_morbidity_array!$A$30:$Y$48,9)))</f>
        <v>2.8036197263580656</v>
      </c>
      <c r="DD757" s="317">
        <f>(SUM($AM757:$AQ757)*VLOOKUP($B757,Lifetime_morbidity_array!$A$30:$Y$48,11))+(SUM($AR757:$AS757)*VLOOKUP($B757,Lifetime_morbidity_array!$A$30:$Y$48,13))+(SUM($AT757:$AU757)*(VLOOKUP($B757,Lifetime_morbidity_array!$A$30:$Y$48,12)))</f>
        <v>35.03219343172951</v>
      </c>
      <c r="DE757" s="309"/>
      <c r="DF757" s="315">
        <f ca="1">(SUM($CN757:$CO757))-((SUM($CN757:$CO757)*VLOOKUP($B757,Lifetime_morbidity_array!$A$6:$Y$24,4))+(SUM($CN757:$CO757)*VLOOKUP($B757,Lifetime_morbidity_array!$A$6:$Y$24,7))+(SUM($CN757:$CO757)*VLOOKUP($B757,Lifetime_morbidity_array!$A$6:$Y$24,10))+(SUM($CN757:$CO757)*VLOOKUP($B757,Lifetime_morbidity_array!$A$6:$Y$24,13)))</f>
        <v>8.7890805776210783</v>
      </c>
      <c r="DG757" s="316">
        <f ca="1">(SUM($CP757:$CQ757))-(((SUM($CP757:$CQ757)*VLOOKUP($B757,Lifetime_morbidity_array!$A$6:$Y$24,3))+(SUM($CP757:$CQ757)*VLOOKUP($B757,Lifetime_morbidity_array!$A$6:$Y$24,6))+(SUM($CP757:$CQ757)*VLOOKUP($B757,Lifetime_morbidity_array!$A$6:$Y$24,9))+(SUM($CP757:$CQ757)*VLOOKUP($B757,Lifetime_morbidity_array!$A$6:$Y$24,12))))</f>
        <v>47.440926279337106</v>
      </c>
      <c r="DH757" s="316">
        <f ca="1">(SUM($CI757:$CM757))-((SUM($CI757:$CM757)*VLOOKUP($B757,Lifetime_morbidity_array!$A$6:$Y$24,2))+(SUM($CI757:$CM757)*VLOOKUP($B757,Lifetime_morbidity_array!$A$6:$Y$24,5))+(SUM($CI757:$CM757)*VLOOKUP($B757,Lifetime_morbidity_array!$A$6:$Y$24,8))+(SUM($CI757:$CM757)*VLOOKUP($B757,Lifetime_morbidity_array!$A$6:$Y$24,11)))</f>
        <v>111.88198641187034</v>
      </c>
      <c r="DI757" s="316">
        <f ca="1">(SUM($CI757:$CM757)*VLOOKUP($B757,Lifetime_morbidity_array!$A$6:$Y$24,2))+(SUM($CN757:$CO757)*VLOOKUP($B757,Lifetime_morbidity_array!$A$6:$Y$24,4))+(SUM($CP757:$CQ757)*VLOOKUP($B757,Lifetime_morbidity_array!$A$6:$Y$24,3))</f>
        <v>61.686441186386233</v>
      </c>
      <c r="DJ757" s="316">
        <f ca="1">(SUM($CI757:$CM757)*VLOOKUP($B757,Lifetime_morbidity_array!$A$6:$Y$24,5))+(SUM($CN757:$CO757)*VLOOKUP($B757,Lifetime_morbidity_array!$A$6:$Y$24,7))+(SUM($CP757:$CQ757)*VLOOKUP($B757,Lifetime_morbidity_array!$A$6:$Y$24,6))</f>
        <v>26.50596307931761</v>
      </c>
      <c r="DK757" s="316">
        <f ca="1">(SUM($CI757:$CM757)*VLOOKUP($B757,Lifetime_morbidity_array!$A$6:$Y$24,8))+(SUM($CN757:$CO757)*VLOOKUP($B757,Lifetime_morbidity_array!$A$6:$Y$24,10))+(SUM($CP757:$CQ757)*VLOOKUP($B757,Lifetime_morbidity_array!$A$6:$Y$24,9))</f>
        <v>1.2353787011649768</v>
      </c>
      <c r="DL757" s="317">
        <f ca="1">(SUM($CI757:$CM757)*VLOOKUP($B757,Lifetime_morbidity_array!$A$6:$Y$24,11))+(SUM($CN757:$CO757)*VLOOKUP($B757,Lifetime_morbidity_array!$A$6:$Y$24,13))+(SUM($CP757:$CQ757)*VLOOKUP($B757,Lifetime_morbidity_array!$A$6:$Y$24,12))</f>
        <v>33.982387635387134</v>
      </c>
      <c r="DM757" s="309"/>
      <c r="DN757" s="308">
        <f t="shared" si="376"/>
        <v>91</v>
      </c>
      <c r="DO757" s="309">
        <f t="shared" ca="1" si="377"/>
        <v>23.917465385896477</v>
      </c>
      <c r="DP757" s="310">
        <f t="shared" ca="1" si="408"/>
        <v>23932.9103186873</v>
      </c>
      <c r="DQ757" s="309"/>
      <c r="DR757" s="308">
        <f t="shared" si="378"/>
        <v>91</v>
      </c>
      <c r="DS757" s="309">
        <f ca="1">((VLOOKUP($B757,'Mahawesran Tariff'!$A$21:$M$120,4)*'Comparator (DET)'!$CX757)+(VLOOKUP($B757,'Mahawesran Tariff'!$A$21:$M$120,3)*'Comparator (DET)'!$CY757)+(VLOOKUP($B757,'Mahawesran Tariff'!$A$21:$M$120,2)*'Comparator (DET)'!$CZ757)+(VLOOKUP($B757,'Mahawesran Tariff'!$A$21:$M$120,7)*'Comparator (DET)'!$DF757)+(VLOOKUP($B757,'Mahawesran Tariff'!$A$21:$M$120,6)*'Comparator (DET)'!$DG757)+(VLOOKUP($B757,'Mahawesran Tariff'!$A$21:$M$120,5)*'Comparator (DET)'!$DH757)+(DET_UTIL_chd*('Comparator (DET)'!$DA757+'Comparator (DET)'!$DI757))+(DET_UTIL_copd*('Comparator (DET)'!$DB757+'Comparator (DET)'!$DJ757))+(DET_UTIL_lc*('Comparator (DET)'!$DC757+'Comparator (DET)'!$DK757))+(DET_UTIL_stroke*('Comparator (DET)'!$DD757+'Comparator (DET)'!$DL757)))/((1+Discount_rate_QALYs)^$A757)</f>
        <v>19.694957615265672</v>
      </c>
      <c r="DT757" s="310">
        <f t="shared" ca="1" si="409"/>
        <v>23429.952332962028</v>
      </c>
      <c r="DU757" s="309"/>
      <c r="DV757" s="308">
        <f t="shared" si="379"/>
        <v>91</v>
      </c>
      <c r="DW757" s="318">
        <f t="shared" ca="1" si="380"/>
        <v>80723.751598972784</v>
      </c>
      <c r="DX757" s="319">
        <f t="shared" ca="1" si="410"/>
        <v>11309723.954465205</v>
      </c>
      <c r="DZ757" s="95">
        <f t="shared" si="381"/>
        <v>91</v>
      </c>
      <c r="EA757" s="268">
        <f t="shared" ca="1" si="331"/>
        <v>0.54737755487639528</v>
      </c>
      <c r="EB757" s="268">
        <f t="shared" ca="1" si="332"/>
        <v>0.45262244512360528</v>
      </c>
      <c r="EC757" s="268">
        <f t="shared" ca="1" si="333"/>
        <v>0.27451619895090834</v>
      </c>
      <c r="ED757" s="290">
        <f t="shared" ca="1" si="334"/>
        <v>0.29005348859285951</v>
      </c>
      <c r="EF757" s="95">
        <f t="shared" si="382"/>
        <v>91</v>
      </c>
      <c r="EG757" s="339">
        <f t="shared" ca="1" si="383"/>
        <v>80723.751598972784</v>
      </c>
      <c r="EH757" s="341">
        <f t="shared" ca="1" si="411"/>
        <v>14409855.890321288</v>
      </c>
      <c r="EJ757" s="308">
        <f t="shared" si="384"/>
        <v>91</v>
      </c>
      <c r="EK757" s="318">
        <f t="shared" ca="1" si="385"/>
        <v>80723.751598972784</v>
      </c>
      <c r="EL757" s="319">
        <f t="shared" ca="1" si="412"/>
        <v>11309723.954465205</v>
      </c>
      <c r="EN757" s="95">
        <f t="shared" si="386"/>
        <v>91</v>
      </c>
      <c r="EO757" s="339">
        <f t="shared" ca="1" si="387"/>
        <v>80723.751598972784</v>
      </c>
      <c r="EP757" s="341">
        <f t="shared" ca="1" si="413"/>
        <v>14409855.890321288</v>
      </c>
    </row>
    <row r="758" spans="1:146" s="266" customFormat="1" x14ac:dyDescent="0.25">
      <c r="A758" s="313">
        <v>92</v>
      </c>
      <c r="B758" s="314">
        <v>92</v>
      </c>
      <c r="C758" s="308">
        <f>VLOOKUP($B758,'Infant adult mortality'!$A$27:$I$128,3)</f>
        <v>4.6031053714131569E-2</v>
      </c>
      <c r="D758" s="309">
        <f t="shared" si="335"/>
        <v>0.27</v>
      </c>
      <c r="E758" s="309">
        <f>VLOOKUP($B758,'Infant pick up smoking rates'!$A$19:$I$104,3)</f>
        <v>0</v>
      </c>
      <c r="F758" s="309">
        <f t="shared" si="336"/>
        <v>0.14624098391610749</v>
      </c>
      <c r="G758" s="309">
        <f t="shared" si="337"/>
        <v>0.53772796236976095</v>
      </c>
      <c r="H758" s="309">
        <f>VLOOKUP($B758,'Infant adult mortality'!$A$27:$I$128,3)</f>
        <v>4.6031053714131569E-2</v>
      </c>
      <c r="I758" s="309">
        <f t="shared" si="338"/>
        <v>0.14000000000000001</v>
      </c>
      <c r="J758" s="309">
        <f>VLOOKUP($B758,'Infant pick up smoking rates'!$A$19:$I$104,2)</f>
        <v>0</v>
      </c>
      <c r="K758" s="309">
        <f t="shared" si="339"/>
        <v>0.14624098391610749</v>
      </c>
      <c r="L758" s="309">
        <f t="shared" si="340"/>
        <v>0.66772796236976095</v>
      </c>
      <c r="M758" s="309">
        <f>VLOOKUP($B758,'Infant adult mortality'!$A$27:$I$128,3)</f>
        <v>4.6031053714131569E-2</v>
      </c>
      <c r="N758" s="309">
        <f t="shared" si="341"/>
        <v>0.5714285714285714</v>
      </c>
      <c r="O758" s="309">
        <f>VLOOKUP($B758,'Infant pick up smoking rates'!$A$19:$I$104,2)</f>
        <v>0</v>
      </c>
      <c r="P758" s="309">
        <f t="shared" si="342"/>
        <v>0.12016234480898272</v>
      </c>
      <c r="Q758" s="309">
        <f t="shared" si="343"/>
        <v>0.26237803004831434</v>
      </c>
      <c r="R758" s="309">
        <f>VLOOKUP($B758,'Infant adult mortality'!$A$27:$I$128,3)</f>
        <v>4.6031053714131569E-2</v>
      </c>
      <c r="S758" s="309">
        <f t="shared" si="344"/>
        <v>8.6261668788331098E-3</v>
      </c>
      <c r="T758" s="309">
        <f>VLOOKUP($B758,'Infant pick up smoking rates'!$A$19:$I$104,2)</f>
        <v>0</v>
      </c>
      <c r="U758" s="309">
        <f t="shared" si="345"/>
        <v>0.12016234480898272</v>
      </c>
      <c r="V758" s="309">
        <f t="shared" si="346"/>
        <v>0.82518043459805268</v>
      </c>
      <c r="W758" s="309">
        <f>VLOOKUP($B758,'Infant adult mortality'!$A$27:$I$128,3)</f>
        <v>4.6031053714131569E-2</v>
      </c>
      <c r="X758" s="309">
        <f>VLOOKUP($B758,'Infant pick up smoking rates'!$A$19:$I$104,2)</f>
        <v>0</v>
      </c>
      <c r="Y758" s="309">
        <f t="shared" si="347"/>
        <v>0.95396894628586848</v>
      </c>
      <c r="Z758" s="309">
        <f>VLOOKUP($B758,'Infant adult mortality'!$A$27:$I$128,5)</f>
        <v>5.9709320565127955E-2</v>
      </c>
      <c r="AA758" s="309">
        <f t="shared" si="326"/>
        <v>0.25</v>
      </c>
      <c r="AB758" s="309">
        <f t="shared" si="348"/>
        <v>0.69029067943487199</v>
      </c>
      <c r="AC758" s="309">
        <f>VLOOKUP($B758,'Infant adult mortality'!$A$27:$I$128,5)</f>
        <v>5.9709320565127955E-2</v>
      </c>
      <c r="AD758" s="309">
        <f t="shared" si="327"/>
        <v>0.14000000000000001</v>
      </c>
      <c r="AE758" s="309">
        <f t="shared" si="349"/>
        <v>0.80029067943487209</v>
      </c>
      <c r="AF758" s="309">
        <f>VLOOKUP($B758,'Infant adult mortality'!$A$27:$I$128,4)</f>
        <v>4.9061567926627775E-2</v>
      </c>
      <c r="AG758" s="309">
        <f t="shared" si="328"/>
        <v>0.5714285714285714</v>
      </c>
      <c r="AH758" s="309">
        <f t="shared" si="350"/>
        <v>0.37950986064480086</v>
      </c>
      <c r="AI758" s="309">
        <f>VLOOKUP($B758,'Infant adult mortality'!$A$27:$I$128,4)</f>
        <v>4.9061567926627775E-2</v>
      </c>
      <c r="AJ758" s="309">
        <f t="shared" si="329"/>
        <v>8.6261668788331098E-3</v>
      </c>
      <c r="AK758" s="309">
        <f t="shared" si="351"/>
        <v>0.94231226519453914</v>
      </c>
      <c r="AL758" s="309"/>
      <c r="AM758" s="315">
        <f t="shared" si="388"/>
        <v>0.2608857049842474</v>
      </c>
      <c r="AN758" s="316">
        <f t="shared" si="389"/>
        <v>8.6637092845238975E-2</v>
      </c>
      <c r="AO758" s="316">
        <f t="shared" si="390"/>
        <v>1.4853928291907171E-2</v>
      </c>
      <c r="AP758" s="316">
        <f t="shared" si="391"/>
        <v>1.2291530034091729</v>
      </c>
      <c r="AQ758" s="316">
        <f t="shared" si="392"/>
        <v>96.432575023622618</v>
      </c>
      <c r="AR758" s="316">
        <f t="shared" si="393"/>
        <v>46.331967959379377</v>
      </c>
      <c r="AS758" s="316">
        <f t="shared" si="394"/>
        <v>12.404834861587242</v>
      </c>
      <c r="AT758" s="316">
        <f t="shared" si="395"/>
        <v>1.8498463413410899</v>
      </c>
      <c r="AU758" s="316">
        <f t="shared" si="396"/>
        <v>84.334342625858326</v>
      </c>
      <c r="AV758" s="316">
        <f t="shared" si="397"/>
        <v>267.0549034586806</v>
      </c>
      <c r="AW758" s="317">
        <f t="shared" si="352"/>
        <v>509.99999999999977</v>
      </c>
      <c r="AX758" s="309"/>
      <c r="AY758" s="308">
        <f>VLOOKUP($B758,'Infant adult mortality'!$A$134:$I$234,3)</f>
        <v>3.7185480325049737E-2</v>
      </c>
      <c r="AZ758" s="309">
        <f t="shared" si="353"/>
        <v>0.27</v>
      </c>
      <c r="BA758" s="309">
        <f ca="1">VLOOKUP($B758,'Infant pick up smoking rates'!$A$19:$I$104,7)</f>
        <v>0</v>
      </c>
      <c r="BB758" s="309">
        <f t="shared" si="354"/>
        <v>0.14624098391610749</v>
      </c>
      <c r="BC758" s="309">
        <f t="shared" ca="1" si="355"/>
        <v>0.54657353575884271</v>
      </c>
      <c r="BD758" s="309">
        <f>VLOOKUP($B758,'Infant adult mortality'!$A$134:$I$234,3)</f>
        <v>3.7185480325049737E-2</v>
      </c>
      <c r="BE758" s="309">
        <f t="shared" si="356"/>
        <v>0.14000000000000001</v>
      </c>
      <c r="BF758" s="309">
        <f>VLOOKUP($B758,'Infant pick up smoking rates'!$A$19:$I$104,6)</f>
        <v>0</v>
      </c>
      <c r="BG758" s="309">
        <f t="shared" si="357"/>
        <v>0.14624098391610749</v>
      </c>
      <c r="BH758" s="309">
        <f t="shared" si="358"/>
        <v>0.67657353575884271</v>
      </c>
      <c r="BI758" s="309">
        <f>VLOOKUP($B758,'Infant adult mortality'!$A$134:$I$234,3)</f>
        <v>3.7185480325049737E-2</v>
      </c>
      <c r="BJ758" s="309">
        <f t="shared" si="359"/>
        <v>0.5714285714285714</v>
      </c>
      <c r="BK758" s="309">
        <f>VLOOKUP($B758,'Infant pick up smoking rates'!$A$19:$I$104,6)</f>
        <v>0</v>
      </c>
      <c r="BL758" s="309">
        <f t="shared" si="360"/>
        <v>0.12016234480898272</v>
      </c>
      <c r="BM758" s="309">
        <f t="shared" si="361"/>
        <v>0.27122360343739615</v>
      </c>
      <c r="BN758" s="309">
        <f>VLOOKUP($B758,'Infant adult mortality'!$A$134:$I$234,3)</f>
        <v>3.7185480325049737E-2</v>
      </c>
      <c r="BO758" s="309">
        <f t="shared" si="362"/>
        <v>8.6261668788331098E-3</v>
      </c>
      <c r="BP758" s="309">
        <f>VLOOKUP($B758,'Infant pick up smoking rates'!$A$19:$I$104,6)</f>
        <v>0</v>
      </c>
      <c r="BQ758" s="309">
        <f t="shared" si="363"/>
        <v>0.12016234480898272</v>
      </c>
      <c r="BR758" s="309">
        <f t="shared" si="364"/>
        <v>0.83402600798713444</v>
      </c>
      <c r="BS758" s="309">
        <f>VLOOKUP($B758,'Infant adult mortality'!$A$134:$I$234,3)</f>
        <v>3.7185480325049737E-2</v>
      </c>
      <c r="BT758" s="309">
        <f>VLOOKUP($B758,'Infant pick up smoking rates'!$A$19:$I$104,6)</f>
        <v>0</v>
      </c>
      <c r="BU758" s="309">
        <f t="shared" si="365"/>
        <v>0.96281451967495024</v>
      </c>
      <c r="BV758" s="309">
        <f>VLOOKUP($B758,'Infant adult mortality'!$A$134:$I$234,5)</f>
        <v>4.8235258286407928E-2</v>
      </c>
      <c r="BW758" s="309">
        <f t="shared" si="366"/>
        <v>0.27</v>
      </c>
      <c r="BX758" s="309">
        <f t="shared" si="367"/>
        <v>0.68176474171359203</v>
      </c>
      <c r="BY758" s="309">
        <f>VLOOKUP($B758,'Infant adult mortality'!$A$134:$I$234,5)</f>
        <v>4.8235258286407928E-2</v>
      </c>
      <c r="BZ758" s="309">
        <f t="shared" si="368"/>
        <v>0.14000000000000001</v>
      </c>
      <c r="CA758" s="309">
        <f t="shared" si="369"/>
        <v>0.81176474171359203</v>
      </c>
      <c r="CB758" s="309">
        <f>VLOOKUP($B758,'Infant adult mortality'!$A$134:$I$234,4)</f>
        <v>3.9633634723674011E-2</v>
      </c>
      <c r="CC758" s="309">
        <f t="shared" si="370"/>
        <v>0.5714285714285714</v>
      </c>
      <c r="CD758" s="309">
        <f t="shared" si="371"/>
        <v>0.38893779384775462</v>
      </c>
      <c r="CE758" s="309">
        <f>VLOOKUP($B758,'Infant adult mortality'!$A$134:$I$234,4)</f>
        <v>3.9633634723674011E-2</v>
      </c>
      <c r="CF758" s="309">
        <f t="shared" si="372"/>
        <v>8.6261668788331098E-3</v>
      </c>
      <c r="CG758" s="309">
        <f t="shared" si="373"/>
        <v>0.95174019839749291</v>
      </c>
      <c r="CH758" s="309"/>
      <c r="CI758" s="315">
        <f t="shared" ca="1" si="398"/>
        <v>0.40721621266896973</v>
      </c>
      <c r="CJ758" s="316">
        <f t="shared" ca="1" si="399"/>
        <v>0.13375509706405317</v>
      </c>
      <c r="CK758" s="316">
        <f t="shared" ca="1" si="400"/>
        <v>2.269051178727877E-2</v>
      </c>
      <c r="CL758" s="316">
        <f t="shared" ca="1" si="401"/>
        <v>1.8877347653229457</v>
      </c>
      <c r="CM758" s="316">
        <f t="shared" ca="1" si="402"/>
        <v>146.37092808029504</v>
      </c>
      <c r="CN758" s="316">
        <f t="shared" ca="1" si="403"/>
        <v>40.778273933588885</v>
      </c>
      <c r="CO758" s="316">
        <f t="shared" ca="1" si="404"/>
        <v>11.653823497435305</v>
      </c>
      <c r="CP758" s="316">
        <f t="shared" ca="1" si="405"/>
        <v>1.7183225098590988</v>
      </c>
      <c r="CQ758" s="316">
        <f t="shared" ca="1" si="406"/>
        <v>76.896907785768647</v>
      </c>
      <c r="CR758" s="316">
        <f t="shared" ca="1" si="407"/>
        <v>210.13034760621056</v>
      </c>
      <c r="CS758" s="317">
        <f t="shared" ca="1" si="374"/>
        <v>490.0000000000008</v>
      </c>
      <c r="CT758" s="309"/>
      <c r="CU758" s="309">
        <f t="shared" ca="1" si="375"/>
        <v>1000.0000000000006</v>
      </c>
      <c r="CV758" s="309" t="str">
        <f t="shared" ca="1" si="330"/>
        <v>OKAY</v>
      </c>
      <c r="CW758" s="309"/>
      <c r="CX758" s="315">
        <f>(SUM($AR758:$AS758))-((SUM($AR758:$AS758)*VLOOKUP($B758,Lifetime_morbidity_array!$A$30:$Y$48,4))+(SUM($AR758:$AS758)*VLOOKUP($B758,Lifetime_morbidity_array!$A$30:$Y$48,7))+(SUM($AR758:$AS758)*VLOOKUP($B758,Lifetime_morbidity_array!$A$30:$Y$48,10))+(SUM($AR758:$AS758)*VLOOKUP($B758,Lifetime_morbidity_array!$A$30:$Y$48,13)))</f>
        <v>-1.5865173284297782</v>
      </c>
      <c r="CY758" s="316">
        <f>(SUM($AT758:$AU758))-((SUM($AT758:$AU758)*(VLOOKUP($B758,Lifetime_morbidity_array!$A$30:$Y$48,3)))+(SUM($AT758:$AU758)*(VLOOKUP($B758,Lifetime_morbidity_array!$A$30:$Y$48,6)))+(SUM($AT758:$AU758)*(VLOOKUP($B758,Lifetime_morbidity_array!$A$30:$Y$48,9)))+(SUM($AT758:$AU758)*(VLOOKUP($B758,Lifetime_morbidity_array!$A$30:$Y$48,12))))</f>
        <v>39.084684398111243</v>
      </c>
      <c r="CZ758" s="316">
        <f>(SUM($AM758:$AQ758))-((SUM($AM758:$AQ758)*VLOOKUP($B758,Lifetime_morbidity_array!$A$30:$Y$48,2))+(SUM($AM758:$AQ758)*VLOOKUP($B758,Lifetime_morbidity_array!$A$30:$Y$48,5))+(SUM($AM758:$AQ758)*VLOOKUP($B758,Lifetime_morbidity_array!$A$30:$Y$48,8))+(SUM($AM758:$AQ758)*VLOOKUP($B758,Lifetime_morbidity_array!$A$30:$Y$48,11)))</f>
        <v>62.493939755180712</v>
      </c>
      <c r="DA758" s="316">
        <f>(SUM($AM758:$AQ758)*VLOOKUP($B758,Lifetime_morbidity_array!$A$30:$Y$48,2))+(SUM($AR758:$AS758)*VLOOKUP($B758,Lifetime_morbidity_array!$A$30:$Y$48,4))+(SUM($AT758:$AU758)*(VLOOKUP($B758,Lifetime_morbidity_array!$A$30:$Y$48,3)))</f>
        <v>74.443602370599436</v>
      </c>
      <c r="DB758" s="316">
        <f>(SUM($AM758:$AQ758)*VLOOKUP($B758,Lifetime_morbidity_array!$A$30:$Y$48,5))+(SUM($AR758:$AS758)*VLOOKUP($B758,Lifetime_morbidity_array!$A$30:$Y$48,7))+(SUM($AT758:$AU758)*(VLOOKUP($B758,Lifetime_morbidity_array!$A$30:$Y$48,6)))</f>
        <v>32.651636855889592</v>
      </c>
      <c r="DC758" s="316">
        <f>(SUM($AM758:$AQ758)*VLOOKUP($B758,Lifetime_morbidity_array!$A$30:$Y$48,8))+(SUM($AR758:$AS758)*VLOOKUP($B758,Lifetime_morbidity_array!$A$30:$Y$48,10))+(SUM($AT758:$AU758)*(VLOOKUP($B758,Lifetime_morbidity_array!$A$30:$Y$48,9)))</f>
        <v>2.6390111665904494</v>
      </c>
      <c r="DD758" s="317">
        <f>(SUM($AM758:$AQ758)*VLOOKUP($B758,Lifetime_morbidity_array!$A$30:$Y$48,11))+(SUM($AR758:$AS758)*VLOOKUP($B758,Lifetime_morbidity_array!$A$30:$Y$48,13))+(SUM($AT758:$AU758)*(VLOOKUP($B758,Lifetime_morbidity_array!$A$30:$Y$48,12)))</f>
        <v>33.218739323377569</v>
      </c>
      <c r="DE758" s="309"/>
      <c r="DF758" s="315">
        <f ca="1">(SUM($CN758:$CO758))-((SUM($CN758:$CO758)*VLOOKUP($B758,Lifetime_morbidity_array!$A$6:$Y$24,4))+(SUM($CN758:$CO758)*VLOOKUP($B758,Lifetime_morbidity_array!$A$6:$Y$24,7))+(SUM($CN758:$CO758)*VLOOKUP($B758,Lifetime_morbidity_array!$A$6:$Y$24,10))+(SUM($CN758:$CO758)*VLOOKUP($B758,Lifetime_morbidity_array!$A$6:$Y$24,13)))</f>
        <v>8.3128217133287734</v>
      </c>
      <c r="DG758" s="316">
        <f ca="1">(SUM($CP758:$CQ758))-(((SUM($CP758:$CQ758)*VLOOKUP($B758,Lifetime_morbidity_array!$A$6:$Y$24,3))+(SUM($CP758:$CQ758)*VLOOKUP($B758,Lifetime_morbidity_array!$A$6:$Y$24,6))+(SUM($CP758:$CQ758)*VLOOKUP($B758,Lifetime_morbidity_array!$A$6:$Y$24,9))+(SUM($CP758:$CQ758)*VLOOKUP($B758,Lifetime_morbidity_array!$A$6:$Y$24,12))))</f>
        <v>45.752708096587511</v>
      </c>
      <c r="DH758" s="316">
        <f ca="1">(SUM($CI758:$CM758))-((SUM($CI758:$CM758)*VLOOKUP($B758,Lifetime_morbidity_array!$A$6:$Y$24,2))+(SUM($CI758:$CM758)*VLOOKUP($B758,Lifetime_morbidity_array!$A$6:$Y$24,5))+(SUM($CI758:$CM758)*VLOOKUP($B758,Lifetime_morbidity_array!$A$6:$Y$24,8))+(SUM($CI758:$CM758)*VLOOKUP($B758,Lifetime_morbidity_array!$A$6:$Y$24,11)))</f>
        <v>107.72160100742425</v>
      </c>
      <c r="DI758" s="316">
        <f ca="1">(SUM($CI758:$CM758)*VLOOKUP($B758,Lifetime_morbidity_array!$A$6:$Y$24,2))+(SUM($CN758:$CO758)*VLOOKUP($B758,Lifetime_morbidity_array!$A$6:$Y$24,4))+(SUM($CP758:$CQ758)*VLOOKUP($B758,Lifetime_morbidity_array!$A$6:$Y$24,3))</f>
        <v>59.077572678311938</v>
      </c>
      <c r="DJ758" s="316">
        <f ca="1">(SUM($CI758:$CM758)*VLOOKUP($B758,Lifetime_morbidity_array!$A$6:$Y$24,5))+(SUM($CN758:$CO758)*VLOOKUP($B758,Lifetime_morbidity_array!$A$6:$Y$24,7))+(SUM($CP758:$CQ758)*VLOOKUP($B758,Lifetime_morbidity_array!$A$6:$Y$24,6))</f>
        <v>25.256463155845076</v>
      </c>
      <c r="DK758" s="316">
        <f ca="1">(SUM($CI758:$CM758)*VLOOKUP($B758,Lifetime_morbidity_array!$A$6:$Y$24,8))+(SUM($CN758:$CO758)*VLOOKUP($B758,Lifetime_morbidity_array!$A$6:$Y$24,10))+(SUM($CP758:$CQ758)*VLOOKUP($B758,Lifetime_morbidity_array!$A$6:$Y$24,9))</f>
        <v>1.1762140275573887</v>
      </c>
      <c r="DL758" s="317">
        <f ca="1">(SUM($CI758:$CM758)*VLOOKUP($B758,Lifetime_morbidity_array!$A$6:$Y$24,11))+(SUM($CN758:$CO758)*VLOOKUP($B758,Lifetime_morbidity_array!$A$6:$Y$24,13))+(SUM($CP758:$CQ758)*VLOOKUP($B758,Lifetime_morbidity_array!$A$6:$Y$24,12))</f>
        <v>32.572271714735294</v>
      </c>
      <c r="DM758" s="309"/>
      <c r="DN758" s="308">
        <f t="shared" si="376"/>
        <v>92</v>
      </c>
      <c r="DO758" s="309">
        <f t="shared" ca="1" si="377"/>
        <v>22.071693154355486</v>
      </c>
      <c r="DP758" s="310">
        <f t="shared" ca="1" si="408"/>
        <v>23954.982011841654</v>
      </c>
      <c r="DQ758" s="309"/>
      <c r="DR758" s="308">
        <f t="shared" si="378"/>
        <v>92</v>
      </c>
      <c r="DS758" s="309">
        <f ca="1">((VLOOKUP($B758,'Mahawesran Tariff'!$A$21:$M$120,4)*'Comparator (DET)'!$CX758)+(VLOOKUP($B758,'Mahawesran Tariff'!$A$21:$M$120,3)*'Comparator (DET)'!$CY758)+(VLOOKUP($B758,'Mahawesran Tariff'!$A$21:$M$120,2)*'Comparator (DET)'!$CZ758)+(VLOOKUP($B758,'Mahawesran Tariff'!$A$21:$M$120,7)*'Comparator (DET)'!$DF758)+(VLOOKUP($B758,'Mahawesran Tariff'!$A$21:$M$120,6)*'Comparator (DET)'!$DG758)+(VLOOKUP($B758,'Mahawesran Tariff'!$A$21:$M$120,5)*'Comparator (DET)'!$DH758)+(DET_UTIL_chd*('Comparator (DET)'!$DA758+'Comparator (DET)'!$DI758))+(DET_UTIL_copd*('Comparator (DET)'!$DB758+'Comparator (DET)'!$DJ758))+(DET_UTIL_lc*('Comparator (DET)'!$DC758+'Comparator (DET)'!$DK758))+(DET_UTIL_stroke*('Comparator (DET)'!$DD758+'Comparator (DET)'!$DL758)))/((1+Discount_rate_QALYs)^$A758)</f>
        <v>18.184359423278604</v>
      </c>
      <c r="DT758" s="310">
        <f t="shared" ca="1" si="409"/>
        <v>23448.136692385306</v>
      </c>
      <c r="DU758" s="309"/>
      <c r="DV758" s="308">
        <f t="shared" si="379"/>
        <v>92</v>
      </c>
      <c r="DW758" s="318">
        <f t="shared" ca="1" si="380"/>
        <v>74306.467125488474</v>
      </c>
      <c r="DX758" s="319">
        <f t="shared" ca="1" si="410"/>
        <v>11384030.421590693</v>
      </c>
      <c r="DZ758" s="95">
        <f t="shared" si="381"/>
        <v>92</v>
      </c>
      <c r="EA758" s="268">
        <f t="shared" ca="1" si="331"/>
        <v>0.52281474893510937</v>
      </c>
      <c r="EB758" s="268">
        <f t="shared" ca="1" si="332"/>
        <v>0.47718525106489118</v>
      </c>
      <c r="EC758" s="268">
        <f t="shared" ca="1" si="333"/>
        <v>0.26103551129290675</v>
      </c>
      <c r="ED758" s="290">
        <f t="shared" ca="1" si="334"/>
        <v>0.27596831951481793</v>
      </c>
      <c r="EF758" s="95">
        <f t="shared" si="382"/>
        <v>92</v>
      </c>
      <c r="EG758" s="339">
        <f t="shared" ca="1" si="383"/>
        <v>74306.467125488474</v>
      </c>
      <c r="EH758" s="341">
        <f t="shared" ca="1" si="411"/>
        <v>14484162.357446777</v>
      </c>
      <c r="EJ758" s="308">
        <f t="shared" si="384"/>
        <v>92</v>
      </c>
      <c r="EK758" s="318">
        <f t="shared" ca="1" si="385"/>
        <v>74306.467125488474</v>
      </c>
      <c r="EL758" s="319">
        <f t="shared" ca="1" si="412"/>
        <v>11384030.421590693</v>
      </c>
      <c r="EN758" s="95">
        <f t="shared" si="386"/>
        <v>92</v>
      </c>
      <c r="EO758" s="339">
        <f t="shared" ca="1" si="387"/>
        <v>74306.467125488474</v>
      </c>
      <c r="EP758" s="341">
        <f t="shared" ca="1" si="413"/>
        <v>14484162.357446777</v>
      </c>
    </row>
    <row r="759" spans="1:146" s="266" customFormat="1" x14ac:dyDescent="0.25">
      <c r="A759" s="313">
        <v>93</v>
      </c>
      <c r="B759" s="314">
        <v>93</v>
      </c>
      <c r="C759" s="308">
        <f>VLOOKUP($B759,'Infant adult mortality'!$A$27:$I$128,3)</f>
        <v>5.0221845095592951E-2</v>
      </c>
      <c r="D759" s="309">
        <f t="shared" si="335"/>
        <v>0.27</v>
      </c>
      <c r="E759" s="309">
        <f>VLOOKUP($B759,'Infant pick up smoking rates'!$A$19:$I$104,3)</f>
        <v>0</v>
      </c>
      <c r="F759" s="309">
        <f t="shared" si="336"/>
        <v>0.14624098391610749</v>
      </c>
      <c r="G759" s="309">
        <f t="shared" si="337"/>
        <v>0.53353717098829956</v>
      </c>
      <c r="H759" s="309">
        <f>VLOOKUP($B759,'Infant adult mortality'!$A$27:$I$128,3)</f>
        <v>5.0221845095592951E-2</v>
      </c>
      <c r="I759" s="309">
        <f t="shared" si="338"/>
        <v>0.14000000000000001</v>
      </c>
      <c r="J759" s="309">
        <f>VLOOKUP($B759,'Infant pick up smoking rates'!$A$19:$I$104,2)</f>
        <v>0</v>
      </c>
      <c r="K759" s="309">
        <f t="shared" si="339"/>
        <v>0.14624098391610749</v>
      </c>
      <c r="L759" s="309">
        <f t="shared" si="340"/>
        <v>0.66353717098829956</v>
      </c>
      <c r="M759" s="309">
        <f>VLOOKUP($B759,'Infant adult mortality'!$A$27:$I$128,3)</f>
        <v>5.0221845095592951E-2</v>
      </c>
      <c r="N759" s="309">
        <f t="shared" si="341"/>
        <v>0.5714285714285714</v>
      </c>
      <c r="O759" s="309">
        <f>VLOOKUP($B759,'Infant pick up smoking rates'!$A$19:$I$104,2)</f>
        <v>0</v>
      </c>
      <c r="P759" s="309">
        <f t="shared" si="342"/>
        <v>0.12016234480898272</v>
      </c>
      <c r="Q759" s="309">
        <f t="shared" si="343"/>
        <v>0.25818723866685295</v>
      </c>
      <c r="R759" s="309">
        <f>VLOOKUP($B759,'Infant adult mortality'!$A$27:$I$128,3)</f>
        <v>5.0221845095592951E-2</v>
      </c>
      <c r="S759" s="309">
        <f t="shared" si="344"/>
        <v>8.6261668788331098E-3</v>
      </c>
      <c r="T759" s="309">
        <f>VLOOKUP($B759,'Infant pick up smoking rates'!$A$19:$I$104,2)</f>
        <v>0</v>
      </c>
      <c r="U759" s="309">
        <f t="shared" si="345"/>
        <v>0.12016234480898272</v>
      </c>
      <c r="V759" s="309">
        <f t="shared" si="346"/>
        <v>0.82098964321659129</v>
      </c>
      <c r="W759" s="309">
        <f>VLOOKUP($B759,'Infant adult mortality'!$A$27:$I$128,3)</f>
        <v>5.0221845095592951E-2</v>
      </c>
      <c r="X759" s="309">
        <f>VLOOKUP($B759,'Infant pick up smoking rates'!$A$19:$I$104,2)</f>
        <v>0</v>
      </c>
      <c r="Y759" s="309">
        <f t="shared" si="347"/>
        <v>0.94977815490440709</v>
      </c>
      <c r="Z759" s="309">
        <f>VLOOKUP($B759,'Infant adult mortality'!$A$27:$I$128,5)</f>
        <v>6.5145418282361672E-2</v>
      </c>
      <c r="AA759" s="309">
        <f t="shared" si="326"/>
        <v>0.25</v>
      </c>
      <c r="AB759" s="309">
        <f t="shared" si="348"/>
        <v>0.68485458171763836</v>
      </c>
      <c r="AC759" s="309">
        <f>VLOOKUP($B759,'Infant adult mortality'!$A$27:$I$128,5)</f>
        <v>6.5145418282361672E-2</v>
      </c>
      <c r="AD759" s="309">
        <f t="shared" si="327"/>
        <v>0.14000000000000001</v>
      </c>
      <c r="AE759" s="309">
        <f t="shared" si="349"/>
        <v>0.79485458171763834</v>
      </c>
      <c r="AF759" s="309">
        <f>VLOOKUP($B759,'Infant adult mortality'!$A$27:$I$128,4)</f>
        <v>5.3528265502242316E-2</v>
      </c>
      <c r="AG759" s="309">
        <f t="shared" si="328"/>
        <v>0.5714285714285714</v>
      </c>
      <c r="AH759" s="309">
        <f t="shared" si="350"/>
        <v>0.37504316306918628</v>
      </c>
      <c r="AI759" s="309">
        <f>VLOOKUP($B759,'Infant adult mortality'!$A$27:$I$128,4)</f>
        <v>5.3528265502242316E-2</v>
      </c>
      <c r="AJ759" s="309">
        <f t="shared" si="329"/>
        <v>8.6261668788331098E-3</v>
      </c>
      <c r="AK759" s="309">
        <f t="shared" si="351"/>
        <v>0.93784556761892457</v>
      </c>
      <c r="AL759" s="309"/>
      <c r="AM759" s="315">
        <f t="shared" si="388"/>
        <v>0.21111712613383338</v>
      </c>
      <c r="AN759" s="316">
        <f t="shared" si="389"/>
        <v>7.0439140345746803E-2</v>
      </c>
      <c r="AO759" s="316">
        <f t="shared" si="390"/>
        <v>1.2129192998333458E-2</v>
      </c>
      <c r="AP759" s="316">
        <f t="shared" si="391"/>
        <v>1.0176098447514454</v>
      </c>
      <c r="AQ759" s="316">
        <f t="shared" si="392"/>
        <v>91.789858044376786</v>
      </c>
      <c r="AR759" s="316">
        <f t="shared" si="393"/>
        <v>43.011954698314959</v>
      </c>
      <c r="AS759" s="316">
        <f t="shared" si="394"/>
        <v>11.582991989844844</v>
      </c>
      <c r="AT759" s="316">
        <f t="shared" si="395"/>
        <v>1.7366768806222139</v>
      </c>
      <c r="AU759" s="316">
        <f t="shared" si="396"/>
        <v>80.149644481911878</v>
      </c>
      <c r="AV759" s="316">
        <f t="shared" si="397"/>
        <v>280.41757860069976</v>
      </c>
      <c r="AW759" s="317">
        <f t="shared" si="352"/>
        <v>509.99999999999977</v>
      </c>
      <c r="AX759" s="309"/>
      <c r="AY759" s="308">
        <f>VLOOKUP($B759,'Infant adult mortality'!$A$134:$I$234,3)</f>
        <v>4.1199184003776514E-2</v>
      </c>
      <c r="AZ759" s="309">
        <f t="shared" si="353"/>
        <v>0.27</v>
      </c>
      <c r="BA759" s="309">
        <f ca="1">VLOOKUP($B759,'Infant pick up smoking rates'!$A$19:$I$104,7)</f>
        <v>0</v>
      </c>
      <c r="BB759" s="309">
        <f t="shared" si="354"/>
        <v>0.14624098391610749</v>
      </c>
      <c r="BC759" s="309">
        <f t="shared" ca="1" si="355"/>
        <v>0.54255983208011593</v>
      </c>
      <c r="BD759" s="309">
        <f>VLOOKUP($B759,'Infant adult mortality'!$A$134:$I$234,3)</f>
        <v>4.1199184003776514E-2</v>
      </c>
      <c r="BE759" s="309">
        <f t="shared" si="356"/>
        <v>0.14000000000000001</v>
      </c>
      <c r="BF759" s="309">
        <f>VLOOKUP($B759,'Infant pick up smoking rates'!$A$19:$I$104,6)</f>
        <v>0</v>
      </c>
      <c r="BG759" s="309">
        <f t="shared" si="357"/>
        <v>0.14624098391610749</v>
      </c>
      <c r="BH759" s="309">
        <f t="shared" si="358"/>
        <v>0.67255983208011594</v>
      </c>
      <c r="BI759" s="309">
        <f>VLOOKUP($B759,'Infant adult mortality'!$A$134:$I$234,3)</f>
        <v>4.1199184003776514E-2</v>
      </c>
      <c r="BJ759" s="309">
        <f t="shared" si="359"/>
        <v>0.5714285714285714</v>
      </c>
      <c r="BK759" s="309">
        <f>VLOOKUP($B759,'Infant pick up smoking rates'!$A$19:$I$104,6)</f>
        <v>0</v>
      </c>
      <c r="BL759" s="309">
        <f t="shared" si="360"/>
        <v>0.12016234480898272</v>
      </c>
      <c r="BM759" s="309">
        <f t="shared" si="361"/>
        <v>0.26720989975866938</v>
      </c>
      <c r="BN759" s="309">
        <f>VLOOKUP($B759,'Infant adult mortality'!$A$134:$I$234,3)</f>
        <v>4.1199184003776514E-2</v>
      </c>
      <c r="BO759" s="309">
        <f t="shared" si="362"/>
        <v>8.6261668788331098E-3</v>
      </c>
      <c r="BP759" s="309">
        <f>VLOOKUP($B759,'Infant pick up smoking rates'!$A$19:$I$104,6)</f>
        <v>0</v>
      </c>
      <c r="BQ759" s="309">
        <f t="shared" si="363"/>
        <v>0.12016234480898272</v>
      </c>
      <c r="BR759" s="309">
        <f t="shared" si="364"/>
        <v>0.83001230430840767</v>
      </c>
      <c r="BS759" s="309">
        <f>VLOOKUP($B759,'Infant adult mortality'!$A$134:$I$234,3)</f>
        <v>4.1199184003776514E-2</v>
      </c>
      <c r="BT759" s="309">
        <f>VLOOKUP($B759,'Infant pick up smoking rates'!$A$19:$I$104,6)</f>
        <v>0</v>
      </c>
      <c r="BU759" s="309">
        <f t="shared" si="365"/>
        <v>0.95880081599622347</v>
      </c>
      <c r="BV759" s="309">
        <f>VLOOKUP($B759,'Infant adult mortality'!$A$134:$I$234,5)</f>
        <v>5.3441646154364905E-2</v>
      </c>
      <c r="BW759" s="309">
        <f t="shared" si="366"/>
        <v>0.27</v>
      </c>
      <c r="BX759" s="309">
        <f t="shared" si="367"/>
        <v>0.67655835384563512</v>
      </c>
      <c r="BY759" s="309">
        <f>VLOOKUP($B759,'Infant adult mortality'!$A$134:$I$234,5)</f>
        <v>5.3441646154364905E-2</v>
      </c>
      <c r="BZ759" s="309">
        <f t="shared" si="368"/>
        <v>0.14000000000000001</v>
      </c>
      <c r="CA759" s="309">
        <f t="shared" si="369"/>
        <v>0.80655835384563512</v>
      </c>
      <c r="CB759" s="309">
        <f>VLOOKUP($B759,'Infant adult mortality'!$A$134:$I$234,4)</f>
        <v>4.3911585797619453E-2</v>
      </c>
      <c r="CC759" s="309">
        <f t="shared" si="370"/>
        <v>0.5714285714285714</v>
      </c>
      <c r="CD759" s="309">
        <f t="shared" si="371"/>
        <v>0.38465984277380916</v>
      </c>
      <c r="CE759" s="309">
        <f>VLOOKUP($B759,'Infant adult mortality'!$A$134:$I$234,4)</f>
        <v>4.3911585797619453E-2</v>
      </c>
      <c r="CF759" s="309">
        <f t="shared" si="372"/>
        <v>8.6261668788331098E-3</v>
      </c>
      <c r="CG759" s="309">
        <f t="shared" si="373"/>
        <v>0.94746224732354745</v>
      </c>
      <c r="CH759" s="309"/>
      <c r="CI759" s="315">
        <f t="shared" ca="1" si="398"/>
        <v>0.33324451007603845</v>
      </c>
      <c r="CJ759" s="316">
        <f t="shared" ca="1" si="399"/>
        <v>0.10994837742062183</v>
      </c>
      <c r="CK759" s="316">
        <f t="shared" ca="1" si="400"/>
        <v>1.8725713588967446E-2</v>
      </c>
      <c r="CL759" s="316">
        <f t="shared" ca="1" si="401"/>
        <v>1.5798090892243772</v>
      </c>
      <c r="CM759" s="316">
        <f t="shared" ca="1" si="402"/>
        <v>140.64923863899708</v>
      </c>
      <c r="CN759" s="316">
        <f t="shared" ca="1" si="403"/>
        <v>38.312665806777652</v>
      </c>
      <c r="CO759" s="316">
        <f t="shared" ca="1" si="404"/>
        <v>11.010133962069</v>
      </c>
      <c r="CP759" s="316">
        <f t="shared" ca="1" si="405"/>
        <v>1.6315352896409427</v>
      </c>
      <c r="CQ759" s="316">
        <f t="shared" ca="1" si="406"/>
        <v>73.838815639998288</v>
      </c>
      <c r="CR759" s="316">
        <f t="shared" ca="1" si="407"/>
        <v>222.51588297220781</v>
      </c>
      <c r="CS759" s="317">
        <f t="shared" ca="1" si="374"/>
        <v>490.0000000000008</v>
      </c>
      <c r="CT759" s="309"/>
      <c r="CU759" s="309">
        <f t="shared" ca="1" si="375"/>
        <v>1000.0000000000006</v>
      </c>
      <c r="CV759" s="309" t="str">
        <f t="shared" ca="1" si="330"/>
        <v>OKAY</v>
      </c>
      <c r="CW759" s="309"/>
      <c r="CX759" s="315">
        <f>(SUM($AR759:$AS759))-((SUM($AR759:$AS759)*VLOOKUP($B759,Lifetime_morbidity_array!$A$30:$Y$48,4))+(SUM($AR759:$AS759)*VLOOKUP($B759,Lifetime_morbidity_array!$A$30:$Y$48,7))+(SUM($AR759:$AS759)*VLOOKUP($B759,Lifetime_morbidity_array!$A$30:$Y$48,10))+(SUM($AR759:$AS759)*VLOOKUP($B759,Lifetime_morbidity_array!$A$30:$Y$48,13)))</f>
        <v>-1.474643235680972</v>
      </c>
      <c r="CY759" s="316">
        <f>(SUM($AT759:$AU759))-((SUM($AT759:$AU759)*(VLOOKUP($B759,Lifetime_morbidity_array!$A$30:$Y$48,3)))+(SUM($AT759:$AU759)*(VLOOKUP($B759,Lifetime_morbidity_array!$A$30:$Y$48,6)))+(SUM($AT759:$AU759)*(VLOOKUP($B759,Lifetime_morbidity_array!$A$30:$Y$48,9)))+(SUM($AT759:$AU759)*(VLOOKUP($B759,Lifetime_morbidity_array!$A$30:$Y$48,12))))</f>
        <v>37.135593724679929</v>
      </c>
      <c r="CZ759" s="316">
        <f>(SUM($AM759:$AQ759))-((SUM($AM759:$AQ759)*VLOOKUP($B759,Lifetime_morbidity_array!$A$30:$Y$48,2))+(SUM($AM759:$AQ759)*VLOOKUP($B759,Lifetime_morbidity_array!$A$30:$Y$48,5))+(SUM($AM759:$AQ759)*VLOOKUP($B759,Lifetime_morbidity_array!$A$30:$Y$48,8))+(SUM($AM759:$AQ759)*VLOOKUP($B759,Lifetime_morbidity_array!$A$30:$Y$48,11)))</f>
        <v>59.355378793382705</v>
      </c>
      <c r="DA759" s="316">
        <f>(SUM($AM759:$AQ759)*VLOOKUP($B759,Lifetime_morbidity_array!$A$30:$Y$48,2))+(SUM($AR759:$AS759)*VLOOKUP($B759,Lifetime_morbidity_array!$A$30:$Y$48,4))+(SUM($AT759:$AU759)*(VLOOKUP($B759,Lifetime_morbidity_array!$A$30:$Y$48,3)))</f>
        <v>70.178510813764035</v>
      </c>
      <c r="DB759" s="316">
        <f>(SUM($AM759:$AQ759)*VLOOKUP($B759,Lifetime_morbidity_array!$A$30:$Y$48,5))+(SUM($AR759:$AS759)*VLOOKUP($B759,Lifetime_morbidity_array!$A$30:$Y$48,7))+(SUM($AT759:$AU759)*(VLOOKUP($B759,Lifetime_morbidity_array!$A$30:$Y$48,6)))</f>
        <v>30.570395088634314</v>
      </c>
      <c r="DC759" s="316">
        <f>(SUM($AM759:$AQ759)*VLOOKUP($B759,Lifetime_morbidity_array!$A$30:$Y$48,8))+(SUM($AR759:$AS759)*VLOOKUP($B759,Lifetime_morbidity_array!$A$30:$Y$48,10))+(SUM($AT759:$AU759)*(VLOOKUP($B759,Lifetime_morbidity_array!$A$30:$Y$48,9)))</f>
        <v>2.4709204145287265</v>
      </c>
      <c r="DD759" s="317">
        <f>(SUM($AM759:$AQ759)*VLOOKUP($B759,Lifetime_morbidity_array!$A$30:$Y$48,11))+(SUM($AR759:$AS759)*VLOOKUP($B759,Lifetime_morbidity_array!$A$30:$Y$48,13))+(SUM($AT759:$AU759)*(VLOOKUP($B759,Lifetime_morbidity_array!$A$30:$Y$48,12)))</f>
        <v>31.346265799991293</v>
      </c>
      <c r="DE759" s="309"/>
      <c r="DF759" s="315">
        <f ca="1">(SUM($CN759:$CO759))-((SUM($CN759:$CO759)*VLOOKUP($B759,Lifetime_morbidity_array!$A$6:$Y$24,4))+(SUM($CN759:$CO759)*VLOOKUP($B759,Lifetime_morbidity_array!$A$6:$Y$24,7))+(SUM($CN759:$CO759)*VLOOKUP($B759,Lifetime_morbidity_array!$A$6:$Y$24,10))+(SUM($CN759:$CO759)*VLOOKUP($B759,Lifetime_morbidity_array!$A$6:$Y$24,13)))</f>
        <v>7.8198596083251743</v>
      </c>
      <c r="DG759" s="316">
        <f ca="1">(SUM($CP759:$CQ759))-(((SUM($CP759:$CQ759)*VLOOKUP($B759,Lifetime_morbidity_array!$A$6:$Y$24,3))+(SUM($CP759:$CQ759)*VLOOKUP($B759,Lifetime_morbidity_array!$A$6:$Y$24,6))+(SUM($CP759:$CQ759)*VLOOKUP($B759,Lifetime_morbidity_array!$A$6:$Y$24,9))+(SUM($CP759:$CQ759)*VLOOKUP($B759,Lifetime_morbidity_array!$A$6:$Y$24,12))))</f>
        <v>43.922442547660459</v>
      </c>
      <c r="DH759" s="316">
        <f ca="1">(SUM($CI759:$CM759))-((SUM($CI759:$CM759)*VLOOKUP($B759,Lifetime_morbidity_array!$A$6:$Y$24,2))+(SUM($CI759:$CM759)*VLOOKUP($B759,Lifetime_morbidity_array!$A$6:$Y$24,5))+(SUM($CI759:$CM759)*VLOOKUP($B759,Lifetime_morbidity_array!$A$6:$Y$24,8))+(SUM($CI759:$CM759)*VLOOKUP($B759,Lifetime_morbidity_array!$A$6:$Y$24,11)))</f>
        <v>103.28355894633798</v>
      </c>
      <c r="DI759" s="316">
        <f ca="1">(SUM($CI759:$CM759)*VLOOKUP($B759,Lifetime_morbidity_array!$A$6:$Y$24,2))+(SUM($CN759:$CO759)*VLOOKUP($B759,Lifetime_morbidity_array!$A$6:$Y$24,4))+(SUM($CP759:$CQ759)*VLOOKUP($B759,Lifetime_morbidity_array!$A$6:$Y$24,3))</f>
        <v>56.318750101877512</v>
      </c>
      <c r="DJ759" s="316">
        <f ca="1">(SUM($CI759:$CM759)*VLOOKUP($B759,Lifetime_morbidity_array!$A$6:$Y$24,5))+(SUM($CN759:$CO759)*VLOOKUP($B759,Lifetime_morbidity_array!$A$6:$Y$24,7))+(SUM($CP759:$CQ759)*VLOOKUP($B759,Lifetime_morbidity_array!$A$6:$Y$24,6))</f>
        <v>23.946513006433587</v>
      </c>
      <c r="DK759" s="316">
        <f ca="1">(SUM($CI759:$CM759)*VLOOKUP($B759,Lifetime_morbidity_array!$A$6:$Y$24,8))+(SUM($CN759:$CO759)*VLOOKUP($B759,Lifetime_morbidity_array!$A$6:$Y$24,10))+(SUM($CP759:$CQ759)*VLOOKUP($B759,Lifetime_morbidity_array!$A$6:$Y$24,9))</f>
        <v>1.1142851674424374</v>
      </c>
      <c r="DL759" s="317">
        <f ca="1">(SUM($CI759:$CM759)*VLOOKUP($B759,Lifetime_morbidity_array!$A$6:$Y$24,11))+(SUM($CN759:$CO759)*VLOOKUP($B759,Lifetime_morbidity_array!$A$6:$Y$24,13))+(SUM($CP759:$CQ759)*VLOOKUP($B759,Lifetime_morbidity_array!$A$6:$Y$24,12))</f>
        <v>31.078707649715824</v>
      </c>
      <c r="DM759" s="309"/>
      <c r="DN759" s="308">
        <f t="shared" si="376"/>
        <v>93</v>
      </c>
      <c r="DO759" s="309">
        <f t="shared" ca="1" si="377"/>
        <v>20.27505296966434</v>
      </c>
      <c r="DP759" s="310">
        <f t="shared" ca="1" si="408"/>
        <v>23975.257064811318</v>
      </c>
      <c r="DQ759" s="309"/>
      <c r="DR759" s="308">
        <f t="shared" si="378"/>
        <v>93</v>
      </c>
      <c r="DS759" s="309">
        <f ca="1">((VLOOKUP($B759,'Mahawesran Tariff'!$A$21:$M$120,4)*'Comparator (DET)'!$CX759)+(VLOOKUP($B759,'Mahawesran Tariff'!$A$21:$M$120,3)*'Comparator (DET)'!$CY759)+(VLOOKUP($B759,'Mahawesran Tariff'!$A$21:$M$120,2)*'Comparator (DET)'!$CZ759)+(VLOOKUP($B759,'Mahawesran Tariff'!$A$21:$M$120,7)*'Comparator (DET)'!$DF759)+(VLOOKUP($B759,'Mahawesran Tariff'!$A$21:$M$120,6)*'Comparator (DET)'!$DG759)+(VLOOKUP($B759,'Mahawesran Tariff'!$A$21:$M$120,5)*'Comparator (DET)'!$DH759)+(DET_UTIL_chd*('Comparator (DET)'!$DA759+'Comparator (DET)'!$DI759))+(DET_UTIL_copd*('Comparator (DET)'!$DB759+'Comparator (DET)'!$DJ759))+(DET_UTIL_lc*('Comparator (DET)'!$DC759+'Comparator (DET)'!$DK759))+(DET_UTIL_stroke*('Comparator (DET)'!$DD759+'Comparator (DET)'!$DL759)))/((1+Discount_rate_QALYs)^$A759)</f>
        <v>16.713123204086973</v>
      </c>
      <c r="DT759" s="310">
        <f t="shared" ca="1" si="409"/>
        <v>23464.849815589394</v>
      </c>
      <c r="DU759" s="309"/>
      <c r="DV759" s="308">
        <f t="shared" si="379"/>
        <v>93</v>
      </c>
      <c r="DW759" s="318">
        <f t="shared" ca="1" si="380"/>
        <v>68077.775461013865</v>
      </c>
      <c r="DX759" s="319">
        <f t="shared" ca="1" si="410"/>
        <v>11452108.197051708</v>
      </c>
      <c r="DZ759" s="95">
        <f t="shared" si="381"/>
        <v>93</v>
      </c>
      <c r="EA759" s="268">
        <f t="shared" ca="1" si="331"/>
        <v>0.49706653842709309</v>
      </c>
      <c r="EB759" s="268">
        <f t="shared" ca="1" si="332"/>
        <v>0.50293346157290753</v>
      </c>
      <c r="EC759" s="268">
        <f t="shared" ca="1" si="333"/>
        <v>0.24702434804238771</v>
      </c>
      <c r="ED759" s="290">
        <f t="shared" ca="1" si="334"/>
        <v>0.26127441874917973</v>
      </c>
      <c r="EF759" s="95">
        <f t="shared" si="382"/>
        <v>93</v>
      </c>
      <c r="EG759" s="339">
        <f t="shared" ca="1" si="383"/>
        <v>68077.775461013865</v>
      </c>
      <c r="EH759" s="341">
        <f t="shared" ca="1" si="411"/>
        <v>14552240.132907791</v>
      </c>
      <c r="EJ759" s="308">
        <f t="shared" si="384"/>
        <v>93</v>
      </c>
      <c r="EK759" s="318">
        <f t="shared" ca="1" si="385"/>
        <v>68077.775461013865</v>
      </c>
      <c r="EL759" s="319">
        <f t="shared" ca="1" si="412"/>
        <v>11452108.197051708</v>
      </c>
      <c r="EN759" s="95">
        <f t="shared" si="386"/>
        <v>93</v>
      </c>
      <c r="EO759" s="339">
        <f t="shared" ca="1" si="387"/>
        <v>68077.775461013865</v>
      </c>
      <c r="EP759" s="341">
        <f t="shared" ca="1" si="413"/>
        <v>14552240.132907791</v>
      </c>
    </row>
    <row r="760" spans="1:146" s="266" customFormat="1" x14ac:dyDescent="0.25">
      <c r="A760" s="313">
        <v>94</v>
      </c>
      <c r="B760" s="314">
        <v>94</v>
      </c>
      <c r="C760" s="308">
        <f>VLOOKUP($B760,'Infant adult mortality'!$A$27:$I$128,3)</f>
        <v>5.4694422901844425E-2</v>
      </c>
      <c r="D760" s="309">
        <f t="shared" si="335"/>
        <v>0.27</v>
      </c>
      <c r="E760" s="309">
        <f>VLOOKUP($B760,'Infant pick up smoking rates'!$A$19:$I$104,3)</f>
        <v>0</v>
      </c>
      <c r="F760" s="309">
        <f t="shared" si="336"/>
        <v>0.14624098391610749</v>
      </c>
      <c r="G760" s="309">
        <f t="shared" si="337"/>
        <v>0.52906459318204802</v>
      </c>
      <c r="H760" s="309">
        <f>VLOOKUP($B760,'Infant adult mortality'!$A$27:$I$128,3)</f>
        <v>5.4694422901844425E-2</v>
      </c>
      <c r="I760" s="309">
        <f t="shared" si="338"/>
        <v>0.14000000000000001</v>
      </c>
      <c r="J760" s="309">
        <f>VLOOKUP($B760,'Infant pick up smoking rates'!$A$19:$I$104,2)</f>
        <v>0</v>
      </c>
      <c r="K760" s="309">
        <f t="shared" si="339"/>
        <v>0.14624098391610749</v>
      </c>
      <c r="L760" s="309">
        <f t="shared" si="340"/>
        <v>0.65906459318204802</v>
      </c>
      <c r="M760" s="309">
        <f>VLOOKUP($B760,'Infant adult mortality'!$A$27:$I$128,3)</f>
        <v>5.4694422901844425E-2</v>
      </c>
      <c r="N760" s="309">
        <f t="shared" si="341"/>
        <v>0.5714285714285714</v>
      </c>
      <c r="O760" s="309">
        <f>VLOOKUP($B760,'Infant pick up smoking rates'!$A$19:$I$104,2)</f>
        <v>0</v>
      </c>
      <c r="P760" s="309">
        <f t="shared" si="342"/>
        <v>0.12016234480898272</v>
      </c>
      <c r="Q760" s="309">
        <f t="shared" si="343"/>
        <v>0.25371466086060146</v>
      </c>
      <c r="R760" s="309">
        <f>VLOOKUP($B760,'Infant adult mortality'!$A$27:$I$128,3)</f>
        <v>5.4694422901844425E-2</v>
      </c>
      <c r="S760" s="309">
        <f t="shared" si="344"/>
        <v>8.6261668788331098E-3</v>
      </c>
      <c r="T760" s="309">
        <f>VLOOKUP($B760,'Infant pick up smoking rates'!$A$19:$I$104,2)</f>
        <v>0</v>
      </c>
      <c r="U760" s="309">
        <f t="shared" si="345"/>
        <v>0.12016234480898272</v>
      </c>
      <c r="V760" s="309">
        <f t="shared" si="346"/>
        <v>0.81651706541033975</v>
      </c>
      <c r="W760" s="309">
        <f>VLOOKUP($B760,'Infant adult mortality'!$A$27:$I$128,3)</f>
        <v>5.4694422901844425E-2</v>
      </c>
      <c r="X760" s="309">
        <f>VLOOKUP($B760,'Infant pick up smoking rates'!$A$19:$I$104,2)</f>
        <v>0</v>
      </c>
      <c r="Y760" s="309">
        <f t="shared" si="347"/>
        <v>0.94530557709815555</v>
      </c>
      <c r="Z760" s="309">
        <f>VLOOKUP($B760,'Infant adult mortality'!$A$27:$I$128,5)</f>
        <v>7.0947036112890716E-2</v>
      </c>
      <c r="AA760" s="309">
        <f t="shared" si="326"/>
        <v>0.25</v>
      </c>
      <c r="AB760" s="309">
        <f t="shared" si="348"/>
        <v>0.67905296388710923</v>
      </c>
      <c r="AC760" s="309">
        <f>VLOOKUP($B760,'Infant adult mortality'!$A$27:$I$128,5)</f>
        <v>7.0947036112890716E-2</v>
      </c>
      <c r="AD760" s="309">
        <f t="shared" si="327"/>
        <v>0.14000000000000001</v>
      </c>
      <c r="AE760" s="309">
        <f t="shared" si="349"/>
        <v>0.78905296388710933</v>
      </c>
      <c r="AF760" s="309">
        <f>VLOOKUP($B760,'Infant adult mortality'!$A$27:$I$128,4)</f>
        <v>5.8295301277944508E-2</v>
      </c>
      <c r="AG760" s="309">
        <f t="shared" si="328"/>
        <v>0.5714285714285714</v>
      </c>
      <c r="AH760" s="309">
        <f t="shared" si="350"/>
        <v>0.37027612729348408</v>
      </c>
      <c r="AI760" s="309">
        <f>VLOOKUP($B760,'Infant adult mortality'!$A$27:$I$128,4)</f>
        <v>5.8295301277944508E-2</v>
      </c>
      <c r="AJ760" s="309">
        <f t="shared" si="329"/>
        <v>8.6261668788331098E-3</v>
      </c>
      <c r="AK760" s="309">
        <f t="shared" si="351"/>
        <v>0.93307853184322243</v>
      </c>
      <c r="AL760" s="309"/>
      <c r="AM760" s="315">
        <f t="shared" si="388"/>
        <v>0.16997396625427685</v>
      </c>
      <c r="AN760" s="316">
        <f t="shared" si="389"/>
        <v>5.7001624056135014E-2</v>
      </c>
      <c r="AO760" s="316">
        <f t="shared" si="390"/>
        <v>9.8614796484045534E-3</v>
      </c>
      <c r="AP760" s="316">
        <f t="shared" si="391"/>
        <v>0.83782677159674079</v>
      </c>
      <c r="AQ760" s="316">
        <f t="shared" si="392"/>
        <v>86.934375653152458</v>
      </c>
      <c r="AR760" s="316">
        <f t="shared" si="393"/>
        <v>39.681423679033607</v>
      </c>
      <c r="AS760" s="316">
        <f t="shared" si="394"/>
        <v>10.75298867457874</v>
      </c>
      <c r="AT760" s="316">
        <f t="shared" si="395"/>
        <v>1.6216188785782784</v>
      </c>
      <c r="AU760" s="316">
        <f t="shared" si="396"/>
        <v>75.778299389865552</v>
      </c>
      <c r="AV760" s="316">
        <f t="shared" si="397"/>
        <v>294.15662988323561</v>
      </c>
      <c r="AW760" s="317">
        <f t="shared" si="352"/>
        <v>509.99999999999983</v>
      </c>
      <c r="AX760" s="309"/>
      <c r="AY760" s="308">
        <f>VLOOKUP($B760,'Infant adult mortality'!$A$134:$I$234,3)</f>
        <v>4.5577959335064241E-2</v>
      </c>
      <c r="AZ760" s="309">
        <f t="shared" si="353"/>
        <v>0.27</v>
      </c>
      <c r="BA760" s="309">
        <f ca="1">VLOOKUP($B760,'Infant pick up smoking rates'!$A$19:$I$104,7)</f>
        <v>0</v>
      </c>
      <c r="BB760" s="309">
        <f t="shared" si="354"/>
        <v>0.14624098391610749</v>
      </c>
      <c r="BC760" s="309">
        <f t="shared" ca="1" si="355"/>
        <v>0.53818105674882821</v>
      </c>
      <c r="BD760" s="309">
        <f>VLOOKUP($B760,'Infant adult mortality'!$A$134:$I$234,3)</f>
        <v>4.5577959335064241E-2</v>
      </c>
      <c r="BE760" s="309">
        <f t="shared" si="356"/>
        <v>0.14000000000000001</v>
      </c>
      <c r="BF760" s="309">
        <f>VLOOKUP($B760,'Infant pick up smoking rates'!$A$19:$I$104,6)</f>
        <v>0</v>
      </c>
      <c r="BG760" s="309">
        <f t="shared" si="357"/>
        <v>0.14624098391610749</v>
      </c>
      <c r="BH760" s="309">
        <f t="shared" si="358"/>
        <v>0.66818105674882822</v>
      </c>
      <c r="BI760" s="309">
        <f>VLOOKUP($B760,'Infant adult mortality'!$A$134:$I$234,3)</f>
        <v>4.5577959335064241E-2</v>
      </c>
      <c r="BJ760" s="309">
        <f t="shared" si="359"/>
        <v>0.5714285714285714</v>
      </c>
      <c r="BK760" s="309">
        <f>VLOOKUP($B760,'Infant pick up smoking rates'!$A$19:$I$104,6)</f>
        <v>0</v>
      </c>
      <c r="BL760" s="309">
        <f t="shared" si="360"/>
        <v>0.12016234480898272</v>
      </c>
      <c r="BM760" s="309">
        <f t="shared" si="361"/>
        <v>0.26283112442738166</v>
      </c>
      <c r="BN760" s="309">
        <f>VLOOKUP($B760,'Infant adult mortality'!$A$134:$I$234,3)</f>
        <v>4.5577959335064241E-2</v>
      </c>
      <c r="BO760" s="309">
        <f t="shared" si="362"/>
        <v>8.6261668788331098E-3</v>
      </c>
      <c r="BP760" s="309">
        <f>VLOOKUP($B760,'Infant pick up smoking rates'!$A$19:$I$104,6)</f>
        <v>0</v>
      </c>
      <c r="BQ760" s="309">
        <f t="shared" si="363"/>
        <v>0.12016234480898272</v>
      </c>
      <c r="BR760" s="309">
        <f t="shared" si="364"/>
        <v>0.82563352897711995</v>
      </c>
      <c r="BS760" s="309">
        <f>VLOOKUP($B760,'Infant adult mortality'!$A$134:$I$234,3)</f>
        <v>4.5577959335064241E-2</v>
      </c>
      <c r="BT760" s="309">
        <f>VLOOKUP($B760,'Infant pick up smoking rates'!$A$19:$I$104,6)</f>
        <v>0</v>
      </c>
      <c r="BU760" s="309">
        <f t="shared" si="365"/>
        <v>0.95442204066493574</v>
      </c>
      <c r="BV760" s="309">
        <f>VLOOKUP($B760,'Infant adult mortality'!$A$134:$I$234,5)</f>
        <v>5.9121587820750582E-2</v>
      </c>
      <c r="BW760" s="309">
        <f t="shared" si="366"/>
        <v>0.27</v>
      </c>
      <c r="BX760" s="309">
        <f t="shared" si="367"/>
        <v>0.67087841217924937</v>
      </c>
      <c r="BY760" s="309">
        <f>VLOOKUP($B760,'Infant adult mortality'!$A$134:$I$234,5)</f>
        <v>5.9121587820750582E-2</v>
      </c>
      <c r="BZ760" s="309">
        <f t="shared" si="368"/>
        <v>0.14000000000000001</v>
      </c>
      <c r="CA760" s="309">
        <f t="shared" si="369"/>
        <v>0.80087841217924938</v>
      </c>
      <c r="CB760" s="309">
        <f>VLOOKUP($B760,'Infant adult mortality'!$A$134:$I$234,4)</f>
        <v>4.8578643490575592E-2</v>
      </c>
      <c r="CC760" s="309">
        <f t="shared" si="370"/>
        <v>0.5714285714285714</v>
      </c>
      <c r="CD760" s="309">
        <f t="shared" si="371"/>
        <v>0.37999278508085299</v>
      </c>
      <c r="CE760" s="309">
        <f>VLOOKUP($B760,'Infant adult mortality'!$A$134:$I$234,4)</f>
        <v>4.8578643490575592E-2</v>
      </c>
      <c r="CF760" s="309">
        <f t="shared" si="372"/>
        <v>8.6261668788331098E-3</v>
      </c>
      <c r="CG760" s="309">
        <f t="shared" si="373"/>
        <v>0.94279518963059128</v>
      </c>
      <c r="CH760" s="309"/>
      <c r="CI760" s="315">
        <f t="shared" ca="1" si="398"/>
        <v>0.27136070279983826</v>
      </c>
      <c r="CJ760" s="316">
        <f t="shared" ca="1" si="399"/>
        <v>8.9976017720530391E-2</v>
      </c>
      <c r="CK760" s="316">
        <f t="shared" ca="1" si="400"/>
        <v>1.5392772838887058E-2</v>
      </c>
      <c r="CL760" s="316">
        <f t="shared" ca="1" si="401"/>
        <v>1.3150437612115766</v>
      </c>
      <c r="CM760" s="316">
        <f t="shared" ca="1" si="402"/>
        <v>134.49563001389808</v>
      </c>
      <c r="CN760" s="316">
        <f t="shared" ca="1" si="403"/>
        <v>35.77783659274224</v>
      </c>
      <c r="CO760" s="316">
        <f t="shared" ca="1" si="404"/>
        <v>10.344419767829967</v>
      </c>
      <c r="CP760" s="316">
        <f t="shared" ca="1" si="405"/>
        <v>1.5414187546896603</v>
      </c>
      <c r="CQ760" s="316">
        <f t="shared" ca="1" si="406"/>
        <v>70.547186073205282</v>
      </c>
      <c r="CR760" s="316">
        <f t="shared" ca="1" si="407"/>
        <v>235.60173554306471</v>
      </c>
      <c r="CS760" s="317">
        <f t="shared" ca="1" si="374"/>
        <v>490.00000000000074</v>
      </c>
      <c r="CT760" s="309"/>
      <c r="CU760" s="309">
        <f t="shared" ca="1" si="375"/>
        <v>1000.0000000000006</v>
      </c>
      <c r="CV760" s="309" t="str">
        <f t="shared" ca="1" si="330"/>
        <v>OKAY</v>
      </c>
      <c r="CW760" s="309"/>
      <c r="CX760" s="315">
        <f>(SUM($AR760:$AS760))-((SUM($AR760:$AS760)*VLOOKUP($B760,Lifetime_morbidity_array!$A$30:$Y$48,4))+(SUM($AR760:$AS760)*VLOOKUP($B760,Lifetime_morbidity_array!$A$30:$Y$48,7))+(SUM($AR760:$AS760)*VLOOKUP($B760,Lifetime_morbidity_array!$A$30:$Y$48,10))+(SUM($AR760:$AS760)*VLOOKUP($B760,Lifetime_morbidity_array!$A$30:$Y$48,13)))</f>
        <v>-1.3622646331648269</v>
      </c>
      <c r="CY760" s="316">
        <f>(SUM($AT760:$AU760))-((SUM($AT760:$AU760)*(VLOOKUP($B760,Lifetime_morbidity_array!$A$30:$Y$48,3)))+(SUM($AT760:$AU760)*(VLOOKUP($B760,Lifetime_morbidity_array!$A$30:$Y$48,6)))+(SUM($AT760:$AU760)*(VLOOKUP($B760,Lifetime_morbidity_array!$A$30:$Y$48,9)))+(SUM($AT760:$AU760)*(VLOOKUP($B760,Lifetime_morbidity_array!$A$30:$Y$48,12))))</f>
        <v>35.101001868371306</v>
      </c>
      <c r="CZ760" s="316">
        <f>(SUM($AM760:$AQ760))-((SUM($AM760:$AQ760)*VLOOKUP($B760,Lifetime_morbidity_array!$A$30:$Y$48,2))+(SUM($AM760:$AQ760)*VLOOKUP($B760,Lifetime_morbidity_array!$A$30:$Y$48,5))+(SUM($AM760:$AQ760)*VLOOKUP($B760,Lifetime_morbidity_array!$A$30:$Y$48,8))+(SUM($AM760:$AQ760)*VLOOKUP($B760,Lifetime_morbidity_array!$A$30:$Y$48,11)))</f>
        <v>56.108970604158266</v>
      </c>
      <c r="DA760" s="316">
        <f>(SUM($AM760:$AQ760)*VLOOKUP($B760,Lifetime_morbidity_array!$A$30:$Y$48,2))+(SUM($AR760:$AS760)*VLOOKUP($B760,Lifetime_morbidity_array!$A$30:$Y$48,4))+(SUM($AT760:$AU760)*(VLOOKUP($B760,Lifetime_morbidity_array!$A$30:$Y$48,3)))</f>
        <v>65.810175803304958</v>
      </c>
      <c r="DB760" s="316">
        <f>(SUM($AM760:$AQ760)*VLOOKUP($B760,Lifetime_morbidity_array!$A$30:$Y$48,5))+(SUM($AR760:$AS760)*VLOOKUP($B760,Lifetime_morbidity_array!$A$30:$Y$48,7))+(SUM($AT760:$AU760)*(VLOOKUP($B760,Lifetime_morbidity_array!$A$30:$Y$48,6)))</f>
        <v>28.459423200078394</v>
      </c>
      <c r="DC760" s="316">
        <f>(SUM($AM760:$AQ760)*VLOOKUP($B760,Lifetime_morbidity_array!$A$30:$Y$48,8))+(SUM($AR760:$AS760)*VLOOKUP($B760,Lifetime_morbidity_array!$A$30:$Y$48,10))+(SUM($AT760:$AU760)*(VLOOKUP($B760,Lifetime_morbidity_array!$A$30:$Y$48,9)))</f>
        <v>2.3004167713847292</v>
      </c>
      <c r="DD760" s="317">
        <f>(SUM($AM760:$AQ760)*VLOOKUP($B760,Lifetime_morbidity_array!$A$30:$Y$48,11))+(SUM($AR760:$AS760)*VLOOKUP($B760,Lifetime_morbidity_array!$A$30:$Y$48,13))+(SUM($AT760:$AU760)*(VLOOKUP($B760,Lifetime_morbidity_array!$A$30:$Y$48,12)))</f>
        <v>29.425646502631366</v>
      </c>
      <c r="DE760" s="309"/>
      <c r="DF760" s="315">
        <f ca="1">(SUM($CN760:$CO760))-((SUM($CN760:$CO760)*VLOOKUP($B760,Lifetime_morbidity_array!$A$6:$Y$24,4))+(SUM($CN760:$CO760)*VLOOKUP($B760,Lifetime_morbidity_array!$A$6:$Y$24,7))+(SUM($CN760:$CO760)*VLOOKUP($B760,Lifetime_morbidity_array!$A$6:$Y$24,10))+(SUM($CN760:$CO760)*VLOOKUP($B760,Lifetime_morbidity_array!$A$6:$Y$24,13)))</f>
        <v>7.3124309903158462</v>
      </c>
      <c r="DG760" s="316">
        <f ca="1">(SUM($CP760:$CQ760))-(((SUM($CP760:$CQ760)*VLOOKUP($B760,Lifetime_morbidity_array!$A$6:$Y$24,3))+(SUM($CP760:$CQ760)*VLOOKUP($B760,Lifetime_morbidity_array!$A$6:$Y$24,6))+(SUM($CP760:$CQ760)*VLOOKUP($B760,Lifetime_morbidity_array!$A$6:$Y$24,9))+(SUM($CP760:$CQ760)*VLOOKUP($B760,Lifetime_morbidity_array!$A$6:$Y$24,12))))</f>
        <v>41.954324643940666</v>
      </c>
      <c r="DH760" s="316">
        <f ca="1">(SUM($CI760:$CM760))-((SUM($CI760:$CM760)*VLOOKUP($B760,Lifetime_morbidity_array!$A$6:$Y$24,2))+(SUM($CI760:$CM760)*VLOOKUP($B760,Lifetime_morbidity_array!$A$6:$Y$24,5))+(SUM($CI760:$CM760)*VLOOKUP($B760,Lifetime_morbidity_array!$A$6:$Y$24,8))+(SUM($CI760:$CM760)*VLOOKUP($B760,Lifetime_morbidity_array!$A$6:$Y$24,11)))</f>
        <v>98.57610509670107</v>
      </c>
      <c r="DI760" s="316">
        <f ca="1">(SUM($CI760:$CM760)*VLOOKUP($B760,Lifetime_morbidity_array!$A$6:$Y$24,2))+(SUM($CN760:$CO760)*VLOOKUP($B760,Lifetime_morbidity_array!$A$6:$Y$24,4))+(SUM($CP760:$CQ760)*VLOOKUP($B760,Lifetime_morbidity_array!$A$6:$Y$24,3))</f>
        <v>53.418398798499084</v>
      </c>
      <c r="DJ760" s="316">
        <f ca="1">(SUM($CI760:$CM760)*VLOOKUP($B760,Lifetime_morbidity_array!$A$6:$Y$24,5))+(SUM($CN760:$CO760)*VLOOKUP($B760,Lifetime_morbidity_array!$A$6:$Y$24,7))+(SUM($CP760:$CQ760)*VLOOKUP($B760,Lifetime_morbidity_array!$A$6:$Y$24,6))</f>
        <v>22.581127735153331</v>
      </c>
      <c r="DK760" s="316">
        <f ca="1">(SUM($CI760:$CM760)*VLOOKUP($B760,Lifetime_morbidity_array!$A$6:$Y$24,8))+(SUM($CN760:$CO760)*VLOOKUP($B760,Lifetime_morbidity_array!$A$6:$Y$24,10))+(SUM($CP760:$CQ760)*VLOOKUP($B760,Lifetime_morbidity_array!$A$6:$Y$24,9))</f>
        <v>1.0498342447536668</v>
      </c>
      <c r="DL760" s="317">
        <f ca="1">(SUM($CI760:$CM760)*VLOOKUP($B760,Lifetime_morbidity_array!$A$6:$Y$24,11))+(SUM($CN760:$CO760)*VLOOKUP($B760,Lifetime_morbidity_array!$A$6:$Y$24,13))+(SUM($CP760:$CQ760)*VLOOKUP($B760,Lifetime_morbidity_array!$A$6:$Y$24,12))</f>
        <v>29.506042947572389</v>
      </c>
      <c r="DM760" s="309"/>
      <c r="DN760" s="308">
        <f t="shared" si="376"/>
        <v>94</v>
      </c>
      <c r="DO760" s="309">
        <f t="shared" ca="1" si="377"/>
        <v>18.532252031767623</v>
      </c>
      <c r="DP760" s="310">
        <f t="shared" ca="1" si="408"/>
        <v>23993.789316843086</v>
      </c>
      <c r="DQ760" s="309"/>
      <c r="DR760" s="308">
        <f t="shared" si="378"/>
        <v>94</v>
      </c>
      <c r="DS760" s="309">
        <f ca="1">((VLOOKUP($B760,'Mahawesran Tariff'!$A$21:$M$120,4)*'Comparator (DET)'!$CX760)+(VLOOKUP($B760,'Mahawesran Tariff'!$A$21:$M$120,3)*'Comparator (DET)'!$CY760)+(VLOOKUP($B760,'Mahawesran Tariff'!$A$21:$M$120,2)*'Comparator (DET)'!$CZ760)+(VLOOKUP($B760,'Mahawesran Tariff'!$A$21:$M$120,7)*'Comparator (DET)'!$DF760)+(VLOOKUP($B760,'Mahawesran Tariff'!$A$21:$M$120,6)*'Comparator (DET)'!$DG760)+(VLOOKUP($B760,'Mahawesran Tariff'!$A$21:$M$120,5)*'Comparator (DET)'!$DH760)+(DET_UTIL_chd*('Comparator (DET)'!$DA760+'Comparator (DET)'!$DI760))+(DET_UTIL_copd*('Comparator (DET)'!$DB760+'Comparator (DET)'!$DJ760))+(DET_UTIL_lc*('Comparator (DET)'!$DC760+'Comparator (DET)'!$DK760))+(DET_UTIL_stroke*('Comparator (DET)'!$DD760+'Comparator (DET)'!$DL760)))/((1+Discount_rate_QALYs)^$A760)</f>
        <v>15.285101314867147</v>
      </c>
      <c r="DT760" s="310">
        <f t="shared" ca="1" si="409"/>
        <v>23480.134916904262</v>
      </c>
      <c r="DU760" s="309"/>
      <c r="DV760" s="308">
        <f t="shared" si="379"/>
        <v>94</v>
      </c>
      <c r="DW760" s="318">
        <f t="shared" ca="1" si="380"/>
        <v>62054.002874433034</v>
      </c>
      <c r="DX760" s="319">
        <f t="shared" ca="1" si="410"/>
        <v>11514162.19992614</v>
      </c>
      <c r="DZ760" s="95">
        <f t="shared" si="381"/>
        <v>94</v>
      </c>
      <c r="EA760" s="268">
        <f t="shared" ca="1" si="331"/>
        <v>0.47024163457370027</v>
      </c>
      <c r="EB760" s="268">
        <f t="shared" ca="1" si="332"/>
        <v>0.52975836542630028</v>
      </c>
      <c r="EC760" s="268">
        <f t="shared" ca="1" si="333"/>
        <v>0.23255106600337791</v>
      </c>
      <c r="ED760" s="290">
        <f t="shared" ca="1" si="334"/>
        <v>0.24604519181052331</v>
      </c>
      <c r="EF760" s="95">
        <f t="shared" si="382"/>
        <v>94</v>
      </c>
      <c r="EG760" s="339">
        <f t="shared" ca="1" si="383"/>
        <v>62054.002874433034</v>
      </c>
      <c r="EH760" s="341">
        <f t="shared" ca="1" si="411"/>
        <v>14614294.135782223</v>
      </c>
      <c r="EJ760" s="308">
        <f t="shared" si="384"/>
        <v>94</v>
      </c>
      <c r="EK760" s="318">
        <f t="shared" ca="1" si="385"/>
        <v>62054.002874433034</v>
      </c>
      <c r="EL760" s="319">
        <f t="shared" ca="1" si="412"/>
        <v>11514162.19992614</v>
      </c>
      <c r="EN760" s="95">
        <f t="shared" si="386"/>
        <v>94</v>
      </c>
      <c r="EO760" s="339">
        <f t="shared" ca="1" si="387"/>
        <v>62054.002874433034</v>
      </c>
      <c r="EP760" s="341">
        <f t="shared" ca="1" si="413"/>
        <v>14614294.135782223</v>
      </c>
    </row>
    <row r="761" spans="1:146" s="266" customFormat="1" x14ac:dyDescent="0.25">
      <c r="A761" s="313">
        <v>95</v>
      </c>
      <c r="B761" s="314">
        <v>95</v>
      </c>
      <c r="C761" s="308">
        <f>VLOOKUP($B761,'Infant adult mortality'!$A$27:$I$128,3)</f>
        <v>5.9510090366523931E-2</v>
      </c>
      <c r="D761" s="309">
        <f t="shared" si="335"/>
        <v>0.27</v>
      </c>
      <c r="E761" s="309">
        <f>VLOOKUP($B761,'Infant pick up smoking rates'!$A$19:$I$104,3)</f>
        <v>0</v>
      </c>
      <c r="F761" s="309">
        <f t="shared" si="336"/>
        <v>0.14624098391610749</v>
      </c>
      <c r="G761" s="309">
        <f t="shared" si="337"/>
        <v>0.52424892571736859</v>
      </c>
      <c r="H761" s="309">
        <f>VLOOKUP($B761,'Infant adult mortality'!$A$27:$I$128,3)</f>
        <v>5.9510090366523931E-2</v>
      </c>
      <c r="I761" s="309">
        <f t="shared" si="338"/>
        <v>0.14000000000000001</v>
      </c>
      <c r="J761" s="309">
        <f>VLOOKUP($B761,'Infant pick up smoking rates'!$A$19:$I$104,2)</f>
        <v>0</v>
      </c>
      <c r="K761" s="309">
        <f t="shared" si="339"/>
        <v>0.14624098391610749</v>
      </c>
      <c r="L761" s="309">
        <f t="shared" si="340"/>
        <v>0.65424892571736859</v>
      </c>
      <c r="M761" s="309">
        <f>VLOOKUP($B761,'Infant adult mortality'!$A$27:$I$128,3)</f>
        <v>5.9510090366523931E-2</v>
      </c>
      <c r="N761" s="309">
        <f t="shared" si="341"/>
        <v>0.5714285714285714</v>
      </c>
      <c r="O761" s="309">
        <f>VLOOKUP($B761,'Infant pick up smoking rates'!$A$19:$I$104,2)</f>
        <v>0</v>
      </c>
      <c r="P761" s="309">
        <f t="shared" si="342"/>
        <v>0.12016234480898272</v>
      </c>
      <c r="Q761" s="309">
        <f t="shared" si="343"/>
        <v>0.24889899339592197</v>
      </c>
      <c r="R761" s="309">
        <f>VLOOKUP($B761,'Infant adult mortality'!$A$27:$I$128,3)</f>
        <v>5.9510090366523931E-2</v>
      </c>
      <c r="S761" s="309">
        <f t="shared" si="344"/>
        <v>8.6261668788331098E-3</v>
      </c>
      <c r="T761" s="309">
        <f>VLOOKUP($B761,'Infant pick up smoking rates'!$A$19:$I$104,2)</f>
        <v>0</v>
      </c>
      <c r="U761" s="309">
        <f t="shared" si="345"/>
        <v>0.12016234480898272</v>
      </c>
      <c r="V761" s="309">
        <f t="shared" si="346"/>
        <v>0.81170139794566032</v>
      </c>
      <c r="W761" s="309">
        <f>VLOOKUP($B761,'Infant adult mortality'!$A$27:$I$128,3)</f>
        <v>5.9510090366523931E-2</v>
      </c>
      <c r="X761" s="309">
        <f>VLOOKUP($B761,'Infant pick up smoking rates'!$A$19:$I$104,2)</f>
        <v>0</v>
      </c>
      <c r="Y761" s="309">
        <f t="shared" si="347"/>
        <v>0.94048990963347612</v>
      </c>
      <c r="Z761" s="309">
        <f>VLOOKUP($B761,'Infant adult mortality'!$A$27:$I$128,5)</f>
        <v>7.7193693731665375E-2</v>
      </c>
      <c r="AA761" s="309">
        <f t="shared" si="326"/>
        <v>0.25</v>
      </c>
      <c r="AB761" s="309">
        <f t="shared" si="348"/>
        <v>0.6728063062683346</v>
      </c>
      <c r="AC761" s="309">
        <f>VLOOKUP($B761,'Infant adult mortality'!$A$27:$I$128,5)</f>
        <v>7.7193693731665375E-2</v>
      </c>
      <c r="AD761" s="309">
        <f t="shared" si="327"/>
        <v>0.14000000000000001</v>
      </c>
      <c r="AE761" s="309">
        <f t="shared" si="349"/>
        <v>0.78280630626833458</v>
      </c>
      <c r="AF761" s="309">
        <f>VLOOKUP($B761,'Infant adult mortality'!$A$27:$I$128,4)</f>
        <v>6.3428014465387608E-2</v>
      </c>
      <c r="AG761" s="309">
        <f t="shared" si="328"/>
        <v>0.5714285714285714</v>
      </c>
      <c r="AH761" s="309">
        <f t="shared" si="350"/>
        <v>0.36514341410604101</v>
      </c>
      <c r="AI761" s="309">
        <f>VLOOKUP($B761,'Infant adult mortality'!$A$27:$I$128,4)</f>
        <v>6.3428014465387608E-2</v>
      </c>
      <c r="AJ761" s="309">
        <f t="shared" si="329"/>
        <v>8.6261668788331098E-3</v>
      </c>
      <c r="AK761" s="309">
        <f t="shared" si="351"/>
        <v>0.9279458186557793</v>
      </c>
      <c r="AL761" s="309"/>
      <c r="AM761" s="315">
        <f t="shared" si="388"/>
        <v>0.13608366641682629</v>
      </c>
      <c r="AN761" s="316">
        <f t="shared" si="389"/>
        <v>4.5892970888654752E-2</v>
      </c>
      <c r="AO761" s="316">
        <f t="shared" si="390"/>
        <v>7.9802273678589025E-3</v>
      </c>
      <c r="AP761" s="316">
        <f t="shared" si="391"/>
        <v>0.68570029296903379</v>
      </c>
      <c r="AQ761" s="316">
        <f t="shared" si="392"/>
        <v>81.895956443664588</v>
      </c>
      <c r="AR761" s="316">
        <f t="shared" si="393"/>
        <v>36.361219148685691</v>
      </c>
      <c r="AS761" s="316">
        <f t="shared" si="394"/>
        <v>9.9203559197584017</v>
      </c>
      <c r="AT761" s="316">
        <f t="shared" si="395"/>
        <v>1.5054184144410236</v>
      </c>
      <c r="AU761" s="316">
        <f t="shared" si="396"/>
        <v>71.244795422859127</v>
      </c>
      <c r="AV761" s="316">
        <f t="shared" si="397"/>
        <v>308.19659749294863</v>
      </c>
      <c r="AW761" s="317">
        <f t="shared" si="352"/>
        <v>509.99999999999983</v>
      </c>
      <c r="AX761" s="309"/>
      <c r="AY761" s="308">
        <f>VLOOKUP($B761,'Infant adult mortality'!$A$134:$I$234,3)</f>
        <v>5.0274431331557477E-2</v>
      </c>
      <c r="AZ761" s="309">
        <f t="shared" si="353"/>
        <v>0.27</v>
      </c>
      <c r="BA761" s="309">
        <f ca="1">VLOOKUP($B761,'Infant pick up smoking rates'!$A$19:$I$104,7)</f>
        <v>0</v>
      </c>
      <c r="BB761" s="309">
        <f t="shared" si="354"/>
        <v>0.14624098391610749</v>
      </c>
      <c r="BC761" s="309">
        <f t="shared" ca="1" si="355"/>
        <v>0.53348458475233496</v>
      </c>
      <c r="BD761" s="309">
        <f>VLOOKUP($B761,'Infant adult mortality'!$A$134:$I$234,3)</f>
        <v>5.0274431331557477E-2</v>
      </c>
      <c r="BE761" s="309">
        <f t="shared" si="356"/>
        <v>0.14000000000000001</v>
      </c>
      <c r="BF761" s="309">
        <f>VLOOKUP($B761,'Infant pick up smoking rates'!$A$19:$I$104,6)</f>
        <v>0</v>
      </c>
      <c r="BG761" s="309">
        <f t="shared" si="357"/>
        <v>0.14624098391610749</v>
      </c>
      <c r="BH761" s="309">
        <f t="shared" si="358"/>
        <v>0.66348458475233496</v>
      </c>
      <c r="BI761" s="309">
        <f>VLOOKUP($B761,'Infant adult mortality'!$A$134:$I$234,3)</f>
        <v>5.0274431331557477E-2</v>
      </c>
      <c r="BJ761" s="309">
        <f t="shared" si="359"/>
        <v>0.5714285714285714</v>
      </c>
      <c r="BK761" s="309">
        <f>VLOOKUP($B761,'Infant pick up smoking rates'!$A$19:$I$104,6)</f>
        <v>0</v>
      </c>
      <c r="BL761" s="309">
        <f t="shared" si="360"/>
        <v>0.12016234480898272</v>
      </c>
      <c r="BM761" s="309">
        <f t="shared" si="361"/>
        <v>0.25813465243088846</v>
      </c>
      <c r="BN761" s="309">
        <f>VLOOKUP($B761,'Infant adult mortality'!$A$134:$I$234,3)</f>
        <v>5.0274431331557477E-2</v>
      </c>
      <c r="BO761" s="309">
        <f t="shared" si="362"/>
        <v>8.6261668788331098E-3</v>
      </c>
      <c r="BP761" s="309">
        <f>VLOOKUP($B761,'Infant pick up smoking rates'!$A$19:$I$104,6)</f>
        <v>0</v>
      </c>
      <c r="BQ761" s="309">
        <f t="shared" si="363"/>
        <v>0.12016234480898272</v>
      </c>
      <c r="BR761" s="309">
        <f t="shared" si="364"/>
        <v>0.82093705698062669</v>
      </c>
      <c r="BS761" s="309">
        <f>VLOOKUP($B761,'Infant adult mortality'!$A$134:$I$234,3)</f>
        <v>5.0274431331557477E-2</v>
      </c>
      <c r="BT761" s="309">
        <f>VLOOKUP($B761,'Infant pick up smoking rates'!$A$19:$I$104,6)</f>
        <v>0</v>
      </c>
      <c r="BU761" s="309">
        <f t="shared" si="365"/>
        <v>0.94972556866844249</v>
      </c>
      <c r="BV761" s="309">
        <f>VLOOKUP($B761,'Infant adult mortality'!$A$134:$I$234,5)</f>
        <v>6.5213630677411732E-2</v>
      </c>
      <c r="BW761" s="309">
        <f t="shared" si="366"/>
        <v>0.27</v>
      </c>
      <c r="BX761" s="309">
        <f t="shared" si="367"/>
        <v>0.66478636932258828</v>
      </c>
      <c r="BY761" s="309">
        <f>VLOOKUP($B761,'Infant adult mortality'!$A$134:$I$234,5)</f>
        <v>6.5213630677411732E-2</v>
      </c>
      <c r="BZ761" s="309">
        <f t="shared" si="368"/>
        <v>0.14000000000000001</v>
      </c>
      <c r="CA761" s="309">
        <f t="shared" si="369"/>
        <v>0.79478636932258828</v>
      </c>
      <c r="CB761" s="309">
        <f>VLOOKUP($B761,'Infant adult mortality'!$A$134:$I$234,4)</f>
        <v>5.3584313821357525E-2</v>
      </c>
      <c r="CC761" s="309">
        <f t="shared" si="370"/>
        <v>0.5714285714285714</v>
      </c>
      <c r="CD761" s="309">
        <f t="shared" si="371"/>
        <v>0.37498711475007107</v>
      </c>
      <c r="CE761" s="309">
        <f>VLOOKUP($B761,'Infant adult mortality'!$A$134:$I$234,4)</f>
        <v>5.3584313821357525E-2</v>
      </c>
      <c r="CF761" s="309">
        <f t="shared" si="372"/>
        <v>8.6261668788331098E-3</v>
      </c>
      <c r="CG761" s="309">
        <f t="shared" si="373"/>
        <v>0.93778951929980936</v>
      </c>
      <c r="CH761" s="309"/>
      <c r="CI761" s="315">
        <f t="shared" ca="1" si="398"/>
        <v>0.21978164761014149</v>
      </c>
      <c r="CJ761" s="316">
        <f t="shared" ca="1" si="399"/>
        <v>7.3267389755956341E-2</v>
      </c>
      <c r="CK761" s="316">
        <f t="shared" ca="1" si="400"/>
        <v>1.2596642480874255E-2</v>
      </c>
      <c r="CL761" s="316">
        <f t="shared" ca="1" si="401"/>
        <v>1.0883640253234155</v>
      </c>
      <c r="CM761" s="316">
        <f t="shared" ca="1" si="402"/>
        <v>127.94664930945476</v>
      </c>
      <c r="CN761" s="316">
        <f t="shared" ca="1" si="403"/>
        <v>33.192785892070624</v>
      </c>
      <c r="CO761" s="316">
        <f t="shared" ca="1" si="404"/>
        <v>9.6600158800404046</v>
      </c>
      <c r="CP761" s="316">
        <f t="shared" ca="1" si="405"/>
        <v>1.4482187674961955</v>
      </c>
      <c r="CQ761" s="316">
        <f t="shared" ca="1" si="406"/>
        <v>67.039222432510911</v>
      </c>
      <c r="CR761" s="316">
        <f t="shared" ca="1" si="407"/>
        <v>249.31909801325747</v>
      </c>
      <c r="CS761" s="317">
        <f t="shared" ca="1" si="374"/>
        <v>490.0000000000008</v>
      </c>
      <c r="CT761" s="309"/>
      <c r="CU761" s="309">
        <f t="shared" ca="1" si="375"/>
        <v>1000.0000000000007</v>
      </c>
      <c r="CV761" s="309" t="str">
        <f t="shared" ca="1" si="330"/>
        <v>OKAY</v>
      </c>
      <c r="CW761" s="309"/>
      <c r="CX761" s="315">
        <f>(SUM($AR761:$AS761))-((SUM($AR761:$AS761)*VLOOKUP($B761,Lifetime_morbidity_array!$A$30:$Y$48,4))+(SUM($AR761:$AS761)*VLOOKUP($B761,Lifetime_morbidity_array!$A$30:$Y$48,7))+(SUM($AR761:$AS761)*VLOOKUP($B761,Lifetime_morbidity_array!$A$30:$Y$48,10))+(SUM($AR761:$AS761)*VLOOKUP($B761,Lifetime_morbidity_array!$A$30:$Y$48,13)))</f>
        <v>-1.2500939327072089</v>
      </c>
      <c r="CY761" s="316">
        <f>(SUM($AT761:$AU761))-((SUM($AT761:$AU761)*(VLOOKUP($B761,Lifetime_morbidity_array!$A$30:$Y$48,3)))+(SUM($AT761:$AU761)*(VLOOKUP($B761,Lifetime_morbidity_array!$A$30:$Y$48,6)))+(SUM($AT761:$AU761)*(VLOOKUP($B761,Lifetime_morbidity_array!$A$30:$Y$48,9)))+(SUM($AT761:$AU761)*(VLOOKUP($B761,Lifetime_morbidity_array!$A$30:$Y$48,12))))</f>
        <v>32.992352562581409</v>
      </c>
      <c r="CZ761" s="316">
        <f>(SUM($AM761:$AQ761))-((SUM($AM761:$AQ761)*VLOOKUP($B761,Lifetime_morbidity_array!$A$30:$Y$48,2))+(SUM($AM761:$AQ761)*VLOOKUP($B761,Lifetime_morbidity_array!$A$30:$Y$48,5))+(SUM($AM761:$AQ761)*VLOOKUP($B761,Lifetime_morbidity_array!$A$30:$Y$48,8))+(SUM($AM761:$AQ761)*VLOOKUP($B761,Lifetime_morbidity_array!$A$30:$Y$48,11)))</f>
        <v>52.769920693132171</v>
      </c>
      <c r="DA761" s="316">
        <f>(SUM($AM761:$AQ761)*VLOOKUP($B761,Lifetime_morbidity_array!$A$30:$Y$48,2))+(SUM($AR761:$AS761)*VLOOKUP($B761,Lifetime_morbidity_array!$A$30:$Y$48,4))+(SUM($AT761:$AU761)*(VLOOKUP($B761,Lifetime_morbidity_array!$A$30:$Y$48,3)))</f>
        <v>61.363416514322424</v>
      </c>
      <c r="DB761" s="316">
        <f>(SUM($AM761:$AQ761)*VLOOKUP($B761,Lifetime_morbidity_array!$A$30:$Y$48,5))+(SUM($AR761:$AS761)*VLOOKUP($B761,Lifetime_morbidity_array!$A$30:$Y$48,7))+(SUM($AT761:$AU761)*(VLOOKUP($B761,Lifetime_morbidity_array!$A$30:$Y$48,6)))</f>
        <v>26.331626258337788</v>
      </c>
      <c r="DC761" s="316">
        <f>(SUM($AM761:$AQ761)*VLOOKUP($B761,Lifetime_morbidity_array!$A$30:$Y$48,8))+(SUM($AR761:$AS761)*VLOOKUP($B761,Lifetime_morbidity_array!$A$30:$Y$48,10))+(SUM($AT761:$AU761)*(VLOOKUP($B761,Lifetime_morbidity_array!$A$30:$Y$48,9)))</f>
        <v>2.1285422179004407</v>
      </c>
      <c r="DD761" s="317">
        <f>(SUM($AM761:$AQ761)*VLOOKUP($B761,Lifetime_morbidity_array!$A$30:$Y$48,11))+(SUM($AR761:$AS761)*VLOOKUP($B761,Lifetime_morbidity_array!$A$30:$Y$48,13))+(SUM($AT761:$AU761)*(VLOOKUP($B761,Lifetime_morbidity_array!$A$30:$Y$48,12)))</f>
        <v>27.467638193484184</v>
      </c>
      <c r="DE761" s="309"/>
      <c r="DF761" s="315">
        <f ca="1">(SUM($CN761:$CO761))-((SUM($CN761:$CO761)*VLOOKUP($B761,Lifetime_morbidity_array!$A$6:$Y$24,4))+(SUM($CN761:$CO761)*VLOOKUP($B761,Lifetime_morbidity_array!$A$6:$Y$24,7))+(SUM($CN761:$CO761)*VLOOKUP($B761,Lifetime_morbidity_array!$A$6:$Y$24,10))+(SUM($CN761:$CO761)*VLOOKUP($B761,Lifetime_morbidity_array!$A$6:$Y$24,13)))</f>
        <v>6.7940768823296764</v>
      </c>
      <c r="DG761" s="316">
        <f ca="1">(SUM($CP761:$CQ761))-(((SUM($CP761:$CQ761)*VLOOKUP($B761,Lifetime_morbidity_array!$A$6:$Y$24,3))+(SUM($CP761:$CQ761)*VLOOKUP($B761,Lifetime_morbidity_array!$A$6:$Y$24,6))+(SUM($CP761:$CQ761)*VLOOKUP($B761,Lifetime_morbidity_array!$A$6:$Y$24,9))+(SUM($CP761:$CQ761)*VLOOKUP($B761,Lifetime_morbidity_array!$A$6:$Y$24,12))))</f>
        <v>39.858509524462946</v>
      </c>
      <c r="DH761" s="316">
        <f ca="1">(SUM($CI761:$CM761))-((SUM($CI761:$CM761)*VLOOKUP($B761,Lifetime_morbidity_array!$A$6:$Y$24,2))+(SUM($CI761:$CM761)*VLOOKUP($B761,Lifetime_morbidity_array!$A$6:$Y$24,5))+(SUM($CI761:$CM761)*VLOOKUP($B761,Lifetime_morbidity_array!$A$6:$Y$24,8))+(SUM($CI761:$CM761)*VLOOKUP($B761,Lifetime_morbidity_array!$A$6:$Y$24,11)))</f>
        <v>93.620247470084593</v>
      </c>
      <c r="DI761" s="316">
        <f ca="1">(SUM($CI761:$CM761)*VLOOKUP($B761,Lifetime_morbidity_array!$A$6:$Y$24,2))+(SUM($CN761:$CO761)*VLOOKUP($B761,Lifetime_morbidity_array!$A$6:$Y$24,4))+(SUM($CP761:$CQ761)*VLOOKUP($B761,Lifetime_morbidity_array!$A$6:$Y$24,3))</f>
        <v>50.392863703623561</v>
      </c>
      <c r="DJ761" s="316">
        <f ca="1">(SUM($CI761:$CM761)*VLOOKUP($B761,Lifetime_morbidity_array!$A$6:$Y$24,5))+(SUM($CN761:$CO761)*VLOOKUP($B761,Lifetime_morbidity_array!$A$6:$Y$24,7))+(SUM($CP761:$CQ761)*VLOOKUP($B761,Lifetime_morbidity_array!$A$6:$Y$24,6))</f>
        <v>21.16899803760472</v>
      </c>
      <c r="DK761" s="316">
        <f ca="1">(SUM($CI761:$CM761)*VLOOKUP($B761,Lifetime_morbidity_array!$A$6:$Y$24,8))+(SUM($CN761:$CO761)*VLOOKUP($B761,Lifetime_morbidity_array!$A$6:$Y$24,10))+(SUM($CP761:$CQ761)*VLOOKUP($B761,Lifetime_morbidity_array!$A$6:$Y$24,9))</f>
        <v>0.98327587358405721</v>
      </c>
      <c r="DL761" s="317">
        <f ca="1">(SUM($CI761:$CM761)*VLOOKUP($B761,Lifetime_morbidity_array!$A$6:$Y$24,11))+(SUM($CN761:$CO761)*VLOOKUP($B761,Lifetime_morbidity_array!$A$6:$Y$24,13))+(SUM($CP761:$CQ761)*VLOOKUP($B761,Lifetime_morbidity_array!$A$6:$Y$24,12))</f>
        <v>27.862930495053739</v>
      </c>
      <c r="DM761" s="309"/>
      <c r="DN761" s="308">
        <f t="shared" si="376"/>
        <v>95</v>
      </c>
      <c r="DO761" s="309">
        <f t="shared" ca="1" si="377"/>
        <v>16.848631815387911</v>
      </c>
      <c r="DP761" s="310">
        <f t="shared" ca="1" si="408"/>
        <v>24010.637948658474</v>
      </c>
      <c r="DQ761" s="309"/>
      <c r="DR761" s="308">
        <f t="shared" si="378"/>
        <v>95</v>
      </c>
      <c r="DS761" s="309">
        <f ca="1">((VLOOKUP($B761,'Mahawesran Tariff'!$A$21:$M$120,4)*'Comparator (DET)'!$CX761)+(VLOOKUP($B761,'Mahawesran Tariff'!$A$21:$M$120,3)*'Comparator (DET)'!$CY761)+(VLOOKUP($B761,'Mahawesran Tariff'!$A$21:$M$120,2)*'Comparator (DET)'!$CZ761)+(VLOOKUP($B761,'Mahawesran Tariff'!$A$21:$M$120,7)*'Comparator (DET)'!$DF761)+(VLOOKUP($B761,'Mahawesran Tariff'!$A$21:$M$120,6)*'Comparator (DET)'!$DG761)+(VLOOKUP($B761,'Mahawesran Tariff'!$A$21:$M$120,5)*'Comparator (DET)'!$DH761)+(DET_UTIL_chd*('Comparator (DET)'!$DA761+'Comparator (DET)'!$DI761))+(DET_UTIL_copd*('Comparator (DET)'!$DB761+'Comparator (DET)'!$DJ761))+(DET_UTIL_lc*('Comparator (DET)'!$DC761+'Comparator (DET)'!$DK761))+(DET_UTIL_stroke*('Comparator (DET)'!$DD761+'Comparator (DET)'!$DL761)))/((1+Discount_rate_QALYs)^$A761)</f>
        <v>13.904691782015076</v>
      </c>
      <c r="DT761" s="310">
        <f t="shared" ca="1" si="409"/>
        <v>23494.039608686278</v>
      </c>
      <c r="DU761" s="309"/>
      <c r="DV761" s="308">
        <f t="shared" si="379"/>
        <v>95</v>
      </c>
      <c r="DW761" s="318">
        <f t="shared" ca="1" si="380"/>
        <v>56253.017213449384</v>
      </c>
      <c r="DX761" s="319">
        <f t="shared" ca="1" si="410"/>
        <v>11570415.217139589</v>
      </c>
      <c r="DZ761" s="95">
        <f t="shared" si="381"/>
        <v>95</v>
      </c>
      <c r="EA761" s="268">
        <f t="shared" ca="1" si="331"/>
        <v>0.4424843044937945</v>
      </c>
      <c r="EB761" s="268">
        <f t="shared" ca="1" si="332"/>
        <v>0.55751569550620617</v>
      </c>
      <c r="EC761" s="268">
        <f t="shared" ca="1" si="333"/>
        <v>0.21769929129391094</v>
      </c>
      <c r="ED761" s="290">
        <f t="shared" ca="1" si="334"/>
        <v>0.23037203187786234</v>
      </c>
      <c r="EF761" s="95">
        <f t="shared" si="382"/>
        <v>95</v>
      </c>
      <c r="EG761" s="339">
        <f t="shared" ca="1" si="383"/>
        <v>56253.017213449384</v>
      </c>
      <c r="EH761" s="341">
        <f t="shared" ca="1" si="411"/>
        <v>14670547.152995672</v>
      </c>
      <c r="EJ761" s="308">
        <f t="shared" si="384"/>
        <v>95</v>
      </c>
      <c r="EK761" s="318">
        <f t="shared" ca="1" si="385"/>
        <v>56253.017213449384</v>
      </c>
      <c r="EL761" s="319">
        <f t="shared" ca="1" si="412"/>
        <v>11570415.217139589</v>
      </c>
      <c r="EN761" s="95">
        <f t="shared" si="386"/>
        <v>95</v>
      </c>
      <c r="EO761" s="339">
        <f t="shared" ca="1" si="387"/>
        <v>56253.017213449384</v>
      </c>
      <c r="EP761" s="341">
        <f t="shared" ca="1" si="413"/>
        <v>14670547.152995672</v>
      </c>
    </row>
    <row r="762" spans="1:146" s="266" customFormat="1" x14ac:dyDescent="0.25">
      <c r="A762" s="313">
        <v>96</v>
      </c>
      <c r="B762" s="314">
        <v>96</v>
      </c>
      <c r="C762" s="308">
        <f>VLOOKUP($B762,'Infant adult mortality'!$A$27:$I$128,3)</f>
        <v>6.477060896247093E-2</v>
      </c>
      <c r="D762" s="309">
        <f t="shared" si="335"/>
        <v>0.27</v>
      </c>
      <c r="E762" s="309">
        <f>VLOOKUP($B762,'Infant pick up smoking rates'!$A$19:$I$104,3)</f>
        <v>0</v>
      </c>
      <c r="F762" s="309">
        <f t="shared" si="336"/>
        <v>0.14624098391610749</v>
      </c>
      <c r="G762" s="309">
        <f t="shared" si="337"/>
        <v>0.51898840712142158</v>
      </c>
      <c r="H762" s="309">
        <f>VLOOKUP($B762,'Infant adult mortality'!$A$27:$I$128,3)</f>
        <v>6.477060896247093E-2</v>
      </c>
      <c r="I762" s="309">
        <f t="shared" si="338"/>
        <v>0.14000000000000001</v>
      </c>
      <c r="J762" s="309">
        <f>VLOOKUP($B762,'Infant pick up smoking rates'!$A$19:$I$104,2)</f>
        <v>0</v>
      </c>
      <c r="K762" s="309">
        <f t="shared" si="339"/>
        <v>0.14624098391610749</v>
      </c>
      <c r="L762" s="309">
        <f t="shared" si="340"/>
        <v>0.64898840712142158</v>
      </c>
      <c r="M762" s="309">
        <f>VLOOKUP($B762,'Infant adult mortality'!$A$27:$I$128,3)</f>
        <v>6.477060896247093E-2</v>
      </c>
      <c r="N762" s="309">
        <f t="shared" si="341"/>
        <v>0.5714285714285714</v>
      </c>
      <c r="O762" s="309">
        <f>VLOOKUP($B762,'Infant pick up smoking rates'!$A$19:$I$104,2)</f>
        <v>0</v>
      </c>
      <c r="P762" s="309">
        <f t="shared" si="342"/>
        <v>0.12016234480898272</v>
      </c>
      <c r="Q762" s="309">
        <f t="shared" si="343"/>
        <v>0.24363847479997497</v>
      </c>
      <c r="R762" s="309">
        <f>VLOOKUP($B762,'Infant adult mortality'!$A$27:$I$128,3)</f>
        <v>6.477060896247093E-2</v>
      </c>
      <c r="S762" s="309">
        <f t="shared" si="344"/>
        <v>8.6261668788331098E-3</v>
      </c>
      <c r="T762" s="309">
        <f>VLOOKUP($B762,'Infant pick up smoking rates'!$A$19:$I$104,2)</f>
        <v>0</v>
      </c>
      <c r="U762" s="309">
        <f t="shared" si="345"/>
        <v>0.12016234480898272</v>
      </c>
      <c r="V762" s="309">
        <f t="shared" si="346"/>
        <v>0.80644087934971331</v>
      </c>
      <c r="W762" s="309">
        <f>VLOOKUP($B762,'Infant adult mortality'!$A$27:$I$128,3)</f>
        <v>6.477060896247093E-2</v>
      </c>
      <c r="X762" s="309">
        <f>VLOOKUP($B762,'Infant pick up smoking rates'!$A$19:$I$104,2)</f>
        <v>0</v>
      </c>
      <c r="Y762" s="309">
        <f t="shared" si="347"/>
        <v>0.93522939103752911</v>
      </c>
      <c r="Z762" s="309">
        <f>VLOOKUP($B762,'Infant adult mortality'!$A$27:$I$128,5)</f>
        <v>8.4017391340998754E-2</v>
      </c>
      <c r="AA762" s="309">
        <f t="shared" si="326"/>
        <v>0.25</v>
      </c>
      <c r="AB762" s="309">
        <f t="shared" si="348"/>
        <v>0.66598260865900127</v>
      </c>
      <c r="AC762" s="309">
        <f>VLOOKUP($B762,'Infant adult mortality'!$A$27:$I$128,5)</f>
        <v>8.4017391340998754E-2</v>
      </c>
      <c r="AD762" s="309">
        <f t="shared" si="327"/>
        <v>0.14000000000000001</v>
      </c>
      <c r="AE762" s="309">
        <f t="shared" si="349"/>
        <v>0.77598260865900126</v>
      </c>
      <c r="AF762" s="309">
        <f>VLOOKUP($B762,'Infant adult mortality'!$A$27:$I$128,4)</f>
        <v>6.9034866136156739E-2</v>
      </c>
      <c r="AG762" s="309">
        <f t="shared" si="328"/>
        <v>0.5714285714285714</v>
      </c>
      <c r="AH762" s="309">
        <f t="shared" si="350"/>
        <v>0.35953656243527188</v>
      </c>
      <c r="AI762" s="309">
        <f>VLOOKUP($B762,'Infant adult mortality'!$A$27:$I$128,4)</f>
        <v>6.9034866136156739E-2</v>
      </c>
      <c r="AJ762" s="309">
        <f t="shared" si="329"/>
        <v>8.6261668788331098E-3</v>
      </c>
      <c r="AK762" s="309">
        <f t="shared" si="351"/>
        <v>0.92233896698501017</v>
      </c>
      <c r="AL762" s="309"/>
      <c r="AM762" s="315">
        <f t="shared" si="388"/>
        <v>0.10826910692448719</v>
      </c>
      <c r="AN762" s="316">
        <f t="shared" si="389"/>
        <v>3.6742589932543097E-2</v>
      </c>
      <c r="AO762" s="316">
        <f t="shared" si="390"/>
        <v>6.4250159244116662E-3</v>
      </c>
      <c r="AP762" s="316">
        <f t="shared" si="391"/>
        <v>0.55753687715679445</v>
      </c>
      <c r="AQ762" s="316">
        <f t="shared" si="392"/>
        <v>76.701472193605738</v>
      </c>
      <c r="AR762" s="316">
        <f t="shared" si="393"/>
        <v>33.069785704424007</v>
      </c>
      <c r="AS762" s="316">
        <f t="shared" si="394"/>
        <v>9.0903047871714229</v>
      </c>
      <c r="AT762" s="316">
        <f t="shared" si="395"/>
        <v>1.3888498287661764</v>
      </c>
      <c r="AU762" s="316">
        <f t="shared" si="396"/>
        <v>66.572090107344565</v>
      </c>
      <c r="AV762" s="316">
        <f t="shared" si="397"/>
        <v>322.46852378874968</v>
      </c>
      <c r="AW762" s="317">
        <f t="shared" si="352"/>
        <v>509.99999999999983</v>
      </c>
      <c r="AX762" s="309"/>
      <c r="AY762" s="308">
        <f>VLOOKUP($B762,'Infant adult mortality'!$A$134:$I$234,3)</f>
        <v>5.5186838520416774E-2</v>
      </c>
      <c r="AZ762" s="309">
        <f t="shared" si="353"/>
        <v>0.27</v>
      </c>
      <c r="BA762" s="309">
        <f ca="1">VLOOKUP($B762,'Infant pick up smoking rates'!$A$19:$I$104,7)</f>
        <v>0</v>
      </c>
      <c r="BB762" s="309">
        <f t="shared" si="354"/>
        <v>0.14624098391610749</v>
      </c>
      <c r="BC762" s="309">
        <f t="shared" ca="1" si="355"/>
        <v>0.52857217756347574</v>
      </c>
      <c r="BD762" s="309">
        <f>VLOOKUP($B762,'Infant adult mortality'!$A$134:$I$234,3)</f>
        <v>5.5186838520416774E-2</v>
      </c>
      <c r="BE762" s="309">
        <f t="shared" si="356"/>
        <v>0.14000000000000001</v>
      </c>
      <c r="BF762" s="309">
        <f>VLOOKUP($B762,'Infant pick up smoking rates'!$A$19:$I$104,6)</f>
        <v>0</v>
      </c>
      <c r="BG762" s="309">
        <f t="shared" si="357"/>
        <v>0.14624098391610749</v>
      </c>
      <c r="BH762" s="309">
        <f t="shared" si="358"/>
        <v>0.65857217756347575</v>
      </c>
      <c r="BI762" s="309">
        <f>VLOOKUP($B762,'Infant adult mortality'!$A$134:$I$234,3)</f>
        <v>5.5186838520416774E-2</v>
      </c>
      <c r="BJ762" s="309">
        <f t="shared" si="359"/>
        <v>0.5714285714285714</v>
      </c>
      <c r="BK762" s="309">
        <f>VLOOKUP($B762,'Infant pick up smoking rates'!$A$19:$I$104,6)</f>
        <v>0</v>
      </c>
      <c r="BL762" s="309">
        <f t="shared" si="360"/>
        <v>0.12016234480898272</v>
      </c>
      <c r="BM762" s="309">
        <f t="shared" si="361"/>
        <v>0.25322224524202913</v>
      </c>
      <c r="BN762" s="309">
        <f>VLOOKUP($B762,'Infant adult mortality'!$A$134:$I$234,3)</f>
        <v>5.5186838520416774E-2</v>
      </c>
      <c r="BO762" s="309">
        <f t="shared" si="362"/>
        <v>8.6261668788331098E-3</v>
      </c>
      <c r="BP762" s="309">
        <f>VLOOKUP($B762,'Infant pick up smoking rates'!$A$19:$I$104,6)</f>
        <v>0</v>
      </c>
      <c r="BQ762" s="309">
        <f t="shared" si="363"/>
        <v>0.12016234480898272</v>
      </c>
      <c r="BR762" s="309">
        <f t="shared" si="364"/>
        <v>0.81602464979176748</v>
      </c>
      <c r="BS762" s="309">
        <f>VLOOKUP($B762,'Infant adult mortality'!$A$134:$I$234,3)</f>
        <v>5.5186838520416774E-2</v>
      </c>
      <c r="BT762" s="309">
        <f>VLOOKUP($B762,'Infant pick up smoking rates'!$A$19:$I$104,6)</f>
        <v>0</v>
      </c>
      <c r="BU762" s="309">
        <f t="shared" si="365"/>
        <v>0.94481316147958327</v>
      </c>
      <c r="BV762" s="309">
        <f>VLOOKUP($B762,'Infant adult mortality'!$A$134:$I$234,5)</f>
        <v>7.1585774522035281E-2</v>
      </c>
      <c r="BW762" s="309">
        <f t="shared" si="366"/>
        <v>0.27</v>
      </c>
      <c r="BX762" s="309">
        <f t="shared" si="367"/>
        <v>0.65841422547796469</v>
      </c>
      <c r="BY762" s="309">
        <f>VLOOKUP($B762,'Infant adult mortality'!$A$134:$I$234,5)</f>
        <v>7.1585774522035281E-2</v>
      </c>
      <c r="BZ762" s="309">
        <f t="shared" si="368"/>
        <v>0.14000000000000001</v>
      </c>
      <c r="CA762" s="309">
        <f t="shared" si="369"/>
        <v>0.78841422547796469</v>
      </c>
      <c r="CB762" s="309">
        <f>VLOOKUP($B762,'Infant adult mortality'!$A$134:$I$234,4)</f>
        <v>5.8820135718380157E-2</v>
      </c>
      <c r="CC762" s="309">
        <f t="shared" si="370"/>
        <v>0.5714285714285714</v>
      </c>
      <c r="CD762" s="309">
        <f t="shared" si="371"/>
        <v>0.36975129285304842</v>
      </c>
      <c r="CE762" s="309">
        <f>VLOOKUP($B762,'Infant adult mortality'!$A$134:$I$234,4)</f>
        <v>5.8820135718380157E-2</v>
      </c>
      <c r="CF762" s="309">
        <f t="shared" si="372"/>
        <v>8.6261668788331098E-3</v>
      </c>
      <c r="CG762" s="309">
        <f t="shared" si="373"/>
        <v>0.93255369740278671</v>
      </c>
      <c r="CH762" s="309"/>
      <c r="CI762" s="315">
        <f t="shared" ca="1" si="398"/>
        <v>0.17700048828062945</v>
      </c>
      <c r="CJ762" s="316">
        <f t="shared" ca="1" si="399"/>
        <v>5.9341044854738206E-2</v>
      </c>
      <c r="CK762" s="316">
        <f t="shared" ca="1" si="400"/>
        <v>1.0257434565833889E-2</v>
      </c>
      <c r="CL762" s="316">
        <f t="shared" ca="1" si="401"/>
        <v>0.89532995402814086</v>
      </c>
      <c r="CM762" s="316">
        <f t="shared" ca="1" si="402"/>
        <v>121.0608280297314</v>
      </c>
      <c r="CN762" s="316">
        <f t="shared" ca="1" si="403"/>
        <v>30.584468634496304</v>
      </c>
      <c r="CO762" s="316">
        <f t="shared" ca="1" si="404"/>
        <v>8.9620521908590689</v>
      </c>
      <c r="CP762" s="316">
        <f t="shared" ca="1" si="405"/>
        <v>1.3524022232056567</v>
      </c>
      <c r="CQ762" s="316">
        <f t="shared" ca="1" si="406"/>
        <v>63.345228331872292</v>
      </c>
      <c r="CR762" s="316">
        <f t="shared" ca="1" si="407"/>
        <v>263.55309166810673</v>
      </c>
      <c r="CS762" s="317">
        <f t="shared" ca="1" si="374"/>
        <v>490.0000000000008</v>
      </c>
      <c r="CT762" s="309"/>
      <c r="CU762" s="309">
        <f t="shared" ca="1" si="375"/>
        <v>1000.0000000000007</v>
      </c>
      <c r="CV762" s="309" t="str">
        <f t="shared" ca="1" si="330"/>
        <v>OKAY</v>
      </c>
      <c r="CW762" s="309"/>
      <c r="CX762" s="315">
        <f>(SUM($AR762:$AS762))-((SUM($AR762:$AS762)*VLOOKUP($B762,Lifetime_morbidity_array!$A$30:$Y$48,4))+(SUM($AR762:$AS762)*VLOOKUP($B762,Lifetime_morbidity_array!$A$30:$Y$48,7))+(SUM($AR762:$AS762)*VLOOKUP($B762,Lifetime_morbidity_array!$A$30:$Y$48,10))+(SUM($AR762:$AS762)*VLOOKUP($B762,Lifetime_morbidity_array!$A$30:$Y$48,13)))</f>
        <v>-1.1387700882692187</v>
      </c>
      <c r="CY762" s="316">
        <f>(SUM($AT762:$AU762))-((SUM($AT762:$AU762)*(VLOOKUP($B762,Lifetime_morbidity_array!$A$30:$Y$48,3)))+(SUM($AT762:$AU762)*(VLOOKUP($B762,Lifetime_morbidity_array!$A$30:$Y$48,6)))+(SUM($AT762:$AU762)*(VLOOKUP($B762,Lifetime_morbidity_array!$A$30:$Y$48,9)))+(SUM($AT762:$AU762)*(VLOOKUP($B762,Lifetime_morbidity_array!$A$30:$Y$48,12))))</f>
        <v>30.820408251597179</v>
      </c>
      <c r="CZ762" s="316">
        <f>(SUM($AM762:$AQ762))-((SUM($AM762:$AQ762)*VLOOKUP($B762,Lifetime_morbidity_array!$A$30:$Y$48,2))+(SUM($AM762:$AQ762)*VLOOKUP($B762,Lifetime_morbidity_array!$A$30:$Y$48,5))+(SUM($AM762:$AQ762)*VLOOKUP($B762,Lifetime_morbidity_array!$A$30:$Y$48,8))+(SUM($AM762:$AQ762)*VLOOKUP($B762,Lifetime_morbidity_array!$A$30:$Y$48,11)))</f>
        <v>49.351980794936708</v>
      </c>
      <c r="DA762" s="316">
        <f>(SUM($AM762:$AQ762)*VLOOKUP($B762,Lifetime_morbidity_array!$A$30:$Y$48,2))+(SUM($AR762:$AS762)*VLOOKUP($B762,Lifetime_morbidity_array!$A$30:$Y$48,4))+(SUM($AT762:$AU762)*(VLOOKUP($B762,Lifetime_morbidity_array!$A$30:$Y$48,3)))</f>
        <v>56.860862941691423</v>
      </c>
      <c r="DB762" s="316">
        <f>(SUM($AM762:$AQ762)*VLOOKUP($B762,Lifetime_morbidity_array!$A$30:$Y$48,5))+(SUM($AR762:$AS762)*VLOOKUP($B762,Lifetime_morbidity_array!$A$30:$Y$48,7))+(SUM($AT762:$AU762)*(VLOOKUP($B762,Lifetime_morbidity_array!$A$30:$Y$48,6)))</f>
        <v>24.198698340157872</v>
      </c>
      <c r="DC762" s="316">
        <f>(SUM($AM762:$AQ762)*VLOOKUP($B762,Lifetime_morbidity_array!$A$30:$Y$48,8))+(SUM($AR762:$AS762)*VLOOKUP($B762,Lifetime_morbidity_array!$A$30:$Y$48,10))+(SUM($AT762:$AU762)*(VLOOKUP($B762,Lifetime_morbidity_array!$A$30:$Y$48,9)))</f>
        <v>1.9562410162226871</v>
      </c>
      <c r="DD762" s="317">
        <f>(SUM($AM762:$AQ762)*VLOOKUP($B762,Lifetime_morbidity_array!$A$30:$Y$48,11))+(SUM($AR762:$AS762)*VLOOKUP($B762,Lifetime_morbidity_array!$A$30:$Y$48,13))+(SUM($AT762:$AU762)*(VLOOKUP($B762,Lifetime_morbidity_array!$A$30:$Y$48,12)))</f>
        <v>25.482054954913494</v>
      </c>
      <c r="DE762" s="309"/>
      <c r="DF762" s="315">
        <f ca="1">(SUM($CN762:$CO762))-((SUM($CN762:$CO762)*VLOOKUP($B762,Lifetime_morbidity_array!$A$6:$Y$24,4))+(SUM($CN762:$CO762)*VLOOKUP($B762,Lifetime_morbidity_array!$A$6:$Y$24,7))+(SUM($CN762:$CO762)*VLOOKUP($B762,Lifetime_morbidity_array!$A$6:$Y$24,10))+(SUM($CN762:$CO762)*VLOOKUP($B762,Lifetime_morbidity_array!$A$6:$Y$24,13)))</f>
        <v>6.2698841570488995</v>
      </c>
      <c r="DG762" s="316">
        <f ca="1">(SUM($CP762:$CQ762))-(((SUM($CP762:$CQ762)*VLOOKUP($B762,Lifetime_morbidity_array!$A$6:$Y$24,3))+(SUM($CP762:$CQ762)*VLOOKUP($B762,Lifetime_morbidity_array!$A$6:$Y$24,6))+(SUM($CP762:$CQ762)*VLOOKUP($B762,Lifetime_morbidity_array!$A$6:$Y$24,9))+(SUM($CP762:$CQ762)*VLOOKUP($B762,Lifetime_morbidity_array!$A$6:$Y$24,12))))</f>
        <v>37.652905094802861</v>
      </c>
      <c r="DH762" s="316">
        <f ca="1">(SUM($CI762:$CM762))-((SUM($CI762:$CM762)*VLOOKUP($B762,Lifetime_morbidity_array!$A$6:$Y$24,2))+(SUM($CI762:$CM762)*VLOOKUP($B762,Lifetime_morbidity_array!$A$6:$Y$24,5))+(SUM($CI762:$CM762)*VLOOKUP($B762,Lifetime_morbidity_array!$A$6:$Y$24,8))+(SUM($CI762:$CM762)*VLOOKUP($B762,Lifetime_morbidity_array!$A$6:$Y$24,11)))</f>
        <v>88.453641990711574</v>
      </c>
      <c r="DI762" s="316">
        <f ca="1">(SUM($CI762:$CM762)*VLOOKUP($B762,Lifetime_morbidity_array!$A$6:$Y$24,2))+(SUM($CN762:$CO762)*VLOOKUP($B762,Lifetime_morbidity_array!$A$6:$Y$24,4))+(SUM($CP762:$CQ762)*VLOOKUP($B762,Lifetime_morbidity_array!$A$6:$Y$24,3))</f>
        <v>47.26845686527389</v>
      </c>
      <c r="DJ762" s="316">
        <f ca="1">(SUM($CI762:$CM762)*VLOOKUP($B762,Lifetime_morbidity_array!$A$6:$Y$24,5))+(SUM($CN762:$CO762)*VLOOKUP($B762,Lifetime_morbidity_array!$A$6:$Y$24,7))+(SUM($CP762:$CQ762)*VLOOKUP($B762,Lifetime_morbidity_array!$A$6:$Y$24,6))</f>
        <v>19.723317420992593</v>
      </c>
      <c r="DK762" s="316">
        <f ca="1">(SUM($CI762:$CM762)*VLOOKUP($B762,Lifetime_morbidity_array!$A$6:$Y$24,8))+(SUM($CN762:$CO762)*VLOOKUP($B762,Lifetime_morbidity_array!$A$6:$Y$24,10))+(SUM($CP762:$CQ762)*VLOOKUP($B762,Lifetime_morbidity_array!$A$6:$Y$24,9))</f>
        <v>0.91523520560763227</v>
      </c>
      <c r="DL762" s="317">
        <f ca="1">(SUM($CI762:$CM762)*VLOOKUP($B762,Lifetime_morbidity_array!$A$6:$Y$24,11))+(SUM($CN762:$CO762)*VLOOKUP($B762,Lifetime_morbidity_array!$A$6:$Y$24,13))+(SUM($CP762:$CQ762)*VLOOKUP($B762,Lifetime_morbidity_array!$A$6:$Y$24,12))</f>
        <v>26.163467597456613</v>
      </c>
      <c r="DM762" s="309"/>
      <c r="DN762" s="308">
        <f t="shared" si="376"/>
        <v>96</v>
      </c>
      <c r="DO762" s="309">
        <f t="shared" ca="1" si="377"/>
        <v>15.230146657120615</v>
      </c>
      <c r="DP762" s="310">
        <f t="shared" ca="1" si="408"/>
        <v>24025.868095315593</v>
      </c>
      <c r="DQ762" s="309"/>
      <c r="DR762" s="308">
        <f t="shared" si="378"/>
        <v>96</v>
      </c>
      <c r="DS762" s="309">
        <f ca="1">((VLOOKUP($B762,'Mahawesran Tariff'!$A$21:$M$120,4)*'Comparator (DET)'!$CX762)+(VLOOKUP($B762,'Mahawesran Tariff'!$A$21:$M$120,3)*'Comparator (DET)'!$CY762)+(VLOOKUP($B762,'Mahawesran Tariff'!$A$21:$M$120,2)*'Comparator (DET)'!$CZ762)+(VLOOKUP($B762,'Mahawesran Tariff'!$A$21:$M$120,7)*'Comparator (DET)'!$DF762)+(VLOOKUP($B762,'Mahawesran Tariff'!$A$21:$M$120,6)*'Comparator (DET)'!$DG762)+(VLOOKUP($B762,'Mahawesran Tariff'!$A$21:$M$120,5)*'Comparator (DET)'!$DH762)+(DET_UTIL_chd*('Comparator (DET)'!$DA762+'Comparator (DET)'!$DI762))+(DET_UTIL_copd*('Comparator (DET)'!$DB762+'Comparator (DET)'!$DJ762))+(DET_UTIL_lc*('Comparator (DET)'!$DC762+'Comparator (DET)'!$DK762))+(DET_UTIL_stroke*('Comparator (DET)'!$DD762+'Comparator (DET)'!$DL762)))/((1+Discount_rate_QALYs)^$A762)</f>
        <v>12.576826868342364</v>
      </c>
      <c r="DT762" s="310">
        <f t="shared" ca="1" si="409"/>
        <v>23506.616435554621</v>
      </c>
      <c r="DU762" s="309"/>
      <c r="DV762" s="308">
        <f t="shared" si="379"/>
        <v>96</v>
      </c>
      <c r="DW762" s="318">
        <f t="shared" ca="1" si="380"/>
        <v>50693.995681837754</v>
      </c>
      <c r="DX762" s="319">
        <f t="shared" ca="1" si="410"/>
        <v>11621109.212821426</v>
      </c>
      <c r="DZ762" s="95">
        <f t="shared" si="381"/>
        <v>96</v>
      </c>
      <c r="EA762" s="268">
        <f t="shared" ca="1" si="331"/>
        <v>0.41397838454314423</v>
      </c>
      <c r="EB762" s="268">
        <f t="shared" ca="1" si="332"/>
        <v>0.58602161545685638</v>
      </c>
      <c r="EC762" s="268">
        <f t="shared" ca="1" si="333"/>
        <v>0.20256833434231625</v>
      </c>
      <c r="ED762" s="290">
        <f t="shared" ca="1" si="334"/>
        <v>0.21436518180813949</v>
      </c>
      <c r="EF762" s="95">
        <f t="shared" si="382"/>
        <v>96</v>
      </c>
      <c r="EG762" s="339">
        <f t="shared" ca="1" si="383"/>
        <v>50693.995681837754</v>
      </c>
      <c r="EH762" s="341">
        <f t="shared" ca="1" si="411"/>
        <v>14721241.148677509</v>
      </c>
      <c r="EJ762" s="308">
        <f t="shared" si="384"/>
        <v>96</v>
      </c>
      <c r="EK762" s="318">
        <f t="shared" ca="1" si="385"/>
        <v>50693.995681837754</v>
      </c>
      <c r="EL762" s="319">
        <f t="shared" ca="1" si="412"/>
        <v>11621109.212821426</v>
      </c>
      <c r="EN762" s="95">
        <f t="shared" si="386"/>
        <v>96</v>
      </c>
      <c r="EO762" s="339">
        <f t="shared" ca="1" si="387"/>
        <v>50693.995681837754</v>
      </c>
      <c r="EP762" s="341">
        <f t="shared" ca="1" si="413"/>
        <v>14721241.148677509</v>
      </c>
    </row>
    <row r="763" spans="1:146" s="266" customFormat="1" x14ac:dyDescent="0.25">
      <c r="A763" s="313">
        <v>97</v>
      </c>
      <c r="B763" s="314">
        <v>97</v>
      </c>
      <c r="C763" s="308">
        <f>VLOOKUP($B763,'Infant adult mortality'!$A$27:$I$128,3)</f>
        <v>7.0547514920592108E-2</v>
      </c>
      <c r="D763" s="309">
        <f t="shared" si="335"/>
        <v>0.27</v>
      </c>
      <c r="E763" s="309">
        <f>VLOOKUP($B763,'Infant pick up smoking rates'!$A$19:$I$104,3)</f>
        <v>0</v>
      </c>
      <c r="F763" s="309">
        <f t="shared" si="336"/>
        <v>0.14624098391610749</v>
      </c>
      <c r="G763" s="309">
        <f t="shared" si="337"/>
        <v>0.51321150116330039</v>
      </c>
      <c r="H763" s="309">
        <f>VLOOKUP($B763,'Infant adult mortality'!$A$27:$I$128,3)</f>
        <v>7.0547514920592108E-2</v>
      </c>
      <c r="I763" s="309">
        <f t="shared" si="338"/>
        <v>0.14000000000000001</v>
      </c>
      <c r="J763" s="309">
        <f>VLOOKUP($B763,'Infant pick up smoking rates'!$A$19:$I$104,2)</f>
        <v>0</v>
      </c>
      <c r="K763" s="309">
        <f t="shared" si="339"/>
        <v>0.14624098391610749</v>
      </c>
      <c r="L763" s="309">
        <f t="shared" si="340"/>
        <v>0.64321150116330039</v>
      </c>
      <c r="M763" s="309">
        <f>VLOOKUP($B763,'Infant adult mortality'!$A$27:$I$128,3)</f>
        <v>7.0547514920592108E-2</v>
      </c>
      <c r="N763" s="309">
        <f t="shared" si="341"/>
        <v>0.5714285714285714</v>
      </c>
      <c r="O763" s="309">
        <f>VLOOKUP($B763,'Infant pick up smoking rates'!$A$19:$I$104,2)</f>
        <v>0</v>
      </c>
      <c r="P763" s="309">
        <f t="shared" si="342"/>
        <v>0.12016234480898272</v>
      </c>
      <c r="Q763" s="309">
        <f t="shared" si="343"/>
        <v>0.2378615688418538</v>
      </c>
      <c r="R763" s="309">
        <f>VLOOKUP($B763,'Infant adult mortality'!$A$27:$I$128,3)</f>
        <v>7.0547514920592108E-2</v>
      </c>
      <c r="S763" s="309">
        <f t="shared" si="344"/>
        <v>8.6261668788331098E-3</v>
      </c>
      <c r="T763" s="309">
        <f>VLOOKUP($B763,'Infant pick up smoking rates'!$A$19:$I$104,2)</f>
        <v>0</v>
      </c>
      <c r="U763" s="309">
        <f t="shared" si="345"/>
        <v>0.12016234480898272</v>
      </c>
      <c r="V763" s="309">
        <f t="shared" si="346"/>
        <v>0.80066397339159212</v>
      </c>
      <c r="W763" s="309">
        <f>VLOOKUP($B763,'Infant adult mortality'!$A$27:$I$128,3)</f>
        <v>7.0547514920592108E-2</v>
      </c>
      <c r="X763" s="309">
        <f>VLOOKUP($B763,'Infant pick up smoking rates'!$A$19:$I$104,2)</f>
        <v>0</v>
      </c>
      <c r="Y763" s="309">
        <f t="shared" si="347"/>
        <v>0.92945248507940792</v>
      </c>
      <c r="Z763" s="309">
        <f>VLOOKUP($B763,'Infant adult mortality'!$A$27:$I$128,5)</f>
        <v>9.1510922379202206E-2</v>
      </c>
      <c r="AA763" s="309">
        <f t="shared" si="326"/>
        <v>0.25</v>
      </c>
      <c r="AB763" s="309">
        <f t="shared" si="348"/>
        <v>0.65848907762079778</v>
      </c>
      <c r="AC763" s="309">
        <f>VLOOKUP($B763,'Infant adult mortality'!$A$27:$I$128,5)</f>
        <v>9.1510922379202206E-2</v>
      </c>
      <c r="AD763" s="309">
        <f t="shared" si="327"/>
        <v>0.14000000000000001</v>
      </c>
      <c r="AE763" s="309">
        <f t="shared" si="349"/>
        <v>0.76848907762079777</v>
      </c>
      <c r="AF763" s="309">
        <f>VLOOKUP($B763,'Infant adult mortality'!$A$27:$I$128,4)</f>
        <v>7.5192102201841055E-2</v>
      </c>
      <c r="AG763" s="309">
        <f t="shared" si="328"/>
        <v>0.5714285714285714</v>
      </c>
      <c r="AH763" s="309">
        <f t="shared" si="350"/>
        <v>0.35337932636958758</v>
      </c>
      <c r="AI763" s="309">
        <f>VLOOKUP($B763,'Infant adult mortality'!$A$27:$I$128,4)</f>
        <v>7.5192102201841055E-2</v>
      </c>
      <c r="AJ763" s="309">
        <f t="shared" si="329"/>
        <v>8.6261668788331098E-3</v>
      </c>
      <c r="AK763" s="309">
        <f t="shared" si="351"/>
        <v>0.91618173091932587</v>
      </c>
      <c r="AL763" s="309"/>
      <c r="AM763" s="315">
        <f t="shared" si="388"/>
        <v>8.5535877832537008E-2</v>
      </c>
      <c r="AN763" s="316">
        <f t="shared" si="389"/>
        <v>2.9232658869611541E-2</v>
      </c>
      <c r="AO763" s="316">
        <f t="shared" si="390"/>
        <v>5.1439625905560339E-3</v>
      </c>
      <c r="AP763" s="316">
        <f t="shared" si="391"/>
        <v>0.45007112904779145</v>
      </c>
      <c r="AQ763" s="316">
        <f t="shared" si="392"/>
        <v>71.379347576279216</v>
      </c>
      <c r="AR763" s="316">
        <f t="shared" si="393"/>
        <v>29.826945402465476</v>
      </c>
      <c r="AS763" s="316">
        <f t="shared" si="394"/>
        <v>8.2674464261060017</v>
      </c>
      <c r="AT763" s="316">
        <f t="shared" si="395"/>
        <v>1.2726426702039992</v>
      </c>
      <c r="AU763" s="316">
        <f t="shared" si="396"/>
        <v>61.78576121904495</v>
      </c>
      <c r="AV763" s="316">
        <f t="shared" si="397"/>
        <v>336.89787307755961</v>
      </c>
      <c r="AW763" s="317">
        <f t="shared" si="352"/>
        <v>509.99999999999977</v>
      </c>
      <c r="AX763" s="309"/>
      <c r="AY763" s="308">
        <f>VLOOKUP($B763,'Infant adult mortality'!$A$134:$I$234,3)</f>
        <v>6.0210103179687766E-2</v>
      </c>
      <c r="AZ763" s="309">
        <f t="shared" si="353"/>
        <v>0.27</v>
      </c>
      <c r="BA763" s="309">
        <f ca="1">VLOOKUP($B763,'Infant pick up smoking rates'!$A$19:$I$104,7)</f>
        <v>0</v>
      </c>
      <c r="BB763" s="309">
        <f t="shared" si="354"/>
        <v>0.14624098391610749</v>
      </c>
      <c r="BC763" s="309">
        <f t="shared" ca="1" si="355"/>
        <v>0.52354891290420469</v>
      </c>
      <c r="BD763" s="309">
        <f>VLOOKUP($B763,'Infant adult mortality'!$A$134:$I$234,3)</f>
        <v>6.0210103179687766E-2</v>
      </c>
      <c r="BE763" s="309">
        <f t="shared" si="356"/>
        <v>0.14000000000000001</v>
      </c>
      <c r="BF763" s="309">
        <f>VLOOKUP($B763,'Infant pick up smoking rates'!$A$19:$I$104,6)</f>
        <v>0</v>
      </c>
      <c r="BG763" s="309">
        <f t="shared" si="357"/>
        <v>0.14624098391610749</v>
      </c>
      <c r="BH763" s="309">
        <f t="shared" si="358"/>
        <v>0.65354891290420469</v>
      </c>
      <c r="BI763" s="309">
        <f>VLOOKUP($B763,'Infant adult mortality'!$A$134:$I$234,3)</f>
        <v>6.0210103179687766E-2</v>
      </c>
      <c r="BJ763" s="309">
        <f t="shared" si="359"/>
        <v>0.5714285714285714</v>
      </c>
      <c r="BK763" s="309">
        <f>VLOOKUP($B763,'Infant pick up smoking rates'!$A$19:$I$104,6)</f>
        <v>0</v>
      </c>
      <c r="BL763" s="309">
        <f t="shared" si="360"/>
        <v>0.12016234480898272</v>
      </c>
      <c r="BM763" s="309">
        <f t="shared" si="361"/>
        <v>0.24819898058275813</v>
      </c>
      <c r="BN763" s="309">
        <f>VLOOKUP($B763,'Infant adult mortality'!$A$134:$I$234,3)</f>
        <v>6.0210103179687766E-2</v>
      </c>
      <c r="BO763" s="309">
        <f t="shared" si="362"/>
        <v>8.6261668788331098E-3</v>
      </c>
      <c r="BP763" s="309">
        <f>VLOOKUP($B763,'Infant pick up smoking rates'!$A$19:$I$104,6)</f>
        <v>0</v>
      </c>
      <c r="BQ763" s="309">
        <f t="shared" si="363"/>
        <v>0.12016234480898272</v>
      </c>
      <c r="BR763" s="309">
        <f t="shared" si="364"/>
        <v>0.81100138513249642</v>
      </c>
      <c r="BS763" s="309">
        <f>VLOOKUP($B763,'Infant adult mortality'!$A$134:$I$234,3)</f>
        <v>6.0210103179687766E-2</v>
      </c>
      <c r="BT763" s="309">
        <f>VLOOKUP($B763,'Infant pick up smoking rates'!$A$19:$I$104,6)</f>
        <v>0</v>
      </c>
      <c r="BU763" s="309">
        <f t="shared" si="365"/>
        <v>0.93978989682031222</v>
      </c>
      <c r="BV763" s="309">
        <f>VLOOKUP($B763,'Infant adult mortality'!$A$134:$I$234,5)</f>
        <v>7.810171746973732E-2</v>
      </c>
      <c r="BW763" s="309">
        <f t="shared" si="366"/>
        <v>0.27</v>
      </c>
      <c r="BX763" s="309">
        <f t="shared" si="367"/>
        <v>0.65189828253026261</v>
      </c>
      <c r="BY763" s="309">
        <f>VLOOKUP($B763,'Infant adult mortality'!$A$134:$I$234,5)</f>
        <v>7.810171746973732E-2</v>
      </c>
      <c r="BZ763" s="309">
        <f t="shared" si="368"/>
        <v>0.14000000000000001</v>
      </c>
      <c r="CA763" s="309">
        <f t="shared" si="369"/>
        <v>0.78189828253026272</v>
      </c>
      <c r="CB763" s="309">
        <f>VLOOKUP($B763,'Infant adult mortality'!$A$134:$I$234,4)</f>
        <v>6.4174113531375393E-2</v>
      </c>
      <c r="CC763" s="309">
        <f t="shared" si="370"/>
        <v>0.5714285714285714</v>
      </c>
      <c r="CD763" s="309">
        <f t="shared" si="371"/>
        <v>0.36439731504005324</v>
      </c>
      <c r="CE763" s="309">
        <f>VLOOKUP($B763,'Infant adult mortality'!$A$134:$I$234,4)</f>
        <v>6.4174113531375393E-2</v>
      </c>
      <c r="CF763" s="309">
        <f t="shared" si="372"/>
        <v>8.6261668788331098E-3</v>
      </c>
      <c r="CG763" s="309">
        <f t="shared" si="373"/>
        <v>0.92719971958979153</v>
      </c>
      <c r="CH763" s="309"/>
      <c r="CI763" s="315">
        <f t="shared" ca="1" si="398"/>
        <v>0.14171983897594984</v>
      </c>
      <c r="CJ763" s="316">
        <f t="shared" ca="1" si="399"/>
        <v>4.7790131835769953E-2</v>
      </c>
      <c r="CK763" s="316">
        <f t="shared" ca="1" si="400"/>
        <v>8.3077462796633493E-3</v>
      </c>
      <c r="CL763" s="316">
        <f t="shared" ca="1" si="401"/>
        <v>0.73197522404791304</v>
      </c>
      <c r="CM763" s="316">
        <f t="shared" ca="1" si="402"/>
        <v>113.91512340543169</v>
      </c>
      <c r="CN763" s="316">
        <f t="shared" ca="1" si="403"/>
        <v>27.984614040466965</v>
      </c>
      <c r="CO763" s="316">
        <f t="shared" ca="1" si="404"/>
        <v>8.257806531314003</v>
      </c>
      <c r="CP763" s="316">
        <f t="shared" ca="1" si="405"/>
        <v>1.2546873067202697</v>
      </c>
      <c r="CQ763" s="316">
        <f t="shared" ca="1" si="406"/>
        <v>59.506479217066541</v>
      </c>
      <c r="CR763" s="316">
        <f t="shared" ca="1" si="407"/>
        <v>278.15149655786206</v>
      </c>
      <c r="CS763" s="317">
        <f t="shared" ca="1" si="374"/>
        <v>490.0000000000008</v>
      </c>
      <c r="CT763" s="309"/>
      <c r="CU763" s="309">
        <f t="shared" ca="1" si="375"/>
        <v>1000.0000000000006</v>
      </c>
      <c r="CV763" s="309" t="str">
        <f t="shared" ca="1" si="330"/>
        <v>OKAY</v>
      </c>
      <c r="CW763" s="309"/>
      <c r="CX763" s="315">
        <f>(SUM($AR763:$AS763))-((SUM($AR763:$AS763)*VLOOKUP($B763,Lifetime_morbidity_array!$A$30:$Y$48,4))+(SUM($AR763:$AS763)*VLOOKUP($B763,Lifetime_morbidity_array!$A$30:$Y$48,7))+(SUM($AR763:$AS763)*VLOOKUP($B763,Lifetime_morbidity_array!$A$30:$Y$48,10))+(SUM($AR763:$AS763)*VLOOKUP($B763,Lifetime_morbidity_array!$A$30:$Y$48,13)))</f>
        <v>-1.0289530558249709</v>
      </c>
      <c r="CY763" s="316">
        <f>(SUM($AT763:$AU763))-((SUM($AT763:$AU763)*(VLOOKUP($B763,Lifetime_morbidity_array!$A$30:$Y$48,3)))+(SUM($AT763:$AU763)*(VLOOKUP($B763,Lifetime_morbidity_array!$A$30:$Y$48,6)))+(SUM($AT763:$AU763)*(VLOOKUP($B763,Lifetime_morbidity_array!$A$30:$Y$48,9)))+(SUM($AT763:$AU763)*(VLOOKUP($B763,Lifetime_morbidity_array!$A$30:$Y$48,12))))</f>
        <v>28.597099354243824</v>
      </c>
      <c r="CZ763" s="316">
        <f>(SUM($AM763:$AQ763))-((SUM($AM763:$AQ763)*VLOOKUP($B763,Lifetime_morbidity_array!$A$30:$Y$48,2))+(SUM($AM763:$AQ763)*VLOOKUP($B763,Lifetime_morbidity_array!$A$30:$Y$48,5))+(SUM($AM763:$AQ763)*VLOOKUP($B763,Lifetime_morbidity_array!$A$30:$Y$48,8))+(SUM($AM763:$AQ763)*VLOOKUP($B763,Lifetime_morbidity_array!$A$30:$Y$48,11)))</f>
        <v>45.870321193445129</v>
      </c>
      <c r="DA763" s="316">
        <f>(SUM($AM763:$AQ763)*VLOOKUP($B763,Lifetime_morbidity_array!$A$30:$Y$48,2))+(SUM($AR763:$AS763)*VLOOKUP($B763,Lifetime_morbidity_array!$A$30:$Y$48,4))+(SUM($AT763:$AU763)*(VLOOKUP($B763,Lifetime_morbidity_array!$A$30:$Y$48,3)))</f>
        <v>52.326770654798821</v>
      </c>
      <c r="DB763" s="316">
        <f>(SUM($AM763:$AQ763)*VLOOKUP($B763,Lifetime_morbidity_array!$A$30:$Y$48,5))+(SUM($AR763:$AS763)*VLOOKUP($B763,Lifetime_morbidity_array!$A$30:$Y$48,7))+(SUM($AT763:$AU763)*(VLOOKUP($B763,Lifetime_morbidity_array!$A$30:$Y$48,6)))</f>
        <v>22.072933126601239</v>
      </c>
      <c r="DC763" s="316">
        <f>(SUM($AM763:$AQ763)*VLOOKUP($B763,Lifetime_morbidity_array!$A$30:$Y$48,8))+(SUM($AR763:$AS763)*VLOOKUP($B763,Lifetime_morbidity_array!$A$30:$Y$48,10))+(SUM($AT763:$AU763)*(VLOOKUP($B763,Lifetime_morbidity_array!$A$30:$Y$48,9)))</f>
        <v>1.784505972141714</v>
      </c>
      <c r="DD763" s="317">
        <f>(SUM($AM763:$AQ763)*VLOOKUP($B763,Lifetime_morbidity_array!$A$30:$Y$48,11))+(SUM($AR763:$AS763)*VLOOKUP($B763,Lifetime_morbidity_array!$A$30:$Y$48,13))+(SUM($AT763:$AU763)*(VLOOKUP($B763,Lifetime_morbidity_array!$A$30:$Y$48,12)))</f>
        <v>23.479449677034388</v>
      </c>
      <c r="DE763" s="309"/>
      <c r="DF763" s="315">
        <f ca="1">(SUM($CN763:$CO763))-((SUM($CN763:$CO763)*VLOOKUP($B763,Lifetime_morbidity_array!$A$6:$Y$24,4))+(SUM($CN763:$CO763)*VLOOKUP($B763,Lifetime_morbidity_array!$A$6:$Y$24,7))+(SUM($CN763:$CO763)*VLOOKUP($B763,Lifetime_morbidity_array!$A$6:$Y$24,10))+(SUM($CN763:$CO763)*VLOOKUP($B763,Lifetime_morbidity_array!$A$6:$Y$24,13)))</f>
        <v>5.7460371687215464</v>
      </c>
      <c r="DG763" s="316">
        <f ca="1">(SUM($CP763:$CQ763))-(((SUM($CP763:$CQ763)*VLOOKUP($B763,Lifetime_morbidity_array!$A$6:$Y$24,3))+(SUM($CP763:$CQ763)*VLOOKUP($B763,Lifetime_morbidity_array!$A$6:$Y$24,6))+(SUM($CP763:$CQ763)*VLOOKUP($B763,Lifetime_morbidity_array!$A$6:$Y$24,9))+(SUM($CP763:$CQ763)*VLOOKUP($B763,Lifetime_morbidity_array!$A$6:$Y$24,12))))</f>
        <v>35.361950923720364</v>
      </c>
      <c r="DH763" s="316">
        <f ca="1">(SUM($CI763:$CM763))-((SUM($CI763:$CM763)*VLOOKUP($B763,Lifetime_morbidity_array!$A$6:$Y$24,2))+(SUM($CI763:$CM763)*VLOOKUP($B763,Lifetime_morbidity_array!$A$6:$Y$24,5))+(SUM($CI763:$CM763)*VLOOKUP($B763,Lifetime_morbidity_array!$A$6:$Y$24,8))+(SUM($CI763:$CM763)*VLOOKUP($B763,Lifetime_morbidity_array!$A$6:$Y$24,11)))</f>
        <v>83.127839079831659</v>
      </c>
      <c r="DI763" s="316">
        <f ca="1">(SUM($CI763:$CM763)*VLOOKUP($B763,Lifetime_morbidity_array!$A$6:$Y$24,2))+(SUM($CN763:$CO763)*VLOOKUP($B763,Lifetime_morbidity_array!$A$6:$Y$24,4))+(SUM($CP763:$CQ763)*VLOOKUP($B763,Lifetime_morbidity_array!$A$6:$Y$24,3))</f>
        <v>44.079389816163221</v>
      </c>
      <c r="DJ763" s="316">
        <f ca="1">(SUM($CI763:$CM763)*VLOOKUP($B763,Lifetime_morbidity_array!$A$6:$Y$24,5))+(SUM($CN763:$CO763)*VLOOKUP($B763,Lifetime_morbidity_array!$A$6:$Y$24,7))+(SUM($CP763:$CQ763)*VLOOKUP($B763,Lifetime_morbidity_array!$A$6:$Y$24,6))</f>
        <v>18.260690976386236</v>
      </c>
      <c r="DK763" s="316">
        <f ca="1">(SUM($CI763:$CM763)*VLOOKUP($B763,Lifetime_morbidity_array!$A$6:$Y$24,8))+(SUM($CN763:$CO763)*VLOOKUP($B763,Lifetime_morbidity_array!$A$6:$Y$24,10))+(SUM($CP763:$CQ763)*VLOOKUP($B763,Lifetime_morbidity_array!$A$6:$Y$24,9))</f>
        <v>0.84649579841868827</v>
      </c>
      <c r="DL763" s="317">
        <f ca="1">(SUM($CI763:$CM763)*VLOOKUP($B763,Lifetime_morbidity_array!$A$6:$Y$24,11))+(SUM($CN763:$CO763)*VLOOKUP($B763,Lifetime_morbidity_array!$A$6:$Y$24,13))+(SUM($CP763:$CQ763)*VLOOKUP($B763,Lifetime_morbidity_array!$A$6:$Y$24,12))</f>
        <v>24.426099678897039</v>
      </c>
      <c r="DM763" s="309"/>
      <c r="DN763" s="308">
        <f t="shared" si="376"/>
        <v>97</v>
      </c>
      <c r="DO763" s="309">
        <f t="shared" ca="1" si="377"/>
        <v>13.683308079867556</v>
      </c>
      <c r="DP763" s="310">
        <f t="shared" ca="1" si="408"/>
        <v>24039.551403395461</v>
      </c>
      <c r="DQ763" s="309"/>
      <c r="DR763" s="308">
        <f t="shared" si="378"/>
        <v>97</v>
      </c>
      <c r="DS763" s="309">
        <f ca="1">((VLOOKUP($B763,'Mahawesran Tariff'!$A$21:$M$120,4)*'Comparator (DET)'!$CX763)+(VLOOKUP($B763,'Mahawesran Tariff'!$A$21:$M$120,3)*'Comparator (DET)'!$CY763)+(VLOOKUP($B763,'Mahawesran Tariff'!$A$21:$M$120,2)*'Comparator (DET)'!$CZ763)+(VLOOKUP($B763,'Mahawesran Tariff'!$A$21:$M$120,7)*'Comparator (DET)'!$DF763)+(VLOOKUP($B763,'Mahawesran Tariff'!$A$21:$M$120,6)*'Comparator (DET)'!$DG763)+(VLOOKUP($B763,'Mahawesran Tariff'!$A$21:$M$120,5)*'Comparator (DET)'!$DH763)+(DET_UTIL_chd*('Comparator (DET)'!$DA763+'Comparator (DET)'!$DI763))+(DET_UTIL_copd*('Comparator (DET)'!$DB763+'Comparator (DET)'!$DJ763))+(DET_UTIL_lc*('Comparator (DET)'!$DC763+'Comparator (DET)'!$DK763))+(DET_UTIL_stroke*('Comparator (DET)'!$DD763+'Comparator (DET)'!$DL763)))/((1+Discount_rate_QALYs)^$A763)</f>
        <v>11.306915035785293</v>
      </c>
      <c r="DT763" s="310">
        <f t="shared" ca="1" si="409"/>
        <v>23517.923350590405</v>
      </c>
      <c r="DU763" s="309"/>
      <c r="DV763" s="308">
        <f t="shared" si="379"/>
        <v>97</v>
      </c>
      <c r="DW763" s="318">
        <f t="shared" ca="1" si="380"/>
        <v>45397.576942199834</v>
      </c>
      <c r="DX763" s="319">
        <f t="shared" ca="1" si="410"/>
        <v>11666506.789763626</v>
      </c>
      <c r="DZ763" s="95">
        <f t="shared" si="381"/>
        <v>97</v>
      </c>
      <c r="EA763" s="268">
        <f t="shared" ca="1" si="331"/>
        <v>0.38495063036457883</v>
      </c>
      <c r="EB763" s="268">
        <f t="shared" ca="1" si="332"/>
        <v>0.61504936963542167</v>
      </c>
      <c r="EC763" s="268">
        <f t="shared" ca="1" si="333"/>
        <v>0.18727633570044133</v>
      </c>
      <c r="ED763" s="290">
        <f t="shared" ca="1" si="334"/>
        <v>0.19815638281338821</v>
      </c>
      <c r="EF763" s="95">
        <f t="shared" si="382"/>
        <v>97</v>
      </c>
      <c r="EG763" s="339">
        <f t="shared" ca="1" si="383"/>
        <v>45397.576942199834</v>
      </c>
      <c r="EH763" s="341">
        <f t="shared" ca="1" si="411"/>
        <v>14766638.725619709</v>
      </c>
      <c r="EJ763" s="308">
        <f t="shared" si="384"/>
        <v>97</v>
      </c>
      <c r="EK763" s="318">
        <f t="shared" ca="1" si="385"/>
        <v>45397.576942199834</v>
      </c>
      <c r="EL763" s="319">
        <f t="shared" ca="1" si="412"/>
        <v>11666506.789763626</v>
      </c>
      <c r="EN763" s="95">
        <f t="shared" si="386"/>
        <v>97</v>
      </c>
      <c r="EO763" s="339">
        <f t="shared" ca="1" si="387"/>
        <v>45397.576942199834</v>
      </c>
      <c r="EP763" s="341">
        <f t="shared" ca="1" si="413"/>
        <v>14766638.725619709</v>
      </c>
    </row>
    <row r="764" spans="1:146" s="266" customFormat="1" x14ac:dyDescent="0.25">
      <c r="A764" s="313">
        <v>98</v>
      </c>
      <c r="B764" s="314">
        <v>98</v>
      </c>
      <c r="C764" s="308">
        <f>VLOOKUP($B764,'Infant adult mortality'!$A$27:$I$128,3)</f>
        <v>7.6726918771285041E-2</v>
      </c>
      <c r="D764" s="309">
        <f t="shared" si="335"/>
        <v>0.27</v>
      </c>
      <c r="E764" s="309">
        <f>VLOOKUP($B764,'Infant pick up smoking rates'!$A$19:$I$104,3)</f>
        <v>0</v>
      </c>
      <c r="F764" s="309">
        <f t="shared" si="336"/>
        <v>0.14624098391610749</v>
      </c>
      <c r="G764" s="309">
        <f t="shared" si="337"/>
        <v>0.50703209731260745</v>
      </c>
      <c r="H764" s="309">
        <f>VLOOKUP($B764,'Infant adult mortality'!$A$27:$I$128,3)</f>
        <v>7.6726918771285041E-2</v>
      </c>
      <c r="I764" s="309">
        <f t="shared" si="338"/>
        <v>0.14000000000000001</v>
      </c>
      <c r="J764" s="309">
        <f>VLOOKUP($B764,'Infant pick up smoking rates'!$A$19:$I$104,2)</f>
        <v>0</v>
      </c>
      <c r="K764" s="309">
        <f t="shared" si="339"/>
        <v>0.14624098391610749</v>
      </c>
      <c r="L764" s="309">
        <f t="shared" si="340"/>
        <v>0.63703209731260746</v>
      </c>
      <c r="M764" s="309">
        <f>VLOOKUP($B764,'Infant adult mortality'!$A$27:$I$128,3)</f>
        <v>7.6726918771285041E-2</v>
      </c>
      <c r="N764" s="309">
        <f t="shared" si="341"/>
        <v>0.5714285714285714</v>
      </c>
      <c r="O764" s="309">
        <f>VLOOKUP($B764,'Infant pick up smoking rates'!$A$19:$I$104,2)</f>
        <v>0</v>
      </c>
      <c r="P764" s="309">
        <f t="shared" si="342"/>
        <v>0.12016234480898272</v>
      </c>
      <c r="Q764" s="309">
        <f t="shared" si="343"/>
        <v>0.23168216499116087</v>
      </c>
      <c r="R764" s="309">
        <f>VLOOKUP($B764,'Infant adult mortality'!$A$27:$I$128,3)</f>
        <v>7.6726918771285041E-2</v>
      </c>
      <c r="S764" s="309">
        <f t="shared" si="344"/>
        <v>8.6261668788331098E-3</v>
      </c>
      <c r="T764" s="309">
        <f>VLOOKUP($B764,'Infant pick up smoking rates'!$A$19:$I$104,2)</f>
        <v>0</v>
      </c>
      <c r="U764" s="309">
        <f t="shared" si="345"/>
        <v>0.12016234480898272</v>
      </c>
      <c r="V764" s="309">
        <f t="shared" si="346"/>
        <v>0.79448456954089919</v>
      </c>
      <c r="W764" s="309">
        <f>VLOOKUP($B764,'Infant adult mortality'!$A$27:$I$128,3)</f>
        <v>7.6726918771285041E-2</v>
      </c>
      <c r="X764" s="309">
        <f>VLOOKUP($B764,'Infant pick up smoking rates'!$A$19:$I$104,2)</f>
        <v>0</v>
      </c>
      <c r="Y764" s="309">
        <f t="shared" si="347"/>
        <v>0.92327308122871499</v>
      </c>
      <c r="Z764" s="309">
        <f>VLOOKUP($B764,'Infant adult mortality'!$A$27:$I$128,5)</f>
        <v>9.9526554776275422E-2</v>
      </c>
      <c r="AA764" s="309">
        <f t="shared" si="326"/>
        <v>0.25</v>
      </c>
      <c r="AB764" s="309">
        <f t="shared" si="348"/>
        <v>0.65047344522372463</v>
      </c>
      <c r="AC764" s="309">
        <f>VLOOKUP($B764,'Infant adult mortality'!$A$27:$I$128,5)</f>
        <v>9.9526554776275422E-2</v>
      </c>
      <c r="AD764" s="309">
        <f t="shared" si="327"/>
        <v>0.14000000000000001</v>
      </c>
      <c r="AE764" s="309">
        <f t="shared" si="349"/>
        <v>0.76047344522372451</v>
      </c>
      <c r="AF764" s="309">
        <f>VLOOKUP($B764,'Infant adult mortality'!$A$27:$I$128,4)</f>
        <v>8.1778335131672139E-2</v>
      </c>
      <c r="AG764" s="309">
        <f t="shared" si="328"/>
        <v>0.5714285714285714</v>
      </c>
      <c r="AH764" s="309">
        <f t="shared" si="350"/>
        <v>0.34679309343975645</v>
      </c>
      <c r="AI764" s="309">
        <f>VLOOKUP($B764,'Infant adult mortality'!$A$27:$I$128,4)</f>
        <v>8.1778335131672139E-2</v>
      </c>
      <c r="AJ764" s="309">
        <f t="shared" si="329"/>
        <v>8.6261668788331098E-3</v>
      </c>
      <c r="AK764" s="309">
        <f t="shared" si="351"/>
        <v>0.90959549798949479</v>
      </c>
      <c r="AL764" s="309"/>
      <c r="AM764" s="315">
        <f t="shared" si="388"/>
        <v>6.7065730578763499E-2</v>
      </c>
      <c r="AN764" s="316">
        <f t="shared" si="389"/>
        <v>2.3094687014784995E-2</v>
      </c>
      <c r="AO764" s="316">
        <f t="shared" si="390"/>
        <v>4.0925722417456158E-3</v>
      </c>
      <c r="AP764" s="316">
        <f t="shared" si="391"/>
        <v>0.36051397441892452</v>
      </c>
      <c r="AQ764" s="316">
        <f t="shared" si="392"/>
        <v>65.974113749380365</v>
      </c>
      <c r="AR764" s="316">
        <f t="shared" si="393"/>
        <v>26.66312737875975</v>
      </c>
      <c r="AS764" s="316">
        <f t="shared" si="394"/>
        <v>7.4567363506163691</v>
      </c>
      <c r="AT764" s="316">
        <f t="shared" si="395"/>
        <v>1.1574424996548403</v>
      </c>
      <c r="AU764" s="316">
        <f t="shared" si="396"/>
        <v>56.927274627670926</v>
      </c>
      <c r="AV764" s="316">
        <f t="shared" si="397"/>
        <v>351.36653842966319</v>
      </c>
      <c r="AW764" s="317">
        <f t="shared" si="352"/>
        <v>509.99999999999966</v>
      </c>
      <c r="AX764" s="309"/>
      <c r="AY764" s="308">
        <f>VLOOKUP($B764,'Infant adult mortality'!$A$134:$I$234,3)</f>
        <v>6.5325370064403018E-2</v>
      </c>
      <c r="AZ764" s="309">
        <f t="shared" si="353"/>
        <v>0.27</v>
      </c>
      <c r="BA764" s="309">
        <f ca="1">VLOOKUP($B764,'Infant pick up smoking rates'!$A$19:$I$104,7)</f>
        <v>0</v>
      </c>
      <c r="BB764" s="309">
        <f t="shared" si="354"/>
        <v>0.14624098391610749</v>
      </c>
      <c r="BC764" s="309">
        <f t="shared" ca="1" si="355"/>
        <v>0.51843364601948949</v>
      </c>
      <c r="BD764" s="309">
        <f>VLOOKUP($B764,'Infant adult mortality'!$A$134:$I$234,3)</f>
        <v>6.5325370064403018E-2</v>
      </c>
      <c r="BE764" s="309">
        <f t="shared" si="356"/>
        <v>0.14000000000000001</v>
      </c>
      <c r="BF764" s="309">
        <f>VLOOKUP($B764,'Infant pick up smoking rates'!$A$19:$I$104,6)</f>
        <v>0</v>
      </c>
      <c r="BG764" s="309">
        <f t="shared" si="357"/>
        <v>0.14624098391610749</v>
      </c>
      <c r="BH764" s="309">
        <f t="shared" si="358"/>
        <v>0.6484336460194895</v>
      </c>
      <c r="BI764" s="309">
        <f>VLOOKUP($B764,'Infant adult mortality'!$A$134:$I$234,3)</f>
        <v>6.5325370064403018E-2</v>
      </c>
      <c r="BJ764" s="309">
        <f t="shared" si="359"/>
        <v>0.5714285714285714</v>
      </c>
      <c r="BK764" s="309">
        <f>VLOOKUP($B764,'Infant pick up smoking rates'!$A$19:$I$104,6)</f>
        <v>0</v>
      </c>
      <c r="BL764" s="309">
        <f t="shared" si="360"/>
        <v>0.12016234480898272</v>
      </c>
      <c r="BM764" s="309">
        <f t="shared" si="361"/>
        <v>0.24308371369804288</v>
      </c>
      <c r="BN764" s="309">
        <f>VLOOKUP($B764,'Infant adult mortality'!$A$134:$I$234,3)</f>
        <v>6.5325370064403018E-2</v>
      </c>
      <c r="BO764" s="309">
        <f t="shared" si="362"/>
        <v>8.6261668788331098E-3</v>
      </c>
      <c r="BP764" s="309">
        <f>VLOOKUP($B764,'Infant pick up smoking rates'!$A$19:$I$104,6)</f>
        <v>0</v>
      </c>
      <c r="BQ764" s="309">
        <f t="shared" si="363"/>
        <v>0.12016234480898272</v>
      </c>
      <c r="BR764" s="309">
        <f t="shared" si="364"/>
        <v>0.80588611824778122</v>
      </c>
      <c r="BS764" s="309">
        <f>VLOOKUP($B764,'Infant adult mortality'!$A$134:$I$234,3)</f>
        <v>6.5325370064403018E-2</v>
      </c>
      <c r="BT764" s="309">
        <f>VLOOKUP($B764,'Infant pick up smoking rates'!$A$19:$I$104,6)</f>
        <v>0</v>
      </c>
      <c r="BU764" s="309">
        <f t="shared" si="365"/>
        <v>0.93467462993559702</v>
      </c>
      <c r="BV764" s="309">
        <f>VLOOKUP($B764,'Infant adult mortality'!$A$134:$I$234,5)</f>
        <v>8.4737001382472948E-2</v>
      </c>
      <c r="BW764" s="309">
        <f t="shared" si="366"/>
        <v>0.27</v>
      </c>
      <c r="BX764" s="309">
        <f t="shared" si="367"/>
        <v>0.64526299861752701</v>
      </c>
      <c r="BY764" s="309">
        <f>VLOOKUP($B764,'Infant adult mortality'!$A$134:$I$234,5)</f>
        <v>8.4737001382472948E-2</v>
      </c>
      <c r="BZ764" s="309">
        <f t="shared" si="368"/>
        <v>0.14000000000000001</v>
      </c>
      <c r="CA764" s="309">
        <f t="shared" si="369"/>
        <v>0.77526299861752701</v>
      </c>
      <c r="CB764" s="309">
        <f>VLOOKUP($B764,'Infant adult mortality'!$A$134:$I$234,4)</f>
        <v>6.9626150655831692E-2</v>
      </c>
      <c r="CC764" s="309">
        <f t="shared" si="370"/>
        <v>0.5714285714285714</v>
      </c>
      <c r="CD764" s="309">
        <f t="shared" si="371"/>
        <v>0.35894527791559694</v>
      </c>
      <c r="CE764" s="309">
        <f>VLOOKUP($B764,'Infant adult mortality'!$A$134:$I$234,4)</f>
        <v>6.9626150655831692E-2</v>
      </c>
      <c r="CF764" s="309">
        <f t="shared" si="372"/>
        <v>8.6261668788331098E-3</v>
      </c>
      <c r="CG764" s="309">
        <f t="shared" si="373"/>
        <v>0.92174768246533523</v>
      </c>
      <c r="CH764" s="309"/>
      <c r="CI764" s="315">
        <f t="shared" ca="1" si="398"/>
        <v>0.11279468051554724</v>
      </c>
      <c r="CJ764" s="316">
        <f t="shared" ca="1" si="399"/>
        <v>3.826435652350646E-2</v>
      </c>
      <c r="CK764" s="316">
        <f t="shared" ca="1" si="400"/>
        <v>6.6906184570077942E-3</v>
      </c>
      <c r="CL764" s="316">
        <f t="shared" ca="1" si="401"/>
        <v>0.59463595554990167</v>
      </c>
      <c r="CM764" s="316">
        <f t="shared" ca="1" si="402"/>
        <v>106.59024407516986</v>
      </c>
      <c r="CN764" s="316">
        <f t="shared" ca="1" si="403"/>
        <v>25.423084728481868</v>
      </c>
      <c r="CO764" s="316">
        <f t="shared" ca="1" si="404"/>
        <v>7.5558457909260808</v>
      </c>
      <c r="CP764" s="316">
        <f t="shared" ca="1" si="405"/>
        <v>1.1560929143839604</v>
      </c>
      <c r="CQ764" s="316">
        <f t="shared" ca="1" si="406"/>
        <v>55.566923485271445</v>
      </c>
      <c r="CR764" s="316">
        <f t="shared" ca="1" si="407"/>
        <v>292.95542339472166</v>
      </c>
      <c r="CS764" s="317">
        <f t="shared" ca="1" si="374"/>
        <v>490.0000000000008</v>
      </c>
      <c r="CT764" s="309"/>
      <c r="CU764" s="309">
        <f t="shared" ca="1" si="375"/>
        <v>1000.0000000000005</v>
      </c>
      <c r="CV764" s="309" t="str">
        <f t="shared" ca="1" si="330"/>
        <v>OKAY</v>
      </c>
      <c r="CW764" s="309"/>
      <c r="CX764" s="315">
        <f>(SUM($AR764:$AS764))-((SUM($AR764:$AS764)*VLOOKUP($B764,Lifetime_morbidity_array!$A$30:$Y$48,4))+(SUM($AR764:$AS764)*VLOOKUP($B764,Lifetime_morbidity_array!$A$30:$Y$48,7))+(SUM($AR764:$AS764)*VLOOKUP($B764,Lifetime_morbidity_array!$A$30:$Y$48,10))+(SUM($AR764:$AS764)*VLOOKUP($B764,Lifetime_morbidity_array!$A$30:$Y$48,13)))</f>
        <v>-0.92159859662969268</v>
      </c>
      <c r="CY764" s="316">
        <f>(SUM($AT764:$AU764))-((SUM($AT764:$AU764)*(VLOOKUP($B764,Lifetime_morbidity_array!$A$30:$Y$48,3)))+(SUM($AT764:$AU764)*(VLOOKUP($B764,Lifetime_morbidity_array!$A$30:$Y$48,6)))+(SUM($AT764:$AU764)*(VLOOKUP($B764,Lifetime_morbidity_array!$A$30:$Y$48,9)))+(SUM($AT764:$AU764)*(VLOOKUP($B764,Lifetime_morbidity_array!$A$30:$Y$48,12))))</f>
        <v>26.341523479893883</v>
      </c>
      <c r="CZ764" s="316">
        <f>(SUM($AM764:$AQ764))-((SUM($AM764:$AQ764)*VLOOKUP($B764,Lifetime_morbidity_array!$A$30:$Y$48,2))+(SUM($AM764:$AQ764)*VLOOKUP($B764,Lifetime_morbidity_array!$A$30:$Y$48,5))+(SUM($AM764:$AQ764)*VLOOKUP($B764,Lifetime_morbidity_array!$A$30:$Y$48,8))+(SUM($AM764:$AQ764)*VLOOKUP($B764,Lifetime_morbidity_array!$A$30:$Y$48,11)))</f>
        <v>42.35083278522292</v>
      </c>
      <c r="DA764" s="316">
        <f>(SUM($AM764:$AQ764)*VLOOKUP($B764,Lifetime_morbidity_array!$A$30:$Y$48,2))+(SUM($AR764:$AS764)*VLOOKUP($B764,Lifetime_morbidity_array!$A$30:$Y$48,4))+(SUM($AT764:$AU764)*(VLOOKUP($B764,Lifetime_morbidity_array!$A$30:$Y$48,3)))</f>
        <v>47.798864382853594</v>
      </c>
      <c r="DB764" s="316">
        <f>(SUM($AM764:$AQ764)*VLOOKUP($B764,Lifetime_morbidity_array!$A$30:$Y$48,5))+(SUM($AR764:$AS764)*VLOOKUP($B764,Lifetime_morbidity_array!$A$30:$Y$48,7))+(SUM($AT764:$AU764)*(VLOOKUP($B764,Lifetime_morbidity_array!$A$30:$Y$48,6)))</f>
        <v>19.972660367526839</v>
      </c>
      <c r="DC764" s="316">
        <f>(SUM($AM764:$AQ764)*VLOOKUP($B764,Lifetime_morbidity_array!$A$30:$Y$48,8))+(SUM($AR764:$AS764)*VLOOKUP($B764,Lifetime_morbidity_array!$A$30:$Y$48,10))+(SUM($AT764:$AU764)*(VLOOKUP($B764,Lifetime_morbidity_array!$A$30:$Y$48,9)))</f>
        <v>1.6148176992866814</v>
      </c>
      <c r="DD764" s="317">
        <f>(SUM($AM764:$AQ764)*VLOOKUP($B764,Lifetime_morbidity_array!$A$30:$Y$48,11))+(SUM($AR764:$AS764)*VLOOKUP($B764,Lifetime_morbidity_array!$A$30:$Y$48,13))+(SUM($AT764:$AU764)*(VLOOKUP($B764,Lifetime_morbidity_array!$A$30:$Y$48,12)))</f>
        <v>21.476361452182253</v>
      </c>
      <c r="DE764" s="309"/>
      <c r="DF764" s="315">
        <f ca="1">(SUM($CN764:$CO764))-((SUM($CN764:$CO764)*VLOOKUP($B764,Lifetime_morbidity_array!$A$6:$Y$24,4))+(SUM($CN764:$CO764)*VLOOKUP($B764,Lifetime_morbidity_array!$A$6:$Y$24,7))+(SUM($CN764:$CO764)*VLOOKUP($B764,Lifetime_morbidity_array!$A$6:$Y$24,10))+(SUM($CN764:$CO764)*VLOOKUP($B764,Lifetime_morbidity_array!$A$6:$Y$24,13)))</f>
        <v>5.228628705245761</v>
      </c>
      <c r="DG764" s="316">
        <f ca="1">(SUM($CP764:$CQ764))-(((SUM($CP764:$CQ764)*VLOOKUP($B764,Lifetime_morbidity_array!$A$6:$Y$24,3))+(SUM($CP764:$CQ764)*VLOOKUP($B764,Lifetime_morbidity_array!$A$6:$Y$24,6))+(SUM($CP764:$CQ764)*VLOOKUP($B764,Lifetime_morbidity_array!$A$6:$Y$24,9))+(SUM($CP764:$CQ764)*VLOOKUP($B764,Lifetime_morbidity_array!$A$6:$Y$24,12))))</f>
        <v>33.011817200460662</v>
      </c>
      <c r="DH764" s="316">
        <f ca="1">(SUM($CI764:$CM764))-((SUM($CI764:$CM764)*VLOOKUP($B764,Lifetime_morbidity_array!$A$6:$Y$24,2))+(SUM($CI764:$CM764)*VLOOKUP($B764,Lifetime_morbidity_array!$A$6:$Y$24,5))+(SUM($CI764:$CM764)*VLOOKUP($B764,Lifetime_morbidity_array!$A$6:$Y$24,8))+(SUM($CI764:$CM764)*VLOOKUP($B764,Lifetime_morbidity_array!$A$6:$Y$24,11)))</f>
        <v>77.697482229287516</v>
      </c>
      <c r="DI764" s="316">
        <f ca="1">(SUM($CI764:$CM764)*VLOOKUP($B764,Lifetime_morbidity_array!$A$6:$Y$24,2))+(SUM($CN764:$CO764)*VLOOKUP($B764,Lifetime_morbidity_array!$A$6:$Y$24,4))+(SUM($CP764:$CQ764)*VLOOKUP($B764,Lifetime_morbidity_array!$A$6:$Y$24,3))</f>
        <v>40.860961792685075</v>
      </c>
      <c r="DJ764" s="316">
        <f ca="1">(SUM($CI764:$CM764)*VLOOKUP($B764,Lifetime_morbidity_array!$A$6:$Y$24,5))+(SUM($CN764:$CO764)*VLOOKUP($B764,Lifetime_morbidity_array!$A$6:$Y$24,7))+(SUM($CP764:$CQ764)*VLOOKUP($B764,Lifetime_morbidity_array!$A$6:$Y$24,6))</f>
        <v>16.797908186122775</v>
      </c>
      <c r="DK764" s="316">
        <f ca="1">(SUM($CI764:$CM764)*VLOOKUP($B764,Lifetime_morbidity_array!$A$6:$Y$24,8))+(SUM($CN764:$CO764)*VLOOKUP($B764,Lifetime_morbidity_array!$A$6:$Y$24,10))+(SUM($CP764:$CQ764)*VLOOKUP($B764,Lifetime_morbidity_array!$A$6:$Y$24,9))</f>
        <v>0.77784747814409816</v>
      </c>
      <c r="DL764" s="317">
        <f ca="1">(SUM($CI764:$CM764)*VLOOKUP($B764,Lifetime_morbidity_array!$A$6:$Y$24,11))+(SUM($CN764:$CO764)*VLOOKUP($B764,Lifetime_morbidity_array!$A$6:$Y$24,13))+(SUM($CP764:$CQ764)*VLOOKUP($B764,Lifetime_morbidity_array!$A$6:$Y$24,12))</f>
        <v>22.669931013333294</v>
      </c>
      <c r="DM764" s="309"/>
      <c r="DN764" s="308">
        <f t="shared" si="376"/>
        <v>98</v>
      </c>
      <c r="DO764" s="309">
        <f t="shared" ca="1" si="377"/>
        <v>12.215261544172579</v>
      </c>
      <c r="DP764" s="310">
        <f t="shared" ca="1" si="408"/>
        <v>24051.766664939634</v>
      </c>
      <c r="DQ764" s="309"/>
      <c r="DR764" s="308">
        <f t="shared" si="378"/>
        <v>98</v>
      </c>
      <c r="DS764" s="309">
        <f ca="1">((VLOOKUP($B764,'Mahawesran Tariff'!$A$21:$M$120,4)*'Comparator (DET)'!$CX764)+(VLOOKUP($B764,'Mahawesran Tariff'!$A$21:$M$120,3)*'Comparator (DET)'!$CY764)+(VLOOKUP($B764,'Mahawesran Tariff'!$A$21:$M$120,2)*'Comparator (DET)'!$CZ764)+(VLOOKUP($B764,'Mahawesran Tariff'!$A$21:$M$120,7)*'Comparator (DET)'!$DF764)+(VLOOKUP($B764,'Mahawesran Tariff'!$A$21:$M$120,6)*'Comparator (DET)'!$DG764)+(VLOOKUP($B764,'Mahawesran Tariff'!$A$21:$M$120,5)*'Comparator (DET)'!$DH764)+(DET_UTIL_chd*('Comparator (DET)'!$DA764+'Comparator (DET)'!$DI764))+(DET_UTIL_copd*('Comparator (DET)'!$DB764+'Comparator (DET)'!$DJ764))+(DET_UTIL_lc*('Comparator (DET)'!$DC764+'Comparator (DET)'!$DK764))+(DET_UTIL_stroke*('Comparator (DET)'!$DD764+'Comparator (DET)'!$DL764)))/((1+Discount_rate_QALYs)^$A764)</f>
        <v>10.10087314776904</v>
      </c>
      <c r="DT764" s="310">
        <f t="shared" ca="1" si="409"/>
        <v>23528.024223738175</v>
      </c>
      <c r="DU764" s="309"/>
      <c r="DV764" s="308">
        <f t="shared" si="379"/>
        <v>98</v>
      </c>
      <c r="DW764" s="318">
        <f t="shared" ca="1" si="380"/>
        <v>40386.983430682951</v>
      </c>
      <c r="DX764" s="319">
        <f t="shared" ca="1" si="410"/>
        <v>11706893.773194309</v>
      </c>
      <c r="DZ764" s="95">
        <f t="shared" si="381"/>
        <v>98</v>
      </c>
      <c r="EA764" s="268">
        <f t="shared" ca="1" si="331"/>
        <v>0.35567803817561561</v>
      </c>
      <c r="EB764" s="268">
        <f t="shared" ca="1" si="332"/>
        <v>0.64432196182438484</v>
      </c>
      <c r="EC764" s="268">
        <f t="shared" ca="1" si="333"/>
        <v>0.17196935237213462</v>
      </c>
      <c r="ED764" s="290">
        <f t="shared" ca="1" si="334"/>
        <v>0.18190652777576521</v>
      </c>
      <c r="EF764" s="95">
        <f t="shared" si="382"/>
        <v>98</v>
      </c>
      <c r="EG764" s="339">
        <f t="shared" ca="1" si="383"/>
        <v>40386.983430682951</v>
      </c>
      <c r="EH764" s="341">
        <f t="shared" ca="1" si="411"/>
        <v>14807025.709050393</v>
      </c>
      <c r="EJ764" s="308">
        <f t="shared" si="384"/>
        <v>98</v>
      </c>
      <c r="EK764" s="318">
        <f t="shared" ca="1" si="385"/>
        <v>40386.983430682951</v>
      </c>
      <c r="EL764" s="319">
        <f t="shared" ca="1" si="412"/>
        <v>11706893.773194309</v>
      </c>
      <c r="EN764" s="95">
        <f t="shared" si="386"/>
        <v>98</v>
      </c>
      <c r="EO764" s="339">
        <f t="shared" ca="1" si="387"/>
        <v>40386.983430682951</v>
      </c>
      <c r="EP764" s="341">
        <f t="shared" ca="1" si="413"/>
        <v>14807025.709050393</v>
      </c>
    </row>
    <row r="765" spans="1:146" s="266" customFormat="1" x14ac:dyDescent="0.25">
      <c r="A765" s="313">
        <v>99</v>
      </c>
      <c r="B765" s="314">
        <v>99</v>
      </c>
      <c r="C765" s="308">
        <f>VLOOKUP($B765,'Infant adult mortality'!$A$27:$I$128,3)</f>
        <v>8.3243158782075055E-2</v>
      </c>
      <c r="D765" s="309">
        <f t="shared" si="335"/>
        <v>0.27</v>
      </c>
      <c r="E765" s="309">
        <f>VLOOKUP($B765,'Infant pick up smoking rates'!$A$19:$I$104,3)</f>
        <v>0</v>
      </c>
      <c r="F765" s="309">
        <f t="shared" si="336"/>
        <v>0.14624098391610749</v>
      </c>
      <c r="G765" s="309">
        <f t="shared" si="337"/>
        <v>0.50051585730181736</v>
      </c>
      <c r="H765" s="309">
        <f>VLOOKUP($B765,'Infant adult mortality'!$A$27:$I$128,3)</f>
        <v>8.3243158782075055E-2</v>
      </c>
      <c r="I765" s="309">
        <f t="shared" si="338"/>
        <v>0.14000000000000001</v>
      </c>
      <c r="J765" s="309">
        <f>VLOOKUP($B765,'Infant pick up smoking rates'!$A$19:$I$104,2)</f>
        <v>0</v>
      </c>
      <c r="K765" s="309">
        <f t="shared" si="339"/>
        <v>0.14624098391610749</v>
      </c>
      <c r="L765" s="309">
        <f t="shared" si="340"/>
        <v>0.63051585730181747</v>
      </c>
      <c r="M765" s="309">
        <f>VLOOKUP($B765,'Infant adult mortality'!$A$27:$I$128,3)</f>
        <v>8.3243158782075055E-2</v>
      </c>
      <c r="N765" s="309">
        <f t="shared" si="341"/>
        <v>0.5714285714285714</v>
      </c>
      <c r="O765" s="309">
        <f>VLOOKUP($B765,'Infant pick up smoking rates'!$A$19:$I$104,2)</f>
        <v>0</v>
      </c>
      <c r="P765" s="309">
        <f t="shared" si="342"/>
        <v>0.12016234480898272</v>
      </c>
      <c r="Q765" s="309">
        <f t="shared" si="343"/>
        <v>0.22516592498037086</v>
      </c>
      <c r="R765" s="309">
        <f>VLOOKUP($B765,'Infant adult mortality'!$A$27:$I$128,3)</f>
        <v>8.3243158782075055E-2</v>
      </c>
      <c r="S765" s="309">
        <f t="shared" si="344"/>
        <v>8.6261668788331098E-3</v>
      </c>
      <c r="T765" s="309">
        <f>VLOOKUP($B765,'Infant pick up smoking rates'!$A$19:$I$104,2)</f>
        <v>0</v>
      </c>
      <c r="U765" s="309">
        <f t="shared" si="345"/>
        <v>0.12016234480898272</v>
      </c>
      <c r="V765" s="309">
        <f t="shared" si="346"/>
        <v>0.7879683295301092</v>
      </c>
      <c r="W765" s="309">
        <f>VLOOKUP($B765,'Infant adult mortality'!$A$27:$I$128,3)</f>
        <v>8.3243158782075055E-2</v>
      </c>
      <c r="X765" s="309">
        <f>VLOOKUP($B765,'Infant pick up smoking rates'!$A$19:$I$104,2)</f>
        <v>0</v>
      </c>
      <c r="Y765" s="309">
        <f t="shared" si="347"/>
        <v>0.916756841217925</v>
      </c>
      <c r="Z765" s="309">
        <f>VLOOKUP($B765,'Infant adult mortality'!$A$27:$I$128,5)</f>
        <v>0.10797911521731798</v>
      </c>
      <c r="AA765" s="309">
        <f t="shared" si="326"/>
        <v>0.25</v>
      </c>
      <c r="AB765" s="309">
        <f t="shared" si="348"/>
        <v>0.64202088478268204</v>
      </c>
      <c r="AC765" s="309">
        <f>VLOOKUP($B765,'Infant adult mortality'!$A$27:$I$128,5)</f>
        <v>0.10797911521731798</v>
      </c>
      <c r="AD765" s="309">
        <f t="shared" si="327"/>
        <v>0.14000000000000001</v>
      </c>
      <c r="AE765" s="309">
        <f t="shared" si="349"/>
        <v>0.75202088478268203</v>
      </c>
      <c r="AF765" s="309">
        <f>VLOOKUP($B765,'Infant adult mortality'!$A$27:$I$128,4)</f>
        <v>8.8723580267727684E-2</v>
      </c>
      <c r="AG765" s="309">
        <f t="shared" si="328"/>
        <v>0.5714285714285714</v>
      </c>
      <c r="AH765" s="309">
        <f t="shared" si="350"/>
        <v>0.33984784830370091</v>
      </c>
      <c r="AI765" s="309">
        <f>VLOOKUP($B765,'Infant adult mortality'!$A$27:$I$128,4)</f>
        <v>8.8723580267727684E-2</v>
      </c>
      <c r="AJ765" s="309">
        <f t="shared" si="329"/>
        <v>8.6261668788331098E-3</v>
      </c>
      <c r="AK765" s="309">
        <f t="shared" si="351"/>
        <v>0.90265025285343925</v>
      </c>
      <c r="AL765" s="309"/>
      <c r="AM765" s="315">
        <f t="shared" si="388"/>
        <v>5.2160389538297491E-2</v>
      </c>
      <c r="AN765" s="316">
        <f t="shared" si="389"/>
        <v>1.8107747256266148E-2</v>
      </c>
      <c r="AO765" s="316">
        <f t="shared" si="390"/>
        <v>3.2332561820698998E-3</v>
      </c>
      <c r="AP765" s="316">
        <f t="shared" si="391"/>
        <v>0.28641220690470942</v>
      </c>
      <c r="AQ765" s="316">
        <f t="shared" si="392"/>
        <v>60.539217248792639</v>
      </c>
      <c r="AR765" s="316">
        <f t="shared" si="393"/>
        <v>23.610324612704805</v>
      </c>
      <c r="AS765" s="316">
        <f t="shared" si="394"/>
        <v>6.6657818446899375</v>
      </c>
      <c r="AT765" s="316">
        <f t="shared" si="395"/>
        <v>1.0439430890862917</v>
      </c>
      <c r="AU765" s="316">
        <f t="shared" si="396"/>
        <v>52.046814551012815</v>
      </c>
      <c r="AV765" s="316">
        <f t="shared" si="397"/>
        <v>365.73400505383171</v>
      </c>
      <c r="AW765" s="317">
        <f t="shared" si="352"/>
        <v>509.99999999999955</v>
      </c>
      <c r="AX765" s="309"/>
      <c r="AY765" s="308">
        <f>VLOOKUP($B765,'Infant adult mortality'!$A$134:$I$234,3)</f>
        <v>7.064870789358331E-2</v>
      </c>
      <c r="AZ765" s="309">
        <f t="shared" si="353"/>
        <v>0.27</v>
      </c>
      <c r="BA765" s="309">
        <f ca="1">VLOOKUP($B765,'Infant pick up smoking rates'!$A$19:$I$104,7)</f>
        <v>0</v>
      </c>
      <c r="BB765" s="309">
        <f t="shared" si="354"/>
        <v>0.14624098391610749</v>
      </c>
      <c r="BC765" s="309">
        <f t="shared" ca="1" si="355"/>
        <v>0.51311030819030912</v>
      </c>
      <c r="BD765" s="309">
        <f>VLOOKUP($B765,'Infant adult mortality'!$A$134:$I$234,3)</f>
        <v>7.064870789358331E-2</v>
      </c>
      <c r="BE765" s="309">
        <f t="shared" si="356"/>
        <v>0.14000000000000001</v>
      </c>
      <c r="BF765" s="309">
        <f>VLOOKUP($B765,'Infant pick up smoking rates'!$A$19:$I$104,6)</f>
        <v>0</v>
      </c>
      <c r="BG765" s="309">
        <f t="shared" si="357"/>
        <v>0.14624098391610749</v>
      </c>
      <c r="BH765" s="309">
        <f t="shared" si="358"/>
        <v>0.64311030819030912</v>
      </c>
      <c r="BI765" s="309">
        <f>VLOOKUP($B765,'Infant adult mortality'!$A$134:$I$234,3)</f>
        <v>7.064870789358331E-2</v>
      </c>
      <c r="BJ765" s="309">
        <f t="shared" si="359"/>
        <v>0.5714285714285714</v>
      </c>
      <c r="BK765" s="309">
        <f>VLOOKUP($B765,'Infant pick up smoking rates'!$A$19:$I$104,6)</f>
        <v>0</v>
      </c>
      <c r="BL765" s="309">
        <f t="shared" si="360"/>
        <v>0.12016234480898272</v>
      </c>
      <c r="BM765" s="309">
        <f t="shared" si="361"/>
        <v>0.23776037586886262</v>
      </c>
      <c r="BN765" s="309">
        <f>VLOOKUP($B765,'Infant adult mortality'!$A$134:$I$234,3)</f>
        <v>7.064870789358331E-2</v>
      </c>
      <c r="BO765" s="309">
        <f t="shared" si="362"/>
        <v>8.6261668788331098E-3</v>
      </c>
      <c r="BP765" s="309">
        <f>VLOOKUP($B765,'Infant pick up smoking rates'!$A$19:$I$104,6)</f>
        <v>0</v>
      </c>
      <c r="BQ765" s="309">
        <f t="shared" si="363"/>
        <v>0.12016234480898272</v>
      </c>
      <c r="BR765" s="309">
        <f t="shared" si="364"/>
        <v>0.80056278041860085</v>
      </c>
      <c r="BS765" s="309">
        <f>VLOOKUP($B765,'Infant adult mortality'!$A$134:$I$234,3)</f>
        <v>7.064870789358331E-2</v>
      </c>
      <c r="BT765" s="309">
        <f>VLOOKUP($B765,'Infant pick up smoking rates'!$A$19:$I$104,6)</f>
        <v>0</v>
      </c>
      <c r="BU765" s="309">
        <f t="shared" si="365"/>
        <v>0.92935129210641665</v>
      </c>
      <c r="BV765" s="309">
        <f>VLOOKUP($B765,'Infant adult mortality'!$A$134:$I$234,5)</f>
        <v>9.1642185150217492E-2</v>
      </c>
      <c r="BW765" s="309">
        <f t="shared" si="366"/>
        <v>0.27</v>
      </c>
      <c r="BX765" s="309">
        <f t="shared" si="367"/>
        <v>0.63835781484978249</v>
      </c>
      <c r="BY765" s="309">
        <f>VLOOKUP($B765,'Infant adult mortality'!$A$134:$I$234,5)</f>
        <v>9.1642185150217492E-2</v>
      </c>
      <c r="BZ765" s="309">
        <f t="shared" si="368"/>
        <v>0.14000000000000001</v>
      </c>
      <c r="CA765" s="309">
        <f t="shared" si="369"/>
        <v>0.76835781484978249</v>
      </c>
      <c r="CB765" s="309">
        <f>VLOOKUP($B765,'Infant adult mortality'!$A$134:$I$234,4)</f>
        <v>7.5299957345651966E-2</v>
      </c>
      <c r="CC765" s="309">
        <f t="shared" si="370"/>
        <v>0.5714285714285714</v>
      </c>
      <c r="CD765" s="309">
        <f t="shared" si="371"/>
        <v>0.35327147122577662</v>
      </c>
      <c r="CE765" s="309">
        <f>VLOOKUP($B765,'Infant adult mortality'!$A$134:$I$234,4)</f>
        <v>7.5299957345651966E-2</v>
      </c>
      <c r="CF765" s="309">
        <f t="shared" si="372"/>
        <v>8.6261668788331098E-3</v>
      </c>
      <c r="CG765" s="309">
        <f t="shared" si="373"/>
        <v>0.91607387577551491</v>
      </c>
      <c r="CH765" s="309"/>
      <c r="CI765" s="315">
        <f t="shared" ca="1" si="398"/>
        <v>8.9204508341957173E-2</v>
      </c>
      <c r="CJ765" s="316">
        <f t="shared" ca="1" si="399"/>
        <v>3.0454563739197756E-2</v>
      </c>
      <c r="CK765" s="316">
        <f t="shared" ca="1" si="400"/>
        <v>5.357009913290905E-3</v>
      </c>
      <c r="CL765" s="316">
        <f t="shared" ca="1" si="401"/>
        <v>0.47986662445876238</v>
      </c>
      <c r="CM765" s="316">
        <f t="shared" ca="1" si="402"/>
        <v>99.154128890532078</v>
      </c>
      <c r="CN765" s="316">
        <f t="shared" ca="1" si="403"/>
        <v>22.922362174937867</v>
      </c>
      <c r="CO765" s="316">
        <f t="shared" ca="1" si="404"/>
        <v>6.8642328766901048</v>
      </c>
      <c r="CP765" s="316">
        <f t="shared" ca="1" si="405"/>
        <v>1.0578184107296513</v>
      </c>
      <c r="CQ765" s="316">
        <f t="shared" ca="1" si="406"/>
        <v>51.56403148457921</v>
      </c>
      <c r="CR765" s="316">
        <f t="shared" ca="1" si="407"/>
        <v>307.83254345607872</v>
      </c>
      <c r="CS765" s="317">
        <f t="shared" ca="1" si="374"/>
        <v>490.0000000000008</v>
      </c>
      <c r="CT765" s="309"/>
      <c r="CU765" s="309">
        <f t="shared" ca="1" si="375"/>
        <v>1000.0000000000003</v>
      </c>
      <c r="CV765" s="309" t="str">
        <f t="shared" ca="1" si="330"/>
        <v>OKAY</v>
      </c>
      <c r="CW765" s="309"/>
      <c r="CX765" s="315">
        <f>(SUM($AR765:$AS765))-((SUM($AR765:$AS765)*VLOOKUP($B765,Lifetime_morbidity_array!$A$30:$Y$48,4))+(SUM($AR765:$AS765)*VLOOKUP($B765,Lifetime_morbidity_array!$A$30:$Y$48,7))+(SUM($AR765:$AS765)*VLOOKUP($B765,Lifetime_morbidity_array!$A$30:$Y$48,10))+(SUM($AR765:$AS765)*VLOOKUP($B765,Lifetime_morbidity_array!$A$30:$Y$48,13)))</f>
        <v>-0.8177763382601988</v>
      </c>
      <c r="CY765" s="316">
        <f>(SUM($AT765:$AU765))-((SUM($AT765:$AU765)*(VLOOKUP($B765,Lifetime_morbidity_array!$A$30:$Y$48,3)))+(SUM($AT765:$AU765)*(VLOOKUP($B765,Lifetime_morbidity_array!$A$30:$Y$48,6)))+(SUM($AT765:$AU765)*(VLOOKUP($B765,Lifetime_morbidity_array!$A$30:$Y$48,9)))+(SUM($AT765:$AU765)*(VLOOKUP($B765,Lifetime_morbidity_array!$A$30:$Y$48,12))))</f>
        <v>24.076753888229067</v>
      </c>
      <c r="CZ765" s="316">
        <f>(SUM($AM765:$AQ765))-((SUM($AM765:$AQ765)*VLOOKUP($B765,Lifetime_morbidity_array!$A$30:$Y$48,2))+(SUM($AM765:$AQ765)*VLOOKUP($B765,Lifetime_morbidity_array!$A$30:$Y$48,5))+(SUM($AM765:$AQ765)*VLOOKUP($B765,Lifetime_morbidity_array!$A$30:$Y$48,8))+(SUM($AM765:$AQ765)*VLOOKUP($B765,Lifetime_morbidity_array!$A$30:$Y$48,11)))</f>
        <v>38.8254156871295</v>
      </c>
      <c r="DA765" s="316">
        <f>(SUM($AM765:$AQ765)*VLOOKUP($B765,Lifetime_morbidity_array!$A$30:$Y$48,2))+(SUM($AR765:$AS765)*VLOOKUP($B765,Lifetime_morbidity_array!$A$30:$Y$48,4))+(SUM($AT765:$AU765)*(VLOOKUP($B765,Lifetime_morbidity_array!$A$30:$Y$48,3)))</f>
        <v>43.321527190796111</v>
      </c>
      <c r="DB765" s="316">
        <f>(SUM($AM765:$AQ765)*VLOOKUP($B765,Lifetime_morbidity_array!$A$30:$Y$48,5))+(SUM($AR765:$AS765)*VLOOKUP($B765,Lifetime_morbidity_array!$A$30:$Y$48,7))+(SUM($AT765:$AU765)*(VLOOKUP($B765,Lifetime_morbidity_array!$A$30:$Y$48,6)))</f>
        <v>17.918866084706032</v>
      </c>
      <c r="DC765" s="316">
        <f>(SUM($AM765:$AQ765)*VLOOKUP($B765,Lifetime_morbidity_array!$A$30:$Y$48,8))+(SUM($AR765:$AS765)*VLOOKUP($B765,Lifetime_morbidity_array!$A$30:$Y$48,10))+(SUM($AT765:$AU765)*(VLOOKUP($B765,Lifetime_morbidity_array!$A$30:$Y$48,9)))</f>
        <v>1.4488716645083961</v>
      </c>
      <c r="DD765" s="317">
        <f>(SUM($AM765:$AQ765)*VLOOKUP($B765,Lifetime_morbidity_array!$A$30:$Y$48,11))+(SUM($AR765:$AS765)*VLOOKUP($B765,Lifetime_morbidity_array!$A$30:$Y$48,13))+(SUM($AT765:$AU765)*(VLOOKUP($B765,Lifetime_morbidity_array!$A$30:$Y$48,12)))</f>
        <v>19.492336769058927</v>
      </c>
      <c r="DE765" s="309"/>
      <c r="DF765" s="315">
        <f ca="1">(SUM($CN765:$CO765))-((SUM($CN765:$CO765)*VLOOKUP($B765,Lifetime_morbidity_array!$A$6:$Y$24,4))+(SUM($CN765:$CO765)*VLOOKUP($B765,Lifetime_morbidity_array!$A$6:$Y$24,7))+(SUM($CN765:$CO765)*VLOOKUP($B765,Lifetime_morbidity_array!$A$6:$Y$24,10))+(SUM($CN765:$CO765)*VLOOKUP($B765,Lifetime_morbidity_array!$A$6:$Y$24,13)))</f>
        <v>4.7225014112213017</v>
      </c>
      <c r="DG765" s="316">
        <f ca="1">(SUM($CP765:$CQ765))-(((SUM($CP765:$CQ765)*VLOOKUP($B765,Lifetime_morbidity_array!$A$6:$Y$24,3))+(SUM($CP765:$CQ765)*VLOOKUP($B765,Lifetime_morbidity_array!$A$6:$Y$24,6))+(SUM($CP765:$CQ765)*VLOOKUP($B765,Lifetime_morbidity_array!$A$6:$Y$24,9))+(SUM($CP765:$CQ765)*VLOOKUP($B765,Lifetime_morbidity_array!$A$6:$Y$24,12))))</f>
        <v>30.625009030806222</v>
      </c>
      <c r="DH765" s="316">
        <f ca="1">(SUM($CI765:$CM765))-((SUM($CI765:$CM765)*VLOOKUP($B765,Lifetime_morbidity_array!$A$6:$Y$24,2))+(SUM($CI765:$CM765)*VLOOKUP($B765,Lifetime_morbidity_array!$A$6:$Y$24,5))+(SUM($CI765:$CM765)*VLOOKUP($B765,Lifetime_morbidity_array!$A$6:$Y$24,8))+(SUM($CI765:$CM765)*VLOOKUP($B765,Lifetime_morbidity_array!$A$6:$Y$24,11)))</f>
        <v>72.208255503203702</v>
      </c>
      <c r="DI765" s="316">
        <f ca="1">(SUM($CI765:$CM765)*VLOOKUP($B765,Lifetime_morbidity_array!$A$6:$Y$24,2))+(SUM($CN765:$CO765)*VLOOKUP($B765,Lifetime_morbidity_array!$A$6:$Y$24,4))+(SUM($CP765:$CQ765)*VLOOKUP($B765,Lifetime_morbidity_array!$A$6:$Y$24,3))</f>
        <v>37.642330028505619</v>
      </c>
      <c r="DJ765" s="316">
        <f ca="1">(SUM($CI765:$CM765)*VLOOKUP($B765,Lifetime_morbidity_array!$A$6:$Y$24,5))+(SUM($CN765:$CO765)*VLOOKUP($B765,Lifetime_morbidity_array!$A$6:$Y$24,7))+(SUM($CP765:$CQ765)*VLOOKUP($B765,Lifetime_morbidity_array!$A$6:$Y$24,6))</f>
        <v>15.348646890788254</v>
      </c>
      <c r="DK765" s="316">
        <f ca="1">(SUM($CI765:$CM765)*VLOOKUP($B765,Lifetime_morbidity_array!$A$6:$Y$24,8))+(SUM($CN765:$CO765)*VLOOKUP($B765,Lifetime_morbidity_array!$A$6:$Y$24,10))+(SUM($CP765:$CQ765)*VLOOKUP($B765,Lifetime_morbidity_array!$A$6:$Y$24,9))</f>
        <v>0.70993179236794002</v>
      </c>
      <c r="DL765" s="317">
        <f ca="1">(SUM($CI765:$CM765)*VLOOKUP($B765,Lifetime_morbidity_array!$A$6:$Y$24,11))+(SUM($CN765:$CO765)*VLOOKUP($B765,Lifetime_morbidity_array!$A$6:$Y$24,13))+(SUM($CP765:$CQ765)*VLOOKUP($B765,Lifetime_morbidity_array!$A$6:$Y$24,12))</f>
        <v>20.910781887029074</v>
      </c>
      <c r="DM765" s="309"/>
      <c r="DN765" s="308">
        <f t="shared" si="376"/>
        <v>99</v>
      </c>
      <c r="DO765" s="309">
        <f t="shared" ca="1" si="377"/>
        <v>10.831784909331393</v>
      </c>
      <c r="DP765" s="310">
        <f t="shared" ca="1" si="408"/>
        <v>24062.598449848967</v>
      </c>
      <c r="DQ765" s="309"/>
      <c r="DR765" s="308">
        <f t="shared" si="378"/>
        <v>99</v>
      </c>
      <c r="DS765" s="309">
        <f ca="1">((VLOOKUP($B765,'Mahawesran Tariff'!$A$21:$M$120,4)*'Comparator (DET)'!$CX765)+(VLOOKUP($B765,'Mahawesran Tariff'!$A$21:$M$120,3)*'Comparator (DET)'!$CY765)+(VLOOKUP($B765,'Mahawesran Tariff'!$A$21:$M$120,2)*'Comparator (DET)'!$CZ765)+(VLOOKUP($B765,'Mahawesran Tariff'!$A$21:$M$120,7)*'Comparator (DET)'!$DF765)+(VLOOKUP($B765,'Mahawesran Tariff'!$A$21:$M$120,6)*'Comparator (DET)'!$DG765)+(VLOOKUP($B765,'Mahawesran Tariff'!$A$21:$M$120,5)*'Comparator (DET)'!$DH765)+(DET_UTIL_chd*('Comparator (DET)'!$DA765+'Comparator (DET)'!$DI765))+(DET_UTIL_copd*('Comparator (DET)'!$DB765+'Comparator (DET)'!$DJ765))+(DET_UTIL_lc*('Comparator (DET)'!$DC765+'Comparator (DET)'!$DK765))+(DET_UTIL_stroke*('Comparator (DET)'!$DD765+'Comparator (DET)'!$DL765)))/((1+Discount_rate_QALYs)^$A765)</f>
        <v>8.9634870390661785</v>
      </c>
      <c r="DT765" s="310">
        <f t="shared" ca="1" si="409"/>
        <v>23536.987710777241</v>
      </c>
      <c r="DU765" s="309"/>
      <c r="DV765" s="308">
        <f t="shared" si="379"/>
        <v>99</v>
      </c>
      <c r="DW765" s="318">
        <f t="shared" ca="1" si="380"/>
        <v>35681.121383757076</v>
      </c>
      <c r="DX765" s="319">
        <f t="shared" ca="1" si="410"/>
        <v>11742574.894578066</v>
      </c>
      <c r="DZ765" s="95">
        <f t="shared" si="381"/>
        <v>99</v>
      </c>
      <c r="EA765" s="268">
        <f t="shared" ca="1" si="331"/>
        <v>0.32643345149008995</v>
      </c>
      <c r="EB765" s="268">
        <f t="shared" ca="1" si="332"/>
        <v>0.67356654850991049</v>
      </c>
      <c r="EC765" s="268">
        <f t="shared" ca="1" si="333"/>
        <v>0.15679329230776035</v>
      </c>
      <c r="ED765" s="290">
        <f t="shared" ca="1" si="334"/>
        <v>0.16577530904443069</v>
      </c>
      <c r="EF765" s="95">
        <f t="shared" si="382"/>
        <v>99</v>
      </c>
      <c r="EG765" s="339">
        <f t="shared" ca="1" si="383"/>
        <v>35681.121383757076</v>
      </c>
      <c r="EH765" s="341">
        <f t="shared" ca="1" si="411"/>
        <v>14842706.830434149</v>
      </c>
      <c r="EJ765" s="308">
        <f t="shared" si="384"/>
        <v>99</v>
      </c>
      <c r="EK765" s="318">
        <f t="shared" ca="1" si="385"/>
        <v>35681.121383757076</v>
      </c>
      <c r="EL765" s="319">
        <f t="shared" ca="1" si="412"/>
        <v>11742574.894578066</v>
      </c>
      <c r="EN765" s="95">
        <f t="shared" si="386"/>
        <v>99</v>
      </c>
      <c r="EO765" s="339">
        <f t="shared" ca="1" si="387"/>
        <v>35681.121383757076</v>
      </c>
      <c r="EP765" s="341">
        <f t="shared" ca="1" si="413"/>
        <v>14842706.830434149</v>
      </c>
    </row>
    <row r="766" spans="1:146" s="267" customFormat="1" ht="15.75" thickBot="1" x14ac:dyDescent="0.3">
      <c r="A766" s="313">
        <v>100</v>
      </c>
      <c r="B766" s="314">
        <v>100</v>
      </c>
      <c r="C766" s="308">
        <f>VLOOKUP($B766,'Infant adult mortality'!$A$27:$I$128,3)</f>
        <v>9.0223010419125338E-2</v>
      </c>
      <c r="D766" s="309">
        <f t="shared" si="335"/>
        <v>0.27</v>
      </c>
      <c r="E766" s="309">
        <f>VLOOKUP($B766,'Infant pick up smoking rates'!$A$19:$I$104,3)</f>
        <v>0</v>
      </c>
      <c r="F766" s="309">
        <f t="shared" si="336"/>
        <v>0.14624098391610749</v>
      </c>
      <c r="G766" s="309">
        <f t="shared" si="337"/>
        <v>0.49353600566476713</v>
      </c>
      <c r="H766" s="309">
        <f>VLOOKUP($B766,'Infant adult mortality'!$A$27:$I$128,3)</f>
        <v>9.0223010419125338E-2</v>
      </c>
      <c r="I766" s="309">
        <f t="shared" si="338"/>
        <v>0.14000000000000001</v>
      </c>
      <c r="J766" s="309">
        <f>VLOOKUP($B766,'Infant pick up smoking rates'!$A$19:$I$104,2)</f>
        <v>0</v>
      </c>
      <c r="K766" s="309">
        <f t="shared" si="339"/>
        <v>0.14624098391610749</v>
      </c>
      <c r="L766" s="309">
        <f t="shared" si="340"/>
        <v>0.62353600566476719</v>
      </c>
      <c r="M766" s="309">
        <f>VLOOKUP($B766,'Infant adult mortality'!$A$27:$I$128,3)</f>
        <v>9.0223010419125338E-2</v>
      </c>
      <c r="N766" s="309">
        <f t="shared" si="341"/>
        <v>0.5714285714285714</v>
      </c>
      <c r="O766" s="309">
        <f>VLOOKUP($B766,'Infant pick up smoking rates'!$A$19:$I$104,2)</f>
        <v>0</v>
      </c>
      <c r="P766" s="309">
        <f t="shared" si="342"/>
        <v>0.12016234480898272</v>
      </c>
      <c r="Q766" s="309">
        <f t="shared" si="343"/>
        <v>0.21818607334332057</v>
      </c>
      <c r="R766" s="309">
        <f>VLOOKUP($B766,'Infant adult mortality'!$A$27:$I$128,3)</f>
        <v>9.0223010419125338E-2</v>
      </c>
      <c r="S766" s="309">
        <f t="shared" si="344"/>
        <v>8.6261668788331098E-3</v>
      </c>
      <c r="T766" s="309">
        <f>VLOOKUP($B766,'Infant pick up smoking rates'!$A$19:$I$104,2)</f>
        <v>0</v>
      </c>
      <c r="U766" s="309">
        <f t="shared" si="345"/>
        <v>0.12016234480898272</v>
      </c>
      <c r="V766" s="309">
        <f t="shared" si="346"/>
        <v>0.78098847789305892</v>
      </c>
      <c r="W766" s="309">
        <f>VLOOKUP($B766,'Infant adult mortality'!$A$27:$I$128,3)</f>
        <v>9.0223010419125338E-2</v>
      </c>
      <c r="X766" s="309">
        <f>VLOOKUP($B766,'Infant pick up smoking rates'!$A$19:$I$104,2)</f>
        <v>0</v>
      </c>
      <c r="Y766" s="309">
        <f t="shared" si="347"/>
        <v>0.90977698958087472</v>
      </c>
      <c r="Z766" s="309">
        <f>VLOOKUP($B766,'Infant adult mortality'!$A$27:$I$128,5)</f>
        <v>0.11703305088174798</v>
      </c>
      <c r="AA766" s="309">
        <f t="shared" si="326"/>
        <v>0.25</v>
      </c>
      <c r="AB766" s="309">
        <f t="shared" si="348"/>
        <v>0.63296694911825202</v>
      </c>
      <c r="AC766" s="309">
        <f>VLOOKUP($B766,'Infant adult mortality'!$A$27:$I$128,5)</f>
        <v>0.11703305088174798</v>
      </c>
      <c r="AD766" s="309">
        <f t="shared" si="327"/>
        <v>0.14000000000000001</v>
      </c>
      <c r="AE766" s="309">
        <f t="shared" si="349"/>
        <v>0.74296694911825201</v>
      </c>
      <c r="AF766" s="309">
        <f>VLOOKUP($B766,'Infant adult mortality'!$A$27:$I$128,4)</f>
        <v>9.616295950365851E-2</v>
      </c>
      <c r="AG766" s="309">
        <f t="shared" si="328"/>
        <v>0.5714285714285714</v>
      </c>
      <c r="AH766" s="309">
        <f t="shared" si="350"/>
        <v>0.33240846906777011</v>
      </c>
      <c r="AI766" s="309">
        <f>VLOOKUP($B766,'Infant adult mortality'!$A$27:$I$128,4)</f>
        <v>9.616295950365851E-2</v>
      </c>
      <c r="AJ766" s="309">
        <f t="shared" si="329"/>
        <v>8.6261668788331098E-3</v>
      </c>
      <c r="AK766" s="309">
        <f t="shared" si="351"/>
        <v>0.8952108736175084</v>
      </c>
      <c r="AL766" s="309"/>
      <c r="AM766" s="315">
        <f t="shared" si="388"/>
        <v>4.0209953665782741E-2</v>
      </c>
      <c r="AN766" s="316">
        <f t="shared" si="389"/>
        <v>1.4083305175340323E-2</v>
      </c>
      <c r="AO766" s="316">
        <f t="shared" si="390"/>
        <v>2.535084615877261E-3</v>
      </c>
      <c r="AP766" s="316">
        <f t="shared" si="391"/>
        <v>0.22553220848168365</v>
      </c>
      <c r="AQ766" s="316">
        <f t="shared" si="392"/>
        <v>55.122267379659711</v>
      </c>
      <c r="AR766" s="316">
        <f t="shared" si="393"/>
        <v>20.692990770298223</v>
      </c>
      <c r="AS766" s="316">
        <f t="shared" si="394"/>
        <v>5.9025811531762011</v>
      </c>
      <c r="AT766" s="316">
        <f t="shared" si="395"/>
        <v>0.9332094582565913</v>
      </c>
      <c r="AU766" s="316">
        <f t="shared" si="396"/>
        <v>47.189413231269938</v>
      </c>
      <c r="AV766" s="316">
        <f t="shared" si="397"/>
        <v>379.87717745540016</v>
      </c>
      <c r="AW766" s="317">
        <f t="shared" si="352"/>
        <v>509.99999999999949</v>
      </c>
      <c r="AX766" s="309"/>
      <c r="AY766" s="308">
        <f>VLOOKUP($B766,'Infant adult mortality'!$A$134:$I$234,3)</f>
        <v>7.6370279866473337E-2</v>
      </c>
      <c r="AZ766" s="309">
        <f t="shared" si="353"/>
        <v>0.27</v>
      </c>
      <c r="BA766" s="309">
        <f ca="1">VLOOKUP($B766,'Infant pick up smoking rates'!$A$19:$I$104,7)</f>
        <v>0</v>
      </c>
      <c r="BB766" s="309">
        <f t="shared" si="354"/>
        <v>0.14624098391610749</v>
      </c>
      <c r="BC766" s="309">
        <f t="shared" ca="1" si="355"/>
        <v>0.50738873621741909</v>
      </c>
      <c r="BD766" s="309">
        <f>VLOOKUP($B766,'Infant adult mortality'!$A$134:$I$234,3)</f>
        <v>7.6370279866473337E-2</v>
      </c>
      <c r="BE766" s="309">
        <f t="shared" si="356"/>
        <v>0.14000000000000001</v>
      </c>
      <c r="BF766" s="309">
        <f>VLOOKUP($B766,'Infant pick up smoking rates'!$A$19:$I$104,6)</f>
        <v>0</v>
      </c>
      <c r="BG766" s="309">
        <f t="shared" si="357"/>
        <v>0.14624098391610749</v>
      </c>
      <c r="BH766" s="309">
        <f t="shared" si="358"/>
        <v>0.63738873621741909</v>
      </c>
      <c r="BI766" s="309">
        <f>VLOOKUP($B766,'Infant adult mortality'!$A$134:$I$234,3)</f>
        <v>7.6370279866473337E-2</v>
      </c>
      <c r="BJ766" s="309">
        <f t="shared" si="359"/>
        <v>0.5714285714285714</v>
      </c>
      <c r="BK766" s="309">
        <f>VLOOKUP($B766,'Infant pick up smoking rates'!$A$19:$I$104,6)</f>
        <v>0</v>
      </c>
      <c r="BL766" s="309">
        <f t="shared" si="360"/>
        <v>0.12016234480898272</v>
      </c>
      <c r="BM766" s="309">
        <f t="shared" si="361"/>
        <v>0.23203880389597259</v>
      </c>
      <c r="BN766" s="309">
        <f>VLOOKUP($B766,'Infant adult mortality'!$A$134:$I$234,3)</f>
        <v>7.6370279866473337E-2</v>
      </c>
      <c r="BO766" s="309">
        <f t="shared" si="362"/>
        <v>8.6261668788331098E-3</v>
      </c>
      <c r="BP766" s="309">
        <f>VLOOKUP($B766,'Infant pick up smoking rates'!$A$19:$I$104,6)</f>
        <v>0</v>
      </c>
      <c r="BQ766" s="309">
        <f t="shared" si="363"/>
        <v>0.12016234480898272</v>
      </c>
      <c r="BR766" s="309">
        <f t="shared" si="364"/>
        <v>0.79484120844571082</v>
      </c>
      <c r="BS766" s="309">
        <f>VLOOKUP($B766,'Infant adult mortality'!$A$134:$I$234,3)</f>
        <v>7.6370279866473337E-2</v>
      </c>
      <c r="BT766" s="309">
        <f>VLOOKUP($B766,'Infant pick up smoking rates'!$A$19:$I$104,6)</f>
        <v>0</v>
      </c>
      <c r="BU766" s="309">
        <f t="shared" si="365"/>
        <v>0.92362972013352662</v>
      </c>
      <c r="BV766" s="309">
        <f>VLOOKUP($B766,'Infant adult mortality'!$A$134:$I$234,5)</f>
        <v>9.9063939542097967E-2</v>
      </c>
      <c r="BW766" s="309">
        <f t="shared" si="366"/>
        <v>0.27</v>
      </c>
      <c r="BX766" s="309">
        <f t="shared" si="367"/>
        <v>0.63093606045790196</v>
      </c>
      <c r="BY766" s="309">
        <f>VLOOKUP($B766,'Infant adult mortality'!$A$134:$I$234,5)</f>
        <v>9.9063939542097967E-2</v>
      </c>
      <c r="BZ766" s="309">
        <f t="shared" si="368"/>
        <v>0.14000000000000001</v>
      </c>
      <c r="CA766" s="309">
        <f t="shared" si="369"/>
        <v>0.76093606045790207</v>
      </c>
      <c r="CB766" s="309">
        <f>VLOOKUP($B766,'Infant adult mortality'!$A$134:$I$234,4)</f>
        <v>8.1398216441312329E-2</v>
      </c>
      <c r="CC766" s="309">
        <f t="shared" si="370"/>
        <v>0.5714285714285714</v>
      </c>
      <c r="CD766" s="309">
        <f t="shared" si="371"/>
        <v>0.34717321213011626</v>
      </c>
      <c r="CE766" s="309">
        <f>VLOOKUP($B766,'Infant adult mortality'!$A$134:$I$234,4)</f>
        <v>8.1398216441312329E-2</v>
      </c>
      <c r="CF766" s="309">
        <f t="shared" si="372"/>
        <v>8.6261668788331098E-3</v>
      </c>
      <c r="CG766" s="309">
        <f t="shared" si="373"/>
        <v>0.9099756166798546</v>
      </c>
      <c r="CH766" s="309"/>
      <c r="CI766" s="315">
        <f t="shared" ca="1" si="398"/>
        <v>7.0055202401204469E-2</v>
      </c>
      <c r="CJ766" s="316">
        <f t="shared" ca="1" si="399"/>
        <v>2.4085217252328438E-2</v>
      </c>
      <c r="CK766" s="316">
        <f t="shared" ca="1" si="400"/>
        <v>4.2636389234876858E-3</v>
      </c>
      <c r="CL766" s="316">
        <f t="shared" ca="1" si="401"/>
        <v>0.3844789161994473</v>
      </c>
      <c r="CM766" s="316">
        <f t="shared" ca="1" si="402"/>
        <v>91.657504987344296</v>
      </c>
      <c r="CN766" s="316">
        <f t="shared" ca="1" si="403"/>
        <v>20.497833366333477</v>
      </c>
      <c r="CO766" s="316">
        <f t="shared" ca="1" si="404"/>
        <v>6.1890377872332243</v>
      </c>
      <c r="CP766" s="316">
        <f t="shared" ca="1" si="405"/>
        <v>0.9609926027366148</v>
      </c>
      <c r="CQ766" s="316">
        <f t="shared" ca="1" si="406"/>
        <v>47.526479011953491</v>
      </c>
      <c r="CR766" s="316">
        <f t="shared" ca="1" si="407"/>
        <v>322.68526926962323</v>
      </c>
      <c r="CS766" s="317">
        <f t="shared" ca="1" si="374"/>
        <v>490.0000000000008</v>
      </c>
      <c r="CT766" s="309"/>
      <c r="CU766" s="309">
        <f t="shared" ca="1" si="375"/>
        <v>1000.0000000000002</v>
      </c>
      <c r="CV766" s="309" t="str">
        <f t="shared" ca="1" si="330"/>
        <v>OKAY</v>
      </c>
      <c r="CW766" s="309"/>
      <c r="CX766" s="315">
        <f>(SUM($AR766:$AS766))-((SUM($AR766:$AS766)*VLOOKUP($B766,Lifetime_morbidity_array!$A$30:$Y$48,4))+(SUM($AR766:$AS766)*VLOOKUP($B766,Lifetime_morbidity_array!$A$30:$Y$48,7))+(SUM($AR766:$AS766)*VLOOKUP($B766,Lifetime_morbidity_array!$A$30:$Y$48,10))+(SUM($AR766:$AS766)*VLOOKUP($B766,Lifetime_morbidity_array!$A$30:$Y$48,13)))</f>
        <v>-0.71836282687539921</v>
      </c>
      <c r="CY766" s="316">
        <f>(SUM($AT766:$AU766))-((SUM($AT766:$AU766)*(VLOOKUP($B766,Lifetime_morbidity_array!$A$30:$Y$48,3)))+(SUM($AT766:$AU766)*(VLOOKUP($B766,Lifetime_morbidity_array!$A$30:$Y$48,6)))+(SUM($AT766:$AU766)*(VLOOKUP($B766,Lifetime_morbidity_array!$A$30:$Y$48,9)))+(SUM($AT766:$AU766)*(VLOOKUP($B766,Lifetime_morbidity_array!$A$30:$Y$48,12))))</f>
        <v>21.823695770292179</v>
      </c>
      <c r="CZ766" s="316">
        <f>(SUM($AM766:$AQ766))-((SUM($AM766:$AQ766)*VLOOKUP($B766,Lifetime_morbidity_array!$A$30:$Y$48,2))+(SUM($AM766:$AQ766)*VLOOKUP($B766,Lifetime_morbidity_array!$A$30:$Y$48,5))+(SUM($AM766:$AQ766)*VLOOKUP($B766,Lifetime_morbidity_array!$A$30:$Y$48,8))+(SUM($AM766:$AQ766)*VLOOKUP($B766,Lifetime_morbidity_array!$A$30:$Y$48,11)))</f>
        <v>35.322469803062745</v>
      </c>
      <c r="DA766" s="316">
        <f>(SUM($AM766:$AQ766)*VLOOKUP($B766,Lifetime_morbidity_array!$A$30:$Y$48,2))+(SUM($AR766:$AS766)*VLOOKUP($B766,Lifetime_morbidity_array!$A$30:$Y$48,4))+(SUM($AT766:$AU766)*(VLOOKUP($B766,Lifetime_morbidity_array!$A$30:$Y$48,3)))</f>
        <v>38.933252995662507</v>
      </c>
      <c r="DB766" s="316">
        <f>(SUM($AM766:$AQ766)*VLOOKUP($B766,Lifetime_morbidity_array!$A$30:$Y$48,5))+(SUM($AR766:$AS766)*VLOOKUP($B766,Lifetime_morbidity_array!$A$30:$Y$48,7))+(SUM($AT766:$AU766)*(VLOOKUP($B766,Lifetime_morbidity_array!$A$30:$Y$48,6)))</f>
        <v>15.929273063198343</v>
      </c>
      <c r="DC766" s="316">
        <f>(SUM($AM766:$AQ766)*VLOOKUP($B766,Lifetime_morbidity_array!$A$30:$Y$48,8))+(SUM($AR766:$AS766)*VLOOKUP($B766,Lifetime_morbidity_array!$A$30:$Y$48,10))+(SUM($AT766:$AU766)*(VLOOKUP($B766,Lifetime_morbidity_array!$A$30:$Y$48,9)))</f>
        <v>1.2880999819251779</v>
      </c>
      <c r="DD766" s="317">
        <f>(SUM($AM766:$AQ766)*VLOOKUP($B766,Lifetime_morbidity_array!$A$30:$Y$48,11))+(SUM($AR766:$AS766)*VLOOKUP($B766,Lifetime_morbidity_array!$A$30:$Y$48,13))+(SUM($AT766:$AU766)*(VLOOKUP($B766,Lifetime_morbidity_array!$A$30:$Y$48,12)))</f>
        <v>17.5443937573338</v>
      </c>
      <c r="DE766" s="309"/>
      <c r="DF766" s="315">
        <f ca="1">(SUM($CN766:$CO766))-((SUM($CN766:$CO766)*VLOOKUP($B766,Lifetime_morbidity_array!$A$6:$Y$24,4))+(SUM($CN766:$CO766)*VLOOKUP($B766,Lifetime_morbidity_array!$A$6:$Y$24,7))+(SUM($CN766:$CO766)*VLOOKUP($B766,Lifetime_morbidity_array!$A$6:$Y$24,10))+(SUM($CN766:$CO766)*VLOOKUP($B766,Lifetime_morbidity_array!$A$6:$Y$24,13)))</f>
        <v>4.2310571740529213</v>
      </c>
      <c r="DG766" s="316">
        <f ca="1">(SUM($CP766:$CQ766))-(((SUM($CP766:$CQ766)*VLOOKUP($B766,Lifetime_morbidity_array!$A$6:$Y$24,3))+(SUM($CP766:$CQ766)*VLOOKUP($B766,Lifetime_morbidity_array!$A$6:$Y$24,6))+(SUM($CP766:$CQ766)*VLOOKUP($B766,Lifetime_morbidity_array!$A$6:$Y$24,9))+(SUM($CP766:$CQ766)*VLOOKUP($B766,Lifetime_morbidity_array!$A$6:$Y$24,12))))</f>
        <v>28.21887218018961</v>
      </c>
      <c r="DH766" s="316">
        <f ca="1">(SUM($CI766:$CM766))-((SUM($CI766:$CM766)*VLOOKUP($B766,Lifetime_morbidity_array!$A$6:$Y$24,2))+(SUM($CI766:$CM766)*VLOOKUP($B766,Lifetime_morbidity_array!$A$6:$Y$24,5))+(SUM($CI766:$CM766)*VLOOKUP($B766,Lifetime_morbidity_array!$A$6:$Y$24,8))+(SUM($CI766:$CM766)*VLOOKUP($B766,Lifetime_morbidity_array!$A$6:$Y$24,11)))</f>
        <v>66.693690821754245</v>
      </c>
      <c r="DI766" s="316">
        <f ca="1">(SUM($CI766:$CM766)*VLOOKUP($B766,Lifetime_morbidity_array!$A$6:$Y$24,2))+(SUM($CN766:$CO766)*VLOOKUP($B766,Lifetime_morbidity_array!$A$6:$Y$24,4))+(SUM($CP766:$CQ766)*VLOOKUP($B766,Lifetime_morbidity_array!$A$6:$Y$24,3))</f>
        <v>34.444837703912832</v>
      </c>
      <c r="DJ766" s="316">
        <f ca="1">(SUM($CI766:$CM766)*VLOOKUP($B766,Lifetime_morbidity_array!$A$6:$Y$24,5))+(SUM($CN766:$CO766)*VLOOKUP($B766,Lifetime_morbidity_array!$A$6:$Y$24,7))+(SUM($CP766:$CQ766)*VLOOKUP($B766,Lifetime_morbidity_array!$A$6:$Y$24,6))</f>
        <v>13.922804518491898</v>
      </c>
      <c r="DK766" s="316">
        <f ca="1">(SUM($CI766:$CM766)*VLOOKUP($B766,Lifetime_morbidity_array!$A$6:$Y$24,8))+(SUM($CN766:$CO766)*VLOOKUP($B766,Lifetime_morbidity_array!$A$6:$Y$24,10))+(SUM($CP766:$CQ766)*VLOOKUP($B766,Lifetime_morbidity_array!$A$6:$Y$24,9))</f>
        <v>0.64321132320580832</v>
      </c>
      <c r="DL766" s="317">
        <f ca="1">(SUM($CI766:$CM766)*VLOOKUP($B766,Lifetime_morbidity_array!$A$6:$Y$24,11))+(SUM($CN766:$CO766)*VLOOKUP($B766,Lifetime_morbidity_array!$A$6:$Y$24,13))+(SUM($CP766:$CQ766)*VLOOKUP($B766,Lifetime_morbidity_array!$A$6:$Y$24,12))</f>
        <v>19.160257008770273</v>
      </c>
      <c r="DM766" s="309"/>
      <c r="DN766" s="308">
        <f t="shared" si="376"/>
        <v>100</v>
      </c>
      <c r="DO766" s="309">
        <f t="shared" ca="1" si="377"/>
        <v>9.5358809527304356</v>
      </c>
      <c r="DP766" s="310">
        <f t="shared" ca="1" si="408"/>
        <v>24072.134330801699</v>
      </c>
      <c r="DQ766" s="309"/>
      <c r="DR766" s="308">
        <f t="shared" si="378"/>
        <v>100</v>
      </c>
      <c r="DS766" s="309">
        <f ca="1">((VLOOKUP($B766,'Mahawesran Tariff'!$A$21:$M$120,4)*'Comparator (DET)'!$CX766)+(VLOOKUP($B766,'Mahawesran Tariff'!$A$21:$M$120,3)*'Comparator (DET)'!$CY766)+(VLOOKUP($B766,'Mahawesran Tariff'!$A$21:$M$120,2)*'Comparator (DET)'!$CZ766)+(VLOOKUP($B766,'Mahawesran Tariff'!$A$21:$M$120,7)*'Comparator (DET)'!$DF766)+(VLOOKUP($B766,'Mahawesran Tariff'!$A$21:$M$120,6)*'Comparator (DET)'!$DG766)+(VLOOKUP($B766,'Mahawesran Tariff'!$A$21:$M$120,5)*'Comparator (DET)'!$DH766)+(DET_UTIL_chd*('Comparator (DET)'!$DA766+'Comparator (DET)'!$DI766))+(DET_UTIL_copd*('Comparator (DET)'!$DB766+'Comparator (DET)'!$DJ766))+(DET_UTIL_lc*('Comparator (DET)'!$DC766+'Comparator (DET)'!$DK766))+(DET_UTIL_stroke*('Comparator (DET)'!$DD766+'Comparator (DET)'!$DL766)))/((1+Discount_rate_QALYs)^$A766)</f>
        <v>7.897273040250357</v>
      </c>
      <c r="DT766" s="310">
        <f t="shared" ca="1" si="409"/>
        <v>23544.88498381749</v>
      </c>
      <c r="DU766" s="309"/>
      <c r="DV766" s="308">
        <f t="shared" si="379"/>
        <v>100</v>
      </c>
      <c r="DW766" s="318">
        <f t="shared" ca="1" si="380"/>
        <v>31289.300580477189</v>
      </c>
      <c r="DX766" s="319">
        <f t="shared" ca="1" si="410"/>
        <v>11773864.195158543</v>
      </c>
      <c r="DY766" s="266"/>
      <c r="DZ766" s="95">
        <f t="shared" si="381"/>
        <v>100</v>
      </c>
      <c r="EA766" s="268">
        <f t="shared" ca="1" si="331"/>
        <v>0.2974375532749769</v>
      </c>
      <c r="EB766" s="268">
        <f t="shared" ca="1" si="332"/>
        <v>0.70256244672502344</v>
      </c>
      <c r="EC766" s="268">
        <f t="shared" ca="1" si="333"/>
        <v>0.14186613035250065</v>
      </c>
      <c r="ED766" s="290">
        <f t="shared" ca="1" si="334"/>
        <v>0.14989253738125774</v>
      </c>
      <c r="EE766" s="266"/>
      <c r="EF766" s="95">
        <f t="shared" si="382"/>
        <v>100</v>
      </c>
      <c r="EG766" s="339">
        <f t="shared" ca="1" si="383"/>
        <v>31289.300580477189</v>
      </c>
      <c r="EH766" s="341">
        <f t="shared" ca="1" si="411"/>
        <v>14873996.131014626</v>
      </c>
      <c r="EJ766" s="308">
        <f t="shared" si="384"/>
        <v>100</v>
      </c>
      <c r="EK766" s="318">
        <f t="shared" ca="1" si="385"/>
        <v>31289.300580477189</v>
      </c>
      <c r="EL766" s="319">
        <f t="shared" ca="1" si="412"/>
        <v>11773864.195158543</v>
      </c>
      <c r="EN766" s="95">
        <f t="shared" si="386"/>
        <v>100</v>
      </c>
      <c r="EO766" s="339">
        <f t="shared" ca="1" si="387"/>
        <v>31289.300580477189</v>
      </c>
      <c r="EP766" s="341">
        <f t="shared" ca="1" si="413"/>
        <v>14873996.131014626</v>
      </c>
    </row>
    <row r="767" spans="1:146" s="376" customForma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581"/>
      <c r="AN767" s="582"/>
      <c r="AO767" s="582"/>
      <c r="AP767" s="582"/>
      <c r="AQ767" s="582"/>
      <c r="AR767" s="582"/>
      <c r="AS767" s="582"/>
      <c r="AT767" s="582"/>
      <c r="AU767" s="582"/>
      <c r="AV767" s="582"/>
      <c r="AW767" s="582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581"/>
      <c r="CJ767" s="581"/>
      <c r="CK767" s="581"/>
      <c r="CL767" s="581"/>
      <c r="CM767" s="581"/>
      <c r="CN767" s="581"/>
      <c r="CO767" s="581"/>
      <c r="CP767" s="581"/>
      <c r="CQ767" s="581"/>
      <c r="CR767" s="581"/>
      <c r="CS767" s="581"/>
      <c r="CT767" s="3"/>
      <c r="CU767" s="3"/>
      <c r="CV767" s="3"/>
      <c r="CW767" s="3"/>
      <c r="CX767" s="402"/>
      <c r="CY767" s="402"/>
      <c r="CZ767" s="402"/>
      <c r="DA767" s="402"/>
      <c r="DB767" s="402"/>
      <c r="DC767" s="402"/>
      <c r="DD767" s="402"/>
      <c r="DE767" s="3"/>
      <c r="DF767" s="402"/>
      <c r="DG767" s="402"/>
      <c r="DH767" s="402"/>
      <c r="DI767" s="402"/>
      <c r="DJ767" s="402"/>
      <c r="DK767" s="402"/>
      <c r="DL767" s="402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</row>
    <row r="768" spans="1:146" s="247" customFormat="1" x14ac:dyDescent="0.25">
      <c r="C768" s="581"/>
      <c r="D768" s="581"/>
      <c r="E768" s="581"/>
      <c r="F768" s="581"/>
      <c r="G768" s="581"/>
      <c r="H768" s="581"/>
      <c r="I768" s="581"/>
      <c r="J768" s="581"/>
      <c r="K768" s="581"/>
      <c r="L768" s="581"/>
      <c r="M768" s="581"/>
      <c r="N768" s="581"/>
      <c r="O768" s="581"/>
      <c r="P768" s="581"/>
      <c r="Q768" s="581"/>
      <c r="R768" s="581"/>
      <c r="S768" s="581"/>
      <c r="T768" s="581"/>
      <c r="U768" s="581"/>
      <c r="V768" s="581"/>
      <c r="W768" s="581"/>
      <c r="X768" s="581"/>
      <c r="Y768" s="581"/>
      <c r="Z768" s="581"/>
      <c r="AA768" s="581"/>
      <c r="AB768" s="581"/>
      <c r="AC768" s="581"/>
      <c r="AD768" s="581"/>
      <c r="AE768" s="581"/>
      <c r="AF768" s="581"/>
      <c r="AG768" s="581"/>
      <c r="AH768" s="581"/>
      <c r="AI768" s="581"/>
      <c r="AJ768" s="581"/>
      <c r="AK768" s="581"/>
      <c r="AL768" s="581"/>
      <c r="AM768" s="581"/>
      <c r="AN768" s="581"/>
      <c r="AO768" s="581"/>
      <c r="AP768" s="581"/>
      <c r="AQ768" s="581"/>
      <c r="AR768" s="581"/>
      <c r="AS768" s="581"/>
      <c r="AT768" s="581"/>
      <c r="AU768" s="581"/>
      <c r="AV768" s="581"/>
      <c r="AW768" s="581"/>
      <c r="AY768" s="581"/>
      <c r="AZ768" s="581"/>
      <c r="BA768" s="581"/>
      <c r="BB768" s="581"/>
      <c r="BC768" s="581"/>
      <c r="BD768" s="581"/>
      <c r="BE768" s="581"/>
      <c r="BF768" s="581"/>
      <c r="BG768" s="581"/>
      <c r="BH768" s="581"/>
      <c r="BI768" s="581"/>
      <c r="BJ768" s="581"/>
      <c r="BK768" s="581"/>
      <c r="BL768" s="581"/>
      <c r="BM768" s="581"/>
      <c r="BN768" s="581"/>
      <c r="BO768" s="581"/>
      <c r="BP768" s="581"/>
      <c r="BQ768" s="581"/>
      <c r="BR768" s="581"/>
      <c r="BS768" s="581"/>
      <c r="BT768" s="581"/>
      <c r="BU768" s="581"/>
      <c r="BV768" s="581"/>
      <c r="BW768" s="581"/>
      <c r="BX768" s="581"/>
      <c r="BY768" s="581"/>
      <c r="BZ768" s="581"/>
      <c r="CA768" s="581"/>
      <c r="CB768" s="581"/>
      <c r="CC768" s="581"/>
      <c r="CD768" s="581"/>
      <c r="CE768" s="581"/>
      <c r="CF768" s="581"/>
      <c r="CG768" s="581"/>
      <c r="CH768" s="581"/>
      <c r="CI768" s="581"/>
      <c r="CJ768" s="581"/>
      <c r="CK768" s="581"/>
      <c r="CL768" s="581"/>
      <c r="CM768" s="581"/>
      <c r="CN768" s="581"/>
      <c r="CO768" s="581"/>
      <c r="CP768" s="581"/>
      <c r="CQ768" s="581"/>
      <c r="CR768" s="581"/>
      <c r="CS768" s="581"/>
      <c r="CX768" s="590"/>
      <c r="CY768" s="590"/>
      <c r="CZ768" s="590"/>
      <c r="DA768" s="590"/>
      <c r="DB768" s="590"/>
      <c r="DC768" s="590"/>
      <c r="DD768" s="590"/>
      <c r="DE768" s="403"/>
      <c r="DF768" s="590"/>
      <c r="DG768" s="590"/>
      <c r="DH768" s="590"/>
      <c r="DI768" s="590"/>
      <c r="DJ768" s="590"/>
      <c r="DK768" s="590"/>
      <c r="DL768" s="590"/>
      <c r="DN768" s="581"/>
      <c r="DO768" s="581"/>
      <c r="DP768" s="581"/>
      <c r="DR768" s="581"/>
      <c r="DS768" s="581"/>
      <c r="DT768" s="581"/>
      <c r="DV768" s="581"/>
      <c r="DW768" s="581"/>
      <c r="DX768" s="581"/>
      <c r="DZ768" s="581"/>
      <c r="EA768" s="581"/>
      <c r="EB768" s="581"/>
      <c r="EC768" s="581"/>
      <c r="ED768" s="581"/>
    </row>
    <row r="769" spans="1:138" s="406" customFormat="1" ht="15.75" thickBot="1" x14ac:dyDescent="0.3">
      <c r="A769" s="404"/>
      <c r="B769" s="404"/>
      <c r="C769" s="258"/>
      <c r="D769" s="258"/>
      <c r="E769" s="258"/>
      <c r="F769" s="258"/>
      <c r="G769" s="258"/>
      <c r="H769" s="258"/>
      <c r="I769" s="258"/>
      <c r="J769" s="258"/>
      <c r="K769" s="258"/>
      <c r="L769" s="258"/>
      <c r="M769" s="258"/>
      <c r="N769" s="258"/>
      <c r="O769" s="258"/>
      <c r="P769" s="258"/>
      <c r="Q769" s="258"/>
      <c r="R769" s="258"/>
      <c r="S769" s="258"/>
      <c r="T769" s="258"/>
      <c r="U769" s="258"/>
      <c r="V769" s="258"/>
      <c r="W769" s="258"/>
      <c r="X769" s="258"/>
      <c r="Y769" s="258"/>
      <c r="Z769" s="258"/>
      <c r="AA769" s="258"/>
      <c r="AB769" s="258"/>
      <c r="AC769" s="258"/>
      <c r="AD769" s="258"/>
      <c r="AE769" s="258"/>
      <c r="AF769" s="258"/>
      <c r="AG769" s="258"/>
      <c r="AH769" s="258"/>
      <c r="AI769" s="258"/>
      <c r="AJ769" s="258"/>
      <c r="AK769" s="258"/>
      <c r="AL769" s="258"/>
      <c r="AM769" s="258"/>
      <c r="AN769" s="258"/>
      <c r="AO769" s="258"/>
      <c r="AP769" s="258"/>
      <c r="AQ769" s="258"/>
      <c r="AR769" s="258"/>
      <c r="AS769" s="258"/>
      <c r="AT769" s="258"/>
      <c r="AU769" s="258"/>
      <c r="AV769" s="258"/>
      <c r="AW769" s="258"/>
      <c r="AX769" s="258"/>
      <c r="AY769" s="258"/>
      <c r="AZ769" s="258"/>
      <c r="BA769" s="258"/>
      <c r="BB769" s="258"/>
      <c r="BC769" s="258"/>
      <c r="BD769" s="258"/>
      <c r="BE769" s="258"/>
      <c r="BF769" s="258"/>
      <c r="BG769" s="258"/>
      <c r="BH769" s="258"/>
      <c r="BI769" s="258"/>
      <c r="BJ769" s="258"/>
      <c r="BK769" s="258"/>
      <c r="BL769" s="258"/>
      <c r="BM769" s="258"/>
      <c r="BN769" s="258"/>
      <c r="BO769" s="258"/>
      <c r="BP769" s="258"/>
      <c r="BQ769" s="258"/>
      <c r="BR769" s="258"/>
      <c r="BS769" s="258"/>
      <c r="BT769" s="258"/>
      <c r="BU769" s="258"/>
      <c r="BV769" s="258"/>
      <c r="BW769" s="258"/>
      <c r="BX769" s="258"/>
      <c r="BY769" s="258"/>
      <c r="BZ769" s="258"/>
      <c r="CA769" s="258"/>
      <c r="CB769" s="258"/>
      <c r="CC769" s="258"/>
      <c r="CD769" s="258"/>
      <c r="CE769" s="258"/>
      <c r="CF769" s="258"/>
      <c r="CG769" s="258"/>
      <c r="CH769" s="258"/>
      <c r="CI769" s="258"/>
      <c r="CJ769" s="258"/>
      <c r="CK769" s="258"/>
      <c r="CL769" s="258"/>
      <c r="CM769" s="258"/>
      <c r="CN769" s="258"/>
      <c r="CO769" s="258"/>
      <c r="CP769" s="258"/>
      <c r="CQ769" s="258"/>
      <c r="CR769" s="258"/>
      <c r="CS769" s="258"/>
      <c r="CT769" s="258"/>
      <c r="CU769" s="258"/>
      <c r="CV769" s="258"/>
      <c r="CW769" s="258"/>
      <c r="CX769" s="405"/>
      <c r="CY769" s="405"/>
      <c r="CZ769" s="405"/>
      <c r="DA769" s="405"/>
      <c r="DB769" s="405"/>
      <c r="DC769" s="405"/>
      <c r="DD769" s="405"/>
      <c r="DE769" s="258"/>
      <c r="DF769" s="405"/>
      <c r="DG769" s="405"/>
      <c r="DH769" s="405"/>
      <c r="DI769" s="405"/>
      <c r="DJ769" s="405"/>
      <c r="DK769" s="405"/>
      <c r="DL769" s="405"/>
      <c r="DM769" s="258"/>
      <c r="DN769" s="258"/>
      <c r="DO769" s="258"/>
      <c r="DP769" s="258"/>
      <c r="DQ769" s="258"/>
      <c r="DR769" s="258"/>
      <c r="DS769" s="258"/>
      <c r="DT769" s="258"/>
      <c r="DU769" s="258"/>
      <c r="DV769" s="258"/>
      <c r="DW769" s="258"/>
      <c r="DX769" s="258"/>
      <c r="DY769" s="258"/>
      <c r="DZ769" s="258"/>
      <c r="EA769" s="258"/>
      <c r="EB769" s="258"/>
      <c r="EC769" s="258"/>
      <c r="ED769" s="258"/>
      <c r="EE769" s="247"/>
      <c r="EF769" s="247"/>
      <c r="EG769" s="247"/>
      <c r="EH769" s="247"/>
    </row>
    <row r="770" spans="1:138" s="3" customFormat="1" x14ac:dyDescent="0.25">
      <c r="A770" s="407"/>
      <c r="B770" s="407"/>
      <c r="C770" s="250"/>
      <c r="D770" s="250"/>
      <c r="E770" s="250"/>
      <c r="F770" s="250"/>
      <c r="G770" s="250"/>
      <c r="H770" s="250"/>
      <c r="I770" s="250"/>
      <c r="J770" s="250"/>
      <c r="K770" s="250"/>
      <c r="L770" s="250"/>
      <c r="M770" s="250"/>
      <c r="N770" s="250"/>
      <c r="O770" s="250"/>
      <c r="P770" s="250"/>
      <c r="Q770" s="250"/>
      <c r="R770" s="250"/>
      <c r="S770" s="250"/>
      <c r="T770" s="250"/>
      <c r="U770" s="250"/>
      <c r="V770" s="250"/>
      <c r="W770" s="250"/>
      <c r="X770" s="250"/>
      <c r="Y770" s="250"/>
      <c r="Z770" s="250"/>
      <c r="AA770" s="250"/>
      <c r="AB770" s="250"/>
      <c r="AC770" s="250"/>
      <c r="AD770" s="250"/>
      <c r="AE770" s="250"/>
      <c r="AF770" s="250"/>
      <c r="AG770" s="250"/>
      <c r="AH770" s="250"/>
      <c r="AI770" s="250"/>
      <c r="AJ770" s="250"/>
      <c r="AK770" s="250"/>
      <c r="AL770" s="250"/>
      <c r="AM770" s="408"/>
      <c r="AN770" s="408"/>
      <c r="AO770" s="408"/>
      <c r="AP770" s="408"/>
      <c r="AQ770" s="408"/>
      <c r="AR770" s="408"/>
      <c r="AS770" s="408"/>
      <c r="AT770" s="408"/>
      <c r="AU770" s="408"/>
      <c r="AV770" s="408"/>
      <c r="AW770" s="408"/>
      <c r="AX770" s="250"/>
      <c r="AY770" s="250"/>
      <c r="AZ770" s="250"/>
      <c r="BA770" s="250"/>
      <c r="BB770" s="250"/>
      <c r="BC770" s="250"/>
      <c r="BD770" s="250"/>
      <c r="BE770" s="250"/>
      <c r="BF770" s="250"/>
      <c r="BG770" s="250"/>
      <c r="BH770" s="250"/>
      <c r="BI770" s="250"/>
      <c r="BJ770" s="250"/>
      <c r="BK770" s="250"/>
      <c r="BL770" s="250"/>
      <c r="BM770" s="250"/>
      <c r="BN770" s="250"/>
      <c r="BO770" s="250"/>
      <c r="BP770" s="250"/>
      <c r="BQ770" s="250"/>
      <c r="BR770" s="250"/>
      <c r="BS770" s="250"/>
      <c r="BT770" s="250"/>
      <c r="BU770" s="250"/>
      <c r="BV770" s="250"/>
      <c r="BW770" s="250"/>
      <c r="BX770" s="250"/>
      <c r="BY770" s="250"/>
      <c r="BZ770" s="250"/>
      <c r="CA770" s="250"/>
      <c r="CB770" s="250"/>
      <c r="CC770" s="250"/>
      <c r="CD770" s="250"/>
      <c r="CE770" s="250"/>
      <c r="CF770" s="250"/>
      <c r="CG770" s="250"/>
      <c r="CH770" s="250"/>
      <c r="CI770" s="408"/>
      <c r="CJ770" s="408"/>
      <c r="CK770" s="408"/>
      <c r="CL770" s="408"/>
      <c r="CM770" s="408"/>
      <c r="CN770" s="408"/>
      <c r="CO770" s="408"/>
      <c r="CP770" s="408"/>
      <c r="CQ770" s="408"/>
      <c r="CR770" s="408"/>
      <c r="CS770" s="408"/>
      <c r="CT770" s="250"/>
      <c r="CU770" s="250"/>
      <c r="CV770" s="250"/>
      <c r="CW770" s="250"/>
      <c r="CX770" s="408"/>
      <c r="CY770" s="408"/>
      <c r="CZ770" s="408"/>
      <c r="DA770" s="408"/>
      <c r="DB770" s="408"/>
      <c r="DC770" s="408"/>
      <c r="DD770" s="408"/>
      <c r="DE770" s="250"/>
      <c r="DF770" s="408"/>
      <c r="DG770" s="408"/>
      <c r="DH770" s="408"/>
      <c r="DI770" s="408"/>
      <c r="DJ770" s="408"/>
      <c r="DK770" s="408"/>
      <c r="DL770" s="408"/>
      <c r="DM770" s="250"/>
      <c r="DN770" s="250"/>
      <c r="DO770" s="250"/>
      <c r="DP770" s="250"/>
      <c r="DQ770" s="250"/>
      <c r="DR770" s="250"/>
      <c r="DS770" s="250"/>
      <c r="DT770" s="250"/>
      <c r="DU770" s="250"/>
      <c r="DV770" s="250"/>
      <c r="DW770" s="252"/>
      <c r="DX770" s="252"/>
      <c r="DY770" s="250"/>
      <c r="DZ770" s="250"/>
      <c r="EA770" s="260"/>
      <c r="EB770" s="260"/>
      <c r="EC770" s="260"/>
      <c r="ED770" s="260"/>
      <c r="EH770" s="396"/>
    </row>
    <row r="771" spans="1:138" s="3" customFormat="1" x14ac:dyDescent="0.25">
      <c r="A771" s="407"/>
      <c r="B771" s="407"/>
      <c r="C771" s="250"/>
      <c r="D771" s="250"/>
      <c r="E771" s="250"/>
      <c r="F771" s="250"/>
      <c r="G771" s="250"/>
      <c r="H771" s="250"/>
      <c r="I771" s="250"/>
      <c r="J771" s="250"/>
      <c r="K771" s="250"/>
      <c r="L771" s="250"/>
      <c r="M771" s="250"/>
      <c r="N771" s="250"/>
      <c r="O771" s="250"/>
      <c r="P771" s="250"/>
      <c r="Q771" s="250"/>
      <c r="R771" s="250"/>
      <c r="S771" s="250"/>
      <c r="T771" s="250"/>
      <c r="U771" s="250"/>
      <c r="V771" s="250"/>
      <c r="W771" s="250"/>
      <c r="X771" s="250"/>
      <c r="Y771" s="250"/>
      <c r="Z771" s="250"/>
      <c r="AA771" s="250"/>
      <c r="AB771" s="250"/>
      <c r="AC771" s="250"/>
      <c r="AD771" s="250"/>
      <c r="AE771" s="250"/>
      <c r="AF771" s="250"/>
      <c r="AG771" s="250"/>
      <c r="AH771" s="250"/>
      <c r="AI771" s="250"/>
      <c r="AJ771" s="250"/>
      <c r="AK771" s="250"/>
      <c r="AL771" s="250"/>
      <c r="AM771" s="408"/>
      <c r="AN771" s="408"/>
      <c r="AO771" s="408"/>
      <c r="AP771" s="408"/>
      <c r="AQ771" s="408"/>
      <c r="AR771" s="408"/>
      <c r="AS771" s="408"/>
      <c r="AT771" s="408"/>
      <c r="AU771" s="408"/>
      <c r="AV771" s="408"/>
      <c r="AW771" s="408"/>
      <c r="AX771" s="250"/>
      <c r="AY771" s="250"/>
      <c r="AZ771" s="250"/>
      <c r="BA771" s="250"/>
      <c r="BB771" s="250"/>
      <c r="BC771" s="250"/>
      <c r="BD771" s="250"/>
      <c r="BE771" s="250"/>
      <c r="BF771" s="250"/>
      <c r="BG771" s="250"/>
      <c r="BH771" s="250"/>
      <c r="BI771" s="250"/>
      <c r="BJ771" s="250"/>
      <c r="BK771" s="250"/>
      <c r="BL771" s="250"/>
      <c r="BM771" s="250"/>
      <c r="BN771" s="250"/>
      <c r="BO771" s="250"/>
      <c r="BP771" s="250"/>
      <c r="BQ771" s="250"/>
      <c r="BR771" s="250"/>
      <c r="BS771" s="250"/>
      <c r="BT771" s="250"/>
      <c r="BU771" s="250"/>
      <c r="BV771" s="250"/>
      <c r="BW771" s="250"/>
      <c r="BX771" s="250"/>
      <c r="BY771" s="250"/>
      <c r="BZ771" s="250"/>
      <c r="CA771" s="250"/>
      <c r="CB771" s="250"/>
      <c r="CC771" s="250"/>
      <c r="CD771" s="250"/>
      <c r="CE771" s="250"/>
      <c r="CF771" s="250"/>
      <c r="CG771" s="250"/>
      <c r="CH771" s="250"/>
      <c r="CI771" s="408"/>
      <c r="CJ771" s="408"/>
      <c r="CK771" s="408"/>
      <c r="CL771" s="408"/>
      <c r="CM771" s="408"/>
      <c r="CN771" s="408"/>
      <c r="CO771" s="408"/>
      <c r="CP771" s="408"/>
      <c r="CQ771" s="408"/>
      <c r="CR771" s="408"/>
      <c r="CS771" s="408"/>
      <c r="CT771" s="250"/>
      <c r="CU771" s="250"/>
      <c r="CV771" s="250"/>
      <c r="CW771" s="250"/>
      <c r="CX771" s="408"/>
      <c r="CY771" s="408"/>
      <c r="CZ771" s="408"/>
      <c r="DA771" s="408"/>
      <c r="DB771" s="408"/>
      <c r="DC771" s="408"/>
      <c r="DD771" s="408"/>
      <c r="DE771" s="250"/>
      <c r="DF771" s="408"/>
      <c r="DG771" s="408"/>
      <c r="DH771" s="408"/>
      <c r="DI771" s="408"/>
      <c r="DJ771" s="408"/>
      <c r="DK771" s="408"/>
      <c r="DL771" s="408"/>
      <c r="DM771" s="250"/>
      <c r="DN771" s="250"/>
      <c r="DO771" s="250"/>
      <c r="DP771" s="250"/>
      <c r="DQ771" s="250"/>
      <c r="DR771" s="250"/>
      <c r="DS771" s="250"/>
      <c r="DT771" s="250"/>
      <c r="DU771" s="250"/>
      <c r="DV771" s="250"/>
      <c r="DW771" s="252"/>
      <c r="DX771" s="252"/>
      <c r="DY771" s="250"/>
      <c r="DZ771" s="250"/>
      <c r="EA771" s="260"/>
      <c r="EB771" s="260"/>
      <c r="EC771" s="260"/>
      <c r="ED771" s="260"/>
      <c r="EG771" s="396"/>
      <c r="EH771" s="396"/>
    </row>
    <row r="772" spans="1:138" s="3" customFormat="1" x14ac:dyDescent="0.25">
      <c r="A772" s="407"/>
      <c r="B772" s="407"/>
      <c r="C772" s="250"/>
      <c r="D772" s="250"/>
      <c r="E772" s="250"/>
      <c r="F772" s="250"/>
      <c r="G772" s="250"/>
      <c r="H772" s="250"/>
      <c r="I772" s="250"/>
      <c r="J772" s="250"/>
      <c r="K772" s="250"/>
      <c r="L772" s="250"/>
      <c r="M772" s="250"/>
      <c r="N772" s="250"/>
      <c r="O772" s="250"/>
      <c r="P772" s="250"/>
      <c r="Q772" s="250"/>
      <c r="R772" s="250"/>
      <c r="S772" s="250"/>
      <c r="T772" s="250"/>
      <c r="U772" s="250"/>
      <c r="V772" s="250"/>
      <c r="W772" s="250"/>
      <c r="X772" s="250"/>
      <c r="Y772" s="250"/>
      <c r="Z772" s="250"/>
      <c r="AA772" s="250"/>
      <c r="AB772" s="250"/>
      <c r="AC772" s="250"/>
      <c r="AD772" s="250"/>
      <c r="AE772" s="250"/>
      <c r="AF772" s="250"/>
      <c r="AG772" s="250"/>
      <c r="AH772" s="250"/>
      <c r="AI772" s="250"/>
      <c r="AJ772" s="250"/>
      <c r="AK772" s="250"/>
      <c r="AL772" s="250"/>
      <c r="AM772" s="408"/>
      <c r="AN772" s="408"/>
      <c r="AO772" s="408"/>
      <c r="AP772" s="408"/>
      <c r="AQ772" s="408"/>
      <c r="AR772" s="408"/>
      <c r="AS772" s="408"/>
      <c r="AT772" s="408"/>
      <c r="AU772" s="408"/>
      <c r="AV772" s="408"/>
      <c r="AW772" s="408"/>
      <c r="AX772" s="250"/>
      <c r="AY772" s="250"/>
      <c r="AZ772" s="250"/>
      <c r="BA772" s="250"/>
      <c r="BB772" s="250"/>
      <c r="BC772" s="250"/>
      <c r="BD772" s="250"/>
      <c r="BE772" s="250"/>
      <c r="BF772" s="250"/>
      <c r="BG772" s="250"/>
      <c r="BH772" s="250"/>
      <c r="BI772" s="250"/>
      <c r="BJ772" s="250"/>
      <c r="BK772" s="250"/>
      <c r="BL772" s="250"/>
      <c r="BM772" s="250"/>
      <c r="BN772" s="250"/>
      <c r="BO772" s="250"/>
      <c r="BP772" s="250"/>
      <c r="BQ772" s="250"/>
      <c r="BR772" s="250"/>
      <c r="BS772" s="250"/>
      <c r="BT772" s="250"/>
      <c r="BU772" s="250"/>
      <c r="BV772" s="250"/>
      <c r="BW772" s="250"/>
      <c r="BX772" s="250"/>
      <c r="BY772" s="250"/>
      <c r="BZ772" s="250"/>
      <c r="CA772" s="250"/>
      <c r="CB772" s="250"/>
      <c r="CC772" s="250"/>
      <c r="CD772" s="250"/>
      <c r="CE772" s="250"/>
      <c r="CF772" s="250"/>
      <c r="CG772" s="250"/>
      <c r="CH772" s="250"/>
      <c r="CI772" s="408"/>
      <c r="CJ772" s="408"/>
      <c r="CK772" s="408"/>
      <c r="CL772" s="408"/>
      <c r="CM772" s="408"/>
      <c r="CN772" s="408"/>
      <c r="CO772" s="408"/>
      <c r="CP772" s="408"/>
      <c r="CQ772" s="408"/>
      <c r="CR772" s="408"/>
      <c r="CS772" s="408"/>
      <c r="CT772" s="250"/>
      <c r="CU772" s="250"/>
      <c r="CV772" s="250"/>
      <c r="CW772" s="250"/>
      <c r="CX772" s="408"/>
      <c r="CY772" s="408"/>
      <c r="CZ772" s="408"/>
      <c r="DA772" s="408"/>
      <c r="DB772" s="408"/>
      <c r="DC772" s="408"/>
      <c r="DD772" s="408"/>
      <c r="DE772" s="250"/>
      <c r="DF772" s="408"/>
      <c r="DG772" s="408"/>
      <c r="DH772" s="408"/>
      <c r="DI772" s="408"/>
      <c r="DJ772" s="408"/>
      <c r="DK772" s="408"/>
      <c r="DL772" s="408"/>
      <c r="DM772" s="250"/>
      <c r="DN772" s="250"/>
      <c r="DO772" s="250"/>
      <c r="DP772" s="250"/>
      <c r="DQ772" s="250"/>
      <c r="DR772" s="250"/>
      <c r="DS772" s="250"/>
      <c r="DT772" s="250"/>
      <c r="DU772" s="250"/>
      <c r="DV772" s="250"/>
      <c r="DW772" s="252"/>
      <c r="DX772" s="252"/>
      <c r="DY772" s="250"/>
      <c r="DZ772" s="250"/>
      <c r="EA772" s="260"/>
      <c r="EB772" s="260"/>
      <c r="EC772" s="260"/>
      <c r="ED772" s="260"/>
      <c r="EG772" s="396"/>
      <c r="EH772" s="396"/>
    </row>
    <row r="773" spans="1:138" s="3" customFormat="1" x14ac:dyDescent="0.25">
      <c r="A773" s="407"/>
      <c r="B773" s="407"/>
      <c r="C773" s="250"/>
      <c r="D773" s="250"/>
      <c r="E773" s="250"/>
      <c r="F773" s="250"/>
      <c r="G773" s="250"/>
      <c r="H773" s="250"/>
      <c r="I773" s="250"/>
      <c r="J773" s="250"/>
      <c r="K773" s="250"/>
      <c r="L773" s="250"/>
      <c r="M773" s="250"/>
      <c r="N773" s="250"/>
      <c r="O773" s="250"/>
      <c r="P773" s="250"/>
      <c r="Q773" s="250"/>
      <c r="R773" s="250"/>
      <c r="S773" s="250"/>
      <c r="T773" s="250"/>
      <c r="U773" s="250"/>
      <c r="V773" s="250"/>
      <c r="W773" s="250"/>
      <c r="X773" s="250"/>
      <c r="Y773" s="250"/>
      <c r="Z773" s="250"/>
      <c r="AA773" s="250"/>
      <c r="AB773" s="250"/>
      <c r="AC773" s="250"/>
      <c r="AD773" s="250"/>
      <c r="AE773" s="250"/>
      <c r="AF773" s="250"/>
      <c r="AG773" s="250"/>
      <c r="AH773" s="250"/>
      <c r="AI773" s="250"/>
      <c r="AJ773" s="250"/>
      <c r="AK773" s="250"/>
      <c r="AL773" s="250"/>
      <c r="AM773" s="408"/>
      <c r="AN773" s="408"/>
      <c r="AO773" s="408"/>
      <c r="AP773" s="408"/>
      <c r="AQ773" s="408"/>
      <c r="AR773" s="408"/>
      <c r="AS773" s="408"/>
      <c r="AT773" s="408"/>
      <c r="AU773" s="408"/>
      <c r="AV773" s="408"/>
      <c r="AW773" s="408"/>
      <c r="AX773" s="250"/>
      <c r="AY773" s="250"/>
      <c r="AZ773" s="250"/>
      <c r="BA773" s="250"/>
      <c r="BB773" s="250"/>
      <c r="BC773" s="250"/>
      <c r="BD773" s="250"/>
      <c r="BE773" s="250"/>
      <c r="BF773" s="250"/>
      <c r="BG773" s="250"/>
      <c r="BH773" s="250"/>
      <c r="BI773" s="250"/>
      <c r="BJ773" s="250"/>
      <c r="BK773" s="250"/>
      <c r="BL773" s="250"/>
      <c r="BM773" s="250"/>
      <c r="BN773" s="250"/>
      <c r="BO773" s="250"/>
      <c r="BP773" s="250"/>
      <c r="BQ773" s="250"/>
      <c r="BR773" s="250"/>
      <c r="BS773" s="250"/>
      <c r="BT773" s="250"/>
      <c r="BU773" s="250"/>
      <c r="BV773" s="250"/>
      <c r="BW773" s="250"/>
      <c r="BX773" s="250"/>
      <c r="BY773" s="250"/>
      <c r="BZ773" s="250"/>
      <c r="CA773" s="250"/>
      <c r="CB773" s="250"/>
      <c r="CC773" s="250"/>
      <c r="CD773" s="250"/>
      <c r="CE773" s="250"/>
      <c r="CF773" s="250"/>
      <c r="CG773" s="250"/>
      <c r="CH773" s="250"/>
      <c r="CI773" s="408"/>
      <c r="CJ773" s="408"/>
      <c r="CK773" s="408"/>
      <c r="CL773" s="408"/>
      <c r="CM773" s="408"/>
      <c r="CN773" s="408"/>
      <c r="CO773" s="408"/>
      <c r="CP773" s="408"/>
      <c r="CQ773" s="408"/>
      <c r="CR773" s="408"/>
      <c r="CS773" s="408"/>
      <c r="CT773" s="250"/>
      <c r="CU773" s="250"/>
      <c r="CV773" s="250"/>
      <c r="CW773" s="250"/>
      <c r="CX773" s="408"/>
      <c r="CY773" s="408"/>
      <c r="CZ773" s="408"/>
      <c r="DA773" s="408"/>
      <c r="DB773" s="408"/>
      <c r="DC773" s="408"/>
      <c r="DD773" s="408"/>
      <c r="DE773" s="250"/>
      <c r="DF773" s="408"/>
      <c r="DG773" s="408"/>
      <c r="DH773" s="408"/>
      <c r="DI773" s="408"/>
      <c r="DJ773" s="408"/>
      <c r="DK773" s="408"/>
      <c r="DL773" s="408"/>
      <c r="DM773" s="250"/>
      <c r="DN773" s="250"/>
      <c r="DO773" s="250"/>
      <c r="DP773" s="250"/>
      <c r="DQ773" s="250"/>
      <c r="DR773" s="250"/>
      <c r="DS773" s="250"/>
      <c r="DT773" s="250"/>
      <c r="DU773" s="250"/>
      <c r="DV773" s="250"/>
      <c r="DW773" s="252"/>
      <c r="DX773" s="252"/>
      <c r="DY773" s="250"/>
      <c r="DZ773" s="250"/>
      <c r="EA773" s="260"/>
      <c r="EB773" s="260"/>
      <c r="EC773" s="260"/>
      <c r="ED773" s="260"/>
      <c r="EG773" s="396"/>
      <c r="EH773" s="396"/>
    </row>
    <row r="774" spans="1:138" s="3" customFormat="1" x14ac:dyDescent="0.25">
      <c r="A774" s="407"/>
      <c r="B774" s="407"/>
      <c r="C774" s="250"/>
      <c r="D774" s="250"/>
      <c r="E774" s="250"/>
      <c r="F774" s="250"/>
      <c r="G774" s="250"/>
      <c r="H774" s="250"/>
      <c r="I774" s="250"/>
      <c r="J774" s="250"/>
      <c r="K774" s="250"/>
      <c r="L774" s="250"/>
      <c r="M774" s="250"/>
      <c r="N774" s="250"/>
      <c r="O774" s="250"/>
      <c r="P774" s="250"/>
      <c r="Q774" s="250"/>
      <c r="R774" s="250"/>
      <c r="S774" s="250"/>
      <c r="T774" s="250"/>
      <c r="U774" s="250"/>
      <c r="V774" s="250"/>
      <c r="W774" s="250"/>
      <c r="X774" s="250"/>
      <c r="Y774" s="250"/>
      <c r="Z774" s="250"/>
      <c r="AA774" s="250"/>
      <c r="AB774" s="250"/>
      <c r="AC774" s="250"/>
      <c r="AD774" s="250"/>
      <c r="AE774" s="250"/>
      <c r="AF774" s="250"/>
      <c r="AG774" s="250"/>
      <c r="AH774" s="250"/>
      <c r="AI774" s="250"/>
      <c r="AJ774" s="250"/>
      <c r="AK774" s="250"/>
      <c r="AL774" s="250"/>
      <c r="AM774" s="408"/>
      <c r="AN774" s="408"/>
      <c r="AO774" s="408"/>
      <c r="AP774" s="408"/>
      <c r="AQ774" s="408"/>
      <c r="AR774" s="408"/>
      <c r="AS774" s="408"/>
      <c r="AT774" s="408"/>
      <c r="AU774" s="408"/>
      <c r="AV774" s="408"/>
      <c r="AW774" s="408"/>
      <c r="AX774" s="250"/>
      <c r="AY774" s="250"/>
      <c r="AZ774" s="250"/>
      <c r="BA774" s="250"/>
      <c r="BB774" s="250"/>
      <c r="BC774" s="250"/>
      <c r="BD774" s="250"/>
      <c r="BE774" s="250"/>
      <c r="BF774" s="250"/>
      <c r="BG774" s="250"/>
      <c r="BH774" s="250"/>
      <c r="BI774" s="250"/>
      <c r="BJ774" s="250"/>
      <c r="BK774" s="250"/>
      <c r="BL774" s="250"/>
      <c r="BM774" s="250"/>
      <c r="BN774" s="250"/>
      <c r="BO774" s="250"/>
      <c r="BP774" s="250"/>
      <c r="BQ774" s="250"/>
      <c r="BR774" s="250"/>
      <c r="BS774" s="250"/>
      <c r="BT774" s="250"/>
      <c r="BU774" s="250"/>
      <c r="BV774" s="250"/>
      <c r="BW774" s="250"/>
      <c r="BX774" s="250"/>
      <c r="BY774" s="250"/>
      <c r="BZ774" s="250"/>
      <c r="CA774" s="250"/>
      <c r="CB774" s="250"/>
      <c r="CC774" s="250"/>
      <c r="CD774" s="250"/>
      <c r="CE774" s="250"/>
      <c r="CF774" s="250"/>
      <c r="CG774" s="250"/>
      <c r="CH774" s="250"/>
      <c r="CI774" s="408"/>
      <c r="CJ774" s="408"/>
      <c r="CK774" s="408"/>
      <c r="CL774" s="408"/>
      <c r="CM774" s="408"/>
      <c r="CN774" s="408"/>
      <c r="CO774" s="408"/>
      <c r="CP774" s="408"/>
      <c r="CQ774" s="408"/>
      <c r="CR774" s="408"/>
      <c r="CS774" s="408"/>
      <c r="CT774" s="250"/>
      <c r="CU774" s="250"/>
      <c r="CV774" s="250"/>
      <c r="CW774" s="250"/>
      <c r="CX774" s="408"/>
      <c r="CY774" s="408"/>
      <c r="CZ774" s="408"/>
      <c r="DA774" s="408"/>
      <c r="DB774" s="408"/>
      <c r="DC774" s="408"/>
      <c r="DD774" s="408"/>
      <c r="DE774" s="250"/>
      <c r="DF774" s="408"/>
      <c r="DG774" s="408"/>
      <c r="DH774" s="408"/>
      <c r="DI774" s="408"/>
      <c r="DJ774" s="408"/>
      <c r="DK774" s="408"/>
      <c r="DL774" s="408"/>
      <c r="DM774" s="250"/>
      <c r="DN774" s="250"/>
      <c r="DO774" s="250"/>
      <c r="DP774" s="250"/>
      <c r="DQ774" s="250"/>
      <c r="DR774" s="250"/>
      <c r="DS774" s="250"/>
      <c r="DT774" s="250"/>
      <c r="DU774" s="250"/>
      <c r="DV774" s="250"/>
      <c r="DW774" s="252"/>
      <c r="DX774" s="252"/>
      <c r="DY774" s="250"/>
      <c r="DZ774" s="250"/>
      <c r="EA774" s="260"/>
      <c r="EB774" s="260"/>
      <c r="EC774" s="260"/>
      <c r="ED774" s="260"/>
      <c r="EG774" s="396"/>
      <c r="EH774" s="396"/>
    </row>
    <row r="775" spans="1:138" s="3" customFormat="1" x14ac:dyDescent="0.25">
      <c r="A775" s="407"/>
      <c r="B775" s="407"/>
      <c r="C775" s="250"/>
      <c r="D775" s="250"/>
      <c r="E775" s="250"/>
      <c r="F775" s="250"/>
      <c r="G775" s="250"/>
      <c r="H775" s="250"/>
      <c r="I775" s="250"/>
      <c r="J775" s="250"/>
      <c r="K775" s="250"/>
      <c r="L775" s="250"/>
      <c r="M775" s="250"/>
      <c r="N775" s="250"/>
      <c r="O775" s="250"/>
      <c r="P775" s="250"/>
      <c r="Q775" s="250"/>
      <c r="R775" s="250"/>
      <c r="S775" s="250"/>
      <c r="T775" s="250"/>
      <c r="U775" s="250"/>
      <c r="V775" s="250"/>
      <c r="W775" s="250"/>
      <c r="X775" s="250"/>
      <c r="Y775" s="250"/>
      <c r="Z775" s="250"/>
      <c r="AA775" s="250"/>
      <c r="AB775" s="250"/>
      <c r="AC775" s="250"/>
      <c r="AD775" s="250"/>
      <c r="AE775" s="250"/>
      <c r="AF775" s="250"/>
      <c r="AG775" s="250"/>
      <c r="AH775" s="250"/>
      <c r="AI775" s="250"/>
      <c r="AJ775" s="250"/>
      <c r="AK775" s="250"/>
      <c r="AL775" s="250"/>
      <c r="AM775" s="408"/>
      <c r="AN775" s="408"/>
      <c r="AO775" s="408"/>
      <c r="AP775" s="408"/>
      <c r="AQ775" s="408"/>
      <c r="AR775" s="408"/>
      <c r="AS775" s="408"/>
      <c r="AT775" s="408"/>
      <c r="AU775" s="408"/>
      <c r="AV775" s="408"/>
      <c r="AW775" s="408"/>
      <c r="AX775" s="250"/>
      <c r="AY775" s="250"/>
      <c r="AZ775" s="250"/>
      <c r="BA775" s="250"/>
      <c r="BB775" s="250"/>
      <c r="BC775" s="250"/>
      <c r="BD775" s="250"/>
      <c r="BE775" s="250"/>
      <c r="BF775" s="250"/>
      <c r="BG775" s="250"/>
      <c r="BH775" s="250"/>
      <c r="BI775" s="250"/>
      <c r="BJ775" s="250"/>
      <c r="BK775" s="250"/>
      <c r="BL775" s="250"/>
      <c r="BM775" s="250"/>
      <c r="BN775" s="250"/>
      <c r="BO775" s="250"/>
      <c r="BP775" s="250"/>
      <c r="BQ775" s="250"/>
      <c r="BR775" s="250"/>
      <c r="BS775" s="250"/>
      <c r="BT775" s="250"/>
      <c r="BU775" s="250"/>
      <c r="BV775" s="250"/>
      <c r="BW775" s="250"/>
      <c r="BX775" s="250"/>
      <c r="BY775" s="250"/>
      <c r="BZ775" s="250"/>
      <c r="CA775" s="250"/>
      <c r="CB775" s="250"/>
      <c r="CC775" s="250"/>
      <c r="CD775" s="250"/>
      <c r="CE775" s="250"/>
      <c r="CF775" s="250"/>
      <c r="CG775" s="250"/>
      <c r="CH775" s="250"/>
      <c r="CI775" s="408"/>
      <c r="CJ775" s="408"/>
      <c r="CK775" s="408"/>
      <c r="CL775" s="408"/>
      <c r="CM775" s="408"/>
      <c r="CN775" s="408"/>
      <c r="CO775" s="408"/>
      <c r="CP775" s="408"/>
      <c r="CQ775" s="408"/>
      <c r="CR775" s="408"/>
      <c r="CS775" s="408"/>
      <c r="CT775" s="250"/>
      <c r="CU775" s="250"/>
      <c r="CV775" s="250"/>
      <c r="CW775" s="250"/>
      <c r="CX775" s="408"/>
      <c r="CY775" s="408"/>
      <c r="CZ775" s="408"/>
      <c r="DA775" s="408"/>
      <c r="DB775" s="408"/>
      <c r="DC775" s="408"/>
      <c r="DD775" s="408"/>
      <c r="DE775" s="250"/>
      <c r="DF775" s="408"/>
      <c r="DG775" s="408"/>
      <c r="DH775" s="408"/>
      <c r="DI775" s="408"/>
      <c r="DJ775" s="408"/>
      <c r="DK775" s="408"/>
      <c r="DL775" s="408"/>
      <c r="DM775" s="250"/>
      <c r="DN775" s="250"/>
      <c r="DO775" s="250"/>
      <c r="DP775" s="250"/>
      <c r="DQ775" s="250"/>
      <c r="DR775" s="250"/>
      <c r="DS775" s="250"/>
      <c r="DT775" s="250"/>
      <c r="DU775" s="250"/>
      <c r="DV775" s="250"/>
      <c r="DW775" s="252"/>
      <c r="DX775" s="252"/>
      <c r="DY775" s="250"/>
      <c r="DZ775" s="250"/>
      <c r="EA775" s="260"/>
      <c r="EB775" s="260"/>
      <c r="EC775" s="260"/>
      <c r="ED775" s="260"/>
      <c r="EG775" s="396"/>
      <c r="EH775" s="396"/>
    </row>
    <row r="776" spans="1:138" s="3" customFormat="1" x14ac:dyDescent="0.25">
      <c r="A776" s="407"/>
      <c r="B776" s="407"/>
      <c r="C776" s="250"/>
      <c r="D776" s="250"/>
      <c r="E776" s="250"/>
      <c r="F776" s="250"/>
      <c r="G776" s="250"/>
      <c r="H776" s="250"/>
      <c r="I776" s="250"/>
      <c r="J776" s="250"/>
      <c r="K776" s="250"/>
      <c r="L776" s="250"/>
      <c r="M776" s="250"/>
      <c r="N776" s="250"/>
      <c r="O776" s="250"/>
      <c r="P776" s="250"/>
      <c r="Q776" s="250"/>
      <c r="R776" s="250"/>
      <c r="S776" s="250"/>
      <c r="T776" s="250"/>
      <c r="U776" s="250"/>
      <c r="V776" s="250"/>
      <c r="W776" s="250"/>
      <c r="X776" s="250"/>
      <c r="Y776" s="250"/>
      <c r="Z776" s="250"/>
      <c r="AA776" s="250"/>
      <c r="AB776" s="250"/>
      <c r="AC776" s="250"/>
      <c r="AD776" s="250"/>
      <c r="AE776" s="250"/>
      <c r="AF776" s="250"/>
      <c r="AG776" s="250"/>
      <c r="AH776" s="250"/>
      <c r="AI776" s="250"/>
      <c r="AJ776" s="250"/>
      <c r="AK776" s="250"/>
      <c r="AL776" s="250"/>
      <c r="AM776" s="408"/>
      <c r="AN776" s="408"/>
      <c r="AO776" s="408"/>
      <c r="AP776" s="408"/>
      <c r="AQ776" s="408"/>
      <c r="AR776" s="408"/>
      <c r="AS776" s="408"/>
      <c r="AT776" s="408"/>
      <c r="AU776" s="408"/>
      <c r="AV776" s="408"/>
      <c r="AW776" s="408"/>
      <c r="AX776" s="250"/>
      <c r="AY776" s="250"/>
      <c r="AZ776" s="250"/>
      <c r="BA776" s="250"/>
      <c r="BB776" s="250"/>
      <c r="BC776" s="250"/>
      <c r="BD776" s="250"/>
      <c r="BE776" s="250"/>
      <c r="BF776" s="250"/>
      <c r="BG776" s="250"/>
      <c r="BH776" s="250"/>
      <c r="BI776" s="250"/>
      <c r="BJ776" s="250"/>
      <c r="BK776" s="250"/>
      <c r="BL776" s="250"/>
      <c r="BM776" s="250"/>
      <c r="BN776" s="250"/>
      <c r="BO776" s="250"/>
      <c r="BP776" s="250"/>
      <c r="BQ776" s="250"/>
      <c r="BR776" s="250"/>
      <c r="BS776" s="250"/>
      <c r="BT776" s="250"/>
      <c r="BU776" s="250"/>
      <c r="BV776" s="250"/>
      <c r="BW776" s="250"/>
      <c r="BX776" s="250"/>
      <c r="BY776" s="250"/>
      <c r="BZ776" s="250"/>
      <c r="CA776" s="250"/>
      <c r="CB776" s="250"/>
      <c r="CC776" s="250"/>
      <c r="CD776" s="250"/>
      <c r="CE776" s="250"/>
      <c r="CF776" s="250"/>
      <c r="CG776" s="250"/>
      <c r="CH776" s="250"/>
      <c r="CI776" s="408"/>
      <c r="CJ776" s="408"/>
      <c r="CK776" s="408"/>
      <c r="CL776" s="408"/>
      <c r="CM776" s="408"/>
      <c r="CN776" s="408"/>
      <c r="CO776" s="408"/>
      <c r="CP776" s="408"/>
      <c r="CQ776" s="408"/>
      <c r="CR776" s="408"/>
      <c r="CS776" s="408"/>
      <c r="CT776" s="250"/>
      <c r="CU776" s="250"/>
      <c r="CV776" s="250"/>
      <c r="CW776" s="250"/>
      <c r="CX776" s="408"/>
      <c r="CY776" s="408"/>
      <c r="CZ776" s="408"/>
      <c r="DA776" s="408"/>
      <c r="DB776" s="408"/>
      <c r="DC776" s="408"/>
      <c r="DD776" s="408"/>
      <c r="DE776" s="250"/>
      <c r="DF776" s="408"/>
      <c r="DG776" s="408"/>
      <c r="DH776" s="408"/>
      <c r="DI776" s="408"/>
      <c r="DJ776" s="408"/>
      <c r="DK776" s="408"/>
      <c r="DL776" s="408"/>
      <c r="DM776" s="250"/>
      <c r="DN776" s="250"/>
      <c r="DO776" s="250"/>
      <c r="DP776" s="250"/>
      <c r="DQ776" s="250"/>
      <c r="DR776" s="250"/>
      <c r="DS776" s="250"/>
      <c r="DT776" s="250"/>
      <c r="DU776" s="250"/>
      <c r="DV776" s="250"/>
      <c r="DW776" s="252"/>
      <c r="DX776" s="252"/>
      <c r="DY776" s="250"/>
      <c r="DZ776" s="250"/>
      <c r="EA776" s="260"/>
      <c r="EB776" s="260"/>
      <c r="EC776" s="260"/>
      <c r="ED776" s="260"/>
      <c r="EG776" s="396"/>
      <c r="EH776" s="396"/>
    </row>
    <row r="777" spans="1:138" s="3" customFormat="1" x14ac:dyDescent="0.25">
      <c r="A777" s="407"/>
      <c r="B777" s="407"/>
      <c r="C777" s="250"/>
      <c r="D777" s="250"/>
      <c r="E777" s="250"/>
      <c r="F777" s="250"/>
      <c r="G777" s="250"/>
      <c r="H777" s="250"/>
      <c r="I777" s="250"/>
      <c r="J777" s="250"/>
      <c r="K777" s="250"/>
      <c r="L777" s="250"/>
      <c r="M777" s="250"/>
      <c r="N777" s="250"/>
      <c r="O777" s="250"/>
      <c r="P777" s="250"/>
      <c r="Q777" s="250"/>
      <c r="R777" s="250"/>
      <c r="S777" s="250"/>
      <c r="T777" s="250"/>
      <c r="U777" s="250"/>
      <c r="V777" s="250"/>
      <c r="W777" s="250"/>
      <c r="X777" s="250"/>
      <c r="Y777" s="250"/>
      <c r="Z777" s="250"/>
      <c r="AA777" s="250"/>
      <c r="AB777" s="250"/>
      <c r="AC777" s="250"/>
      <c r="AD777" s="250"/>
      <c r="AE777" s="250"/>
      <c r="AF777" s="250"/>
      <c r="AG777" s="250"/>
      <c r="AH777" s="250"/>
      <c r="AI777" s="250"/>
      <c r="AJ777" s="250"/>
      <c r="AK777" s="250"/>
      <c r="AL777" s="250"/>
      <c r="AM777" s="408"/>
      <c r="AN777" s="408"/>
      <c r="AO777" s="408"/>
      <c r="AP777" s="408"/>
      <c r="AQ777" s="408"/>
      <c r="AR777" s="408"/>
      <c r="AS777" s="408"/>
      <c r="AT777" s="408"/>
      <c r="AU777" s="408"/>
      <c r="AV777" s="408"/>
      <c r="AW777" s="408"/>
      <c r="AX777" s="250"/>
      <c r="AY777" s="250"/>
      <c r="AZ777" s="250"/>
      <c r="BA777" s="250"/>
      <c r="BB777" s="250"/>
      <c r="BC777" s="250"/>
      <c r="BD777" s="250"/>
      <c r="BE777" s="250"/>
      <c r="BF777" s="250"/>
      <c r="BG777" s="250"/>
      <c r="BH777" s="250"/>
      <c r="BI777" s="250"/>
      <c r="BJ777" s="250"/>
      <c r="BK777" s="250"/>
      <c r="BL777" s="250"/>
      <c r="BM777" s="250"/>
      <c r="BN777" s="250"/>
      <c r="BO777" s="250"/>
      <c r="BP777" s="250"/>
      <c r="BQ777" s="250"/>
      <c r="BR777" s="250"/>
      <c r="BS777" s="250"/>
      <c r="BT777" s="250"/>
      <c r="BU777" s="250"/>
      <c r="BV777" s="250"/>
      <c r="BW777" s="250"/>
      <c r="BX777" s="250"/>
      <c r="BY777" s="250"/>
      <c r="BZ777" s="250"/>
      <c r="CA777" s="250"/>
      <c r="CB777" s="250"/>
      <c r="CC777" s="250"/>
      <c r="CD777" s="250"/>
      <c r="CE777" s="250"/>
      <c r="CF777" s="250"/>
      <c r="CG777" s="250"/>
      <c r="CH777" s="250"/>
      <c r="CI777" s="408"/>
      <c r="CJ777" s="408"/>
      <c r="CK777" s="408"/>
      <c r="CL777" s="408"/>
      <c r="CM777" s="408"/>
      <c r="CN777" s="408"/>
      <c r="CO777" s="408"/>
      <c r="CP777" s="408"/>
      <c r="CQ777" s="408"/>
      <c r="CR777" s="408"/>
      <c r="CS777" s="408"/>
      <c r="CT777" s="250"/>
      <c r="CU777" s="250"/>
      <c r="CV777" s="250"/>
      <c r="CW777" s="250"/>
      <c r="CX777" s="408"/>
      <c r="CY777" s="408"/>
      <c r="CZ777" s="408"/>
      <c r="DA777" s="408"/>
      <c r="DB777" s="408"/>
      <c r="DC777" s="408"/>
      <c r="DD777" s="408"/>
      <c r="DE777" s="250"/>
      <c r="DF777" s="408"/>
      <c r="DG777" s="408"/>
      <c r="DH777" s="408"/>
      <c r="DI777" s="408"/>
      <c r="DJ777" s="408"/>
      <c r="DK777" s="408"/>
      <c r="DL777" s="408"/>
      <c r="DM777" s="250"/>
      <c r="DN777" s="250"/>
      <c r="DO777" s="250"/>
      <c r="DP777" s="250"/>
      <c r="DQ777" s="250"/>
      <c r="DR777" s="250"/>
      <c r="DS777" s="250"/>
      <c r="DT777" s="250"/>
      <c r="DU777" s="250"/>
      <c r="DV777" s="250"/>
      <c r="DW777" s="252"/>
      <c r="DX777" s="252"/>
      <c r="DY777" s="250"/>
      <c r="DZ777" s="250"/>
      <c r="EA777" s="260"/>
      <c r="EB777" s="260"/>
      <c r="EC777" s="260"/>
      <c r="ED777" s="260"/>
      <c r="EG777" s="396"/>
      <c r="EH777" s="396"/>
    </row>
    <row r="778" spans="1:138" s="3" customFormat="1" x14ac:dyDescent="0.25">
      <c r="A778" s="407"/>
      <c r="B778" s="407"/>
      <c r="C778" s="250"/>
      <c r="D778" s="250"/>
      <c r="E778" s="250"/>
      <c r="F778" s="250"/>
      <c r="G778" s="250"/>
      <c r="H778" s="250"/>
      <c r="I778" s="250"/>
      <c r="J778" s="250"/>
      <c r="K778" s="250"/>
      <c r="L778" s="250"/>
      <c r="M778" s="250"/>
      <c r="N778" s="250"/>
      <c r="O778" s="250"/>
      <c r="P778" s="250"/>
      <c r="Q778" s="250"/>
      <c r="R778" s="250"/>
      <c r="S778" s="250"/>
      <c r="T778" s="250"/>
      <c r="U778" s="250"/>
      <c r="V778" s="250"/>
      <c r="W778" s="250"/>
      <c r="X778" s="250"/>
      <c r="Y778" s="250"/>
      <c r="Z778" s="250"/>
      <c r="AA778" s="250"/>
      <c r="AB778" s="250"/>
      <c r="AC778" s="250"/>
      <c r="AD778" s="250"/>
      <c r="AE778" s="250"/>
      <c r="AF778" s="250"/>
      <c r="AG778" s="250"/>
      <c r="AH778" s="250"/>
      <c r="AI778" s="250"/>
      <c r="AJ778" s="250"/>
      <c r="AK778" s="250"/>
      <c r="AL778" s="250"/>
      <c r="AM778" s="408"/>
      <c r="AN778" s="408"/>
      <c r="AO778" s="408"/>
      <c r="AP778" s="408"/>
      <c r="AQ778" s="408"/>
      <c r="AR778" s="408"/>
      <c r="AS778" s="408"/>
      <c r="AT778" s="408"/>
      <c r="AU778" s="408"/>
      <c r="AV778" s="408"/>
      <c r="AW778" s="408"/>
      <c r="AX778" s="250"/>
      <c r="AY778" s="250"/>
      <c r="AZ778" s="250"/>
      <c r="BA778" s="250"/>
      <c r="BB778" s="250"/>
      <c r="BC778" s="250"/>
      <c r="BD778" s="250"/>
      <c r="BE778" s="250"/>
      <c r="BF778" s="250"/>
      <c r="BG778" s="250"/>
      <c r="BH778" s="250"/>
      <c r="BI778" s="250"/>
      <c r="BJ778" s="250"/>
      <c r="BK778" s="250"/>
      <c r="BL778" s="250"/>
      <c r="BM778" s="250"/>
      <c r="BN778" s="250"/>
      <c r="BO778" s="250"/>
      <c r="BP778" s="250"/>
      <c r="BQ778" s="250"/>
      <c r="BR778" s="250"/>
      <c r="BS778" s="250"/>
      <c r="BT778" s="250"/>
      <c r="BU778" s="250"/>
      <c r="BV778" s="250"/>
      <c r="BW778" s="250"/>
      <c r="BX778" s="250"/>
      <c r="BY778" s="250"/>
      <c r="BZ778" s="250"/>
      <c r="CA778" s="250"/>
      <c r="CB778" s="250"/>
      <c r="CC778" s="250"/>
      <c r="CD778" s="250"/>
      <c r="CE778" s="250"/>
      <c r="CF778" s="250"/>
      <c r="CG778" s="250"/>
      <c r="CH778" s="250"/>
      <c r="CI778" s="408"/>
      <c r="CJ778" s="408"/>
      <c r="CK778" s="408"/>
      <c r="CL778" s="408"/>
      <c r="CM778" s="408"/>
      <c r="CN778" s="408"/>
      <c r="CO778" s="408"/>
      <c r="CP778" s="408"/>
      <c r="CQ778" s="408"/>
      <c r="CR778" s="408"/>
      <c r="CS778" s="408"/>
      <c r="CT778" s="250"/>
      <c r="CU778" s="250"/>
      <c r="CV778" s="250"/>
      <c r="CW778" s="250"/>
      <c r="CX778" s="408"/>
      <c r="CY778" s="408"/>
      <c r="CZ778" s="408"/>
      <c r="DA778" s="408"/>
      <c r="DB778" s="408"/>
      <c r="DC778" s="408"/>
      <c r="DD778" s="408"/>
      <c r="DE778" s="250"/>
      <c r="DF778" s="408"/>
      <c r="DG778" s="408"/>
      <c r="DH778" s="408"/>
      <c r="DI778" s="408"/>
      <c r="DJ778" s="408"/>
      <c r="DK778" s="408"/>
      <c r="DL778" s="408"/>
      <c r="DM778" s="250"/>
      <c r="DN778" s="250"/>
      <c r="DO778" s="250"/>
      <c r="DP778" s="250"/>
      <c r="DQ778" s="250"/>
      <c r="DR778" s="250"/>
      <c r="DS778" s="250"/>
      <c r="DT778" s="250"/>
      <c r="DU778" s="250"/>
      <c r="DV778" s="250"/>
      <c r="DW778" s="252"/>
      <c r="DX778" s="252"/>
      <c r="DY778" s="250"/>
      <c r="DZ778" s="250"/>
      <c r="EA778" s="260"/>
      <c r="EB778" s="260"/>
      <c r="EC778" s="260"/>
      <c r="ED778" s="260"/>
      <c r="EG778" s="396"/>
      <c r="EH778" s="396"/>
    </row>
    <row r="779" spans="1:138" s="3" customFormat="1" x14ac:dyDescent="0.25">
      <c r="A779" s="407"/>
      <c r="B779" s="407"/>
      <c r="C779" s="250"/>
      <c r="D779" s="250"/>
      <c r="E779" s="250"/>
      <c r="F779" s="250"/>
      <c r="G779" s="250"/>
      <c r="H779" s="250"/>
      <c r="I779" s="250"/>
      <c r="J779" s="250"/>
      <c r="K779" s="250"/>
      <c r="L779" s="250"/>
      <c r="M779" s="250"/>
      <c r="N779" s="250"/>
      <c r="O779" s="250"/>
      <c r="P779" s="250"/>
      <c r="Q779" s="250"/>
      <c r="R779" s="250"/>
      <c r="S779" s="250"/>
      <c r="T779" s="250"/>
      <c r="U779" s="250"/>
      <c r="V779" s="250"/>
      <c r="W779" s="250"/>
      <c r="X779" s="250"/>
      <c r="Y779" s="250"/>
      <c r="Z779" s="250"/>
      <c r="AA779" s="250"/>
      <c r="AB779" s="250"/>
      <c r="AC779" s="250"/>
      <c r="AD779" s="250"/>
      <c r="AE779" s="250"/>
      <c r="AF779" s="250"/>
      <c r="AG779" s="250"/>
      <c r="AH779" s="250"/>
      <c r="AI779" s="250"/>
      <c r="AJ779" s="250"/>
      <c r="AK779" s="250"/>
      <c r="AL779" s="250"/>
      <c r="AM779" s="408"/>
      <c r="AN779" s="408"/>
      <c r="AO779" s="408"/>
      <c r="AP779" s="408"/>
      <c r="AQ779" s="408"/>
      <c r="AR779" s="408"/>
      <c r="AS779" s="408"/>
      <c r="AT779" s="408"/>
      <c r="AU779" s="408"/>
      <c r="AV779" s="408"/>
      <c r="AW779" s="408"/>
      <c r="AX779" s="250"/>
      <c r="AY779" s="250"/>
      <c r="AZ779" s="250"/>
      <c r="BA779" s="250"/>
      <c r="BB779" s="250"/>
      <c r="BC779" s="250"/>
      <c r="BD779" s="250"/>
      <c r="BE779" s="250"/>
      <c r="BF779" s="250"/>
      <c r="BG779" s="250"/>
      <c r="BH779" s="250"/>
      <c r="BI779" s="250"/>
      <c r="BJ779" s="250"/>
      <c r="BK779" s="250"/>
      <c r="BL779" s="250"/>
      <c r="BM779" s="250"/>
      <c r="BN779" s="250"/>
      <c r="BO779" s="250"/>
      <c r="BP779" s="250"/>
      <c r="BQ779" s="250"/>
      <c r="BR779" s="250"/>
      <c r="BS779" s="250"/>
      <c r="BT779" s="250"/>
      <c r="BU779" s="250"/>
      <c r="BV779" s="250"/>
      <c r="BW779" s="250"/>
      <c r="BX779" s="250"/>
      <c r="BY779" s="250"/>
      <c r="BZ779" s="250"/>
      <c r="CA779" s="250"/>
      <c r="CB779" s="250"/>
      <c r="CC779" s="250"/>
      <c r="CD779" s="250"/>
      <c r="CE779" s="250"/>
      <c r="CF779" s="250"/>
      <c r="CG779" s="250"/>
      <c r="CH779" s="250"/>
      <c r="CI779" s="408"/>
      <c r="CJ779" s="408"/>
      <c r="CK779" s="408"/>
      <c r="CL779" s="408"/>
      <c r="CM779" s="408"/>
      <c r="CN779" s="408"/>
      <c r="CO779" s="408"/>
      <c r="CP779" s="408"/>
      <c r="CQ779" s="408"/>
      <c r="CR779" s="408"/>
      <c r="CS779" s="408"/>
      <c r="CT779" s="250"/>
      <c r="CU779" s="250"/>
      <c r="CV779" s="250"/>
      <c r="CW779" s="250"/>
      <c r="CX779" s="408"/>
      <c r="CY779" s="408"/>
      <c r="CZ779" s="408"/>
      <c r="DA779" s="408"/>
      <c r="DB779" s="408"/>
      <c r="DC779" s="408"/>
      <c r="DD779" s="408"/>
      <c r="DE779" s="250"/>
      <c r="DF779" s="408"/>
      <c r="DG779" s="408"/>
      <c r="DH779" s="408"/>
      <c r="DI779" s="408"/>
      <c r="DJ779" s="408"/>
      <c r="DK779" s="408"/>
      <c r="DL779" s="408"/>
      <c r="DM779" s="250"/>
      <c r="DN779" s="250"/>
      <c r="DO779" s="250"/>
      <c r="DP779" s="250"/>
      <c r="DQ779" s="250"/>
      <c r="DR779" s="250"/>
      <c r="DS779" s="250"/>
      <c r="DT779" s="250"/>
      <c r="DU779" s="250"/>
      <c r="DV779" s="250"/>
      <c r="DW779" s="252"/>
      <c r="DX779" s="252"/>
      <c r="DY779" s="250"/>
      <c r="DZ779" s="250"/>
      <c r="EA779" s="260"/>
      <c r="EB779" s="260"/>
      <c r="EC779" s="260"/>
      <c r="ED779" s="260"/>
      <c r="EG779" s="396"/>
      <c r="EH779" s="396"/>
    </row>
    <row r="780" spans="1:138" s="3" customFormat="1" x14ac:dyDescent="0.25">
      <c r="A780" s="407"/>
      <c r="B780" s="407"/>
      <c r="C780" s="250"/>
      <c r="D780" s="250"/>
      <c r="E780" s="250"/>
      <c r="F780" s="250"/>
      <c r="G780" s="250"/>
      <c r="H780" s="250"/>
      <c r="I780" s="250"/>
      <c r="J780" s="250"/>
      <c r="K780" s="250"/>
      <c r="L780" s="250"/>
      <c r="M780" s="250"/>
      <c r="N780" s="250"/>
      <c r="O780" s="250"/>
      <c r="P780" s="250"/>
      <c r="Q780" s="250"/>
      <c r="R780" s="250"/>
      <c r="S780" s="250"/>
      <c r="T780" s="250"/>
      <c r="U780" s="250"/>
      <c r="V780" s="250"/>
      <c r="W780" s="250"/>
      <c r="X780" s="250"/>
      <c r="Y780" s="250"/>
      <c r="Z780" s="250"/>
      <c r="AA780" s="250"/>
      <c r="AB780" s="250"/>
      <c r="AC780" s="250"/>
      <c r="AD780" s="250"/>
      <c r="AE780" s="250"/>
      <c r="AF780" s="250"/>
      <c r="AG780" s="250"/>
      <c r="AH780" s="250"/>
      <c r="AI780" s="250"/>
      <c r="AJ780" s="250"/>
      <c r="AK780" s="250"/>
      <c r="AL780" s="250"/>
      <c r="AM780" s="408"/>
      <c r="AN780" s="408"/>
      <c r="AO780" s="408"/>
      <c r="AP780" s="408"/>
      <c r="AQ780" s="408"/>
      <c r="AR780" s="408"/>
      <c r="AS780" s="408"/>
      <c r="AT780" s="408"/>
      <c r="AU780" s="408"/>
      <c r="AV780" s="408"/>
      <c r="AW780" s="408"/>
      <c r="AX780" s="250"/>
      <c r="AY780" s="250"/>
      <c r="AZ780" s="250"/>
      <c r="BA780" s="250"/>
      <c r="BB780" s="250"/>
      <c r="BC780" s="250"/>
      <c r="BD780" s="250"/>
      <c r="BE780" s="250"/>
      <c r="BF780" s="250"/>
      <c r="BG780" s="250"/>
      <c r="BH780" s="250"/>
      <c r="BI780" s="250"/>
      <c r="BJ780" s="250"/>
      <c r="BK780" s="250"/>
      <c r="BL780" s="250"/>
      <c r="BM780" s="250"/>
      <c r="BN780" s="250"/>
      <c r="BO780" s="250"/>
      <c r="BP780" s="250"/>
      <c r="BQ780" s="250"/>
      <c r="BR780" s="250"/>
      <c r="BS780" s="250"/>
      <c r="BT780" s="250"/>
      <c r="BU780" s="250"/>
      <c r="BV780" s="250"/>
      <c r="BW780" s="250"/>
      <c r="BX780" s="250"/>
      <c r="BY780" s="250"/>
      <c r="BZ780" s="250"/>
      <c r="CA780" s="250"/>
      <c r="CB780" s="250"/>
      <c r="CC780" s="250"/>
      <c r="CD780" s="250"/>
      <c r="CE780" s="250"/>
      <c r="CF780" s="250"/>
      <c r="CG780" s="250"/>
      <c r="CH780" s="250"/>
      <c r="CI780" s="408"/>
      <c r="CJ780" s="408"/>
      <c r="CK780" s="408"/>
      <c r="CL780" s="408"/>
      <c r="CM780" s="408"/>
      <c r="CN780" s="408"/>
      <c r="CO780" s="408"/>
      <c r="CP780" s="408"/>
      <c r="CQ780" s="408"/>
      <c r="CR780" s="408"/>
      <c r="CS780" s="408"/>
      <c r="CT780" s="250"/>
      <c r="CU780" s="250"/>
      <c r="CV780" s="250"/>
      <c r="CW780" s="250"/>
      <c r="CX780" s="408"/>
      <c r="CY780" s="408"/>
      <c r="CZ780" s="408"/>
      <c r="DA780" s="408"/>
      <c r="DB780" s="408"/>
      <c r="DC780" s="408"/>
      <c r="DD780" s="408"/>
      <c r="DE780" s="250"/>
      <c r="DF780" s="408"/>
      <c r="DG780" s="408"/>
      <c r="DH780" s="408"/>
      <c r="DI780" s="408"/>
      <c r="DJ780" s="408"/>
      <c r="DK780" s="408"/>
      <c r="DL780" s="408"/>
      <c r="DM780" s="250"/>
      <c r="DN780" s="250"/>
      <c r="DO780" s="250"/>
      <c r="DP780" s="250"/>
      <c r="DQ780" s="250"/>
      <c r="DR780" s="250"/>
      <c r="DS780" s="250"/>
      <c r="DT780" s="250"/>
      <c r="DU780" s="250"/>
      <c r="DV780" s="250"/>
      <c r="DW780" s="252"/>
      <c r="DX780" s="252"/>
      <c r="DY780" s="250"/>
      <c r="DZ780" s="250"/>
      <c r="EA780" s="260"/>
      <c r="EB780" s="260"/>
      <c r="EC780" s="260"/>
      <c r="ED780" s="260"/>
      <c r="EG780" s="396"/>
      <c r="EH780" s="396"/>
    </row>
    <row r="781" spans="1:138" s="3" customFormat="1" x14ac:dyDescent="0.25">
      <c r="A781" s="407"/>
      <c r="B781" s="407"/>
      <c r="C781" s="250"/>
      <c r="D781" s="250"/>
      <c r="E781" s="250"/>
      <c r="F781" s="250"/>
      <c r="G781" s="250"/>
      <c r="H781" s="250"/>
      <c r="I781" s="250"/>
      <c r="J781" s="250"/>
      <c r="K781" s="250"/>
      <c r="L781" s="250"/>
      <c r="M781" s="250"/>
      <c r="N781" s="250"/>
      <c r="O781" s="250"/>
      <c r="P781" s="250"/>
      <c r="Q781" s="250"/>
      <c r="R781" s="250"/>
      <c r="S781" s="250"/>
      <c r="T781" s="250"/>
      <c r="U781" s="250"/>
      <c r="V781" s="250"/>
      <c r="W781" s="250"/>
      <c r="X781" s="250"/>
      <c r="Y781" s="250"/>
      <c r="Z781" s="250"/>
      <c r="AA781" s="250"/>
      <c r="AB781" s="250"/>
      <c r="AC781" s="250"/>
      <c r="AD781" s="250"/>
      <c r="AE781" s="250"/>
      <c r="AF781" s="250"/>
      <c r="AG781" s="250"/>
      <c r="AH781" s="250"/>
      <c r="AI781" s="250"/>
      <c r="AJ781" s="250"/>
      <c r="AK781" s="250"/>
      <c r="AL781" s="250"/>
      <c r="AM781" s="408"/>
      <c r="AN781" s="408"/>
      <c r="AO781" s="408"/>
      <c r="AP781" s="408"/>
      <c r="AQ781" s="408"/>
      <c r="AR781" s="408"/>
      <c r="AS781" s="408"/>
      <c r="AT781" s="408"/>
      <c r="AU781" s="408"/>
      <c r="AV781" s="408"/>
      <c r="AW781" s="408"/>
      <c r="AX781" s="250"/>
      <c r="AY781" s="250"/>
      <c r="AZ781" s="250"/>
      <c r="BA781" s="250"/>
      <c r="BB781" s="250"/>
      <c r="BC781" s="250"/>
      <c r="BD781" s="250"/>
      <c r="BE781" s="250"/>
      <c r="BF781" s="250"/>
      <c r="BG781" s="250"/>
      <c r="BH781" s="250"/>
      <c r="BI781" s="250"/>
      <c r="BJ781" s="250"/>
      <c r="BK781" s="250"/>
      <c r="BL781" s="250"/>
      <c r="BM781" s="250"/>
      <c r="BN781" s="250"/>
      <c r="BO781" s="250"/>
      <c r="BP781" s="250"/>
      <c r="BQ781" s="250"/>
      <c r="BR781" s="250"/>
      <c r="BS781" s="250"/>
      <c r="BT781" s="250"/>
      <c r="BU781" s="250"/>
      <c r="BV781" s="250"/>
      <c r="BW781" s="250"/>
      <c r="BX781" s="250"/>
      <c r="BY781" s="250"/>
      <c r="BZ781" s="250"/>
      <c r="CA781" s="250"/>
      <c r="CB781" s="250"/>
      <c r="CC781" s="250"/>
      <c r="CD781" s="250"/>
      <c r="CE781" s="250"/>
      <c r="CF781" s="250"/>
      <c r="CG781" s="250"/>
      <c r="CH781" s="250"/>
      <c r="CI781" s="408"/>
      <c r="CJ781" s="408"/>
      <c r="CK781" s="408"/>
      <c r="CL781" s="408"/>
      <c r="CM781" s="408"/>
      <c r="CN781" s="408"/>
      <c r="CO781" s="408"/>
      <c r="CP781" s="408"/>
      <c r="CQ781" s="408"/>
      <c r="CR781" s="408"/>
      <c r="CS781" s="408"/>
      <c r="CT781" s="250"/>
      <c r="CU781" s="250"/>
      <c r="CV781" s="250"/>
      <c r="CW781" s="250"/>
      <c r="CX781" s="408"/>
      <c r="CY781" s="408"/>
      <c r="CZ781" s="408"/>
      <c r="DA781" s="408"/>
      <c r="DB781" s="408"/>
      <c r="DC781" s="408"/>
      <c r="DD781" s="408"/>
      <c r="DE781" s="250"/>
      <c r="DF781" s="408"/>
      <c r="DG781" s="408"/>
      <c r="DH781" s="408"/>
      <c r="DI781" s="408"/>
      <c r="DJ781" s="408"/>
      <c r="DK781" s="408"/>
      <c r="DL781" s="408"/>
      <c r="DM781" s="250"/>
      <c r="DN781" s="250"/>
      <c r="DO781" s="250"/>
      <c r="DP781" s="250"/>
      <c r="DQ781" s="250"/>
      <c r="DR781" s="250"/>
      <c r="DS781" s="250"/>
      <c r="DT781" s="250"/>
      <c r="DU781" s="250"/>
      <c r="DV781" s="250"/>
      <c r="DW781" s="252"/>
      <c r="DX781" s="252"/>
      <c r="DY781" s="250"/>
      <c r="DZ781" s="250"/>
      <c r="EA781" s="260"/>
      <c r="EB781" s="260"/>
      <c r="EC781" s="260"/>
      <c r="ED781" s="260"/>
      <c r="EG781" s="396"/>
      <c r="EH781" s="396"/>
    </row>
    <row r="782" spans="1:138" s="3" customFormat="1" x14ac:dyDescent="0.25">
      <c r="A782" s="407"/>
      <c r="B782" s="407"/>
      <c r="C782" s="250"/>
      <c r="D782" s="250"/>
      <c r="E782" s="250"/>
      <c r="F782" s="250"/>
      <c r="G782" s="250"/>
      <c r="H782" s="250"/>
      <c r="I782" s="250"/>
      <c r="J782" s="250"/>
      <c r="K782" s="250"/>
      <c r="L782" s="250"/>
      <c r="M782" s="250"/>
      <c r="N782" s="250"/>
      <c r="O782" s="250"/>
      <c r="P782" s="250"/>
      <c r="Q782" s="250"/>
      <c r="R782" s="250"/>
      <c r="S782" s="250"/>
      <c r="T782" s="250"/>
      <c r="U782" s="250"/>
      <c r="V782" s="250"/>
      <c r="W782" s="250"/>
      <c r="X782" s="250"/>
      <c r="Y782" s="250"/>
      <c r="Z782" s="250"/>
      <c r="AA782" s="250"/>
      <c r="AB782" s="250"/>
      <c r="AC782" s="250"/>
      <c r="AD782" s="250"/>
      <c r="AE782" s="250"/>
      <c r="AF782" s="250"/>
      <c r="AG782" s="250"/>
      <c r="AH782" s="250"/>
      <c r="AI782" s="250"/>
      <c r="AJ782" s="250"/>
      <c r="AK782" s="250"/>
      <c r="AL782" s="250"/>
      <c r="AM782" s="408"/>
      <c r="AN782" s="408"/>
      <c r="AO782" s="408"/>
      <c r="AP782" s="408"/>
      <c r="AQ782" s="408"/>
      <c r="AR782" s="408"/>
      <c r="AS782" s="408"/>
      <c r="AT782" s="408"/>
      <c r="AU782" s="408"/>
      <c r="AV782" s="408"/>
      <c r="AW782" s="408"/>
      <c r="AX782" s="250"/>
      <c r="AY782" s="250"/>
      <c r="AZ782" s="250"/>
      <c r="BA782" s="250"/>
      <c r="BB782" s="250"/>
      <c r="BC782" s="250"/>
      <c r="BD782" s="250"/>
      <c r="BE782" s="250"/>
      <c r="BF782" s="250"/>
      <c r="BG782" s="250"/>
      <c r="BH782" s="250"/>
      <c r="BI782" s="250"/>
      <c r="BJ782" s="250"/>
      <c r="BK782" s="250"/>
      <c r="BL782" s="250"/>
      <c r="BM782" s="250"/>
      <c r="BN782" s="250"/>
      <c r="BO782" s="250"/>
      <c r="BP782" s="250"/>
      <c r="BQ782" s="250"/>
      <c r="BR782" s="250"/>
      <c r="BS782" s="250"/>
      <c r="BT782" s="250"/>
      <c r="BU782" s="250"/>
      <c r="BV782" s="250"/>
      <c r="BW782" s="250"/>
      <c r="BX782" s="250"/>
      <c r="BY782" s="250"/>
      <c r="BZ782" s="250"/>
      <c r="CA782" s="250"/>
      <c r="CB782" s="250"/>
      <c r="CC782" s="250"/>
      <c r="CD782" s="250"/>
      <c r="CE782" s="250"/>
      <c r="CF782" s="250"/>
      <c r="CG782" s="250"/>
      <c r="CH782" s="250"/>
      <c r="CI782" s="408"/>
      <c r="CJ782" s="408"/>
      <c r="CK782" s="408"/>
      <c r="CL782" s="408"/>
      <c r="CM782" s="408"/>
      <c r="CN782" s="408"/>
      <c r="CO782" s="408"/>
      <c r="CP782" s="408"/>
      <c r="CQ782" s="408"/>
      <c r="CR782" s="408"/>
      <c r="CS782" s="408"/>
      <c r="CT782" s="250"/>
      <c r="CU782" s="250"/>
      <c r="CV782" s="250"/>
      <c r="CW782" s="250"/>
      <c r="CX782" s="408"/>
      <c r="CY782" s="408"/>
      <c r="CZ782" s="408"/>
      <c r="DA782" s="408"/>
      <c r="DB782" s="408"/>
      <c r="DC782" s="408"/>
      <c r="DD782" s="408"/>
      <c r="DE782" s="250"/>
      <c r="DF782" s="408"/>
      <c r="DG782" s="408"/>
      <c r="DH782" s="408"/>
      <c r="DI782" s="408"/>
      <c r="DJ782" s="408"/>
      <c r="DK782" s="408"/>
      <c r="DL782" s="408"/>
      <c r="DM782" s="250"/>
      <c r="DN782" s="250"/>
      <c r="DO782" s="250"/>
      <c r="DP782" s="250"/>
      <c r="DQ782" s="250"/>
      <c r="DR782" s="250"/>
      <c r="DS782" s="250"/>
      <c r="DT782" s="250"/>
      <c r="DU782" s="250"/>
      <c r="DV782" s="250"/>
      <c r="DW782" s="252"/>
      <c r="DX782" s="252"/>
      <c r="DY782" s="250"/>
      <c r="DZ782" s="250"/>
      <c r="EA782" s="260"/>
      <c r="EB782" s="260"/>
      <c r="EC782" s="260"/>
      <c r="ED782" s="260"/>
      <c r="EG782" s="396"/>
      <c r="EH782" s="396"/>
    </row>
    <row r="783" spans="1:138" s="3" customFormat="1" x14ac:dyDescent="0.25">
      <c r="A783" s="407"/>
      <c r="B783" s="407"/>
      <c r="C783" s="250"/>
      <c r="D783" s="250"/>
      <c r="E783" s="250"/>
      <c r="F783" s="250"/>
      <c r="G783" s="250"/>
      <c r="H783" s="250"/>
      <c r="I783" s="250"/>
      <c r="J783" s="250"/>
      <c r="K783" s="250"/>
      <c r="L783" s="250"/>
      <c r="M783" s="250"/>
      <c r="N783" s="250"/>
      <c r="O783" s="250"/>
      <c r="P783" s="250"/>
      <c r="Q783" s="250"/>
      <c r="R783" s="250"/>
      <c r="S783" s="250"/>
      <c r="T783" s="250"/>
      <c r="U783" s="250"/>
      <c r="V783" s="250"/>
      <c r="W783" s="250"/>
      <c r="X783" s="250"/>
      <c r="Y783" s="250"/>
      <c r="Z783" s="250"/>
      <c r="AA783" s="250"/>
      <c r="AB783" s="250"/>
      <c r="AC783" s="250"/>
      <c r="AD783" s="250"/>
      <c r="AE783" s="250"/>
      <c r="AF783" s="250"/>
      <c r="AG783" s="250"/>
      <c r="AH783" s="250"/>
      <c r="AI783" s="250"/>
      <c r="AJ783" s="250"/>
      <c r="AK783" s="250"/>
      <c r="AL783" s="250"/>
      <c r="AM783" s="408"/>
      <c r="AN783" s="408"/>
      <c r="AO783" s="408"/>
      <c r="AP783" s="408"/>
      <c r="AQ783" s="408"/>
      <c r="AR783" s="408"/>
      <c r="AS783" s="408"/>
      <c r="AT783" s="408"/>
      <c r="AU783" s="408"/>
      <c r="AV783" s="408"/>
      <c r="AW783" s="408"/>
      <c r="AX783" s="250"/>
      <c r="AY783" s="250"/>
      <c r="AZ783" s="250"/>
      <c r="BA783" s="250"/>
      <c r="BB783" s="250"/>
      <c r="BC783" s="250"/>
      <c r="BD783" s="250"/>
      <c r="BE783" s="250"/>
      <c r="BF783" s="250"/>
      <c r="BG783" s="250"/>
      <c r="BH783" s="250"/>
      <c r="BI783" s="250"/>
      <c r="BJ783" s="250"/>
      <c r="BK783" s="250"/>
      <c r="BL783" s="250"/>
      <c r="BM783" s="250"/>
      <c r="BN783" s="250"/>
      <c r="BO783" s="250"/>
      <c r="BP783" s="250"/>
      <c r="BQ783" s="250"/>
      <c r="BR783" s="250"/>
      <c r="BS783" s="250"/>
      <c r="BT783" s="250"/>
      <c r="BU783" s="250"/>
      <c r="BV783" s="250"/>
      <c r="BW783" s="250"/>
      <c r="BX783" s="250"/>
      <c r="BY783" s="250"/>
      <c r="BZ783" s="250"/>
      <c r="CA783" s="250"/>
      <c r="CB783" s="250"/>
      <c r="CC783" s="250"/>
      <c r="CD783" s="250"/>
      <c r="CE783" s="250"/>
      <c r="CF783" s="250"/>
      <c r="CG783" s="250"/>
      <c r="CH783" s="250"/>
      <c r="CI783" s="408"/>
      <c r="CJ783" s="408"/>
      <c r="CK783" s="408"/>
      <c r="CL783" s="408"/>
      <c r="CM783" s="408"/>
      <c r="CN783" s="408"/>
      <c r="CO783" s="408"/>
      <c r="CP783" s="408"/>
      <c r="CQ783" s="408"/>
      <c r="CR783" s="408"/>
      <c r="CS783" s="408"/>
      <c r="CT783" s="250"/>
      <c r="CU783" s="250"/>
      <c r="CV783" s="250"/>
      <c r="CW783" s="250"/>
      <c r="CX783" s="408"/>
      <c r="CY783" s="408"/>
      <c r="CZ783" s="408"/>
      <c r="DA783" s="408"/>
      <c r="DB783" s="408"/>
      <c r="DC783" s="408"/>
      <c r="DD783" s="408"/>
      <c r="DE783" s="250"/>
      <c r="DF783" s="408"/>
      <c r="DG783" s="408"/>
      <c r="DH783" s="408"/>
      <c r="DI783" s="408"/>
      <c r="DJ783" s="408"/>
      <c r="DK783" s="408"/>
      <c r="DL783" s="408"/>
      <c r="DM783" s="250"/>
      <c r="DN783" s="250"/>
      <c r="DO783" s="250"/>
      <c r="DP783" s="250"/>
      <c r="DQ783" s="250"/>
      <c r="DR783" s="250"/>
      <c r="DS783" s="250"/>
      <c r="DT783" s="250"/>
      <c r="DU783" s="250"/>
      <c r="DV783" s="250"/>
      <c r="DW783" s="252"/>
      <c r="DX783" s="252"/>
      <c r="DY783" s="250"/>
      <c r="DZ783" s="250"/>
      <c r="EA783" s="260"/>
      <c r="EB783" s="260"/>
      <c r="EC783" s="260"/>
      <c r="ED783" s="260"/>
      <c r="EG783" s="396"/>
      <c r="EH783" s="396"/>
    </row>
    <row r="784" spans="1:138" s="3" customFormat="1" x14ac:dyDescent="0.25">
      <c r="A784" s="407"/>
      <c r="B784" s="407"/>
      <c r="C784" s="250"/>
      <c r="D784" s="250"/>
      <c r="E784" s="250"/>
      <c r="F784" s="250"/>
      <c r="G784" s="250"/>
      <c r="H784" s="250"/>
      <c r="I784" s="250"/>
      <c r="J784" s="250"/>
      <c r="K784" s="250"/>
      <c r="L784" s="250"/>
      <c r="M784" s="250"/>
      <c r="N784" s="250"/>
      <c r="O784" s="250"/>
      <c r="P784" s="250"/>
      <c r="Q784" s="250"/>
      <c r="R784" s="250"/>
      <c r="S784" s="250"/>
      <c r="T784" s="250"/>
      <c r="U784" s="250"/>
      <c r="V784" s="250"/>
      <c r="W784" s="250"/>
      <c r="X784" s="250"/>
      <c r="Y784" s="250"/>
      <c r="Z784" s="250"/>
      <c r="AA784" s="250"/>
      <c r="AB784" s="250"/>
      <c r="AC784" s="250"/>
      <c r="AD784" s="250"/>
      <c r="AE784" s="250"/>
      <c r="AF784" s="250"/>
      <c r="AG784" s="250"/>
      <c r="AH784" s="250"/>
      <c r="AI784" s="250"/>
      <c r="AJ784" s="250"/>
      <c r="AK784" s="250"/>
      <c r="AL784" s="250"/>
      <c r="AM784" s="408"/>
      <c r="AN784" s="408"/>
      <c r="AO784" s="408"/>
      <c r="AP784" s="408"/>
      <c r="AQ784" s="408"/>
      <c r="AR784" s="408"/>
      <c r="AS784" s="408"/>
      <c r="AT784" s="408"/>
      <c r="AU784" s="408"/>
      <c r="AV784" s="408"/>
      <c r="AW784" s="408"/>
      <c r="AX784" s="250"/>
      <c r="AY784" s="250"/>
      <c r="AZ784" s="250"/>
      <c r="BA784" s="250"/>
      <c r="BB784" s="250"/>
      <c r="BC784" s="250"/>
      <c r="BD784" s="250"/>
      <c r="BE784" s="250"/>
      <c r="BF784" s="250"/>
      <c r="BG784" s="250"/>
      <c r="BH784" s="250"/>
      <c r="BI784" s="250"/>
      <c r="BJ784" s="250"/>
      <c r="BK784" s="250"/>
      <c r="BL784" s="250"/>
      <c r="BM784" s="250"/>
      <c r="BN784" s="250"/>
      <c r="BO784" s="250"/>
      <c r="BP784" s="250"/>
      <c r="BQ784" s="250"/>
      <c r="BR784" s="250"/>
      <c r="BS784" s="250"/>
      <c r="BT784" s="250"/>
      <c r="BU784" s="250"/>
      <c r="BV784" s="250"/>
      <c r="BW784" s="250"/>
      <c r="BX784" s="250"/>
      <c r="BY784" s="250"/>
      <c r="BZ784" s="250"/>
      <c r="CA784" s="250"/>
      <c r="CB784" s="250"/>
      <c r="CC784" s="250"/>
      <c r="CD784" s="250"/>
      <c r="CE784" s="250"/>
      <c r="CF784" s="250"/>
      <c r="CG784" s="250"/>
      <c r="CH784" s="250"/>
      <c r="CI784" s="408"/>
      <c r="CJ784" s="408"/>
      <c r="CK784" s="408"/>
      <c r="CL784" s="408"/>
      <c r="CM784" s="408"/>
      <c r="CN784" s="408"/>
      <c r="CO784" s="408"/>
      <c r="CP784" s="408"/>
      <c r="CQ784" s="408"/>
      <c r="CR784" s="408"/>
      <c r="CS784" s="408"/>
      <c r="CT784" s="250"/>
      <c r="CU784" s="250"/>
      <c r="CV784" s="250"/>
      <c r="CW784" s="250"/>
      <c r="CX784" s="408"/>
      <c r="CY784" s="408"/>
      <c r="CZ784" s="408"/>
      <c r="DA784" s="408"/>
      <c r="DB784" s="408"/>
      <c r="DC784" s="408"/>
      <c r="DD784" s="408"/>
      <c r="DE784" s="250"/>
      <c r="DF784" s="408"/>
      <c r="DG784" s="408"/>
      <c r="DH784" s="408"/>
      <c r="DI784" s="408"/>
      <c r="DJ784" s="408"/>
      <c r="DK784" s="408"/>
      <c r="DL784" s="408"/>
      <c r="DM784" s="250"/>
      <c r="DN784" s="250"/>
      <c r="DO784" s="250"/>
      <c r="DP784" s="250"/>
      <c r="DQ784" s="250"/>
      <c r="DR784" s="250"/>
      <c r="DS784" s="250"/>
      <c r="DT784" s="250"/>
      <c r="DU784" s="250"/>
      <c r="DV784" s="250"/>
      <c r="DW784" s="252"/>
      <c r="DX784" s="252"/>
      <c r="DY784" s="250"/>
      <c r="DZ784" s="250"/>
      <c r="EA784" s="260"/>
      <c r="EB784" s="260"/>
      <c r="EC784" s="260"/>
      <c r="ED784" s="260"/>
      <c r="EG784" s="396"/>
      <c r="EH784" s="396"/>
    </row>
    <row r="785" spans="1:138" s="3" customFormat="1" x14ac:dyDescent="0.25">
      <c r="A785" s="407"/>
      <c r="B785" s="407"/>
      <c r="C785" s="250"/>
      <c r="D785" s="250"/>
      <c r="E785" s="250"/>
      <c r="F785" s="250"/>
      <c r="G785" s="250"/>
      <c r="H785" s="250"/>
      <c r="I785" s="250"/>
      <c r="J785" s="250"/>
      <c r="K785" s="250"/>
      <c r="L785" s="250"/>
      <c r="M785" s="250"/>
      <c r="N785" s="250"/>
      <c r="O785" s="250"/>
      <c r="P785" s="250"/>
      <c r="Q785" s="250"/>
      <c r="R785" s="250"/>
      <c r="S785" s="250"/>
      <c r="T785" s="250"/>
      <c r="U785" s="250"/>
      <c r="V785" s="250"/>
      <c r="W785" s="250"/>
      <c r="X785" s="250"/>
      <c r="Y785" s="250"/>
      <c r="Z785" s="250"/>
      <c r="AA785" s="250"/>
      <c r="AB785" s="250"/>
      <c r="AC785" s="250"/>
      <c r="AD785" s="250"/>
      <c r="AE785" s="250"/>
      <c r="AF785" s="250"/>
      <c r="AG785" s="250"/>
      <c r="AH785" s="250"/>
      <c r="AI785" s="250"/>
      <c r="AJ785" s="250"/>
      <c r="AK785" s="250"/>
      <c r="AL785" s="250"/>
      <c r="AM785" s="408"/>
      <c r="AN785" s="408"/>
      <c r="AO785" s="408"/>
      <c r="AP785" s="408"/>
      <c r="AQ785" s="408"/>
      <c r="AR785" s="408"/>
      <c r="AS785" s="408"/>
      <c r="AT785" s="408"/>
      <c r="AU785" s="408"/>
      <c r="AV785" s="408"/>
      <c r="AW785" s="408"/>
      <c r="AX785" s="250"/>
      <c r="AY785" s="250"/>
      <c r="AZ785" s="250"/>
      <c r="BA785" s="250"/>
      <c r="BB785" s="250"/>
      <c r="BC785" s="250"/>
      <c r="BD785" s="250"/>
      <c r="BE785" s="250"/>
      <c r="BF785" s="250"/>
      <c r="BG785" s="250"/>
      <c r="BH785" s="250"/>
      <c r="BI785" s="250"/>
      <c r="BJ785" s="250"/>
      <c r="BK785" s="250"/>
      <c r="BL785" s="250"/>
      <c r="BM785" s="250"/>
      <c r="BN785" s="250"/>
      <c r="BO785" s="250"/>
      <c r="BP785" s="250"/>
      <c r="BQ785" s="250"/>
      <c r="BR785" s="250"/>
      <c r="BS785" s="250"/>
      <c r="BT785" s="250"/>
      <c r="BU785" s="250"/>
      <c r="BV785" s="250"/>
      <c r="BW785" s="250"/>
      <c r="BX785" s="250"/>
      <c r="BY785" s="250"/>
      <c r="BZ785" s="250"/>
      <c r="CA785" s="250"/>
      <c r="CB785" s="250"/>
      <c r="CC785" s="250"/>
      <c r="CD785" s="250"/>
      <c r="CE785" s="250"/>
      <c r="CF785" s="250"/>
      <c r="CG785" s="250"/>
      <c r="CH785" s="250"/>
      <c r="CI785" s="408"/>
      <c r="CJ785" s="408"/>
      <c r="CK785" s="408"/>
      <c r="CL785" s="408"/>
      <c r="CM785" s="408"/>
      <c r="CN785" s="408"/>
      <c r="CO785" s="408"/>
      <c r="CP785" s="408"/>
      <c r="CQ785" s="408"/>
      <c r="CR785" s="408"/>
      <c r="CS785" s="408"/>
      <c r="CT785" s="250"/>
      <c r="CU785" s="250"/>
      <c r="CV785" s="250"/>
      <c r="CW785" s="250"/>
      <c r="CX785" s="408"/>
      <c r="CY785" s="408"/>
      <c r="CZ785" s="408"/>
      <c r="DA785" s="408"/>
      <c r="DB785" s="408"/>
      <c r="DC785" s="408"/>
      <c r="DD785" s="408"/>
      <c r="DE785" s="250"/>
      <c r="DF785" s="408"/>
      <c r="DG785" s="408"/>
      <c r="DH785" s="408"/>
      <c r="DI785" s="408"/>
      <c r="DJ785" s="408"/>
      <c r="DK785" s="408"/>
      <c r="DL785" s="408"/>
      <c r="DM785" s="250"/>
      <c r="DN785" s="250"/>
      <c r="DO785" s="250"/>
      <c r="DP785" s="250"/>
      <c r="DQ785" s="250"/>
      <c r="DR785" s="250"/>
      <c r="DS785" s="250"/>
      <c r="DT785" s="250"/>
      <c r="DU785" s="250"/>
      <c r="DV785" s="250"/>
      <c r="DW785" s="252"/>
      <c r="DX785" s="252"/>
      <c r="DY785" s="250"/>
      <c r="DZ785" s="250"/>
      <c r="EA785" s="260"/>
      <c r="EB785" s="260"/>
      <c r="EC785" s="260"/>
      <c r="ED785" s="260"/>
      <c r="EG785" s="396"/>
      <c r="EH785" s="396"/>
    </row>
    <row r="786" spans="1:138" s="3" customFormat="1" x14ac:dyDescent="0.25">
      <c r="A786" s="407"/>
      <c r="B786" s="407"/>
      <c r="C786" s="250"/>
      <c r="D786" s="250"/>
      <c r="E786" s="250"/>
      <c r="F786" s="250"/>
      <c r="G786" s="250"/>
      <c r="H786" s="250"/>
      <c r="I786" s="250"/>
      <c r="J786" s="250"/>
      <c r="K786" s="250"/>
      <c r="L786" s="250"/>
      <c r="M786" s="250"/>
      <c r="N786" s="250"/>
      <c r="O786" s="250"/>
      <c r="P786" s="250"/>
      <c r="Q786" s="250"/>
      <c r="R786" s="250"/>
      <c r="S786" s="250"/>
      <c r="T786" s="250"/>
      <c r="U786" s="250"/>
      <c r="V786" s="250"/>
      <c r="W786" s="250"/>
      <c r="X786" s="250"/>
      <c r="Y786" s="250"/>
      <c r="Z786" s="250"/>
      <c r="AA786" s="250"/>
      <c r="AB786" s="250"/>
      <c r="AC786" s="250"/>
      <c r="AD786" s="250"/>
      <c r="AE786" s="250"/>
      <c r="AF786" s="250"/>
      <c r="AG786" s="250"/>
      <c r="AH786" s="250"/>
      <c r="AI786" s="250"/>
      <c r="AJ786" s="250"/>
      <c r="AK786" s="250"/>
      <c r="AL786" s="250"/>
      <c r="AM786" s="408"/>
      <c r="AN786" s="408"/>
      <c r="AO786" s="408"/>
      <c r="AP786" s="408"/>
      <c r="AQ786" s="408"/>
      <c r="AR786" s="408"/>
      <c r="AS786" s="408"/>
      <c r="AT786" s="408"/>
      <c r="AU786" s="408"/>
      <c r="AV786" s="408"/>
      <c r="AW786" s="408"/>
      <c r="AX786" s="250"/>
      <c r="AY786" s="250"/>
      <c r="AZ786" s="250"/>
      <c r="BA786" s="250"/>
      <c r="BB786" s="250"/>
      <c r="BC786" s="250"/>
      <c r="BD786" s="250"/>
      <c r="BE786" s="250"/>
      <c r="BF786" s="250"/>
      <c r="BG786" s="250"/>
      <c r="BH786" s="250"/>
      <c r="BI786" s="250"/>
      <c r="BJ786" s="250"/>
      <c r="BK786" s="250"/>
      <c r="BL786" s="250"/>
      <c r="BM786" s="250"/>
      <c r="BN786" s="250"/>
      <c r="BO786" s="250"/>
      <c r="BP786" s="250"/>
      <c r="BQ786" s="250"/>
      <c r="BR786" s="250"/>
      <c r="BS786" s="250"/>
      <c r="BT786" s="250"/>
      <c r="BU786" s="250"/>
      <c r="BV786" s="250"/>
      <c r="BW786" s="250"/>
      <c r="BX786" s="250"/>
      <c r="BY786" s="250"/>
      <c r="BZ786" s="250"/>
      <c r="CA786" s="250"/>
      <c r="CB786" s="250"/>
      <c r="CC786" s="250"/>
      <c r="CD786" s="250"/>
      <c r="CE786" s="250"/>
      <c r="CF786" s="250"/>
      <c r="CG786" s="250"/>
      <c r="CH786" s="250"/>
      <c r="CI786" s="408"/>
      <c r="CJ786" s="408"/>
      <c r="CK786" s="408"/>
      <c r="CL786" s="408"/>
      <c r="CM786" s="408"/>
      <c r="CN786" s="408"/>
      <c r="CO786" s="408"/>
      <c r="CP786" s="408"/>
      <c r="CQ786" s="408"/>
      <c r="CR786" s="408"/>
      <c r="CS786" s="408"/>
      <c r="CT786" s="250"/>
      <c r="CU786" s="250"/>
      <c r="CV786" s="250"/>
      <c r="CW786" s="250"/>
      <c r="CX786" s="408"/>
      <c r="CY786" s="408"/>
      <c r="CZ786" s="408"/>
      <c r="DA786" s="408"/>
      <c r="DB786" s="408"/>
      <c r="DC786" s="408"/>
      <c r="DD786" s="408"/>
      <c r="DE786" s="250"/>
      <c r="DF786" s="408"/>
      <c r="DG786" s="408"/>
      <c r="DH786" s="408"/>
      <c r="DI786" s="408"/>
      <c r="DJ786" s="408"/>
      <c r="DK786" s="408"/>
      <c r="DL786" s="408"/>
      <c r="DM786" s="250"/>
      <c r="DN786" s="250"/>
      <c r="DO786" s="250"/>
      <c r="DP786" s="250"/>
      <c r="DQ786" s="250"/>
      <c r="DR786" s="250"/>
      <c r="DS786" s="250"/>
      <c r="DT786" s="250"/>
      <c r="DU786" s="250"/>
      <c r="DV786" s="250"/>
      <c r="DW786" s="252"/>
      <c r="DX786" s="252"/>
      <c r="DY786" s="250"/>
      <c r="DZ786" s="250"/>
      <c r="EA786" s="260"/>
      <c r="EB786" s="260"/>
      <c r="EC786" s="260"/>
      <c r="ED786" s="260"/>
      <c r="EG786" s="396"/>
      <c r="EH786" s="396"/>
    </row>
    <row r="787" spans="1:138" s="3" customFormat="1" x14ac:dyDescent="0.25">
      <c r="A787" s="407"/>
      <c r="B787" s="407"/>
      <c r="C787" s="250"/>
      <c r="D787" s="250"/>
      <c r="E787" s="250"/>
      <c r="F787" s="250"/>
      <c r="G787" s="250"/>
      <c r="H787" s="250"/>
      <c r="I787" s="250"/>
      <c r="J787" s="250"/>
      <c r="K787" s="250"/>
      <c r="L787" s="250"/>
      <c r="M787" s="250"/>
      <c r="N787" s="250"/>
      <c r="O787" s="250"/>
      <c r="P787" s="250"/>
      <c r="Q787" s="250"/>
      <c r="R787" s="250"/>
      <c r="S787" s="250"/>
      <c r="T787" s="250"/>
      <c r="U787" s="250"/>
      <c r="V787" s="250"/>
      <c r="W787" s="250"/>
      <c r="X787" s="250"/>
      <c r="Y787" s="250"/>
      <c r="Z787" s="250"/>
      <c r="AA787" s="250"/>
      <c r="AB787" s="250"/>
      <c r="AC787" s="250"/>
      <c r="AD787" s="250"/>
      <c r="AE787" s="250"/>
      <c r="AF787" s="250"/>
      <c r="AG787" s="250"/>
      <c r="AH787" s="250"/>
      <c r="AI787" s="250"/>
      <c r="AJ787" s="250"/>
      <c r="AK787" s="250"/>
      <c r="AL787" s="250"/>
      <c r="AM787" s="408"/>
      <c r="AN787" s="408"/>
      <c r="AO787" s="408"/>
      <c r="AP787" s="408"/>
      <c r="AQ787" s="408"/>
      <c r="AR787" s="408"/>
      <c r="AS787" s="408"/>
      <c r="AT787" s="408"/>
      <c r="AU787" s="408"/>
      <c r="AV787" s="408"/>
      <c r="AW787" s="408"/>
      <c r="AX787" s="250"/>
      <c r="AY787" s="250"/>
      <c r="AZ787" s="250"/>
      <c r="BA787" s="250"/>
      <c r="BB787" s="250"/>
      <c r="BC787" s="250"/>
      <c r="BD787" s="250"/>
      <c r="BE787" s="250"/>
      <c r="BF787" s="250"/>
      <c r="BG787" s="250"/>
      <c r="BH787" s="250"/>
      <c r="BI787" s="250"/>
      <c r="BJ787" s="250"/>
      <c r="BK787" s="250"/>
      <c r="BL787" s="250"/>
      <c r="BM787" s="250"/>
      <c r="BN787" s="250"/>
      <c r="BO787" s="250"/>
      <c r="BP787" s="250"/>
      <c r="BQ787" s="250"/>
      <c r="BR787" s="250"/>
      <c r="BS787" s="250"/>
      <c r="BT787" s="250"/>
      <c r="BU787" s="250"/>
      <c r="BV787" s="250"/>
      <c r="BW787" s="250"/>
      <c r="BX787" s="250"/>
      <c r="BY787" s="250"/>
      <c r="BZ787" s="250"/>
      <c r="CA787" s="250"/>
      <c r="CB787" s="250"/>
      <c r="CC787" s="250"/>
      <c r="CD787" s="250"/>
      <c r="CE787" s="250"/>
      <c r="CF787" s="250"/>
      <c r="CG787" s="250"/>
      <c r="CH787" s="250"/>
      <c r="CI787" s="408"/>
      <c r="CJ787" s="408"/>
      <c r="CK787" s="408"/>
      <c r="CL787" s="408"/>
      <c r="CM787" s="408"/>
      <c r="CN787" s="408"/>
      <c r="CO787" s="408"/>
      <c r="CP787" s="408"/>
      <c r="CQ787" s="408"/>
      <c r="CR787" s="408"/>
      <c r="CS787" s="408"/>
      <c r="CT787" s="250"/>
      <c r="CU787" s="250"/>
      <c r="CV787" s="250"/>
      <c r="CW787" s="250"/>
      <c r="CX787" s="408"/>
      <c r="CY787" s="408"/>
      <c r="CZ787" s="408"/>
      <c r="DA787" s="408"/>
      <c r="DB787" s="408"/>
      <c r="DC787" s="408"/>
      <c r="DD787" s="408"/>
      <c r="DE787" s="250"/>
      <c r="DF787" s="408"/>
      <c r="DG787" s="408"/>
      <c r="DH787" s="408"/>
      <c r="DI787" s="408"/>
      <c r="DJ787" s="408"/>
      <c r="DK787" s="408"/>
      <c r="DL787" s="408"/>
      <c r="DM787" s="250"/>
      <c r="DN787" s="250"/>
      <c r="DO787" s="250"/>
      <c r="DP787" s="250"/>
      <c r="DQ787" s="250"/>
      <c r="DR787" s="250"/>
      <c r="DS787" s="250"/>
      <c r="DT787" s="250"/>
      <c r="DU787" s="250"/>
      <c r="DV787" s="250"/>
      <c r="DW787" s="252"/>
      <c r="DX787" s="252"/>
      <c r="DY787" s="250"/>
      <c r="DZ787" s="250"/>
      <c r="EA787" s="260"/>
      <c r="EB787" s="260"/>
      <c r="EC787" s="260"/>
      <c r="ED787" s="260"/>
      <c r="EG787" s="396"/>
      <c r="EH787" s="396"/>
    </row>
    <row r="788" spans="1:138" s="3" customFormat="1" x14ac:dyDescent="0.25">
      <c r="A788" s="407"/>
      <c r="B788" s="407"/>
      <c r="C788" s="250"/>
      <c r="D788" s="250"/>
      <c r="E788" s="250"/>
      <c r="F788" s="250"/>
      <c r="G788" s="250"/>
      <c r="H788" s="250"/>
      <c r="I788" s="250"/>
      <c r="J788" s="250"/>
      <c r="K788" s="250"/>
      <c r="L788" s="250"/>
      <c r="M788" s="250"/>
      <c r="N788" s="250"/>
      <c r="O788" s="250"/>
      <c r="P788" s="250"/>
      <c r="Q788" s="250"/>
      <c r="R788" s="250"/>
      <c r="S788" s="250"/>
      <c r="T788" s="250"/>
      <c r="U788" s="250"/>
      <c r="V788" s="250"/>
      <c r="W788" s="250"/>
      <c r="X788" s="250"/>
      <c r="Y788" s="250"/>
      <c r="Z788" s="250"/>
      <c r="AA788" s="250"/>
      <c r="AB788" s="250"/>
      <c r="AC788" s="250"/>
      <c r="AD788" s="250"/>
      <c r="AE788" s="250"/>
      <c r="AF788" s="250"/>
      <c r="AG788" s="250"/>
      <c r="AH788" s="250"/>
      <c r="AI788" s="250"/>
      <c r="AJ788" s="250"/>
      <c r="AK788" s="250"/>
      <c r="AL788" s="250"/>
      <c r="AM788" s="408"/>
      <c r="AN788" s="408"/>
      <c r="AO788" s="408"/>
      <c r="AP788" s="408"/>
      <c r="AQ788" s="408"/>
      <c r="AR788" s="408"/>
      <c r="AS788" s="408"/>
      <c r="AT788" s="408"/>
      <c r="AU788" s="408"/>
      <c r="AV788" s="408"/>
      <c r="AW788" s="408"/>
      <c r="AX788" s="250"/>
      <c r="AY788" s="250"/>
      <c r="AZ788" s="250"/>
      <c r="BA788" s="250"/>
      <c r="BB788" s="250"/>
      <c r="BC788" s="250"/>
      <c r="BD788" s="250"/>
      <c r="BE788" s="250"/>
      <c r="BF788" s="250"/>
      <c r="BG788" s="250"/>
      <c r="BH788" s="250"/>
      <c r="BI788" s="250"/>
      <c r="BJ788" s="250"/>
      <c r="BK788" s="250"/>
      <c r="BL788" s="250"/>
      <c r="BM788" s="250"/>
      <c r="BN788" s="250"/>
      <c r="BO788" s="250"/>
      <c r="BP788" s="250"/>
      <c r="BQ788" s="250"/>
      <c r="BR788" s="250"/>
      <c r="BS788" s="250"/>
      <c r="BT788" s="250"/>
      <c r="BU788" s="250"/>
      <c r="BV788" s="250"/>
      <c r="BW788" s="250"/>
      <c r="BX788" s="250"/>
      <c r="BY788" s="250"/>
      <c r="BZ788" s="250"/>
      <c r="CA788" s="250"/>
      <c r="CB788" s="250"/>
      <c r="CC788" s="250"/>
      <c r="CD788" s="250"/>
      <c r="CE788" s="250"/>
      <c r="CF788" s="250"/>
      <c r="CG788" s="250"/>
      <c r="CH788" s="250"/>
      <c r="CI788" s="408"/>
      <c r="CJ788" s="408"/>
      <c r="CK788" s="408"/>
      <c r="CL788" s="408"/>
      <c r="CM788" s="408"/>
      <c r="CN788" s="408"/>
      <c r="CO788" s="408"/>
      <c r="CP788" s="408"/>
      <c r="CQ788" s="408"/>
      <c r="CR788" s="408"/>
      <c r="CS788" s="408"/>
      <c r="CT788" s="250"/>
      <c r="CU788" s="250"/>
      <c r="CV788" s="250"/>
      <c r="CW788" s="250"/>
      <c r="CX788" s="408"/>
      <c r="CY788" s="408"/>
      <c r="CZ788" s="408"/>
      <c r="DA788" s="408"/>
      <c r="DB788" s="408"/>
      <c r="DC788" s="408"/>
      <c r="DD788" s="408"/>
      <c r="DE788" s="250"/>
      <c r="DF788" s="408"/>
      <c r="DG788" s="408"/>
      <c r="DH788" s="408"/>
      <c r="DI788" s="408"/>
      <c r="DJ788" s="408"/>
      <c r="DK788" s="408"/>
      <c r="DL788" s="408"/>
      <c r="DM788" s="250"/>
      <c r="DN788" s="250"/>
      <c r="DO788" s="250"/>
      <c r="DP788" s="250"/>
      <c r="DQ788" s="250"/>
      <c r="DR788" s="250"/>
      <c r="DS788" s="250"/>
      <c r="DT788" s="250"/>
      <c r="DU788" s="250"/>
      <c r="DV788" s="250"/>
      <c r="DW788" s="252"/>
      <c r="DX788" s="252"/>
      <c r="DY788" s="250"/>
      <c r="DZ788" s="250"/>
      <c r="EA788" s="260"/>
      <c r="EB788" s="260"/>
      <c r="EC788" s="260"/>
      <c r="ED788" s="260"/>
      <c r="EG788" s="396"/>
      <c r="EH788" s="396"/>
    </row>
    <row r="789" spans="1:138" s="3" customFormat="1" x14ac:dyDescent="0.25">
      <c r="A789" s="407"/>
      <c r="B789" s="407"/>
      <c r="C789" s="250"/>
      <c r="D789" s="250"/>
      <c r="E789" s="250"/>
      <c r="F789" s="250"/>
      <c r="G789" s="250"/>
      <c r="H789" s="250"/>
      <c r="I789" s="250"/>
      <c r="J789" s="250"/>
      <c r="K789" s="250"/>
      <c r="L789" s="250"/>
      <c r="M789" s="250"/>
      <c r="N789" s="250"/>
      <c r="O789" s="250"/>
      <c r="P789" s="250"/>
      <c r="Q789" s="250"/>
      <c r="R789" s="250"/>
      <c r="S789" s="250"/>
      <c r="T789" s="250"/>
      <c r="U789" s="250"/>
      <c r="V789" s="250"/>
      <c r="W789" s="250"/>
      <c r="X789" s="250"/>
      <c r="Y789" s="250"/>
      <c r="Z789" s="250"/>
      <c r="AA789" s="250"/>
      <c r="AB789" s="250"/>
      <c r="AC789" s="250"/>
      <c r="AD789" s="250"/>
      <c r="AE789" s="250"/>
      <c r="AF789" s="250"/>
      <c r="AG789" s="250"/>
      <c r="AH789" s="250"/>
      <c r="AI789" s="250"/>
      <c r="AJ789" s="250"/>
      <c r="AK789" s="250"/>
      <c r="AL789" s="250"/>
      <c r="AM789" s="408"/>
      <c r="AN789" s="408"/>
      <c r="AO789" s="408"/>
      <c r="AP789" s="408"/>
      <c r="AQ789" s="408"/>
      <c r="AR789" s="408"/>
      <c r="AS789" s="408"/>
      <c r="AT789" s="408"/>
      <c r="AU789" s="408"/>
      <c r="AV789" s="408"/>
      <c r="AW789" s="408"/>
      <c r="AX789" s="250"/>
      <c r="AY789" s="250"/>
      <c r="AZ789" s="250"/>
      <c r="BA789" s="250"/>
      <c r="BB789" s="250"/>
      <c r="BC789" s="250"/>
      <c r="BD789" s="250"/>
      <c r="BE789" s="250"/>
      <c r="BF789" s="250"/>
      <c r="BG789" s="250"/>
      <c r="BH789" s="250"/>
      <c r="BI789" s="250"/>
      <c r="BJ789" s="250"/>
      <c r="BK789" s="250"/>
      <c r="BL789" s="250"/>
      <c r="BM789" s="250"/>
      <c r="BN789" s="250"/>
      <c r="BO789" s="250"/>
      <c r="BP789" s="250"/>
      <c r="BQ789" s="250"/>
      <c r="BR789" s="250"/>
      <c r="BS789" s="250"/>
      <c r="BT789" s="250"/>
      <c r="BU789" s="250"/>
      <c r="BV789" s="250"/>
      <c r="BW789" s="250"/>
      <c r="BX789" s="250"/>
      <c r="BY789" s="250"/>
      <c r="BZ789" s="250"/>
      <c r="CA789" s="250"/>
      <c r="CB789" s="250"/>
      <c r="CC789" s="250"/>
      <c r="CD789" s="250"/>
      <c r="CE789" s="250"/>
      <c r="CF789" s="250"/>
      <c r="CG789" s="250"/>
      <c r="CH789" s="250"/>
      <c r="CI789" s="408"/>
      <c r="CJ789" s="408"/>
      <c r="CK789" s="408"/>
      <c r="CL789" s="408"/>
      <c r="CM789" s="408"/>
      <c r="CN789" s="408"/>
      <c r="CO789" s="408"/>
      <c r="CP789" s="408"/>
      <c r="CQ789" s="408"/>
      <c r="CR789" s="408"/>
      <c r="CS789" s="408"/>
      <c r="CT789" s="250"/>
      <c r="CU789" s="250"/>
      <c r="CV789" s="250"/>
      <c r="CW789" s="250"/>
      <c r="CX789" s="408"/>
      <c r="CY789" s="408"/>
      <c r="CZ789" s="408"/>
      <c r="DA789" s="408"/>
      <c r="DB789" s="408"/>
      <c r="DC789" s="408"/>
      <c r="DD789" s="408"/>
      <c r="DE789" s="250"/>
      <c r="DF789" s="408"/>
      <c r="DG789" s="408"/>
      <c r="DH789" s="408"/>
      <c r="DI789" s="408"/>
      <c r="DJ789" s="408"/>
      <c r="DK789" s="408"/>
      <c r="DL789" s="408"/>
      <c r="DM789" s="250"/>
      <c r="DN789" s="250"/>
      <c r="DO789" s="250"/>
      <c r="DP789" s="250"/>
      <c r="DQ789" s="250"/>
      <c r="DR789" s="250"/>
      <c r="DS789" s="250"/>
      <c r="DT789" s="250"/>
      <c r="DU789" s="250"/>
      <c r="DV789" s="250"/>
      <c r="DW789" s="252"/>
      <c r="DX789" s="252"/>
      <c r="DY789" s="250"/>
      <c r="DZ789" s="250"/>
      <c r="EA789" s="260"/>
      <c r="EB789" s="260"/>
      <c r="EC789" s="260"/>
      <c r="ED789" s="260"/>
      <c r="EG789" s="396"/>
      <c r="EH789" s="396"/>
    </row>
    <row r="790" spans="1:138" s="3" customFormat="1" x14ac:dyDescent="0.25">
      <c r="A790" s="407"/>
      <c r="B790" s="407"/>
      <c r="C790" s="250"/>
      <c r="D790" s="250"/>
      <c r="E790" s="250"/>
      <c r="F790" s="250"/>
      <c r="G790" s="250"/>
      <c r="H790" s="250"/>
      <c r="I790" s="250"/>
      <c r="J790" s="250"/>
      <c r="K790" s="250"/>
      <c r="L790" s="250"/>
      <c r="M790" s="250"/>
      <c r="N790" s="250"/>
      <c r="O790" s="250"/>
      <c r="P790" s="250"/>
      <c r="Q790" s="250"/>
      <c r="R790" s="250"/>
      <c r="S790" s="250"/>
      <c r="T790" s="250"/>
      <c r="U790" s="250"/>
      <c r="V790" s="250"/>
      <c r="W790" s="250"/>
      <c r="X790" s="250"/>
      <c r="Y790" s="250"/>
      <c r="Z790" s="250"/>
      <c r="AA790" s="250"/>
      <c r="AB790" s="250"/>
      <c r="AC790" s="250"/>
      <c r="AD790" s="250"/>
      <c r="AE790" s="250"/>
      <c r="AF790" s="250"/>
      <c r="AG790" s="250"/>
      <c r="AH790" s="250"/>
      <c r="AI790" s="250"/>
      <c r="AJ790" s="250"/>
      <c r="AK790" s="250"/>
      <c r="AL790" s="250"/>
      <c r="AM790" s="408"/>
      <c r="AN790" s="408"/>
      <c r="AO790" s="408"/>
      <c r="AP790" s="408"/>
      <c r="AQ790" s="408"/>
      <c r="AR790" s="408"/>
      <c r="AS790" s="408"/>
      <c r="AT790" s="408"/>
      <c r="AU790" s="408"/>
      <c r="AV790" s="408"/>
      <c r="AW790" s="408"/>
      <c r="AX790" s="250"/>
      <c r="AY790" s="250"/>
      <c r="AZ790" s="250"/>
      <c r="BA790" s="250"/>
      <c r="BB790" s="250"/>
      <c r="BC790" s="250"/>
      <c r="BD790" s="250"/>
      <c r="BE790" s="250"/>
      <c r="BF790" s="250"/>
      <c r="BG790" s="250"/>
      <c r="BH790" s="250"/>
      <c r="BI790" s="250"/>
      <c r="BJ790" s="250"/>
      <c r="BK790" s="250"/>
      <c r="BL790" s="250"/>
      <c r="BM790" s="250"/>
      <c r="BN790" s="250"/>
      <c r="BO790" s="250"/>
      <c r="BP790" s="250"/>
      <c r="BQ790" s="250"/>
      <c r="BR790" s="250"/>
      <c r="BS790" s="250"/>
      <c r="BT790" s="250"/>
      <c r="BU790" s="250"/>
      <c r="BV790" s="250"/>
      <c r="BW790" s="250"/>
      <c r="BX790" s="250"/>
      <c r="BY790" s="250"/>
      <c r="BZ790" s="250"/>
      <c r="CA790" s="250"/>
      <c r="CB790" s="250"/>
      <c r="CC790" s="250"/>
      <c r="CD790" s="250"/>
      <c r="CE790" s="250"/>
      <c r="CF790" s="250"/>
      <c r="CG790" s="250"/>
      <c r="CH790" s="250"/>
      <c r="CI790" s="408"/>
      <c r="CJ790" s="408"/>
      <c r="CK790" s="408"/>
      <c r="CL790" s="408"/>
      <c r="CM790" s="408"/>
      <c r="CN790" s="408"/>
      <c r="CO790" s="408"/>
      <c r="CP790" s="408"/>
      <c r="CQ790" s="408"/>
      <c r="CR790" s="408"/>
      <c r="CS790" s="408"/>
      <c r="CT790" s="250"/>
      <c r="CU790" s="250"/>
      <c r="CV790" s="250"/>
      <c r="CW790" s="250"/>
      <c r="CX790" s="408"/>
      <c r="CY790" s="408"/>
      <c r="CZ790" s="408"/>
      <c r="DA790" s="408"/>
      <c r="DB790" s="408"/>
      <c r="DC790" s="408"/>
      <c r="DD790" s="408"/>
      <c r="DE790" s="250"/>
      <c r="DF790" s="408"/>
      <c r="DG790" s="408"/>
      <c r="DH790" s="408"/>
      <c r="DI790" s="408"/>
      <c r="DJ790" s="408"/>
      <c r="DK790" s="408"/>
      <c r="DL790" s="408"/>
      <c r="DM790" s="250"/>
      <c r="DN790" s="250"/>
      <c r="DO790" s="250"/>
      <c r="DP790" s="250"/>
      <c r="DQ790" s="250"/>
      <c r="DR790" s="250"/>
      <c r="DS790" s="250"/>
      <c r="DT790" s="250"/>
      <c r="DU790" s="250"/>
      <c r="DV790" s="250"/>
      <c r="DW790" s="252"/>
      <c r="DX790" s="252"/>
      <c r="DY790" s="250"/>
      <c r="DZ790" s="250"/>
      <c r="EA790" s="260"/>
      <c r="EB790" s="260"/>
      <c r="EC790" s="260"/>
      <c r="ED790" s="260"/>
      <c r="EG790" s="396"/>
      <c r="EH790" s="396"/>
    </row>
    <row r="791" spans="1:138" s="3" customFormat="1" x14ac:dyDescent="0.25">
      <c r="A791" s="407"/>
      <c r="B791" s="407"/>
      <c r="C791" s="250"/>
      <c r="D791" s="250"/>
      <c r="E791" s="250"/>
      <c r="F791" s="250"/>
      <c r="G791" s="250"/>
      <c r="H791" s="250"/>
      <c r="I791" s="250"/>
      <c r="J791" s="250"/>
      <c r="K791" s="250"/>
      <c r="L791" s="250"/>
      <c r="M791" s="250"/>
      <c r="N791" s="250"/>
      <c r="O791" s="250"/>
      <c r="P791" s="250"/>
      <c r="Q791" s="250"/>
      <c r="R791" s="250"/>
      <c r="S791" s="250"/>
      <c r="T791" s="250"/>
      <c r="U791" s="250"/>
      <c r="V791" s="250"/>
      <c r="W791" s="250"/>
      <c r="X791" s="250"/>
      <c r="Y791" s="250"/>
      <c r="Z791" s="250"/>
      <c r="AA791" s="250"/>
      <c r="AB791" s="250"/>
      <c r="AC791" s="250"/>
      <c r="AD791" s="250"/>
      <c r="AE791" s="250"/>
      <c r="AF791" s="250"/>
      <c r="AG791" s="250"/>
      <c r="AH791" s="250"/>
      <c r="AI791" s="250"/>
      <c r="AJ791" s="250"/>
      <c r="AK791" s="250"/>
      <c r="AL791" s="250"/>
      <c r="AM791" s="408"/>
      <c r="AN791" s="408"/>
      <c r="AO791" s="408"/>
      <c r="AP791" s="408"/>
      <c r="AQ791" s="408"/>
      <c r="AR791" s="408"/>
      <c r="AS791" s="408"/>
      <c r="AT791" s="408"/>
      <c r="AU791" s="408"/>
      <c r="AV791" s="408"/>
      <c r="AW791" s="408"/>
      <c r="AX791" s="250"/>
      <c r="AY791" s="250"/>
      <c r="AZ791" s="250"/>
      <c r="BA791" s="250"/>
      <c r="BB791" s="250"/>
      <c r="BC791" s="250"/>
      <c r="BD791" s="250"/>
      <c r="BE791" s="250"/>
      <c r="BF791" s="250"/>
      <c r="BG791" s="250"/>
      <c r="BH791" s="250"/>
      <c r="BI791" s="250"/>
      <c r="BJ791" s="250"/>
      <c r="BK791" s="250"/>
      <c r="BL791" s="250"/>
      <c r="BM791" s="250"/>
      <c r="BN791" s="250"/>
      <c r="BO791" s="250"/>
      <c r="BP791" s="250"/>
      <c r="BQ791" s="250"/>
      <c r="BR791" s="250"/>
      <c r="BS791" s="250"/>
      <c r="BT791" s="250"/>
      <c r="BU791" s="250"/>
      <c r="BV791" s="250"/>
      <c r="BW791" s="250"/>
      <c r="BX791" s="250"/>
      <c r="BY791" s="250"/>
      <c r="BZ791" s="250"/>
      <c r="CA791" s="250"/>
      <c r="CB791" s="250"/>
      <c r="CC791" s="250"/>
      <c r="CD791" s="250"/>
      <c r="CE791" s="250"/>
      <c r="CF791" s="250"/>
      <c r="CG791" s="250"/>
      <c r="CH791" s="250"/>
      <c r="CI791" s="408"/>
      <c r="CJ791" s="408"/>
      <c r="CK791" s="408"/>
      <c r="CL791" s="408"/>
      <c r="CM791" s="408"/>
      <c r="CN791" s="408"/>
      <c r="CO791" s="408"/>
      <c r="CP791" s="408"/>
      <c r="CQ791" s="408"/>
      <c r="CR791" s="408"/>
      <c r="CS791" s="408"/>
      <c r="CT791" s="250"/>
      <c r="CU791" s="250"/>
      <c r="CV791" s="250"/>
      <c r="CW791" s="250"/>
      <c r="CX791" s="408"/>
      <c r="CY791" s="408"/>
      <c r="CZ791" s="408"/>
      <c r="DA791" s="408"/>
      <c r="DB791" s="408"/>
      <c r="DC791" s="408"/>
      <c r="DD791" s="408"/>
      <c r="DE791" s="250"/>
      <c r="DF791" s="408"/>
      <c r="DG791" s="408"/>
      <c r="DH791" s="408"/>
      <c r="DI791" s="408"/>
      <c r="DJ791" s="408"/>
      <c r="DK791" s="408"/>
      <c r="DL791" s="408"/>
      <c r="DM791" s="250"/>
      <c r="DN791" s="250"/>
      <c r="DO791" s="250"/>
      <c r="DP791" s="250"/>
      <c r="DQ791" s="250"/>
      <c r="DR791" s="250"/>
      <c r="DS791" s="250"/>
      <c r="DT791" s="250"/>
      <c r="DU791" s="250"/>
      <c r="DV791" s="250"/>
      <c r="DW791" s="252"/>
      <c r="DX791" s="252"/>
      <c r="DY791" s="250"/>
      <c r="DZ791" s="250"/>
      <c r="EA791" s="260"/>
      <c r="EB791" s="260"/>
      <c r="EC791" s="260"/>
      <c r="ED791" s="260"/>
      <c r="EG791" s="396"/>
      <c r="EH791" s="396"/>
    </row>
    <row r="792" spans="1:138" s="3" customFormat="1" x14ac:dyDescent="0.25">
      <c r="A792" s="407"/>
      <c r="B792" s="407"/>
      <c r="C792" s="250"/>
      <c r="D792" s="250"/>
      <c r="E792" s="250"/>
      <c r="F792" s="250"/>
      <c r="G792" s="250"/>
      <c r="H792" s="250"/>
      <c r="I792" s="250"/>
      <c r="J792" s="250"/>
      <c r="K792" s="250"/>
      <c r="L792" s="250"/>
      <c r="M792" s="250"/>
      <c r="N792" s="250"/>
      <c r="O792" s="250"/>
      <c r="P792" s="250"/>
      <c r="Q792" s="250"/>
      <c r="R792" s="250"/>
      <c r="S792" s="250"/>
      <c r="T792" s="250"/>
      <c r="U792" s="250"/>
      <c r="V792" s="250"/>
      <c r="W792" s="250"/>
      <c r="X792" s="250"/>
      <c r="Y792" s="250"/>
      <c r="Z792" s="250"/>
      <c r="AA792" s="250"/>
      <c r="AB792" s="250"/>
      <c r="AC792" s="250"/>
      <c r="AD792" s="250"/>
      <c r="AE792" s="250"/>
      <c r="AF792" s="250"/>
      <c r="AG792" s="250"/>
      <c r="AH792" s="250"/>
      <c r="AI792" s="250"/>
      <c r="AJ792" s="250"/>
      <c r="AK792" s="250"/>
      <c r="AL792" s="250"/>
      <c r="AM792" s="408"/>
      <c r="AN792" s="408"/>
      <c r="AO792" s="408"/>
      <c r="AP792" s="408"/>
      <c r="AQ792" s="408"/>
      <c r="AR792" s="408"/>
      <c r="AS792" s="408"/>
      <c r="AT792" s="408"/>
      <c r="AU792" s="408"/>
      <c r="AV792" s="408"/>
      <c r="AW792" s="408"/>
      <c r="AX792" s="250"/>
      <c r="AY792" s="250"/>
      <c r="AZ792" s="250"/>
      <c r="BA792" s="250"/>
      <c r="BB792" s="250"/>
      <c r="BC792" s="250"/>
      <c r="BD792" s="250"/>
      <c r="BE792" s="250"/>
      <c r="BF792" s="250"/>
      <c r="BG792" s="250"/>
      <c r="BH792" s="250"/>
      <c r="BI792" s="250"/>
      <c r="BJ792" s="250"/>
      <c r="BK792" s="250"/>
      <c r="BL792" s="250"/>
      <c r="BM792" s="250"/>
      <c r="BN792" s="250"/>
      <c r="BO792" s="250"/>
      <c r="BP792" s="250"/>
      <c r="BQ792" s="250"/>
      <c r="BR792" s="250"/>
      <c r="BS792" s="250"/>
      <c r="BT792" s="250"/>
      <c r="BU792" s="250"/>
      <c r="BV792" s="250"/>
      <c r="BW792" s="250"/>
      <c r="BX792" s="250"/>
      <c r="BY792" s="250"/>
      <c r="BZ792" s="250"/>
      <c r="CA792" s="250"/>
      <c r="CB792" s="250"/>
      <c r="CC792" s="250"/>
      <c r="CD792" s="250"/>
      <c r="CE792" s="250"/>
      <c r="CF792" s="250"/>
      <c r="CG792" s="250"/>
      <c r="CH792" s="250"/>
      <c r="CI792" s="408"/>
      <c r="CJ792" s="408"/>
      <c r="CK792" s="408"/>
      <c r="CL792" s="408"/>
      <c r="CM792" s="408"/>
      <c r="CN792" s="408"/>
      <c r="CO792" s="408"/>
      <c r="CP792" s="408"/>
      <c r="CQ792" s="408"/>
      <c r="CR792" s="408"/>
      <c r="CS792" s="408"/>
      <c r="CT792" s="250"/>
      <c r="CU792" s="250"/>
      <c r="CV792" s="250"/>
      <c r="CW792" s="250"/>
      <c r="CX792" s="408"/>
      <c r="CY792" s="408"/>
      <c r="CZ792" s="408"/>
      <c r="DA792" s="408"/>
      <c r="DB792" s="408"/>
      <c r="DC792" s="408"/>
      <c r="DD792" s="408"/>
      <c r="DE792" s="250"/>
      <c r="DF792" s="408"/>
      <c r="DG792" s="408"/>
      <c r="DH792" s="408"/>
      <c r="DI792" s="408"/>
      <c r="DJ792" s="408"/>
      <c r="DK792" s="408"/>
      <c r="DL792" s="408"/>
      <c r="DM792" s="250"/>
      <c r="DN792" s="250"/>
      <c r="DO792" s="250"/>
      <c r="DP792" s="250"/>
      <c r="DQ792" s="250"/>
      <c r="DR792" s="250"/>
      <c r="DS792" s="250"/>
      <c r="DT792" s="250"/>
      <c r="DU792" s="250"/>
      <c r="DV792" s="250"/>
      <c r="DW792" s="252"/>
      <c r="DX792" s="252"/>
      <c r="DY792" s="250"/>
      <c r="DZ792" s="250"/>
      <c r="EA792" s="260"/>
      <c r="EB792" s="260"/>
      <c r="EC792" s="260"/>
      <c r="ED792" s="260"/>
      <c r="EG792" s="396"/>
      <c r="EH792" s="396"/>
    </row>
    <row r="793" spans="1:138" s="3" customFormat="1" x14ac:dyDescent="0.25">
      <c r="A793" s="407"/>
      <c r="B793" s="407"/>
      <c r="C793" s="250"/>
      <c r="D793" s="250"/>
      <c r="E793" s="250"/>
      <c r="F793" s="250"/>
      <c r="G793" s="250"/>
      <c r="H793" s="250"/>
      <c r="I793" s="250"/>
      <c r="J793" s="250"/>
      <c r="K793" s="250"/>
      <c r="L793" s="250"/>
      <c r="M793" s="250"/>
      <c r="N793" s="250"/>
      <c r="O793" s="250"/>
      <c r="P793" s="250"/>
      <c r="Q793" s="250"/>
      <c r="R793" s="250"/>
      <c r="S793" s="250"/>
      <c r="T793" s="250"/>
      <c r="U793" s="250"/>
      <c r="V793" s="250"/>
      <c r="W793" s="250"/>
      <c r="X793" s="250"/>
      <c r="Y793" s="250"/>
      <c r="Z793" s="250"/>
      <c r="AA793" s="250"/>
      <c r="AB793" s="250"/>
      <c r="AC793" s="250"/>
      <c r="AD793" s="250"/>
      <c r="AE793" s="250"/>
      <c r="AF793" s="250"/>
      <c r="AG793" s="250"/>
      <c r="AH793" s="250"/>
      <c r="AI793" s="250"/>
      <c r="AJ793" s="250"/>
      <c r="AK793" s="250"/>
      <c r="AL793" s="250"/>
      <c r="AM793" s="408"/>
      <c r="AN793" s="408"/>
      <c r="AO793" s="408"/>
      <c r="AP793" s="408"/>
      <c r="AQ793" s="408"/>
      <c r="AR793" s="408"/>
      <c r="AS793" s="408"/>
      <c r="AT793" s="408"/>
      <c r="AU793" s="408"/>
      <c r="AV793" s="408"/>
      <c r="AW793" s="408"/>
      <c r="AX793" s="250"/>
      <c r="AY793" s="250"/>
      <c r="AZ793" s="250"/>
      <c r="BA793" s="250"/>
      <c r="BB793" s="250"/>
      <c r="BC793" s="250"/>
      <c r="BD793" s="250"/>
      <c r="BE793" s="250"/>
      <c r="BF793" s="250"/>
      <c r="BG793" s="250"/>
      <c r="BH793" s="250"/>
      <c r="BI793" s="250"/>
      <c r="BJ793" s="250"/>
      <c r="BK793" s="250"/>
      <c r="BL793" s="250"/>
      <c r="BM793" s="250"/>
      <c r="BN793" s="250"/>
      <c r="BO793" s="250"/>
      <c r="BP793" s="250"/>
      <c r="BQ793" s="250"/>
      <c r="BR793" s="250"/>
      <c r="BS793" s="250"/>
      <c r="BT793" s="250"/>
      <c r="BU793" s="250"/>
      <c r="BV793" s="250"/>
      <c r="BW793" s="250"/>
      <c r="BX793" s="250"/>
      <c r="BY793" s="250"/>
      <c r="BZ793" s="250"/>
      <c r="CA793" s="250"/>
      <c r="CB793" s="250"/>
      <c r="CC793" s="250"/>
      <c r="CD793" s="250"/>
      <c r="CE793" s="250"/>
      <c r="CF793" s="250"/>
      <c r="CG793" s="250"/>
      <c r="CH793" s="250"/>
      <c r="CI793" s="408"/>
      <c r="CJ793" s="408"/>
      <c r="CK793" s="408"/>
      <c r="CL793" s="408"/>
      <c r="CM793" s="408"/>
      <c r="CN793" s="408"/>
      <c r="CO793" s="408"/>
      <c r="CP793" s="408"/>
      <c r="CQ793" s="408"/>
      <c r="CR793" s="408"/>
      <c r="CS793" s="408"/>
      <c r="CT793" s="250"/>
      <c r="CU793" s="250"/>
      <c r="CV793" s="250"/>
      <c r="CW793" s="250"/>
      <c r="CX793" s="408"/>
      <c r="CY793" s="408"/>
      <c r="CZ793" s="408"/>
      <c r="DA793" s="408"/>
      <c r="DB793" s="408"/>
      <c r="DC793" s="408"/>
      <c r="DD793" s="408"/>
      <c r="DE793" s="250"/>
      <c r="DF793" s="408"/>
      <c r="DG793" s="408"/>
      <c r="DH793" s="408"/>
      <c r="DI793" s="408"/>
      <c r="DJ793" s="408"/>
      <c r="DK793" s="408"/>
      <c r="DL793" s="408"/>
      <c r="DM793" s="250"/>
      <c r="DN793" s="250"/>
      <c r="DO793" s="250"/>
      <c r="DP793" s="250"/>
      <c r="DQ793" s="250"/>
      <c r="DR793" s="250"/>
      <c r="DS793" s="250"/>
      <c r="DT793" s="250"/>
      <c r="DU793" s="250"/>
      <c r="DV793" s="250"/>
      <c r="DW793" s="252"/>
      <c r="DX793" s="252"/>
      <c r="DY793" s="250"/>
      <c r="DZ793" s="250"/>
      <c r="EA793" s="260"/>
      <c r="EB793" s="260"/>
      <c r="EC793" s="260"/>
      <c r="ED793" s="260"/>
      <c r="EG793" s="396"/>
      <c r="EH793" s="396"/>
    </row>
    <row r="794" spans="1:138" s="3" customFormat="1" x14ac:dyDescent="0.25">
      <c r="A794" s="407"/>
      <c r="B794" s="407"/>
      <c r="C794" s="250"/>
      <c r="D794" s="250"/>
      <c r="E794" s="250"/>
      <c r="F794" s="250"/>
      <c r="G794" s="250"/>
      <c r="H794" s="250"/>
      <c r="I794" s="250"/>
      <c r="J794" s="250"/>
      <c r="K794" s="250"/>
      <c r="L794" s="250"/>
      <c r="M794" s="250"/>
      <c r="N794" s="250"/>
      <c r="O794" s="250"/>
      <c r="P794" s="250"/>
      <c r="Q794" s="250"/>
      <c r="R794" s="250"/>
      <c r="S794" s="250"/>
      <c r="T794" s="250"/>
      <c r="U794" s="250"/>
      <c r="V794" s="250"/>
      <c r="W794" s="250"/>
      <c r="X794" s="250"/>
      <c r="Y794" s="250"/>
      <c r="Z794" s="250"/>
      <c r="AA794" s="250"/>
      <c r="AB794" s="250"/>
      <c r="AC794" s="250"/>
      <c r="AD794" s="250"/>
      <c r="AE794" s="250"/>
      <c r="AF794" s="250"/>
      <c r="AG794" s="250"/>
      <c r="AH794" s="250"/>
      <c r="AI794" s="250"/>
      <c r="AJ794" s="250"/>
      <c r="AK794" s="250"/>
      <c r="AL794" s="250"/>
      <c r="AM794" s="408"/>
      <c r="AN794" s="408"/>
      <c r="AO794" s="408"/>
      <c r="AP794" s="408"/>
      <c r="AQ794" s="408"/>
      <c r="AR794" s="408"/>
      <c r="AS794" s="408"/>
      <c r="AT794" s="408"/>
      <c r="AU794" s="408"/>
      <c r="AV794" s="408"/>
      <c r="AW794" s="408"/>
      <c r="AX794" s="250"/>
      <c r="AY794" s="250"/>
      <c r="AZ794" s="250"/>
      <c r="BA794" s="250"/>
      <c r="BB794" s="250"/>
      <c r="BC794" s="250"/>
      <c r="BD794" s="250"/>
      <c r="BE794" s="250"/>
      <c r="BF794" s="250"/>
      <c r="BG794" s="250"/>
      <c r="BH794" s="250"/>
      <c r="BI794" s="250"/>
      <c r="BJ794" s="250"/>
      <c r="BK794" s="250"/>
      <c r="BL794" s="250"/>
      <c r="BM794" s="250"/>
      <c r="BN794" s="250"/>
      <c r="BO794" s="250"/>
      <c r="BP794" s="250"/>
      <c r="BQ794" s="250"/>
      <c r="BR794" s="250"/>
      <c r="BS794" s="250"/>
      <c r="BT794" s="250"/>
      <c r="BU794" s="250"/>
      <c r="BV794" s="250"/>
      <c r="BW794" s="250"/>
      <c r="BX794" s="250"/>
      <c r="BY794" s="250"/>
      <c r="BZ794" s="250"/>
      <c r="CA794" s="250"/>
      <c r="CB794" s="250"/>
      <c r="CC794" s="250"/>
      <c r="CD794" s="250"/>
      <c r="CE794" s="250"/>
      <c r="CF794" s="250"/>
      <c r="CG794" s="250"/>
      <c r="CH794" s="250"/>
      <c r="CI794" s="408"/>
      <c r="CJ794" s="408"/>
      <c r="CK794" s="408"/>
      <c r="CL794" s="408"/>
      <c r="CM794" s="408"/>
      <c r="CN794" s="408"/>
      <c r="CO794" s="408"/>
      <c r="CP794" s="408"/>
      <c r="CQ794" s="408"/>
      <c r="CR794" s="408"/>
      <c r="CS794" s="408"/>
      <c r="CT794" s="250"/>
      <c r="CU794" s="250"/>
      <c r="CV794" s="250"/>
      <c r="CW794" s="250"/>
      <c r="CX794" s="408"/>
      <c r="CY794" s="408"/>
      <c r="CZ794" s="408"/>
      <c r="DA794" s="408"/>
      <c r="DB794" s="408"/>
      <c r="DC794" s="408"/>
      <c r="DD794" s="408"/>
      <c r="DE794" s="250"/>
      <c r="DF794" s="408"/>
      <c r="DG794" s="408"/>
      <c r="DH794" s="408"/>
      <c r="DI794" s="408"/>
      <c r="DJ794" s="408"/>
      <c r="DK794" s="408"/>
      <c r="DL794" s="408"/>
      <c r="DM794" s="250"/>
      <c r="DN794" s="250"/>
      <c r="DO794" s="250"/>
      <c r="DP794" s="250"/>
      <c r="DQ794" s="250"/>
      <c r="DR794" s="250"/>
      <c r="DS794" s="250"/>
      <c r="DT794" s="250"/>
      <c r="DU794" s="250"/>
      <c r="DV794" s="250"/>
      <c r="DW794" s="252"/>
      <c r="DX794" s="252"/>
      <c r="DY794" s="250"/>
      <c r="DZ794" s="250"/>
      <c r="EA794" s="260"/>
      <c r="EB794" s="260"/>
      <c r="EC794" s="260"/>
      <c r="ED794" s="260"/>
      <c r="EG794" s="396"/>
      <c r="EH794" s="396"/>
    </row>
    <row r="795" spans="1:138" s="3" customFormat="1" x14ac:dyDescent="0.25">
      <c r="A795" s="407"/>
      <c r="B795" s="407"/>
      <c r="C795" s="250"/>
      <c r="D795" s="250"/>
      <c r="E795" s="250"/>
      <c r="F795" s="250"/>
      <c r="G795" s="250"/>
      <c r="H795" s="250"/>
      <c r="I795" s="250"/>
      <c r="J795" s="250"/>
      <c r="K795" s="250"/>
      <c r="L795" s="250"/>
      <c r="M795" s="250"/>
      <c r="N795" s="250"/>
      <c r="O795" s="250"/>
      <c r="P795" s="250"/>
      <c r="Q795" s="250"/>
      <c r="R795" s="250"/>
      <c r="S795" s="250"/>
      <c r="T795" s="250"/>
      <c r="U795" s="250"/>
      <c r="V795" s="250"/>
      <c r="W795" s="250"/>
      <c r="X795" s="250"/>
      <c r="Y795" s="250"/>
      <c r="Z795" s="250"/>
      <c r="AA795" s="250"/>
      <c r="AB795" s="250"/>
      <c r="AC795" s="250"/>
      <c r="AD795" s="250"/>
      <c r="AE795" s="250"/>
      <c r="AF795" s="250"/>
      <c r="AG795" s="250"/>
      <c r="AH795" s="250"/>
      <c r="AI795" s="250"/>
      <c r="AJ795" s="250"/>
      <c r="AK795" s="250"/>
      <c r="AL795" s="250"/>
      <c r="AM795" s="408"/>
      <c r="AN795" s="408"/>
      <c r="AO795" s="408"/>
      <c r="AP795" s="408"/>
      <c r="AQ795" s="408"/>
      <c r="AR795" s="408"/>
      <c r="AS795" s="408"/>
      <c r="AT795" s="408"/>
      <c r="AU795" s="408"/>
      <c r="AV795" s="408"/>
      <c r="AW795" s="408"/>
      <c r="AX795" s="250"/>
      <c r="AY795" s="250"/>
      <c r="AZ795" s="250"/>
      <c r="BA795" s="250"/>
      <c r="BB795" s="250"/>
      <c r="BC795" s="250"/>
      <c r="BD795" s="250"/>
      <c r="BE795" s="250"/>
      <c r="BF795" s="250"/>
      <c r="BG795" s="250"/>
      <c r="BH795" s="250"/>
      <c r="BI795" s="250"/>
      <c r="BJ795" s="250"/>
      <c r="BK795" s="250"/>
      <c r="BL795" s="250"/>
      <c r="BM795" s="250"/>
      <c r="BN795" s="250"/>
      <c r="BO795" s="250"/>
      <c r="BP795" s="250"/>
      <c r="BQ795" s="250"/>
      <c r="BR795" s="250"/>
      <c r="BS795" s="250"/>
      <c r="BT795" s="250"/>
      <c r="BU795" s="250"/>
      <c r="BV795" s="250"/>
      <c r="BW795" s="250"/>
      <c r="BX795" s="250"/>
      <c r="BY795" s="250"/>
      <c r="BZ795" s="250"/>
      <c r="CA795" s="250"/>
      <c r="CB795" s="250"/>
      <c r="CC795" s="250"/>
      <c r="CD795" s="250"/>
      <c r="CE795" s="250"/>
      <c r="CF795" s="250"/>
      <c r="CG795" s="250"/>
      <c r="CH795" s="250"/>
      <c r="CI795" s="408"/>
      <c r="CJ795" s="408"/>
      <c r="CK795" s="408"/>
      <c r="CL795" s="408"/>
      <c r="CM795" s="408"/>
      <c r="CN795" s="408"/>
      <c r="CO795" s="408"/>
      <c r="CP795" s="408"/>
      <c r="CQ795" s="408"/>
      <c r="CR795" s="408"/>
      <c r="CS795" s="408"/>
      <c r="CT795" s="250"/>
      <c r="CU795" s="250"/>
      <c r="CV795" s="250"/>
      <c r="CW795" s="250"/>
      <c r="CX795" s="408"/>
      <c r="CY795" s="408"/>
      <c r="CZ795" s="408"/>
      <c r="DA795" s="408"/>
      <c r="DB795" s="408"/>
      <c r="DC795" s="408"/>
      <c r="DD795" s="408"/>
      <c r="DE795" s="250"/>
      <c r="DF795" s="408"/>
      <c r="DG795" s="408"/>
      <c r="DH795" s="408"/>
      <c r="DI795" s="408"/>
      <c r="DJ795" s="408"/>
      <c r="DK795" s="408"/>
      <c r="DL795" s="408"/>
      <c r="DM795" s="250"/>
      <c r="DN795" s="250"/>
      <c r="DO795" s="250"/>
      <c r="DP795" s="250"/>
      <c r="DQ795" s="250"/>
      <c r="DR795" s="250"/>
      <c r="DS795" s="250"/>
      <c r="DT795" s="250"/>
      <c r="DU795" s="250"/>
      <c r="DV795" s="250"/>
      <c r="DW795" s="252"/>
      <c r="DX795" s="252"/>
      <c r="DY795" s="250"/>
      <c r="DZ795" s="250"/>
      <c r="EA795" s="260"/>
      <c r="EB795" s="260"/>
      <c r="EC795" s="260"/>
      <c r="ED795" s="260"/>
      <c r="EG795" s="396"/>
      <c r="EH795" s="396"/>
    </row>
    <row r="796" spans="1:138" s="3" customFormat="1" x14ac:dyDescent="0.25">
      <c r="A796" s="407"/>
      <c r="B796" s="407"/>
      <c r="C796" s="250"/>
      <c r="D796" s="250"/>
      <c r="E796" s="250"/>
      <c r="F796" s="250"/>
      <c r="G796" s="250"/>
      <c r="H796" s="250"/>
      <c r="I796" s="250"/>
      <c r="J796" s="250"/>
      <c r="K796" s="250"/>
      <c r="L796" s="250"/>
      <c r="M796" s="250"/>
      <c r="N796" s="250"/>
      <c r="O796" s="250"/>
      <c r="P796" s="250"/>
      <c r="Q796" s="250"/>
      <c r="R796" s="250"/>
      <c r="S796" s="250"/>
      <c r="T796" s="250"/>
      <c r="U796" s="250"/>
      <c r="V796" s="250"/>
      <c r="W796" s="250"/>
      <c r="X796" s="250"/>
      <c r="Y796" s="250"/>
      <c r="Z796" s="250"/>
      <c r="AA796" s="250"/>
      <c r="AB796" s="250"/>
      <c r="AC796" s="250"/>
      <c r="AD796" s="250"/>
      <c r="AE796" s="250"/>
      <c r="AF796" s="250"/>
      <c r="AG796" s="250"/>
      <c r="AH796" s="250"/>
      <c r="AI796" s="250"/>
      <c r="AJ796" s="250"/>
      <c r="AK796" s="250"/>
      <c r="AL796" s="250"/>
      <c r="AM796" s="408"/>
      <c r="AN796" s="408"/>
      <c r="AO796" s="408"/>
      <c r="AP796" s="408"/>
      <c r="AQ796" s="408"/>
      <c r="AR796" s="408"/>
      <c r="AS796" s="408"/>
      <c r="AT796" s="408"/>
      <c r="AU796" s="408"/>
      <c r="AV796" s="408"/>
      <c r="AW796" s="408"/>
      <c r="AX796" s="250"/>
      <c r="AY796" s="250"/>
      <c r="AZ796" s="250"/>
      <c r="BA796" s="250"/>
      <c r="BB796" s="250"/>
      <c r="BC796" s="250"/>
      <c r="BD796" s="250"/>
      <c r="BE796" s="250"/>
      <c r="BF796" s="250"/>
      <c r="BG796" s="250"/>
      <c r="BH796" s="250"/>
      <c r="BI796" s="250"/>
      <c r="BJ796" s="250"/>
      <c r="BK796" s="250"/>
      <c r="BL796" s="250"/>
      <c r="BM796" s="250"/>
      <c r="BN796" s="250"/>
      <c r="BO796" s="250"/>
      <c r="BP796" s="250"/>
      <c r="BQ796" s="250"/>
      <c r="BR796" s="250"/>
      <c r="BS796" s="250"/>
      <c r="BT796" s="250"/>
      <c r="BU796" s="250"/>
      <c r="BV796" s="250"/>
      <c r="BW796" s="250"/>
      <c r="BX796" s="250"/>
      <c r="BY796" s="250"/>
      <c r="BZ796" s="250"/>
      <c r="CA796" s="250"/>
      <c r="CB796" s="250"/>
      <c r="CC796" s="250"/>
      <c r="CD796" s="250"/>
      <c r="CE796" s="250"/>
      <c r="CF796" s="250"/>
      <c r="CG796" s="250"/>
      <c r="CH796" s="250"/>
      <c r="CI796" s="408"/>
      <c r="CJ796" s="408"/>
      <c r="CK796" s="408"/>
      <c r="CL796" s="408"/>
      <c r="CM796" s="408"/>
      <c r="CN796" s="408"/>
      <c r="CO796" s="408"/>
      <c r="CP796" s="408"/>
      <c r="CQ796" s="408"/>
      <c r="CR796" s="408"/>
      <c r="CS796" s="408"/>
      <c r="CT796" s="250"/>
      <c r="CU796" s="250"/>
      <c r="CV796" s="250"/>
      <c r="CW796" s="250"/>
      <c r="CX796" s="408"/>
      <c r="CY796" s="408"/>
      <c r="CZ796" s="408"/>
      <c r="DA796" s="408"/>
      <c r="DB796" s="408"/>
      <c r="DC796" s="408"/>
      <c r="DD796" s="408"/>
      <c r="DE796" s="250"/>
      <c r="DF796" s="408"/>
      <c r="DG796" s="408"/>
      <c r="DH796" s="408"/>
      <c r="DI796" s="408"/>
      <c r="DJ796" s="408"/>
      <c r="DK796" s="408"/>
      <c r="DL796" s="408"/>
      <c r="DM796" s="250"/>
      <c r="DN796" s="250"/>
      <c r="DO796" s="250"/>
      <c r="DP796" s="250"/>
      <c r="DQ796" s="250"/>
      <c r="DR796" s="250"/>
      <c r="DS796" s="250"/>
      <c r="DT796" s="250"/>
      <c r="DU796" s="250"/>
      <c r="DV796" s="250"/>
      <c r="DW796" s="252"/>
      <c r="DX796" s="252"/>
      <c r="DY796" s="250"/>
      <c r="DZ796" s="250"/>
      <c r="EA796" s="260"/>
      <c r="EB796" s="260"/>
      <c r="EC796" s="260"/>
      <c r="ED796" s="260"/>
      <c r="EG796" s="396"/>
      <c r="EH796" s="396"/>
    </row>
    <row r="797" spans="1:138" s="3" customFormat="1" x14ac:dyDescent="0.25">
      <c r="A797" s="407"/>
      <c r="B797" s="407"/>
      <c r="C797" s="250"/>
      <c r="D797" s="250"/>
      <c r="E797" s="250"/>
      <c r="F797" s="250"/>
      <c r="G797" s="250"/>
      <c r="H797" s="250"/>
      <c r="I797" s="250"/>
      <c r="J797" s="250"/>
      <c r="K797" s="250"/>
      <c r="L797" s="250"/>
      <c r="M797" s="250"/>
      <c r="N797" s="250"/>
      <c r="O797" s="250"/>
      <c r="P797" s="250"/>
      <c r="Q797" s="250"/>
      <c r="R797" s="250"/>
      <c r="S797" s="250"/>
      <c r="T797" s="250"/>
      <c r="U797" s="250"/>
      <c r="V797" s="250"/>
      <c r="W797" s="250"/>
      <c r="X797" s="250"/>
      <c r="Y797" s="250"/>
      <c r="Z797" s="250"/>
      <c r="AA797" s="250"/>
      <c r="AB797" s="250"/>
      <c r="AC797" s="250"/>
      <c r="AD797" s="250"/>
      <c r="AE797" s="250"/>
      <c r="AF797" s="250"/>
      <c r="AG797" s="250"/>
      <c r="AH797" s="250"/>
      <c r="AI797" s="250"/>
      <c r="AJ797" s="250"/>
      <c r="AK797" s="250"/>
      <c r="AL797" s="250"/>
      <c r="AM797" s="408"/>
      <c r="AN797" s="408"/>
      <c r="AO797" s="408"/>
      <c r="AP797" s="408"/>
      <c r="AQ797" s="408"/>
      <c r="AR797" s="408"/>
      <c r="AS797" s="408"/>
      <c r="AT797" s="408"/>
      <c r="AU797" s="408"/>
      <c r="AV797" s="408"/>
      <c r="AW797" s="408"/>
      <c r="AX797" s="250"/>
      <c r="AY797" s="250"/>
      <c r="AZ797" s="250"/>
      <c r="BA797" s="250"/>
      <c r="BB797" s="250"/>
      <c r="BC797" s="250"/>
      <c r="BD797" s="250"/>
      <c r="BE797" s="250"/>
      <c r="BF797" s="250"/>
      <c r="BG797" s="250"/>
      <c r="BH797" s="250"/>
      <c r="BI797" s="250"/>
      <c r="BJ797" s="250"/>
      <c r="BK797" s="250"/>
      <c r="BL797" s="250"/>
      <c r="BM797" s="250"/>
      <c r="BN797" s="250"/>
      <c r="BO797" s="250"/>
      <c r="BP797" s="250"/>
      <c r="BQ797" s="250"/>
      <c r="BR797" s="250"/>
      <c r="BS797" s="250"/>
      <c r="BT797" s="250"/>
      <c r="BU797" s="250"/>
      <c r="BV797" s="250"/>
      <c r="BW797" s="250"/>
      <c r="BX797" s="250"/>
      <c r="BY797" s="250"/>
      <c r="BZ797" s="250"/>
      <c r="CA797" s="250"/>
      <c r="CB797" s="250"/>
      <c r="CC797" s="250"/>
      <c r="CD797" s="250"/>
      <c r="CE797" s="250"/>
      <c r="CF797" s="250"/>
      <c r="CG797" s="250"/>
      <c r="CH797" s="250"/>
      <c r="CI797" s="408"/>
      <c r="CJ797" s="408"/>
      <c r="CK797" s="408"/>
      <c r="CL797" s="408"/>
      <c r="CM797" s="408"/>
      <c r="CN797" s="408"/>
      <c r="CO797" s="408"/>
      <c r="CP797" s="408"/>
      <c r="CQ797" s="408"/>
      <c r="CR797" s="408"/>
      <c r="CS797" s="408"/>
      <c r="CT797" s="250"/>
      <c r="CU797" s="250"/>
      <c r="CV797" s="250"/>
      <c r="CW797" s="250"/>
      <c r="CX797" s="408"/>
      <c r="CY797" s="408"/>
      <c r="CZ797" s="408"/>
      <c r="DA797" s="408"/>
      <c r="DB797" s="408"/>
      <c r="DC797" s="408"/>
      <c r="DD797" s="408"/>
      <c r="DE797" s="250"/>
      <c r="DF797" s="408"/>
      <c r="DG797" s="408"/>
      <c r="DH797" s="408"/>
      <c r="DI797" s="408"/>
      <c r="DJ797" s="408"/>
      <c r="DK797" s="408"/>
      <c r="DL797" s="408"/>
      <c r="DM797" s="250"/>
      <c r="DN797" s="250"/>
      <c r="DO797" s="250"/>
      <c r="DP797" s="250"/>
      <c r="DQ797" s="250"/>
      <c r="DR797" s="250"/>
      <c r="DS797" s="250"/>
      <c r="DT797" s="250"/>
      <c r="DU797" s="250"/>
      <c r="DV797" s="250"/>
      <c r="DW797" s="252"/>
      <c r="DX797" s="252"/>
      <c r="DY797" s="250"/>
      <c r="DZ797" s="250"/>
      <c r="EA797" s="260"/>
      <c r="EB797" s="260"/>
      <c r="EC797" s="260"/>
      <c r="ED797" s="260"/>
      <c r="EG797" s="396"/>
      <c r="EH797" s="396"/>
    </row>
    <row r="798" spans="1:138" s="3" customFormat="1" x14ac:dyDescent="0.25">
      <c r="A798" s="407"/>
      <c r="B798" s="407"/>
      <c r="C798" s="250"/>
      <c r="D798" s="250"/>
      <c r="E798" s="250"/>
      <c r="F798" s="250"/>
      <c r="G798" s="250"/>
      <c r="H798" s="250"/>
      <c r="I798" s="250"/>
      <c r="J798" s="250"/>
      <c r="K798" s="250"/>
      <c r="L798" s="250"/>
      <c r="M798" s="250"/>
      <c r="N798" s="250"/>
      <c r="O798" s="250"/>
      <c r="P798" s="250"/>
      <c r="Q798" s="250"/>
      <c r="R798" s="250"/>
      <c r="S798" s="250"/>
      <c r="T798" s="250"/>
      <c r="U798" s="250"/>
      <c r="V798" s="250"/>
      <c r="W798" s="250"/>
      <c r="X798" s="250"/>
      <c r="Y798" s="250"/>
      <c r="Z798" s="250"/>
      <c r="AA798" s="250"/>
      <c r="AB798" s="250"/>
      <c r="AC798" s="250"/>
      <c r="AD798" s="250"/>
      <c r="AE798" s="250"/>
      <c r="AF798" s="250"/>
      <c r="AG798" s="250"/>
      <c r="AH798" s="250"/>
      <c r="AI798" s="250"/>
      <c r="AJ798" s="250"/>
      <c r="AK798" s="250"/>
      <c r="AL798" s="250"/>
      <c r="AM798" s="408"/>
      <c r="AN798" s="408"/>
      <c r="AO798" s="408"/>
      <c r="AP798" s="408"/>
      <c r="AQ798" s="408"/>
      <c r="AR798" s="408"/>
      <c r="AS798" s="408"/>
      <c r="AT798" s="408"/>
      <c r="AU798" s="408"/>
      <c r="AV798" s="408"/>
      <c r="AW798" s="408"/>
      <c r="AX798" s="250"/>
      <c r="AY798" s="250"/>
      <c r="AZ798" s="250"/>
      <c r="BA798" s="250"/>
      <c r="BB798" s="250"/>
      <c r="BC798" s="250"/>
      <c r="BD798" s="250"/>
      <c r="BE798" s="250"/>
      <c r="BF798" s="250"/>
      <c r="BG798" s="250"/>
      <c r="BH798" s="250"/>
      <c r="BI798" s="250"/>
      <c r="BJ798" s="250"/>
      <c r="BK798" s="250"/>
      <c r="BL798" s="250"/>
      <c r="BM798" s="250"/>
      <c r="BN798" s="250"/>
      <c r="BO798" s="250"/>
      <c r="BP798" s="250"/>
      <c r="BQ798" s="250"/>
      <c r="BR798" s="250"/>
      <c r="BS798" s="250"/>
      <c r="BT798" s="250"/>
      <c r="BU798" s="250"/>
      <c r="BV798" s="250"/>
      <c r="BW798" s="250"/>
      <c r="BX798" s="250"/>
      <c r="BY798" s="250"/>
      <c r="BZ798" s="250"/>
      <c r="CA798" s="250"/>
      <c r="CB798" s="250"/>
      <c r="CC798" s="250"/>
      <c r="CD798" s="250"/>
      <c r="CE798" s="250"/>
      <c r="CF798" s="250"/>
      <c r="CG798" s="250"/>
      <c r="CH798" s="250"/>
      <c r="CI798" s="408"/>
      <c r="CJ798" s="408"/>
      <c r="CK798" s="408"/>
      <c r="CL798" s="408"/>
      <c r="CM798" s="408"/>
      <c r="CN798" s="408"/>
      <c r="CO798" s="408"/>
      <c r="CP798" s="408"/>
      <c r="CQ798" s="408"/>
      <c r="CR798" s="408"/>
      <c r="CS798" s="408"/>
      <c r="CT798" s="250"/>
      <c r="CU798" s="250"/>
      <c r="CV798" s="250"/>
      <c r="CW798" s="250"/>
      <c r="CX798" s="408"/>
      <c r="CY798" s="408"/>
      <c r="CZ798" s="408"/>
      <c r="DA798" s="408"/>
      <c r="DB798" s="408"/>
      <c r="DC798" s="408"/>
      <c r="DD798" s="408"/>
      <c r="DE798" s="250"/>
      <c r="DF798" s="408"/>
      <c r="DG798" s="408"/>
      <c r="DH798" s="408"/>
      <c r="DI798" s="408"/>
      <c r="DJ798" s="408"/>
      <c r="DK798" s="408"/>
      <c r="DL798" s="408"/>
      <c r="DM798" s="250"/>
      <c r="DN798" s="250"/>
      <c r="DO798" s="250"/>
      <c r="DP798" s="250"/>
      <c r="DQ798" s="250"/>
      <c r="DR798" s="250"/>
      <c r="DS798" s="250"/>
      <c r="DT798" s="250"/>
      <c r="DU798" s="250"/>
      <c r="DV798" s="250"/>
      <c r="DW798" s="252"/>
      <c r="DX798" s="252"/>
      <c r="DY798" s="250"/>
      <c r="DZ798" s="250"/>
      <c r="EA798" s="260"/>
      <c r="EB798" s="260"/>
      <c r="EC798" s="260"/>
      <c r="ED798" s="260"/>
      <c r="EG798" s="396"/>
      <c r="EH798" s="396"/>
    </row>
    <row r="799" spans="1:138" s="3" customFormat="1" x14ac:dyDescent="0.25">
      <c r="A799" s="407"/>
      <c r="B799" s="407"/>
      <c r="C799" s="250"/>
      <c r="D799" s="250"/>
      <c r="E799" s="250"/>
      <c r="F799" s="250"/>
      <c r="G799" s="250"/>
      <c r="H799" s="250"/>
      <c r="I799" s="250"/>
      <c r="J799" s="250"/>
      <c r="K799" s="250"/>
      <c r="L799" s="250"/>
      <c r="M799" s="250"/>
      <c r="N799" s="250"/>
      <c r="O799" s="250"/>
      <c r="P799" s="250"/>
      <c r="Q799" s="250"/>
      <c r="R799" s="250"/>
      <c r="S799" s="250"/>
      <c r="T799" s="250"/>
      <c r="U799" s="250"/>
      <c r="V799" s="250"/>
      <c r="W799" s="250"/>
      <c r="X799" s="250"/>
      <c r="Y799" s="250"/>
      <c r="Z799" s="250"/>
      <c r="AA799" s="250"/>
      <c r="AB799" s="250"/>
      <c r="AC799" s="250"/>
      <c r="AD799" s="250"/>
      <c r="AE799" s="250"/>
      <c r="AF799" s="250"/>
      <c r="AG799" s="250"/>
      <c r="AH799" s="250"/>
      <c r="AI799" s="250"/>
      <c r="AJ799" s="250"/>
      <c r="AK799" s="250"/>
      <c r="AL799" s="250"/>
      <c r="AM799" s="408"/>
      <c r="AN799" s="408"/>
      <c r="AO799" s="408"/>
      <c r="AP799" s="408"/>
      <c r="AQ799" s="408"/>
      <c r="AR799" s="408"/>
      <c r="AS799" s="408"/>
      <c r="AT799" s="408"/>
      <c r="AU799" s="408"/>
      <c r="AV799" s="408"/>
      <c r="AW799" s="408"/>
      <c r="AX799" s="250"/>
      <c r="AY799" s="250"/>
      <c r="AZ799" s="250"/>
      <c r="BA799" s="250"/>
      <c r="BB799" s="250"/>
      <c r="BC799" s="250"/>
      <c r="BD799" s="250"/>
      <c r="BE799" s="250"/>
      <c r="BF799" s="250"/>
      <c r="BG799" s="250"/>
      <c r="BH799" s="250"/>
      <c r="BI799" s="250"/>
      <c r="BJ799" s="250"/>
      <c r="BK799" s="250"/>
      <c r="BL799" s="250"/>
      <c r="BM799" s="250"/>
      <c r="BN799" s="250"/>
      <c r="BO799" s="250"/>
      <c r="BP799" s="250"/>
      <c r="BQ799" s="250"/>
      <c r="BR799" s="250"/>
      <c r="BS799" s="250"/>
      <c r="BT799" s="250"/>
      <c r="BU799" s="250"/>
      <c r="BV799" s="250"/>
      <c r="BW799" s="250"/>
      <c r="BX799" s="250"/>
      <c r="BY799" s="250"/>
      <c r="BZ799" s="250"/>
      <c r="CA799" s="250"/>
      <c r="CB799" s="250"/>
      <c r="CC799" s="250"/>
      <c r="CD799" s="250"/>
      <c r="CE799" s="250"/>
      <c r="CF799" s="250"/>
      <c r="CG799" s="250"/>
      <c r="CH799" s="250"/>
      <c r="CI799" s="408"/>
      <c r="CJ799" s="408"/>
      <c r="CK799" s="408"/>
      <c r="CL799" s="408"/>
      <c r="CM799" s="408"/>
      <c r="CN799" s="408"/>
      <c r="CO799" s="408"/>
      <c r="CP799" s="408"/>
      <c r="CQ799" s="408"/>
      <c r="CR799" s="408"/>
      <c r="CS799" s="408"/>
      <c r="CT799" s="250"/>
      <c r="CU799" s="250"/>
      <c r="CV799" s="250"/>
      <c r="CW799" s="250"/>
      <c r="CX799" s="408"/>
      <c r="CY799" s="408"/>
      <c r="CZ799" s="408"/>
      <c r="DA799" s="408"/>
      <c r="DB799" s="408"/>
      <c r="DC799" s="408"/>
      <c r="DD799" s="408"/>
      <c r="DE799" s="250"/>
      <c r="DF799" s="408"/>
      <c r="DG799" s="408"/>
      <c r="DH799" s="408"/>
      <c r="DI799" s="408"/>
      <c r="DJ799" s="408"/>
      <c r="DK799" s="408"/>
      <c r="DL799" s="408"/>
      <c r="DM799" s="250"/>
      <c r="DN799" s="250"/>
      <c r="DO799" s="250"/>
      <c r="DP799" s="250"/>
      <c r="DQ799" s="250"/>
      <c r="DR799" s="250"/>
      <c r="DS799" s="250"/>
      <c r="DT799" s="250"/>
      <c r="DU799" s="250"/>
      <c r="DV799" s="250"/>
      <c r="DW799" s="252"/>
      <c r="DX799" s="252"/>
      <c r="DY799" s="250"/>
      <c r="DZ799" s="250"/>
      <c r="EA799" s="260"/>
      <c r="EB799" s="260"/>
      <c r="EC799" s="260"/>
      <c r="ED799" s="260"/>
      <c r="EG799" s="396"/>
      <c r="EH799" s="396"/>
    </row>
    <row r="800" spans="1:138" s="3" customFormat="1" x14ac:dyDescent="0.25">
      <c r="A800" s="407"/>
      <c r="B800" s="407"/>
      <c r="C800" s="250"/>
      <c r="D800" s="250"/>
      <c r="E800" s="250"/>
      <c r="F800" s="250"/>
      <c r="G800" s="250"/>
      <c r="H800" s="250"/>
      <c r="I800" s="250"/>
      <c r="J800" s="250"/>
      <c r="K800" s="250"/>
      <c r="L800" s="250"/>
      <c r="M800" s="250"/>
      <c r="N800" s="250"/>
      <c r="O800" s="250"/>
      <c r="P800" s="250"/>
      <c r="Q800" s="250"/>
      <c r="R800" s="250"/>
      <c r="S800" s="250"/>
      <c r="T800" s="250"/>
      <c r="U800" s="250"/>
      <c r="V800" s="250"/>
      <c r="W800" s="250"/>
      <c r="X800" s="250"/>
      <c r="Y800" s="250"/>
      <c r="Z800" s="250"/>
      <c r="AA800" s="250"/>
      <c r="AB800" s="250"/>
      <c r="AC800" s="250"/>
      <c r="AD800" s="250"/>
      <c r="AE800" s="250"/>
      <c r="AF800" s="250"/>
      <c r="AG800" s="250"/>
      <c r="AH800" s="250"/>
      <c r="AI800" s="250"/>
      <c r="AJ800" s="250"/>
      <c r="AK800" s="250"/>
      <c r="AL800" s="250"/>
      <c r="AM800" s="408"/>
      <c r="AN800" s="408"/>
      <c r="AO800" s="408"/>
      <c r="AP800" s="408"/>
      <c r="AQ800" s="408"/>
      <c r="AR800" s="408"/>
      <c r="AS800" s="408"/>
      <c r="AT800" s="408"/>
      <c r="AU800" s="408"/>
      <c r="AV800" s="408"/>
      <c r="AW800" s="408"/>
      <c r="AX800" s="250"/>
      <c r="AY800" s="250"/>
      <c r="AZ800" s="250"/>
      <c r="BA800" s="250"/>
      <c r="BB800" s="250"/>
      <c r="BC800" s="250"/>
      <c r="BD800" s="250"/>
      <c r="BE800" s="250"/>
      <c r="BF800" s="250"/>
      <c r="BG800" s="250"/>
      <c r="BH800" s="250"/>
      <c r="BI800" s="250"/>
      <c r="BJ800" s="250"/>
      <c r="BK800" s="250"/>
      <c r="BL800" s="250"/>
      <c r="BM800" s="250"/>
      <c r="BN800" s="250"/>
      <c r="BO800" s="250"/>
      <c r="BP800" s="250"/>
      <c r="BQ800" s="250"/>
      <c r="BR800" s="250"/>
      <c r="BS800" s="250"/>
      <c r="BT800" s="250"/>
      <c r="BU800" s="250"/>
      <c r="BV800" s="250"/>
      <c r="BW800" s="250"/>
      <c r="BX800" s="250"/>
      <c r="BY800" s="250"/>
      <c r="BZ800" s="250"/>
      <c r="CA800" s="250"/>
      <c r="CB800" s="250"/>
      <c r="CC800" s="250"/>
      <c r="CD800" s="250"/>
      <c r="CE800" s="250"/>
      <c r="CF800" s="250"/>
      <c r="CG800" s="250"/>
      <c r="CH800" s="250"/>
      <c r="CI800" s="408"/>
      <c r="CJ800" s="408"/>
      <c r="CK800" s="408"/>
      <c r="CL800" s="408"/>
      <c r="CM800" s="408"/>
      <c r="CN800" s="408"/>
      <c r="CO800" s="408"/>
      <c r="CP800" s="408"/>
      <c r="CQ800" s="408"/>
      <c r="CR800" s="408"/>
      <c r="CS800" s="408"/>
      <c r="CT800" s="250"/>
      <c r="CU800" s="250"/>
      <c r="CV800" s="250"/>
      <c r="CW800" s="250"/>
      <c r="CX800" s="408"/>
      <c r="CY800" s="408"/>
      <c r="CZ800" s="408"/>
      <c r="DA800" s="408"/>
      <c r="DB800" s="408"/>
      <c r="DC800" s="408"/>
      <c r="DD800" s="408"/>
      <c r="DE800" s="250"/>
      <c r="DF800" s="408"/>
      <c r="DG800" s="408"/>
      <c r="DH800" s="408"/>
      <c r="DI800" s="408"/>
      <c r="DJ800" s="408"/>
      <c r="DK800" s="408"/>
      <c r="DL800" s="408"/>
      <c r="DM800" s="250"/>
      <c r="DN800" s="250"/>
      <c r="DO800" s="250"/>
      <c r="DP800" s="250"/>
      <c r="DQ800" s="250"/>
      <c r="DR800" s="250"/>
      <c r="DS800" s="250"/>
      <c r="DT800" s="250"/>
      <c r="DU800" s="250"/>
      <c r="DV800" s="250"/>
      <c r="DW800" s="252"/>
      <c r="DX800" s="252"/>
      <c r="DY800" s="250"/>
      <c r="DZ800" s="250"/>
      <c r="EA800" s="260"/>
      <c r="EB800" s="260"/>
      <c r="EC800" s="260"/>
      <c r="ED800" s="260"/>
      <c r="EG800" s="396"/>
      <c r="EH800" s="396"/>
    </row>
    <row r="801" spans="1:138" s="3" customFormat="1" x14ac:dyDescent="0.25">
      <c r="A801" s="407"/>
      <c r="B801" s="407"/>
      <c r="C801" s="250"/>
      <c r="D801" s="250"/>
      <c r="E801" s="250"/>
      <c r="F801" s="250"/>
      <c r="G801" s="250"/>
      <c r="H801" s="250"/>
      <c r="I801" s="250"/>
      <c r="J801" s="250"/>
      <c r="K801" s="250"/>
      <c r="L801" s="250"/>
      <c r="M801" s="250"/>
      <c r="N801" s="250"/>
      <c r="O801" s="250"/>
      <c r="P801" s="250"/>
      <c r="Q801" s="250"/>
      <c r="R801" s="250"/>
      <c r="S801" s="250"/>
      <c r="T801" s="250"/>
      <c r="U801" s="250"/>
      <c r="V801" s="250"/>
      <c r="W801" s="250"/>
      <c r="X801" s="250"/>
      <c r="Y801" s="250"/>
      <c r="Z801" s="250"/>
      <c r="AA801" s="250"/>
      <c r="AB801" s="250"/>
      <c r="AC801" s="250"/>
      <c r="AD801" s="250"/>
      <c r="AE801" s="250"/>
      <c r="AF801" s="250"/>
      <c r="AG801" s="250"/>
      <c r="AH801" s="250"/>
      <c r="AI801" s="250"/>
      <c r="AJ801" s="250"/>
      <c r="AK801" s="250"/>
      <c r="AL801" s="250"/>
      <c r="AM801" s="408"/>
      <c r="AN801" s="408"/>
      <c r="AO801" s="408"/>
      <c r="AP801" s="408"/>
      <c r="AQ801" s="408"/>
      <c r="AR801" s="408"/>
      <c r="AS801" s="408"/>
      <c r="AT801" s="408"/>
      <c r="AU801" s="408"/>
      <c r="AV801" s="408"/>
      <c r="AW801" s="408"/>
      <c r="AX801" s="250"/>
      <c r="AY801" s="250"/>
      <c r="AZ801" s="250"/>
      <c r="BA801" s="250"/>
      <c r="BB801" s="250"/>
      <c r="BC801" s="250"/>
      <c r="BD801" s="250"/>
      <c r="BE801" s="250"/>
      <c r="BF801" s="250"/>
      <c r="BG801" s="250"/>
      <c r="BH801" s="250"/>
      <c r="BI801" s="250"/>
      <c r="BJ801" s="250"/>
      <c r="BK801" s="250"/>
      <c r="BL801" s="250"/>
      <c r="BM801" s="250"/>
      <c r="BN801" s="250"/>
      <c r="BO801" s="250"/>
      <c r="BP801" s="250"/>
      <c r="BQ801" s="250"/>
      <c r="BR801" s="250"/>
      <c r="BS801" s="250"/>
      <c r="BT801" s="250"/>
      <c r="BU801" s="250"/>
      <c r="BV801" s="250"/>
      <c r="BW801" s="250"/>
      <c r="BX801" s="250"/>
      <c r="BY801" s="250"/>
      <c r="BZ801" s="250"/>
      <c r="CA801" s="250"/>
      <c r="CB801" s="250"/>
      <c r="CC801" s="250"/>
      <c r="CD801" s="250"/>
      <c r="CE801" s="250"/>
      <c r="CF801" s="250"/>
      <c r="CG801" s="250"/>
      <c r="CH801" s="250"/>
      <c r="CI801" s="408"/>
      <c r="CJ801" s="408"/>
      <c r="CK801" s="408"/>
      <c r="CL801" s="408"/>
      <c r="CM801" s="408"/>
      <c r="CN801" s="408"/>
      <c r="CO801" s="408"/>
      <c r="CP801" s="408"/>
      <c r="CQ801" s="408"/>
      <c r="CR801" s="408"/>
      <c r="CS801" s="408"/>
      <c r="CT801" s="250"/>
      <c r="CU801" s="250"/>
      <c r="CV801" s="250"/>
      <c r="CW801" s="250"/>
      <c r="CX801" s="408"/>
      <c r="CY801" s="408"/>
      <c r="CZ801" s="408"/>
      <c r="DA801" s="408"/>
      <c r="DB801" s="408"/>
      <c r="DC801" s="408"/>
      <c r="DD801" s="408"/>
      <c r="DE801" s="250"/>
      <c r="DF801" s="408"/>
      <c r="DG801" s="408"/>
      <c r="DH801" s="408"/>
      <c r="DI801" s="408"/>
      <c r="DJ801" s="408"/>
      <c r="DK801" s="408"/>
      <c r="DL801" s="408"/>
      <c r="DM801" s="250"/>
      <c r="DN801" s="250"/>
      <c r="DO801" s="250"/>
      <c r="DP801" s="250"/>
      <c r="DQ801" s="250"/>
      <c r="DR801" s="250"/>
      <c r="DS801" s="250"/>
      <c r="DT801" s="250"/>
      <c r="DU801" s="250"/>
      <c r="DV801" s="250"/>
      <c r="DW801" s="252"/>
      <c r="DX801" s="252"/>
      <c r="DY801" s="250"/>
      <c r="DZ801" s="250"/>
      <c r="EA801" s="260"/>
      <c r="EB801" s="260"/>
      <c r="EC801" s="260"/>
      <c r="ED801" s="260"/>
      <c r="EG801" s="396"/>
      <c r="EH801" s="396"/>
    </row>
    <row r="802" spans="1:138" s="3" customFormat="1" x14ac:dyDescent="0.25">
      <c r="A802" s="407"/>
      <c r="B802" s="407"/>
      <c r="C802" s="250"/>
      <c r="D802" s="250"/>
      <c r="E802" s="250"/>
      <c r="F802" s="250"/>
      <c r="G802" s="250"/>
      <c r="H802" s="250"/>
      <c r="I802" s="250"/>
      <c r="J802" s="250"/>
      <c r="K802" s="250"/>
      <c r="L802" s="250"/>
      <c r="M802" s="250"/>
      <c r="N802" s="250"/>
      <c r="O802" s="250"/>
      <c r="P802" s="250"/>
      <c r="Q802" s="250"/>
      <c r="R802" s="250"/>
      <c r="S802" s="250"/>
      <c r="T802" s="250"/>
      <c r="U802" s="250"/>
      <c r="V802" s="250"/>
      <c r="W802" s="250"/>
      <c r="X802" s="250"/>
      <c r="Y802" s="250"/>
      <c r="Z802" s="250"/>
      <c r="AA802" s="250"/>
      <c r="AB802" s="250"/>
      <c r="AC802" s="250"/>
      <c r="AD802" s="250"/>
      <c r="AE802" s="250"/>
      <c r="AF802" s="250"/>
      <c r="AG802" s="250"/>
      <c r="AH802" s="250"/>
      <c r="AI802" s="250"/>
      <c r="AJ802" s="250"/>
      <c r="AK802" s="250"/>
      <c r="AL802" s="250"/>
      <c r="AM802" s="408"/>
      <c r="AN802" s="408"/>
      <c r="AO802" s="408"/>
      <c r="AP802" s="408"/>
      <c r="AQ802" s="408"/>
      <c r="AR802" s="408"/>
      <c r="AS802" s="408"/>
      <c r="AT802" s="408"/>
      <c r="AU802" s="408"/>
      <c r="AV802" s="408"/>
      <c r="AW802" s="408"/>
      <c r="AX802" s="250"/>
      <c r="AY802" s="250"/>
      <c r="AZ802" s="250"/>
      <c r="BA802" s="250"/>
      <c r="BB802" s="250"/>
      <c r="BC802" s="250"/>
      <c r="BD802" s="250"/>
      <c r="BE802" s="250"/>
      <c r="BF802" s="250"/>
      <c r="BG802" s="250"/>
      <c r="BH802" s="250"/>
      <c r="BI802" s="250"/>
      <c r="BJ802" s="250"/>
      <c r="BK802" s="250"/>
      <c r="BL802" s="250"/>
      <c r="BM802" s="250"/>
      <c r="BN802" s="250"/>
      <c r="BO802" s="250"/>
      <c r="BP802" s="250"/>
      <c r="BQ802" s="250"/>
      <c r="BR802" s="250"/>
      <c r="BS802" s="250"/>
      <c r="BT802" s="250"/>
      <c r="BU802" s="250"/>
      <c r="BV802" s="250"/>
      <c r="BW802" s="250"/>
      <c r="BX802" s="250"/>
      <c r="BY802" s="250"/>
      <c r="BZ802" s="250"/>
      <c r="CA802" s="250"/>
      <c r="CB802" s="250"/>
      <c r="CC802" s="250"/>
      <c r="CD802" s="250"/>
      <c r="CE802" s="250"/>
      <c r="CF802" s="250"/>
      <c r="CG802" s="250"/>
      <c r="CH802" s="250"/>
      <c r="CI802" s="408"/>
      <c r="CJ802" s="408"/>
      <c r="CK802" s="408"/>
      <c r="CL802" s="408"/>
      <c r="CM802" s="408"/>
      <c r="CN802" s="408"/>
      <c r="CO802" s="408"/>
      <c r="CP802" s="408"/>
      <c r="CQ802" s="408"/>
      <c r="CR802" s="408"/>
      <c r="CS802" s="408"/>
      <c r="CT802" s="250"/>
      <c r="CU802" s="250"/>
      <c r="CV802" s="250"/>
      <c r="CW802" s="250"/>
      <c r="CX802" s="408"/>
      <c r="CY802" s="408"/>
      <c r="CZ802" s="408"/>
      <c r="DA802" s="408"/>
      <c r="DB802" s="408"/>
      <c r="DC802" s="408"/>
      <c r="DD802" s="408"/>
      <c r="DE802" s="250"/>
      <c r="DF802" s="408"/>
      <c r="DG802" s="408"/>
      <c r="DH802" s="408"/>
      <c r="DI802" s="408"/>
      <c r="DJ802" s="408"/>
      <c r="DK802" s="408"/>
      <c r="DL802" s="408"/>
      <c r="DM802" s="250"/>
      <c r="DN802" s="250"/>
      <c r="DO802" s="250"/>
      <c r="DP802" s="250"/>
      <c r="DQ802" s="250"/>
      <c r="DR802" s="250"/>
      <c r="DS802" s="250"/>
      <c r="DT802" s="250"/>
      <c r="DU802" s="250"/>
      <c r="DV802" s="250"/>
      <c r="DW802" s="252"/>
      <c r="DX802" s="252"/>
      <c r="DY802" s="250"/>
      <c r="DZ802" s="250"/>
      <c r="EA802" s="260"/>
      <c r="EB802" s="260"/>
      <c r="EC802" s="260"/>
      <c r="ED802" s="260"/>
      <c r="EG802" s="396"/>
      <c r="EH802" s="396"/>
    </row>
    <row r="803" spans="1:138" s="3" customFormat="1" x14ac:dyDescent="0.25">
      <c r="A803" s="407"/>
      <c r="B803" s="407"/>
      <c r="C803" s="250"/>
      <c r="D803" s="250"/>
      <c r="E803" s="250"/>
      <c r="F803" s="250"/>
      <c r="G803" s="250"/>
      <c r="H803" s="250"/>
      <c r="I803" s="250"/>
      <c r="J803" s="250"/>
      <c r="K803" s="250"/>
      <c r="L803" s="250"/>
      <c r="M803" s="250"/>
      <c r="N803" s="250"/>
      <c r="O803" s="250"/>
      <c r="P803" s="250"/>
      <c r="Q803" s="250"/>
      <c r="R803" s="250"/>
      <c r="S803" s="250"/>
      <c r="T803" s="250"/>
      <c r="U803" s="250"/>
      <c r="V803" s="250"/>
      <c r="W803" s="250"/>
      <c r="X803" s="250"/>
      <c r="Y803" s="250"/>
      <c r="Z803" s="250"/>
      <c r="AA803" s="250"/>
      <c r="AB803" s="250"/>
      <c r="AC803" s="250"/>
      <c r="AD803" s="250"/>
      <c r="AE803" s="250"/>
      <c r="AF803" s="250"/>
      <c r="AG803" s="250"/>
      <c r="AH803" s="250"/>
      <c r="AI803" s="250"/>
      <c r="AJ803" s="250"/>
      <c r="AK803" s="250"/>
      <c r="AL803" s="250"/>
      <c r="AM803" s="408"/>
      <c r="AN803" s="408"/>
      <c r="AO803" s="408"/>
      <c r="AP803" s="408"/>
      <c r="AQ803" s="408"/>
      <c r="AR803" s="408"/>
      <c r="AS803" s="408"/>
      <c r="AT803" s="408"/>
      <c r="AU803" s="408"/>
      <c r="AV803" s="408"/>
      <c r="AW803" s="408"/>
      <c r="AX803" s="250"/>
      <c r="AY803" s="250"/>
      <c r="AZ803" s="250"/>
      <c r="BA803" s="250"/>
      <c r="BB803" s="250"/>
      <c r="BC803" s="250"/>
      <c r="BD803" s="250"/>
      <c r="BE803" s="250"/>
      <c r="BF803" s="250"/>
      <c r="BG803" s="250"/>
      <c r="BH803" s="250"/>
      <c r="BI803" s="250"/>
      <c r="BJ803" s="250"/>
      <c r="BK803" s="250"/>
      <c r="BL803" s="250"/>
      <c r="BM803" s="250"/>
      <c r="BN803" s="250"/>
      <c r="BO803" s="250"/>
      <c r="BP803" s="250"/>
      <c r="BQ803" s="250"/>
      <c r="BR803" s="250"/>
      <c r="BS803" s="250"/>
      <c r="BT803" s="250"/>
      <c r="BU803" s="250"/>
      <c r="BV803" s="250"/>
      <c r="BW803" s="250"/>
      <c r="BX803" s="250"/>
      <c r="BY803" s="250"/>
      <c r="BZ803" s="250"/>
      <c r="CA803" s="250"/>
      <c r="CB803" s="250"/>
      <c r="CC803" s="250"/>
      <c r="CD803" s="250"/>
      <c r="CE803" s="250"/>
      <c r="CF803" s="250"/>
      <c r="CG803" s="250"/>
      <c r="CH803" s="250"/>
      <c r="CI803" s="408"/>
      <c r="CJ803" s="408"/>
      <c r="CK803" s="408"/>
      <c r="CL803" s="408"/>
      <c r="CM803" s="408"/>
      <c r="CN803" s="408"/>
      <c r="CO803" s="408"/>
      <c r="CP803" s="408"/>
      <c r="CQ803" s="408"/>
      <c r="CR803" s="408"/>
      <c r="CS803" s="408"/>
      <c r="CT803" s="250"/>
      <c r="CU803" s="250"/>
      <c r="CV803" s="250"/>
      <c r="CW803" s="250"/>
      <c r="CX803" s="408"/>
      <c r="CY803" s="408"/>
      <c r="CZ803" s="408"/>
      <c r="DA803" s="408"/>
      <c r="DB803" s="408"/>
      <c r="DC803" s="408"/>
      <c r="DD803" s="408"/>
      <c r="DE803" s="250"/>
      <c r="DF803" s="408"/>
      <c r="DG803" s="408"/>
      <c r="DH803" s="408"/>
      <c r="DI803" s="408"/>
      <c r="DJ803" s="408"/>
      <c r="DK803" s="408"/>
      <c r="DL803" s="408"/>
      <c r="DM803" s="250"/>
      <c r="DN803" s="250"/>
      <c r="DO803" s="250"/>
      <c r="DP803" s="250"/>
      <c r="DQ803" s="250"/>
      <c r="DR803" s="250"/>
      <c r="DS803" s="250"/>
      <c r="DT803" s="250"/>
      <c r="DU803" s="250"/>
      <c r="DV803" s="250"/>
      <c r="DW803" s="252"/>
      <c r="DX803" s="252"/>
      <c r="DY803" s="250"/>
      <c r="DZ803" s="250"/>
      <c r="EA803" s="260"/>
      <c r="EB803" s="260"/>
      <c r="EC803" s="260"/>
      <c r="ED803" s="260"/>
      <c r="EG803" s="396"/>
      <c r="EH803" s="396"/>
    </row>
    <row r="804" spans="1:138" s="3" customFormat="1" x14ac:dyDescent="0.25">
      <c r="A804" s="407"/>
      <c r="B804" s="407"/>
      <c r="C804" s="250"/>
      <c r="D804" s="250"/>
      <c r="E804" s="250"/>
      <c r="F804" s="250"/>
      <c r="G804" s="250"/>
      <c r="H804" s="250"/>
      <c r="I804" s="250"/>
      <c r="J804" s="250"/>
      <c r="K804" s="250"/>
      <c r="L804" s="250"/>
      <c r="M804" s="250"/>
      <c r="N804" s="250"/>
      <c r="O804" s="250"/>
      <c r="P804" s="250"/>
      <c r="Q804" s="250"/>
      <c r="R804" s="250"/>
      <c r="S804" s="250"/>
      <c r="T804" s="250"/>
      <c r="U804" s="250"/>
      <c r="V804" s="250"/>
      <c r="W804" s="250"/>
      <c r="X804" s="250"/>
      <c r="Y804" s="250"/>
      <c r="Z804" s="250"/>
      <c r="AA804" s="250"/>
      <c r="AB804" s="250"/>
      <c r="AC804" s="250"/>
      <c r="AD804" s="250"/>
      <c r="AE804" s="250"/>
      <c r="AF804" s="250"/>
      <c r="AG804" s="250"/>
      <c r="AH804" s="250"/>
      <c r="AI804" s="250"/>
      <c r="AJ804" s="250"/>
      <c r="AK804" s="250"/>
      <c r="AL804" s="250"/>
      <c r="AM804" s="408"/>
      <c r="AN804" s="408"/>
      <c r="AO804" s="408"/>
      <c r="AP804" s="408"/>
      <c r="AQ804" s="408"/>
      <c r="AR804" s="408"/>
      <c r="AS804" s="408"/>
      <c r="AT804" s="408"/>
      <c r="AU804" s="408"/>
      <c r="AV804" s="408"/>
      <c r="AW804" s="408"/>
      <c r="AX804" s="250"/>
      <c r="AY804" s="250"/>
      <c r="AZ804" s="250"/>
      <c r="BA804" s="250"/>
      <c r="BB804" s="250"/>
      <c r="BC804" s="250"/>
      <c r="BD804" s="250"/>
      <c r="BE804" s="250"/>
      <c r="BF804" s="250"/>
      <c r="BG804" s="250"/>
      <c r="BH804" s="250"/>
      <c r="BI804" s="250"/>
      <c r="BJ804" s="250"/>
      <c r="BK804" s="250"/>
      <c r="BL804" s="250"/>
      <c r="BM804" s="250"/>
      <c r="BN804" s="250"/>
      <c r="BO804" s="250"/>
      <c r="BP804" s="250"/>
      <c r="BQ804" s="250"/>
      <c r="BR804" s="250"/>
      <c r="BS804" s="250"/>
      <c r="BT804" s="250"/>
      <c r="BU804" s="250"/>
      <c r="BV804" s="250"/>
      <c r="BW804" s="250"/>
      <c r="BX804" s="250"/>
      <c r="BY804" s="250"/>
      <c r="BZ804" s="250"/>
      <c r="CA804" s="250"/>
      <c r="CB804" s="250"/>
      <c r="CC804" s="250"/>
      <c r="CD804" s="250"/>
      <c r="CE804" s="250"/>
      <c r="CF804" s="250"/>
      <c r="CG804" s="250"/>
      <c r="CH804" s="250"/>
      <c r="CI804" s="408"/>
      <c r="CJ804" s="408"/>
      <c r="CK804" s="408"/>
      <c r="CL804" s="408"/>
      <c r="CM804" s="408"/>
      <c r="CN804" s="408"/>
      <c r="CO804" s="408"/>
      <c r="CP804" s="408"/>
      <c r="CQ804" s="408"/>
      <c r="CR804" s="408"/>
      <c r="CS804" s="408"/>
      <c r="CT804" s="250"/>
      <c r="CU804" s="250"/>
      <c r="CV804" s="250"/>
      <c r="CW804" s="250"/>
      <c r="CX804" s="408"/>
      <c r="CY804" s="408"/>
      <c r="CZ804" s="408"/>
      <c r="DA804" s="408"/>
      <c r="DB804" s="408"/>
      <c r="DC804" s="408"/>
      <c r="DD804" s="408"/>
      <c r="DE804" s="250"/>
      <c r="DF804" s="408"/>
      <c r="DG804" s="408"/>
      <c r="DH804" s="408"/>
      <c r="DI804" s="408"/>
      <c r="DJ804" s="408"/>
      <c r="DK804" s="408"/>
      <c r="DL804" s="408"/>
      <c r="DM804" s="250"/>
      <c r="DN804" s="250"/>
      <c r="DO804" s="250"/>
      <c r="DP804" s="250"/>
      <c r="DQ804" s="250"/>
      <c r="DR804" s="250"/>
      <c r="DS804" s="250"/>
      <c r="DT804" s="250"/>
      <c r="DU804" s="250"/>
      <c r="DV804" s="250"/>
      <c r="DW804" s="252"/>
      <c r="DX804" s="252"/>
      <c r="DY804" s="250"/>
      <c r="DZ804" s="250"/>
      <c r="EA804" s="260"/>
      <c r="EB804" s="260"/>
      <c r="EC804" s="260"/>
      <c r="ED804" s="260"/>
      <c r="EG804" s="396"/>
      <c r="EH804" s="396"/>
    </row>
    <row r="805" spans="1:138" s="3" customFormat="1" x14ac:dyDescent="0.25">
      <c r="A805" s="407"/>
      <c r="B805" s="407"/>
      <c r="C805" s="250"/>
      <c r="D805" s="250"/>
      <c r="E805" s="250"/>
      <c r="F805" s="250"/>
      <c r="G805" s="250"/>
      <c r="H805" s="250"/>
      <c r="I805" s="250"/>
      <c r="J805" s="250"/>
      <c r="K805" s="250"/>
      <c r="L805" s="250"/>
      <c r="M805" s="250"/>
      <c r="N805" s="250"/>
      <c r="O805" s="250"/>
      <c r="P805" s="250"/>
      <c r="Q805" s="250"/>
      <c r="R805" s="250"/>
      <c r="S805" s="250"/>
      <c r="T805" s="250"/>
      <c r="U805" s="250"/>
      <c r="V805" s="250"/>
      <c r="W805" s="250"/>
      <c r="X805" s="250"/>
      <c r="Y805" s="250"/>
      <c r="Z805" s="250"/>
      <c r="AA805" s="250"/>
      <c r="AB805" s="250"/>
      <c r="AC805" s="250"/>
      <c r="AD805" s="250"/>
      <c r="AE805" s="250"/>
      <c r="AF805" s="250"/>
      <c r="AG805" s="250"/>
      <c r="AH805" s="250"/>
      <c r="AI805" s="250"/>
      <c r="AJ805" s="250"/>
      <c r="AK805" s="250"/>
      <c r="AL805" s="250"/>
      <c r="AM805" s="408"/>
      <c r="AN805" s="408"/>
      <c r="AO805" s="408"/>
      <c r="AP805" s="408"/>
      <c r="AQ805" s="408"/>
      <c r="AR805" s="408"/>
      <c r="AS805" s="408"/>
      <c r="AT805" s="408"/>
      <c r="AU805" s="408"/>
      <c r="AV805" s="408"/>
      <c r="AW805" s="408"/>
      <c r="AX805" s="250"/>
      <c r="AY805" s="250"/>
      <c r="AZ805" s="250"/>
      <c r="BA805" s="250"/>
      <c r="BB805" s="250"/>
      <c r="BC805" s="250"/>
      <c r="BD805" s="250"/>
      <c r="BE805" s="250"/>
      <c r="BF805" s="250"/>
      <c r="BG805" s="250"/>
      <c r="BH805" s="250"/>
      <c r="BI805" s="250"/>
      <c r="BJ805" s="250"/>
      <c r="BK805" s="250"/>
      <c r="BL805" s="250"/>
      <c r="BM805" s="250"/>
      <c r="BN805" s="250"/>
      <c r="BO805" s="250"/>
      <c r="BP805" s="250"/>
      <c r="BQ805" s="250"/>
      <c r="BR805" s="250"/>
      <c r="BS805" s="250"/>
      <c r="BT805" s="250"/>
      <c r="BU805" s="250"/>
      <c r="BV805" s="250"/>
      <c r="BW805" s="250"/>
      <c r="BX805" s="250"/>
      <c r="BY805" s="250"/>
      <c r="BZ805" s="250"/>
      <c r="CA805" s="250"/>
      <c r="CB805" s="250"/>
      <c r="CC805" s="250"/>
      <c r="CD805" s="250"/>
      <c r="CE805" s="250"/>
      <c r="CF805" s="250"/>
      <c r="CG805" s="250"/>
      <c r="CH805" s="250"/>
      <c r="CI805" s="408"/>
      <c r="CJ805" s="408"/>
      <c r="CK805" s="408"/>
      <c r="CL805" s="408"/>
      <c r="CM805" s="408"/>
      <c r="CN805" s="408"/>
      <c r="CO805" s="408"/>
      <c r="CP805" s="408"/>
      <c r="CQ805" s="408"/>
      <c r="CR805" s="408"/>
      <c r="CS805" s="408"/>
      <c r="CT805" s="250"/>
      <c r="CU805" s="250"/>
      <c r="CV805" s="250"/>
      <c r="CW805" s="250"/>
      <c r="CX805" s="408"/>
      <c r="CY805" s="408"/>
      <c r="CZ805" s="408"/>
      <c r="DA805" s="408"/>
      <c r="DB805" s="408"/>
      <c r="DC805" s="408"/>
      <c r="DD805" s="408"/>
      <c r="DE805" s="250"/>
      <c r="DF805" s="408"/>
      <c r="DG805" s="408"/>
      <c r="DH805" s="408"/>
      <c r="DI805" s="408"/>
      <c r="DJ805" s="408"/>
      <c r="DK805" s="408"/>
      <c r="DL805" s="408"/>
      <c r="DM805" s="250"/>
      <c r="DN805" s="250"/>
      <c r="DO805" s="250"/>
      <c r="DP805" s="250"/>
      <c r="DQ805" s="250"/>
      <c r="DR805" s="250"/>
      <c r="DS805" s="250"/>
      <c r="DT805" s="250"/>
      <c r="DU805" s="250"/>
      <c r="DV805" s="250"/>
      <c r="DW805" s="252"/>
      <c r="DX805" s="252"/>
      <c r="DY805" s="250"/>
      <c r="DZ805" s="250"/>
      <c r="EA805" s="260"/>
      <c r="EB805" s="260"/>
      <c r="EC805" s="260"/>
      <c r="ED805" s="260"/>
      <c r="EG805" s="396"/>
      <c r="EH805" s="396"/>
    </row>
    <row r="806" spans="1:138" s="3" customFormat="1" x14ac:dyDescent="0.25">
      <c r="A806" s="407"/>
      <c r="B806" s="407"/>
      <c r="C806" s="250"/>
      <c r="D806" s="250"/>
      <c r="E806" s="250"/>
      <c r="F806" s="250"/>
      <c r="G806" s="250"/>
      <c r="H806" s="250"/>
      <c r="I806" s="250"/>
      <c r="J806" s="250"/>
      <c r="K806" s="250"/>
      <c r="L806" s="250"/>
      <c r="M806" s="250"/>
      <c r="N806" s="250"/>
      <c r="O806" s="250"/>
      <c r="P806" s="250"/>
      <c r="Q806" s="250"/>
      <c r="R806" s="250"/>
      <c r="S806" s="250"/>
      <c r="T806" s="250"/>
      <c r="U806" s="250"/>
      <c r="V806" s="250"/>
      <c r="W806" s="250"/>
      <c r="X806" s="250"/>
      <c r="Y806" s="250"/>
      <c r="Z806" s="250"/>
      <c r="AA806" s="250"/>
      <c r="AB806" s="250"/>
      <c r="AC806" s="250"/>
      <c r="AD806" s="250"/>
      <c r="AE806" s="250"/>
      <c r="AF806" s="250"/>
      <c r="AG806" s="250"/>
      <c r="AH806" s="250"/>
      <c r="AI806" s="250"/>
      <c r="AJ806" s="250"/>
      <c r="AK806" s="250"/>
      <c r="AL806" s="250"/>
      <c r="AM806" s="408"/>
      <c r="AN806" s="408"/>
      <c r="AO806" s="408"/>
      <c r="AP806" s="408"/>
      <c r="AQ806" s="408"/>
      <c r="AR806" s="408"/>
      <c r="AS806" s="408"/>
      <c r="AT806" s="408"/>
      <c r="AU806" s="408"/>
      <c r="AV806" s="408"/>
      <c r="AW806" s="408"/>
      <c r="AX806" s="250"/>
      <c r="AY806" s="250"/>
      <c r="AZ806" s="250"/>
      <c r="BA806" s="250"/>
      <c r="BB806" s="250"/>
      <c r="BC806" s="250"/>
      <c r="BD806" s="250"/>
      <c r="BE806" s="250"/>
      <c r="BF806" s="250"/>
      <c r="BG806" s="250"/>
      <c r="BH806" s="250"/>
      <c r="BI806" s="250"/>
      <c r="BJ806" s="250"/>
      <c r="BK806" s="250"/>
      <c r="BL806" s="250"/>
      <c r="BM806" s="250"/>
      <c r="BN806" s="250"/>
      <c r="BO806" s="250"/>
      <c r="BP806" s="250"/>
      <c r="BQ806" s="250"/>
      <c r="BR806" s="250"/>
      <c r="BS806" s="250"/>
      <c r="BT806" s="250"/>
      <c r="BU806" s="250"/>
      <c r="BV806" s="250"/>
      <c r="BW806" s="250"/>
      <c r="BX806" s="250"/>
      <c r="BY806" s="250"/>
      <c r="BZ806" s="250"/>
      <c r="CA806" s="250"/>
      <c r="CB806" s="250"/>
      <c r="CC806" s="250"/>
      <c r="CD806" s="250"/>
      <c r="CE806" s="250"/>
      <c r="CF806" s="250"/>
      <c r="CG806" s="250"/>
      <c r="CH806" s="250"/>
      <c r="CI806" s="408"/>
      <c r="CJ806" s="408"/>
      <c r="CK806" s="408"/>
      <c r="CL806" s="408"/>
      <c r="CM806" s="408"/>
      <c r="CN806" s="408"/>
      <c r="CO806" s="408"/>
      <c r="CP806" s="408"/>
      <c r="CQ806" s="408"/>
      <c r="CR806" s="408"/>
      <c r="CS806" s="408"/>
      <c r="CT806" s="250"/>
      <c r="CU806" s="250"/>
      <c r="CV806" s="250"/>
      <c r="CW806" s="250"/>
      <c r="CX806" s="408"/>
      <c r="CY806" s="408"/>
      <c r="CZ806" s="408"/>
      <c r="DA806" s="408"/>
      <c r="DB806" s="408"/>
      <c r="DC806" s="408"/>
      <c r="DD806" s="408"/>
      <c r="DE806" s="250"/>
      <c r="DF806" s="408"/>
      <c r="DG806" s="408"/>
      <c r="DH806" s="408"/>
      <c r="DI806" s="408"/>
      <c r="DJ806" s="408"/>
      <c r="DK806" s="408"/>
      <c r="DL806" s="408"/>
      <c r="DM806" s="250"/>
      <c r="DN806" s="250"/>
      <c r="DO806" s="250"/>
      <c r="DP806" s="250"/>
      <c r="DQ806" s="250"/>
      <c r="DR806" s="250"/>
      <c r="DS806" s="250"/>
      <c r="DT806" s="250"/>
      <c r="DU806" s="250"/>
      <c r="DV806" s="250"/>
      <c r="DW806" s="252"/>
      <c r="DX806" s="252"/>
      <c r="DY806" s="250"/>
      <c r="DZ806" s="250"/>
      <c r="EA806" s="260"/>
      <c r="EB806" s="260"/>
      <c r="EC806" s="260"/>
      <c r="ED806" s="260"/>
      <c r="EG806" s="396"/>
      <c r="EH806" s="396"/>
    </row>
    <row r="807" spans="1:138" s="3" customFormat="1" x14ac:dyDescent="0.25">
      <c r="A807" s="407"/>
      <c r="B807" s="407"/>
      <c r="C807" s="250"/>
      <c r="D807" s="250"/>
      <c r="E807" s="250"/>
      <c r="F807" s="250"/>
      <c r="G807" s="250"/>
      <c r="H807" s="250"/>
      <c r="I807" s="250"/>
      <c r="J807" s="250"/>
      <c r="K807" s="250"/>
      <c r="L807" s="250"/>
      <c r="M807" s="250"/>
      <c r="N807" s="250"/>
      <c r="O807" s="250"/>
      <c r="P807" s="250"/>
      <c r="Q807" s="250"/>
      <c r="R807" s="250"/>
      <c r="S807" s="250"/>
      <c r="T807" s="250"/>
      <c r="U807" s="250"/>
      <c r="V807" s="250"/>
      <c r="W807" s="250"/>
      <c r="X807" s="250"/>
      <c r="Y807" s="250"/>
      <c r="Z807" s="250"/>
      <c r="AA807" s="250"/>
      <c r="AB807" s="250"/>
      <c r="AC807" s="250"/>
      <c r="AD807" s="250"/>
      <c r="AE807" s="250"/>
      <c r="AF807" s="250"/>
      <c r="AG807" s="250"/>
      <c r="AH807" s="250"/>
      <c r="AI807" s="250"/>
      <c r="AJ807" s="250"/>
      <c r="AK807" s="250"/>
      <c r="AL807" s="250"/>
      <c r="AM807" s="408"/>
      <c r="AN807" s="408"/>
      <c r="AO807" s="408"/>
      <c r="AP807" s="408"/>
      <c r="AQ807" s="408"/>
      <c r="AR807" s="408"/>
      <c r="AS807" s="408"/>
      <c r="AT807" s="408"/>
      <c r="AU807" s="408"/>
      <c r="AV807" s="408"/>
      <c r="AW807" s="408"/>
      <c r="AX807" s="250"/>
      <c r="AY807" s="250"/>
      <c r="AZ807" s="250"/>
      <c r="BA807" s="250"/>
      <c r="BB807" s="250"/>
      <c r="BC807" s="250"/>
      <c r="BD807" s="250"/>
      <c r="BE807" s="250"/>
      <c r="BF807" s="250"/>
      <c r="BG807" s="250"/>
      <c r="BH807" s="250"/>
      <c r="BI807" s="250"/>
      <c r="BJ807" s="250"/>
      <c r="BK807" s="250"/>
      <c r="BL807" s="250"/>
      <c r="BM807" s="250"/>
      <c r="BN807" s="250"/>
      <c r="BO807" s="250"/>
      <c r="BP807" s="250"/>
      <c r="BQ807" s="250"/>
      <c r="BR807" s="250"/>
      <c r="BS807" s="250"/>
      <c r="BT807" s="250"/>
      <c r="BU807" s="250"/>
      <c r="BV807" s="250"/>
      <c r="BW807" s="250"/>
      <c r="BX807" s="250"/>
      <c r="BY807" s="250"/>
      <c r="BZ807" s="250"/>
      <c r="CA807" s="250"/>
      <c r="CB807" s="250"/>
      <c r="CC807" s="250"/>
      <c r="CD807" s="250"/>
      <c r="CE807" s="250"/>
      <c r="CF807" s="250"/>
      <c r="CG807" s="250"/>
      <c r="CH807" s="250"/>
      <c r="CI807" s="408"/>
      <c r="CJ807" s="408"/>
      <c r="CK807" s="408"/>
      <c r="CL807" s="408"/>
      <c r="CM807" s="408"/>
      <c r="CN807" s="408"/>
      <c r="CO807" s="408"/>
      <c r="CP807" s="408"/>
      <c r="CQ807" s="408"/>
      <c r="CR807" s="408"/>
      <c r="CS807" s="408"/>
      <c r="CT807" s="250"/>
      <c r="CU807" s="250"/>
      <c r="CV807" s="250"/>
      <c r="CW807" s="250"/>
      <c r="CX807" s="408"/>
      <c r="CY807" s="408"/>
      <c r="CZ807" s="408"/>
      <c r="DA807" s="408"/>
      <c r="DB807" s="408"/>
      <c r="DC807" s="408"/>
      <c r="DD807" s="408"/>
      <c r="DE807" s="250"/>
      <c r="DF807" s="408"/>
      <c r="DG807" s="408"/>
      <c r="DH807" s="408"/>
      <c r="DI807" s="408"/>
      <c r="DJ807" s="408"/>
      <c r="DK807" s="408"/>
      <c r="DL807" s="408"/>
      <c r="DM807" s="250"/>
      <c r="DN807" s="250"/>
      <c r="DO807" s="250"/>
      <c r="DP807" s="250"/>
      <c r="DQ807" s="250"/>
      <c r="DR807" s="250"/>
      <c r="DS807" s="250"/>
      <c r="DT807" s="250"/>
      <c r="DU807" s="250"/>
      <c r="DV807" s="250"/>
      <c r="DW807" s="252"/>
      <c r="DX807" s="252"/>
      <c r="DY807" s="250"/>
      <c r="DZ807" s="250"/>
      <c r="EA807" s="260"/>
      <c r="EB807" s="260"/>
      <c r="EC807" s="260"/>
      <c r="ED807" s="260"/>
      <c r="EG807" s="396"/>
      <c r="EH807" s="396"/>
    </row>
    <row r="808" spans="1:138" s="3" customFormat="1" x14ac:dyDescent="0.25">
      <c r="A808" s="407"/>
      <c r="B808" s="407"/>
      <c r="C808" s="250"/>
      <c r="D808" s="250"/>
      <c r="E808" s="250"/>
      <c r="F808" s="250"/>
      <c r="G808" s="250"/>
      <c r="H808" s="250"/>
      <c r="I808" s="250"/>
      <c r="J808" s="250"/>
      <c r="K808" s="250"/>
      <c r="L808" s="250"/>
      <c r="M808" s="250"/>
      <c r="N808" s="250"/>
      <c r="O808" s="250"/>
      <c r="P808" s="250"/>
      <c r="Q808" s="250"/>
      <c r="R808" s="250"/>
      <c r="S808" s="250"/>
      <c r="T808" s="250"/>
      <c r="U808" s="250"/>
      <c r="V808" s="250"/>
      <c r="W808" s="250"/>
      <c r="X808" s="250"/>
      <c r="Y808" s="250"/>
      <c r="Z808" s="250"/>
      <c r="AA808" s="250"/>
      <c r="AB808" s="250"/>
      <c r="AC808" s="250"/>
      <c r="AD808" s="250"/>
      <c r="AE808" s="250"/>
      <c r="AF808" s="250"/>
      <c r="AG808" s="250"/>
      <c r="AH808" s="250"/>
      <c r="AI808" s="250"/>
      <c r="AJ808" s="250"/>
      <c r="AK808" s="250"/>
      <c r="AL808" s="250"/>
      <c r="AM808" s="408"/>
      <c r="AN808" s="408"/>
      <c r="AO808" s="408"/>
      <c r="AP808" s="408"/>
      <c r="AQ808" s="408"/>
      <c r="AR808" s="408"/>
      <c r="AS808" s="408"/>
      <c r="AT808" s="408"/>
      <c r="AU808" s="408"/>
      <c r="AV808" s="408"/>
      <c r="AW808" s="408"/>
      <c r="AX808" s="250"/>
      <c r="AY808" s="250"/>
      <c r="AZ808" s="250"/>
      <c r="BA808" s="250"/>
      <c r="BB808" s="250"/>
      <c r="BC808" s="250"/>
      <c r="BD808" s="250"/>
      <c r="BE808" s="250"/>
      <c r="BF808" s="250"/>
      <c r="BG808" s="250"/>
      <c r="BH808" s="250"/>
      <c r="BI808" s="250"/>
      <c r="BJ808" s="250"/>
      <c r="BK808" s="250"/>
      <c r="BL808" s="250"/>
      <c r="BM808" s="250"/>
      <c r="BN808" s="250"/>
      <c r="BO808" s="250"/>
      <c r="BP808" s="250"/>
      <c r="BQ808" s="250"/>
      <c r="BR808" s="250"/>
      <c r="BS808" s="250"/>
      <c r="BT808" s="250"/>
      <c r="BU808" s="250"/>
      <c r="BV808" s="250"/>
      <c r="BW808" s="250"/>
      <c r="BX808" s="250"/>
      <c r="BY808" s="250"/>
      <c r="BZ808" s="250"/>
      <c r="CA808" s="250"/>
      <c r="CB808" s="250"/>
      <c r="CC808" s="250"/>
      <c r="CD808" s="250"/>
      <c r="CE808" s="250"/>
      <c r="CF808" s="250"/>
      <c r="CG808" s="250"/>
      <c r="CH808" s="250"/>
      <c r="CI808" s="408"/>
      <c r="CJ808" s="408"/>
      <c r="CK808" s="408"/>
      <c r="CL808" s="408"/>
      <c r="CM808" s="408"/>
      <c r="CN808" s="408"/>
      <c r="CO808" s="408"/>
      <c r="CP808" s="408"/>
      <c r="CQ808" s="408"/>
      <c r="CR808" s="408"/>
      <c r="CS808" s="408"/>
      <c r="CT808" s="250"/>
      <c r="CU808" s="250"/>
      <c r="CV808" s="250"/>
      <c r="CW808" s="250"/>
      <c r="CX808" s="408"/>
      <c r="CY808" s="408"/>
      <c r="CZ808" s="408"/>
      <c r="DA808" s="408"/>
      <c r="DB808" s="408"/>
      <c r="DC808" s="408"/>
      <c r="DD808" s="408"/>
      <c r="DE808" s="250"/>
      <c r="DF808" s="408"/>
      <c r="DG808" s="408"/>
      <c r="DH808" s="408"/>
      <c r="DI808" s="408"/>
      <c r="DJ808" s="408"/>
      <c r="DK808" s="408"/>
      <c r="DL808" s="408"/>
      <c r="DM808" s="250"/>
      <c r="DN808" s="250"/>
      <c r="DO808" s="250"/>
      <c r="DP808" s="250"/>
      <c r="DQ808" s="250"/>
      <c r="DR808" s="250"/>
      <c r="DS808" s="250"/>
      <c r="DT808" s="250"/>
      <c r="DU808" s="250"/>
      <c r="DV808" s="250"/>
      <c r="DW808" s="252"/>
      <c r="DX808" s="252"/>
      <c r="DY808" s="250"/>
      <c r="DZ808" s="250"/>
      <c r="EA808" s="260"/>
      <c r="EB808" s="260"/>
      <c r="EC808" s="260"/>
      <c r="ED808" s="260"/>
      <c r="EG808" s="396"/>
      <c r="EH808" s="396"/>
    </row>
    <row r="809" spans="1:138" s="3" customFormat="1" x14ac:dyDescent="0.25">
      <c r="A809" s="407"/>
      <c r="B809" s="407"/>
      <c r="C809" s="250"/>
      <c r="D809" s="250"/>
      <c r="E809" s="250"/>
      <c r="F809" s="250"/>
      <c r="G809" s="250"/>
      <c r="H809" s="250"/>
      <c r="I809" s="250"/>
      <c r="J809" s="250"/>
      <c r="K809" s="250"/>
      <c r="L809" s="250"/>
      <c r="M809" s="250"/>
      <c r="N809" s="250"/>
      <c r="O809" s="250"/>
      <c r="P809" s="250"/>
      <c r="Q809" s="250"/>
      <c r="R809" s="250"/>
      <c r="S809" s="250"/>
      <c r="T809" s="250"/>
      <c r="U809" s="250"/>
      <c r="V809" s="250"/>
      <c r="W809" s="250"/>
      <c r="X809" s="250"/>
      <c r="Y809" s="250"/>
      <c r="Z809" s="250"/>
      <c r="AA809" s="250"/>
      <c r="AB809" s="250"/>
      <c r="AC809" s="250"/>
      <c r="AD809" s="250"/>
      <c r="AE809" s="250"/>
      <c r="AF809" s="250"/>
      <c r="AG809" s="250"/>
      <c r="AH809" s="250"/>
      <c r="AI809" s="250"/>
      <c r="AJ809" s="250"/>
      <c r="AK809" s="250"/>
      <c r="AL809" s="250"/>
      <c r="AM809" s="408"/>
      <c r="AN809" s="408"/>
      <c r="AO809" s="408"/>
      <c r="AP809" s="408"/>
      <c r="AQ809" s="408"/>
      <c r="AR809" s="408"/>
      <c r="AS809" s="408"/>
      <c r="AT809" s="408"/>
      <c r="AU809" s="408"/>
      <c r="AV809" s="408"/>
      <c r="AW809" s="408"/>
      <c r="AX809" s="250"/>
      <c r="AY809" s="250"/>
      <c r="AZ809" s="250"/>
      <c r="BA809" s="250"/>
      <c r="BB809" s="250"/>
      <c r="BC809" s="250"/>
      <c r="BD809" s="250"/>
      <c r="BE809" s="250"/>
      <c r="BF809" s="250"/>
      <c r="BG809" s="250"/>
      <c r="BH809" s="250"/>
      <c r="BI809" s="250"/>
      <c r="BJ809" s="250"/>
      <c r="BK809" s="250"/>
      <c r="BL809" s="250"/>
      <c r="BM809" s="250"/>
      <c r="BN809" s="250"/>
      <c r="BO809" s="250"/>
      <c r="BP809" s="250"/>
      <c r="BQ809" s="250"/>
      <c r="BR809" s="250"/>
      <c r="BS809" s="250"/>
      <c r="BT809" s="250"/>
      <c r="BU809" s="250"/>
      <c r="BV809" s="250"/>
      <c r="BW809" s="250"/>
      <c r="BX809" s="250"/>
      <c r="BY809" s="250"/>
      <c r="BZ809" s="250"/>
      <c r="CA809" s="250"/>
      <c r="CB809" s="250"/>
      <c r="CC809" s="250"/>
      <c r="CD809" s="250"/>
      <c r="CE809" s="250"/>
      <c r="CF809" s="250"/>
      <c r="CG809" s="250"/>
      <c r="CH809" s="250"/>
      <c r="CI809" s="408"/>
      <c r="CJ809" s="408"/>
      <c r="CK809" s="408"/>
      <c r="CL809" s="408"/>
      <c r="CM809" s="408"/>
      <c r="CN809" s="408"/>
      <c r="CO809" s="408"/>
      <c r="CP809" s="408"/>
      <c r="CQ809" s="408"/>
      <c r="CR809" s="408"/>
      <c r="CS809" s="408"/>
      <c r="CT809" s="250"/>
      <c r="CU809" s="250"/>
      <c r="CV809" s="250"/>
      <c r="CW809" s="250"/>
      <c r="CX809" s="408"/>
      <c r="CY809" s="408"/>
      <c r="CZ809" s="408"/>
      <c r="DA809" s="408"/>
      <c r="DB809" s="408"/>
      <c r="DC809" s="408"/>
      <c r="DD809" s="408"/>
      <c r="DE809" s="250"/>
      <c r="DF809" s="408"/>
      <c r="DG809" s="408"/>
      <c r="DH809" s="408"/>
      <c r="DI809" s="408"/>
      <c r="DJ809" s="408"/>
      <c r="DK809" s="408"/>
      <c r="DL809" s="408"/>
      <c r="DM809" s="250"/>
      <c r="DN809" s="250"/>
      <c r="DO809" s="250"/>
      <c r="DP809" s="250"/>
      <c r="DQ809" s="250"/>
      <c r="DR809" s="250"/>
      <c r="DS809" s="250"/>
      <c r="DT809" s="250"/>
      <c r="DU809" s="250"/>
      <c r="DV809" s="250"/>
      <c r="DW809" s="252"/>
      <c r="DX809" s="252"/>
      <c r="DY809" s="250"/>
      <c r="DZ809" s="250"/>
      <c r="EA809" s="260"/>
      <c r="EB809" s="260"/>
      <c r="EC809" s="260"/>
      <c r="ED809" s="260"/>
      <c r="EG809" s="396"/>
      <c r="EH809" s="396"/>
    </row>
    <row r="810" spans="1:138" s="3" customFormat="1" x14ac:dyDescent="0.25">
      <c r="A810" s="407"/>
      <c r="B810" s="407"/>
      <c r="C810" s="250"/>
      <c r="D810" s="250"/>
      <c r="E810" s="250"/>
      <c r="F810" s="250"/>
      <c r="G810" s="250"/>
      <c r="H810" s="250"/>
      <c r="I810" s="250"/>
      <c r="J810" s="250"/>
      <c r="K810" s="250"/>
      <c r="L810" s="250"/>
      <c r="M810" s="250"/>
      <c r="N810" s="250"/>
      <c r="O810" s="250"/>
      <c r="P810" s="250"/>
      <c r="Q810" s="250"/>
      <c r="R810" s="250"/>
      <c r="S810" s="250"/>
      <c r="T810" s="250"/>
      <c r="U810" s="250"/>
      <c r="V810" s="250"/>
      <c r="W810" s="250"/>
      <c r="X810" s="250"/>
      <c r="Y810" s="250"/>
      <c r="Z810" s="250"/>
      <c r="AA810" s="250"/>
      <c r="AB810" s="250"/>
      <c r="AC810" s="250"/>
      <c r="AD810" s="250"/>
      <c r="AE810" s="250"/>
      <c r="AF810" s="250"/>
      <c r="AG810" s="250"/>
      <c r="AH810" s="250"/>
      <c r="AI810" s="250"/>
      <c r="AJ810" s="250"/>
      <c r="AK810" s="250"/>
      <c r="AL810" s="250"/>
      <c r="AM810" s="408"/>
      <c r="AN810" s="408"/>
      <c r="AO810" s="408"/>
      <c r="AP810" s="408"/>
      <c r="AQ810" s="408"/>
      <c r="AR810" s="408"/>
      <c r="AS810" s="408"/>
      <c r="AT810" s="408"/>
      <c r="AU810" s="408"/>
      <c r="AV810" s="408"/>
      <c r="AW810" s="408"/>
      <c r="AX810" s="250"/>
      <c r="AY810" s="250"/>
      <c r="AZ810" s="250"/>
      <c r="BA810" s="250"/>
      <c r="BB810" s="250"/>
      <c r="BC810" s="250"/>
      <c r="BD810" s="250"/>
      <c r="BE810" s="250"/>
      <c r="BF810" s="250"/>
      <c r="BG810" s="250"/>
      <c r="BH810" s="250"/>
      <c r="BI810" s="250"/>
      <c r="BJ810" s="250"/>
      <c r="BK810" s="250"/>
      <c r="BL810" s="250"/>
      <c r="BM810" s="250"/>
      <c r="BN810" s="250"/>
      <c r="BO810" s="250"/>
      <c r="BP810" s="250"/>
      <c r="BQ810" s="250"/>
      <c r="BR810" s="250"/>
      <c r="BS810" s="250"/>
      <c r="BT810" s="250"/>
      <c r="BU810" s="250"/>
      <c r="BV810" s="250"/>
      <c r="BW810" s="250"/>
      <c r="BX810" s="250"/>
      <c r="BY810" s="250"/>
      <c r="BZ810" s="250"/>
      <c r="CA810" s="250"/>
      <c r="CB810" s="250"/>
      <c r="CC810" s="250"/>
      <c r="CD810" s="250"/>
      <c r="CE810" s="250"/>
      <c r="CF810" s="250"/>
      <c r="CG810" s="250"/>
      <c r="CH810" s="250"/>
      <c r="CI810" s="408"/>
      <c r="CJ810" s="408"/>
      <c r="CK810" s="408"/>
      <c r="CL810" s="408"/>
      <c r="CM810" s="408"/>
      <c r="CN810" s="408"/>
      <c r="CO810" s="408"/>
      <c r="CP810" s="408"/>
      <c r="CQ810" s="408"/>
      <c r="CR810" s="408"/>
      <c r="CS810" s="408"/>
      <c r="CT810" s="250"/>
      <c r="CU810" s="250"/>
      <c r="CV810" s="250"/>
      <c r="CW810" s="250"/>
      <c r="CX810" s="408"/>
      <c r="CY810" s="408"/>
      <c r="CZ810" s="408"/>
      <c r="DA810" s="408"/>
      <c r="DB810" s="408"/>
      <c r="DC810" s="408"/>
      <c r="DD810" s="408"/>
      <c r="DE810" s="250"/>
      <c r="DF810" s="408"/>
      <c r="DG810" s="408"/>
      <c r="DH810" s="408"/>
      <c r="DI810" s="408"/>
      <c r="DJ810" s="408"/>
      <c r="DK810" s="408"/>
      <c r="DL810" s="408"/>
      <c r="DM810" s="250"/>
      <c r="DN810" s="250"/>
      <c r="DO810" s="250"/>
      <c r="DP810" s="250"/>
      <c r="DQ810" s="250"/>
      <c r="DR810" s="250"/>
      <c r="DS810" s="250"/>
      <c r="DT810" s="250"/>
      <c r="DU810" s="250"/>
      <c r="DV810" s="250"/>
      <c r="DW810" s="252"/>
      <c r="DX810" s="252"/>
      <c r="DY810" s="250"/>
      <c r="DZ810" s="250"/>
      <c r="EA810" s="260"/>
      <c r="EB810" s="260"/>
      <c r="EC810" s="260"/>
      <c r="ED810" s="260"/>
      <c r="EG810" s="396"/>
      <c r="EH810" s="396"/>
    </row>
    <row r="811" spans="1:138" s="3" customFormat="1" x14ac:dyDescent="0.25">
      <c r="A811" s="407"/>
      <c r="B811" s="407"/>
      <c r="C811" s="250"/>
      <c r="D811" s="250"/>
      <c r="E811" s="250"/>
      <c r="F811" s="250"/>
      <c r="G811" s="250"/>
      <c r="H811" s="250"/>
      <c r="I811" s="250"/>
      <c r="J811" s="250"/>
      <c r="K811" s="250"/>
      <c r="L811" s="250"/>
      <c r="M811" s="250"/>
      <c r="N811" s="250"/>
      <c r="O811" s="250"/>
      <c r="P811" s="250"/>
      <c r="Q811" s="250"/>
      <c r="R811" s="250"/>
      <c r="S811" s="250"/>
      <c r="T811" s="250"/>
      <c r="U811" s="250"/>
      <c r="V811" s="250"/>
      <c r="W811" s="250"/>
      <c r="X811" s="250"/>
      <c r="Y811" s="250"/>
      <c r="Z811" s="250"/>
      <c r="AA811" s="250"/>
      <c r="AB811" s="250"/>
      <c r="AC811" s="250"/>
      <c r="AD811" s="250"/>
      <c r="AE811" s="250"/>
      <c r="AF811" s="250"/>
      <c r="AG811" s="250"/>
      <c r="AH811" s="250"/>
      <c r="AI811" s="250"/>
      <c r="AJ811" s="250"/>
      <c r="AK811" s="250"/>
      <c r="AL811" s="250"/>
      <c r="AM811" s="408"/>
      <c r="AN811" s="408"/>
      <c r="AO811" s="408"/>
      <c r="AP811" s="408"/>
      <c r="AQ811" s="408"/>
      <c r="AR811" s="408"/>
      <c r="AS811" s="408"/>
      <c r="AT811" s="408"/>
      <c r="AU811" s="408"/>
      <c r="AV811" s="408"/>
      <c r="AW811" s="408"/>
      <c r="AX811" s="250"/>
      <c r="AY811" s="250"/>
      <c r="AZ811" s="250"/>
      <c r="BA811" s="250"/>
      <c r="BB811" s="250"/>
      <c r="BC811" s="250"/>
      <c r="BD811" s="250"/>
      <c r="BE811" s="250"/>
      <c r="BF811" s="250"/>
      <c r="BG811" s="250"/>
      <c r="BH811" s="250"/>
      <c r="BI811" s="250"/>
      <c r="BJ811" s="250"/>
      <c r="BK811" s="250"/>
      <c r="BL811" s="250"/>
      <c r="BM811" s="250"/>
      <c r="BN811" s="250"/>
      <c r="BO811" s="250"/>
      <c r="BP811" s="250"/>
      <c r="BQ811" s="250"/>
      <c r="BR811" s="250"/>
      <c r="BS811" s="250"/>
      <c r="BT811" s="250"/>
      <c r="BU811" s="250"/>
      <c r="BV811" s="250"/>
      <c r="BW811" s="250"/>
      <c r="BX811" s="250"/>
      <c r="BY811" s="250"/>
      <c r="BZ811" s="250"/>
      <c r="CA811" s="250"/>
      <c r="CB811" s="250"/>
      <c r="CC811" s="250"/>
      <c r="CD811" s="250"/>
      <c r="CE811" s="250"/>
      <c r="CF811" s="250"/>
      <c r="CG811" s="250"/>
      <c r="CH811" s="250"/>
      <c r="CI811" s="408"/>
      <c r="CJ811" s="408"/>
      <c r="CK811" s="408"/>
      <c r="CL811" s="408"/>
      <c r="CM811" s="408"/>
      <c r="CN811" s="408"/>
      <c r="CO811" s="408"/>
      <c r="CP811" s="408"/>
      <c r="CQ811" s="408"/>
      <c r="CR811" s="408"/>
      <c r="CS811" s="408"/>
      <c r="CT811" s="250"/>
      <c r="CU811" s="250"/>
      <c r="CV811" s="250"/>
      <c r="CW811" s="250"/>
      <c r="CX811" s="408"/>
      <c r="CY811" s="408"/>
      <c r="CZ811" s="408"/>
      <c r="DA811" s="408"/>
      <c r="DB811" s="408"/>
      <c r="DC811" s="408"/>
      <c r="DD811" s="408"/>
      <c r="DE811" s="250"/>
      <c r="DF811" s="408"/>
      <c r="DG811" s="408"/>
      <c r="DH811" s="408"/>
      <c r="DI811" s="408"/>
      <c r="DJ811" s="408"/>
      <c r="DK811" s="408"/>
      <c r="DL811" s="408"/>
      <c r="DM811" s="250"/>
      <c r="DN811" s="250"/>
      <c r="DO811" s="250"/>
      <c r="DP811" s="250"/>
      <c r="DQ811" s="250"/>
      <c r="DR811" s="250"/>
      <c r="DS811" s="250"/>
      <c r="DT811" s="250"/>
      <c r="DU811" s="250"/>
      <c r="DV811" s="250"/>
      <c r="DW811" s="252"/>
      <c r="DX811" s="252"/>
      <c r="DY811" s="250"/>
      <c r="DZ811" s="250"/>
      <c r="EA811" s="260"/>
      <c r="EB811" s="260"/>
      <c r="EC811" s="260"/>
      <c r="ED811" s="260"/>
      <c r="EG811" s="396"/>
      <c r="EH811" s="396"/>
    </row>
    <row r="812" spans="1:138" s="3" customFormat="1" x14ac:dyDescent="0.25">
      <c r="A812" s="407"/>
      <c r="B812" s="407"/>
      <c r="C812" s="250"/>
      <c r="D812" s="250"/>
      <c r="E812" s="250"/>
      <c r="F812" s="250"/>
      <c r="G812" s="250"/>
      <c r="H812" s="250"/>
      <c r="I812" s="250"/>
      <c r="J812" s="250"/>
      <c r="K812" s="250"/>
      <c r="L812" s="250"/>
      <c r="M812" s="250"/>
      <c r="N812" s="250"/>
      <c r="O812" s="250"/>
      <c r="P812" s="250"/>
      <c r="Q812" s="250"/>
      <c r="R812" s="250"/>
      <c r="S812" s="250"/>
      <c r="T812" s="250"/>
      <c r="U812" s="250"/>
      <c r="V812" s="250"/>
      <c r="W812" s="250"/>
      <c r="X812" s="250"/>
      <c r="Y812" s="250"/>
      <c r="Z812" s="250"/>
      <c r="AA812" s="250"/>
      <c r="AB812" s="250"/>
      <c r="AC812" s="250"/>
      <c r="AD812" s="250"/>
      <c r="AE812" s="250"/>
      <c r="AF812" s="250"/>
      <c r="AG812" s="250"/>
      <c r="AH812" s="250"/>
      <c r="AI812" s="250"/>
      <c r="AJ812" s="250"/>
      <c r="AK812" s="250"/>
      <c r="AL812" s="250"/>
      <c r="AM812" s="408"/>
      <c r="AN812" s="408"/>
      <c r="AO812" s="408"/>
      <c r="AP812" s="408"/>
      <c r="AQ812" s="408"/>
      <c r="AR812" s="408"/>
      <c r="AS812" s="408"/>
      <c r="AT812" s="408"/>
      <c r="AU812" s="408"/>
      <c r="AV812" s="408"/>
      <c r="AW812" s="408"/>
      <c r="AX812" s="250"/>
      <c r="AY812" s="250"/>
      <c r="AZ812" s="250"/>
      <c r="BA812" s="250"/>
      <c r="BB812" s="250"/>
      <c r="BC812" s="250"/>
      <c r="BD812" s="250"/>
      <c r="BE812" s="250"/>
      <c r="BF812" s="250"/>
      <c r="BG812" s="250"/>
      <c r="BH812" s="250"/>
      <c r="BI812" s="250"/>
      <c r="BJ812" s="250"/>
      <c r="BK812" s="250"/>
      <c r="BL812" s="250"/>
      <c r="BM812" s="250"/>
      <c r="BN812" s="250"/>
      <c r="BO812" s="250"/>
      <c r="BP812" s="250"/>
      <c r="BQ812" s="250"/>
      <c r="BR812" s="250"/>
      <c r="BS812" s="250"/>
      <c r="BT812" s="250"/>
      <c r="BU812" s="250"/>
      <c r="BV812" s="250"/>
      <c r="BW812" s="250"/>
      <c r="BX812" s="250"/>
      <c r="BY812" s="250"/>
      <c r="BZ812" s="250"/>
      <c r="CA812" s="250"/>
      <c r="CB812" s="250"/>
      <c r="CC812" s="250"/>
      <c r="CD812" s="250"/>
      <c r="CE812" s="250"/>
      <c r="CF812" s="250"/>
      <c r="CG812" s="250"/>
      <c r="CH812" s="250"/>
      <c r="CI812" s="408"/>
      <c r="CJ812" s="408"/>
      <c r="CK812" s="408"/>
      <c r="CL812" s="408"/>
      <c r="CM812" s="408"/>
      <c r="CN812" s="408"/>
      <c r="CO812" s="408"/>
      <c r="CP812" s="408"/>
      <c r="CQ812" s="408"/>
      <c r="CR812" s="408"/>
      <c r="CS812" s="408"/>
      <c r="CT812" s="250"/>
      <c r="CU812" s="250"/>
      <c r="CV812" s="250"/>
      <c r="CW812" s="250"/>
      <c r="CX812" s="408"/>
      <c r="CY812" s="408"/>
      <c r="CZ812" s="408"/>
      <c r="DA812" s="408"/>
      <c r="DB812" s="408"/>
      <c r="DC812" s="408"/>
      <c r="DD812" s="408"/>
      <c r="DE812" s="250"/>
      <c r="DF812" s="408"/>
      <c r="DG812" s="408"/>
      <c r="DH812" s="408"/>
      <c r="DI812" s="408"/>
      <c r="DJ812" s="408"/>
      <c r="DK812" s="408"/>
      <c r="DL812" s="408"/>
      <c r="DM812" s="250"/>
      <c r="DN812" s="250"/>
      <c r="DO812" s="250"/>
      <c r="DP812" s="250"/>
      <c r="DQ812" s="250"/>
      <c r="DR812" s="250"/>
      <c r="DS812" s="250"/>
      <c r="DT812" s="250"/>
      <c r="DU812" s="250"/>
      <c r="DV812" s="250"/>
      <c r="DW812" s="252"/>
      <c r="DX812" s="252"/>
      <c r="DY812" s="250"/>
      <c r="DZ812" s="250"/>
      <c r="EA812" s="260"/>
      <c r="EB812" s="260"/>
      <c r="EC812" s="260"/>
      <c r="ED812" s="260"/>
      <c r="EG812" s="396"/>
      <c r="EH812" s="396"/>
    </row>
    <row r="813" spans="1:138" s="3" customFormat="1" x14ac:dyDescent="0.25">
      <c r="A813" s="407"/>
      <c r="B813" s="407"/>
      <c r="C813" s="250"/>
      <c r="D813" s="250"/>
      <c r="E813" s="250"/>
      <c r="F813" s="250"/>
      <c r="G813" s="250"/>
      <c r="H813" s="250"/>
      <c r="I813" s="250"/>
      <c r="J813" s="250"/>
      <c r="K813" s="250"/>
      <c r="L813" s="250"/>
      <c r="M813" s="250"/>
      <c r="N813" s="250"/>
      <c r="O813" s="250"/>
      <c r="P813" s="250"/>
      <c r="Q813" s="250"/>
      <c r="R813" s="250"/>
      <c r="S813" s="250"/>
      <c r="T813" s="250"/>
      <c r="U813" s="250"/>
      <c r="V813" s="250"/>
      <c r="W813" s="250"/>
      <c r="X813" s="250"/>
      <c r="Y813" s="250"/>
      <c r="Z813" s="250"/>
      <c r="AA813" s="250"/>
      <c r="AB813" s="250"/>
      <c r="AC813" s="250"/>
      <c r="AD813" s="250"/>
      <c r="AE813" s="250"/>
      <c r="AF813" s="250"/>
      <c r="AG813" s="250"/>
      <c r="AH813" s="250"/>
      <c r="AI813" s="250"/>
      <c r="AJ813" s="250"/>
      <c r="AK813" s="250"/>
      <c r="AL813" s="250"/>
      <c r="AM813" s="408"/>
      <c r="AN813" s="408"/>
      <c r="AO813" s="408"/>
      <c r="AP813" s="408"/>
      <c r="AQ813" s="408"/>
      <c r="AR813" s="408"/>
      <c r="AS813" s="408"/>
      <c r="AT813" s="408"/>
      <c r="AU813" s="408"/>
      <c r="AV813" s="408"/>
      <c r="AW813" s="408"/>
      <c r="AX813" s="250"/>
      <c r="AY813" s="250"/>
      <c r="AZ813" s="250"/>
      <c r="BA813" s="250"/>
      <c r="BB813" s="250"/>
      <c r="BC813" s="250"/>
      <c r="BD813" s="250"/>
      <c r="BE813" s="250"/>
      <c r="BF813" s="250"/>
      <c r="BG813" s="250"/>
      <c r="BH813" s="250"/>
      <c r="BI813" s="250"/>
      <c r="BJ813" s="250"/>
      <c r="BK813" s="250"/>
      <c r="BL813" s="250"/>
      <c r="BM813" s="250"/>
      <c r="BN813" s="250"/>
      <c r="BO813" s="250"/>
      <c r="BP813" s="250"/>
      <c r="BQ813" s="250"/>
      <c r="BR813" s="250"/>
      <c r="BS813" s="250"/>
      <c r="BT813" s="250"/>
      <c r="BU813" s="250"/>
      <c r="BV813" s="250"/>
      <c r="BW813" s="250"/>
      <c r="BX813" s="250"/>
      <c r="BY813" s="250"/>
      <c r="BZ813" s="250"/>
      <c r="CA813" s="250"/>
      <c r="CB813" s="250"/>
      <c r="CC813" s="250"/>
      <c r="CD813" s="250"/>
      <c r="CE813" s="250"/>
      <c r="CF813" s="250"/>
      <c r="CG813" s="250"/>
      <c r="CH813" s="250"/>
      <c r="CI813" s="408"/>
      <c r="CJ813" s="408"/>
      <c r="CK813" s="408"/>
      <c r="CL813" s="408"/>
      <c r="CM813" s="408"/>
      <c r="CN813" s="408"/>
      <c r="CO813" s="408"/>
      <c r="CP813" s="408"/>
      <c r="CQ813" s="408"/>
      <c r="CR813" s="408"/>
      <c r="CS813" s="408"/>
      <c r="CT813" s="250"/>
      <c r="CU813" s="250"/>
      <c r="CV813" s="250"/>
      <c r="CW813" s="250"/>
      <c r="CX813" s="408"/>
      <c r="CY813" s="408"/>
      <c r="CZ813" s="408"/>
      <c r="DA813" s="408"/>
      <c r="DB813" s="408"/>
      <c r="DC813" s="408"/>
      <c r="DD813" s="408"/>
      <c r="DE813" s="250"/>
      <c r="DF813" s="408"/>
      <c r="DG813" s="408"/>
      <c r="DH813" s="408"/>
      <c r="DI813" s="408"/>
      <c r="DJ813" s="408"/>
      <c r="DK813" s="408"/>
      <c r="DL813" s="408"/>
      <c r="DM813" s="250"/>
      <c r="DN813" s="250"/>
      <c r="DO813" s="250"/>
      <c r="DP813" s="250"/>
      <c r="DQ813" s="250"/>
      <c r="DR813" s="250"/>
      <c r="DS813" s="250"/>
      <c r="DT813" s="250"/>
      <c r="DU813" s="250"/>
      <c r="DV813" s="250"/>
      <c r="DW813" s="252"/>
      <c r="DX813" s="252"/>
      <c r="DY813" s="250"/>
      <c r="DZ813" s="250"/>
      <c r="EA813" s="260"/>
      <c r="EB813" s="260"/>
      <c r="EC813" s="260"/>
      <c r="ED813" s="260"/>
      <c r="EG813" s="396"/>
      <c r="EH813" s="396"/>
    </row>
    <row r="814" spans="1:138" s="3" customFormat="1" x14ac:dyDescent="0.25">
      <c r="A814" s="407"/>
      <c r="B814" s="407"/>
      <c r="C814" s="250"/>
      <c r="D814" s="250"/>
      <c r="E814" s="250"/>
      <c r="F814" s="250"/>
      <c r="G814" s="250"/>
      <c r="H814" s="250"/>
      <c r="I814" s="250"/>
      <c r="J814" s="250"/>
      <c r="K814" s="250"/>
      <c r="L814" s="250"/>
      <c r="M814" s="250"/>
      <c r="N814" s="250"/>
      <c r="O814" s="250"/>
      <c r="P814" s="250"/>
      <c r="Q814" s="250"/>
      <c r="R814" s="250"/>
      <c r="S814" s="250"/>
      <c r="T814" s="250"/>
      <c r="U814" s="250"/>
      <c r="V814" s="250"/>
      <c r="W814" s="250"/>
      <c r="X814" s="250"/>
      <c r="Y814" s="250"/>
      <c r="Z814" s="250"/>
      <c r="AA814" s="250"/>
      <c r="AB814" s="250"/>
      <c r="AC814" s="250"/>
      <c r="AD814" s="250"/>
      <c r="AE814" s="250"/>
      <c r="AF814" s="250"/>
      <c r="AG814" s="250"/>
      <c r="AH814" s="250"/>
      <c r="AI814" s="250"/>
      <c r="AJ814" s="250"/>
      <c r="AK814" s="250"/>
      <c r="AL814" s="250"/>
      <c r="AM814" s="408"/>
      <c r="AN814" s="408"/>
      <c r="AO814" s="408"/>
      <c r="AP814" s="408"/>
      <c r="AQ814" s="408"/>
      <c r="AR814" s="408"/>
      <c r="AS814" s="408"/>
      <c r="AT814" s="408"/>
      <c r="AU814" s="408"/>
      <c r="AV814" s="408"/>
      <c r="AW814" s="408"/>
      <c r="AX814" s="250"/>
      <c r="AY814" s="250"/>
      <c r="AZ814" s="250"/>
      <c r="BA814" s="250"/>
      <c r="BB814" s="250"/>
      <c r="BC814" s="250"/>
      <c r="BD814" s="250"/>
      <c r="BE814" s="250"/>
      <c r="BF814" s="250"/>
      <c r="BG814" s="250"/>
      <c r="BH814" s="250"/>
      <c r="BI814" s="250"/>
      <c r="BJ814" s="250"/>
      <c r="BK814" s="250"/>
      <c r="BL814" s="250"/>
      <c r="BM814" s="250"/>
      <c r="BN814" s="250"/>
      <c r="BO814" s="250"/>
      <c r="BP814" s="250"/>
      <c r="BQ814" s="250"/>
      <c r="BR814" s="250"/>
      <c r="BS814" s="250"/>
      <c r="BT814" s="250"/>
      <c r="BU814" s="250"/>
      <c r="BV814" s="250"/>
      <c r="BW814" s="250"/>
      <c r="BX814" s="250"/>
      <c r="BY814" s="250"/>
      <c r="BZ814" s="250"/>
      <c r="CA814" s="250"/>
      <c r="CB814" s="250"/>
      <c r="CC814" s="250"/>
      <c r="CD814" s="250"/>
      <c r="CE814" s="250"/>
      <c r="CF814" s="250"/>
      <c r="CG814" s="250"/>
      <c r="CH814" s="250"/>
      <c r="CI814" s="408"/>
      <c r="CJ814" s="408"/>
      <c r="CK814" s="408"/>
      <c r="CL814" s="408"/>
      <c r="CM814" s="408"/>
      <c r="CN814" s="408"/>
      <c r="CO814" s="408"/>
      <c r="CP814" s="408"/>
      <c r="CQ814" s="408"/>
      <c r="CR814" s="408"/>
      <c r="CS814" s="408"/>
      <c r="CT814" s="250"/>
      <c r="CU814" s="250"/>
      <c r="CV814" s="250"/>
      <c r="CW814" s="250"/>
      <c r="CX814" s="408"/>
      <c r="CY814" s="408"/>
      <c r="CZ814" s="408"/>
      <c r="DA814" s="408"/>
      <c r="DB814" s="408"/>
      <c r="DC814" s="408"/>
      <c r="DD814" s="408"/>
      <c r="DE814" s="250"/>
      <c r="DF814" s="408"/>
      <c r="DG814" s="408"/>
      <c r="DH814" s="408"/>
      <c r="DI814" s="408"/>
      <c r="DJ814" s="408"/>
      <c r="DK814" s="408"/>
      <c r="DL814" s="408"/>
      <c r="DM814" s="250"/>
      <c r="DN814" s="250"/>
      <c r="DO814" s="250"/>
      <c r="DP814" s="250"/>
      <c r="DQ814" s="250"/>
      <c r="DR814" s="250"/>
      <c r="DS814" s="250"/>
      <c r="DT814" s="250"/>
      <c r="DU814" s="250"/>
      <c r="DV814" s="250"/>
      <c r="DW814" s="252"/>
      <c r="DX814" s="252"/>
      <c r="DY814" s="250"/>
      <c r="DZ814" s="250"/>
      <c r="EA814" s="260"/>
      <c r="EB814" s="260"/>
      <c r="EC814" s="260"/>
      <c r="ED814" s="260"/>
      <c r="EG814" s="396"/>
      <c r="EH814" s="396"/>
    </row>
    <row r="815" spans="1:138" s="3" customFormat="1" x14ac:dyDescent="0.25">
      <c r="A815" s="407"/>
      <c r="B815" s="407"/>
      <c r="C815" s="250"/>
      <c r="D815" s="250"/>
      <c r="E815" s="250"/>
      <c r="F815" s="250"/>
      <c r="G815" s="250"/>
      <c r="H815" s="250"/>
      <c r="I815" s="250"/>
      <c r="J815" s="250"/>
      <c r="K815" s="250"/>
      <c r="L815" s="250"/>
      <c r="M815" s="250"/>
      <c r="N815" s="250"/>
      <c r="O815" s="250"/>
      <c r="P815" s="250"/>
      <c r="Q815" s="250"/>
      <c r="R815" s="250"/>
      <c r="S815" s="250"/>
      <c r="T815" s="250"/>
      <c r="U815" s="250"/>
      <c r="V815" s="250"/>
      <c r="W815" s="250"/>
      <c r="X815" s="250"/>
      <c r="Y815" s="250"/>
      <c r="Z815" s="250"/>
      <c r="AA815" s="250"/>
      <c r="AB815" s="250"/>
      <c r="AC815" s="250"/>
      <c r="AD815" s="250"/>
      <c r="AE815" s="250"/>
      <c r="AF815" s="250"/>
      <c r="AG815" s="250"/>
      <c r="AH815" s="250"/>
      <c r="AI815" s="250"/>
      <c r="AJ815" s="250"/>
      <c r="AK815" s="250"/>
      <c r="AL815" s="250"/>
      <c r="AM815" s="408"/>
      <c r="AN815" s="408"/>
      <c r="AO815" s="408"/>
      <c r="AP815" s="408"/>
      <c r="AQ815" s="408"/>
      <c r="AR815" s="408"/>
      <c r="AS815" s="408"/>
      <c r="AT815" s="408"/>
      <c r="AU815" s="408"/>
      <c r="AV815" s="408"/>
      <c r="AW815" s="408"/>
      <c r="AX815" s="250"/>
      <c r="AY815" s="250"/>
      <c r="AZ815" s="250"/>
      <c r="BA815" s="250"/>
      <c r="BB815" s="250"/>
      <c r="BC815" s="250"/>
      <c r="BD815" s="250"/>
      <c r="BE815" s="250"/>
      <c r="BF815" s="250"/>
      <c r="BG815" s="250"/>
      <c r="BH815" s="250"/>
      <c r="BI815" s="250"/>
      <c r="BJ815" s="250"/>
      <c r="BK815" s="250"/>
      <c r="BL815" s="250"/>
      <c r="BM815" s="250"/>
      <c r="BN815" s="250"/>
      <c r="BO815" s="250"/>
      <c r="BP815" s="250"/>
      <c r="BQ815" s="250"/>
      <c r="BR815" s="250"/>
      <c r="BS815" s="250"/>
      <c r="BT815" s="250"/>
      <c r="BU815" s="250"/>
      <c r="BV815" s="250"/>
      <c r="BW815" s="250"/>
      <c r="BX815" s="250"/>
      <c r="BY815" s="250"/>
      <c r="BZ815" s="250"/>
      <c r="CA815" s="250"/>
      <c r="CB815" s="250"/>
      <c r="CC815" s="250"/>
      <c r="CD815" s="250"/>
      <c r="CE815" s="250"/>
      <c r="CF815" s="250"/>
      <c r="CG815" s="250"/>
      <c r="CH815" s="250"/>
      <c r="CI815" s="408"/>
      <c r="CJ815" s="408"/>
      <c r="CK815" s="408"/>
      <c r="CL815" s="408"/>
      <c r="CM815" s="408"/>
      <c r="CN815" s="408"/>
      <c r="CO815" s="408"/>
      <c r="CP815" s="408"/>
      <c r="CQ815" s="408"/>
      <c r="CR815" s="408"/>
      <c r="CS815" s="408"/>
      <c r="CT815" s="250"/>
      <c r="CU815" s="250"/>
      <c r="CV815" s="250"/>
      <c r="CW815" s="250"/>
      <c r="CX815" s="408"/>
      <c r="CY815" s="408"/>
      <c r="CZ815" s="408"/>
      <c r="DA815" s="408"/>
      <c r="DB815" s="408"/>
      <c r="DC815" s="408"/>
      <c r="DD815" s="408"/>
      <c r="DE815" s="250"/>
      <c r="DF815" s="408"/>
      <c r="DG815" s="408"/>
      <c r="DH815" s="408"/>
      <c r="DI815" s="408"/>
      <c r="DJ815" s="408"/>
      <c r="DK815" s="408"/>
      <c r="DL815" s="408"/>
      <c r="DM815" s="250"/>
      <c r="DN815" s="250"/>
      <c r="DO815" s="250"/>
      <c r="DP815" s="250"/>
      <c r="DQ815" s="250"/>
      <c r="DR815" s="250"/>
      <c r="DS815" s="250"/>
      <c r="DT815" s="250"/>
      <c r="DU815" s="250"/>
      <c r="DV815" s="250"/>
      <c r="DW815" s="252"/>
      <c r="DX815" s="252"/>
      <c r="DY815" s="250"/>
      <c r="DZ815" s="250"/>
      <c r="EA815" s="260"/>
      <c r="EB815" s="260"/>
      <c r="EC815" s="260"/>
      <c r="ED815" s="260"/>
      <c r="EG815" s="396"/>
      <c r="EH815" s="396"/>
    </row>
    <row r="816" spans="1:138" s="3" customFormat="1" x14ac:dyDescent="0.25">
      <c r="A816" s="407"/>
      <c r="B816" s="407"/>
      <c r="C816" s="250"/>
      <c r="D816" s="250"/>
      <c r="E816" s="250"/>
      <c r="F816" s="250"/>
      <c r="G816" s="250"/>
      <c r="H816" s="250"/>
      <c r="I816" s="250"/>
      <c r="J816" s="250"/>
      <c r="K816" s="250"/>
      <c r="L816" s="250"/>
      <c r="M816" s="250"/>
      <c r="N816" s="250"/>
      <c r="O816" s="250"/>
      <c r="P816" s="250"/>
      <c r="Q816" s="250"/>
      <c r="R816" s="250"/>
      <c r="S816" s="250"/>
      <c r="T816" s="250"/>
      <c r="U816" s="250"/>
      <c r="V816" s="250"/>
      <c r="W816" s="250"/>
      <c r="X816" s="250"/>
      <c r="Y816" s="250"/>
      <c r="Z816" s="250"/>
      <c r="AA816" s="250"/>
      <c r="AB816" s="250"/>
      <c r="AC816" s="250"/>
      <c r="AD816" s="250"/>
      <c r="AE816" s="250"/>
      <c r="AF816" s="250"/>
      <c r="AG816" s="250"/>
      <c r="AH816" s="250"/>
      <c r="AI816" s="250"/>
      <c r="AJ816" s="250"/>
      <c r="AK816" s="250"/>
      <c r="AL816" s="250"/>
      <c r="AM816" s="408"/>
      <c r="AN816" s="408"/>
      <c r="AO816" s="408"/>
      <c r="AP816" s="408"/>
      <c r="AQ816" s="408"/>
      <c r="AR816" s="408"/>
      <c r="AS816" s="408"/>
      <c r="AT816" s="408"/>
      <c r="AU816" s="408"/>
      <c r="AV816" s="408"/>
      <c r="AW816" s="408"/>
      <c r="AX816" s="250"/>
      <c r="AY816" s="250"/>
      <c r="AZ816" s="250"/>
      <c r="BA816" s="250"/>
      <c r="BB816" s="250"/>
      <c r="BC816" s="250"/>
      <c r="BD816" s="250"/>
      <c r="BE816" s="250"/>
      <c r="BF816" s="250"/>
      <c r="BG816" s="250"/>
      <c r="BH816" s="250"/>
      <c r="BI816" s="250"/>
      <c r="BJ816" s="250"/>
      <c r="BK816" s="250"/>
      <c r="BL816" s="250"/>
      <c r="BM816" s="250"/>
      <c r="BN816" s="250"/>
      <c r="BO816" s="250"/>
      <c r="BP816" s="250"/>
      <c r="BQ816" s="250"/>
      <c r="BR816" s="250"/>
      <c r="BS816" s="250"/>
      <c r="BT816" s="250"/>
      <c r="BU816" s="250"/>
      <c r="BV816" s="250"/>
      <c r="BW816" s="250"/>
      <c r="BX816" s="250"/>
      <c r="BY816" s="250"/>
      <c r="BZ816" s="250"/>
      <c r="CA816" s="250"/>
      <c r="CB816" s="250"/>
      <c r="CC816" s="250"/>
      <c r="CD816" s="250"/>
      <c r="CE816" s="250"/>
      <c r="CF816" s="250"/>
      <c r="CG816" s="250"/>
      <c r="CH816" s="250"/>
      <c r="CI816" s="408"/>
      <c r="CJ816" s="408"/>
      <c r="CK816" s="408"/>
      <c r="CL816" s="408"/>
      <c r="CM816" s="408"/>
      <c r="CN816" s="408"/>
      <c r="CO816" s="408"/>
      <c r="CP816" s="408"/>
      <c r="CQ816" s="408"/>
      <c r="CR816" s="408"/>
      <c r="CS816" s="408"/>
      <c r="CT816" s="250"/>
      <c r="CU816" s="250"/>
      <c r="CV816" s="250"/>
      <c r="CW816" s="250"/>
      <c r="CX816" s="408"/>
      <c r="CY816" s="408"/>
      <c r="CZ816" s="408"/>
      <c r="DA816" s="408"/>
      <c r="DB816" s="408"/>
      <c r="DC816" s="408"/>
      <c r="DD816" s="408"/>
      <c r="DE816" s="250"/>
      <c r="DF816" s="408"/>
      <c r="DG816" s="408"/>
      <c r="DH816" s="408"/>
      <c r="DI816" s="408"/>
      <c r="DJ816" s="408"/>
      <c r="DK816" s="408"/>
      <c r="DL816" s="408"/>
      <c r="DM816" s="250"/>
      <c r="DN816" s="250"/>
      <c r="DO816" s="250"/>
      <c r="DP816" s="250"/>
      <c r="DQ816" s="250"/>
      <c r="DR816" s="250"/>
      <c r="DS816" s="250"/>
      <c r="DT816" s="250"/>
      <c r="DU816" s="250"/>
      <c r="DV816" s="250"/>
      <c r="DW816" s="252"/>
      <c r="DX816" s="252"/>
      <c r="DY816" s="250"/>
      <c r="DZ816" s="250"/>
      <c r="EA816" s="260"/>
      <c r="EB816" s="260"/>
      <c r="EC816" s="260"/>
      <c r="ED816" s="260"/>
      <c r="EG816" s="396"/>
      <c r="EH816" s="396"/>
    </row>
    <row r="817" spans="1:138" s="3" customFormat="1" x14ac:dyDescent="0.25">
      <c r="A817" s="407"/>
      <c r="B817" s="407"/>
      <c r="C817" s="250"/>
      <c r="D817" s="250"/>
      <c r="E817" s="250"/>
      <c r="F817" s="250"/>
      <c r="G817" s="250"/>
      <c r="H817" s="250"/>
      <c r="I817" s="250"/>
      <c r="J817" s="250"/>
      <c r="K817" s="250"/>
      <c r="L817" s="250"/>
      <c r="M817" s="250"/>
      <c r="N817" s="250"/>
      <c r="O817" s="250"/>
      <c r="P817" s="250"/>
      <c r="Q817" s="250"/>
      <c r="R817" s="250"/>
      <c r="S817" s="250"/>
      <c r="T817" s="250"/>
      <c r="U817" s="250"/>
      <c r="V817" s="250"/>
      <c r="W817" s="250"/>
      <c r="X817" s="250"/>
      <c r="Y817" s="250"/>
      <c r="Z817" s="250"/>
      <c r="AA817" s="250"/>
      <c r="AB817" s="250"/>
      <c r="AC817" s="250"/>
      <c r="AD817" s="250"/>
      <c r="AE817" s="250"/>
      <c r="AF817" s="250"/>
      <c r="AG817" s="250"/>
      <c r="AH817" s="250"/>
      <c r="AI817" s="250"/>
      <c r="AJ817" s="250"/>
      <c r="AK817" s="250"/>
      <c r="AL817" s="250"/>
      <c r="AM817" s="408"/>
      <c r="AN817" s="408"/>
      <c r="AO817" s="408"/>
      <c r="AP817" s="408"/>
      <c r="AQ817" s="408"/>
      <c r="AR817" s="408"/>
      <c r="AS817" s="408"/>
      <c r="AT817" s="408"/>
      <c r="AU817" s="408"/>
      <c r="AV817" s="408"/>
      <c r="AW817" s="408"/>
      <c r="AX817" s="250"/>
      <c r="AY817" s="250"/>
      <c r="AZ817" s="250"/>
      <c r="BA817" s="250"/>
      <c r="BB817" s="250"/>
      <c r="BC817" s="250"/>
      <c r="BD817" s="250"/>
      <c r="BE817" s="250"/>
      <c r="BF817" s="250"/>
      <c r="BG817" s="250"/>
      <c r="BH817" s="250"/>
      <c r="BI817" s="250"/>
      <c r="BJ817" s="250"/>
      <c r="BK817" s="250"/>
      <c r="BL817" s="250"/>
      <c r="BM817" s="250"/>
      <c r="BN817" s="250"/>
      <c r="BO817" s="250"/>
      <c r="BP817" s="250"/>
      <c r="BQ817" s="250"/>
      <c r="BR817" s="250"/>
      <c r="BS817" s="250"/>
      <c r="BT817" s="250"/>
      <c r="BU817" s="250"/>
      <c r="BV817" s="250"/>
      <c r="BW817" s="250"/>
      <c r="BX817" s="250"/>
      <c r="BY817" s="250"/>
      <c r="BZ817" s="250"/>
      <c r="CA817" s="250"/>
      <c r="CB817" s="250"/>
      <c r="CC817" s="250"/>
      <c r="CD817" s="250"/>
      <c r="CE817" s="250"/>
      <c r="CF817" s="250"/>
      <c r="CG817" s="250"/>
      <c r="CH817" s="250"/>
      <c r="CI817" s="408"/>
      <c r="CJ817" s="408"/>
      <c r="CK817" s="408"/>
      <c r="CL817" s="408"/>
      <c r="CM817" s="408"/>
      <c r="CN817" s="408"/>
      <c r="CO817" s="408"/>
      <c r="CP817" s="408"/>
      <c r="CQ817" s="408"/>
      <c r="CR817" s="408"/>
      <c r="CS817" s="408"/>
      <c r="CT817" s="250"/>
      <c r="CU817" s="250"/>
      <c r="CV817" s="250"/>
      <c r="CW817" s="250"/>
      <c r="CX817" s="408"/>
      <c r="CY817" s="408"/>
      <c r="CZ817" s="408"/>
      <c r="DA817" s="408"/>
      <c r="DB817" s="408"/>
      <c r="DC817" s="408"/>
      <c r="DD817" s="408"/>
      <c r="DE817" s="250"/>
      <c r="DF817" s="408"/>
      <c r="DG817" s="408"/>
      <c r="DH817" s="408"/>
      <c r="DI817" s="408"/>
      <c r="DJ817" s="408"/>
      <c r="DK817" s="408"/>
      <c r="DL817" s="408"/>
      <c r="DM817" s="250"/>
      <c r="DN817" s="250"/>
      <c r="DO817" s="250"/>
      <c r="DP817" s="250"/>
      <c r="DQ817" s="250"/>
      <c r="DR817" s="250"/>
      <c r="DS817" s="250"/>
      <c r="DT817" s="250"/>
      <c r="DU817" s="250"/>
      <c r="DV817" s="250"/>
      <c r="DW817" s="252"/>
      <c r="DX817" s="252"/>
      <c r="DY817" s="250"/>
      <c r="DZ817" s="250"/>
      <c r="EA817" s="260"/>
      <c r="EB817" s="260"/>
      <c r="EC817" s="260"/>
      <c r="ED817" s="260"/>
      <c r="EG817" s="396"/>
      <c r="EH817" s="396"/>
    </row>
    <row r="818" spans="1:138" s="3" customFormat="1" x14ac:dyDescent="0.25">
      <c r="A818" s="407"/>
      <c r="B818" s="407"/>
      <c r="C818" s="250"/>
      <c r="D818" s="250"/>
      <c r="E818" s="250"/>
      <c r="F818" s="250"/>
      <c r="G818" s="250"/>
      <c r="H818" s="250"/>
      <c r="I818" s="250"/>
      <c r="J818" s="250"/>
      <c r="K818" s="250"/>
      <c r="L818" s="250"/>
      <c r="M818" s="250"/>
      <c r="N818" s="250"/>
      <c r="O818" s="250"/>
      <c r="P818" s="250"/>
      <c r="Q818" s="250"/>
      <c r="R818" s="250"/>
      <c r="S818" s="250"/>
      <c r="T818" s="250"/>
      <c r="U818" s="250"/>
      <c r="V818" s="250"/>
      <c r="W818" s="250"/>
      <c r="X818" s="250"/>
      <c r="Y818" s="250"/>
      <c r="Z818" s="250"/>
      <c r="AA818" s="250"/>
      <c r="AB818" s="250"/>
      <c r="AC818" s="250"/>
      <c r="AD818" s="250"/>
      <c r="AE818" s="250"/>
      <c r="AF818" s="250"/>
      <c r="AG818" s="250"/>
      <c r="AH818" s="250"/>
      <c r="AI818" s="250"/>
      <c r="AJ818" s="250"/>
      <c r="AK818" s="250"/>
      <c r="AL818" s="250"/>
      <c r="AM818" s="408"/>
      <c r="AN818" s="408"/>
      <c r="AO818" s="408"/>
      <c r="AP818" s="408"/>
      <c r="AQ818" s="408"/>
      <c r="AR818" s="408"/>
      <c r="AS818" s="408"/>
      <c r="AT818" s="408"/>
      <c r="AU818" s="408"/>
      <c r="AV818" s="408"/>
      <c r="AW818" s="408"/>
      <c r="AX818" s="250"/>
      <c r="AY818" s="250"/>
      <c r="AZ818" s="250"/>
      <c r="BA818" s="250"/>
      <c r="BB818" s="250"/>
      <c r="BC818" s="250"/>
      <c r="BD818" s="250"/>
      <c r="BE818" s="250"/>
      <c r="BF818" s="250"/>
      <c r="BG818" s="250"/>
      <c r="BH818" s="250"/>
      <c r="BI818" s="250"/>
      <c r="BJ818" s="250"/>
      <c r="BK818" s="250"/>
      <c r="BL818" s="250"/>
      <c r="BM818" s="250"/>
      <c r="BN818" s="250"/>
      <c r="BO818" s="250"/>
      <c r="BP818" s="250"/>
      <c r="BQ818" s="250"/>
      <c r="BR818" s="250"/>
      <c r="BS818" s="250"/>
      <c r="BT818" s="250"/>
      <c r="BU818" s="250"/>
      <c r="BV818" s="250"/>
      <c r="BW818" s="250"/>
      <c r="BX818" s="250"/>
      <c r="BY818" s="250"/>
      <c r="BZ818" s="250"/>
      <c r="CA818" s="250"/>
      <c r="CB818" s="250"/>
      <c r="CC818" s="250"/>
      <c r="CD818" s="250"/>
      <c r="CE818" s="250"/>
      <c r="CF818" s="250"/>
      <c r="CG818" s="250"/>
      <c r="CH818" s="250"/>
      <c r="CI818" s="408"/>
      <c r="CJ818" s="408"/>
      <c r="CK818" s="408"/>
      <c r="CL818" s="408"/>
      <c r="CM818" s="408"/>
      <c r="CN818" s="408"/>
      <c r="CO818" s="408"/>
      <c r="CP818" s="408"/>
      <c r="CQ818" s="408"/>
      <c r="CR818" s="408"/>
      <c r="CS818" s="408"/>
      <c r="CT818" s="250"/>
      <c r="CU818" s="250"/>
      <c r="CV818" s="250"/>
      <c r="CW818" s="250"/>
      <c r="CX818" s="408"/>
      <c r="CY818" s="408"/>
      <c r="CZ818" s="408"/>
      <c r="DA818" s="408"/>
      <c r="DB818" s="408"/>
      <c r="DC818" s="408"/>
      <c r="DD818" s="408"/>
      <c r="DE818" s="250"/>
      <c r="DF818" s="408"/>
      <c r="DG818" s="408"/>
      <c r="DH818" s="408"/>
      <c r="DI818" s="408"/>
      <c r="DJ818" s="408"/>
      <c r="DK818" s="408"/>
      <c r="DL818" s="408"/>
      <c r="DM818" s="250"/>
      <c r="DN818" s="250"/>
      <c r="DO818" s="250"/>
      <c r="DP818" s="250"/>
      <c r="DQ818" s="250"/>
      <c r="DR818" s="250"/>
      <c r="DS818" s="250"/>
      <c r="DT818" s="250"/>
      <c r="DU818" s="250"/>
      <c r="DV818" s="250"/>
      <c r="DW818" s="252"/>
      <c r="DX818" s="252"/>
      <c r="DY818" s="250"/>
      <c r="DZ818" s="250"/>
      <c r="EA818" s="260"/>
      <c r="EB818" s="260"/>
      <c r="EC818" s="260"/>
      <c r="ED818" s="260"/>
      <c r="EG818" s="396"/>
      <c r="EH818" s="396"/>
    </row>
    <row r="819" spans="1:138" s="3" customFormat="1" x14ac:dyDescent="0.25">
      <c r="A819" s="407"/>
      <c r="B819" s="407"/>
      <c r="C819" s="250"/>
      <c r="D819" s="250"/>
      <c r="E819" s="250"/>
      <c r="F819" s="250"/>
      <c r="G819" s="250"/>
      <c r="H819" s="250"/>
      <c r="I819" s="250"/>
      <c r="J819" s="250"/>
      <c r="K819" s="250"/>
      <c r="L819" s="250"/>
      <c r="M819" s="250"/>
      <c r="N819" s="250"/>
      <c r="O819" s="250"/>
      <c r="P819" s="250"/>
      <c r="Q819" s="250"/>
      <c r="R819" s="250"/>
      <c r="S819" s="250"/>
      <c r="T819" s="250"/>
      <c r="U819" s="250"/>
      <c r="V819" s="250"/>
      <c r="W819" s="250"/>
      <c r="X819" s="250"/>
      <c r="Y819" s="250"/>
      <c r="Z819" s="250"/>
      <c r="AA819" s="250"/>
      <c r="AB819" s="250"/>
      <c r="AC819" s="250"/>
      <c r="AD819" s="250"/>
      <c r="AE819" s="250"/>
      <c r="AF819" s="250"/>
      <c r="AG819" s="250"/>
      <c r="AH819" s="250"/>
      <c r="AI819" s="250"/>
      <c r="AJ819" s="250"/>
      <c r="AK819" s="250"/>
      <c r="AL819" s="250"/>
      <c r="AM819" s="408"/>
      <c r="AN819" s="408"/>
      <c r="AO819" s="408"/>
      <c r="AP819" s="408"/>
      <c r="AQ819" s="408"/>
      <c r="AR819" s="408"/>
      <c r="AS819" s="408"/>
      <c r="AT819" s="408"/>
      <c r="AU819" s="408"/>
      <c r="AV819" s="408"/>
      <c r="AW819" s="408"/>
      <c r="AX819" s="250"/>
      <c r="AY819" s="250"/>
      <c r="AZ819" s="250"/>
      <c r="BA819" s="250"/>
      <c r="BB819" s="250"/>
      <c r="BC819" s="250"/>
      <c r="BD819" s="250"/>
      <c r="BE819" s="250"/>
      <c r="BF819" s="250"/>
      <c r="BG819" s="250"/>
      <c r="BH819" s="250"/>
      <c r="BI819" s="250"/>
      <c r="BJ819" s="250"/>
      <c r="BK819" s="250"/>
      <c r="BL819" s="250"/>
      <c r="BM819" s="250"/>
      <c r="BN819" s="250"/>
      <c r="BO819" s="250"/>
      <c r="BP819" s="250"/>
      <c r="BQ819" s="250"/>
      <c r="BR819" s="250"/>
      <c r="BS819" s="250"/>
      <c r="BT819" s="250"/>
      <c r="BU819" s="250"/>
      <c r="BV819" s="250"/>
      <c r="BW819" s="250"/>
      <c r="BX819" s="250"/>
      <c r="BY819" s="250"/>
      <c r="BZ819" s="250"/>
      <c r="CA819" s="250"/>
      <c r="CB819" s="250"/>
      <c r="CC819" s="250"/>
      <c r="CD819" s="250"/>
      <c r="CE819" s="250"/>
      <c r="CF819" s="250"/>
      <c r="CG819" s="250"/>
      <c r="CH819" s="250"/>
      <c r="CI819" s="408"/>
      <c r="CJ819" s="408"/>
      <c r="CK819" s="408"/>
      <c r="CL819" s="408"/>
      <c r="CM819" s="408"/>
      <c r="CN819" s="408"/>
      <c r="CO819" s="408"/>
      <c r="CP819" s="408"/>
      <c r="CQ819" s="408"/>
      <c r="CR819" s="408"/>
      <c r="CS819" s="408"/>
      <c r="CT819" s="250"/>
      <c r="CU819" s="250"/>
      <c r="CV819" s="250"/>
      <c r="CW819" s="250"/>
      <c r="CX819" s="408"/>
      <c r="CY819" s="408"/>
      <c r="CZ819" s="408"/>
      <c r="DA819" s="408"/>
      <c r="DB819" s="408"/>
      <c r="DC819" s="408"/>
      <c r="DD819" s="408"/>
      <c r="DE819" s="250"/>
      <c r="DF819" s="408"/>
      <c r="DG819" s="408"/>
      <c r="DH819" s="408"/>
      <c r="DI819" s="408"/>
      <c r="DJ819" s="408"/>
      <c r="DK819" s="408"/>
      <c r="DL819" s="408"/>
      <c r="DM819" s="250"/>
      <c r="DN819" s="250"/>
      <c r="DO819" s="250"/>
      <c r="DP819" s="250"/>
      <c r="DQ819" s="250"/>
      <c r="DR819" s="250"/>
      <c r="DS819" s="250"/>
      <c r="DT819" s="250"/>
      <c r="DU819" s="250"/>
      <c r="DV819" s="250"/>
      <c r="DW819" s="252"/>
      <c r="DX819" s="252"/>
      <c r="DY819" s="250"/>
      <c r="DZ819" s="250"/>
      <c r="EA819" s="260"/>
      <c r="EB819" s="260"/>
      <c r="EC819" s="260"/>
      <c r="ED819" s="260"/>
      <c r="EG819" s="396"/>
      <c r="EH819" s="396"/>
    </row>
    <row r="820" spans="1:138" s="3" customFormat="1" x14ac:dyDescent="0.25">
      <c r="A820" s="407"/>
      <c r="B820" s="407"/>
      <c r="C820" s="250"/>
      <c r="D820" s="250"/>
      <c r="E820" s="250"/>
      <c r="F820" s="250"/>
      <c r="G820" s="250"/>
      <c r="H820" s="250"/>
      <c r="I820" s="250"/>
      <c r="J820" s="250"/>
      <c r="K820" s="250"/>
      <c r="L820" s="250"/>
      <c r="M820" s="250"/>
      <c r="N820" s="250"/>
      <c r="O820" s="250"/>
      <c r="P820" s="250"/>
      <c r="Q820" s="250"/>
      <c r="R820" s="250"/>
      <c r="S820" s="250"/>
      <c r="T820" s="250"/>
      <c r="U820" s="250"/>
      <c r="V820" s="250"/>
      <c r="W820" s="250"/>
      <c r="X820" s="250"/>
      <c r="Y820" s="250"/>
      <c r="Z820" s="250"/>
      <c r="AA820" s="250"/>
      <c r="AB820" s="250"/>
      <c r="AC820" s="250"/>
      <c r="AD820" s="250"/>
      <c r="AE820" s="250"/>
      <c r="AF820" s="250"/>
      <c r="AG820" s="250"/>
      <c r="AH820" s="250"/>
      <c r="AI820" s="250"/>
      <c r="AJ820" s="250"/>
      <c r="AK820" s="250"/>
      <c r="AL820" s="250"/>
      <c r="AM820" s="408"/>
      <c r="AN820" s="408"/>
      <c r="AO820" s="408"/>
      <c r="AP820" s="408"/>
      <c r="AQ820" s="408"/>
      <c r="AR820" s="408"/>
      <c r="AS820" s="408"/>
      <c r="AT820" s="408"/>
      <c r="AU820" s="408"/>
      <c r="AV820" s="408"/>
      <c r="AW820" s="408"/>
      <c r="AX820" s="250"/>
      <c r="AY820" s="250"/>
      <c r="AZ820" s="250"/>
      <c r="BA820" s="250"/>
      <c r="BB820" s="250"/>
      <c r="BC820" s="250"/>
      <c r="BD820" s="250"/>
      <c r="BE820" s="250"/>
      <c r="BF820" s="250"/>
      <c r="BG820" s="250"/>
      <c r="BH820" s="250"/>
      <c r="BI820" s="250"/>
      <c r="BJ820" s="250"/>
      <c r="BK820" s="250"/>
      <c r="BL820" s="250"/>
      <c r="BM820" s="250"/>
      <c r="BN820" s="250"/>
      <c r="BO820" s="250"/>
      <c r="BP820" s="250"/>
      <c r="BQ820" s="250"/>
      <c r="BR820" s="250"/>
      <c r="BS820" s="250"/>
      <c r="BT820" s="250"/>
      <c r="BU820" s="250"/>
      <c r="BV820" s="250"/>
      <c r="BW820" s="250"/>
      <c r="BX820" s="250"/>
      <c r="BY820" s="250"/>
      <c r="BZ820" s="250"/>
      <c r="CA820" s="250"/>
      <c r="CB820" s="250"/>
      <c r="CC820" s="250"/>
      <c r="CD820" s="250"/>
      <c r="CE820" s="250"/>
      <c r="CF820" s="250"/>
      <c r="CG820" s="250"/>
      <c r="CH820" s="250"/>
      <c r="CI820" s="408"/>
      <c r="CJ820" s="408"/>
      <c r="CK820" s="408"/>
      <c r="CL820" s="408"/>
      <c r="CM820" s="408"/>
      <c r="CN820" s="408"/>
      <c r="CO820" s="408"/>
      <c r="CP820" s="408"/>
      <c r="CQ820" s="408"/>
      <c r="CR820" s="408"/>
      <c r="CS820" s="408"/>
      <c r="CT820" s="250"/>
      <c r="CU820" s="250"/>
      <c r="CV820" s="250"/>
      <c r="CW820" s="250"/>
      <c r="CX820" s="408"/>
      <c r="CY820" s="408"/>
      <c r="CZ820" s="408"/>
      <c r="DA820" s="408"/>
      <c r="DB820" s="408"/>
      <c r="DC820" s="408"/>
      <c r="DD820" s="408"/>
      <c r="DE820" s="250"/>
      <c r="DF820" s="408"/>
      <c r="DG820" s="408"/>
      <c r="DH820" s="408"/>
      <c r="DI820" s="408"/>
      <c r="DJ820" s="408"/>
      <c r="DK820" s="408"/>
      <c r="DL820" s="408"/>
      <c r="DM820" s="250"/>
      <c r="DN820" s="250"/>
      <c r="DO820" s="250"/>
      <c r="DP820" s="250"/>
      <c r="DQ820" s="250"/>
      <c r="DR820" s="250"/>
      <c r="DS820" s="250"/>
      <c r="DT820" s="250"/>
      <c r="DU820" s="250"/>
      <c r="DV820" s="250"/>
      <c r="DW820" s="252"/>
      <c r="DX820" s="252"/>
      <c r="DY820" s="250"/>
      <c r="DZ820" s="250"/>
      <c r="EA820" s="260"/>
      <c r="EB820" s="260"/>
      <c r="EC820" s="260"/>
      <c r="ED820" s="260"/>
      <c r="EG820" s="396"/>
      <c r="EH820" s="396"/>
    </row>
    <row r="821" spans="1:138" s="3" customFormat="1" x14ac:dyDescent="0.25">
      <c r="A821" s="407"/>
      <c r="B821" s="407"/>
      <c r="C821" s="250"/>
      <c r="D821" s="250"/>
      <c r="E821" s="250"/>
      <c r="F821" s="250"/>
      <c r="G821" s="250"/>
      <c r="H821" s="250"/>
      <c r="I821" s="250"/>
      <c r="J821" s="250"/>
      <c r="K821" s="250"/>
      <c r="L821" s="250"/>
      <c r="M821" s="250"/>
      <c r="N821" s="250"/>
      <c r="O821" s="250"/>
      <c r="P821" s="250"/>
      <c r="Q821" s="250"/>
      <c r="R821" s="250"/>
      <c r="S821" s="250"/>
      <c r="T821" s="250"/>
      <c r="U821" s="250"/>
      <c r="V821" s="250"/>
      <c r="W821" s="250"/>
      <c r="X821" s="250"/>
      <c r="Y821" s="250"/>
      <c r="Z821" s="250"/>
      <c r="AA821" s="250"/>
      <c r="AB821" s="250"/>
      <c r="AC821" s="250"/>
      <c r="AD821" s="250"/>
      <c r="AE821" s="250"/>
      <c r="AF821" s="250"/>
      <c r="AG821" s="250"/>
      <c r="AH821" s="250"/>
      <c r="AI821" s="250"/>
      <c r="AJ821" s="250"/>
      <c r="AK821" s="250"/>
      <c r="AL821" s="250"/>
      <c r="AM821" s="408"/>
      <c r="AN821" s="408"/>
      <c r="AO821" s="408"/>
      <c r="AP821" s="408"/>
      <c r="AQ821" s="408"/>
      <c r="AR821" s="408"/>
      <c r="AS821" s="408"/>
      <c r="AT821" s="408"/>
      <c r="AU821" s="408"/>
      <c r="AV821" s="408"/>
      <c r="AW821" s="408"/>
      <c r="AX821" s="250"/>
      <c r="AY821" s="250"/>
      <c r="AZ821" s="250"/>
      <c r="BA821" s="250"/>
      <c r="BB821" s="250"/>
      <c r="BC821" s="250"/>
      <c r="BD821" s="250"/>
      <c r="BE821" s="250"/>
      <c r="BF821" s="250"/>
      <c r="BG821" s="250"/>
      <c r="BH821" s="250"/>
      <c r="BI821" s="250"/>
      <c r="BJ821" s="250"/>
      <c r="BK821" s="250"/>
      <c r="BL821" s="250"/>
      <c r="BM821" s="250"/>
      <c r="BN821" s="250"/>
      <c r="BO821" s="250"/>
      <c r="BP821" s="250"/>
      <c r="BQ821" s="250"/>
      <c r="BR821" s="250"/>
      <c r="BS821" s="250"/>
      <c r="BT821" s="250"/>
      <c r="BU821" s="250"/>
      <c r="BV821" s="250"/>
      <c r="BW821" s="250"/>
      <c r="BX821" s="250"/>
      <c r="BY821" s="250"/>
      <c r="BZ821" s="250"/>
      <c r="CA821" s="250"/>
      <c r="CB821" s="250"/>
      <c r="CC821" s="250"/>
      <c r="CD821" s="250"/>
      <c r="CE821" s="250"/>
      <c r="CF821" s="250"/>
      <c r="CG821" s="250"/>
      <c r="CH821" s="250"/>
      <c r="CI821" s="408"/>
      <c r="CJ821" s="408"/>
      <c r="CK821" s="408"/>
      <c r="CL821" s="408"/>
      <c r="CM821" s="408"/>
      <c r="CN821" s="408"/>
      <c r="CO821" s="408"/>
      <c r="CP821" s="408"/>
      <c r="CQ821" s="408"/>
      <c r="CR821" s="408"/>
      <c r="CS821" s="408"/>
      <c r="CT821" s="250"/>
      <c r="CU821" s="250"/>
      <c r="CV821" s="250"/>
      <c r="CW821" s="250"/>
      <c r="CX821" s="408"/>
      <c r="CY821" s="408"/>
      <c r="CZ821" s="408"/>
      <c r="DA821" s="408"/>
      <c r="DB821" s="408"/>
      <c r="DC821" s="408"/>
      <c r="DD821" s="408"/>
      <c r="DE821" s="250"/>
      <c r="DF821" s="408"/>
      <c r="DG821" s="408"/>
      <c r="DH821" s="408"/>
      <c r="DI821" s="408"/>
      <c r="DJ821" s="408"/>
      <c r="DK821" s="408"/>
      <c r="DL821" s="408"/>
      <c r="DM821" s="250"/>
      <c r="DN821" s="250"/>
      <c r="DO821" s="250"/>
      <c r="DP821" s="250"/>
      <c r="DQ821" s="250"/>
      <c r="DR821" s="250"/>
      <c r="DS821" s="250"/>
      <c r="DT821" s="250"/>
      <c r="DU821" s="250"/>
      <c r="DV821" s="250"/>
      <c r="DW821" s="252"/>
      <c r="DX821" s="252"/>
      <c r="DY821" s="250"/>
      <c r="DZ821" s="250"/>
      <c r="EA821" s="260"/>
      <c r="EB821" s="260"/>
      <c r="EC821" s="260"/>
      <c r="ED821" s="260"/>
      <c r="EG821" s="396"/>
      <c r="EH821" s="396"/>
    </row>
    <row r="822" spans="1:138" s="3" customFormat="1" x14ac:dyDescent="0.25">
      <c r="A822" s="407"/>
      <c r="B822" s="407"/>
      <c r="C822" s="250"/>
      <c r="D822" s="250"/>
      <c r="E822" s="250"/>
      <c r="F822" s="250"/>
      <c r="G822" s="250"/>
      <c r="H822" s="250"/>
      <c r="I822" s="250"/>
      <c r="J822" s="250"/>
      <c r="K822" s="250"/>
      <c r="L822" s="250"/>
      <c r="M822" s="250"/>
      <c r="N822" s="250"/>
      <c r="O822" s="250"/>
      <c r="P822" s="250"/>
      <c r="Q822" s="250"/>
      <c r="R822" s="250"/>
      <c r="S822" s="250"/>
      <c r="T822" s="250"/>
      <c r="U822" s="250"/>
      <c r="V822" s="250"/>
      <c r="W822" s="250"/>
      <c r="X822" s="250"/>
      <c r="Y822" s="250"/>
      <c r="Z822" s="250"/>
      <c r="AA822" s="250"/>
      <c r="AB822" s="250"/>
      <c r="AC822" s="250"/>
      <c r="AD822" s="250"/>
      <c r="AE822" s="250"/>
      <c r="AF822" s="250"/>
      <c r="AG822" s="250"/>
      <c r="AH822" s="250"/>
      <c r="AI822" s="250"/>
      <c r="AJ822" s="250"/>
      <c r="AK822" s="250"/>
      <c r="AL822" s="250"/>
      <c r="AM822" s="408"/>
      <c r="AN822" s="408"/>
      <c r="AO822" s="408"/>
      <c r="AP822" s="408"/>
      <c r="AQ822" s="408"/>
      <c r="AR822" s="408"/>
      <c r="AS822" s="408"/>
      <c r="AT822" s="408"/>
      <c r="AU822" s="408"/>
      <c r="AV822" s="408"/>
      <c r="AW822" s="408"/>
      <c r="AX822" s="250"/>
      <c r="AY822" s="250"/>
      <c r="AZ822" s="250"/>
      <c r="BA822" s="250"/>
      <c r="BB822" s="250"/>
      <c r="BC822" s="250"/>
      <c r="BD822" s="250"/>
      <c r="BE822" s="250"/>
      <c r="BF822" s="250"/>
      <c r="BG822" s="250"/>
      <c r="BH822" s="250"/>
      <c r="BI822" s="250"/>
      <c r="BJ822" s="250"/>
      <c r="BK822" s="250"/>
      <c r="BL822" s="250"/>
      <c r="BM822" s="250"/>
      <c r="BN822" s="250"/>
      <c r="BO822" s="250"/>
      <c r="BP822" s="250"/>
      <c r="BQ822" s="250"/>
      <c r="BR822" s="250"/>
      <c r="BS822" s="250"/>
      <c r="BT822" s="250"/>
      <c r="BU822" s="250"/>
      <c r="BV822" s="250"/>
      <c r="BW822" s="250"/>
      <c r="BX822" s="250"/>
      <c r="BY822" s="250"/>
      <c r="BZ822" s="250"/>
      <c r="CA822" s="250"/>
      <c r="CB822" s="250"/>
      <c r="CC822" s="250"/>
      <c r="CD822" s="250"/>
      <c r="CE822" s="250"/>
      <c r="CF822" s="250"/>
      <c r="CG822" s="250"/>
      <c r="CH822" s="250"/>
      <c r="CI822" s="408"/>
      <c r="CJ822" s="408"/>
      <c r="CK822" s="408"/>
      <c r="CL822" s="408"/>
      <c r="CM822" s="408"/>
      <c r="CN822" s="408"/>
      <c r="CO822" s="408"/>
      <c r="CP822" s="408"/>
      <c r="CQ822" s="408"/>
      <c r="CR822" s="408"/>
      <c r="CS822" s="408"/>
      <c r="CT822" s="250"/>
      <c r="CU822" s="250"/>
      <c r="CV822" s="250"/>
      <c r="CW822" s="250"/>
      <c r="CX822" s="408"/>
      <c r="CY822" s="408"/>
      <c r="CZ822" s="408"/>
      <c r="DA822" s="408"/>
      <c r="DB822" s="408"/>
      <c r="DC822" s="408"/>
      <c r="DD822" s="408"/>
      <c r="DE822" s="250"/>
      <c r="DF822" s="408"/>
      <c r="DG822" s="408"/>
      <c r="DH822" s="408"/>
      <c r="DI822" s="408"/>
      <c r="DJ822" s="408"/>
      <c r="DK822" s="408"/>
      <c r="DL822" s="408"/>
      <c r="DM822" s="250"/>
      <c r="DN822" s="250"/>
      <c r="DO822" s="250"/>
      <c r="DP822" s="250"/>
      <c r="DQ822" s="250"/>
      <c r="DR822" s="250"/>
      <c r="DS822" s="250"/>
      <c r="DT822" s="250"/>
      <c r="DU822" s="250"/>
      <c r="DV822" s="250"/>
      <c r="DW822" s="252"/>
      <c r="DX822" s="252"/>
      <c r="DY822" s="250"/>
      <c r="DZ822" s="250"/>
      <c r="EA822" s="260"/>
      <c r="EB822" s="260"/>
      <c r="EC822" s="260"/>
      <c r="ED822" s="260"/>
      <c r="EG822" s="396"/>
      <c r="EH822" s="396"/>
    </row>
    <row r="823" spans="1:138" s="3" customFormat="1" x14ac:dyDescent="0.25">
      <c r="A823" s="407"/>
      <c r="B823" s="407"/>
      <c r="C823" s="250"/>
      <c r="D823" s="250"/>
      <c r="E823" s="250"/>
      <c r="F823" s="250"/>
      <c r="G823" s="250"/>
      <c r="H823" s="250"/>
      <c r="I823" s="250"/>
      <c r="J823" s="250"/>
      <c r="K823" s="250"/>
      <c r="L823" s="250"/>
      <c r="M823" s="250"/>
      <c r="N823" s="250"/>
      <c r="O823" s="250"/>
      <c r="P823" s="250"/>
      <c r="Q823" s="250"/>
      <c r="R823" s="250"/>
      <c r="S823" s="250"/>
      <c r="T823" s="250"/>
      <c r="U823" s="250"/>
      <c r="V823" s="250"/>
      <c r="W823" s="250"/>
      <c r="X823" s="250"/>
      <c r="Y823" s="250"/>
      <c r="Z823" s="250"/>
      <c r="AA823" s="250"/>
      <c r="AB823" s="250"/>
      <c r="AC823" s="250"/>
      <c r="AD823" s="250"/>
      <c r="AE823" s="250"/>
      <c r="AF823" s="250"/>
      <c r="AG823" s="250"/>
      <c r="AH823" s="250"/>
      <c r="AI823" s="250"/>
      <c r="AJ823" s="250"/>
      <c r="AK823" s="250"/>
      <c r="AL823" s="250"/>
      <c r="AM823" s="408"/>
      <c r="AN823" s="408"/>
      <c r="AO823" s="408"/>
      <c r="AP823" s="408"/>
      <c r="AQ823" s="408"/>
      <c r="AR823" s="408"/>
      <c r="AS823" s="408"/>
      <c r="AT823" s="408"/>
      <c r="AU823" s="408"/>
      <c r="AV823" s="408"/>
      <c r="AW823" s="408"/>
      <c r="AX823" s="250"/>
      <c r="AY823" s="250"/>
      <c r="AZ823" s="250"/>
      <c r="BA823" s="250"/>
      <c r="BB823" s="250"/>
      <c r="BC823" s="250"/>
      <c r="BD823" s="250"/>
      <c r="BE823" s="250"/>
      <c r="BF823" s="250"/>
      <c r="BG823" s="250"/>
      <c r="BH823" s="250"/>
      <c r="BI823" s="250"/>
      <c r="BJ823" s="250"/>
      <c r="BK823" s="250"/>
      <c r="BL823" s="250"/>
      <c r="BM823" s="250"/>
      <c r="BN823" s="250"/>
      <c r="BO823" s="250"/>
      <c r="BP823" s="250"/>
      <c r="BQ823" s="250"/>
      <c r="BR823" s="250"/>
      <c r="BS823" s="250"/>
      <c r="BT823" s="250"/>
      <c r="BU823" s="250"/>
      <c r="BV823" s="250"/>
      <c r="BW823" s="250"/>
      <c r="BX823" s="250"/>
      <c r="BY823" s="250"/>
      <c r="BZ823" s="250"/>
      <c r="CA823" s="250"/>
      <c r="CB823" s="250"/>
      <c r="CC823" s="250"/>
      <c r="CD823" s="250"/>
      <c r="CE823" s="250"/>
      <c r="CF823" s="250"/>
      <c r="CG823" s="250"/>
      <c r="CH823" s="250"/>
      <c r="CI823" s="408"/>
      <c r="CJ823" s="408"/>
      <c r="CK823" s="408"/>
      <c r="CL823" s="408"/>
      <c r="CM823" s="408"/>
      <c r="CN823" s="408"/>
      <c r="CO823" s="408"/>
      <c r="CP823" s="408"/>
      <c r="CQ823" s="408"/>
      <c r="CR823" s="408"/>
      <c r="CS823" s="408"/>
      <c r="CT823" s="250"/>
      <c r="CU823" s="250"/>
      <c r="CV823" s="250"/>
      <c r="CW823" s="250"/>
      <c r="CX823" s="408"/>
      <c r="CY823" s="408"/>
      <c r="CZ823" s="408"/>
      <c r="DA823" s="408"/>
      <c r="DB823" s="408"/>
      <c r="DC823" s="408"/>
      <c r="DD823" s="408"/>
      <c r="DE823" s="250"/>
      <c r="DF823" s="408"/>
      <c r="DG823" s="408"/>
      <c r="DH823" s="408"/>
      <c r="DI823" s="408"/>
      <c r="DJ823" s="408"/>
      <c r="DK823" s="408"/>
      <c r="DL823" s="408"/>
      <c r="DM823" s="250"/>
      <c r="DN823" s="250"/>
      <c r="DO823" s="250"/>
      <c r="DP823" s="250"/>
      <c r="DQ823" s="250"/>
      <c r="DR823" s="250"/>
      <c r="DS823" s="250"/>
      <c r="DT823" s="250"/>
      <c r="DU823" s="250"/>
      <c r="DV823" s="250"/>
      <c r="DW823" s="252"/>
      <c r="DX823" s="252"/>
      <c r="DY823" s="250"/>
      <c r="DZ823" s="250"/>
      <c r="EA823" s="260"/>
      <c r="EB823" s="260"/>
      <c r="EC823" s="260"/>
      <c r="ED823" s="260"/>
      <c r="EG823" s="396"/>
      <c r="EH823" s="396"/>
    </row>
    <row r="824" spans="1:138" s="3" customFormat="1" x14ac:dyDescent="0.25">
      <c r="A824" s="407"/>
      <c r="B824" s="407"/>
      <c r="C824" s="250"/>
      <c r="D824" s="250"/>
      <c r="E824" s="250"/>
      <c r="F824" s="250"/>
      <c r="G824" s="250"/>
      <c r="H824" s="250"/>
      <c r="I824" s="250"/>
      <c r="J824" s="250"/>
      <c r="K824" s="250"/>
      <c r="L824" s="250"/>
      <c r="M824" s="250"/>
      <c r="N824" s="250"/>
      <c r="O824" s="250"/>
      <c r="P824" s="250"/>
      <c r="Q824" s="250"/>
      <c r="R824" s="250"/>
      <c r="S824" s="250"/>
      <c r="T824" s="250"/>
      <c r="U824" s="250"/>
      <c r="V824" s="250"/>
      <c r="W824" s="250"/>
      <c r="X824" s="250"/>
      <c r="Y824" s="250"/>
      <c r="Z824" s="250"/>
      <c r="AA824" s="250"/>
      <c r="AB824" s="250"/>
      <c r="AC824" s="250"/>
      <c r="AD824" s="250"/>
      <c r="AE824" s="250"/>
      <c r="AF824" s="250"/>
      <c r="AG824" s="250"/>
      <c r="AH824" s="250"/>
      <c r="AI824" s="250"/>
      <c r="AJ824" s="250"/>
      <c r="AK824" s="250"/>
      <c r="AL824" s="250"/>
      <c r="AM824" s="408"/>
      <c r="AN824" s="408"/>
      <c r="AO824" s="408"/>
      <c r="AP824" s="408"/>
      <c r="AQ824" s="408"/>
      <c r="AR824" s="408"/>
      <c r="AS824" s="408"/>
      <c r="AT824" s="408"/>
      <c r="AU824" s="408"/>
      <c r="AV824" s="408"/>
      <c r="AW824" s="408"/>
      <c r="AX824" s="250"/>
      <c r="AY824" s="250"/>
      <c r="AZ824" s="250"/>
      <c r="BA824" s="250"/>
      <c r="BB824" s="250"/>
      <c r="BC824" s="250"/>
      <c r="BD824" s="250"/>
      <c r="BE824" s="250"/>
      <c r="BF824" s="250"/>
      <c r="BG824" s="250"/>
      <c r="BH824" s="250"/>
      <c r="BI824" s="250"/>
      <c r="BJ824" s="250"/>
      <c r="BK824" s="250"/>
      <c r="BL824" s="250"/>
      <c r="BM824" s="250"/>
      <c r="BN824" s="250"/>
      <c r="BO824" s="250"/>
      <c r="BP824" s="250"/>
      <c r="BQ824" s="250"/>
      <c r="BR824" s="250"/>
      <c r="BS824" s="250"/>
      <c r="BT824" s="250"/>
      <c r="BU824" s="250"/>
      <c r="BV824" s="250"/>
      <c r="BW824" s="250"/>
      <c r="BX824" s="250"/>
      <c r="BY824" s="250"/>
      <c r="BZ824" s="250"/>
      <c r="CA824" s="250"/>
      <c r="CB824" s="250"/>
      <c r="CC824" s="250"/>
      <c r="CD824" s="250"/>
      <c r="CE824" s="250"/>
      <c r="CF824" s="250"/>
      <c r="CG824" s="250"/>
      <c r="CH824" s="250"/>
      <c r="CI824" s="408"/>
      <c r="CJ824" s="408"/>
      <c r="CK824" s="408"/>
      <c r="CL824" s="408"/>
      <c r="CM824" s="408"/>
      <c r="CN824" s="408"/>
      <c r="CO824" s="408"/>
      <c r="CP824" s="408"/>
      <c r="CQ824" s="408"/>
      <c r="CR824" s="408"/>
      <c r="CS824" s="408"/>
      <c r="CT824" s="250"/>
      <c r="CU824" s="250"/>
      <c r="CV824" s="250"/>
      <c r="CW824" s="250"/>
      <c r="CX824" s="408"/>
      <c r="CY824" s="408"/>
      <c r="CZ824" s="408"/>
      <c r="DA824" s="408"/>
      <c r="DB824" s="408"/>
      <c r="DC824" s="408"/>
      <c r="DD824" s="408"/>
      <c r="DE824" s="250"/>
      <c r="DF824" s="408"/>
      <c r="DG824" s="408"/>
      <c r="DH824" s="408"/>
      <c r="DI824" s="408"/>
      <c r="DJ824" s="408"/>
      <c r="DK824" s="408"/>
      <c r="DL824" s="408"/>
      <c r="DM824" s="250"/>
      <c r="DN824" s="250"/>
      <c r="DO824" s="250"/>
      <c r="DP824" s="250"/>
      <c r="DQ824" s="250"/>
      <c r="DR824" s="250"/>
      <c r="DS824" s="250"/>
      <c r="DT824" s="250"/>
      <c r="DU824" s="250"/>
      <c r="DV824" s="250"/>
      <c r="DW824" s="252"/>
      <c r="DX824" s="252"/>
      <c r="DY824" s="250"/>
      <c r="DZ824" s="250"/>
      <c r="EA824" s="260"/>
      <c r="EB824" s="260"/>
      <c r="EC824" s="260"/>
      <c r="ED824" s="260"/>
      <c r="EG824" s="396"/>
      <c r="EH824" s="396"/>
    </row>
    <row r="825" spans="1:138" s="3" customFormat="1" x14ac:dyDescent="0.25">
      <c r="A825" s="407"/>
      <c r="B825" s="407"/>
      <c r="C825" s="250"/>
      <c r="D825" s="250"/>
      <c r="E825" s="250"/>
      <c r="F825" s="250"/>
      <c r="G825" s="250"/>
      <c r="H825" s="250"/>
      <c r="I825" s="250"/>
      <c r="J825" s="250"/>
      <c r="K825" s="250"/>
      <c r="L825" s="250"/>
      <c r="M825" s="250"/>
      <c r="N825" s="250"/>
      <c r="O825" s="250"/>
      <c r="P825" s="250"/>
      <c r="Q825" s="250"/>
      <c r="R825" s="250"/>
      <c r="S825" s="250"/>
      <c r="T825" s="250"/>
      <c r="U825" s="250"/>
      <c r="V825" s="250"/>
      <c r="W825" s="250"/>
      <c r="X825" s="250"/>
      <c r="Y825" s="250"/>
      <c r="Z825" s="250"/>
      <c r="AA825" s="250"/>
      <c r="AB825" s="250"/>
      <c r="AC825" s="250"/>
      <c r="AD825" s="250"/>
      <c r="AE825" s="250"/>
      <c r="AF825" s="250"/>
      <c r="AG825" s="250"/>
      <c r="AH825" s="250"/>
      <c r="AI825" s="250"/>
      <c r="AJ825" s="250"/>
      <c r="AK825" s="250"/>
      <c r="AL825" s="250"/>
      <c r="AM825" s="408"/>
      <c r="AN825" s="408"/>
      <c r="AO825" s="408"/>
      <c r="AP825" s="408"/>
      <c r="AQ825" s="408"/>
      <c r="AR825" s="408"/>
      <c r="AS825" s="408"/>
      <c r="AT825" s="408"/>
      <c r="AU825" s="408"/>
      <c r="AV825" s="408"/>
      <c r="AW825" s="408"/>
      <c r="AX825" s="250"/>
      <c r="AY825" s="250"/>
      <c r="AZ825" s="250"/>
      <c r="BA825" s="250"/>
      <c r="BB825" s="250"/>
      <c r="BC825" s="250"/>
      <c r="BD825" s="250"/>
      <c r="BE825" s="250"/>
      <c r="BF825" s="250"/>
      <c r="BG825" s="250"/>
      <c r="BH825" s="250"/>
      <c r="BI825" s="250"/>
      <c r="BJ825" s="250"/>
      <c r="BK825" s="250"/>
      <c r="BL825" s="250"/>
      <c r="BM825" s="250"/>
      <c r="BN825" s="250"/>
      <c r="BO825" s="250"/>
      <c r="BP825" s="250"/>
      <c r="BQ825" s="250"/>
      <c r="BR825" s="250"/>
      <c r="BS825" s="250"/>
      <c r="BT825" s="250"/>
      <c r="BU825" s="250"/>
      <c r="BV825" s="250"/>
      <c r="BW825" s="250"/>
      <c r="BX825" s="250"/>
      <c r="BY825" s="250"/>
      <c r="BZ825" s="250"/>
      <c r="CA825" s="250"/>
      <c r="CB825" s="250"/>
      <c r="CC825" s="250"/>
      <c r="CD825" s="250"/>
      <c r="CE825" s="250"/>
      <c r="CF825" s="250"/>
      <c r="CG825" s="250"/>
      <c r="CH825" s="250"/>
      <c r="CI825" s="408"/>
      <c r="CJ825" s="408"/>
      <c r="CK825" s="408"/>
      <c r="CL825" s="408"/>
      <c r="CM825" s="408"/>
      <c r="CN825" s="408"/>
      <c r="CO825" s="408"/>
      <c r="CP825" s="408"/>
      <c r="CQ825" s="408"/>
      <c r="CR825" s="408"/>
      <c r="CS825" s="408"/>
      <c r="CT825" s="250"/>
      <c r="CU825" s="250"/>
      <c r="CV825" s="250"/>
      <c r="CW825" s="250"/>
      <c r="CX825" s="408"/>
      <c r="CY825" s="408"/>
      <c r="CZ825" s="408"/>
      <c r="DA825" s="408"/>
      <c r="DB825" s="408"/>
      <c r="DC825" s="408"/>
      <c r="DD825" s="408"/>
      <c r="DE825" s="250"/>
      <c r="DF825" s="408"/>
      <c r="DG825" s="408"/>
      <c r="DH825" s="408"/>
      <c r="DI825" s="408"/>
      <c r="DJ825" s="408"/>
      <c r="DK825" s="408"/>
      <c r="DL825" s="408"/>
      <c r="DM825" s="250"/>
      <c r="DN825" s="250"/>
      <c r="DO825" s="250"/>
      <c r="DP825" s="250"/>
      <c r="DQ825" s="250"/>
      <c r="DR825" s="250"/>
      <c r="DS825" s="250"/>
      <c r="DT825" s="250"/>
      <c r="DU825" s="250"/>
      <c r="DV825" s="250"/>
      <c r="DW825" s="252"/>
      <c r="DX825" s="252"/>
      <c r="DY825" s="250"/>
      <c r="DZ825" s="250"/>
      <c r="EA825" s="260"/>
      <c r="EB825" s="260"/>
      <c r="EC825" s="260"/>
      <c r="ED825" s="260"/>
      <c r="EG825" s="396"/>
      <c r="EH825" s="396"/>
    </row>
    <row r="826" spans="1:138" s="3" customFormat="1" x14ac:dyDescent="0.25">
      <c r="A826" s="407"/>
      <c r="B826" s="407"/>
      <c r="C826" s="250"/>
      <c r="D826" s="250"/>
      <c r="E826" s="250"/>
      <c r="F826" s="250"/>
      <c r="G826" s="250"/>
      <c r="H826" s="250"/>
      <c r="I826" s="250"/>
      <c r="J826" s="250"/>
      <c r="K826" s="250"/>
      <c r="L826" s="250"/>
      <c r="M826" s="250"/>
      <c r="N826" s="250"/>
      <c r="O826" s="250"/>
      <c r="P826" s="250"/>
      <c r="Q826" s="250"/>
      <c r="R826" s="250"/>
      <c r="S826" s="250"/>
      <c r="T826" s="250"/>
      <c r="U826" s="250"/>
      <c r="V826" s="250"/>
      <c r="W826" s="250"/>
      <c r="X826" s="250"/>
      <c r="Y826" s="250"/>
      <c r="Z826" s="250"/>
      <c r="AA826" s="250"/>
      <c r="AB826" s="250"/>
      <c r="AC826" s="250"/>
      <c r="AD826" s="250"/>
      <c r="AE826" s="250"/>
      <c r="AF826" s="250"/>
      <c r="AG826" s="250"/>
      <c r="AH826" s="250"/>
      <c r="AI826" s="250"/>
      <c r="AJ826" s="250"/>
      <c r="AK826" s="250"/>
      <c r="AL826" s="250"/>
      <c r="AM826" s="408"/>
      <c r="AN826" s="408"/>
      <c r="AO826" s="408"/>
      <c r="AP826" s="408"/>
      <c r="AQ826" s="408"/>
      <c r="AR826" s="408"/>
      <c r="AS826" s="408"/>
      <c r="AT826" s="408"/>
      <c r="AU826" s="408"/>
      <c r="AV826" s="408"/>
      <c r="AW826" s="408"/>
      <c r="AX826" s="250"/>
      <c r="AY826" s="250"/>
      <c r="AZ826" s="250"/>
      <c r="BA826" s="250"/>
      <c r="BB826" s="250"/>
      <c r="BC826" s="250"/>
      <c r="BD826" s="250"/>
      <c r="BE826" s="250"/>
      <c r="BF826" s="250"/>
      <c r="BG826" s="250"/>
      <c r="BH826" s="250"/>
      <c r="BI826" s="250"/>
      <c r="BJ826" s="250"/>
      <c r="BK826" s="250"/>
      <c r="BL826" s="250"/>
      <c r="BM826" s="250"/>
      <c r="BN826" s="250"/>
      <c r="BO826" s="250"/>
      <c r="BP826" s="250"/>
      <c r="BQ826" s="250"/>
      <c r="BR826" s="250"/>
      <c r="BS826" s="250"/>
      <c r="BT826" s="250"/>
      <c r="BU826" s="250"/>
      <c r="BV826" s="250"/>
      <c r="BW826" s="250"/>
      <c r="BX826" s="250"/>
      <c r="BY826" s="250"/>
      <c r="BZ826" s="250"/>
      <c r="CA826" s="250"/>
      <c r="CB826" s="250"/>
      <c r="CC826" s="250"/>
      <c r="CD826" s="250"/>
      <c r="CE826" s="250"/>
      <c r="CF826" s="250"/>
      <c r="CG826" s="250"/>
      <c r="CH826" s="250"/>
      <c r="CI826" s="408"/>
      <c r="CJ826" s="408"/>
      <c r="CK826" s="408"/>
      <c r="CL826" s="408"/>
      <c r="CM826" s="408"/>
      <c r="CN826" s="408"/>
      <c r="CO826" s="408"/>
      <c r="CP826" s="408"/>
      <c r="CQ826" s="408"/>
      <c r="CR826" s="408"/>
      <c r="CS826" s="408"/>
      <c r="CT826" s="250"/>
      <c r="CU826" s="250"/>
      <c r="CV826" s="250"/>
      <c r="CW826" s="250"/>
      <c r="CX826" s="408"/>
      <c r="CY826" s="408"/>
      <c r="CZ826" s="408"/>
      <c r="DA826" s="408"/>
      <c r="DB826" s="408"/>
      <c r="DC826" s="408"/>
      <c r="DD826" s="408"/>
      <c r="DE826" s="250"/>
      <c r="DF826" s="408"/>
      <c r="DG826" s="408"/>
      <c r="DH826" s="408"/>
      <c r="DI826" s="408"/>
      <c r="DJ826" s="408"/>
      <c r="DK826" s="408"/>
      <c r="DL826" s="408"/>
      <c r="DM826" s="250"/>
      <c r="DN826" s="250"/>
      <c r="DO826" s="250"/>
      <c r="DP826" s="250"/>
      <c r="DQ826" s="250"/>
      <c r="DR826" s="250"/>
      <c r="DS826" s="250"/>
      <c r="DT826" s="250"/>
      <c r="DU826" s="250"/>
      <c r="DV826" s="250"/>
      <c r="DW826" s="252"/>
      <c r="DX826" s="252"/>
      <c r="DY826" s="250"/>
      <c r="DZ826" s="250"/>
      <c r="EA826" s="260"/>
      <c r="EB826" s="260"/>
      <c r="EC826" s="260"/>
      <c r="ED826" s="260"/>
      <c r="EG826" s="396"/>
      <c r="EH826" s="396"/>
    </row>
    <row r="827" spans="1:138" s="3" customFormat="1" x14ac:dyDescent="0.25">
      <c r="A827" s="407"/>
      <c r="B827" s="407"/>
      <c r="C827" s="250"/>
      <c r="D827" s="250"/>
      <c r="E827" s="250"/>
      <c r="F827" s="250"/>
      <c r="G827" s="250"/>
      <c r="H827" s="250"/>
      <c r="I827" s="250"/>
      <c r="J827" s="250"/>
      <c r="K827" s="250"/>
      <c r="L827" s="250"/>
      <c r="M827" s="250"/>
      <c r="N827" s="250"/>
      <c r="O827" s="250"/>
      <c r="P827" s="250"/>
      <c r="Q827" s="250"/>
      <c r="R827" s="250"/>
      <c r="S827" s="250"/>
      <c r="T827" s="250"/>
      <c r="U827" s="250"/>
      <c r="V827" s="250"/>
      <c r="W827" s="250"/>
      <c r="X827" s="250"/>
      <c r="Y827" s="250"/>
      <c r="Z827" s="250"/>
      <c r="AA827" s="250"/>
      <c r="AB827" s="250"/>
      <c r="AC827" s="250"/>
      <c r="AD827" s="250"/>
      <c r="AE827" s="250"/>
      <c r="AF827" s="250"/>
      <c r="AG827" s="250"/>
      <c r="AH827" s="250"/>
      <c r="AI827" s="250"/>
      <c r="AJ827" s="250"/>
      <c r="AK827" s="250"/>
      <c r="AL827" s="250"/>
      <c r="AM827" s="408"/>
      <c r="AN827" s="408"/>
      <c r="AO827" s="408"/>
      <c r="AP827" s="408"/>
      <c r="AQ827" s="408"/>
      <c r="AR827" s="408"/>
      <c r="AS827" s="408"/>
      <c r="AT827" s="408"/>
      <c r="AU827" s="408"/>
      <c r="AV827" s="408"/>
      <c r="AW827" s="408"/>
      <c r="AX827" s="250"/>
      <c r="AY827" s="250"/>
      <c r="AZ827" s="250"/>
      <c r="BA827" s="250"/>
      <c r="BB827" s="250"/>
      <c r="BC827" s="250"/>
      <c r="BD827" s="250"/>
      <c r="BE827" s="250"/>
      <c r="BF827" s="250"/>
      <c r="BG827" s="250"/>
      <c r="BH827" s="250"/>
      <c r="BI827" s="250"/>
      <c r="BJ827" s="250"/>
      <c r="BK827" s="250"/>
      <c r="BL827" s="250"/>
      <c r="BM827" s="250"/>
      <c r="BN827" s="250"/>
      <c r="BO827" s="250"/>
      <c r="BP827" s="250"/>
      <c r="BQ827" s="250"/>
      <c r="BR827" s="250"/>
      <c r="BS827" s="250"/>
      <c r="BT827" s="250"/>
      <c r="BU827" s="250"/>
      <c r="BV827" s="250"/>
      <c r="BW827" s="250"/>
      <c r="BX827" s="250"/>
      <c r="BY827" s="250"/>
      <c r="BZ827" s="250"/>
      <c r="CA827" s="250"/>
      <c r="CB827" s="250"/>
      <c r="CC827" s="250"/>
      <c r="CD827" s="250"/>
      <c r="CE827" s="250"/>
      <c r="CF827" s="250"/>
      <c r="CG827" s="250"/>
      <c r="CH827" s="250"/>
      <c r="CI827" s="408"/>
      <c r="CJ827" s="408"/>
      <c r="CK827" s="408"/>
      <c r="CL827" s="408"/>
      <c r="CM827" s="408"/>
      <c r="CN827" s="408"/>
      <c r="CO827" s="408"/>
      <c r="CP827" s="408"/>
      <c r="CQ827" s="408"/>
      <c r="CR827" s="408"/>
      <c r="CS827" s="408"/>
      <c r="CT827" s="250"/>
      <c r="CU827" s="250"/>
      <c r="CV827" s="250"/>
      <c r="CW827" s="250"/>
      <c r="CX827" s="408"/>
      <c r="CY827" s="408"/>
      <c r="CZ827" s="408"/>
      <c r="DA827" s="408"/>
      <c r="DB827" s="408"/>
      <c r="DC827" s="408"/>
      <c r="DD827" s="408"/>
      <c r="DE827" s="250"/>
      <c r="DF827" s="408"/>
      <c r="DG827" s="408"/>
      <c r="DH827" s="408"/>
      <c r="DI827" s="408"/>
      <c r="DJ827" s="408"/>
      <c r="DK827" s="408"/>
      <c r="DL827" s="408"/>
      <c r="DM827" s="250"/>
      <c r="DN827" s="250"/>
      <c r="DO827" s="250"/>
      <c r="DP827" s="250"/>
      <c r="DQ827" s="250"/>
      <c r="DR827" s="250"/>
      <c r="DS827" s="250"/>
      <c r="DT827" s="250"/>
      <c r="DU827" s="250"/>
      <c r="DV827" s="250"/>
      <c r="DW827" s="252"/>
      <c r="DX827" s="252"/>
      <c r="DY827" s="250"/>
      <c r="DZ827" s="250"/>
      <c r="EA827" s="260"/>
      <c r="EB827" s="260"/>
      <c r="EC827" s="260"/>
      <c r="ED827" s="260"/>
      <c r="EG827" s="396"/>
      <c r="EH827" s="396"/>
    </row>
    <row r="828" spans="1:138" s="3" customFormat="1" x14ac:dyDescent="0.25">
      <c r="A828" s="407"/>
      <c r="B828" s="407"/>
      <c r="C828" s="250"/>
      <c r="D828" s="250"/>
      <c r="E828" s="250"/>
      <c r="F828" s="250"/>
      <c r="G828" s="250"/>
      <c r="H828" s="250"/>
      <c r="I828" s="250"/>
      <c r="J828" s="250"/>
      <c r="K828" s="250"/>
      <c r="L828" s="250"/>
      <c r="M828" s="250"/>
      <c r="N828" s="250"/>
      <c r="O828" s="250"/>
      <c r="P828" s="250"/>
      <c r="Q828" s="250"/>
      <c r="R828" s="250"/>
      <c r="S828" s="250"/>
      <c r="T828" s="250"/>
      <c r="U828" s="250"/>
      <c r="V828" s="250"/>
      <c r="W828" s="250"/>
      <c r="X828" s="250"/>
      <c r="Y828" s="250"/>
      <c r="Z828" s="250"/>
      <c r="AA828" s="250"/>
      <c r="AB828" s="250"/>
      <c r="AC828" s="250"/>
      <c r="AD828" s="250"/>
      <c r="AE828" s="250"/>
      <c r="AF828" s="250"/>
      <c r="AG828" s="250"/>
      <c r="AH828" s="250"/>
      <c r="AI828" s="250"/>
      <c r="AJ828" s="250"/>
      <c r="AK828" s="250"/>
      <c r="AL828" s="250"/>
      <c r="AM828" s="408"/>
      <c r="AN828" s="408"/>
      <c r="AO828" s="408"/>
      <c r="AP828" s="408"/>
      <c r="AQ828" s="408"/>
      <c r="AR828" s="408"/>
      <c r="AS828" s="408"/>
      <c r="AT828" s="408"/>
      <c r="AU828" s="408"/>
      <c r="AV828" s="408"/>
      <c r="AW828" s="408"/>
      <c r="AX828" s="250"/>
      <c r="AY828" s="250"/>
      <c r="AZ828" s="250"/>
      <c r="BA828" s="250"/>
      <c r="BB828" s="250"/>
      <c r="BC828" s="250"/>
      <c r="BD828" s="250"/>
      <c r="BE828" s="250"/>
      <c r="BF828" s="250"/>
      <c r="BG828" s="250"/>
      <c r="BH828" s="250"/>
      <c r="BI828" s="250"/>
      <c r="BJ828" s="250"/>
      <c r="BK828" s="250"/>
      <c r="BL828" s="250"/>
      <c r="BM828" s="250"/>
      <c r="BN828" s="250"/>
      <c r="BO828" s="250"/>
      <c r="BP828" s="250"/>
      <c r="BQ828" s="250"/>
      <c r="BR828" s="250"/>
      <c r="BS828" s="250"/>
      <c r="BT828" s="250"/>
      <c r="BU828" s="250"/>
      <c r="BV828" s="250"/>
      <c r="BW828" s="250"/>
      <c r="BX828" s="250"/>
      <c r="BY828" s="250"/>
      <c r="BZ828" s="250"/>
      <c r="CA828" s="250"/>
      <c r="CB828" s="250"/>
      <c r="CC828" s="250"/>
      <c r="CD828" s="250"/>
      <c r="CE828" s="250"/>
      <c r="CF828" s="250"/>
      <c r="CG828" s="250"/>
      <c r="CH828" s="250"/>
      <c r="CI828" s="408"/>
      <c r="CJ828" s="408"/>
      <c r="CK828" s="408"/>
      <c r="CL828" s="408"/>
      <c r="CM828" s="408"/>
      <c r="CN828" s="408"/>
      <c r="CO828" s="408"/>
      <c r="CP828" s="408"/>
      <c r="CQ828" s="408"/>
      <c r="CR828" s="408"/>
      <c r="CS828" s="408"/>
      <c r="CT828" s="250"/>
      <c r="CU828" s="250"/>
      <c r="CV828" s="250"/>
      <c r="CW828" s="250"/>
      <c r="CX828" s="408"/>
      <c r="CY828" s="408"/>
      <c r="CZ828" s="408"/>
      <c r="DA828" s="408"/>
      <c r="DB828" s="408"/>
      <c r="DC828" s="408"/>
      <c r="DD828" s="408"/>
      <c r="DE828" s="250"/>
      <c r="DF828" s="408"/>
      <c r="DG828" s="408"/>
      <c r="DH828" s="408"/>
      <c r="DI828" s="408"/>
      <c r="DJ828" s="408"/>
      <c r="DK828" s="408"/>
      <c r="DL828" s="408"/>
      <c r="DM828" s="250"/>
      <c r="DN828" s="250"/>
      <c r="DO828" s="250"/>
      <c r="DP828" s="250"/>
      <c r="DQ828" s="250"/>
      <c r="DR828" s="250"/>
      <c r="DS828" s="250"/>
      <c r="DT828" s="250"/>
      <c r="DU828" s="250"/>
      <c r="DV828" s="250"/>
      <c r="DW828" s="252"/>
      <c r="DX828" s="252"/>
      <c r="DY828" s="250"/>
      <c r="DZ828" s="250"/>
      <c r="EA828" s="260"/>
      <c r="EB828" s="260"/>
      <c r="EC828" s="260"/>
      <c r="ED828" s="260"/>
      <c r="EG828" s="396"/>
      <c r="EH828" s="396"/>
    </row>
    <row r="829" spans="1:138" s="3" customFormat="1" x14ac:dyDescent="0.25">
      <c r="A829" s="407"/>
      <c r="B829" s="407"/>
      <c r="C829" s="250"/>
      <c r="D829" s="250"/>
      <c r="E829" s="250"/>
      <c r="F829" s="250"/>
      <c r="G829" s="250"/>
      <c r="H829" s="250"/>
      <c r="I829" s="250"/>
      <c r="J829" s="250"/>
      <c r="K829" s="250"/>
      <c r="L829" s="250"/>
      <c r="M829" s="250"/>
      <c r="N829" s="250"/>
      <c r="O829" s="250"/>
      <c r="P829" s="250"/>
      <c r="Q829" s="250"/>
      <c r="R829" s="250"/>
      <c r="S829" s="250"/>
      <c r="T829" s="250"/>
      <c r="U829" s="250"/>
      <c r="V829" s="250"/>
      <c r="W829" s="250"/>
      <c r="X829" s="250"/>
      <c r="Y829" s="250"/>
      <c r="Z829" s="250"/>
      <c r="AA829" s="250"/>
      <c r="AB829" s="250"/>
      <c r="AC829" s="250"/>
      <c r="AD829" s="250"/>
      <c r="AE829" s="250"/>
      <c r="AF829" s="250"/>
      <c r="AG829" s="250"/>
      <c r="AH829" s="250"/>
      <c r="AI829" s="250"/>
      <c r="AJ829" s="250"/>
      <c r="AK829" s="250"/>
      <c r="AL829" s="250"/>
      <c r="AM829" s="408"/>
      <c r="AN829" s="408"/>
      <c r="AO829" s="408"/>
      <c r="AP829" s="408"/>
      <c r="AQ829" s="408"/>
      <c r="AR829" s="408"/>
      <c r="AS829" s="408"/>
      <c r="AT829" s="408"/>
      <c r="AU829" s="408"/>
      <c r="AV829" s="408"/>
      <c r="AW829" s="408"/>
      <c r="AX829" s="250"/>
      <c r="AY829" s="250"/>
      <c r="AZ829" s="250"/>
      <c r="BA829" s="250"/>
      <c r="BB829" s="250"/>
      <c r="BC829" s="250"/>
      <c r="BD829" s="250"/>
      <c r="BE829" s="250"/>
      <c r="BF829" s="250"/>
      <c r="BG829" s="250"/>
      <c r="BH829" s="250"/>
      <c r="BI829" s="250"/>
      <c r="BJ829" s="250"/>
      <c r="BK829" s="250"/>
      <c r="BL829" s="250"/>
      <c r="BM829" s="250"/>
      <c r="BN829" s="250"/>
      <c r="BO829" s="250"/>
      <c r="BP829" s="250"/>
      <c r="BQ829" s="250"/>
      <c r="BR829" s="250"/>
      <c r="BS829" s="250"/>
      <c r="BT829" s="250"/>
      <c r="BU829" s="250"/>
      <c r="BV829" s="250"/>
      <c r="BW829" s="250"/>
      <c r="BX829" s="250"/>
      <c r="BY829" s="250"/>
      <c r="BZ829" s="250"/>
      <c r="CA829" s="250"/>
      <c r="CB829" s="250"/>
      <c r="CC829" s="250"/>
      <c r="CD829" s="250"/>
      <c r="CE829" s="250"/>
      <c r="CF829" s="250"/>
      <c r="CG829" s="250"/>
      <c r="CH829" s="250"/>
      <c r="CI829" s="408"/>
      <c r="CJ829" s="408"/>
      <c r="CK829" s="408"/>
      <c r="CL829" s="408"/>
      <c r="CM829" s="408"/>
      <c r="CN829" s="408"/>
      <c r="CO829" s="408"/>
      <c r="CP829" s="408"/>
      <c r="CQ829" s="408"/>
      <c r="CR829" s="408"/>
      <c r="CS829" s="408"/>
      <c r="CT829" s="250"/>
      <c r="CU829" s="250"/>
      <c r="CV829" s="250"/>
      <c r="CW829" s="250"/>
      <c r="CX829" s="408"/>
      <c r="CY829" s="408"/>
      <c r="CZ829" s="408"/>
      <c r="DA829" s="408"/>
      <c r="DB829" s="408"/>
      <c r="DC829" s="408"/>
      <c r="DD829" s="408"/>
      <c r="DE829" s="250"/>
      <c r="DF829" s="408"/>
      <c r="DG829" s="408"/>
      <c r="DH829" s="408"/>
      <c r="DI829" s="408"/>
      <c r="DJ829" s="408"/>
      <c r="DK829" s="408"/>
      <c r="DL829" s="408"/>
      <c r="DM829" s="250"/>
      <c r="DN829" s="250"/>
      <c r="DO829" s="250"/>
      <c r="DP829" s="250"/>
      <c r="DQ829" s="250"/>
      <c r="DR829" s="250"/>
      <c r="DS829" s="250"/>
      <c r="DT829" s="250"/>
      <c r="DU829" s="250"/>
      <c r="DV829" s="250"/>
      <c r="DW829" s="252"/>
      <c r="DX829" s="252"/>
      <c r="DY829" s="250"/>
      <c r="DZ829" s="250"/>
      <c r="EA829" s="260"/>
      <c r="EB829" s="260"/>
      <c r="EC829" s="260"/>
      <c r="ED829" s="260"/>
      <c r="EG829" s="396"/>
      <c r="EH829" s="396"/>
    </row>
    <row r="830" spans="1:138" s="3" customFormat="1" x14ac:dyDescent="0.25">
      <c r="A830" s="407"/>
      <c r="B830" s="407"/>
      <c r="C830" s="250"/>
      <c r="D830" s="250"/>
      <c r="E830" s="250"/>
      <c r="F830" s="250"/>
      <c r="G830" s="250"/>
      <c r="H830" s="250"/>
      <c r="I830" s="250"/>
      <c r="J830" s="250"/>
      <c r="K830" s="250"/>
      <c r="L830" s="250"/>
      <c r="M830" s="250"/>
      <c r="N830" s="250"/>
      <c r="O830" s="250"/>
      <c r="P830" s="250"/>
      <c r="Q830" s="250"/>
      <c r="R830" s="250"/>
      <c r="S830" s="250"/>
      <c r="T830" s="250"/>
      <c r="U830" s="250"/>
      <c r="V830" s="250"/>
      <c r="W830" s="250"/>
      <c r="X830" s="250"/>
      <c r="Y830" s="250"/>
      <c r="Z830" s="250"/>
      <c r="AA830" s="250"/>
      <c r="AB830" s="250"/>
      <c r="AC830" s="250"/>
      <c r="AD830" s="250"/>
      <c r="AE830" s="250"/>
      <c r="AF830" s="250"/>
      <c r="AG830" s="250"/>
      <c r="AH830" s="250"/>
      <c r="AI830" s="250"/>
      <c r="AJ830" s="250"/>
      <c r="AK830" s="250"/>
      <c r="AL830" s="250"/>
      <c r="AM830" s="408"/>
      <c r="AN830" s="408"/>
      <c r="AO830" s="408"/>
      <c r="AP830" s="408"/>
      <c r="AQ830" s="408"/>
      <c r="AR830" s="408"/>
      <c r="AS830" s="408"/>
      <c r="AT830" s="408"/>
      <c r="AU830" s="408"/>
      <c r="AV830" s="408"/>
      <c r="AW830" s="408"/>
      <c r="AX830" s="250"/>
      <c r="AY830" s="250"/>
      <c r="AZ830" s="250"/>
      <c r="BA830" s="250"/>
      <c r="BB830" s="250"/>
      <c r="BC830" s="250"/>
      <c r="BD830" s="250"/>
      <c r="BE830" s="250"/>
      <c r="BF830" s="250"/>
      <c r="BG830" s="250"/>
      <c r="BH830" s="250"/>
      <c r="BI830" s="250"/>
      <c r="BJ830" s="250"/>
      <c r="BK830" s="250"/>
      <c r="BL830" s="250"/>
      <c r="BM830" s="250"/>
      <c r="BN830" s="250"/>
      <c r="BO830" s="250"/>
      <c r="BP830" s="250"/>
      <c r="BQ830" s="250"/>
      <c r="BR830" s="250"/>
      <c r="BS830" s="250"/>
      <c r="BT830" s="250"/>
      <c r="BU830" s="250"/>
      <c r="BV830" s="250"/>
      <c r="BW830" s="250"/>
      <c r="BX830" s="250"/>
      <c r="BY830" s="250"/>
      <c r="BZ830" s="250"/>
      <c r="CA830" s="250"/>
      <c r="CB830" s="250"/>
      <c r="CC830" s="250"/>
      <c r="CD830" s="250"/>
      <c r="CE830" s="250"/>
      <c r="CF830" s="250"/>
      <c r="CG830" s="250"/>
      <c r="CH830" s="250"/>
      <c r="CI830" s="408"/>
      <c r="CJ830" s="408"/>
      <c r="CK830" s="408"/>
      <c r="CL830" s="408"/>
      <c r="CM830" s="408"/>
      <c r="CN830" s="408"/>
      <c r="CO830" s="408"/>
      <c r="CP830" s="408"/>
      <c r="CQ830" s="408"/>
      <c r="CR830" s="408"/>
      <c r="CS830" s="408"/>
      <c r="CT830" s="250"/>
      <c r="CU830" s="250"/>
      <c r="CV830" s="250"/>
      <c r="CW830" s="250"/>
      <c r="CX830" s="408"/>
      <c r="CY830" s="408"/>
      <c r="CZ830" s="408"/>
      <c r="DA830" s="408"/>
      <c r="DB830" s="408"/>
      <c r="DC830" s="408"/>
      <c r="DD830" s="408"/>
      <c r="DE830" s="250"/>
      <c r="DF830" s="408"/>
      <c r="DG830" s="408"/>
      <c r="DH830" s="408"/>
      <c r="DI830" s="408"/>
      <c r="DJ830" s="408"/>
      <c r="DK830" s="408"/>
      <c r="DL830" s="408"/>
      <c r="DM830" s="250"/>
      <c r="DN830" s="250"/>
      <c r="DO830" s="250"/>
      <c r="DP830" s="250"/>
      <c r="DQ830" s="250"/>
      <c r="DR830" s="250"/>
      <c r="DS830" s="250"/>
      <c r="DT830" s="250"/>
      <c r="DU830" s="250"/>
      <c r="DV830" s="250"/>
      <c r="DW830" s="252"/>
      <c r="DX830" s="252"/>
      <c r="DY830" s="250"/>
      <c r="DZ830" s="250"/>
      <c r="EA830" s="260"/>
      <c r="EB830" s="260"/>
      <c r="EC830" s="260"/>
      <c r="ED830" s="260"/>
      <c r="EG830" s="396"/>
      <c r="EH830" s="396"/>
    </row>
    <row r="831" spans="1:138" s="3" customFormat="1" x14ac:dyDescent="0.25">
      <c r="A831" s="407"/>
      <c r="B831" s="407"/>
      <c r="C831" s="250"/>
      <c r="D831" s="250"/>
      <c r="E831" s="250"/>
      <c r="F831" s="250"/>
      <c r="G831" s="250"/>
      <c r="H831" s="250"/>
      <c r="I831" s="250"/>
      <c r="J831" s="250"/>
      <c r="K831" s="250"/>
      <c r="L831" s="250"/>
      <c r="M831" s="250"/>
      <c r="N831" s="250"/>
      <c r="O831" s="250"/>
      <c r="P831" s="250"/>
      <c r="Q831" s="250"/>
      <c r="R831" s="250"/>
      <c r="S831" s="250"/>
      <c r="T831" s="250"/>
      <c r="U831" s="250"/>
      <c r="V831" s="250"/>
      <c r="W831" s="250"/>
      <c r="X831" s="250"/>
      <c r="Y831" s="250"/>
      <c r="Z831" s="250"/>
      <c r="AA831" s="250"/>
      <c r="AB831" s="250"/>
      <c r="AC831" s="250"/>
      <c r="AD831" s="250"/>
      <c r="AE831" s="250"/>
      <c r="AF831" s="250"/>
      <c r="AG831" s="250"/>
      <c r="AH831" s="250"/>
      <c r="AI831" s="250"/>
      <c r="AJ831" s="250"/>
      <c r="AK831" s="250"/>
      <c r="AL831" s="250"/>
      <c r="AM831" s="408"/>
      <c r="AN831" s="408"/>
      <c r="AO831" s="408"/>
      <c r="AP831" s="408"/>
      <c r="AQ831" s="408"/>
      <c r="AR831" s="408"/>
      <c r="AS831" s="408"/>
      <c r="AT831" s="408"/>
      <c r="AU831" s="408"/>
      <c r="AV831" s="408"/>
      <c r="AW831" s="408"/>
      <c r="AX831" s="250"/>
      <c r="AY831" s="250"/>
      <c r="AZ831" s="250"/>
      <c r="BA831" s="250"/>
      <c r="BB831" s="250"/>
      <c r="BC831" s="250"/>
      <c r="BD831" s="250"/>
      <c r="BE831" s="250"/>
      <c r="BF831" s="250"/>
      <c r="BG831" s="250"/>
      <c r="BH831" s="250"/>
      <c r="BI831" s="250"/>
      <c r="BJ831" s="250"/>
      <c r="BK831" s="250"/>
      <c r="BL831" s="250"/>
      <c r="BM831" s="250"/>
      <c r="BN831" s="250"/>
      <c r="BO831" s="250"/>
      <c r="BP831" s="250"/>
      <c r="BQ831" s="250"/>
      <c r="BR831" s="250"/>
      <c r="BS831" s="250"/>
      <c r="BT831" s="250"/>
      <c r="BU831" s="250"/>
      <c r="BV831" s="250"/>
      <c r="BW831" s="250"/>
      <c r="BX831" s="250"/>
      <c r="BY831" s="250"/>
      <c r="BZ831" s="250"/>
      <c r="CA831" s="250"/>
      <c r="CB831" s="250"/>
      <c r="CC831" s="250"/>
      <c r="CD831" s="250"/>
      <c r="CE831" s="250"/>
      <c r="CF831" s="250"/>
      <c r="CG831" s="250"/>
      <c r="CH831" s="250"/>
      <c r="CI831" s="408"/>
      <c r="CJ831" s="408"/>
      <c r="CK831" s="408"/>
      <c r="CL831" s="408"/>
      <c r="CM831" s="408"/>
      <c r="CN831" s="408"/>
      <c r="CO831" s="408"/>
      <c r="CP831" s="408"/>
      <c r="CQ831" s="408"/>
      <c r="CR831" s="408"/>
      <c r="CS831" s="408"/>
      <c r="CT831" s="250"/>
      <c r="CU831" s="250"/>
      <c r="CV831" s="250"/>
      <c r="CW831" s="250"/>
      <c r="CX831" s="408"/>
      <c r="CY831" s="408"/>
      <c r="CZ831" s="408"/>
      <c r="DA831" s="408"/>
      <c r="DB831" s="408"/>
      <c r="DC831" s="408"/>
      <c r="DD831" s="408"/>
      <c r="DE831" s="250"/>
      <c r="DF831" s="408"/>
      <c r="DG831" s="408"/>
      <c r="DH831" s="408"/>
      <c r="DI831" s="408"/>
      <c r="DJ831" s="408"/>
      <c r="DK831" s="408"/>
      <c r="DL831" s="408"/>
      <c r="DM831" s="250"/>
      <c r="DN831" s="250"/>
      <c r="DO831" s="250"/>
      <c r="DP831" s="250"/>
      <c r="DQ831" s="250"/>
      <c r="DR831" s="250"/>
      <c r="DS831" s="250"/>
      <c r="DT831" s="250"/>
      <c r="DU831" s="250"/>
      <c r="DV831" s="250"/>
      <c r="DW831" s="252"/>
      <c r="DX831" s="252"/>
      <c r="DY831" s="250"/>
      <c r="DZ831" s="250"/>
      <c r="EA831" s="260"/>
      <c r="EB831" s="260"/>
      <c r="EC831" s="260"/>
      <c r="ED831" s="260"/>
      <c r="EG831" s="396"/>
      <c r="EH831" s="396"/>
    </row>
    <row r="832" spans="1:138" s="3" customFormat="1" x14ac:dyDescent="0.25">
      <c r="A832" s="407"/>
      <c r="B832" s="407"/>
      <c r="C832" s="250"/>
      <c r="D832" s="250"/>
      <c r="E832" s="250"/>
      <c r="F832" s="250"/>
      <c r="G832" s="250"/>
      <c r="H832" s="250"/>
      <c r="I832" s="250"/>
      <c r="J832" s="250"/>
      <c r="K832" s="250"/>
      <c r="L832" s="250"/>
      <c r="M832" s="250"/>
      <c r="N832" s="250"/>
      <c r="O832" s="250"/>
      <c r="P832" s="250"/>
      <c r="Q832" s="250"/>
      <c r="R832" s="250"/>
      <c r="S832" s="250"/>
      <c r="T832" s="250"/>
      <c r="U832" s="250"/>
      <c r="V832" s="250"/>
      <c r="W832" s="250"/>
      <c r="X832" s="250"/>
      <c r="Y832" s="250"/>
      <c r="Z832" s="250"/>
      <c r="AA832" s="250"/>
      <c r="AB832" s="250"/>
      <c r="AC832" s="250"/>
      <c r="AD832" s="250"/>
      <c r="AE832" s="250"/>
      <c r="AF832" s="250"/>
      <c r="AG832" s="250"/>
      <c r="AH832" s="250"/>
      <c r="AI832" s="250"/>
      <c r="AJ832" s="250"/>
      <c r="AK832" s="250"/>
      <c r="AL832" s="250"/>
      <c r="AM832" s="408"/>
      <c r="AN832" s="408"/>
      <c r="AO832" s="408"/>
      <c r="AP832" s="408"/>
      <c r="AQ832" s="408"/>
      <c r="AR832" s="408"/>
      <c r="AS832" s="408"/>
      <c r="AT832" s="408"/>
      <c r="AU832" s="408"/>
      <c r="AV832" s="408"/>
      <c r="AW832" s="408"/>
      <c r="AX832" s="250"/>
      <c r="AY832" s="250"/>
      <c r="AZ832" s="250"/>
      <c r="BA832" s="250"/>
      <c r="BB832" s="250"/>
      <c r="BC832" s="250"/>
      <c r="BD832" s="250"/>
      <c r="BE832" s="250"/>
      <c r="BF832" s="250"/>
      <c r="BG832" s="250"/>
      <c r="BH832" s="250"/>
      <c r="BI832" s="250"/>
      <c r="BJ832" s="250"/>
      <c r="BK832" s="250"/>
      <c r="BL832" s="250"/>
      <c r="BM832" s="250"/>
      <c r="BN832" s="250"/>
      <c r="BO832" s="250"/>
      <c r="BP832" s="250"/>
      <c r="BQ832" s="250"/>
      <c r="BR832" s="250"/>
      <c r="BS832" s="250"/>
      <c r="BT832" s="250"/>
      <c r="BU832" s="250"/>
      <c r="BV832" s="250"/>
      <c r="BW832" s="250"/>
      <c r="BX832" s="250"/>
      <c r="BY832" s="250"/>
      <c r="BZ832" s="250"/>
      <c r="CA832" s="250"/>
      <c r="CB832" s="250"/>
      <c r="CC832" s="250"/>
      <c r="CD832" s="250"/>
      <c r="CE832" s="250"/>
      <c r="CF832" s="250"/>
      <c r="CG832" s="250"/>
      <c r="CH832" s="250"/>
      <c r="CI832" s="408"/>
      <c r="CJ832" s="408"/>
      <c r="CK832" s="408"/>
      <c r="CL832" s="408"/>
      <c r="CM832" s="408"/>
      <c r="CN832" s="408"/>
      <c r="CO832" s="408"/>
      <c r="CP832" s="408"/>
      <c r="CQ832" s="408"/>
      <c r="CR832" s="408"/>
      <c r="CS832" s="408"/>
      <c r="CT832" s="250"/>
      <c r="CU832" s="250"/>
      <c r="CV832" s="250"/>
      <c r="CW832" s="250"/>
      <c r="CX832" s="408"/>
      <c r="CY832" s="408"/>
      <c r="CZ832" s="408"/>
      <c r="DA832" s="408"/>
      <c r="DB832" s="408"/>
      <c r="DC832" s="408"/>
      <c r="DD832" s="408"/>
      <c r="DE832" s="250"/>
      <c r="DF832" s="408"/>
      <c r="DG832" s="408"/>
      <c r="DH832" s="408"/>
      <c r="DI832" s="408"/>
      <c r="DJ832" s="408"/>
      <c r="DK832" s="408"/>
      <c r="DL832" s="408"/>
      <c r="DM832" s="250"/>
      <c r="DN832" s="250"/>
      <c r="DO832" s="250"/>
      <c r="DP832" s="250"/>
      <c r="DQ832" s="250"/>
      <c r="DR832" s="250"/>
      <c r="DS832" s="250"/>
      <c r="DT832" s="250"/>
      <c r="DU832" s="250"/>
      <c r="DV832" s="250"/>
      <c r="DW832" s="252"/>
      <c r="DX832" s="252"/>
      <c r="DY832" s="250"/>
      <c r="DZ832" s="250"/>
      <c r="EA832" s="260"/>
      <c r="EB832" s="260"/>
      <c r="EC832" s="260"/>
      <c r="ED832" s="260"/>
      <c r="EG832" s="396"/>
      <c r="EH832" s="396"/>
    </row>
    <row r="833" spans="1:138" s="3" customFormat="1" x14ac:dyDescent="0.25">
      <c r="A833" s="407"/>
      <c r="B833" s="407"/>
      <c r="C833" s="250"/>
      <c r="D833" s="250"/>
      <c r="E833" s="250"/>
      <c r="F833" s="250"/>
      <c r="G833" s="250"/>
      <c r="H833" s="250"/>
      <c r="I833" s="250"/>
      <c r="J833" s="250"/>
      <c r="K833" s="250"/>
      <c r="L833" s="250"/>
      <c r="M833" s="250"/>
      <c r="N833" s="250"/>
      <c r="O833" s="250"/>
      <c r="P833" s="250"/>
      <c r="Q833" s="250"/>
      <c r="R833" s="250"/>
      <c r="S833" s="250"/>
      <c r="T833" s="250"/>
      <c r="U833" s="250"/>
      <c r="V833" s="250"/>
      <c r="W833" s="250"/>
      <c r="X833" s="250"/>
      <c r="Y833" s="250"/>
      <c r="Z833" s="250"/>
      <c r="AA833" s="250"/>
      <c r="AB833" s="250"/>
      <c r="AC833" s="250"/>
      <c r="AD833" s="250"/>
      <c r="AE833" s="250"/>
      <c r="AF833" s="250"/>
      <c r="AG833" s="250"/>
      <c r="AH833" s="250"/>
      <c r="AI833" s="250"/>
      <c r="AJ833" s="250"/>
      <c r="AK833" s="250"/>
      <c r="AL833" s="250"/>
      <c r="AM833" s="408"/>
      <c r="AN833" s="408"/>
      <c r="AO833" s="408"/>
      <c r="AP833" s="408"/>
      <c r="AQ833" s="408"/>
      <c r="AR833" s="408"/>
      <c r="AS833" s="408"/>
      <c r="AT833" s="408"/>
      <c r="AU833" s="408"/>
      <c r="AV833" s="408"/>
      <c r="AW833" s="408"/>
      <c r="AX833" s="250"/>
      <c r="AY833" s="250"/>
      <c r="AZ833" s="250"/>
      <c r="BA833" s="250"/>
      <c r="BB833" s="250"/>
      <c r="BC833" s="250"/>
      <c r="BD833" s="250"/>
      <c r="BE833" s="250"/>
      <c r="BF833" s="250"/>
      <c r="BG833" s="250"/>
      <c r="BH833" s="250"/>
      <c r="BI833" s="250"/>
      <c r="BJ833" s="250"/>
      <c r="BK833" s="250"/>
      <c r="BL833" s="250"/>
      <c r="BM833" s="250"/>
      <c r="BN833" s="250"/>
      <c r="BO833" s="250"/>
      <c r="BP833" s="250"/>
      <c r="BQ833" s="250"/>
      <c r="BR833" s="250"/>
      <c r="BS833" s="250"/>
      <c r="BT833" s="250"/>
      <c r="BU833" s="250"/>
      <c r="BV833" s="250"/>
      <c r="BW833" s="250"/>
      <c r="BX833" s="250"/>
      <c r="BY833" s="250"/>
      <c r="BZ833" s="250"/>
      <c r="CA833" s="250"/>
      <c r="CB833" s="250"/>
      <c r="CC833" s="250"/>
      <c r="CD833" s="250"/>
      <c r="CE833" s="250"/>
      <c r="CF833" s="250"/>
      <c r="CG833" s="250"/>
      <c r="CH833" s="250"/>
      <c r="CI833" s="408"/>
      <c r="CJ833" s="408"/>
      <c r="CK833" s="408"/>
      <c r="CL833" s="408"/>
      <c r="CM833" s="408"/>
      <c r="CN833" s="408"/>
      <c r="CO833" s="408"/>
      <c r="CP833" s="408"/>
      <c r="CQ833" s="408"/>
      <c r="CR833" s="408"/>
      <c r="CS833" s="408"/>
      <c r="CT833" s="250"/>
      <c r="CU833" s="250"/>
      <c r="CV833" s="250"/>
      <c r="CW833" s="250"/>
      <c r="CX833" s="408"/>
      <c r="CY833" s="408"/>
      <c r="CZ833" s="408"/>
      <c r="DA833" s="408"/>
      <c r="DB833" s="408"/>
      <c r="DC833" s="408"/>
      <c r="DD833" s="408"/>
      <c r="DE833" s="250"/>
      <c r="DF833" s="408"/>
      <c r="DG833" s="408"/>
      <c r="DH833" s="408"/>
      <c r="DI833" s="408"/>
      <c r="DJ833" s="408"/>
      <c r="DK833" s="408"/>
      <c r="DL833" s="408"/>
      <c r="DM833" s="250"/>
      <c r="DN833" s="250"/>
      <c r="DO833" s="250"/>
      <c r="DP833" s="250"/>
      <c r="DQ833" s="250"/>
      <c r="DR833" s="250"/>
      <c r="DS833" s="250"/>
      <c r="DT833" s="250"/>
      <c r="DU833" s="250"/>
      <c r="DV833" s="250"/>
      <c r="DW833" s="252"/>
      <c r="DX833" s="252"/>
      <c r="DY833" s="250"/>
      <c r="DZ833" s="250"/>
      <c r="EA833" s="260"/>
      <c r="EB833" s="260"/>
      <c r="EC833" s="260"/>
      <c r="ED833" s="260"/>
      <c r="EG833" s="396"/>
      <c r="EH833" s="396"/>
    </row>
    <row r="834" spans="1:138" s="3" customFormat="1" x14ac:dyDescent="0.25">
      <c r="A834" s="407"/>
      <c r="B834" s="407"/>
      <c r="C834" s="250"/>
      <c r="D834" s="250"/>
      <c r="E834" s="250"/>
      <c r="F834" s="250"/>
      <c r="G834" s="250"/>
      <c r="H834" s="250"/>
      <c r="I834" s="250"/>
      <c r="J834" s="250"/>
      <c r="K834" s="250"/>
      <c r="L834" s="250"/>
      <c r="M834" s="250"/>
      <c r="N834" s="250"/>
      <c r="O834" s="250"/>
      <c r="P834" s="250"/>
      <c r="Q834" s="250"/>
      <c r="R834" s="250"/>
      <c r="S834" s="250"/>
      <c r="T834" s="250"/>
      <c r="U834" s="250"/>
      <c r="V834" s="250"/>
      <c r="W834" s="250"/>
      <c r="X834" s="250"/>
      <c r="Y834" s="250"/>
      <c r="Z834" s="250"/>
      <c r="AA834" s="250"/>
      <c r="AB834" s="250"/>
      <c r="AC834" s="250"/>
      <c r="AD834" s="250"/>
      <c r="AE834" s="250"/>
      <c r="AF834" s="250"/>
      <c r="AG834" s="250"/>
      <c r="AH834" s="250"/>
      <c r="AI834" s="250"/>
      <c r="AJ834" s="250"/>
      <c r="AK834" s="250"/>
      <c r="AL834" s="250"/>
      <c r="AM834" s="408"/>
      <c r="AN834" s="408"/>
      <c r="AO834" s="408"/>
      <c r="AP834" s="408"/>
      <c r="AQ834" s="408"/>
      <c r="AR834" s="408"/>
      <c r="AS834" s="408"/>
      <c r="AT834" s="408"/>
      <c r="AU834" s="408"/>
      <c r="AV834" s="408"/>
      <c r="AW834" s="408"/>
      <c r="AX834" s="250"/>
      <c r="AY834" s="250"/>
      <c r="AZ834" s="250"/>
      <c r="BA834" s="250"/>
      <c r="BB834" s="250"/>
      <c r="BC834" s="250"/>
      <c r="BD834" s="250"/>
      <c r="BE834" s="250"/>
      <c r="BF834" s="250"/>
      <c r="BG834" s="250"/>
      <c r="BH834" s="250"/>
      <c r="BI834" s="250"/>
      <c r="BJ834" s="250"/>
      <c r="BK834" s="250"/>
      <c r="BL834" s="250"/>
      <c r="BM834" s="250"/>
      <c r="BN834" s="250"/>
      <c r="BO834" s="250"/>
      <c r="BP834" s="250"/>
      <c r="BQ834" s="250"/>
      <c r="BR834" s="250"/>
      <c r="BS834" s="250"/>
      <c r="BT834" s="250"/>
      <c r="BU834" s="250"/>
      <c r="BV834" s="250"/>
      <c r="BW834" s="250"/>
      <c r="BX834" s="250"/>
      <c r="BY834" s="250"/>
      <c r="BZ834" s="250"/>
      <c r="CA834" s="250"/>
      <c r="CB834" s="250"/>
      <c r="CC834" s="250"/>
      <c r="CD834" s="250"/>
      <c r="CE834" s="250"/>
      <c r="CF834" s="250"/>
      <c r="CG834" s="250"/>
      <c r="CH834" s="250"/>
      <c r="CI834" s="408"/>
      <c r="CJ834" s="408"/>
      <c r="CK834" s="408"/>
      <c r="CL834" s="408"/>
      <c r="CM834" s="408"/>
      <c r="CN834" s="408"/>
      <c r="CO834" s="408"/>
      <c r="CP834" s="408"/>
      <c r="CQ834" s="408"/>
      <c r="CR834" s="408"/>
      <c r="CS834" s="408"/>
      <c r="CT834" s="250"/>
      <c r="CU834" s="250"/>
      <c r="CV834" s="250"/>
      <c r="CW834" s="250"/>
      <c r="CX834" s="408"/>
      <c r="CY834" s="408"/>
      <c r="CZ834" s="408"/>
      <c r="DA834" s="408"/>
      <c r="DB834" s="408"/>
      <c r="DC834" s="408"/>
      <c r="DD834" s="408"/>
      <c r="DE834" s="250"/>
      <c r="DF834" s="408"/>
      <c r="DG834" s="408"/>
      <c r="DH834" s="408"/>
      <c r="DI834" s="408"/>
      <c r="DJ834" s="408"/>
      <c r="DK834" s="408"/>
      <c r="DL834" s="408"/>
      <c r="DM834" s="250"/>
      <c r="DN834" s="250"/>
      <c r="DO834" s="250"/>
      <c r="DP834" s="250"/>
      <c r="DQ834" s="250"/>
      <c r="DR834" s="250"/>
      <c r="DS834" s="250"/>
      <c r="DT834" s="250"/>
      <c r="DU834" s="250"/>
      <c r="DV834" s="250"/>
      <c r="DW834" s="252"/>
      <c r="DX834" s="252"/>
      <c r="DY834" s="250"/>
      <c r="DZ834" s="250"/>
      <c r="EA834" s="260"/>
      <c r="EB834" s="260"/>
      <c r="EC834" s="260"/>
      <c r="ED834" s="260"/>
      <c r="EG834" s="396"/>
      <c r="EH834" s="396"/>
    </row>
    <row r="835" spans="1:138" s="3" customFormat="1" x14ac:dyDescent="0.25">
      <c r="A835" s="407"/>
      <c r="B835" s="407"/>
      <c r="C835" s="250"/>
      <c r="D835" s="250"/>
      <c r="E835" s="250"/>
      <c r="F835" s="250"/>
      <c r="G835" s="250"/>
      <c r="H835" s="250"/>
      <c r="I835" s="250"/>
      <c r="J835" s="250"/>
      <c r="K835" s="250"/>
      <c r="L835" s="250"/>
      <c r="M835" s="250"/>
      <c r="N835" s="250"/>
      <c r="O835" s="250"/>
      <c r="P835" s="250"/>
      <c r="Q835" s="250"/>
      <c r="R835" s="250"/>
      <c r="S835" s="250"/>
      <c r="T835" s="250"/>
      <c r="U835" s="250"/>
      <c r="V835" s="250"/>
      <c r="W835" s="250"/>
      <c r="X835" s="250"/>
      <c r="Y835" s="250"/>
      <c r="Z835" s="250"/>
      <c r="AA835" s="250"/>
      <c r="AB835" s="250"/>
      <c r="AC835" s="250"/>
      <c r="AD835" s="250"/>
      <c r="AE835" s="250"/>
      <c r="AF835" s="250"/>
      <c r="AG835" s="250"/>
      <c r="AH835" s="250"/>
      <c r="AI835" s="250"/>
      <c r="AJ835" s="250"/>
      <c r="AK835" s="250"/>
      <c r="AL835" s="250"/>
      <c r="AM835" s="408"/>
      <c r="AN835" s="408"/>
      <c r="AO835" s="408"/>
      <c r="AP835" s="408"/>
      <c r="AQ835" s="408"/>
      <c r="AR835" s="408"/>
      <c r="AS835" s="408"/>
      <c r="AT835" s="408"/>
      <c r="AU835" s="408"/>
      <c r="AV835" s="408"/>
      <c r="AW835" s="408"/>
      <c r="AX835" s="250"/>
      <c r="AY835" s="250"/>
      <c r="AZ835" s="250"/>
      <c r="BA835" s="250"/>
      <c r="BB835" s="250"/>
      <c r="BC835" s="250"/>
      <c r="BD835" s="250"/>
      <c r="BE835" s="250"/>
      <c r="BF835" s="250"/>
      <c r="BG835" s="250"/>
      <c r="BH835" s="250"/>
      <c r="BI835" s="250"/>
      <c r="BJ835" s="250"/>
      <c r="BK835" s="250"/>
      <c r="BL835" s="250"/>
      <c r="BM835" s="250"/>
      <c r="BN835" s="250"/>
      <c r="BO835" s="250"/>
      <c r="BP835" s="250"/>
      <c r="BQ835" s="250"/>
      <c r="BR835" s="250"/>
      <c r="BS835" s="250"/>
      <c r="BT835" s="250"/>
      <c r="BU835" s="250"/>
      <c r="BV835" s="250"/>
      <c r="BW835" s="250"/>
      <c r="BX835" s="250"/>
      <c r="BY835" s="250"/>
      <c r="BZ835" s="250"/>
      <c r="CA835" s="250"/>
      <c r="CB835" s="250"/>
      <c r="CC835" s="250"/>
      <c r="CD835" s="250"/>
      <c r="CE835" s="250"/>
      <c r="CF835" s="250"/>
      <c r="CG835" s="250"/>
      <c r="CH835" s="250"/>
      <c r="CI835" s="408"/>
      <c r="CJ835" s="408"/>
      <c r="CK835" s="408"/>
      <c r="CL835" s="408"/>
      <c r="CM835" s="408"/>
      <c r="CN835" s="408"/>
      <c r="CO835" s="408"/>
      <c r="CP835" s="408"/>
      <c r="CQ835" s="408"/>
      <c r="CR835" s="408"/>
      <c r="CS835" s="408"/>
      <c r="CT835" s="250"/>
      <c r="CU835" s="250"/>
      <c r="CV835" s="250"/>
      <c r="CW835" s="250"/>
      <c r="CX835" s="408"/>
      <c r="CY835" s="408"/>
      <c r="CZ835" s="408"/>
      <c r="DA835" s="408"/>
      <c r="DB835" s="408"/>
      <c r="DC835" s="408"/>
      <c r="DD835" s="408"/>
      <c r="DE835" s="250"/>
      <c r="DF835" s="408"/>
      <c r="DG835" s="408"/>
      <c r="DH835" s="408"/>
      <c r="DI835" s="408"/>
      <c r="DJ835" s="408"/>
      <c r="DK835" s="408"/>
      <c r="DL835" s="408"/>
      <c r="DM835" s="250"/>
      <c r="DN835" s="250"/>
      <c r="DO835" s="250"/>
      <c r="DP835" s="250"/>
      <c r="DQ835" s="250"/>
      <c r="DR835" s="250"/>
      <c r="DS835" s="250"/>
      <c r="DT835" s="250"/>
      <c r="DU835" s="250"/>
      <c r="DV835" s="250"/>
      <c r="DW835" s="252"/>
      <c r="DX835" s="252"/>
      <c r="DY835" s="250"/>
      <c r="DZ835" s="250"/>
      <c r="EA835" s="260"/>
      <c r="EB835" s="260"/>
      <c r="EC835" s="260"/>
      <c r="ED835" s="260"/>
      <c r="EG835" s="396"/>
      <c r="EH835" s="396"/>
    </row>
    <row r="836" spans="1:138" s="3" customFormat="1" x14ac:dyDescent="0.25">
      <c r="A836" s="407"/>
      <c r="B836" s="407"/>
      <c r="C836" s="250"/>
      <c r="D836" s="250"/>
      <c r="E836" s="250"/>
      <c r="F836" s="250"/>
      <c r="G836" s="250"/>
      <c r="H836" s="250"/>
      <c r="I836" s="250"/>
      <c r="J836" s="250"/>
      <c r="K836" s="250"/>
      <c r="L836" s="250"/>
      <c r="M836" s="250"/>
      <c r="N836" s="250"/>
      <c r="O836" s="250"/>
      <c r="P836" s="250"/>
      <c r="Q836" s="250"/>
      <c r="R836" s="250"/>
      <c r="S836" s="250"/>
      <c r="T836" s="250"/>
      <c r="U836" s="250"/>
      <c r="V836" s="250"/>
      <c r="W836" s="250"/>
      <c r="X836" s="250"/>
      <c r="Y836" s="250"/>
      <c r="Z836" s="250"/>
      <c r="AA836" s="250"/>
      <c r="AB836" s="250"/>
      <c r="AC836" s="250"/>
      <c r="AD836" s="250"/>
      <c r="AE836" s="250"/>
      <c r="AF836" s="250"/>
      <c r="AG836" s="250"/>
      <c r="AH836" s="250"/>
      <c r="AI836" s="250"/>
      <c r="AJ836" s="250"/>
      <c r="AK836" s="250"/>
      <c r="AL836" s="250"/>
      <c r="AM836" s="408"/>
      <c r="AN836" s="408"/>
      <c r="AO836" s="408"/>
      <c r="AP836" s="408"/>
      <c r="AQ836" s="408"/>
      <c r="AR836" s="408"/>
      <c r="AS836" s="408"/>
      <c r="AT836" s="408"/>
      <c r="AU836" s="408"/>
      <c r="AV836" s="408"/>
      <c r="AW836" s="408"/>
      <c r="AX836" s="250"/>
      <c r="AY836" s="250"/>
      <c r="AZ836" s="250"/>
      <c r="BA836" s="250"/>
      <c r="BB836" s="250"/>
      <c r="BC836" s="250"/>
      <c r="BD836" s="250"/>
      <c r="BE836" s="250"/>
      <c r="BF836" s="250"/>
      <c r="BG836" s="250"/>
      <c r="BH836" s="250"/>
      <c r="BI836" s="250"/>
      <c r="BJ836" s="250"/>
      <c r="BK836" s="250"/>
      <c r="BL836" s="250"/>
      <c r="BM836" s="250"/>
      <c r="BN836" s="250"/>
      <c r="BO836" s="250"/>
      <c r="BP836" s="250"/>
      <c r="BQ836" s="250"/>
      <c r="BR836" s="250"/>
      <c r="BS836" s="250"/>
      <c r="BT836" s="250"/>
      <c r="BU836" s="250"/>
      <c r="BV836" s="250"/>
      <c r="BW836" s="250"/>
      <c r="BX836" s="250"/>
      <c r="BY836" s="250"/>
      <c r="BZ836" s="250"/>
      <c r="CA836" s="250"/>
      <c r="CB836" s="250"/>
      <c r="CC836" s="250"/>
      <c r="CD836" s="250"/>
      <c r="CE836" s="250"/>
      <c r="CF836" s="250"/>
      <c r="CG836" s="250"/>
      <c r="CH836" s="250"/>
      <c r="CI836" s="408"/>
      <c r="CJ836" s="408"/>
      <c r="CK836" s="408"/>
      <c r="CL836" s="408"/>
      <c r="CM836" s="408"/>
      <c r="CN836" s="408"/>
      <c r="CO836" s="408"/>
      <c r="CP836" s="408"/>
      <c r="CQ836" s="408"/>
      <c r="CR836" s="408"/>
      <c r="CS836" s="408"/>
      <c r="CT836" s="250"/>
      <c r="CU836" s="250"/>
      <c r="CV836" s="250"/>
      <c r="CW836" s="250"/>
      <c r="CX836" s="408"/>
      <c r="CY836" s="408"/>
      <c r="CZ836" s="408"/>
      <c r="DA836" s="408"/>
      <c r="DB836" s="408"/>
      <c r="DC836" s="408"/>
      <c r="DD836" s="408"/>
      <c r="DE836" s="250"/>
      <c r="DF836" s="408"/>
      <c r="DG836" s="408"/>
      <c r="DH836" s="408"/>
      <c r="DI836" s="408"/>
      <c r="DJ836" s="408"/>
      <c r="DK836" s="408"/>
      <c r="DL836" s="408"/>
      <c r="DM836" s="250"/>
      <c r="DN836" s="250"/>
      <c r="DO836" s="250"/>
      <c r="DP836" s="250"/>
      <c r="DQ836" s="250"/>
      <c r="DR836" s="250"/>
      <c r="DS836" s="250"/>
      <c r="DT836" s="250"/>
      <c r="DU836" s="250"/>
      <c r="DV836" s="250"/>
      <c r="DW836" s="252"/>
      <c r="DX836" s="252"/>
      <c r="DY836" s="250"/>
      <c r="DZ836" s="250"/>
      <c r="EA836" s="260"/>
      <c r="EB836" s="260"/>
      <c r="EC836" s="260"/>
      <c r="ED836" s="260"/>
      <c r="EG836" s="396"/>
      <c r="EH836" s="396"/>
    </row>
    <row r="837" spans="1:138" s="3" customFormat="1" x14ac:dyDescent="0.25">
      <c r="A837" s="407"/>
      <c r="B837" s="407"/>
      <c r="C837" s="250"/>
      <c r="D837" s="250"/>
      <c r="E837" s="250"/>
      <c r="F837" s="250"/>
      <c r="G837" s="250"/>
      <c r="H837" s="250"/>
      <c r="I837" s="250"/>
      <c r="J837" s="250"/>
      <c r="K837" s="250"/>
      <c r="L837" s="250"/>
      <c r="M837" s="250"/>
      <c r="N837" s="250"/>
      <c r="O837" s="250"/>
      <c r="P837" s="250"/>
      <c r="Q837" s="250"/>
      <c r="R837" s="250"/>
      <c r="S837" s="250"/>
      <c r="T837" s="250"/>
      <c r="U837" s="250"/>
      <c r="V837" s="250"/>
      <c r="W837" s="250"/>
      <c r="X837" s="250"/>
      <c r="Y837" s="250"/>
      <c r="Z837" s="250"/>
      <c r="AA837" s="250"/>
      <c r="AB837" s="250"/>
      <c r="AC837" s="250"/>
      <c r="AD837" s="250"/>
      <c r="AE837" s="250"/>
      <c r="AF837" s="250"/>
      <c r="AG837" s="250"/>
      <c r="AH837" s="250"/>
      <c r="AI837" s="250"/>
      <c r="AJ837" s="250"/>
      <c r="AK837" s="250"/>
      <c r="AL837" s="250"/>
      <c r="AM837" s="408"/>
      <c r="AN837" s="408"/>
      <c r="AO837" s="408"/>
      <c r="AP837" s="408"/>
      <c r="AQ837" s="408"/>
      <c r="AR837" s="408"/>
      <c r="AS837" s="408"/>
      <c r="AT837" s="408"/>
      <c r="AU837" s="408"/>
      <c r="AV837" s="408"/>
      <c r="AW837" s="408"/>
      <c r="AX837" s="250"/>
      <c r="AY837" s="250"/>
      <c r="AZ837" s="250"/>
      <c r="BA837" s="250"/>
      <c r="BB837" s="250"/>
      <c r="BC837" s="250"/>
      <c r="BD837" s="250"/>
      <c r="BE837" s="250"/>
      <c r="BF837" s="250"/>
      <c r="BG837" s="250"/>
      <c r="BH837" s="250"/>
      <c r="BI837" s="250"/>
      <c r="BJ837" s="250"/>
      <c r="BK837" s="250"/>
      <c r="BL837" s="250"/>
      <c r="BM837" s="250"/>
      <c r="BN837" s="250"/>
      <c r="BO837" s="250"/>
      <c r="BP837" s="250"/>
      <c r="BQ837" s="250"/>
      <c r="BR837" s="250"/>
      <c r="BS837" s="250"/>
      <c r="BT837" s="250"/>
      <c r="BU837" s="250"/>
      <c r="BV837" s="250"/>
      <c r="BW837" s="250"/>
      <c r="BX837" s="250"/>
      <c r="BY837" s="250"/>
      <c r="BZ837" s="250"/>
      <c r="CA837" s="250"/>
      <c r="CB837" s="250"/>
      <c r="CC837" s="250"/>
      <c r="CD837" s="250"/>
      <c r="CE837" s="250"/>
      <c r="CF837" s="250"/>
      <c r="CG837" s="250"/>
      <c r="CH837" s="250"/>
      <c r="CI837" s="408"/>
      <c r="CJ837" s="408"/>
      <c r="CK837" s="408"/>
      <c r="CL837" s="408"/>
      <c r="CM837" s="408"/>
      <c r="CN837" s="408"/>
      <c r="CO837" s="408"/>
      <c r="CP837" s="408"/>
      <c r="CQ837" s="408"/>
      <c r="CR837" s="408"/>
      <c r="CS837" s="408"/>
      <c r="CT837" s="250"/>
      <c r="CU837" s="250"/>
      <c r="CV837" s="250"/>
      <c r="CW837" s="250"/>
      <c r="CX837" s="408"/>
      <c r="CY837" s="408"/>
      <c r="CZ837" s="408"/>
      <c r="DA837" s="408"/>
      <c r="DB837" s="408"/>
      <c r="DC837" s="408"/>
      <c r="DD837" s="408"/>
      <c r="DE837" s="250"/>
      <c r="DF837" s="408"/>
      <c r="DG837" s="408"/>
      <c r="DH837" s="408"/>
      <c r="DI837" s="408"/>
      <c r="DJ837" s="408"/>
      <c r="DK837" s="408"/>
      <c r="DL837" s="408"/>
      <c r="DM837" s="250"/>
      <c r="DN837" s="250"/>
      <c r="DO837" s="250"/>
      <c r="DP837" s="250"/>
      <c r="DQ837" s="250"/>
      <c r="DR837" s="250"/>
      <c r="DS837" s="250"/>
      <c r="DT837" s="250"/>
      <c r="DU837" s="250"/>
      <c r="DV837" s="250"/>
      <c r="DW837" s="252"/>
      <c r="DX837" s="252"/>
      <c r="DY837" s="250"/>
      <c r="DZ837" s="250"/>
      <c r="EA837" s="260"/>
      <c r="EB837" s="260"/>
      <c r="EC837" s="260"/>
      <c r="ED837" s="260"/>
      <c r="EG837" s="396"/>
      <c r="EH837" s="396"/>
    </row>
    <row r="838" spans="1:138" s="3" customFormat="1" x14ac:dyDescent="0.25">
      <c r="A838" s="407"/>
      <c r="B838" s="407"/>
      <c r="C838" s="250"/>
      <c r="D838" s="250"/>
      <c r="E838" s="250"/>
      <c r="F838" s="250"/>
      <c r="G838" s="250"/>
      <c r="H838" s="250"/>
      <c r="I838" s="250"/>
      <c r="J838" s="250"/>
      <c r="K838" s="250"/>
      <c r="L838" s="250"/>
      <c r="M838" s="250"/>
      <c r="N838" s="250"/>
      <c r="O838" s="250"/>
      <c r="P838" s="250"/>
      <c r="Q838" s="250"/>
      <c r="R838" s="250"/>
      <c r="S838" s="250"/>
      <c r="T838" s="250"/>
      <c r="U838" s="250"/>
      <c r="V838" s="250"/>
      <c r="W838" s="250"/>
      <c r="X838" s="250"/>
      <c r="Y838" s="250"/>
      <c r="Z838" s="250"/>
      <c r="AA838" s="250"/>
      <c r="AB838" s="250"/>
      <c r="AC838" s="250"/>
      <c r="AD838" s="250"/>
      <c r="AE838" s="250"/>
      <c r="AF838" s="250"/>
      <c r="AG838" s="250"/>
      <c r="AH838" s="250"/>
      <c r="AI838" s="250"/>
      <c r="AJ838" s="250"/>
      <c r="AK838" s="250"/>
      <c r="AL838" s="250"/>
      <c r="AM838" s="408"/>
      <c r="AN838" s="408"/>
      <c r="AO838" s="408"/>
      <c r="AP838" s="408"/>
      <c r="AQ838" s="408"/>
      <c r="AR838" s="408"/>
      <c r="AS838" s="408"/>
      <c r="AT838" s="408"/>
      <c r="AU838" s="408"/>
      <c r="AV838" s="408"/>
      <c r="AW838" s="408"/>
      <c r="AX838" s="250"/>
      <c r="AY838" s="250"/>
      <c r="AZ838" s="250"/>
      <c r="BA838" s="250"/>
      <c r="BB838" s="250"/>
      <c r="BC838" s="250"/>
      <c r="BD838" s="250"/>
      <c r="BE838" s="250"/>
      <c r="BF838" s="250"/>
      <c r="BG838" s="250"/>
      <c r="BH838" s="250"/>
      <c r="BI838" s="250"/>
      <c r="BJ838" s="250"/>
      <c r="BK838" s="250"/>
      <c r="BL838" s="250"/>
      <c r="BM838" s="250"/>
      <c r="BN838" s="250"/>
      <c r="BO838" s="250"/>
      <c r="BP838" s="250"/>
      <c r="BQ838" s="250"/>
      <c r="BR838" s="250"/>
      <c r="BS838" s="250"/>
      <c r="BT838" s="250"/>
      <c r="BU838" s="250"/>
      <c r="BV838" s="250"/>
      <c r="BW838" s="250"/>
      <c r="BX838" s="250"/>
      <c r="BY838" s="250"/>
      <c r="BZ838" s="250"/>
      <c r="CA838" s="250"/>
      <c r="CB838" s="250"/>
      <c r="CC838" s="250"/>
      <c r="CD838" s="250"/>
      <c r="CE838" s="250"/>
      <c r="CF838" s="250"/>
      <c r="CG838" s="250"/>
      <c r="CH838" s="250"/>
      <c r="CI838" s="408"/>
      <c r="CJ838" s="408"/>
      <c r="CK838" s="408"/>
      <c r="CL838" s="408"/>
      <c r="CM838" s="408"/>
      <c r="CN838" s="408"/>
      <c r="CO838" s="408"/>
      <c r="CP838" s="408"/>
      <c r="CQ838" s="408"/>
      <c r="CR838" s="408"/>
      <c r="CS838" s="408"/>
      <c r="CT838" s="250"/>
      <c r="CU838" s="250"/>
      <c r="CV838" s="250"/>
      <c r="CW838" s="250"/>
      <c r="CX838" s="408"/>
      <c r="CY838" s="408"/>
      <c r="CZ838" s="408"/>
      <c r="DA838" s="408"/>
      <c r="DB838" s="408"/>
      <c r="DC838" s="408"/>
      <c r="DD838" s="408"/>
      <c r="DE838" s="250"/>
      <c r="DF838" s="408"/>
      <c r="DG838" s="408"/>
      <c r="DH838" s="408"/>
      <c r="DI838" s="408"/>
      <c r="DJ838" s="408"/>
      <c r="DK838" s="408"/>
      <c r="DL838" s="408"/>
      <c r="DM838" s="250"/>
      <c r="DN838" s="250"/>
      <c r="DO838" s="250"/>
      <c r="DP838" s="250"/>
      <c r="DQ838" s="250"/>
      <c r="DR838" s="250"/>
      <c r="DS838" s="250"/>
      <c r="DT838" s="250"/>
      <c r="DU838" s="250"/>
      <c r="DV838" s="250"/>
      <c r="DW838" s="252"/>
      <c r="DX838" s="252"/>
      <c r="DY838" s="250"/>
      <c r="DZ838" s="250"/>
      <c r="EA838" s="260"/>
      <c r="EB838" s="260"/>
      <c r="EC838" s="260"/>
      <c r="ED838" s="260"/>
      <c r="EG838" s="396"/>
      <c r="EH838" s="396"/>
    </row>
    <row r="839" spans="1:138" s="3" customFormat="1" x14ac:dyDescent="0.25">
      <c r="A839" s="407"/>
      <c r="B839" s="407"/>
      <c r="C839" s="250"/>
      <c r="D839" s="250"/>
      <c r="E839" s="250"/>
      <c r="F839" s="250"/>
      <c r="G839" s="250"/>
      <c r="H839" s="250"/>
      <c r="I839" s="250"/>
      <c r="J839" s="250"/>
      <c r="K839" s="250"/>
      <c r="L839" s="250"/>
      <c r="M839" s="250"/>
      <c r="N839" s="250"/>
      <c r="O839" s="250"/>
      <c r="P839" s="250"/>
      <c r="Q839" s="250"/>
      <c r="R839" s="250"/>
      <c r="S839" s="250"/>
      <c r="T839" s="250"/>
      <c r="U839" s="250"/>
      <c r="V839" s="250"/>
      <c r="W839" s="250"/>
      <c r="X839" s="250"/>
      <c r="Y839" s="250"/>
      <c r="Z839" s="250"/>
      <c r="AA839" s="250"/>
      <c r="AB839" s="250"/>
      <c r="AC839" s="250"/>
      <c r="AD839" s="250"/>
      <c r="AE839" s="250"/>
      <c r="AF839" s="250"/>
      <c r="AG839" s="250"/>
      <c r="AH839" s="250"/>
      <c r="AI839" s="250"/>
      <c r="AJ839" s="250"/>
      <c r="AK839" s="250"/>
      <c r="AL839" s="250"/>
      <c r="AM839" s="408"/>
      <c r="AN839" s="408"/>
      <c r="AO839" s="408"/>
      <c r="AP839" s="408"/>
      <c r="AQ839" s="408"/>
      <c r="AR839" s="408"/>
      <c r="AS839" s="408"/>
      <c r="AT839" s="408"/>
      <c r="AU839" s="408"/>
      <c r="AV839" s="408"/>
      <c r="AW839" s="408"/>
      <c r="AX839" s="250"/>
      <c r="AY839" s="250"/>
      <c r="AZ839" s="250"/>
      <c r="BA839" s="250"/>
      <c r="BB839" s="250"/>
      <c r="BC839" s="250"/>
      <c r="BD839" s="250"/>
      <c r="BE839" s="250"/>
      <c r="BF839" s="250"/>
      <c r="BG839" s="250"/>
      <c r="BH839" s="250"/>
      <c r="BI839" s="250"/>
      <c r="BJ839" s="250"/>
      <c r="BK839" s="250"/>
      <c r="BL839" s="250"/>
      <c r="BM839" s="250"/>
      <c r="BN839" s="250"/>
      <c r="BO839" s="250"/>
      <c r="BP839" s="250"/>
      <c r="BQ839" s="250"/>
      <c r="BR839" s="250"/>
      <c r="BS839" s="250"/>
      <c r="BT839" s="250"/>
      <c r="BU839" s="250"/>
      <c r="BV839" s="250"/>
      <c r="BW839" s="250"/>
      <c r="BX839" s="250"/>
      <c r="BY839" s="250"/>
      <c r="BZ839" s="250"/>
      <c r="CA839" s="250"/>
      <c r="CB839" s="250"/>
      <c r="CC839" s="250"/>
      <c r="CD839" s="250"/>
      <c r="CE839" s="250"/>
      <c r="CF839" s="250"/>
      <c r="CG839" s="250"/>
      <c r="CH839" s="250"/>
      <c r="CI839" s="408"/>
      <c r="CJ839" s="408"/>
      <c r="CK839" s="408"/>
      <c r="CL839" s="408"/>
      <c r="CM839" s="408"/>
      <c r="CN839" s="408"/>
      <c r="CO839" s="408"/>
      <c r="CP839" s="408"/>
      <c r="CQ839" s="408"/>
      <c r="CR839" s="408"/>
      <c r="CS839" s="408"/>
      <c r="CT839" s="250"/>
      <c r="CU839" s="250"/>
      <c r="CV839" s="250"/>
      <c r="CW839" s="250"/>
      <c r="CX839" s="408"/>
      <c r="CY839" s="408"/>
      <c r="CZ839" s="408"/>
      <c r="DA839" s="408"/>
      <c r="DB839" s="408"/>
      <c r="DC839" s="408"/>
      <c r="DD839" s="408"/>
      <c r="DE839" s="250"/>
      <c r="DF839" s="408"/>
      <c r="DG839" s="408"/>
      <c r="DH839" s="408"/>
      <c r="DI839" s="408"/>
      <c r="DJ839" s="408"/>
      <c r="DK839" s="408"/>
      <c r="DL839" s="408"/>
      <c r="DM839" s="250"/>
      <c r="DN839" s="250"/>
      <c r="DO839" s="250"/>
      <c r="DP839" s="250"/>
      <c r="DQ839" s="250"/>
      <c r="DR839" s="250"/>
      <c r="DS839" s="250"/>
      <c r="DT839" s="250"/>
      <c r="DU839" s="250"/>
      <c r="DV839" s="250"/>
      <c r="DW839" s="252"/>
      <c r="DX839" s="252"/>
      <c r="DY839" s="250"/>
      <c r="DZ839" s="250"/>
      <c r="EA839" s="260"/>
      <c r="EB839" s="260"/>
      <c r="EC839" s="260"/>
      <c r="ED839" s="260"/>
      <c r="EG839" s="396"/>
      <c r="EH839" s="396"/>
    </row>
    <row r="840" spans="1:138" s="3" customFormat="1" x14ac:dyDescent="0.25">
      <c r="A840" s="407"/>
      <c r="B840" s="407"/>
      <c r="C840" s="250"/>
      <c r="D840" s="250"/>
      <c r="E840" s="250"/>
      <c r="F840" s="250"/>
      <c r="G840" s="250"/>
      <c r="H840" s="250"/>
      <c r="I840" s="250"/>
      <c r="J840" s="250"/>
      <c r="K840" s="250"/>
      <c r="L840" s="250"/>
      <c r="M840" s="250"/>
      <c r="N840" s="250"/>
      <c r="O840" s="250"/>
      <c r="P840" s="250"/>
      <c r="Q840" s="250"/>
      <c r="R840" s="250"/>
      <c r="S840" s="250"/>
      <c r="T840" s="250"/>
      <c r="U840" s="250"/>
      <c r="V840" s="250"/>
      <c r="W840" s="250"/>
      <c r="X840" s="250"/>
      <c r="Y840" s="250"/>
      <c r="Z840" s="250"/>
      <c r="AA840" s="250"/>
      <c r="AB840" s="250"/>
      <c r="AC840" s="250"/>
      <c r="AD840" s="250"/>
      <c r="AE840" s="250"/>
      <c r="AF840" s="250"/>
      <c r="AG840" s="250"/>
      <c r="AH840" s="250"/>
      <c r="AI840" s="250"/>
      <c r="AJ840" s="250"/>
      <c r="AK840" s="250"/>
      <c r="AL840" s="250"/>
      <c r="AM840" s="408"/>
      <c r="AN840" s="408"/>
      <c r="AO840" s="408"/>
      <c r="AP840" s="408"/>
      <c r="AQ840" s="408"/>
      <c r="AR840" s="408"/>
      <c r="AS840" s="408"/>
      <c r="AT840" s="408"/>
      <c r="AU840" s="408"/>
      <c r="AV840" s="408"/>
      <c r="AW840" s="408"/>
      <c r="AX840" s="250"/>
      <c r="AY840" s="250"/>
      <c r="AZ840" s="250"/>
      <c r="BA840" s="250"/>
      <c r="BB840" s="250"/>
      <c r="BC840" s="250"/>
      <c r="BD840" s="250"/>
      <c r="BE840" s="250"/>
      <c r="BF840" s="250"/>
      <c r="BG840" s="250"/>
      <c r="BH840" s="250"/>
      <c r="BI840" s="250"/>
      <c r="BJ840" s="250"/>
      <c r="BK840" s="250"/>
      <c r="BL840" s="250"/>
      <c r="BM840" s="250"/>
      <c r="BN840" s="250"/>
      <c r="BO840" s="250"/>
      <c r="BP840" s="250"/>
      <c r="BQ840" s="250"/>
      <c r="BR840" s="250"/>
      <c r="BS840" s="250"/>
      <c r="BT840" s="250"/>
      <c r="BU840" s="250"/>
      <c r="BV840" s="250"/>
      <c r="BW840" s="250"/>
      <c r="BX840" s="250"/>
      <c r="BY840" s="250"/>
      <c r="BZ840" s="250"/>
      <c r="CA840" s="250"/>
      <c r="CB840" s="250"/>
      <c r="CC840" s="250"/>
      <c r="CD840" s="250"/>
      <c r="CE840" s="250"/>
      <c r="CF840" s="250"/>
      <c r="CG840" s="250"/>
      <c r="CH840" s="250"/>
      <c r="CI840" s="408"/>
      <c r="CJ840" s="408"/>
      <c r="CK840" s="408"/>
      <c r="CL840" s="408"/>
      <c r="CM840" s="408"/>
      <c r="CN840" s="408"/>
      <c r="CO840" s="408"/>
      <c r="CP840" s="408"/>
      <c r="CQ840" s="408"/>
      <c r="CR840" s="408"/>
      <c r="CS840" s="408"/>
      <c r="CT840" s="250"/>
      <c r="CU840" s="250"/>
      <c r="CV840" s="250"/>
      <c r="CW840" s="250"/>
      <c r="CX840" s="408"/>
      <c r="CY840" s="408"/>
      <c r="CZ840" s="408"/>
      <c r="DA840" s="408"/>
      <c r="DB840" s="408"/>
      <c r="DC840" s="408"/>
      <c r="DD840" s="408"/>
      <c r="DE840" s="250"/>
      <c r="DF840" s="408"/>
      <c r="DG840" s="408"/>
      <c r="DH840" s="408"/>
      <c r="DI840" s="408"/>
      <c r="DJ840" s="408"/>
      <c r="DK840" s="408"/>
      <c r="DL840" s="408"/>
      <c r="DM840" s="250"/>
      <c r="DN840" s="250"/>
      <c r="DO840" s="250"/>
      <c r="DP840" s="250"/>
      <c r="DQ840" s="250"/>
      <c r="DR840" s="250"/>
      <c r="DS840" s="250"/>
      <c r="DT840" s="250"/>
      <c r="DU840" s="250"/>
      <c r="DV840" s="250"/>
      <c r="DW840" s="252"/>
      <c r="DX840" s="252"/>
      <c r="DY840" s="250"/>
      <c r="DZ840" s="250"/>
      <c r="EA840" s="260"/>
      <c r="EB840" s="260"/>
      <c r="EC840" s="260"/>
      <c r="ED840" s="260"/>
      <c r="EG840" s="396"/>
      <c r="EH840" s="396"/>
    </row>
    <row r="841" spans="1:138" s="3" customFormat="1" x14ac:dyDescent="0.25">
      <c r="A841" s="407"/>
      <c r="B841" s="407"/>
      <c r="C841" s="250"/>
      <c r="D841" s="250"/>
      <c r="E841" s="250"/>
      <c r="F841" s="250"/>
      <c r="G841" s="250"/>
      <c r="H841" s="250"/>
      <c r="I841" s="250"/>
      <c r="J841" s="250"/>
      <c r="K841" s="250"/>
      <c r="L841" s="250"/>
      <c r="M841" s="250"/>
      <c r="N841" s="250"/>
      <c r="O841" s="250"/>
      <c r="P841" s="250"/>
      <c r="Q841" s="250"/>
      <c r="R841" s="250"/>
      <c r="S841" s="250"/>
      <c r="T841" s="250"/>
      <c r="U841" s="250"/>
      <c r="V841" s="250"/>
      <c r="W841" s="250"/>
      <c r="X841" s="250"/>
      <c r="Y841" s="250"/>
      <c r="Z841" s="250"/>
      <c r="AA841" s="250"/>
      <c r="AB841" s="250"/>
      <c r="AC841" s="250"/>
      <c r="AD841" s="250"/>
      <c r="AE841" s="250"/>
      <c r="AF841" s="250"/>
      <c r="AG841" s="250"/>
      <c r="AH841" s="250"/>
      <c r="AI841" s="250"/>
      <c r="AJ841" s="250"/>
      <c r="AK841" s="250"/>
      <c r="AL841" s="250"/>
      <c r="AM841" s="408"/>
      <c r="AN841" s="408"/>
      <c r="AO841" s="408"/>
      <c r="AP841" s="408"/>
      <c r="AQ841" s="408"/>
      <c r="AR841" s="408"/>
      <c r="AS841" s="408"/>
      <c r="AT841" s="408"/>
      <c r="AU841" s="408"/>
      <c r="AV841" s="408"/>
      <c r="AW841" s="408"/>
      <c r="AX841" s="250"/>
      <c r="AY841" s="250"/>
      <c r="AZ841" s="250"/>
      <c r="BA841" s="250"/>
      <c r="BB841" s="250"/>
      <c r="BC841" s="250"/>
      <c r="BD841" s="250"/>
      <c r="BE841" s="250"/>
      <c r="BF841" s="250"/>
      <c r="BG841" s="250"/>
      <c r="BH841" s="250"/>
      <c r="BI841" s="250"/>
      <c r="BJ841" s="250"/>
      <c r="BK841" s="250"/>
      <c r="BL841" s="250"/>
      <c r="BM841" s="250"/>
      <c r="BN841" s="250"/>
      <c r="BO841" s="250"/>
      <c r="BP841" s="250"/>
      <c r="BQ841" s="250"/>
      <c r="BR841" s="250"/>
      <c r="BS841" s="250"/>
      <c r="BT841" s="250"/>
      <c r="BU841" s="250"/>
      <c r="BV841" s="250"/>
      <c r="BW841" s="250"/>
      <c r="BX841" s="250"/>
      <c r="BY841" s="250"/>
      <c r="BZ841" s="250"/>
      <c r="CA841" s="250"/>
      <c r="CB841" s="250"/>
      <c r="CC841" s="250"/>
      <c r="CD841" s="250"/>
      <c r="CE841" s="250"/>
      <c r="CF841" s="250"/>
      <c r="CG841" s="250"/>
      <c r="CH841" s="250"/>
      <c r="CI841" s="408"/>
      <c r="CJ841" s="408"/>
      <c r="CK841" s="408"/>
      <c r="CL841" s="408"/>
      <c r="CM841" s="408"/>
      <c r="CN841" s="408"/>
      <c r="CO841" s="408"/>
      <c r="CP841" s="408"/>
      <c r="CQ841" s="408"/>
      <c r="CR841" s="408"/>
      <c r="CS841" s="408"/>
      <c r="CT841" s="250"/>
      <c r="CU841" s="250"/>
      <c r="CV841" s="250"/>
      <c r="CW841" s="250"/>
      <c r="CX841" s="408"/>
      <c r="CY841" s="408"/>
      <c r="CZ841" s="408"/>
      <c r="DA841" s="408"/>
      <c r="DB841" s="408"/>
      <c r="DC841" s="408"/>
      <c r="DD841" s="408"/>
      <c r="DE841" s="250"/>
      <c r="DF841" s="408"/>
      <c r="DG841" s="408"/>
      <c r="DH841" s="408"/>
      <c r="DI841" s="408"/>
      <c r="DJ841" s="408"/>
      <c r="DK841" s="408"/>
      <c r="DL841" s="408"/>
      <c r="DM841" s="250"/>
      <c r="DN841" s="250"/>
      <c r="DO841" s="250"/>
      <c r="DP841" s="250"/>
      <c r="DQ841" s="250"/>
      <c r="DR841" s="250"/>
      <c r="DS841" s="250"/>
      <c r="DT841" s="250"/>
      <c r="DU841" s="250"/>
      <c r="DV841" s="250"/>
      <c r="DW841" s="252"/>
      <c r="DX841" s="252"/>
      <c r="DY841" s="250"/>
      <c r="DZ841" s="250"/>
      <c r="EA841" s="260"/>
      <c r="EB841" s="260"/>
      <c r="EC841" s="260"/>
      <c r="ED841" s="260"/>
      <c r="EG841" s="396"/>
      <c r="EH841" s="396"/>
    </row>
    <row r="842" spans="1:138" s="3" customFormat="1" x14ac:dyDescent="0.25">
      <c r="A842" s="407"/>
      <c r="B842" s="407"/>
      <c r="C842" s="250"/>
      <c r="D842" s="250"/>
      <c r="E842" s="250"/>
      <c r="F842" s="250"/>
      <c r="G842" s="250"/>
      <c r="H842" s="250"/>
      <c r="I842" s="250"/>
      <c r="J842" s="250"/>
      <c r="K842" s="250"/>
      <c r="L842" s="250"/>
      <c r="M842" s="250"/>
      <c r="N842" s="250"/>
      <c r="O842" s="250"/>
      <c r="P842" s="250"/>
      <c r="Q842" s="250"/>
      <c r="R842" s="250"/>
      <c r="S842" s="250"/>
      <c r="T842" s="250"/>
      <c r="U842" s="250"/>
      <c r="V842" s="250"/>
      <c r="W842" s="250"/>
      <c r="X842" s="250"/>
      <c r="Y842" s="250"/>
      <c r="Z842" s="250"/>
      <c r="AA842" s="250"/>
      <c r="AB842" s="250"/>
      <c r="AC842" s="250"/>
      <c r="AD842" s="250"/>
      <c r="AE842" s="250"/>
      <c r="AF842" s="250"/>
      <c r="AG842" s="250"/>
      <c r="AH842" s="250"/>
      <c r="AI842" s="250"/>
      <c r="AJ842" s="250"/>
      <c r="AK842" s="250"/>
      <c r="AL842" s="250"/>
      <c r="AM842" s="408"/>
      <c r="AN842" s="408"/>
      <c r="AO842" s="408"/>
      <c r="AP842" s="408"/>
      <c r="AQ842" s="408"/>
      <c r="AR842" s="408"/>
      <c r="AS842" s="408"/>
      <c r="AT842" s="408"/>
      <c r="AU842" s="408"/>
      <c r="AV842" s="408"/>
      <c r="AW842" s="408"/>
      <c r="AX842" s="250"/>
      <c r="AY842" s="250"/>
      <c r="AZ842" s="250"/>
      <c r="BA842" s="250"/>
      <c r="BB842" s="250"/>
      <c r="BC842" s="250"/>
      <c r="BD842" s="250"/>
      <c r="BE842" s="250"/>
      <c r="BF842" s="250"/>
      <c r="BG842" s="250"/>
      <c r="BH842" s="250"/>
      <c r="BI842" s="250"/>
      <c r="BJ842" s="250"/>
      <c r="BK842" s="250"/>
      <c r="BL842" s="250"/>
      <c r="BM842" s="250"/>
      <c r="BN842" s="250"/>
      <c r="BO842" s="250"/>
      <c r="BP842" s="250"/>
      <c r="BQ842" s="250"/>
      <c r="BR842" s="250"/>
      <c r="BS842" s="250"/>
      <c r="BT842" s="250"/>
      <c r="BU842" s="250"/>
      <c r="BV842" s="250"/>
      <c r="BW842" s="250"/>
      <c r="BX842" s="250"/>
      <c r="BY842" s="250"/>
      <c r="BZ842" s="250"/>
      <c r="CA842" s="250"/>
      <c r="CB842" s="250"/>
      <c r="CC842" s="250"/>
      <c r="CD842" s="250"/>
      <c r="CE842" s="250"/>
      <c r="CF842" s="250"/>
      <c r="CG842" s="250"/>
      <c r="CH842" s="250"/>
      <c r="CI842" s="408"/>
      <c r="CJ842" s="408"/>
      <c r="CK842" s="408"/>
      <c r="CL842" s="408"/>
      <c r="CM842" s="408"/>
      <c r="CN842" s="408"/>
      <c r="CO842" s="408"/>
      <c r="CP842" s="408"/>
      <c r="CQ842" s="408"/>
      <c r="CR842" s="408"/>
      <c r="CS842" s="408"/>
      <c r="CT842" s="250"/>
      <c r="CU842" s="250"/>
      <c r="CV842" s="250"/>
      <c r="CW842" s="250"/>
      <c r="CX842" s="408"/>
      <c r="CY842" s="408"/>
      <c r="CZ842" s="408"/>
      <c r="DA842" s="408"/>
      <c r="DB842" s="408"/>
      <c r="DC842" s="408"/>
      <c r="DD842" s="408"/>
      <c r="DE842" s="250"/>
      <c r="DF842" s="408"/>
      <c r="DG842" s="408"/>
      <c r="DH842" s="408"/>
      <c r="DI842" s="408"/>
      <c r="DJ842" s="408"/>
      <c r="DK842" s="408"/>
      <c r="DL842" s="408"/>
      <c r="DM842" s="250"/>
      <c r="DN842" s="250"/>
      <c r="DO842" s="250"/>
      <c r="DP842" s="250"/>
      <c r="DQ842" s="250"/>
      <c r="DR842" s="250"/>
      <c r="DS842" s="250"/>
      <c r="DT842" s="250"/>
      <c r="DU842" s="250"/>
      <c r="DV842" s="250"/>
      <c r="DW842" s="252"/>
      <c r="DX842" s="252"/>
      <c r="DY842" s="250"/>
      <c r="DZ842" s="250"/>
      <c r="EA842" s="260"/>
      <c r="EB842" s="260"/>
      <c r="EC842" s="260"/>
      <c r="ED842" s="260"/>
      <c r="EG842" s="396"/>
      <c r="EH842" s="396"/>
    </row>
    <row r="843" spans="1:138" s="3" customFormat="1" x14ac:dyDescent="0.25">
      <c r="A843" s="407"/>
      <c r="B843" s="407"/>
      <c r="C843" s="250"/>
      <c r="D843" s="250"/>
      <c r="E843" s="250"/>
      <c r="F843" s="250"/>
      <c r="G843" s="250"/>
      <c r="H843" s="250"/>
      <c r="I843" s="250"/>
      <c r="J843" s="250"/>
      <c r="K843" s="250"/>
      <c r="L843" s="250"/>
      <c r="M843" s="250"/>
      <c r="N843" s="250"/>
      <c r="O843" s="250"/>
      <c r="P843" s="250"/>
      <c r="Q843" s="250"/>
      <c r="R843" s="250"/>
      <c r="S843" s="250"/>
      <c r="T843" s="250"/>
      <c r="U843" s="250"/>
      <c r="V843" s="250"/>
      <c r="W843" s="250"/>
      <c r="X843" s="250"/>
      <c r="Y843" s="250"/>
      <c r="Z843" s="250"/>
      <c r="AA843" s="250"/>
      <c r="AB843" s="250"/>
      <c r="AC843" s="250"/>
      <c r="AD843" s="250"/>
      <c r="AE843" s="250"/>
      <c r="AF843" s="250"/>
      <c r="AG843" s="250"/>
      <c r="AH843" s="250"/>
      <c r="AI843" s="250"/>
      <c r="AJ843" s="250"/>
      <c r="AK843" s="250"/>
      <c r="AL843" s="250"/>
      <c r="AM843" s="408"/>
      <c r="AN843" s="408"/>
      <c r="AO843" s="408"/>
      <c r="AP843" s="408"/>
      <c r="AQ843" s="408"/>
      <c r="AR843" s="408"/>
      <c r="AS843" s="408"/>
      <c r="AT843" s="408"/>
      <c r="AU843" s="408"/>
      <c r="AV843" s="408"/>
      <c r="AW843" s="408"/>
      <c r="AX843" s="250"/>
      <c r="AY843" s="250"/>
      <c r="AZ843" s="250"/>
      <c r="BA843" s="250"/>
      <c r="BB843" s="250"/>
      <c r="BC843" s="250"/>
      <c r="BD843" s="250"/>
      <c r="BE843" s="250"/>
      <c r="BF843" s="250"/>
      <c r="BG843" s="250"/>
      <c r="BH843" s="250"/>
      <c r="BI843" s="250"/>
      <c r="BJ843" s="250"/>
      <c r="BK843" s="250"/>
      <c r="BL843" s="250"/>
      <c r="BM843" s="250"/>
      <c r="BN843" s="250"/>
      <c r="BO843" s="250"/>
      <c r="BP843" s="250"/>
      <c r="BQ843" s="250"/>
      <c r="BR843" s="250"/>
      <c r="BS843" s="250"/>
      <c r="BT843" s="250"/>
      <c r="BU843" s="250"/>
      <c r="BV843" s="250"/>
      <c r="BW843" s="250"/>
      <c r="BX843" s="250"/>
      <c r="BY843" s="250"/>
      <c r="BZ843" s="250"/>
      <c r="CA843" s="250"/>
      <c r="CB843" s="250"/>
      <c r="CC843" s="250"/>
      <c r="CD843" s="250"/>
      <c r="CE843" s="250"/>
      <c r="CF843" s="250"/>
      <c r="CG843" s="250"/>
      <c r="CH843" s="250"/>
      <c r="CI843" s="408"/>
      <c r="CJ843" s="408"/>
      <c r="CK843" s="408"/>
      <c r="CL843" s="408"/>
      <c r="CM843" s="408"/>
      <c r="CN843" s="408"/>
      <c r="CO843" s="408"/>
      <c r="CP843" s="408"/>
      <c r="CQ843" s="408"/>
      <c r="CR843" s="408"/>
      <c r="CS843" s="408"/>
      <c r="CT843" s="250"/>
      <c r="CU843" s="250"/>
      <c r="CV843" s="250"/>
      <c r="CW843" s="250"/>
      <c r="CX843" s="408"/>
      <c r="CY843" s="408"/>
      <c r="CZ843" s="408"/>
      <c r="DA843" s="408"/>
      <c r="DB843" s="408"/>
      <c r="DC843" s="408"/>
      <c r="DD843" s="408"/>
      <c r="DE843" s="250"/>
      <c r="DF843" s="408"/>
      <c r="DG843" s="408"/>
      <c r="DH843" s="408"/>
      <c r="DI843" s="408"/>
      <c r="DJ843" s="408"/>
      <c r="DK843" s="408"/>
      <c r="DL843" s="408"/>
      <c r="DM843" s="250"/>
      <c r="DN843" s="250"/>
      <c r="DO843" s="250"/>
      <c r="DP843" s="250"/>
      <c r="DQ843" s="250"/>
      <c r="DR843" s="250"/>
      <c r="DS843" s="250"/>
      <c r="DT843" s="250"/>
      <c r="DU843" s="250"/>
      <c r="DV843" s="250"/>
      <c r="DW843" s="252"/>
      <c r="DX843" s="252"/>
      <c r="DY843" s="250"/>
      <c r="DZ843" s="250"/>
      <c r="EA843" s="260"/>
      <c r="EB843" s="260"/>
      <c r="EC843" s="260"/>
      <c r="ED843" s="260"/>
      <c r="EG843" s="396"/>
      <c r="EH843" s="396"/>
    </row>
    <row r="844" spans="1:138" s="3" customFormat="1" x14ac:dyDescent="0.25">
      <c r="A844" s="407"/>
      <c r="B844" s="407"/>
      <c r="C844" s="250"/>
      <c r="D844" s="250"/>
      <c r="E844" s="250"/>
      <c r="F844" s="250"/>
      <c r="G844" s="250"/>
      <c r="H844" s="250"/>
      <c r="I844" s="250"/>
      <c r="J844" s="250"/>
      <c r="K844" s="250"/>
      <c r="L844" s="250"/>
      <c r="M844" s="250"/>
      <c r="N844" s="250"/>
      <c r="O844" s="250"/>
      <c r="P844" s="250"/>
      <c r="Q844" s="250"/>
      <c r="R844" s="250"/>
      <c r="S844" s="250"/>
      <c r="T844" s="250"/>
      <c r="U844" s="250"/>
      <c r="V844" s="250"/>
      <c r="W844" s="250"/>
      <c r="X844" s="250"/>
      <c r="Y844" s="250"/>
      <c r="Z844" s="250"/>
      <c r="AA844" s="250"/>
      <c r="AB844" s="250"/>
      <c r="AC844" s="250"/>
      <c r="AD844" s="250"/>
      <c r="AE844" s="250"/>
      <c r="AF844" s="250"/>
      <c r="AG844" s="250"/>
      <c r="AH844" s="250"/>
      <c r="AI844" s="250"/>
      <c r="AJ844" s="250"/>
      <c r="AK844" s="250"/>
      <c r="AL844" s="250"/>
      <c r="AM844" s="408"/>
      <c r="AN844" s="408"/>
      <c r="AO844" s="408"/>
      <c r="AP844" s="408"/>
      <c r="AQ844" s="408"/>
      <c r="AR844" s="408"/>
      <c r="AS844" s="408"/>
      <c r="AT844" s="408"/>
      <c r="AU844" s="408"/>
      <c r="AV844" s="408"/>
      <c r="AW844" s="408"/>
      <c r="AX844" s="250"/>
      <c r="AY844" s="250"/>
      <c r="AZ844" s="250"/>
      <c r="BA844" s="250"/>
      <c r="BB844" s="250"/>
      <c r="BC844" s="250"/>
      <c r="BD844" s="250"/>
      <c r="BE844" s="250"/>
      <c r="BF844" s="250"/>
      <c r="BG844" s="250"/>
      <c r="BH844" s="250"/>
      <c r="BI844" s="250"/>
      <c r="BJ844" s="250"/>
      <c r="BK844" s="250"/>
      <c r="BL844" s="250"/>
      <c r="BM844" s="250"/>
      <c r="BN844" s="250"/>
      <c r="BO844" s="250"/>
      <c r="BP844" s="250"/>
      <c r="BQ844" s="250"/>
      <c r="BR844" s="250"/>
      <c r="BS844" s="250"/>
      <c r="BT844" s="250"/>
      <c r="BU844" s="250"/>
      <c r="BV844" s="250"/>
      <c r="BW844" s="250"/>
      <c r="BX844" s="250"/>
      <c r="BY844" s="250"/>
      <c r="BZ844" s="250"/>
      <c r="CA844" s="250"/>
      <c r="CB844" s="250"/>
      <c r="CC844" s="250"/>
      <c r="CD844" s="250"/>
      <c r="CE844" s="250"/>
      <c r="CF844" s="250"/>
      <c r="CG844" s="250"/>
      <c r="CH844" s="250"/>
      <c r="CI844" s="408"/>
      <c r="CJ844" s="408"/>
      <c r="CK844" s="408"/>
      <c r="CL844" s="408"/>
      <c r="CM844" s="408"/>
      <c r="CN844" s="408"/>
      <c r="CO844" s="408"/>
      <c r="CP844" s="408"/>
      <c r="CQ844" s="408"/>
      <c r="CR844" s="408"/>
      <c r="CS844" s="408"/>
      <c r="CT844" s="250"/>
      <c r="CU844" s="250"/>
      <c r="CV844" s="250"/>
      <c r="CW844" s="250"/>
      <c r="CX844" s="408"/>
      <c r="CY844" s="408"/>
      <c r="CZ844" s="408"/>
      <c r="DA844" s="408"/>
      <c r="DB844" s="408"/>
      <c r="DC844" s="408"/>
      <c r="DD844" s="408"/>
      <c r="DE844" s="250"/>
      <c r="DF844" s="408"/>
      <c r="DG844" s="408"/>
      <c r="DH844" s="408"/>
      <c r="DI844" s="408"/>
      <c r="DJ844" s="408"/>
      <c r="DK844" s="408"/>
      <c r="DL844" s="408"/>
      <c r="DM844" s="250"/>
      <c r="DN844" s="250"/>
      <c r="DO844" s="250"/>
      <c r="DP844" s="250"/>
      <c r="DQ844" s="250"/>
      <c r="DR844" s="250"/>
      <c r="DS844" s="250"/>
      <c r="DT844" s="250"/>
      <c r="DU844" s="250"/>
      <c r="DV844" s="250"/>
      <c r="DW844" s="252"/>
      <c r="DX844" s="252"/>
      <c r="DY844" s="250"/>
      <c r="DZ844" s="250"/>
      <c r="EA844" s="260"/>
      <c r="EB844" s="260"/>
      <c r="EC844" s="260"/>
      <c r="ED844" s="260"/>
      <c r="EG844" s="396"/>
      <c r="EH844" s="396"/>
    </row>
    <row r="845" spans="1:138" s="3" customFormat="1" x14ac:dyDescent="0.25">
      <c r="A845" s="407"/>
      <c r="B845" s="407"/>
      <c r="C845" s="250"/>
      <c r="D845" s="250"/>
      <c r="E845" s="250"/>
      <c r="F845" s="250"/>
      <c r="G845" s="250"/>
      <c r="H845" s="250"/>
      <c r="I845" s="250"/>
      <c r="J845" s="250"/>
      <c r="K845" s="250"/>
      <c r="L845" s="250"/>
      <c r="M845" s="250"/>
      <c r="N845" s="250"/>
      <c r="O845" s="250"/>
      <c r="P845" s="250"/>
      <c r="Q845" s="250"/>
      <c r="R845" s="250"/>
      <c r="S845" s="250"/>
      <c r="T845" s="250"/>
      <c r="U845" s="250"/>
      <c r="V845" s="250"/>
      <c r="W845" s="250"/>
      <c r="X845" s="250"/>
      <c r="Y845" s="250"/>
      <c r="Z845" s="250"/>
      <c r="AA845" s="250"/>
      <c r="AB845" s="250"/>
      <c r="AC845" s="250"/>
      <c r="AD845" s="250"/>
      <c r="AE845" s="250"/>
      <c r="AF845" s="250"/>
      <c r="AG845" s="250"/>
      <c r="AH845" s="250"/>
      <c r="AI845" s="250"/>
      <c r="AJ845" s="250"/>
      <c r="AK845" s="250"/>
      <c r="AL845" s="250"/>
      <c r="AM845" s="408"/>
      <c r="AN845" s="408"/>
      <c r="AO845" s="408"/>
      <c r="AP845" s="408"/>
      <c r="AQ845" s="408"/>
      <c r="AR845" s="408"/>
      <c r="AS845" s="408"/>
      <c r="AT845" s="408"/>
      <c r="AU845" s="408"/>
      <c r="AV845" s="408"/>
      <c r="AW845" s="408"/>
      <c r="AX845" s="250"/>
      <c r="AY845" s="250"/>
      <c r="AZ845" s="250"/>
      <c r="BA845" s="250"/>
      <c r="BB845" s="250"/>
      <c r="BC845" s="250"/>
      <c r="BD845" s="250"/>
      <c r="BE845" s="250"/>
      <c r="BF845" s="250"/>
      <c r="BG845" s="250"/>
      <c r="BH845" s="250"/>
      <c r="BI845" s="250"/>
      <c r="BJ845" s="250"/>
      <c r="BK845" s="250"/>
      <c r="BL845" s="250"/>
      <c r="BM845" s="250"/>
      <c r="BN845" s="250"/>
      <c r="BO845" s="250"/>
      <c r="BP845" s="250"/>
      <c r="BQ845" s="250"/>
      <c r="BR845" s="250"/>
      <c r="BS845" s="250"/>
      <c r="BT845" s="250"/>
      <c r="BU845" s="250"/>
      <c r="BV845" s="250"/>
      <c r="BW845" s="250"/>
      <c r="BX845" s="250"/>
      <c r="BY845" s="250"/>
      <c r="BZ845" s="250"/>
      <c r="CA845" s="250"/>
      <c r="CB845" s="250"/>
      <c r="CC845" s="250"/>
      <c r="CD845" s="250"/>
      <c r="CE845" s="250"/>
      <c r="CF845" s="250"/>
      <c r="CG845" s="250"/>
      <c r="CH845" s="250"/>
      <c r="CI845" s="408"/>
      <c r="CJ845" s="408"/>
      <c r="CK845" s="408"/>
      <c r="CL845" s="408"/>
      <c r="CM845" s="408"/>
      <c r="CN845" s="408"/>
      <c r="CO845" s="408"/>
      <c r="CP845" s="408"/>
      <c r="CQ845" s="408"/>
      <c r="CR845" s="408"/>
      <c r="CS845" s="408"/>
      <c r="CT845" s="250"/>
      <c r="CU845" s="250"/>
      <c r="CV845" s="250"/>
      <c r="CW845" s="250"/>
      <c r="CX845" s="408"/>
      <c r="CY845" s="408"/>
      <c r="CZ845" s="408"/>
      <c r="DA845" s="408"/>
      <c r="DB845" s="408"/>
      <c r="DC845" s="408"/>
      <c r="DD845" s="408"/>
      <c r="DE845" s="250"/>
      <c r="DF845" s="408"/>
      <c r="DG845" s="408"/>
      <c r="DH845" s="408"/>
      <c r="DI845" s="408"/>
      <c r="DJ845" s="408"/>
      <c r="DK845" s="408"/>
      <c r="DL845" s="408"/>
      <c r="DM845" s="250"/>
      <c r="DN845" s="250"/>
      <c r="DO845" s="250"/>
      <c r="DP845" s="250"/>
      <c r="DQ845" s="250"/>
      <c r="DR845" s="250"/>
      <c r="DS845" s="250"/>
      <c r="DT845" s="250"/>
      <c r="DU845" s="250"/>
      <c r="DV845" s="250"/>
      <c r="DW845" s="252"/>
      <c r="DX845" s="252"/>
      <c r="DY845" s="250"/>
      <c r="DZ845" s="250"/>
      <c r="EA845" s="260"/>
      <c r="EB845" s="260"/>
      <c r="EC845" s="260"/>
      <c r="ED845" s="260"/>
      <c r="EG845" s="396"/>
      <c r="EH845" s="396"/>
    </row>
    <row r="846" spans="1:138" s="3" customFormat="1" x14ac:dyDescent="0.25">
      <c r="A846" s="407"/>
      <c r="B846" s="407"/>
      <c r="C846" s="250"/>
      <c r="D846" s="250"/>
      <c r="E846" s="250"/>
      <c r="F846" s="250"/>
      <c r="G846" s="250"/>
      <c r="H846" s="250"/>
      <c r="I846" s="250"/>
      <c r="J846" s="250"/>
      <c r="K846" s="250"/>
      <c r="L846" s="250"/>
      <c r="M846" s="250"/>
      <c r="N846" s="250"/>
      <c r="O846" s="250"/>
      <c r="P846" s="250"/>
      <c r="Q846" s="250"/>
      <c r="R846" s="250"/>
      <c r="S846" s="250"/>
      <c r="T846" s="250"/>
      <c r="U846" s="250"/>
      <c r="V846" s="250"/>
      <c r="W846" s="250"/>
      <c r="X846" s="250"/>
      <c r="Y846" s="250"/>
      <c r="Z846" s="250"/>
      <c r="AA846" s="250"/>
      <c r="AB846" s="250"/>
      <c r="AC846" s="250"/>
      <c r="AD846" s="250"/>
      <c r="AE846" s="250"/>
      <c r="AF846" s="250"/>
      <c r="AG846" s="250"/>
      <c r="AH846" s="250"/>
      <c r="AI846" s="250"/>
      <c r="AJ846" s="250"/>
      <c r="AK846" s="250"/>
      <c r="AL846" s="250"/>
      <c r="AM846" s="408"/>
      <c r="AN846" s="408"/>
      <c r="AO846" s="408"/>
      <c r="AP846" s="408"/>
      <c r="AQ846" s="408"/>
      <c r="AR846" s="408"/>
      <c r="AS846" s="408"/>
      <c r="AT846" s="408"/>
      <c r="AU846" s="408"/>
      <c r="AV846" s="408"/>
      <c r="AW846" s="408"/>
      <c r="AX846" s="250"/>
      <c r="AY846" s="250"/>
      <c r="AZ846" s="250"/>
      <c r="BA846" s="250"/>
      <c r="BB846" s="250"/>
      <c r="BC846" s="250"/>
      <c r="BD846" s="250"/>
      <c r="BE846" s="250"/>
      <c r="BF846" s="250"/>
      <c r="BG846" s="250"/>
      <c r="BH846" s="250"/>
      <c r="BI846" s="250"/>
      <c r="BJ846" s="250"/>
      <c r="BK846" s="250"/>
      <c r="BL846" s="250"/>
      <c r="BM846" s="250"/>
      <c r="BN846" s="250"/>
      <c r="BO846" s="250"/>
      <c r="BP846" s="250"/>
      <c r="BQ846" s="250"/>
      <c r="BR846" s="250"/>
      <c r="BS846" s="250"/>
      <c r="BT846" s="250"/>
      <c r="BU846" s="250"/>
      <c r="BV846" s="250"/>
      <c r="BW846" s="250"/>
      <c r="BX846" s="250"/>
      <c r="BY846" s="250"/>
      <c r="BZ846" s="250"/>
      <c r="CA846" s="250"/>
      <c r="CB846" s="250"/>
      <c r="CC846" s="250"/>
      <c r="CD846" s="250"/>
      <c r="CE846" s="250"/>
      <c r="CF846" s="250"/>
      <c r="CG846" s="250"/>
      <c r="CH846" s="250"/>
      <c r="CI846" s="408"/>
      <c r="CJ846" s="408"/>
      <c r="CK846" s="408"/>
      <c r="CL846" s="408"/>
      <c r="CM846" s="408"/>
      <c r="CN846" s="408"/>
      <c r="CO846" s="408"/>
      <c r="CP846" s="408"/>
      <c r="CQ846" s="408"/>
      <c r="CR846" s="408"/>
      <c r="CS846" s="408"/>
      <c r="CT846" s="250"/>
      <c r="CU846" s="250"/>
      <c r="CV846" s="250"/>
      <c r="CW846" s="250"/>
      <c r="CX846" s="408"/>
      <c r="CY846" s="408"/>
      <c r="CZ846" s="408"/>
      <c r="DA846" s="408"/>
      <c r="DB846" s="408"/>
      <c r="DC846" s="408"/>
      <c r="DD846" s="408"/>
      <c r="DE846" s="250"/>
      <c r="DF846" s="408"/>
      <c r="DG846" s="408"/>
      <c r="DH846" s="408"/>
      <c r="DI846" s="408"/>
      <c r="DJ846" s="408"/>
      <c r="DK846" s="408"/>
      <c r="DL846" s="408"/>
      <c r="DM846" s="250"/>
      <c r="DN846" s="250"/>
      <c r="DO846" s="250"/>
      <c r="DP846" s="250"/>
      <c r="DQ846" s="250"/>
      <c r="DR846" s="250"/>
      <c r="DS846" s="250"/>
      <c r="DT846" s="250"/>
      <c r="DU846" s="250"/>
      <c r="DV846" s="250"/>
      <c r="DW846" s="252"/>
      <c r="DX846" s="252"/>
      <c r="DY846" s="250"/>
      <c r="DZ846" s="250"/>
      <c r="EA846" s="260"/>
      <c r="EB846" s="260"/>
      <c r="EC846" s="260"/>
      <c r="ED846" s="260"/>
      <c r="EG846" s="396"/>
      <c r="EH846" s="396"/>
    </row>
    <row r="847" spans="1:138" s="3" customFormat="1" x14ac:dyDescent="0.25">
      <c r="A847" s="407"/>
      <c r="B847" s="407"/>
      <c r="C847" s="250"/>
      <c r="D847" s="250"/>
      <c r="E847" s="250"/>
      <c r="F847" s="250"/>
      <c r="G847" s="250"/>
      <c r="H847" s="250"/>
      <c r="I847" s="250"/>
      <c r="J847" s="250"/>
      <c r="K847" s="250"/>
      <c r="L847" s="250"/>
      <c r="M847" s="250"/>
      <c r="N847" s="250"/>
      <c r="O847" s="250"/>
      <c r="P847" s="250"/>
      <c r="Q847" s="250"/>
      <c r="R847" s="250"/>
      <c r="S847" s="250"/>
      <c r="T847" s="250"/>
      <c r="U847" s="250"/>
      <c r="V847" s="250"/>
      <c r="W847" s="250"/>
      <c r="X847" s="250"/>
      <c r="Y847" s="250"/>
      <c r="Z847" s="250"/>
      <c r="AA847" s="250"/>
      <c r="AB847" s="250"/>
      <c r="AC847" s="250"/>
      <c r="AD847" s="250"/>
      <c r="AE847" s="250"/>
      <c r="AF847" s="250"/>
      <c r="AG847" s="250"/>
      <c r="AH847" s="250"/>
      <c r="AI847" s="250"/>
      <c r="AJ847" s="250"/>
      <c r="AK847" s="250"/>
      <c r="AL847" s="250"/>
      <c r="AM847" s="408"/>
      <c r="AN847" s="408"/>
      <c r="AO847" s="408"/>
      <c r="AP847" s="408"/>
      <c r="AQ847" s="408"/>
      <c r="AR847" s="408"/>
      <c r="AS847" s="408"/>
      <c r="AT847" s="408"/>
      <c r="AU847" s="408"/>
      <c r="AV847" s="408"/>
      <c r="AW847" s="408"/>
      <c r="AX847" s="250"/>
      <c r="AY847" s="250"/>
      <c r="AZ847" s="250"/>
      <c r="BA847" s="250"/>
      <c r="BB847" s="250"/>
      <c r="BC847" s="250"/>
      <c r="BD847" s="250"/>
      <c r="BE847" s="250"/>
      <c r="BF847" s="250"/>
      <c r="BG847" s="250"/>
      <c r="BH847" s="250"/>
      <c r="BI847" s="250"/>
      <c r="BJ847" s="250"/>
      <c r="BK847" s="250"/>
      <c r="BL847" s="250"/>
      <c r="BM847" s="250"/>
      <c r="BN847" s="250"/>
      <c r="BO847" s="250"/>
      <c r="BP847" s="250"/>
      <c r="BQ847" s="250"/>
      <c r="BR847" s="250"/>
      <c r="BS847" s="250"/>
      <c r="BT847" s="250"/>
      <c r="BU847" s="250"/>
      <c r="BV847" s="250"/>
      <c r="BW847" s="250"/>
      <c r="BX847" s="250"/>
      <c r="BY847" s="250"/>
      <c r="BZ847" s="250"/>
      <c r="CA847" s="250"/>
      <c r="CB847" s="250"/>
      <c r="CC847" s="250"/>
      <c r="CD847" s="250"/>
      <c r="CE847" s="250"/>
      <c r="CF847" s="250"/>
      <c r="CG847" s="250"/>
      <c r="CH847" s="250"/>
      <c r="CI847" s="408"/>
      <c r="CJ847" s="408"/>
      <c r="CK847" s="408"/>
      <c r="CL847" s="408"/>
      <c r="CM847" s="408"/>
      <c r="CN847" s="408"/>
      <c r="CO847" s="408"/>
      <c r="CP847" s="408"/>
      <c r="CQ847" s="408"/>
      <c r="CR847" s="408"/>
      <c r="CS847" s="408"/>
      <c r="CT847" s="250"/>
      <c r="CU847" s="250"/>
      <c r="CV847" s="250"/>
      <c r="CW847" s="250"/>
      <c r="CX847" s="408"/>
      <c r="CY847" s="408"/>
      <c r="CZ847" s="408"/>
      <c r="DA847" s="408"/>
      <c r="DB847" s="408"/>
      <c r="DC847" s="408"/>
      <c r="DD847" s="408"/>
      <c r="DE847" s="250"/>
      <c r="DF847" s="408"/>
      <c r="DG847" s="408"/>
      <c r="DH847" s="408"/>
      <c r="DI847" s="408"/>
      <c r="DJ847" s="408"/>
      <c r="DK847" s="408"/>
      <c r="DL847" s="408"/>
      <c r="DM847" s="250"/>
      <c r="DN847" s="250"/>
      <c r="DO847" s="250"/>
      <c r="DP847" s="250"/>
      <c r="DQ847" s="250"/>
      <c r="DR847" s="250"/>
      <c r="DS847" s="250"/>
      <c r="DT847" s="250"/>
      <c r="DU847" s="250"/>
      <c r="DV847" s="250"/>
      <c r="DW847" s="252"/>
      <c r="DX847" s="252"/>
      <c r="DY847" s="250"/>
      <c r="DZ847" s="250"/>
      <c r="EA847" s="260"/>
      <c r="EB847" s="260"/>
      <c r="EC847" s="260"/>
      <c r="ED847" s="260"/>
      <c r="EG847" s="396"/>
      <c r="EH847" s="396"/>
    </row>
    <row r="848" spans="1:138" s="3" customFormat="1" x14ac:dyDescent="0.25">
      <c r="A848" s="407"/>
      <c r="B848" s="407"/>
      <c r="C848" s="250"/>
      <c r="D848" s="250"/>
      <c r="E848" s="250"/>
      <c r="F848" s="250"/>
      <c r="G848" s="250"/>
      <c r="H848" s="250"/>
      <c r="I848" s="250"/>
      <c r="J848" s="250"/>
      <c r="K848" s="250"/>
      <c r="L848" s="250"/>
      <c r="M848" s="250"/>
      <c r="N848" s="250"/>
      <c r="O848" s="250"/>
      <c r="P848" s="250"/>
      <c r="Q848" s="250"/>
      <c r="R848" s="250"/>
      <c r="S848" s="250"/>
      <c r="T848" s="250"/>
      <c r="U848" s="250"/>
      <c r="V848" s="250"/>
      <c r="W848" s="250"/>
      <c r="X848" s="250"/>
      <c r="Y848" s="250"/>
      <c r="Z848" s="250"/>
      <c r="AA848" s="250"/>
      <c r="AB848" s="250"/>
      <c r="AC848" s="250"/>
      <c r="AD848" s="250"/>
      <c r="AE848" s="250"/>
      <c r="AF848" s="250"/>
      <c r="AG848" s="250"/>
      <c r="AH848" s="250"/>
      <c r="AI848" s="250"/>
      <c r="AJ848" s="250"/>
      <c r="AK848" s="250"/>
      <c r="AL848" s="250"/>
      <c r="AM848" s="408"/>
      <c r="AN848" s="408"/>
      <c r="AO848" s="408"/>
      <c r="AP848" s="408"/>
      <c r="AQ848" s="408"/>
      <c r="AR848" s="408"/>
      <c r="AS848" s="408"/>
      <c r="AT848" s="408"/>
      <c r="AU848" s="408"/>
      <c r="AV848" s="408"/>
      <c r="AW848" s="408"/>
      <c r="AX848" s="250"/>
      <c r="AY848" s="250"/>
      <c r="AZ848" s="250"/>
      <c r="BA848" s="250"/>
      <c r="BB848" s="250"/>
      <c r="BC848" s="250"/>
      <c r="BD848" s="250"/>
      <c r="BE848" s="250"/>
      <c r="BF848" s="250"/>
      <c r="BG848" s="250"/>
      <c r="BH848" s="250"/>
      <c r="BI848" s="250"/>
      <c r="BJ848" s="250"/>
      <c r="BK848" s="250"/>
      <c r="BL848" s="250"/>
      <c r="BM848" s="250"/>
      <c r="BN848" s="250"/>
      <c r="BO848" s="250"/>
      <c r="BP848" s="250"/>
      <c r="BQ848" s="250"/>
      <c r="BR848" s="250"/>
      <c r="BS848" s="250"/>
      <c r="BT848" s="250"/>
      <c r="BU848" s="250"/>
      <c r="BV848" s="250"/>
      <c r="BW848" s="250"/>
      <c r="BX848" s="250"/>
      <c r="BY848" s="250"/>
      <c r="BZ848" s="250"/>
      <c r="CA848" s="250"/>
      <c r="CB848" s="250"/>
      <c r="CC848" s="250"/>
      <c r="CD848" s="250"/>
      <c r="CE848" s="250"/>
      <c r="CF848" s="250"/>
      <c r="CG848" s="250"/>
      <c r="CH848" s="250"/>
      <c r="CI848" s="408"/>
      <c r="CJ848" s="408"/>
      <c r="CK848" s="408"/>
      <c r="CL848" s="408"/>
      <c r="CM848" s="408"/>
      <c r="CN848" s="408"/>
      <c r="CO848" s="408"/>
      <c r="CP848" s="408"/>
      <c r="CQ848" s="408"/>
      <c r="CR848" s="408"/>
      <c r="CS848" s="408"/>
      <c r="CT848" s="250"/>
      <c r="CU848" s="250"/>
      <c r="CV848" s="250"/>
      <c r="CW848" s="250"/>
      <c r="CX848" s="408"/>
      <c r="CY848" s="408"/>
      <c r="CZ848" s="408"/>
      <c r="DA848" s="408"/>
      <c r="DB848" s="408"/>
      <c r="DC848" s="408"/>
      <c r="DD848" s="408"/>
      <c r="DE848" s="250"/>
      <c r="DF848" s="408"/>
      <c r="DG848" s="408"/>
      <c r="DH848" s="408"/>
      <c r="DI848" s="408"/>
      <c r="DJ848" s="408"/>
      <c r="DK848" s="408"/>
      <c r="DL848" s="408"/>
      <c r="DM848" s="250"/>
      <c r="DN848" s="250"/>
      <c r="DO848" s="250"/>
      <c r="DP848" s="250"/>
      <c r="DQ848" s="250"/>
      <c r="DR848" s="250"/>
      <c r="DS848" s="250"/>
      <c r="DT848" s="250"/>
      <c r="DU848" s="250"/>
      <c r="DV848" s="250"/>
      <c r="DW848" s="252"/>
      <c r="DX848" s="252"/>
      <c r="DY848" s="250"/>
      <c r="DZ848" s="250"/>
      <c r="EA848" s="260"/>
      <c r="EB848" s="260"/>
      <c r="EC848" s="260"/>
      <c r="ED848" s="260"/>
      <c r="EG848" s="396"/>
      <c r="EH848" s="396"/>
    </row>
    <row r="849" spans="1:138" s="3" customFormat="1" x14ac:dyDescent="0.25">
      <c r="A849" s="407"/>
      <c r="B849" s="407"/>
      <c r="C849" s="250"/>
      <c r="D849" s="250"/>
      <c r="E849" s="250"/>
      <c r="F849" s="250"/>
      <c r="G849" s="250"/>
      <c r="H849" s="250"/>
      <c r="I849" s="250"/>
      <c r="J849" s="250"/>
      <c r="K849" s="250"/>
      <c r="L849" s="250"/>
      <c r="M849" s="250"/>
      <c r="N849" s="250"/>
      <c r="O849" s="250"/>
      <c r="P849" s="250"/>
      <c r="Q849" s="250"/>
      <c r="R849" s="250"/>
      <c r="S849" s="250"/>
      <c r="T849" s="250"/>
      <c r="U849" s="250"/>
      <c r="V849" s="250"/>
      <c r="W849" s="250"/>
      <c r="X849" s="250"/>
      <c r="Y849" s="250"/>
      <c r="Z849" s="250"/>
      <c r="AA849" s="250"/>
      <c r="AB849" s="250"/>
      <c r="AC849" s="250"/>
      <c r="AD849" s="250"/>
      <c r="AE849" s="250"/>
      <c r="AF849" s="250"/>
      <c r="AG849" s="250"/>
      <c r="AH849" s="250"/>
      <c r="AI849" s="250"/>
      <c r="AJ849" s="250"/>
      <c r="AK849" s="250"/>
      <c r="AL849" s="250"/>
      <c r="AM849" s="408"/>
      <c r="AN849" s="408"/>
      <c r="AO849" s="408"/>
      <c r="AP849" s="408"/>
      <c r="AQ849" s="408"/>
      <c r="AR849" s="408"/>
      <c r="AS849" s="408"/>
      <c r="AT849" s="408"/>
      <c r="AU849" s="408"/>
      <c r="AV849" s="408"/>
      <c r="AW849" s="408"/>
      <c r="AX849" s="250"/>
      <c r="AY849" s="250"/>
      <c r="AZ849" s="250"/>
      <c r="BA849" s="250"/>
      <c r="BB849" s="250"/>
      <c r="BC849" s="250"/>
      <c r="BD849" s="250"/>
      <c r="BE849" s="250"/>
      <c r="BF849" s="250"/>
      <c r="BG849" s="250"/>
      <c r="BH849" s="250"/>
      <c r="BI849" s="250"/>
      <c r="BJ849" s="250"/>
      <c r="BK849" s="250"/>
      <c r="BL849" s="250"/>
      <c r="BM849" s="250"/>
      <c r="BN849" s="250"/>
      <c r="BO849" s="250"/>
      <c r="BP849" s="250"/>
      <c r="BQ849" s="250"/>
      <c r="BR849" s="250"/>
      <c r="BS849" s="250"/>
      <c r="BT849" s="250"/>
      <c r="BU849" s="250"/>
      <c r="BV849" s="250"/>
      <c r="BW849" s="250"/>
      <c r="BX849" s="250"/>
      <c r="BY849" s="250"/>
      <c r="BZ849" s="250"/>
      <c r="CA849" s="250"/>
      <c r="CB849" s="250"/>
      <c r="CC849" s="250"/>
      <c r="CD849" s="250"/>
      <c r="CE849" s="250"/>
      <c r="CF849" s="250"/>
      <c r="CG849" s="250"/>
      <c r="CH849" s="250"/>
      <c r="CI849" s="408"/>
      <c r="CJ849" s="408"/>
      <c r="CK849" s="408"/>
      <c r="CL849" s="408"/>
      <c r="CM849" s="408"/>
      <c r="CN849" s="408"/>
      <c r="CO849" s="408"/>
      <c r="CP849" s="408"/>
      <c r="CQ849" s="408"/>
      <c r="CR849" s="408"/>
      <c r="CS849" s="408"/>
      <c r="CT849" s="250"/>
      <c r="CU849" s="250"/>
      <c r="CV849" s="250"/>
      <c r="CW849" s="250"/>
      <c r="CX849" s="408"/>
      <c r="CY849" s="408"/>
      <c r="CZ849" s="408"/>
      <c r="DA849" s="408"/>
      <c r="DB849" s="408"/>
      <c r="DC849" s="408"/>
      <c r="DD849" s="408"/>
      <c r="DE849" s="250"/>
      <c r="DF849" s="408"/>
      <c r="DG849" s="408"/>
      <c r="DH849" s="408"/>
      <c r="DI849" s="408"/>
      <c r="DJ849" s="408"/>
      <c r="DK849" s="408"/>
      <c r="DL849" s="408"/>
      <c r="DM849" s="250"/>
      <c r="DN849" s="250"/>
      <c r="DO849" s="250"/>
      <c r="DP849" s="250"/>
      <c r="DQ849" s="250"/>
      <c r="DR849" s="250"/>
      <c r="DS849" s="250"/>
      <c r="DT849" s="250"/>
      <c r="DU849" s="250"/>
      <c r="DV849" s="250"/>
      <c r="DW849" s="252"/>
      <c r="DX849" s="252"/>
      <c r="DY849" s="250"/>
      <c r="DZ849" s="250"/>
      <c r="EA849" s="260"/>
      <c r="EB849" s="260"/>
      <c r="EC849" s="260"/>
      <c r="ED849" s="260"/>
      <c r="EG849" s="396"/>
      <c r="EH849" s="396"/>
    </row>
    <row r="850" spans="1:138" s="3" customFormat="1" x14ac:dyDescent="0.25">
      <c r="A850" s="407"/>
      <c r="B850" s="407"/>
      <c r="C850" s="250"/>
      <c r="D850" s="250"/>
      <c r="E850" s="250"/>
      <c r="F850" s="250"/>
      <c r="G850" s="250"/>
      <c r="H850" s="250"/>
      <c r="I850" s="250"/>
      <c r="J850" s="250"/>
      <c r="K850" s="250"/>
      <c r="L850" s="250"/>
      <c r="M850" s="250"/>
      <c r="N850" s="250"/>
      <c r="O850" s="250"/>
      <c r="P850" s="250"/>
      <c r="Q850" s="250"/>
      <c r="R850" s="250"/>
      <c r="S850" s="250"/>
      <c r="T850" s="250"/>
      <c r="U850" s="250"/>
      <c r="V850" s="250"/>
      <c r="W850" s="250"/>
      <c r="X850" s="250"/>
      <c r="Y850" s="250"/>
      <c r="Z850" s="250"/>
      <c r="AA850" s="250"/>
      <c r="AB850" s="250"/>
      <c r="AC850" s="250"/>
      <c r="AD850" s="250"/>
      <c r="AE850" s="250"/>
      <c r="AF850" s="250"/>
      <c r="AG850" s="250"/>
      <c r="AH850" s="250"/>
      <c r="AI850" s="250"/>
      <c r="AJ850" s="250"/>
      <c r="AK850" s="250"/>
      <c r="AL850" s="250"/>
      <c r="AM850" s="408"/>
      <c r="AN850" s="408"/>
      <c r="AO850" s="408"/>
      <c r="AP850" s="408"/>
      <c r="AQ850" s="408"/>
      <c r="AR850" s="408"/>
      <c r="AS850" s="408"/>
      <c r="AT850" s="408"/>
      <c r="AU850" s="408"/>
      <c r="AV850" s="408"/>
      <c r="AW850" s="408"/>
      <c r="AX850" s="250"/>
      <c r="AY850" s="250"/>
      <c r="AZ850" s="250"/>
      <c r="BA850" s="250"/>
      <c r="BB850" s="250"/>
      <c r="BC850" s="250"/>
      <c r="BD850" s="250"/>
      <c r="BE850" s="250"/>
      <c r="BF850" s="250"/>
      <c r="BG850" s="250"/>
      <c r="BH850" s="250"/>
      <c r="BI850" s="250"/>
      <c r="BJ850" s="250"/>
      <c r="BK850" s="250"/>
      <c r="BL850" s="250"/>
      <c r="BM850" s="250"/>
      <c r="BN850" s="250"/>
      <c r="BO850" s="250"/>
      <c r="BP850" s="250"/>
      <c r="BQ850" s="250"/>
      <c r="BR850" s="250"/>
      <c r="BS850" s="250"/>
      <c r="BT850" s="250"/>
      <c r="BU850" s="250"/>
      <c r="BV850" s="250"/>
      <c r="BW850" s="250"/>
      <c r="BX850" s="250"/>
      <c r="BY850" s="250"/>
      <c r="BZ850" s="250"/>
      <c r="CA850" s="250"/>
      <c r="CB850" s="250"/>
      <c r="CC850" s="250"/>
      <c r="CD850" s="250"/>
      <c r="CE850" s="250"/>
      <c r="CF850" s="250"/>
      <c r="CG850" s="250"/>
      <c r="CH850" s="250"/>
      <c r="CI850" s="408"/>
      <c r="CJ850" s="408"/>
      <c r="CK850" s="408"/>
      <c r="CL850" s="408"/>
      <c r="CM850" s="408"/>
      <c r="CN850" s="408"/>
      <c r="CO850" s="408"/>
      <c r="CP850" s="408"/>
      <c r="CQ850" s="408"/>
      <c r="CR850" s="408"/>
      <c r="CS850" s="408"/>
      <c r="CT850" s="250"/>
      <c r="CU850" s="250"/>
      <c r="CV850" s="250"/>
      <c r="CW850" s="250"/>
      <c r="CX850" s="408"/>
      <c r="CY850" s="408"/>
      <c r="CZ850" s="408"/>
      <c r="DA850" s="408"/>
      <c r="DB850" s="408"/>
      <c r="DC850" s="408"/>
      <c r="DD850" s="408"/>
      <c r="DE850" s="250"/>
      <c r="DF850" s="408"/>
      <c r="DG850" s="408"/>
      <c r="DH850" s="408"/>
      <c r="DI850" s="408"/>
      <c r="DJ850" s="408"/>
      <c r="DK850" s="408"/>
      <c r="DL850" s="408"/>
      <c r="DM850" s="250"/>
      <c r="DN850" s="250"/>
      <c r="DO850" s="250"/>
      <c r="DP850" s="250"/>
      <c r="DQ850" s="250"/>
      <c r="DR850" s="250"/>
      <c r="DS850" s="250"/>
      <c r="DT850" s="250"/>
      <c r="DU850" s="250"/>
      <c r="DV850" s="250"/>
      <c r="DW850" s="252"/>
      <c r="DX850" s="252"/>
      <c r="DY850" s="250"/>
      <c r="DZ850" s="250"/>
      <c r="EA850" s="260"/>
      <c r="EB850" s="260"/>
      <c r="EC850" s="260"/>
      <c r="ED850" s="260"/>
      <c r="EG850" s="396"/>
      <c r="EH850" s="396"/>
    </row>
    <row r="851" spans="1:138" s="3" customFormat="1" x14ac:dyDescent="0.25">
      <c r="A851" s="407"/>
      <c r="B851" s="407"/>
      <c r="C851" s="250"/>
      <c r="D851" s="250"/>
      <c r="E851" s="250"/>
      <c r="F851" s="250"/>
      <c r="G851" s="250"/>
      <c r="H851" s="250"/>
      <c r="I851" s="250"/>
      <c r="J851" s="250"/>
      <c r="K851" s="250"/>
      <c r="L851" s="250"/>
      <c r="M851" s="250"/>
      <c r="N851" s="250"/>
      <c r="O851" s="250"/>
      <c r="P851" s="250"/>
      <c r="Q851" s="250"/>
      <c r="R851" s="250"/>
      <c r="S851" s="250"/>
      <c r="T851" s="250"/>
      <c r="U851" s="250"/>
      <c r="V851" s="250"/>
      <c r="W851" s="250"/>
      <c r="X851" s="250"/>
      <c r="Y851" s="250"/>
      <c r="Z851" s="250"/>
      <c r="AA851" s="250"/>
      <c r="AB851" s="250"/>
      <c r="AC851" s="250"/>
      <c r="AD851" s="250"/>
      <c r="AE851" s="250"/>
      <c r="AF851" s="250"/>
      <c r="AG851" s="250"/>
      <c r="AH851" s="250"/>
      <c r="AI851" s="250"/>
      <c r="AJ851" s="250"/>
      <c r="AK851" s="250"/>
      <c r="AL851" s="250"/>
      <c r="AM851" s="408"/>
      <c r="AN851" s="408"/>
      <c r="AO851" s="408"/>
      <c r="AP851" s="408"/>
      <c r="AQ851" s="408"/>
      <c r="AR851" s="408"/>
      <c r="AS851" s="408"/>
      <c r="AT851" s="408"/>
      <c r="AU851" s="408"/>
      <c r="AV851" s="408"/>
      <c r="AW851" s="408"/>
      <c r="AX851" s="250"/>
      <c r="AY851" s="250"/>
      <c r="AZ851" s="250"/>
      <c r="BA851" s="250"/>
      <c r="BB851" s="250"/>
      <c r="BC851" s="250"/>
      <c r="BD851" s="250"/>
      <c r="BE851" s="250"/>
      <c r="BF851" s="250"/>
      <c r="BG851" s="250"/>
      <c r="BH851" s="250"/>
      <c r="BI851" s="250"/>
      <c r="BJ851" s="250"/>
      <c r="BK851" s="250"/>
      <c r="BL851" s="250"/>
      <c r="BM851" s="250"/>
      <c r="BN851" s="250"/>
      <c r="BO851" s="250"/>
      <c r="BP851" s="250"/>
      <c r="BQ851" s="250"/>
      <c r="BR851" s="250"/>
      <c r="BS851" s="250"/>
      <c r="BT851" s="250"/>
      <c r="BU851" s="250"/>
      <c r="BV851" s="250"/>
      <c r="BW851" s="250"/>
      <c r="BX851" s="250"/>
      <c r="BY851" s="250"/>
      <c r="BZ851" s="250"/>
      <c r="CA851" s="250"/>
      <c r="CB851" s="250"/>
      <c r="CC851" s="250"/>
      <c r="CD851" s="250"/>
      <c r="CE851" s="250"/>
      <c r="CF851" s="250"/>
      <c r="CG851" s="250"/>
      <c r="CH851" s="250"/>
      <c r="CI851" s="408"/>
      <c r="CJ851" s="408"/>
      <c r="CK851" s="408"/>
      <c r="CL851" s="408"/>
      <c r="CM851" s="408"/>
      <c r="CN851" s="408"/>
      <c r="CO851" s="408"/>
      <c r="CP851" s="408"/>
      <c r="CQ851" s="408"/>
      <c r="CR851" s="408"/>
      <c r="CS851" s="408"/>
      <c r="CT851" s="250"/>
      <c r="CU851" s="250"/>
      <c r="CV851" s="250"/>
      <c r="CW851" s="250"/>
      <c r="CX851" s="408"/>
      <c r="CY851" s="408"/>
      <c r="CZ851" s="408"/>
      <c r="DA851" s="408"/>
      <c r="DB851" s="408"/>
      <c r="DC851" s="408"/>
      <c r="DD851" s="408"/>
      <c r="DE851" s="250"/>
      <c r="DF851" s="408"/>
      <c r="DG851" s="408"/>
      <c r="DH851" s="408"/>
      <c r="DI851" s="408"/>
      <c r="DJ851" s="408"/>
      <c r="DK851" s="408"/>
      <c r="DL851" s="408"/>
      <c r="DM851" s="250"/>
      <c r="DN851" s="250"/>
      <c r="DO851" s="250"/>
      <c r="DP851" s="250"/>
      <c r="DQ851" s="250"/>
      <c r="DR851" s="250"/>
      <c r="DS851" s="250"/>
      <c r="DT851" s="250"/>
      <c r="DU851" s="250"/>
      <c r="DV851" s="250"/>
      <c r="DW851" s="252"/>
      <c r="DX851" s="252"/>
      <c r="DY851" s="250"/>
      <c r="DZ851" s="250"/>
      <c r="EA851" s="260"/>
      <c r="EB851" s="260"/>
      <c r="EC851" s="260"/>
      <c r="ED851" s="260"/>
      <c r="EG851" s="396"/>
      <c r="EH851" s="396"/>
    </row>
    <row r="852" spans="1:138" s="3" customFormat="1" x14ac:dyDescent="0.25">
      <c r="A852" s="407"/>
      <c r="B852" s="407"/>
      <c r="C852" s="250"/>
      <c r="D852" s="250"/>
      <c r="E852" s="250"/>
      <c r="F852" s="250"/>
      <c r="G852" s="250"/>
      <c r="H852" s="250"/>
      <c r="I852" s="250"/>
      <c r="J852" s="250"/>
      <c r="K852" s="250"/>
      <c r="L852" s="250"/>
      <c r="M852" s="250"/>
      <c r="N852" s="250"/>
      <c r="O852" s="250"/>
      <c r="P852" s="250"/>
      <c r="Q852" s="250"/>
      <c r="R852" s="250"/>
      <c r="S852" s="250"/>
      <c r="T852" s="250"/>
      <c r="U852" s="250"/>
      <c r="V852" s="250"/>
      <c r="W852" s="250"/>
      <c r="X852" s="250"/>
      <c r="Y852" s="250"/>
      <c r="Z852" s="250"/>
      <c r="AA852" s="250"/>
      <c r="AB852" s="250"/>
      <c r="AC852" s="250"/>
      <c r="AD852" s="250"/>
      <c r="AE852" s="250"/>
      <c r="AF852" s="250"/>
      <c r="AG852" s="250"/>
      <c r="AH852" s="250"/>
      <c r="AI852" s="250"/>
      <c r="AJ852" s="250"/>
      <c r="AK852" s="250"/>
      <c r="AL852" s="250"/>
      <c r="AM852" s="408"/>
      <c r="AN852" s="408"/>
      <c r="AO852" s="408"/>
      <c r="AP852" s="408"/>
      <c r="AQ852" s="408"/>
      <c r="AR852" s="408"/>
      <c r="AS852" s="408"/>
      <c r="AT852" s="408"/>
      <c r="AU852" s="408"/>
      <c r="AV852" s="408"/>
      <c r="AW852" s="408"/>
      <c r="AX852" s="250"/>
      <c r="AY852" s="250"/>
      <c r="AZ852" s="250"/>
      <c r="BA852" s="250"/>
      <c r="BB852" s="250"/>
      <c r="BC852" s="250"/>
      <c r="BD852" s="250"/>
      <c r="BE852" s="250"/>
      <c r="BF852" s="250"/>
      <c r="BG852" s="250"/>
      <c r="BH852" s="250"/>
      <c r="BI852" s="250"/>
      <c r="BJ852" s="250"/>
      <c r="BK852" s="250"/>
      <c r="BL852" s="250"/>
      <c r="BM852" s="250"/>
      <c r="BN852" s="250"/>
      <c r="BO852" s="250"/>
      <c r="BP852" s="250"/>
      <c r="BQ852" s="250"/>
      <c r="BR852" s="250"/>
      <c r="BS852" s="250"/>
      <c r="BT852" s="250"/>
      <c r="BU852" s="250"/>
      <c r="BV852" s="250"/>
      <c r="BW852" s="250"/>
      <c r="BX852" s="250"/>
      <c r="BY852" s="250"/>
      <c r="BZ852" s="250"/>
      <c r="CA852" s="250"/>
      <c r="CB852" s="250"/>
      <c r="CC852" s="250"/>
      <c r="CD852" s="250"/>
      <c r="CE852" s="250"/>
      <c r="CF852" s="250"/>
      <c r="CG852" s="250"/>
      <c r="CH852" s="250"/>
      <c r="CI852" s="408"/>
      <c r="CJ852" s="408"/>
      <c r="CK852" s="408"/>
      <c r="CL852" s="408"/>
      <c r="CM852" s="408"/>
      <c r="CN852" s="408"/>
      <c r="CO852" s="408"/>
      <c r="CP852" s="408"/>
      <c r="CQ852" s="408"/>
      <c r="CR852" s="408"/>
      <c r="CS852" s="408"/>
      <c r="CT852" s="250"/>
      <c r="CU852" s="250"/>
      <c r="CV852" s="250"/>
      <c r="CW852" s="250"/>
      <c r="CX852" s="408"/>
      <c r="CY852" s="408"/>
      <c r="CZ852" s="408"/>
      <c r="DA852" s="408"/>
      <c r="DB852" s="408"/>
      <c r="DC852" s="408"/>
      <c r="DD852" s="408"/>
      <c r="DE852" s="250"/>
      <c r="DF852" s="408"/>
      <c r="DG852" s="408"/>
      <c r="DH852" s="408"/>
      <c r="DI852" s="408"/>
      <c r="DJ852" s="408"/>
      <c r="DK852" s="408"/>
      <c r="DL852" s="408"/>
      <c r="DM852" s="250"/>
      <c r="DN852" s="250"/>
      <c r="DO852" s="250"/>
      <c r="DP852" s="250"/>
      <c r="DQ852" s="250"/>
      <c r="DR852" s="250"/>
      <c r="DS852" s="250"/>
      <c r="DT852" s="250"/>
      <c r="DU852" s="250"/>
      <c r="DV852" s="250"/>
      <c r="DW852" s="252"/>
      <c r="DX852" s="252"/>
      <c r="DY852" s="250"/>
      <c r="DZ852" s="250"/>
      <c r="EA852" s="260"/>
      <c r="EB852" s="260"/>
      <c r="EC852" s="260"/>
      <c r="ED852" s="260"/>
      <c r="EG852" s="396"/>
      <c r="EH852" s="396"/>
    </row>
    <row r="853" spans="1:138" s="3" customFormat="1" x14ac:dyDescent="0.25">
      <c r="A853" s="407"/>
      <c r="B853" s="407"/>
      <c r="C853" s="250"/>
      <c r="D853" s="250"/>
      <c r="E853" s="250"/>
      <c r="F853" s="250"/>
      <c r="G853" s="250"/>
      <c r="H853" s="250"/>
      <c r="I853" s="250"/>
      <c r="J853" s="250"/>
      <c r="K853" s="250"/>
      <c r="L853" s="250"/>
      <c r="M853" s="250"/>
      <c r="N853" s="250"/>
      <c r="O853" s="250"/>
      <c r="P853" s="250"/>
      <c r="Q853" s="250"/>
      <c r="R853" s="250"/>
      <c r="S853" s="250"/>
      <c r="T853" s="250"/>
      <c r="U853" s="250"/>
      <c r="V853" s="250"/>
      <c r="W853" s="250"/>
      <c r="X853" s="250"/>
      <c r="Y853" s="250"/>
      <c r="Z853" s="250"/>
      <c r="AA853" s="250"/>
      <c r="AB853" s="250"/>
      <c r="AC853" s="250"/>
      <c r="AD853" s="250"/>
      <c r="AE853" s="250"/>
      <c r="AF853" s="250"/>
      <c r="AG853" s="250"/>
      <c r="AH853" s="250"/>
      <c r="AI853" s="250"/>
      <c r="AJ853" s="250"/>
      <c r="AK853" s="250"/>
      <c r="AL853" s="250"/>
      <c r="AM853" s="408"/>
      <c r="AN853" s="408"/>
      <c r="AO853" s="408"/>
      <c r="AP853" s="408"/>
      <c r="AQ853" s="408"/>
      <c r="AR853" s="408"/>
      <c r="AS853" s="408"/>
      <c r="AT853" s="408"/>
      <c r="AU853" s="408"/>
      <c r="AV853" s="408"/>
      <c r="AW853" s="408"/>
      <c r="AX853" s="250"/>
      <c r="AY853" s="250"/>
      <c r="AZ853" s="250"/>
      <c r="BA853" s="250"/>
      <c r="BB853" s="250"/>
      <c r="BC853" s="250"/>
      <c r="BD853" s="250"/>
      <c r="BE853" s="250"/>
      <c r="BF853" s="250"/>
      <c r="BG853" s="250"/>
      <c r="BH853" s="250"/>
      <c r="BI853" s="250"/>
      <c r="BJ853" s="250"/>
      <c r="BK853" s="250"/>
      <c r="BL853" s="250"/>
      <c r="BM853" s="250"/>
      <c r="BN853" s="250"/>
      <c r="BO853" s="250"/>
      <c r="BP853" s="250"/>
      <c r="BQ853" s="250"/>
      <c r="BR853" s="250"/>
      <c r="BS853" s="250"/>
      <c r="BT853" s="250"/>
      <c r="BU853" s="250"/>
      <c r="BV853" s="250"/>
      <c r="BW853" s="250"/>
      <c r="BX853" s="250"/>
      <c r="BY853" s="250"/>
      <c r="BZ853" s="250"/>
      <c r="CA853" s="250"/>
      <c r="CB853" s="250"/>
      <c r="CC853" s="250"/>
      <c r="CD853" s="250"/>
      <c r="CE853" s="250"/>
      <c r="CF853" s="250"/>
      <c r="CG853" s="250"/>
      <c r="CH853" s="250"/>
      <c r="CI853" s="408"/>
      <c r="CJ853" s="408"/>
      <c r="CK853" s="408"/>
      <c r="CL853" s="408"/>
      <c r="CM853" s="408"/>
      <c r="CN853" s="408"/>
      <c r="CO853" s="408"/>
      <c r="CP853" s="408"/>
      <c r="CQ853" s="408"/>
      <c r="CR853" s="408"/>
      <c r="CS853" s="408"/>
      <c r="CT853" s="250"/>
      <c r="CU853" s="250"/>
      <c r="CV853" s="250"/>
      <c r="CW853" s="250"/>
      <c r="CX853" s="408"/>
      <c r="CY853" s="408"/>
      <c r="CZ853" s="408"/>
      <c r="DA853" s="408"/>
      <c r="DB853" s="408"/>
      <c r="DC853" s="408"/>
      <c r="DD853" s="408"/>
      <c r="DE853" s="250"/>
      <c r="DF853" s="408"/>
      <c r="DG853" s="408"/>
      <c r="DH853" s="408"/>
      <c r="DI853" s="408"/>
      <c r="DJ853" s="408"/>
      <c r="DK853" s="408"/>
      <c r="DL853" s="408"/>
      <c r="DM853" s="250"/>
      <c r="DN853" s="250"/>
      <c r="DO853" s="250"/>
      <c r="DP853" s="250"/>
      <c r="DQ853" s="250"/>
      <c r="DR853" s="250"/>
      <c r="DS853" s="250"/>
      <c r="DT853" s="250"/>
      <c r="DU853" s="250"/>
      <c r="DV853" s="250"/>
      <c r="DW853" s="252"/>
      <c r="DX853" s="252"/>
      <c r="DY853" s="250"/>
      <c r="DZ853" s="250"/>
      <c r="EA853" s="260"/>
      <c r="EB853" s="260"/>
      <c r="EC853" s="260"/>
      <c r="ED853" s="260"/>
      <c r="EG853" s="396"/>
      <c r="EH853" s="396"/>
    </row>
    <row r="854" spans="1:138" s="3" customFormat="1" x14ac:dyDescent="0.25">
      <c r="A854" s="407"/>
      <c r="B854" s="407"/>
      <c r="C854" s="250"/>
      <c r="D854" s="250"/>
      <c r="E854" s="250"/>
      <c r="F854" s="250"/>
      <c r="G854" s="250"/>
      <c r="H854" s="250"/>
      <c r="I854" s="250"/>
      <c r="J854" s="250"/>
      <c r="K854" s="250"/>
      <c r="L854" s="250"/>
      <c r="M854" s="250"/>
      <c r="N854" s="250"/>
      <c r="O854" s="250"/>
      <c r="P854" s="250"/>
      <c r="Q854" s="250"/>
      <c r="R854" s="250"/>
      <c r="S854" s="250"/>
      <c r="T854" s="250"/>
      <c r="U854" s="250"/>
      <c r="V854" s="250"/>
      <c r="W854" s="250"/>
      <c r="X854" s="250"/>
      <c r="Y854" s="250"/>
      <c r="Z854" s="250"/>
      <c r="AA854" s="250"/>
      <c r="AB854" s="250"/>
      <c r="AC854" s="250"/>
      <c r="AD854" s="250"/>
      <c r="AE854" s="250"/>
      <c r="AF854" s="250"/>
      <c r="AG854" s="250"/>
      <c r="AH854" s="250"/>
      <c r="AI854" s="250"/>
      <c r="AJ854" s="250"/>
      <c r="AK854" s="250"/>
      <c r="AL854" s="250"/>
      <c r="AM854" s="408"/>
      <c r="AN854" s="408"/>
      <c r="AO854" s="408"/>
      <c r="AP854" s="408"/>
      <c r="AQ854" s="408"/>
      <c r="AR854" s="408"/>
      <c r="AS854" s="408"/>
      <c r="AT854" s="408"/>
      <c r="AU854" s="408"/>
      <c r="AV854" s="408"/>
      <c r="AW854" s="408"/>
      <c r="AX854" s="250"/>
      <c r="AY854" s="250"/>
      <c r="AZ854" s="250"/>
      <c r="BA854" s="250"/>
      <c r="BB854" s="250"/>
      <c r="BC854" s="250"/>
      <c r="BD854" s="250"/>
      <c r="BE854" s="250"/>
      <c r="BF854" s="250"/>
      <c r="BG854" s="250"/>
      <c r="BH854" s="250"/>
      <c r="BI854" s="250"/>
      <c r="BJ854" s="250"/>
      <c r="BK854" s="250"/>
      <c r="BL854" s="250"/>
      <c r="BM854" s="250"/>
      <c r="BN854" s="250"/>
      <c r="BO854" s="250"/>
      <c r="BP854" s="250"/>
      <c r="BQ854" s="250"/>
      <c r="BR854" s="250"/>
      <c r="BS854" s="250"/>
      <c r="BT854" s="250"/>
      <c r="BU854" s="250"/>
      <c r="BV854" s="250"/>
      <c r="BW854" s="250"/>
      <c r="BX854" s="250"/>
      <c r="BY854" s="250"/>
      <c r="BZ854" s="250"/>
      <c r="CA854" s="250"/>
      <c r="CB854" s="250"/>
      <c r="CC854" s="250"/>
      <c r="CD854" s="250"/>
      <c r="CE854" s="250"/>
      <c r="CF854" s="250"/>
      <c r="CG854" s="250"/>
      <c r="CH854" s="250"/>
      <c r="CI854" s="408"/>
      <c r="CJ854" s="408"/>
      <c r="CK854" s="408"/>
      <c r="CL854" s="408"/>
      <c r="CM854" s="408"/>
      <c r="CN854" s="408"/>
      <c r="CO854" s="408"/>
      <c r="CP854" s="408"/>
      <c r="CQ854" s="408"/>
      <c r="CR854" s="408"/>
      <c r="CS854" s="408"/>
      <c r="CT854" s="250"/>
      <c r="CU854" s="250"/>
      <c r="CV854" s="250"/>
      <c r="CW854" s="250"/>
      <c r="CX854" s="408"/>
      <c r="CY854" s="408"/>
      <c r="CZ854" s="408"/>
      <c r="DA854" s="408"/>
      <c r="DB854" s="408"/>
      <c r="DC854" s="408"/>
      <c r="DD854" s="408"/>
      <c r="DE854" s="250"/>
      <c r="DF854" s="408"/>
      <c r="DG854" s="408"/>
      <c r="DH854" s="408"/>
      <c r="DI854" s="408"/>
      <c r="DJ854" s="408"/>
      <c r="DK854" s="408"/>
      <c r="DL854" s="408"/>
      <c r="DM854" s="250"/>
      <c r="DN854" s="250"/>
      <c r="DO854" s="250"/>
      <c r="DP854" s="250"/>
      <c r="DQ854" s="250"/>
      <c r="DR854" s="250"/>
      <c r="DS854" s="250"/>
      <c r="DT854" s="250"/>
      <c r="DU854" s="250"/>
      <c r="DV854" s="250"/>
      <c r="DW854" s="252"/>
      <c r="DX854" s="252"/>
      <c r="DY854" s="250"/>
      <c r="DZ854" s="250"/>
      <c r="EA854" s="260"/>
      <c r="EB854" s="260"/>
      <c r="EC854" s="260"/>
      <c r="ED854" s="260"/>
      <c r="EG854" s="396"/>
      <c r="EH854" s="396"/>
    </row>
    <row r="855" spans="1:138" s="5" customFormat="1" ht="15.75" thickBot="1" x14ac:dyDescent="0.3">
      <c r="A855" s="407"/>
      <c r="B855" s="407"/>
      <c r="C855" s="250"/>
      <c r="D855" s="250"/>
      <c r="E855" s="250"/>
      <c r="F855" s="250"/>
      <c r="G855" s="250"/>
      <c r="H855" s="250"/>
      <c r="I855" s="250"/>
      <c r="J855" s="250"/>
      <c r="K855" s="250"/>
      <c r="L855" s="250"/>
      <c r="M855" s="250"/>
      <c r="N855" s="250"/>
      <c r="O855" s="250"/>
      <c r="P855" s="250"/>
      <c r="Q855" s="250"/>
      <c r="R855" s="250"/>
      <c r="S855" s="250"/>
      <c r="T855" s="250"/>
      <c r="U855" s="250"/>
      <c r="V855" s="250"/>
      <c r="W855" s="250"/>
      <c r="X855" s="250"/>
      <c r="Y855" s="250"/>
      <c r="Z855" s="250"/>
      <c r="AA855" s="250"/>
      <c r="AB855" s="250"/>
      <c r="AC855" s="250"/>
      <c r="AD855" s="250"/>
      <c r="AE855" s="250"/>
      <c r="AF855" s="250"/>
      <c r="AG855" s="250"/>
      <c r="AH855" s="250"/>
      <c r="AI855" s="250"/>
      <c r="AJ855" s="250"/>
      <c r="AK855" s="250"/>
      <c r="AL855" s="250"/>
      <c r="AM855" s="408"/>
      <c r="AN855" s="408"/>
      <c r="AO855" s="408"/>
      <c r="AP855" s="408"/>
      <c r="AQ855" s="408"/>
      <c r="AR855" s="408"/>
      <c r="AS855" s="408"/>
      <c r="AT855" s="408"/>
      <c r="AU855" s="408"/>
      <c r="AV855" s="408"/>
      <c r="AW855" s="408"/>
      <c r="AX855" s="250"/>
      <c r="AY855" s="250"/>
      <c r="AZ855" s="250"/>
      <c r="BA855" s="250"/>
      <c r="BB855" s="250"/>
      <c r="BC855" s="250"/>
      <c r="BD855" s="250"/>
      <c r="BE855" s="250"/>
      <c r="BF855" s="250"/>
      <c r="BG855" s="250"/>
      <c r="BH855" s="250"/>
      <c r="BI855" s="250"/>
      <c r="BJ855" s="250"/>
      <c r="BK855" s="250"/>
      <c r="BL855" s="250"/>
      <c r="BM855" s="250"/>
      <c r="BN855" s="250"/>
      <c r="BO855" s="250"/>
      <c r="BP855" s="250"/>
      <c r="BQ855" s="250"/>
      <c r="BR855" s="250"/>
      <c r="BS855" s="250"/>
      <c r="BT855" s="250"/>
      <c r="BU855" s="250"/>
      <c r="BV855" s="250"/>
      <c r="BW855" s="250"/>
      <c r="BX855" s="250"/>
      <c r="BY855" s="250"/>
      <c r="BZ855" s="250"/>
      <c r="CA855" s="250"/>
      <c r="CB855" s="250"/>
      <c r="CC855" s="250"/>
      <c r="CD855" s="250"/>
      <c r="CE855" s="250"/>
      <c r="CF855" s="250"/>
      <c r="CG855" s="250"/>
      <c r="CH855" s="250"/>
      <c r="CI855" s="408"/>
      <c r="CJ855" s="408"/>
      <c r="CK855" s="408"/>
      <c r="CL855" s="408"/>
      <c r="CM855" s="408"/>
      <c r="CN855" s="408"/>
      <c r="CO855" s="408"/>
      <c r="CP855" s="408"/>
      <c r="CQ855" s="408"/>
      <c r="CR855" s="408"/>
      <c r="CS855" s="408"/>
      <c r="CT855" s="250"/>
      <c r="CU855" s="250"/>
      <c r="CV855" s="250"/>
      <c r="CW855" s="250"/>
      <c r="CX855" s="408"/>
      <c r="CY855" s="408"/>
      <c r="CZ855" s="408"/>
      <c r="DA855" s="408"/>
      <c r="DB855" s="408"/>
      <c r="DC855" s="408"/>
      <c r="DD855" s="408"/>
      <c r="DE855" s="250"/>
      <c r="DF855" s="408"/>
      <c r="DG855" s="408"/>
      <c r="DH855" s="408"/>
      <c r="DI855" s="408"/>
      <c r="DJ855" s="408"/>
      <c r="DK855" s="408"/>
      <c r="DL855" s="408"/>
      <c r="DM855" s="250"/>
      <c r="DN855" s="250"/>
      <c r="DO855" s="250"/>
      <c r="DP855" s="250"/>
      <c r="DQ855" s="250"/>
      <c r="DR855" s="250"/>
      <c r="DS855" s="250"/>
      <c r="DT855" s="250"/>
      <c r="DU855" s="250"/>
      <c r="DV855" s="250"/>
      <c r="DW855" s="252"/>
      <c r="DX855" s="252"/>
      <c r="DY855" s="250"/>
      <c r="DZ855" s="250"/>
      <c r="EA855" s="260"/>
      <c r="EB855" s="260"/>
      <c r="EC855" s="260"/>
      <c r="ED855" s="260"/>
      <c r="EE855" s="3"/>
      <c r="EF855" s="3"/>
      <c r="EG855" s="396"/>
      <c r="EH855" s="396"/>
    </row>
  </sheetData>
  <sheetProtection algorithmName="SHA-512" hashValue="pckUMIfW96/+1gMUDlCDpl3oLXl5Av5X8m2xB97SMzZEdnp+DprOHM/mggaCx5Pwa/VsfKeDfpJ1Ag54F0VDdw==" saltValue="ogAngyEnx2WjfH0miT8Hzg==" spinCount="100000" sheet="1" objects="1" scenarios="1" selectLockedCells="1"/>
  <mergeCells count="58">
    <mergeCell ref="CL553:CO553"/>
    <mergeCell ref="GT659:GV659"/>
    <mergeCell ref="GX659:GZ659"/>
    <mergeCell ref="GT658:GZ658"/>
    <mergeCell ref="DR679:DT679"/>
    <mergeCell ref="GG659:GI659"/>
    <mergeCell ref="GK659:GN659"/>
    <mergeCell ref="GP659:GR659"/>
    <mergeCell ref="DR768:DT768"/>
    <mergeCell ref="DV768:DX768"/>
    <mergeCell ref="DZ768:ED768"/>
    <mergeCell ref="FY659:GA659"/>
    <mergeCell ref="GC659:GE659"/>
    <mergeCell ref="EF679:EH679"/>
    <mergeCell ref="FT659:FW659"/>
    <mergeCell ref="EJ679:EL679"/>
    <mergeCell ref="EN679:EP679"/>
    <mergeCell ref="EJ678:EP678"/>
    <mergeCell ref="C768:AW768"/>
    <mergeCell ref="AY768:CS768"/>
    <mergeCell ref="CX768:DD768"/>
    <mergeCell ref="DF768:DL768"/>
    <mergeCell ref="DN768:DP768"/>
    <mergeCell ref="BA1:BF1"/>
    <mergeCell ref="BZ553:CB553"/>
    <mergeCell ref="CD553:CF553"/>
    <mergeCell ref="CH553:CJ553"/>
    <mergeCell ref="AQ553:AT553"/>
    <mergeCell ref="A552:AT552"/>
    <mergeCell ref="X553:AC553"/>
    <mergeCell ref="P553:T553"/>
    <mergeCell ref="C553:N553"/>
    <mergeCell ref="BS553:BX553"/>
    <mergeCell ref="BK553:BO553"/>
    <mergeCell ref="AV553:AX553"/>
    <mergeCell ref="AV552:AX552"/>
    <mergeCell ref="AM767:AW767"/>
    <mergeCell ref="CI767:CS767"/>
    <mergeCell ref="FA659:FG659"/>
    <mergeCell ref="FI659:FO659"/>
    <mergeCell ref="AJ659:AP659"/>
    <mergeCell ref="BS659:BY659"/>
    <mergeCell ref="CA659:CG659"/>
    <mergeCell ref="DJ659:DP659"/>
    <mergeCell ref="DR659:DX659"/>
    <mergeCell ref="DV679:DX679"/>
    <mergeCell ref="CX679:DD679"/>
    <mergeCell ref="DF679:DL679"/>
    <mergeCell ref="DZ679:ED679"/>
    <mergeCell ref="C679:AW679"/>
    <mergeCell ref="AY679:CS679"/>
    <mergeCell ref="DN679:DP679"/>
    <mergeCell ref="AB659:AH659"/>
    <mergeCell ref="B659:Z659"/>
    <mergeCell ref="A551:AT551"/>
    <mergeCell ref="AE553:AG553"/>
    <mergeCell ref="AI553:AK553"/>
    <mergeCell ref="AM553:AO55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GZ855"/>
  <sheetViews>
    <sheetView zoomScale="60" zoomScaleNormal="60" workbookViewId="0">
      <selection activeCell="S685" sqref="S685"/>
    </sheetView>
  </sheetViews>
  <sheetFormatPr defaultRowHeight="15" x14ac:dyDescent="0.25"/>
  <cols>
    <col min="1" max="1" width="67.5703125" style="1" bestFit="1" customWidth="1"/>
    <col min="2" max="2" width="22.5703125" style="1" bestFit="1" customWidth="1"/>
    <col min="3" max="3" width="29.85546875" style="1" bestFit="1" customWidth="1"/>
    <col min="4" max="4" width="27.28515625" style="1" bestFit="1" customWidth="1"/>
    <col min="5" max="5" width="20" style="1" bestFit="1" customWidth="1"/>
    <col min="6" max="6" width="25" style="1" bestFit="1" customWidth="1"/>
    <col min="7" max="7" width="31.140625" style="1" bestFit="1" customWidth="1"/>
    <col min="8" max="8" width="28.5703125" style="1" bestFit="1" customWidth="1"/>
    <col min="9" max="9" width="80.7109375" style="1" bestFit="1" customWidth="1"/>
    <col min="10" max="10" width="25.5703125" style="1" bestFit="1" customWidth="1"/>
    <col min="11" max="11" width="32.7109375" style="1" bestFit="1" customWidth="1"/>
    <col min="12" max="12" width="30.28515625" style="1" bestFit="1" customWidth="1"/>
    <col min="13" max="13" width="31.140625" style="1" bestFit="1" customWidth="1"/>
    <col min="14" max="14" width="29.85546875" style="1" bestFit="1" customWidth="1"/>
    <col min="15" max="15" width="41.5703125" style="1" bestFit="1" customWidth="1"/>
    <col min="16" max="16" width="32.5703125" style="1" bestFit="1" customWidth="1"/>
    <col min="17" max="17" width="30.28515625" style="1" bestFit="1" customWidth="1"/>
    <col min="18" max="18" width="31.140625" style="1" bestFit="1" customWidth="1"/>
    <col min="19" max="19" width="29.85546875" style="1" bestFit="1" customWidth="1"/>
    <col min="20" max="20" width="25.28515625" style="1" bestFit="1" customWidth="1"/>
    <col min="21" max="21" width="37.140625" style="1" bestFit="1" customWidth="1"/>
    <col min="22" max="22" width="30.140625" style="1" bestFit="1" customWidth="1"/>
    <col min="23" max="23" width="31" style="1" bestFit="1" customWidth="1"/>
    <col min="24" max="24" width="29.7109375" style="1" bestFit="1" customWidth="1"/>
    <col min="25" max="25" width="24.28515625" style="1" bestFit="1" customWidth="1"/>
    <col min="26" max="26" width="27.7109375" style="1" bestFit="1" customWidth="1"/>
    <col min="27" max="27" width="53" style="1" bestFit="1" customWidth="1"/>
    <col min="28" max="28" width="19.140625" style="1" bestFit="1" customWidth="1"/>
    <col min="29" max="29" width="20.42578125" style="1" bestFit="1" customWidth="1"/>
    <col min="30" max="31" width="22.140625" style="1" bestFit="1" customWidth="1"/>
    <col min="32" max="32" width="22" style="1" bestFit="1" customWidth="1"/>
    <col min="33" max="33" width="48.85546875" style="1" bestFit="1" customWidth="1"/>
    <col min="34" max="34" width="14.42578125" style="1" bestFit="1" customWidth="1"/>
    <col min="35" max="35" width="13" style="1" bestFit="1" customWidth="1"/>
    <col min="36" max="36" width="19.140625" style="1" bestFit="1" customWidth="1"/>
    <col min="37" max="37" width="20.42578125" style="1" bestFit="1" customWidth="1"/>
    <col min="38" max="38" width="22.140625" style="1" bestFit="1" customWidth="1"/>
    <col min="39" max="39" width="55" style="1" bestFit="1" customWidth="1"/>
    <col min="40" max="40" width="22" style="1" bestFit="1" customWidth="1"/>
    <col min="41" max="41" width="18" style="1" bestFit="1" customWidth="1"/>
    <col min="42" max="42" width="17.85546875" style="1" bestFit="1" customWidth="1"/>
    <col min="43" max="43" width="15.85546875" style="1" bestFit="1" customWidth="1"/>
    <col min="44" max="44" width="13" style="1" bestFit="1" customWidth="1"/>
    <col min="45" max="45" width="67" style="1" bestFit="1" customWidth="1"/>
    <col min="46" max="46" width="29.85546875" style="1" bestFit="1" customWidth="1"/>
    <col min="47" max="47" width="27.28515625" style="1" bestFit="1" customWidth="1"/>
    <col min="48" max="48" width="20" style="1" bestFit="1" customWidth="1"/>
    <col min="49" max="49" width="23.85546875" style="1" bestFit="1" customWidth="1"/>
    <col min="50" max="50" width="31.140625" style="1" bestFit="1" customWidth="1"/>
    <col min="51" max="51" width="28.5703125" style="1" bestFit="1" customWidth="1"/>
    <col min="52" max="52" width="43.85546875" style="1" bestFit="1" customWidth="1"/>
    <col min="53" max="53" width="25.5703125" style="1" bestFit="1" customWidth="1"/>
    <col min="54" max="54" width="32.7109375" style="1" bestFit="1" customWidth="1"/>
    <col min="55" max="55" width="30.28515625" style="1" bestFit="1" customWidth="1"/>
    <col min="56" max="56" width="31.140625" style="1" bestFit="1" customWidth="1"/>
    <col min="57" max="57" width="29.85546875" style="1" bestFit="1" customWidth="1"/>
    <col min="58" max="58" width="25.5703125" style="1" bestFit="1" customWidth="1"/>
    <col min="59" max="59" width="32.5703125" style="1" bestFit="1" customWidth="1"/>
    <col min="60" max="60" width="30.28515625" style="1" bestFit="1" customWidth="1"/>
    <col min="61" max="61" width="31.140625" style="1" bestFit="1" customWidth="1"/>
    <col min="62" max="62" width="29.85546875" style="1" bestFit="1" customWidth="1"/>
    <col min="63" max="63" width="25.28515625" style="1" bestFit="1" customWidth="1"/>
    <col min="64" max="64" width="32.42578125" style="1" bestFit="1" customWidth="1"/>
    <col min="65" max="65" width="30.140625" style="1" bestFit="1" customWidth="1"/>
    <col min="66" max="66" width="31" style="1" bestFit="1" customWidth="1"/>
    <col min="67" max="67" width="29.7109375" style="1" bestFit="1" customWidth="1"/>
    <col min="68" max="68" width="23" style="1" bestFit="1" customWidth="1"/>
    <col min="69" max="69" width="27.7109375" style="1" bestFit="1" customWidth="1"/>
    <col min="70" max="70" width="28.42578125" style="1" bestFit="1" customWidth="1"/>
    <col min="71" max="71" width="19.140625" style="1" bestFit="1" customWidth="1"/>
    <col min="72" max="72" width="20.42578125" style="1" bestFit="1" customWidth="1"/>
    <col min="73" max="73" width="24.28515625" style="1" bestFit="1" customWidth="1"/>
    <col min="74" max="74" width="22.140625" style="1" bestFit="1" customWidth="1"/>
    <col min="75" max="75" width="22" style="1" bestFit="1" customWidth="1"/>
    <col min="76" max="76" width="17.85546875" style="1" bestFit="1" customWidth="1"/>
    <col min="77" max="77" width="14.42578125" style="1" bestFit="1" customWidth="1"/>
    <col min="78" max="78" width="15.28515625" style="1" bestFit="1" customWidth="1"/>
    <col min="79" max="79" width="19.140625" style="1" bestFit="1" customWidth="1"/>
    <col min="80" max="80" width="20.42578125" style="1" bestFit="1" customWidth="1"/>
    <col min="81" max="82" width="22.140625" style="1" bestFit="1" customWidth="1"/>
    <col min="83" max="83" width="22" style="1" bestFit="1" customWidth="1"/>
    <col min="84" max="84" width="17.85546875" style="1" bestFit="1" customWidth="1"/>
    <col min="85" max="85" width="15" style="1" bestFit="1" customWidth="1"/>
    <col min="86" max="86" width="4.5703125" style="1" bestFit="1" customWidth="1"/>
    <col min="87" max="87" width="27.28515625" style="1" bestFit="1" customWidth="1"/>
    <col min="88" max="88" width="22.5703125" style="1" bestFit="1" customWidth="1"/>
    <col min="89" max="89" width="29.85546875" style="1" bestFit="1" customWidth="1"/>
    <col min="90" max="90" width="27.28515625" style="1" bestFit="1" customWidth="1"/>
    <col min="91" max="91" width="20" style="1" bestFit="1" customWidth="1"/>
    <col min="92" max="92" width="23.85546875" style="1" bestFit="1" customWidth="1"/>
    <col min="93" max="93" width="31.140625" style="1" bestFit="1" customWidth="1"/>
    <col min="94" max="94" width="28.5703125" style="1" bestFit="1" customWidth="1"/>
    <col min="95" max="95" width="22.7109375" style="1" bestFit="1" customWidth="1"/>
    <col min="96" max="96" width="25.5703125" style="1" bestFit="1" customWidth="1"/>
    <col min="97" max="97" width="32.7109375" style="1" bestFit="1" customWidth="1"/>
    <col min="98" max="98" width="30.28515625" style="1" bestFit="1" customWidth="1"/>
    <col min="99" max="99" width="31.140625" style="1" bestFit="1" customWidth="1"/>
    <col min="100" max="100" width="29.85546875" style="1" bestFit="1" customWidth="1"/>
    <col min="101" max="101" width="25.5703125" style="1" bestFit="1" customWidth="1"/>
    <col min="102" max="102" width="32.5703125" style="1" bestFit="1" customWidth="1"/>
    <col min="103" max="103" width="30.28515625" style="1" bestFit="1" customWidth="1"/>
    <col min="104" max="104" width="31.140625" style="1" bestFit="1" customWidth="1"/>
    <col min="105" max="105" width="29.85546875" style="1" bestFit="1" customWidth="1"/>
    <col min="106" max="106" width="25.28515625" style="1" bestFit="1" customWidth="1"/>
    <col min="107" max="107" width="32.42578125" style="1" bestFit="1" customWidth="1"/>
    <col min="108" max="108" width="30.140625" style="1" bestFit="1" customWidth="1"/>
    <col min="109" max="109" width="31" style="1" bestFit="1" customWidth="1"/>
    <col min="110" max="110" width="29.7109375" style="1" bestFit="1" customWidth="1"/>
    <col min="111" max="111" width="23" style="1" bestFit="1" customWidth="1"/>
    <col min="112" max="112" width="27.7109375" style="1" bestFit="1" customWidth="1"/>
    <col min="113" max="113" width="13" style="1" bestFit="1" customWidth="1"/>
    <col min="114" max="114" width="19.140625" style="1" bestFit="1" customWidth="1"/>
    <col min="115" max="115" width="20.42578125" style="1" bestFit="1" customWidth="1"/>
    <col min="116" max="117" width="22.140625" style="1" bestFit="1" customWidth="1"/>
    <col min="118" max="118" width="22" style="1" bestFit="1" customWidth="1"/>
    <col min="119" max="119" width="17.85546875" style="1" bestFit="1" customWidth="1"/>
    <col min="120" max="120" width="14.42578125" style="1" bestFit="1" customWidth="1"/>
    <col min="121" max="121" width="25.7109375" style="1" bestFit="1" customWidth="1"/>
    <col min="122" max="122" width="19.140625" style="1" bestFit="1" customWidth="1"/>
    <col min="123" max="123" width="20.42578125" style="1" bestFit="1" customWidth="1"/>
    <col min="124" max="125" width="22.140625" style="1" bestFit="1" customWidth="1"/>
    <col min="126" max="126" width="22" style="1" bestFit="1" customWidth="1"/>
    <col min="127" max="127" width="17.85546875" style="1" bestFit="1" customWidth="1"/>
    <col min="128" max="128" width="16.42578125" style="1" bestFit="1" customWidth="1"/>
    <col min="129" max="129" width="31" style="1" bestFit="1" customWidth="1"/>
    <col min="130" max="130" width="28" style="1" bestFit="1" customWidth="1"/>
    <col min="131" max="131" width="22.5703125" style="1" bestFit="1" customWidth="1"/>
    <col min="132" max="132" width="29.85546875" style="1" bestFit="1" customWidth="1"/>
    <col min="133" max="133" width="27.28515625" style="1" bestFit="1" customWidth="1"/>
    <col min="134" max="134" width="20" style="1" bestFit="1" customWidth="1"/>
    <col min="135" max="135" width="23.85546875" style="1" bestFit="1" customWidth="1"/>
    <col min="136" max="136" width="31.140625" style="1" bestFit="1" customWidth="1"/>
    <col min="137" max="137" width="28.5703125" style="1" bestFit="1" customWidth="1"/>
    <col min="138" max="138" width="22.7109375" style="1" bestFit="1" customWidth="1"/>
    <col min="139" max="139" width="25.5703125" style="1" bestFit="1" customWidth="1"/>
    <col min="140" max="140" width="32.7109375" style="1" bestFit="1" customWidth="1"/>
    <col min="141" max="141" width="30.28515625" style="1" bestFit="1" customWidth="1"/>
    <col min="142" max="142" width="31.140625" style="1" bestFit="1" customWidth="1"/>
    <col min="143" max="143" width="29.85546875" style="1" bestFit="1" customWidth="1"/>
    <col min="144" max="144" width="25.5703125" style="1" bestFit="1" customWidth="1"/>
    <col min="145" max="145" width="32.5703125" style="1" bestFit="1" customWidth="1"/>
    <col min="146" max="146" width="30.28515625" style="1" bestFit="1" customWidth="1"/>
    <col min="147" max="147" width="31.140625" style="1" bestFit="1" customWidth="1"/>
    <col min="148" max="148" width="29.85546875" style="1" bestFit="1" customWidth="1"/>
    <col min="149" max="149" width="25.28515625" style="1" bestFit="1" customWidth="1"/>
    <col min="150" max="150" width="32.42578125" style="1" bestFit="1" customWidth="1"/>
    <col min="151" max="151" width="30.140625" style="1" bestFit="1" customWidth="1"/>
    <col min="152" max="152" width="31" style="1" bestFit="1" customWidth="1"/>
    <col min="153" max="153" width="29.7109375" style="1" bestFit="1" customWidth="1"/>
    <col min="154" max="154" width="23" style="1" bestFit="1" customWidth="1"/>
    <col min="155" max="155" width="27.7109375" style="1" bestFit="1" customWidth="1"/>
    <col min="156" max="156" width="9.140625" style="1"/>
    <col min="157" max="157" width="19.140625" style="1" bestFit="1" customWidth="1"/>
    <col min="158" max="158" width="20.42578125" style="1" bestFit="1" customWidth="1"/>
    <col min="159" max="160" width="22.140625" style="1" bestFit="1" customWidth="1"/>
    <col min="161" max="161" width="22" style="1" bestFit="1" customWidth="1"/>
    <col min="162" max="162" width="17.85546875" style="1" bestFit="1" customWidth="1"/>
    <col min="163" max="163" width="14.42578125" style="1" bestFit="1" customWidth="1"/>
    <col min="164" max="164" width="9.140625" style="1"/>
    <col min="165" max="165" width="19.140625" style="1" bestFit="1" customWidth="1"/>
    <col min="166" max="166" width="20.42578125" style="1" bestFit="1" customWidth="1"/>
    <col min="167" max="168" width="22.140625" style="1" bestFit="1" customWidth="1"/>
    <col min="169" max="169" width="22" style="1" bestFit="1" customWidth="1"/>
    <col min="170" max="170" width="17.85546875" style="1" bestFit="1" customWidth="1"/>
    <col min="171" max="171" width="14.42578125" style="1" bestFit="1" customWidth="1"/>
    <col min="172" max="172" width="9.140625" style="1"/>
    <col min="173" max="173" width="13.28515625" style="1" bestFit="1" customWidth="1"/>
    <col min="174" max="174" width="6" style="1" bestFit="1" customWidth="1"/>
    <col min="175" max="175" width="9.140625" style="1"/>
    <col min="176" max="176" width="13" style="1" bestFit="1" customWidth="1"/>
    <col min="177" max="177" width="14.42578125" style="1" bestFit="1" customWidth="1"/>
    <col min="178" max="179" width="11.7109375" style="1" bestFit="1" customWidth="1"/>
    <col min="180" max="180" width="9.140625" style="1"/>
    <col min="181" max="181" width="4.5703125" style="1" bestFit="1" customWidth="1"/>
    <col min="182" max="183" width="13" style="1" bestFit="1" customWidth="1"/>
    <col min="184" max="184" width="9.140625" style="1"/>
    <col min="185" max="185" width="4.5703125" style="1" bestFit="1" customWidth="1"/>
    <col min="186" max="187" width="13" style="1" bestFit="1" customWidth="1"/>
    <col min="188" max="188" width="9.140625" style="1"/>
    <col min="189" max="189" width="6.28515625" style="1" bestFit="1" customWidth="1"/>
    <col min="190" max="190" width="13.140625" style="1" bestFit="1" customWidth="1"/>
    <col min="191" max="191" width="14.85546875" style="1" bestFit="1" customWidth="1"/>
    <col min="192" max="192" width="9.140625" style="1"/>
    <col min="193" max="193" width="4.5703125" style="1" bestFit="1" customWidth="1"/>
    <col min="194" max="194" width="7.85546875" style="1" bestFit="1" customWidth="1"/>
    <col min="195" max="195" width="8" style="1" bestFit="1" customWidth="1"/>
    <col min="196" max="196" width="12" style="1" bestFit="1" customWidth="1"/>
    <col min="197" max="197" width="9.140625" style="1"/>
    <col min="198" max="198" width="6.28515625" style="1" bestFit="1" customWidth="1"/>
    <col min="199" max="199" width="13.140625" style="1" bestFit="1" customWidth="1"/>
    <col min="200" max="200" width="15.42578125" style="1" bestFit="1" customWidth="1"/>
    <col min="201" max="201" width="9.140625" style="1"/>
    <col min="202" max="202" width="22.42578125" style="1" customWidth="1"/>
    <col min="203" max="203" width="13.28515625" style="1" bestFit="1" customWidth="1"/>
    <col min="204" max="204" width="29.42578125" style="1" customWidth="1"/>
    <col min="205" max="205" width="9.140625" style="1"/>
    <col min="206" max="206" width="15.85546875" style="1" customWidth="1"/>
    <col min="207" max="207" width="22.28515625" style="1" customWidth="1"/>
    <col min="208" max="208" width="26.28515625" style="1" customWidth="1"/>
    <col min="209" max="16384" width="9.140625" style="1"/>
  </cols>
  <sheetData>
    <row r="1" spans="1:66" x14ac:dyDescent="0.25">
      <c r="A1" s="245" t="s">
        <v>727</v>
      </c>
      <c r="B1" s="248" t="s">
        <v>1085</v>
      </c>
      <c r="C1" s="249"/>
      <c r="BA1" s="587" t="s">
        <v>348</v>
      </c>
      <c r="BB1" s="587"/>
      <c r="BC1" s="587"/>
      <c r="BD1" s="587"/>
      <c r="BE1" s="587"/>
      <c r="BF1" s="587"/>
      <c r="BH1" s="374" t="s">
        <v>349</v>
      </c>
      <c r="BI1" s="374"/>
      <c r="BJ1" s="374"/>
      <c r="BK1" s="373"/>
      <c r="BL1" s="373" t="s">
        <v>1031</v>
      </c>
      <c r="BN1" s="1" t="s">
        <v>1083</v>
      </c>
    </row>
    <row r="2" spans="1:66" x14ac:dyDescent="0.25">
      <c r="A2" s="243" t="s">
        <v>44</v>
      </c>
      <c r="B2" s="250">
        <f>$L$77</f>
        <v>52</v>
      </c>
      <c r="C2" s="251"/>
      <c r="AX2" s="235"/>
      <c r="AY2" s="235" t="s">
        <v>347</v>
      </c>
      <c r="AZ2" s="235"/>
      <c r="BA2" s="235" t="s">
        <v>61</v>
      </c>
      <c r="BB2" s="235" t="s">
        <v>87</v>
      </c>
      <c r="BC2" s="235" t="s">
        <v>42</v>
      </c>
      <c r="BD2" s="235"/>
      <c r="BE2" s="235" t="s">
        <v>820</v>
      </c>
      <c r="BF2" s="235" t="s">
        <v>11</v>
      </c>
      <c r="BG2" s="235"/>
      <c r="BH2" s="235" t="s">
        <v>61</v>
      </c>
      <c r="BI2" s="235" t="s">
        <v>87</v>
      </c>
      <c r="BJ2" s="235" t="s">
        <v>42</v>
      </c>
      <c r="BK2" s="235"/>
      <c r="BL2" s="3" t="s">
        <v>42</v>
      </c>
    </row>
    <row r="3" spans="1:66" x14ac:dyDescent="0.25">
      <c r="A3" s="243" t="s">
        <v>85</v>
      </c>
      <c r="B3" s="250">
        <f>$B$2/Cohort</f>
        <v>5.1999999999999998E-2</v>
      </c>
      <c r="C3" s="251"/>
      <c r="AS3" s="236" t="s">
        <v>353</v>
      </c>
      <c r="AT3" s="237"/>
      <c r="AU3" s="237"/>
      <c r="AV3" s="237"/>
      <c r="AW3" s="237"/>
      <c r="AX3" s="3"/>
      <c r="BL3" s="237"/>
      <c r="BM3" s="237"/>
      <c r="BN3" s="237"/>
    </row>
    <row r="4" spans="1:66" x14ac:dyDescent="0.25">
      <c r="A4" s="243" t="s">
        <v>711</v>
      </c>
      <c r="B4" s="252">
        <f>$BC$547/Cohort</f>
        <v>3105.0557239635391</v>
      </c>
      <c r="C4" s="253"/>
      <c r="D4" s="342"/>
      <c r="AS4" s="238" t="s">
        <v>344</v>
      </c>
      <c r="AT4" s="1">
        <f>DET_MORT_ectopic</f>
        <v>1.440317699999998E-4</v>
      </c>
      <c r="AU4" s="1" t="s">
        <v>345</v>
      </c>
      <c r="AV4" s="1">
        <f>AT4*R7</f>
        <v>1.0377459891698926E-4</v>
      </c>
      <c r="AW4" s="1" t="s">
        <v>346</v>
      </c>
      <c r="AX4" s="1">
        <f>AT4*T7</f>
        <v>1.0377459891698926E-4</v>
      </c>
      <c r="AY4" s="1">
        <v>1</v>
      </c>
      <c r="BA4" s="1">
        <f>det_cost_experimental*AV4</f>
        <v>3.1547478070764734E-4</v>
      </c>
      <c r="BB4" s="1">
        <f>$AV4*(VLOOKUP($AY4,'Pregnancy costs and utilities'!$A$23:$H$158,3))</f>
        <v>0.24073885808890674</v>
      </c>
      <c r="BC4" s="1">
        <f>SUM(BA4:BB4)</f>
        <v>0.24105433286961439</v>
      </c>
      <c r="BE4" s="1">
        <f>$AV4*(VLOOKUP($AY4,'Pregnancy costs and utilities'!$A$23:$I$158,9))</f>
        <v>0</v>
      </c>
      <c r="BF4" s="1">
        <f>$AV4*(VLOOKUP($AY4,'Pregnancy costs and utilities'!$A$23:$H$158,7))</f>
        <v>0</v>
      </c>
      <c r="BH4" s="1">
        <f>$BA4</f>
        <v>3.1547478070764734E-4</v>
      </c>
      <c r="BI4" s="1">
        <f>$AX4*(VLOOKUP($AY4,'Pregnancy costs and utilities'!$A$23:$H$158,5))</f>
        <v>0</v>
      </c>
      <c r="BJ4" s="1">
        <f>SUM(BH4:BI4)</f>
        <v>3.1547478070764734E-4</v>
      </c>
      <c r="BL4" s="1">
        <f>BC4+BI4</f>
        <v>0.24105433286961439</v>
      </c>
      <c r="BN4" s="1" t="str">
        <f>IF(AV4=AX4,"Okay",IF(AV4&gt;AX4,"Lost infant","Gained infant"))</f>
        <v>Okay</v>
      </c>
    </row>
    <row r="5" spans="1:66" x14ac:dyDescent="0.25">
      <c r="A5" s="243" t="s">
        <v>834</v>
      </c>
      <c r="B5" s="250">
        <f>$BE$547/Cohort</f>
        <v>0.70854660748739318</v>
      </c>
      <c r="C5" s="336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235"/>
      <c r="AO5" s="235"/>
      <c r="AP5" s="235"/>
      <c r="AQ5" s="235"/>
      <c r="AR5" s="235"/>
      <c r="AS5" s="238"/>
    </row>
    <row r="6" spans="1:66" x14ac:dyDescent="0.25">
      <c r="A6" s="243" t="s">
        <v>712</v>
      </c>
      <c r="B6" s="250">
        <f>$BF$547/Cohort</f>
        <v>0.68515441351092343</v>
      </c>
      <c r="C6" s="251"/>
      <c r="O6" s="236" t="s">
        <v>387</v>
      </c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238"/>
    </row>
    <row r="7" spans="1:66" x14ac:dyDescent="0.25">
      <c r="A7" s="243" t="s">
        <v>713</v>
      </c>
      <c r="B7" s="250">
        <f>R7+R279</f>
        <v>23.937432017689353</v>
      </c>
      <c r="C7" s="251"/>
      <c r="O7" s="238" t="s">
        <v>344</v>
      </c>
      <c r="P7" s="1">
        <f>DET_NS_ectopic</f>
        <v>1.3855730328025947E-2</v>
      </c>
      <c r="Q7" s="1" t="s">
        <v>345</v>
      </c>
      <c r="R7" s="1">
        <f>P7*L77</f>
        <v>0.72049797705734919</v>
      </c>
      <c r="S7" s="1" t="s">
        <v>346</v>
      </c>
      <c r="T7" s="1">
        <f>P7*N77</f>
        <v>0.72049797705734919</v>
      </c>
      <c r="AS7" s="238" t="s">
        <v>344</v>
      </c>
      <c r="AT7" s="1">
        <f>1-AT4</f>
        <v>0.99985596823</v>
      </c>
      <c r="AU7" s="1" t="s">
        <v>345</v>
      </c>
      <c r="AV7" s="1">
        <f>AT7*R7</f>
        <v>0.72039420245843222</v>
      </c>
      <c r="AW7" s="1" t="s">
        <v>346</v>
      </c>
      <c r="AX7" s="1">
        <f>AT7*T7</f>
        <v>0.72039420245843222</v>
      </c>
      <c r="AY7" s="1">
        <f>AY4+1</f>
        <v>2</v>
      </c>
      <c r="BA7" s="1">
        <f>det_cost_experimental*AV7</f>
        <v>2.1899983754736341</v>
      </c>
      <c r="BB7" s="1">
        <f>$AV7*(VLOOKUP($AY7,'Pregnancy costs and utilities'!$A$23:$H$158,3))</f>
        <v>496.23967866718692</v>
      </c>
      <c r="BC7" s="1">
        <f>SUM(BA7:BB7)</f>
        <v>498.42967704266056</v>
      </c>
      <c r="BE7" s="1">
        <f>$AV7*(VLOOKUP($AY7,'Pregnancy costs and utilities'!$A$23:$I$158,9))</f>
        <v>0.13853734662662159</v>
      </c>
      <c r="BF7" s="1">
        <f>$AV7*(VLOOKUP($AY7,'Pregnancy costs and utilities'!$A$23:$H$158,7))</f>
        <v>0.12149725299154715</v>
      </c>
      <c r="BH7" s="1">
        <f>$BA7</f>
        <v>2.1899983754736341</v>
      </c>
      <c r="BI7" s="1">
        <f>$AX7*(VLOOKUP($AY7,'Pregnancy costs and utilities'!$A$23:$H$158,5))</f>
        <v>0</v>
      </c>
      <c r="BJ7" s="1">
        <f>SUM(BH7:BI7)</f>
        <v>2.1899983754736341</v>
      </c>
      <c r="BL7" s="1">
        <f>BC7+BI7</f>
        <v>498.42967704266056</v>
      </c>
      <c r="BN7" s="1" t="str">
        <f>IF(AV7=AX7,"Okay",IF(AV7&gt;AX7,"Lost infant","Gained infant"))</f>
        <v>Okay</v>
      </c>
    </row>
    <row r="8" spans="1:66" x14ac:dyDescent="0.25">
      <c r="A8" s="243" t="s">
        <v>714</v>
      </c>
      <c r="B8" s="250">
        <f>R15+R287</f>
        <v>73.295267456481426</v>
      </c>
      <c r="C8" s="251"/>
      <c r="O8" s="238"/>
      <c r="AS8" s="240" t="s">
        <v>354</v>
      </c>
      <c r="AT8" s="235"/>
      <c r="AU8" s="235"/>
      <c r="AV8" s="235"/>
      <c r="AW8" s="235"/>
      <c r="AX8" s="235"/>
      <c r="AY8" s="235"/>
      <c r="AZ8" s="235"/>
      <c r="BA8" s="235"/>
      <c r="BB8" s="235"/>
      <c r="BC8" s="235"/>
      <c r="BD8" s="235"/>
      <c r="BE8" s="235"/>
      <c r="BF8" s="235"/>
      <c r="BG8" s="235"/>
      <c r="BH8" s="235"/>
      <c r="BI8" s="235"/>
      <c r="BJ8" s="235"/>
      <c r="BK8" s="235"/>
      <c r="BL8" s="235"/>
      <c r="BM8" s="235"/>
      <c r="BN8" s="235"/>
    </row>
    <row r="9" spans="1:66" x14ac:dyDescent="0.25">
      <c r="A9" s="243" t="s">
        <v>715</v>
      </c>
      <c r="B9" s="250">
        <f>X50+X323</f>
        <v>5.1715090822884378</v>
      </c>
      <c r="C9" s="251"/>
      <c r="O9" s="238"/>
      <c r="AX9" s="237"/>
      <c r="AY9" s="237"/>
      <c r="AZ9" s="237"/>
      <c r="BA9" s="237"/>
      <c r="BB9" s="237"/>
      <c r="BC9" s="237"/>
      <c r="BD9" s="237"/>
      <c r="BE9" s="237"/>
      <c r="BF9" s="237"/>
      <c r="BG9" s="237"/>
      <c r="BH9" s="237"/>
      <c r="BI9" s="237"/>
    </row>
    <row r="10" spans="1:66" x14ac:dyDescent="0.25">
      <c r="A10" s="243" t="s">
        <v>716</v>
      </c>
      <c r="B10" s="250">
        <f>X114+X387</f>
        <v>8.5021733550458052</v>
      </c>
      <c r="C10" s="251"/>
      <c r="O10" s="238"/>
      <c r="AX10" s="235"/>
      <c r="AY10" s="235"/>
      <c r="AZ10" s="235"/>
      <c r="BA10" s="235"/>
      <c r="BB10" s="235"/>
      <c r="BC10" s="235"/>
      <c r="BD10" s="235"/>
      <c r="BE10" s="235"/>
      <c r="BF10" s="235"/>
      <c r="BG10" s="235"/>
      <c r="BH10" s="235"/>
      <c r="BI10" s="235"/>
      <c r="BJ10" s="3"/>
      <c r="BK10" s="3"/>
      <c r="BL10" s="3"/>
    </row>
    <row r="11" spans="1:66" x14ac:dyDescent="0.25">
      <c r="A11" s="243" t="s">
        <v>717</v>
      </c>
      <c r="B11" s="250">
        <f>X179+X451</f>
        <v>10.014921464757732</v>
      </c>
      <c r="C11" s="251"/>
      <c r="O11" s="238"/>
      <c r="AS11" s="236" t="s">
        <v>355</v>
      </c>
      <c r="AT11" s="237"/>
      <c r="AU11" s="237"/>
      <c r="AV11" s="237"/>
      <c r="AW11" s="237"/>
      <c r="AX11" s="3"/>
      <c r="BJ11" s="237"/>
      <c r="BK11" s="237"/>
      <c r="BL11" s="237"/>
      <c r="BM11" s="237"/>
      <c r="BN11" s="237"/>
    </row>
    <row r="12" spans="1:66" x14ac:dyDescent="0.25">
      <c r="A12" s="243" t="s">
        <v>718</v>
      </c>
      <c r="B12" s="250">
        <f>B7+B8+B9+B10+B11</f>
        <v>120.92130337626274</v>
      </c>
      <c r="C12" s="251"/>
      <c r="O12" s="238"/>
      <c r="AS12" s="238" t="s">
        <v>344</v>
      </c>
      <c r="AT12" s="1">
        <f>DET_MORT_miscarriage</f>
        <v>9.4658919999998391E-6</v>
      </c>
      <c r="AU12" s="1" t="s">
        <v>345</v>
      </c>
      <c r="AV12" s="1">
        <f>AT12*R15</f>
        <v>2.8138698834285254E-5</v>
      </c>
      <c r="AW12" s="1" t="s">
        <v>346</v>
      </c>
      <c r="AX12" s="1">
        <f>AT12*T15</f>
        <v>2.8138698834285254E-5</v>
      </c>
      <c r="AY12" s="1">
        <f>AY7+1</f>
        <v>3</v>
      </c>
      <c r="BA12" s="1">
        <f>det_cost_experimental*AV12</f>
        <v>8.5541644456227166E-5</v>
      </c>
      <c r="BB12" s="1">
        <f>$AV12*(VLOOKUP($AY12,'Pregnancy costs and utilities'!$A$23:$H$158,3))</f>
        <v>6.5276843236871121E-2</v>
      </c>
      <c r="BC12" s="1">
        <f>SUM(BA12:BB12)</f>
        <v>6.5362384881327354E-2</v>
      </c>
      <c r="BE12" s="1">
        <f>$AV12*(VLOOKUP($AY12,'Pregnancy costs and utilities'!$A$23:$I$158,9))</f>
        <v>0</v>
      </c>
      <c r="BF12" s="1">
        <f>$AV12*(VLOOKUP($AY12,'Pregnancy costs and utilities'!$A$23:$H$158,7))</f>
        <v>0</v>
      </c>
      <c r="BH12" s="1">
        <f>$BA12</f>
        <v>8.5541644456227166E-5</v>
      </c>
      <c r="BI12" s="1">
        <f>$AX12*(VLOOKUP($AY12,'Pregnancy costs and utilities'!$A$23:$H$158,5))</f>
        <v>0</v>
      </c>
      <c r="BJ12" s="3">
        <f>SUM(BH12:BI12)</f>
        <v>8.5541644456227166E-5</v>
      </c>
      <c r="BK12" s="3"/>
      <c r="BL12" s="3">
        <f>BC12+BI12</f>
        <v>6.5362384881327354E-2</v>
      </c>
      <c r="BN12" s="1" t="str">
        <f>IF(AV12=AX12,"Okay",IF(AV12&gt;AX12,"Lost infant","Gained infant"))</f>
        <v>Okay</v>
      </c>
    </row>
    <row r="13" spans="1:66" ht="15.75" thickBot="1" x14ac:dyDescent="0.3">
      <c r="A13" s="244" t="s">
        <v>719</v>
      </c>
      <c r="B13" s="254">
        <f>AV4+AV12+AJ26+AJ59+AJ91+AJ123+AJ155+AJ187+AJ219+AJ251+AV276+AV284+AJ299+AJ331+AJ363+AJ395+AJ427+AJ459+AJ491+AJ523</f>
        <v>6.2026158605459514E-2</v>
      </c>
      <c r="C13" s="255"/>
      <c r="O13" s="240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Z13" s="235"/>
      <c r="AA13" s="235"/>
      <c r="AB13" s="235"/>
      <c r="AC13" s="235"/>
      <c r="AD13" s="235"/>
      <c r="AE13" s="235"/>
      <c r="AF13" s="235"/>
      <c r="AG13" s="235"/>
      <c r="AH13" s="235"/>
      <c r="AI13" s="235"/>
      <c r="AJ13" s="235"/>
      <c r="AK13" s="235"/>
      <c r="AL13" s="235"/>
      <c r="AM13" s="235"/>
      <c r="AN13" s="235"/>
      <c r="AO13" s="235"/>
      <c r="AP13" s="235"/>
      <c r="AQ13" s="235"/>
      <c r="AR13" s="239"/>
      <c r="AS13" s="238"/>
      <c r="BJ13" s="3"/>
      <c r="BK13" s="3"/>
      <c r="BL13" s="3"/>
    </row>
    <row r="14" spans="1:66" x14ac:dyDescent="0.25">
      <c r="A14" s="242"/>
      <c r="B14" s="256"/>
      <c r="C14" s="257"/>
      <c r="O14" s="238" t="s">
        <v>388</v>
      </c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70"/>
      <c r="AS14" s="238"/>
      <c r="BJ14" s="3"/>
      <c r="BK14" s="3"/>
      <c r="BL14" s="3"/>
    </row>
    <row r="15" spans="1:66" x14ac:dyDescent="0.25">
      <c r="A15" s="246" t="s">
        <v>728</v>
      </c>
      <c r="B15" s="258" t="s">
        <v>1085</v>
      </c>
      <c r="C15" s="259"/>
      <c r="O15" s="238" t="s">
        <v>344</v>
      </c>
      <c r="P15" s="1">
        <f>DET_NS_miscarriage</f>
        <v>5.7166173429431061E-2</v>
      </c>
      <c r="Q15" s="1" t="s">
        <v>345</v>
      </c>
      <c r="R15" s="1">
        <f>P15*L77</f>
        <v>2.9726410183304153</v>
      </c>
      <c r="S15" s="1" t="s">
        <v>346</v>
      </c>
      <c r="T15" s="1">
        <f>P15*N77</f>
        <v>2.9726410183304153</v>
      </c>
      <c r="AS15" s="238" t="s">
        <v>344</v>
      </c>
      <c r="AT15" s="1">
        <f>1-AT12</f>
        <v>0.99999053410799998</v>
      </c>
      <c r="AU15" s="1" t="s">
        <v>345</v>
      </c>
      <c r="AV15" s="1">
        <f>AT15*R15</f>
        <v>2.9726128796315812</v>
      </c>
      <c r="AW15" s="1" t="s">
        <v>346</v>
      </c>
      <c r="AX15" s="1">
        <f>AT15*T15</f>
        <v>2.9726128796315812</v>
      </c>
      <c r="AY15" s="1">
        <f>AY12+1</f>
        <v>4</v>
      </c>
      <c r="BA15" s="1">
        <f>det_cost_experimental*AV15</f>
        <v>9.0367431540800069</v>
      </c>
      <c r="BB15" s="1">
        <f>$AV15*(VLOOKUP($AY15,'Pregnancy costs and utilities'!$A$23:$H$158,3))</f>
        <v>2047.6684225889978</v>
      </c>
      <c r="BC15" s="1">
        <f>SUM(BA15:BB15)</f>
        <v>2056.7051657430779</v>
      </c>
      <c r="BE15" s="1">
        <f>$AV15*(VLOOKUP($AY15,'Pregnancy costs and utilities'!$A$23:$I$158,9))</f>
        <v>0.80031885220850263</v>
      </c>
      <c r="BF15" s="1">
        <f>$AV15*(VLOOKUP($AY15,'Pregnancy costs and utilities'!$A$23:$H$158,7))</f>
        <v>0.70988282190894192</v>
      </c>
      <c r="BH15" s="1">
        <f>$BA15</f>
        <v>9.0367431540800069</v>
      </c>
      <c r="BI15" s="1">
        <f>$AX15*(VLOOKUP($AY15,'Pregnancy costs and utilities'!$A$23:$H$158,5))</f>
        <v>0</v>
      </c>
      <c r="BJ15" s="3">
        <f>SUM(BH15:BI15)</f>
        <v>9.0367431540800069</v>
      </c>
      <c r="BK15" s="3"/>
      <c r="BL15" s="3">
        <f>BC15+BI15</f>
        <v>2056.7051657430779</v>
      </c>
      <c r="BN15" s="1" t="str">
        <f>IF(AV15=AX15,"Okay",IF(AV15&gt;AX15,"Lost infant","Gained infant"))</f>
        <v>Okay</v>
      </c>
    </row>
    <row r="16" spans="1:66" x14ac:dyDescent="0.25">
      <c r="A16" s="243" t="s">
        <v>720</v>
      </c>
      <c r="B16" s="250">
        <f>T7+T15+AX20+AX28+AX36+AX44+AX52+AX60+AX68+AX76+AX84+AX92+AX100+AX108+AX116+AX124+AX132+AX140+AX148+AX156+AX164+AX172+AX180+AX188+AX196+AX204+AX212+AX220+AX228+AX236+AX244+AX252+AX260+AX268+T279+T287+AX292+AX300+AX308+AX316+AX324+AX332+AX340+AX348+AX356+AX364+AX372+AX380+AX388+AX396+AX404+AX412+AX420+AX428+AX436+AX444+AX452+AX460+AX468+AX476+AX484+AX492+AX500+AX508+AX516+AX524+AX532+AX540</f>
        <v>105.01814191221118</v>
      </c>
      <c r="C16" s="251"/>
      <c r="O16" s="238"/>
      <c r="AS16" s="240" t="s">
        <v>356</v>
      </c>
      <c r="AT16" s="235"/>
      <c r="AU16" s="235"/>
      <c r="AV16" s="235"/>
      <c r="AW16" s="235"/>
      <c r="AX16" s="235"/>
      <c r="AY16" s="235"/>
      <c r="AZ16" s="235"/>
      <c r="BA16" s="235"/>
      <c r="BB16" s="235"/>
      <c r="BC16" s="235"/>
      <c r="BD16" s="235"/>
      <c r="BE16" s="235"/>
      <c r="BF16" s="235"/>
      <c r="BG16" s="235"/>
      <c r="BH16" s="235"/>
      <c r="BI16" s="235"/>
      <c r="BJ16" s="235"/>
      <c r="BK16" s="235"/>
      <c r="BL16" s="235"/>
      <c r="BM16" s="235"/>
      <c r="BN16" s="235"/>
    </row>
    <row r="17" spans="1:66" x14ac:dyDescent="0.25">
      <c r="A17" s="243" t="s">
        <v>90</v>
      </c>
      <c r="B17" s="250">
        <f>AX20+AX28+AX36+AX44+AX52+AX60+AX68+AX76+AX84+AX92+AX100+AX108+AX116+AX124+AX132+AX140+AX148+AX156+AX164+AX172+AX180+AX188+AX196+AX204+AX212+AX220+AX228+AX236+AX244+AX252+AX260+AX268+AX292+AX300+AX308+AX316+AX324+AX332+AX340+AX348+AX356+AX364+AX372+AX380+AX388+AX396+AX404+AX412+AX420+AX428+AX436+AX444+AX452+AX460+AX468+AX476+AX484+AX492+AX500+AX508+AX516+AX524+AX532+AX540</f>
        <v>7.7854424380404392</v>
      </c>
      <c r="C17" s="251"/>
      <c r="O17" s="238"/>
    </row>
    <row r="18" spans="1:66" x14ac:dyDescent="0.25">
      <c r="A18" s="243" t="s">
        <v>722</v>
      </c>
      <c r="B18" s="250">
        <f>AF33+AF99+AF163+AF227+AF307+AF371+AF435+AF499</f>
        <v>72.607045930166834</v>
      </c>
      <c r="C18" s="251"/>
      <c r="O18" s="238"/>
    </row>
    <row r="19" spans="1:66" x14ac:dyDescent="0.25">
      <c r="A19" s="243" t="s">
        <v>721</v>
      </c>
      <c r="B19" s="250">
        <f>AR23+AR39+AR55+AR71+AR87+AR103+AR119+AR135+AR151+AR167+AR183+AR199+AR215+AR231+AR247+AR263+AR295+AR311+AR327+AR343+AR359+AR375+AR391+AR407+AR423+AR439+AR455+AR471+AR487+AR503+AR519+AR535</f>
        <v>110.95545651588003</v>
      </c>
      <c r="C19" s="251"/>
      <c r="O19" s="238"/>
      <c r="AS19" s="236" t="s">
        <v>351</v>
      </c>
      <c r="AT19" s="237"/>
      <c r="AU19" s="237"/>
      <c r="AV19" s="237"/>
      <c r="AW19" s="237"/>
      <c r="AX19" s="237"/>
      <c r="AY19" s="237"/>
      <c r="AZ19" s="237"/>
      <c r="BA19" s="237"/>
      <c r="BB19" s="237"/>
      <c r="BC19" s="237"/>
      <c r="BD19" s="237"/>
      <c r="BE19" s="237"/>
      <c r="BF19" s="237"/>
      <c r="BG19" s="237"/>
      <c r="BH19" s="237"/>
      <c r="BI19" s="237"/>
      <c r="BJ19" s="237"/>
      <c r="BK19" s="237"/>
      <c r="BL19" s="237"/>
      <c r="BM19" s="237"/>
      <c r="BN19" s="237"/>
    </row>
    <row r="20" spans="1:66" x14ac:dyDescent="0.25">
      <c r="A20" s="243" t="s">
        <v>723</v>
      </c>
      <c r="B20" s="250">
        <f>AX23+AX31+AX39+AX47+AX55+AX71+AX87+AX95+AX103+AX111+AX119+AX135+AX151+AX159+AX167+AX175+AX183+AX199+AX215+AX223+AX231+AX239+AX247+AX263+AX295+AX303+AX311+AX319+AX327+AX343+AX359+AX367+AX375+AX383+AX391+AX407+AX423+AX431+AX439+AX447+AX455+AX471+AX487+AX495+AX503+AX511+AX519+AX535</f>
        <v>106.11683344368605</v>
      </c>
      <c r="C20" s="251"/>
      <c r="O20" s="238"/>
      <c r="AS20" s="238" t="s">
        <v>344</v>
      </c>
      <c r="AT20" s="1">
        <f>DET_NS_stillbirth_lbw_premature</f>
        <v>6.0752905295406189E-2</v>
      </c>
      <c r="AU20" s="1" t="s">
        <v>345</v>
      </c>
      <c r="AV20" s="1">
        <f>AT20*AP23</f>
        <v>6.357750202499494E-7</v>
      </c>
      <c r="AW20" s="1" t="s">
        <v>346</v>
      </c>
      <c r="AX20" s="1">
        <f>AT20*AR23</f>
        <v>6.357750202499494E-7</v>
      </c>
      <c r="AY20" s="1">
        <f>AY15+1</f>
        <v>5</v>
      </c>
      <c r="BA20" s="1">
        <f>det_cost_experimental*AV20</f>
        <v>1.9327560615598461E-6</v>
      </c>
      <c r="BB20" s="1">
        <f>$AV20*(VLOOKUP($AY20,'Pregnancy costs and utilities'!$A$23:$H$158,3))</f>
        <v>6.3550163923732769E-3</v>
      </c>
      <c r="BC20" s="1">
        <f>SUM(BA20:BB20)</f>
        <v>6.3569491484348371E-3</v>
      </c>
      <c r="BE20" s="1">
        <f>$AV20*(VLOOKUP($AY20,'Pregnancy costs and utilities'!$A$23:$I$158,9))</f>
        <v>0</v>
      </c>
      <c r="BF20" s="1">
        <f>$AV20*(VLOOKUP($AY20,'Pregnancy costs and utilities'!$A$23:$H$158,7))</f>
        <v>0</v>
      </c>
      <c r="BH20" s="1">
        <f>$BA20</f>
        <v>1.9327560615598461E-6</v>
      </c>
      <c r="BI20" s="1">
        <f>$AX20*(VLOOKUP($AY20,'Pregnancy costs and utilities'!$A$23:$H$158,5))</f>
        <v>6.7600476140347089E-4</v>
      </c>
      <c r="BJ20" s="3">
        <f>SUM(BH20:BI20)</f>
        <v>6.7793751746503077E-4</v>
      </c>
      <c r="BK20" s="3"/>
      <c r="BL20" s="3">
        <f>BC20+BI20</f>
        <v>7.0329539098383078E-3</v>
      </c>
      <c r="BN20" s="1" t="str">
        <f>IF(AV20=AX20,"Okay",IF(AV20&gt;AX20,"Lost infant","Gained infant"))</f>
        <v>Okay</v>
      </c>
    </row>
    <row r="21" spans="1:66" x14ac:dyDescent="0.25">
      <c r="A21" s="243" t="s">
        <v>724</v>
      </c>
      <c r="B21" s="250">
        <f>T7+T15+AF33+AR55+AR71+AX60+AX76+AF99+AR119+AR135+AX124+AX140+AF163+AR183+AR199+AX188+AX204+AF227+AR247+AR263+AX252+AX268+T279+T287+AF307+AR327+AR343+AX332+AX348+AF371+AR391+AR407+AX396+AX412+AF435+AR455+AR471+AX460+AX476+AF499+AR519+AR535+AX524+AX540</f>
        <v>211.13497535589727</v>
      </c>
      <c r="C21" s="251"/>
      <c r="O21" s="238"/>
      <c r="AS21" s="238"/>
      <c r="BJ21" s="3"/>
      <c r="BK21" s="3"/>
      <c r="BL21" s="3"/>
    </row>
    <row r="22" spans="1:66" x14ac:dyDescent="0.25">
      <c r="A22" s="243" t="s">
        <v>725</v>
      </c>
      <c r="B22" s="252">
        <f>$BJ$547/Cohort</f>
        <v>3271.9411443126342</v>
      </c>
      <c r="C22" s="253"/>
      <c r="O22" s="238"/>
      <c r="AM22" s="236" t="s">
        <v>350</v>
      </c>
      <c r="AN22" s="237"/>
      <c r="AO22" s="237"/>
      <c r="AP22" s="237"/>
      <c r="AQ22" s="237"/>
      <c r="AR22" s="371"/>
      <c r="AS22" s="238"/>
      <c r="BJ22" s="3"/>
      <c r="BK22" s="3"/>
      <c r="BL22" s="3"/>
    </row>
    <row r="23" spans="1:66" ht="15.75" thickBot="1" x14ac:dyDescent="0.3">
      <c r="A23" s="244"/>
      <c r="B23" s="254"/>
      <c r="C23" s="255"/>
      <c r="O23" s="238"/>
      <c r="AM23" s="238" t="s">
        <v>344</v>
      </c>
      <c r="AN23" s="3">
        <f>DET_NS_lbw_premature</f>
        <v>0.57035604742854706</v>
      </c>
      <c r="AO23" s="3" t="s">
        <v>345</v>
      </c>
      <c r="AP23" s="3">
        <f>AN23*AJ26</f>
        <v>1.0464931959361346E-5</v>
      </c>
      <c r="AQ23" s="3" t="s">
        <v>346</v>
      </c>
      <c r="AR23" s="370">
        <f>AN23*AL26</f>
        <v>1.0464931959361346E-5</v>
      </c>
      <c r="AS23" s="238" t="s">
        <v>344</v>
      </c>
      <c r="AT23" s="1">
        <f>1-AT20</f>
        <v>0.93924709470459378</v>
      </c>
      <c r="AU23" s="1" t="s">
        <v>345</v>
      </c>
      <c r="AV23" s="1">
        <f>AT23*AP23</f>
        <v>9.8291569391113954E-6</v>
      </c>
      <c r="AW23" s="1" t="s">
        <v>346</v>
      </c>
      <c r="AX23" s="1">
        <f>AT23*AR23</f>
        <v>9.8291569391113954E-6</v>
      </c>
      <c r="AY23" s="1">
        <f>AY20+1</f>
        <v>6</v>
      </c>
      <c r="BA23" s="1">
        <f>det_cost_experimental*AV23</f>
        <v>2.9880637094898642E-5</v>
      </c>
      <c r="BB23" s="1">
        <f>$AV23*(VLOOKUP($AY23,'Pregnancy costs and utilities'!$A$23:$H$158,3))</f>
        <v>9.824930436352329E-2</v>
      </c>
      <c r="BC23" s="1">
        <f>SUM(BA23:BB23)</f>
        <v>9.8279185000618191E-2</v>
      </c>
      <c r="BE23" s="1">
        <f>$AV23*(VLOOKUP($AY23,'Pregnancy costs and utilities'!$A$23:$I$158,9))</f>
        <v>0</v>
      </c>
      <c r="BF23" s="1">
        <f>$AV23*(VLOOKUP($AY23,'Pregnancy costs and utilities'!$A$23:$H$158,7))</f>
        <v>0</v>
      </c>
      <c r="BH23" s="1">
        <f>$BA23</f>
        <v>2.9880637094898642E-5</v>
      </c>
      <c r="BI23" s="1">
        <f>$AX23*(VLOOKUP($AY23,'Pregnancy costs and utilities'!$A$23:$H$158,5))</f>
        <v>0.15662318442915263</v>
      </c>
      <c r="BJ23" s="3">
        <f>SUM(BH23:BI23)</f>
        <v>0.15665306506624752</v>
      </c>
      <c r="BK23" s="3"/>
      <c r="BL23" s="3">
        <f>BC23+BI23</f>
        <v>0.25490236942977085</v>
      </c>
      <c r="BN23" s="1" t="str">
        <f>IF(AV23=AX23,"Okay",IF(AV23&gt;AX23,"Lost infant","Gained infant"))</f>
        <v>Okay</v>
      </c>
    </row>
    <row r="24" spans="1:66" x14ac:dyDescent="0.25">
      <c r="A24" s="376"/>
      <c r="B24" s="399"/>
      <c r="C24" s="2"/>
      <c r="E24" s="241"/>
      <c r="O24" s="238"/>
      <c r="AM24" s="238"/>
      <c r="AS24" s="240" t="s">
        <v>352</v>
      </c>
      <c r="AT24" s="235"/>
      <c r="AU24" s="235"/>
      <c r="AV24" s="235"/>
      <c r="AW24" s="235"/>
      <c r="AX24" s="235"/>
      <c r="AY24" s="235"/>
      <c r="AZ24" s="235"/>
      <c r="BA24" s="235"/>
      <c r="BB24" s="235"/>
      <c r="BC24" s="235"/>
      <c r="BD24" s="235"/>
      <c r="BE24" s="235"/>
      <c r="BF24" s="235"/>
      <c r="BG24" s="235"/>
      <c r="BH24" s="235"/>
      <c r="BI24" s="235"/>
      <c r="BJ24" s="235"/>
      <c r="BK24" s="235"/>
      <c r="BL24" s="235"/>
      <c r="BM24" s="235"/>
      <c r="BN24" s="235"/>
    </row>
    <row r="25" spans="1:66" x14ac:dyDescent="0.25">
      <c r="A25" s="246" t="s">
        <v>729</v>
      </c>
      <c r="B25" s="258" t="s">
        <v>1085</v>
      </c>
      <c r="C25" s="259"/>
      <c r="O25" s="238"/>
      <c r="AG25" s="236" t="s">
        <v>372</v>
      </c>
      <c r="AH25" s="237"/>
      <c r="AI25" s="237"/>
      <c r="AJ25" s="237"/>
      <c r="AK25" s="237"/>
      <c r="AL25" s="371"/>
      <c r="AM25" s="238"/>
    </row>
    <row r="26" spans="1:66" x14ac:dyDescent="0.25">
      <c r="A26" s="243" t="s">
        <v>726</v>
      </c>
      <c r="B26" s="252">
        <f>(BL4+BL7+BL12+BL15+BL20+BL23+BL28+BL31+BL36+BL39+BL44+BL47+BL52+BL55+BL60+BL63+BL68+BL71+BL76+BL79+BL84+BL87+BL92+BL95+BL100+BL103+BL108+BL111+BL116+BL119+BL124+BL127+BL132+BL135+BL140+BL143+BL148+BL151+BL156+BL159+BL164+BL167+BL172+BL175+BL180+BL183+BL188+BL191+BL196+BL199+BL204+BL207+BL212+BL215+BL220+BL223+BL228+BL231+BL236+BL239+BL244+BL247+BL252+BL255+BL260+BL263+BL268+BL271+BL276+BL279+BL284+BL287+BL292+BL295+BL300+BL303+BL308+BL311+BL316+BL319+BL324+BL327+BL332+BL335+BL340+BL343+BL348+BL351+BL356+BL359+BL364+BL367+BL372+BL375+BL380+BL383+BL388+BL391+BL396+BL399+BL404+BL407+BL412+BL415+BL420+BL423+BL428+BL431+BL436+BL439+BL444+BL447+BL452+BL455+BL460+BL463+BL468+BL471+BL476+BL479+BL484+BL487+BL492+BL495+BL500+BL503+BL508+BL511+BL516+BL519+BL524+BL527+BL532+BL535+BL540+BL543)/Cohort</f>
        <v>6373.9568682761728</v>
      </c>
      <c r="C26" s="253"/>
      <c r="O26" s="238"/>
      <c r="AG26" s="238" t="s">
        <v>344</v>
      </c>
      <c r="AH26" s="3">
        <f>DET_MORT_abruption</f>
        <v>2.7833911999999947E-4</v>
      </c>
      <c r="AI26" s="3" t="s">
        <v>345</v>
      </c>
      <c r="AJ26" s="3">
        <f>AH26*AD33</f>
        <v>1.8348068731001523E-5</v>
      </c>
      <c r="AK26" s="3" t="s">
        <v>346</v>
      </c>
      <c r="AL26" s="370">
        <f>AH26*AF33</f>
        <v>1.8348068731001523E-5</v>
      </c>
      <c r="AM26" s="238"/>
      <c r="AN26" s="3"/>
      <c r="AO26" s="3"/>
      <c r="AP26" s="3"/>
      <c r="AQ26" s="3"/>
      <c r="AR26" s="3"/>
    </row>
    <row r="27" spans="1:66" ht="15.75" thickBot="1" x14ac:dyDescent="0.3">
      <c r="A27" s="244"/>
      <c r="B27" s="254"/>
      <c r="C27" s="255"/>
      <c r="O27" s="238"/>
      <c r="AG27" s="238"/>
      <c r="AM27" s="238"/>
      <c r="AS27" s="236" t="s">
        <v>358</v>
      </c>
      <c r="AT27" s="237"/>
      <c r="AU27" s="237"/>
      <c r="AV27" s="237"/>
      <c r="AW27" s="237"/>
      <c r="AX27" s="237"/>
      <c r="AY27" s="237"/>
      <c r="AZ27" s="237"/>
      <c r="BA27" s="237"/>
      <c r="BB27" s="237"/>
      <c r="BC27" s="237"/>
      <c r="BD27" s="237"/>
      <c r="BE27" s="237"/>
      <c r="BF27" s="237"/>
      <c r="BG27" s="237"/>
      <c r="BH27" s="237"/>
      <c r="BI27" s="237"/>
      <c r="BJ27" s="237"/>
      <c r="BK27" s="237"/>
      <c r="BL27" s="237"/>
      <c r="BM27" s="237"/>
      <c r="BN27" s="237"/>
    </row>
    <row r="28" spans="1:66" x14ac:dyDescent="0.25">
      <c r="A28" s="242"/>
      <c r="B28" s="399"/>
      <c r="C28" s="2"/>
      <c r="O28" s="238"/>
      <c r="AG28" s="238"/>
      <c r="AM28" s="238" t="s">
        <v>344</v>
      </c>
      <c r="AN28" s="1">
        <f>1-AN23</f>
        <v>0.42964395257145294</v>
      </c>
      <c r="AO28" s="1" t="s">
        <v>345</v>
      </c>
      <c r="AP28" s="1">
        <f>AN28*AJ26</f>
        <v>7.883136771640177E-6</v>
      </c>
      <c r="AQ28" s="1" t="s">
        <v>346</v>
      </c>
      <c r="AR28" s="1">
        <f>AN28*AL26</f>
        <v>7.883136771640177E-6</v>
      </c>
      <c r="AS28" s="238" t="s">
        <v>344</v>
      </c>
      <c r="AT28" s="3">
        <f>DET_NS_stillbirth_nbw_premature</f>
        <v>7.6129469648265786E-3</v>
      </c>
      <c r="AU28" s="3" t="s">
        <v>345</v>
      </c>
      <c r="AV28" s="3">
        <f>AT28*AP28</f>
        <v>6.0013902158970878E-8</v>
      </c>
      <c r="AW28" s="3" t="s">
        <v>346</v>
      </c>
      <c r="AX28" s="3">
        <f>AT28*AR28</f>
        <v>6.0013902158970878E-8</v>
      </c>
      <c r="AY28" s="3">
        <f>AY23+1</f>
        <v>7</v>
      </c>
      <c r="AZ28" s="3"/>
      <c r="BA28" s="1">
        <f>det_cost_experimental*AV28</f>
        <v>1.8244226256327147E-7</v>
      </c>
      <c r="BB28" s="3">
        <f>$AV28*(VLOOKUP($AY28,'Pregnancy costs and utilities'!$A$23:$H$158,3))</f>
        <v>5.9988096393061502E-4</v>
      </c>
      <c r="BC28" s="3">
        <f>SUM(BA28:BB28)</f>
        <v>6.0006340619317834E-4</v>
      </c>
      <c r="BD28" s="3"/>
      <c r="BE28" s="3">
        <f>$AV28*(VLOOKUP($AY28,'Pregnancy costs and utilities'!$A$23:$I$158,9))</f>
        <v>0</v>
      </c>
      <c r="BF28" s="3">
        <f>$AV28*(VLOOKUP($AY28,'Pregnancy costs and utilities'!$A$23:$H$158,7))</f>
        <v>0</v>
      </c>
      <c r="BG28" s="3"/>
      <c r="BH28" s="3">
        <f>$BA28</f>
        <v>1.8244226256327147E-7</v>
      </c>
      <c r="BI28" s="3">
        <f>$AX28*(VLOOKUP($AY28,'Pregnancy costs and utilities'!$A$23:$H$158,5))</f>
        <v>6.3811383457495292E-5</v>
      </c>
      <c r="BJ28" s="3">
        <f>SUM(BH28:BI28)</f>
        <v>6.3993825720058567E-5</v>
      </c>
      <c r="BK28" s="3"/>
      <c r="BL28" s="3">
        <f>BC28+BI28</f>
        <v>6.6387478965067369E-4</v>
      </c>
      <c r="BN28" s="1" t="str">
        <f>IF(AV28=AX28,"Okay",IF(AV28&gt;AX28,"Lost infant","Gained infant"))</f>
        <v>Okay</v>
      </c>
    </row>
    <row r="29" spans="1:66" x14ac:dyDescent="0.25">
      <c r="A29" s="246" t="s">
        <v>1084</v>
      </c>
      <c r="B29" s="258" t="s">
        <v>1085</v>
      </c>
      <c r="C29" s="4"/>
      <c r="O29" s="238"/>
      <c r="AG29" s="238"/>
      <c r="AM29" s="240" t="s">
        <v>357</v>
      </c>
      <c r="AN29" s="235"/>
      <c r="AO29" s="235"/>
      <c r="AP29" s="235"/>
      <c r="AQ29" s="235"/>
      <c r="AR29" s="239"/>
      <c r="AS29" s="238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</row>
    <row r="30" spans="1:66" x14ac:dyDescent="0.25">
      <c r="A30" s="243" t="s">
        <v>61</v>
      </c>
      <c r="B30" s="400">
        <f>$BA$547/Cohort</f>
        <v>3.0400000000000009</v>
      </c>
      <c r="C30" s="4"/>
      <c r="O30" s="238"/>
      <c r="AG30" s="238"/>
      <c r="AM30" s="237"/>
      <c r="AS30" s="238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</row>
    <row r="31" spans="1:66" x14ac:dyDescent="0.25">
      <c r="A31" s="243" t="s">
        <v>1076</v>
      </c>
      <c r="B31" s="400">
        <f>$BB$547/Cohort</f>
        <v>3102.0157239635391</v>
      </c>
      <c r="C31" s="4"/>
      <c r="O31" s="238"/>
      <c r="AF31" s="3"/>
      <c r="AG31" s="238"/>
      <c r="AH31" s="3"/>
      <c r="AI31" s="3"/>
      <c r="AJ31" s="3"/>
      <c r="AK31" s="3"/>
      <c r="AL31" s="3"/>
      <c r="AM31" s="3"/>
      <c r="AS31" s="238" t="s">
        <v>344</v>
      </c>
      <c r="AT31" s="3">
        <f>1-AT28</f>
        <v>0.99238705303517338</v>
      </c>
      <c r="AU31" s="3" t="s">
        <v>345</v>
      </c>
      <c r="AV31" s="3">
        <f>AT31*AP28</f>
        <v>7.8231228694812057E-6</v>
      </c>
      <c r="AW31" s="3" t="s">
        <v>346</v>
      </c>
      <c r="AX31" s="3">
        <f>AT31*AR28</f>
        <v>7.8231228694812057E-6</v>
      </c>
      <c r="AY31" s="3">
        <f>AY28+1</f>
        <v>8</v>
      </c>
      <c r="AZ31" s="3"/>
      <c r="BA31" s="1">
        <f>det_cost_experimental*AV31</f>
        <v>2.3782293523222865E-5</v>
      </c>
      <c r="BB31" s="3">
        <f>$AV31*(VLOOKUP($AY31,'Pregnancy costs and utilities'!$A$23:$H$158,3))</f>
        <v>7.8197589542851012E-2</v>
      </c>
      <c r="BC31" s="3">
        <f>SUM(BA31:BB31)</f>
        <v>7.8221371836374232E-2</v>
      </c>
      <c r="BD31" s="3"/>
      <c r="BE31" s="3">
        <f>$AV31*(VLOOKUP($AY31,'Pregnancy costs and utilities'!$A$23:$I$158,9))</f>
        <v>0</v>
      </c>
      <c r="BF31" s="3">
        <f>$AV31*(VLOOKUP($AY31,'Pregnancy costs and utilities'!$A$23:$H$158,7))</f>
        <v>0</v>
      </c>
      <c r="BG31" s="3"/>
      <c r="BH31" s="3">
        <f>$BA31</f>
        <v>2.3782293523222865E-5</v>
      </c>
      <c r="BI31" s="3">
        <f>$AX31*(VLOOKUP($AY31,'Pregnancy costs and utilities'!$A$23:$H$158,5))</f>
        <v>0.12465793593376566</v>
      </c>
      <c r="BJ31" s="3">
        <f>SUM(BH31:BI31)</f>
        <v>0.12468171822728888</v>
      </c>
      <c r="BK31" s="3"/>
      <c r="BL31" s="3">
        <f>BC31+BI31</f>
        <v>0.20287930777013991</v>
      </c>
      <c r="BN31" s="1" t="str">
        <f>IF(AV31=AX31,"Okay",IF(AV31&gt;AX31,"Lost infant","Gained infant"))</f>
        <v>Okay</v>
      </c>
    </row>
    <row r="32" spans="1:66" x14ac:dyDescent="0.25">
      <c r="A32" s="243" t="s">
        <v>1080</v>
      </c>
      <c r="B32" s="400">
        <f>$BI$547/Cohort</f>
        <v>3268.9011443126337</v>
      </c>
      <c r="C32" s="4"/>
      <c r="O32" s="238"/>
      <c r="AA32" s="236" t="s">
        <v>374</v>
      </c>
      <c r="AB32" s="237"/>
      <c r="AC32" s="237"/>
      <c r="AD32" s="237"/>
      <c r="AE32" s="237"/>
      <c r="AF32" s="371"/>
      <c r="AG32" s="238"/>
      <c r="AH32" s="3"/>
      <c r="AI32" s="3"/>
      <c r="AJ32" s="3"/>
      <c r="AK32" s="3"/>
      <c r="AL32" s="3"/>
      <c r="AM32" s="3"/>
      <c r="AS32" s="240" t="s">
        <v>359</v>
      </c>
      <c r="AT32" s="235"/>
      <c r="AU32" s="235"/>
      <c r="AV32" s="235"/>
      <c r="AW32" s="235"/>
      <c r="AX32" s="235"/>
      <c r="AY32" s="235"/>
      <c r="AZ32" s="235"/>
      <c r="BA32" s="235"/>
      <c r="BB32" s="235"/>
      <c r="BC32" s="235"/>
      <c r="BD32" s="235"/>
      <c r="BE32" s="235"/>
      <c r="BF32" s="235"/>
      <c r="BG32" s="235"/>
      <c r="BH32" s="235"/>
      <c r="BI32" s="235"/>
      <c r="BJ32" s="235"/>
      <c r="BK32" s="235"/>
      <c r="BL32" s="235"/>
      <c r="BM32" s="235"/>
      <c r="BN32" s="235"/>
    </row>
    <row r="33" spans="1:66" x14ac:dyDescent="0.25">
      <c r="A33" s="243" t="s">
        <v>1086</v>
      </c>
      <c r="B33" s="400">
        <f>$BL$547/Cohort</f>
        <v>6373.9568682761728</v>
      </c>
      <c r="C33" s="4"/>
      <c r="O33" s="238"/>
      <c r="AA33" s="238" t="s">
        <v>344</v>
      </c>
      <c r="AB33" s="3">
        <f>DET_NS_premature_abruption</f>
        <v>0.37747233836702138</v>
      </c>
      <c r="AC33" s="3" t="s">
        <v>345</v>
      </c>
      <c r="AD33" s="3">
        <f>AB33*X50</f>
        <v>6.5919834520571735E-2</v>
      </c>
      <c r="AE33" s="3" t="s">
        <v>346</v>
      </c>
      <c r="AF33" s="370">
        <f>AB33*Z50</f>
        <v>6.5919834520571735E-2</v>
      </c>
      <c r="AG33" s="238"/>
      <c r="AH33" s="3"/>
      <c r="AI33" s="3"/>
      <c r="AJ33" s="3"/>
      <c r="AK33" s="3"/>
      <c r="AL33" s="3"/>
      <c r="AM33" s="3"/>
    </row>
    <row r="34" spans="1:66" ht="15.75" thickBot="1" x14ac:dyDescent="0.3">
      <c r="A34" s="244"/>
      <c r="B34" s="401"/>
      <c r="C34" s="6"/>
      <c r="O34" s="238"/>
      <c r="AA34" s="238"/>
      <c r="AF34" s="3"/>
      <c r="AG34" s="238"/>
      <c r="AH34" s="3"/>
      <c r="AI34" s="3"/>
      <c r="AJ34" s="3"/>
      <c r="AK34" s="3"/>
      <c r="AL34" s="3"/>
    </row>
    <row r="35" spans="1:66" x14ac:dyDescent="0.25">
      <c r="A35" s="242"/>
      <c r="B35" s="399"/>
      <c r="C35" s="2"/>
      <c r="O35" s="238"/>
      <c r="AA35" s="238"/>
      <c r="AF35" s="3"/>
      <c r="AG35" s="238"/>
      <c r="AH35" s="3"/>
      <c r="AI35" s="3"/>
      <c r="AJ35" s="3"/>
      <c r="AK35" s="3"/>
      <c r="AL35" s="3"/>
      <c r="AS35" s="236" t="s">
        <v>368</v>
      </c>
      <c r="AT35" s="237"/>
      <c r="AU35" s="237"/>
      <c r="AV35" s="237"/>
      <c r="AW35" s="237"/>
      <c r="AX35" s="237"/>
      <c r="AY35" s="237"/>
      <c r="AZ35" s="237"/>
      <c r="BA35" s="237"/>
      <c r="BB35" s="237"/>
      <c r="BC35" s="237"/>
      <c r="BD35" s="237"/>
      <c r="BE35" s="237"/>
      <c r="BF35" s="237"/>
      <c r="BG35" s="237"/>
      <c r="BH35" s="237"/>
      <c r="BI35" s="237"/>
      <c r="BJ35" s="237"/>
      <c r="BK35" s="237"/>
      <c r="BL35" s="237"/>
      <c r="BM35" s="237"/>
      <c r="BN35" s="237"/>
    </row>
    <row r="36" spans="1:66" x14ac:dyDescent="0.25">
      <c r="A36" s="246" t="s">
        <v>830</v>
      </c>
      <c r="B36" s="258" t="s">
        <v>1085</v>
      </c>
      <c r="C36" s="259"/>
      <c r="D36" s="342"/>
      <c r="O36" s="238"/>
      <c r="AA36" s="238"/>
      <c r="AF36" s="3"/>
      <c r="AG36" s="238"/>
      <c r="AH36" s="3"/>
      <c r="AI36" s="3"/>
      <c r="AJ36" s="3"/>
      <c r="AK36" s="3"/>
      <c r="AL36" s="3"/>
      <c r="AS36" s="238" t="s">
        <v>344</v>
      </c>
      <c r="AT36" s="1">
        <f>DET_NS_stillbirth_lbw_premature</f>
        <v>6.0752905295406189E-2</v>
      </c>
      <c r="AU36" s="1" t="s">
        <v>345</v>
      </c>
      <c r="AV36" s="1">
        <f>AT36*AP39</f>
        <v>2.2835383656824681E-3</v>
      </c>
      <c r="AW36" s="1" t="s">
        <v>346</v>
      </c>
      <c r="AX36" s="1">
        <f>AT36*AR39</f>
        <v>2.2835383656824681E-3</v>
      </c>
      <c r="AY36" s="1">
        <f>AY31+1</f>
        <v>9</v>
      </c>
      <c r="BA36" s="1">
        <f>det_cost_experimental*AV36</f>
        <v>6.941956631674703E-3</v>
      </c>
      <c r="BB36" s="1">
        <f>$AV36*(VLOOKUP($AY36,'Pregnancy costs and utilities'!$A$23:$H$158,3))</f>
        <v>19.101159395361826</v>
      </c>
      <c r="BC36" s="1">
        <f>SUM(BA36:BB36)</f>
        <v>19.108101351993501</v>
      </c>
      <c r="BE36" s="1">
        <f>$AV36*(VLOOKUP($AY36,'Pregnancy costs and utilities'!$A$23:$I$158,9))</f>
        <v>1.4491685782215661E-3</v>
      </c>
      <c r="BF36" s="1">
        <f>$AV36*(VLOOKUP($AY36,'Pregnancy costs and utilities'!$A$23:$H$158,7))</f>
        <v>1.2854125288825295E-3</v>
      </c>
      <c r="BH36" s="1">
        <f>$BA36</f>
        <v>6.941956631674703E-3</v>
      </c>
      <c r="BI36" s="1">
        <f>$AX36*(VLOOKUP($AY36,'Pregnancy costs and utilities'!$A$23:$H$158,5))</f>
        <v>2.4280331231666876</v>
      </c>
      <c r="BJ36" s="3">
        <f>SUM(BH36:BI36)</f>
        <v>2.4349750797983623</v>
      </c>
      <c r="BK36" s="3"/>
      <c r="BL36" s="3">
        <f>BC36+BI36</f>
        <v>21.536134475160189</v>
      </c>
      <c r="BN36" s="1" t="str">
        <f>IF(AV36=AX36,"Okay",IF(AV36&gt;AX36,"Lost infant","Gained infant"))</f>
        <v>Okay</v>
      </c>
    </row>
    <row r="37" spans="1:66" x14ac:dyDescent="0.25">
      <c r="A37" s="243" t="s">
        <v>711</v>
      </c>
      <c r="B37" s="252">
        <f>VLOOKUP(reference_age,$AM$555:$AO$655,3)/Cohort</f>
        <v>21266.230739291579</v>
      </c>
      <c r="C37" s="253"/>
      <c r="O37" s="238"/>
      <c r="AA37" s="238"/>
      <c r="AG37" s="238"/>
      <c r="AS37" s="238"/>
      <c r="BJ37" s="3"/>
      <c r="BK37" s="3"/>
      <c r="BL37" s="3"/>
    </row>
    <row r="38" spans="1:66" x14ac:dyDescent="0.25">
      <c r="A38" s="243" t="s">
        <v>831</v>
      </c>
      <c r="B38" s="260">
        <f>VLOOKUP(reference_age,$AQ$555:$AT$655,2)</f>
        <v>0.22905879368550555</v>
      </c>
      <c r="C38" s="261"/>
      <c r="O38" s="238"/>
      <c r="AA38" s="238"/>
      <c r="AG38" s="238"/>
      <c r="AM38" s="236" t="s">
        <v>366</v>
      </c>
      <c r="AN38" s="237"/>
      <c r="AO38" s="237"/>
      <c r="AP38" s="237"/>
      <c r="AQ38" s="237"/>
      <c r="AR38" s="371"/>
      <c r="AS38" s="238"/>
      <c r="BJ38" s="3"/>
      <c r="BK38" s="3"/>
      <c r="BL38" s="3"/>
    </row>
    <row r="39" spans="1:66" x14ac:dyDescent="0.25">
      <c r="A39" s="243" t="s">
        <v>832</v>
      </c>
      <c r="B39" s="260">
        <f>VLOOKUP(reference_age,$AQ$555:$AT$655,3)</f>
        <v>0.77094120631449414</v>
      </c>
      <c r="C39" s="261"/>
      <c r="O39" s="238"/>
      <c r="AA39" s="238"/>
      <c r="AG39" s="238"/>
      <c r="AM39" s="238" t="s">
        <v>344</v>
      </c>
      <c r="AN39" s="1">
        <f>DET_NS_lbw_premature</f>
        <v>0.57035604742854706</v>
      </c>
      <c r="AO39" s="1" t="s">
        <v>345</v>
      </c>
      <c r="AP39" s="1">
        <f>AN39*AJ40</f>
        <v>3.7587311332337829E-2</v>
      </c>
      <c r="AQ39" s="1" t="s">
        <v>346</v>
      </c>
      <c r="AR39" s="1">
        <f>AN39*AL40</f>
        <v>3.7587311332337829E-2</v>
      </c>
      <c r="AS39" s="238" t="s">
        <v>344</v>
      </c>
      <c r="AT39" s="1">
        <f>1-AT36</f>
        <v>0.93924709470459378</v>
      </c>
      <c r="AU39" s="1" t="s">
        <v>345</v>
      </c>
      <c r="AV39" s="1">
        <f>AT39*AP39</f>
        <v>3.5303772966655357E-2</v>
      </c>
      <c r="AW39" s="1" t="s">
        <v>346</v>
      </c>
      <c r="AX39" s="1">
        <f>AT39*AR39</f>
        <v>3.5303772966655357E-2</v>
      </c>
      <c r="AY39" s="1">
        <f>AY36+1</f>
        <v>10</v>
      </c>
      <c r="BA39" s="1">
        <f>det_cost_experimental*AV39</f>
        <v>0.10732346981863229</v>
      </c>
      <c r="BB39" s="1">
        <f>$AV39*(VLOOKUP($AY39,'Pregnancy costs and utilities'!$A$23:$H$158,3))</f>
        <v>295.30618133153752</v>
      </c>
      <c r="BC39" s="1">
        <f>SUM(BA39:BB39)</f>
        <v>295.41350480135617</v>
      </c>
      <c r="BE39" s="1">
        <f>$AV39*(VLOOKUP($AY39,'Pregnancy costs and utilities'!$A$23:$I$158,9))</f>
        <v>2.2404317459608206E-2</v>
      </c>
      <c r="BF39" s="1">
        <f>$AV39*(VLOOKUP($AY39,'Pregnancy costs and utilities'!$A$23:$H$158,7))</f>
        <v>2.2113061332633299E-2</v>
      </c>
      <c r="BH39" s="1">
        <f>$BA39</f>
        <v>0.10732346981863229</v>
      </c>
      <c r="BI39" s="1">
        <f>$AX39*(VLOOKUP($AY39,'Pregnancy costs and utilities'!$A$23:$H$158,5))</f>
        <v>562.54970580429847</v>
      </c>
      <c r="BJ39" s="3">
        <f>SUM(BH39:BI39)</f>
        <v>562.65702927411712</v>
      </c>
      <c r="BK39" s="3"/>
      <c r="BL39" s="3">
        <f>BC39+BI39</f>
        <v>857.96321060565469</v>
      </c>
      <c r="BN39" s="1" t="str">
        <f>IF(AV39=AX39,"Okay",IF(AV39&gt;AX39,"Lost infant","Gained infant"))</f>
        <v>Okay</v>
      </c>
    </row>
    <row r="40" spans="1:66" x14ac:dyDescent="0.25">
      <c r="A40" s="243" t="s">
        <v>833</v>
      </c>
      <c r="B40" s="260">
        <f>VLOOKUP(reference_age,$AQ$555:$AT$655,4)</f>
        <v>0.12950728133697634</v>
      </c>
      <c r="C40" s="261"/>
      <c r="O40" s="238"/>
      <c r="AA40" s="238"/>
      <c r="AG40" s="238" t="s">
        <v>344</v>
      </c>
      <c r="AH40" s="1">
        <f>1-AH26</f>
        <v>0.99972166088000003</v>
      </c>
      <c r="AI40" s="1" t="s">
        <v>345</v>
      </c>
      <c r="AJ40" s="1">
        <f>AH40*AD33</f>
        <v>6.5901486451840741E-2</v>
      </c>
      <c r="AK40" s="1" t="s">
        <v>346</v>
      </c>
      <c r="AL40" s="1">
        <f>AH40*AF33</f>
        <v>6.5901486451840741E-2</v>
      </c>
      <c r="AM40" s="238"/>
      <c r="AS40" s="240" t="s">
        <v>369</v>
      </c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</row>
    <row r="41" spans="1:66" x14ac:dyDescent="0.25">
      <c r="A41" s="243" t="s">
        <v>834</v>
      </c>
      <c r="B41" s="250">
        <f>VLOOKUP(reference_age,$AE$555:$AG$655,3)/Cohort</f>
        <v>25.182515002726063</v>
      </c>
      <c r="C41" s="251"/>
      <c r="O41" s="238"/>
      <c r="AA41" s="238"/>
      <c r="AB41" s="3"/>
      <c r="AC41" s="3"/>
      <c r="AD41" s="3"/>
      <c r="AE41" s="3"/>
      <c r="AF41" s="370"/>
      <c r="AG41" s="240" t="s">
        <v>373</v>
      </c>
      <c r="AH41" s="235"/>
      <c r="AI41" s="235"/>
      <c r="AJ41" s="235"/>
      <c r="AK41" s="235"/>
      <c r="AL41" s="239"/>
      <c r="AM41" s="238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</row>
    <row r="42" spans="1:66" x14ac:dyDescent="0.25">
      <c r="A42" s="243" t="s">
        <v>712</v>
      </c>
      <c r="B42" s="250">
        <f>VLOOKUP(reference_age,$AI$555:$AK$655,3)/Cohort</f>
        <v>23.124049905553523</v>
      </c>
      <c r="C42" s="251"/>
      <c r="O42" s="238"/>
      <c r="AA42" s="238"/>
      <c r="AG42" s="237"/>
      <c r="AM42" s="238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</row>
    <row r="43" spans="1:66" ht="15.75" thickBot="1" x14ac:dyDescent="0.3">
      <c r="A43" s="244"/>
      <c r="B43" s="254"/>
      <c r="C43" s="255"/>
      <c r="D43" s="342"/>
      <c r="O43" s="238"/>
      <c r="AA43" s="238"/>
      <c r="AG43" s="3"/>
      <c r="AM43" s="238"/>
      <c r="AS43" s="236" t="s">
        <v>370</v>
      </c>
      <c r="AT43" s="237"/>
      <c r="AU43" s="237"/>
      <c r="AV43" s="237"/>
      <c r="AW43" s="237"/>
      <c r="AX43" s="237"/>
      <c r="AY43" s="237"/>
      <c r="AZ43" s="237"/>
      <c r="BA43" s="237"/>
      <c r="BB43" s="237"/>
      <c r="BC43" s="237"/>
      <c r="BD43" s="237"/>
      <c r="BE43" s="237"/>
      <c r="BF43" s="237"/>
      <c r="BG43" s="237"/>
      <c r="BH43" s="237"/>
      <c r="BI43" s="237"/>
      <c r="BJ43" s="237"/>
      <c r="BK43" s="237"/>
      <c r="BL43" s="237"/>
      <c r="BM43" s="237"/>
      <c r="BN43" s="237"/>
    </row>
    <row r="44" spans="1:66" x14ac:dyDescent="0.25">
      <c r="A44" s="242"/>
      <c r="B44" s="399"/>
      <c r="C44" s="2"/>
      <c r="O44" s="238"/>
      <c r="AA44" s="238"/>
      <c r="AG44" s="3"/>
      <c r="AM44" s="238" t="s">
        <v>344</v>
      </c>
      <c r="AN44" s="1">
        <f>1-AN39</f>
        <v>0.42964395257145294</v>
      </c>
      <c r="AO44" s="1" t="s">
        <v>345</v>
      </c>
      <c r="AP44" s="1">
        <f>AN44*AJ40</f>
        <v>2.8314175119502911E-2</v>
      </c>
      <c r="AQ44" s="1" t="s">
        <v>346</v>
      </c>
      <c r="AR44" s="1">
        <f>AN44*AL40</f>
        <v>2.8314175119502911E-2</v>
      </c>
      <c r="AS44" s="238" t="s">
        <v>344</v>
      </c>
      <c r="AT44" s="1">
        <f>DET_NS_stillbirth_nbw_premature</f>
        <v>7.6129469648265786E-3</v>
      </c>
      <c r="AU44" s="1" t="s">
        <v>345</v>
      </c>
      <c r="AV44" s="1">
        <f>AT44*AP44</f>
        <v>2.1555431353758792E-4</v>
      </c>
      <c r="AW44" s="1" t="s">
        <v>346</v>
      </c>
      <c r="AX44" s="1">
        <f>AT44*AR44</f>
        <v>2.1555431353758792E-4</v>
      </c>
      <c r="AY44" s="1">
        <f>AY39+1</f>
        <v>11</v>
      </c>
      <c r="BA44" s="1">
        <f>det_cost_experimental*AV44</f>
        <v>6.5528511315426723E-4</v>
      </c>
      <c r="BB44" s="1">
        <f>$AV44*(VLOOKUP($AY44,'Pregnancy costs and utilities'!$A$23:$H$158,3))</f>
        <v>1.8030515112491841</v>
      </c>
      <c r="BC44" s="1">
        <f>SUM(BA44:BB44)</f>
        <v>1.8037067963623383</v>
      </c>
      <c r="BE44" s="1">
        <f>$AV44*(VLOOKUP($AY44,'Pregnancy costs and utilities'!$A$23:$I$158,9))</f>
        <v>1.3679408359116156E-4</v>
      </c>
      <c r="BF44" s="1">
        <f>$AV44*(VLOOKUP($AY44,'Pregnancy costs and utilities'!$A$23:$H$158,7))</f>
        <v>1.2133635214536034E-4</v>
      </c>
      <c r="BH44" s="1">
        <f>$BA44</f>
        <v>6.5528511315426723E-4</v>
      </c>
      <c r="BI44" s="1">
        <f>$AX44*(VLOOKUP($AY44,'Pregnancy costs and utilities'!$A$23:$H$158,5))</f>
        <v>0.22919387778900027</v>
      </c>
      <c r="BJ44" s="3">
        <f>SUM(BH44:BI44)</f>
        <v>0.22984916290215454</v>
      </c>
      <c r="BK44" s="3"/>
      <c r="BL44" s="3">
        <f>BC44+BI44</f>
        <v>2.0329006741513385</v>
      </c>
      <c r="BN44" s="1" t="str">
        <f>IF(AV44=AX44,"Okay",IF(AV44&gt;AX44,"Lost infant","Gained infant"))</f>
        <v>Okay</v>
      </c>
    </row>
    <row r="45" spans="1:66" x14ac:dyDescent="0.25">
      <c r="A45" s="246" t="s">
        <v>911</v>
      </c>
      <c r="B45" s="258" t="s">
        <v>1085</v>
      </c>
      <c r="C45" s="259"/>
      <c r="O45" s="238"/>
      <c r="AA45" s="238"/>
      <c r="AG45" s="3"/>
      <c r="AM45" s="240" t="s">
        <v>367</v>
      </c>
      <c r="AN45" s="235"/>
      <c r="AO45" s="235"/>
      <c r="AP45" s="235"/>
      <c r="AQ45" s="235"/>
      <c r="AR45" s="239"/>
      <c r="AS45" s="238"/>
      <c r="BJ45" s="3"/>
      <c r="BK45" s="3"/>
      <c r="BL45" s="3"/>
    </row>
    <row r="46" spans="1:66" x14ac:dyDescent="0.25">
      <c r="A46" s="243" t="s">
        <v>725</v>
      </c>
      <c r="B46" s="252">
        <f>GI676/Cohort</f>
        <v>5436.7819509560168</v>
      </c>
      <c r="C46" s="253"/>
      <c r="O46" s="238"/>
      <c r="AA46" s="238"/>
      <c r="AG46" s="3"/>
      <c r="AM46" s="3"/>
      <c r="AN46" s="3"/>
      <c r="AO46" s="3"/>
      <c r="AP46" s="3"/>
      <c r="AQ46" s="3"/>
      <c r="AR46" s="370"/>
      <c r="AS46" s="238"/>
      <c r="BJ46" s="3"/>
      <c r="BK46" s="3"/>
      <c r="BL46" s="3"/>
    </row>
    <row r="47" spans="1:66" x14ac:dyDescent="0.25">
      <c r="A47" s="243" t="s">
        <v>831</v>
      </c>
      <c r="B47" s="260">
        <f>GL676</f>
        <v>0.88998010629038504</v>
      </c>
      <c r="C47" s="261"/>
      <c r="O47" s="238"/>
      <c r="AA47" s="238"/>
      <c r="AG47" s="3"/>
      <c r="AS47" s="238" t="s">
        <v>344</v>
      </c>
      <c r="AT47" s="1">
        <f>1-AT44</f>
        <v>0.99238705303517338</v>
      </c>
      <c r="AU47" s="1" t="s">
        <v>345</v>
      </c>
      <c r="AV47" s="1">
        <f>AT47*AP44</f>
        <v>2.8098620805965323E-2</v>
      </c>
      <c r="AW47" s="1" t="s">
        <v>346</v>
      </c>
      <c r="AX47" s="1">
        <f>AT47*AR44</f>
        <v>2.8098620805965323E-2</v>
      </c>
      <c r="AY47" s="1">
        <f>AY44+1</f>
        <v>12</v>
      </c>
      <c r="BA47" s="1">
        <f>det_cost_experimental*AV47</f>
        <v>8.541980725013458E-2</v>
      </c>
      <c r="BB47" s="1">
        <f>$AV47*(VLOOKUP($AY47,'Pregnancy costs and utilities'!$A$23:$H$158,3))</f>
        <v>235.0370998230058</v>
      </c>
      <c r="BC47" s="1">
        <f>SUM(BA47:BB47)</f>
        <v>235.12251963025594</v>
      </c>
      <c r="BE47" s="1">
        <f>$AV47*(VLOOKUP($AY47,'Pregnancy costs and utilities'!$A$23:$I$158,9))</f>
        <v>1.7831817049939531E-2</v>
      </c>
      <c r="BF47" s="1">
        <f>$AV47*(VLOOKUP($AY47,'Pregnancy costs and utilities'!$A$23:$H$158,7))</f>
        <v>1.7600003428290319E-2</v>
      </c>
      <c r="BH47" s="1">
        <f>$BA47</f>
        <v>8.541980725013458E-2</v>
      </c>
      <c r="BI47" s="1">
        <f>$AX47*(VLOOKUP($AY47,'Pregnancy costs and utilities'!$A$23:$H$158,5))</f>
        <v>447.73885450804437</v>
      </c>
      <c r="BJ47" s="3">
        <f>SUM(BH47:BI47)</f>
        <v>447.82427431529453</v>
      </c>
      <c r="BK47" s="3"/>
      <c r="BL47" s="3">
        <f>BC47+BI47</f>
        <v>682.86137413830033</v>
      </c>
      <c r="BN47" s="1" t="str">
        <f>IF(AV47=AX47,"Okay",IF(AV47&gt;AX47,"Lost infant","Gained infant"))</f>
        <v>Okay</v>
      </c>
    </row>
    <row r="48" spans="1:66" x14ac:dyDescent="0.25">
      <c r="A48" s="243" t="s">
        <v>832</v>
      </c>
      <c r="B48" s="260">
        <f>GM676</f>
        <v>0.11001989370961482</v>
      </c>
      <c r="C48" s="261"/>
      <c r="O48" s="238"/>
      <c r="AA48" s="238"/>
      <c r="AG48" s="3"/>
      <c r="AS48" s="240" t="s">
        <v>371</v>
      </c>
      <c r="AT48" s="235"/>
      <c r="AU48" s="235"/>
      <c r="AV48" s="235"/>
      <c r="AW48" s="235"/>
      <c r="AX48" s="235"/>
      <c r="AY48" s="235"/>
      <c r="AZ48" s="235"/>
      <c r="BA48" s="235"/>
      <c r="BB48" s="235"/>
      <c r="BC48" s="235"/>
      <c r="BD48" s="235"/>
      <c r="BE48" s="235"/>
      <c r="BF48" s="235"/>
      <c r="BG48" s="235"/>
      <c r="BH48" s="235"/>
      <c r="BI48" s="235"/>
      <c r="BJ48" s="235"/>
      <c r="BK48" s="235"/>
      <c r="BL48" s="235"/>
      <c r="BM48" s="235"/>
      <c r="BN48" s="235"/>
    </row>
    <row r="49" spans="1:66" x14ac:dyDescent="0.25">
      <c r="A49" s="243" t="s">
        <v>833</v>
      </c>
      <c r="B49" s="260">
        <f>GN676</f>
        <v>0.24514353741746975</v>
      </c>
      <c r="C49" s="261"/>
      <c r="O49" s="238"/>
      <c r="U49" s="236" t="s">
        <v>384</v>
      </c>
      <c r="V49" s="237"/>
      <c r="W49" s="237"/>
      <c r="X49" s="237"/>
      <c r="Y49" s="237"/>
      <c r="Z49" s="371"/>
      <c r="AA49" s="238"/>
      <c r="AM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</row>
    <row r="50" spans="1:66" x14ac:dyDescent="0.25">
      <c r="A50" s="243" t="s">
        <v>912</v>
      </c>
      <c r="B50" s="250">
        <f>GA676/Cohort</f>
        <v>10.256119197751346</v>
      </c>
      <c r="C50" s="251"/>
      <c r="O50" s="238"/>
      <c r="U50" s="238" t="s">
        <v>344</v>
      </c>
      <c r="V50" s="3">
        <f>DET_NS_abruption</f>
        <v>3.6151153498095757E-3</v>
      </c>
      <c r="W50" s="3" t="s">
        <v>345</v>
      </c>
      <c r="X50" s="3">
        <f>V50*R144</f>
        <v>0.17463487471889133</v>
      </c>
      <c r="Y50" s="3" t="s">
        <v>346</v>
      </c>
      <c r="Z50" s="370">
        <f>V50*T144</f>
        <v>0.17463487471889133</v>
      </c>
      <c r="AA50" s="238"/>
      <c r="AM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</row>
    <row r="51" spans="1:66" x14ac:dyDescent="0.25">
      <c r="A51" s="243" t="s">
        <v>913</v>
      </c>
      <c r="B51" s="250">
        <f>GE676/Cohort</f>
        <v>10.123281838388776</v>
      </c>
      <c r="C51" s="251"/>
      <c r="O51" s="238"/>
      <c r="U51" s="238"/>
      <c r="AA51" s="238"/>
      <c r="AM51" s="3"/>
      <c r="AS51" s="236" t="s">
        <v>362</v>
      </c>
      <c r="AT51" s="237"/>
      <c r="AU51" s="237"/>
      <c r="AV51" s="237"/>
      <c r="AW51" s="237"/>
      <c r="AX51" s="237"/>
      <c r="AY51" s="237"/>
      <c r="AZ51" s="237"/>
      <c r="BA51" s="237"/>
      <c r="BB51" s="237"/>
      <c r="BC51" s="237"/>
      <c r="BD51" s="237"/>
      <c r="BE51" s="237"/>
      <c r="BF51" s="237"/>
      <c r="BG51" s="237"/>
      <c r="BH51" s="237"/>
      <c r="BI51" s="237"/>
      <c r="BJ51" s="237"/>
      <c r="BK51" s="237"/>
      <c r="BL51" s="237"/>
      <c r="BM51" s="237"/>
      <c r="BN51" s="237"/>
    </row>
    <row r="52" spans="1:66" ht="15.75" thickBot="1" x14ac:dyDescent="0.3">
      <c r="A52" s="244"/>
      <c r="B52" s="254"/>
      <c r="C52" s="255"/>
      <c r="O52" s="238"/>
      <c r="U52" s="238"/>
      <c r="AA52" s="238"/>
      <c r="AM52" s="3"/>
      <c r="AS52" s="238" t="s">
        <v>344</v>
      </c>
      <c r="AT52" s="3">
        <f>DET_NS_stillbirth_lbw_fullgest</f>
        <v>1.5360924440585004E-2</v>
      </c>
      <c r="AU52" s="3" t="s">
        <v>345</v>
      </c>
      <c r="AV52" s="3">
        <f>AT52*AP55</f>
        <v>1.2523056303655968E-8</v>
      </c>
      <c r="AW52" s="3" t="s">
        <v>346</v>
      </c>
      <c r="AX52" s="3">
        <f>AT52*AR55</f>
        <v>1.2523056303655968E-8</v>
      </c>
      <c r="AY52" s="3">
        <f>AY47+1</f>
        <v>13</v>
      </c>
      <c r="AZ52" s="3"/>
      <c r="BA52" s="1">
        <f>det_cost_experimental*AV52</f>
        <v>3.8070091163114142E-8</v>
      </c>
      <c r="BB52" s="3">
        <f>$AV52*(VLOOKUP($AY52,'Pregnancy costs and utilities'!$A$23:$H$158,3))</f>
        <v>1.1123839737337225E-4</v>
      </c>
      <c r="BC52" s="3">
        <f>SUM(BA52:BB52)</f>
        <v>1.1127646746453537E-4</v>
      </c>
      <c r="BD52" s="3"/>
      <c r="BE52" s="3">
        <f>$AV52*(VLOOKUP($AY52,'Pregnancy costs and utilities'!$A$23:$I$158,9))</f>
        <v>0</v>
      </c>
      <c r="BF52" s="3">
        <f>$AV52*(VLOOKUP($AY52,'Pregnancy costs and utilities'!$A$23:$H$158,7))</f>
        <v>0</v>
      </c>
      <c r="BG52" s="3"/>
      <c r="BH52" s="3">
        <f>$BA52</f>
        <v>3.8070091163114142E-8</v>
      </c>
      <c r="BI52" s="3">
        <f>$AX52*(VLOOKUP($AY52,'Pregnancy costs and utilities'!$A$23:$H$158,5))</f>
        <v>1.3315473900291002E-5</v>
      </c>
      <c r="BJ52" s="3">
        <f>SUM(BH52:BI52)</f>
        <v>1.3353543991454116E-5</v>
      </c>
      <c r="BK52" s="3"/>
      <c r="BL52" s="3">
        <f>BC52+BI52</f>
        <v>1.2459194136482638E-4</v>
      </c>
      <c r="BN52" s="1" t="str">
        <f>IF(AV52=AX52,"Okay",IF(AV52&gt;AX52,"Lost infant","Gained infant"))</f>
        <v>Okay</v>
      </c>
    </row>
    <row r="53" spans="1:66" x14ac:dyDescent="0.25">
      <c r="A53" s="242"/>
      <c r="B53" s="399"/>
      <c r="C53" s="2"/>
      <c r="O53" s="238"/>
      <c r="U53" s="238"/>
      <c r="AA53" s="238"/>
      <c r="AM53" s="3"/>
      <c r="AS53" s="238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</row>
    <row r="54" spans="1:66" x14ac:dyDescent="0.25">
      <c r="A54" s="246" t="s">
        <v>914</v>
      </c>
      <c r="B54" s="258" t="s">
        <v>1085</v>
      </c>
      <c r="C54" s="259"/>
      <c r="O54" s="238"/>
      <c r="U54" s="238"/>
      <c r="AA54" s="238"/>
      <c r="AM54" s="236" t="s">
        <v>360</v>
      </c>
      <c r="AN54" s="237"/>
      <c r="AO54" s="237"/>
      <c r="AP54" s="237"/>
      <c r="AQ54" s="237"/>
      <c r="AR54" s="371"/>
      <c r="AS54" s="238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</row>
    <row r="55" spans="1:66" x14ac:dyDescent="0.25">
      <c r="A55" s="243" t="s">
        <v>726</v>
      </c>
      <c r="B55" s="252">
        <f>(VLOOKUP(reference_age,$AM$555:$AO$655,3)+GR676)/Cohort</f>
        <v>29805.02841421113</v>
      </c>
      <c r="C55" s="251"/>
      <c r="O55" s="238"/>
      <c r="U55" s="238"/>
      <c r="AA55" s="238"/>
      <c r="AM55" s="238" t="s">
        <v>344</v>
      </c>
      <c r="AN55" s="3">
        <f>DET_NS_lbw_fullgest</f>
        <v>2.6941954581366025E-2</v>
      </c>
      <c r="AO55" s="3" t="s">
        <v>345</v>
      </c>
      <c r="AP55" s="3">
        <f>AN55*AJ59</f>
        <v>8.1525407875641124E-7</v>
      </c>
      <c r="AQ55" s="3" t="s">
        <v>346</v>
      </c>
      <c r="AR55" s="370">
        <f>AN55*AL59</f>
        <v>8.1525407875641124E-7</v>
      </c>
      <c r="AS55" s="238" t="s">
        <v>344</v>
      </c>
      <c r="AT55" s="3">
        <f>1-AT52</f>
        <v>0.98463907555941499</v>
      </c>
      <c r="AU55" s="3" t="s">
        <v>345</v>
      </c>
      <c r="AV55" s="3">
        <f>AT55*AP55</f>
        <v>8.0273102245275525E-7</v>
      </c>
      <c r="AW55" s="3" t="s">
        <v>346</v>
      </c>
      <c r="AX55" s="3">
        <f>AT55*AR55</f>
        <v>8.0273102245275525E-7</v>
      </c>
      <c r="AY55" s="3">
        <f>AY52+1</f>
        <v>14</v>
      </c>
      <c r="AZ55" s="3"/>
      <c r="BA55" s="1">
        <f>det_cost_experimental*AV55</f>
        <v>2.4403023082563762E-6</v>
      </c>
      <c r="BB55" s="3">
        <f>$AV55*(VLOOKUP($AY55,'Pregnancy costs and utilities'!$A$23:$H$158,3))</f>
        <v>7.1304089268898708E-3</v>
      </c>
      <c r="BC55" s="3">
        <f>SUM(BA55:BB55)</f>
        <v>7.1328492291981276E-3</v>
      </c>
      <c r="BD55" s="3"/>
      <c r="BE55" s="3">
        <f>$AV55*(VLOOKUP($AY55,'Pregnancy costs and utilities'!$A$23:$I$158,9))</f>
        <v>0</v>
      </c>
      <c r="BF55" s="3">
        <f>$AV55*(VLOOKUP($AY55,'Pregnancy costs and utilities'!$A$23:$H$158,7))</f>
        <v>0</v>
      </c>
      <c r="BG55" s="3"/>
      <c r="BH55" s="3">
        <f>$BA55</f>
        <v>2.4403023082563762E-6</v>
      </c>
      <c r="BI55" s="3">
        <f>$AX55*(VLOOKUP($AY55,'Pregnancy costs and utilities'!$A$23:$H$158,5))</f>
        <v>2.1239201038396032E-3</v>
      </c>
      <c r="BJ55" s="3">
        <f>SUM(BH55:BI55)</f>
        <v>2.1263604061478596E-3</v>
      </c>
      <c r="BK55" s="3"/>
      <c r="BL55" s="3">
        <f>BC55+BI55</f>
        <v>9.2567693330377308E-3</v>
      </c>
      <c r="BN55" s="1" t="str">
        <f>IF(AV55=AX55,"Okay",IF(AV55&gt;AX55,"Lost infant","Gained infant"))</f>
        <v>Okay</v>
      </c>
    </row>
    <row r="56" spans="1:66" x14ac:dyDescent="0.25">
      <c r="A56" s="243" t="s">
        <v>915</v>
      </c>
      <c r="B56" s="397">
        <f>B41+B50</f>
        <v>35.438634200477409</v>
      </c>
      <c r="C56" s="251"/>
      <c r="D56" s="342"/>
      <c r="E56" s="342"/>
      <c r="O56" s="238"/>
      <c r="U56" s="238"/>
      <c r="AA56" s="238"/>
      <c r="AM56" s="238"/>
      <c r="AS56" s="240" t="s">
        <v>363</v>
      </c>
      <c r="AT56" s="235"/>
      <c r="AU56" s="235"/>
      <c r="AV56" s="235"/>
      <c r="AW56" s="235"/>
      <c r="AX56" s="235"/>
      <c r="AY56" s="235"/>
      <c r="AZ56" s="235"/>
      <c r="BA56" s="235"/>
      <c r="BB56" s="235"/>
      <c r="BC56" s="235"/>
      <c r="BD56" s="235"/>
      <c r="BE56" s="235"/>
      <c r="BF56" s="235"/>
      <c r="BG56" s="235"/>
      <c r="BH56" s="235"/>
      <c r="BI56" s="235"/>
      <c r="BJ56" s="235"/>
      <c r="BK56" s="235"/>
      <c r="BL56" s="235"/>
      <c r="BM56" s="235"/>
      <c r="BN56" s="235"/>
    </row>
    <row r="57" spans="1:66" x14ac:dyDescent="0.25">
      <c r="A57" s="243" t="s">
        <v>916</v>
      </c>
      <c r="B57" s="397">
        <f>B42+B51</f>
        <v>33.247331743942297</v>
      </c>
      <c r="C57" s="251"/>
      <c r="O57" s="238"/>
      <c r="U57" s="238"/>
      <c r="AA57" s="238"/>
      <c r="AM57" s="238"/>
    </row>
    <row r="58" spans="1:66" ht="15.75" thickBot="1" x14ac:dyDescent="0.3">
      <c r="A58" s="244"/>
      <c r="B58" s="254"/>
      <c r="C58" s="255"/>
      <c r="O58" s="238"/>
      <c r="U58" s="238"/>
      <c r="AA58" s="238"/>
      <c r="AG58" s="236" t="s">
        <v>376</v>
      </c>
      <c r="AH58" s="237"/>
      <c r="AI58" s="237"/>
      <c r="AJ58" s="237"/>
      <c r="AK58" s="237"/>
      <c r="AL58" s="371"/>
      <c r="AM58" s="238"/>
    </row>
    <row r="59" spans="1:66" x14ac:dyDescent="0.25">
      <c r="A59" s="242"/>
      <c r="B59" s="399"/>
      <c r="C59" s="2"/>
      <c r="O59" s="238"/>
      <c r="U59" s="238"/>
      <c r="AA59" s="238"/>
      <c r="AG59" s="238" t="s">
        <v>344</v>
      </c>
      <c r="AH59" s="3">
        <f>DET_MORT_abruption</f>
        <v>2.7833911999999947E-4</v>
      </c>
      <c r="AI59" s="3" t="s">
        <v>345</v>
      </c>
      <c r="AJ59" s="3">
        <f>AH59*AD64</f>
        <v>3.0259648619564847E-5</v>
      </c>
      <c r="AK59" s="3" t="s">
        <v>346</v>
      </c>
      <c r="AL59" s="370">
        <f>AH59*AF64</f>
        <v>3.0259648619564847E-5</v>
      </c>
      <c r="AM59" s="238"/>
      <c r="AS59" s="236" t="s">
        <v>364</v>
      </c>
      <c r="AT59" s="237"/>
      <c r="AU59" s="237"/>
      <c r="AV59" s="237"/>
      <c r="AW59" s="237"/>
      <c r="AX59" s="237"/>
      <c r="AY59" s="237"/>
      <c r="AZ59" s="237"/>
      <c r="BA59" s="237"/>
      <c r="BB59" s="237"/>
      <c r="BC59" s="237"/>
      <c r="BD59" s="237"/>
      <c r="BE59" s="237"/>
      <c r="BF59" s="237"/>
      <c r="BG59" s="237"/>
      <c r="BH59" s="237"/>
      <c r="BI59" s="237"/>
      <c r="BJ59" s="237"/>
      <c r="BK59" s="237"/>
      <c r="BL59" s="237"/>
      <c r="BM59" s="237"/>
      <c r="BN59" s="237"/>
    </row>
    <row r="60" spans="1:66" x14ac:dyDescent="0.25">
      <c r="A60" s="246" t="s">
        <v>949</v>
      </c>
      <c r="B60" s="258" t="s">
        <v>1085</v>
      </c>
      <c r="C60" s="259"/>
      <c r="O60" s="238"/>
      <c r="U60" s="238"/>
      <c r="AA60" s="238"/>
      <c r="AG60" s="238"/>
      <c r="AM60" s="238" t="s">
        <v>344</v>
      </c>
      <c r="AN60" s="1">
        <f>1-AN55</f>
        <v>0.97305804541863394</v>
      </c>
      <c r="AO60" s="1" t="s">
        <v>345</v>
      </c>
      <c r="AP60" s="1">
        <f>AN60*AJ59</f>
        <v>2.9444394540808435E-5</v>
      </c>
      <c r="AQ60" s="1" t="s">
        <v>346</v>
      </c>
      <c r="AR60" s="1">
        <f>AN60*AL59</f>
        <v>2.9444394540808435E-5</v>
      </c>
      <c r="AS60" s="238" t="s">
        <v>344</v>
      </c>
      <c r="AT60" s="3">
        <f>DET_NS_stillbirth_nbw_fullgest</f>
        <v>1.6109941848144384E-3</v>
      </c>
      <c r="AU60" s="3" t="s">
        <v>345</v>
      </c>
      <c r="AV60" s="3">
        <f>AT60*AP60</f>
        <v>4.7434748380624386E-8</v>
      </c>
      <c r="AW60" s="3" t="s">
        <v>346</v>
      </c>
      <c r="AX60" s="3">
        <f>AT60*AR60</f>
        <v>4.7434748380624386E-8</v>
      </c>
      <c r="AY60" s="3">
        <f>AY55+1</f>
        <v>15</v>
      </c>
      <c r="AZ60" s="3"/>
      <c r="BA60" s="1">
        <f>det_cost_experimental*AV60</f>
        <v>1.4420163507709814E-7</v>
      </c>
      <c r="BB60" s="3">
        <f>$AV60*(VLOOKUP($AY60,'Pregnancy costs and utilities'!$A$23:$H$158,3))</f>
        <v>4.2134805288141891E-4</v>
      </c>
      <c r="BC60" s="3">
        <f>SUM(BA60:BB60)</f>
        <v>4.2149225451649602E-4</v>
      </c>
      <c r="BD60" s="3"/>
      <c r="BE60" s="3">
        <f>$AV60*(VLOOKUP($AY60,'Pregnancy costs and utilities'!$A$23:$I$158,9))</f>
        <v>0</v>
      </c>
      <c r="BF60" s="3">
        <f>$AV60*(VLOOKUP($AY60,'Pregnancy costs and utilities'!$A$23:$H$158,7))</f>
        <v>0</v>
      </c>
      <c r="BG60" s="3"/>
      <c r="BH60" s="3">
        <f>$BA60</f>
        <v>1.4420163507709814E-7</v>
      </c>
      <c r="BI60" s="3">
        <f>$AX60*(VLOOKUP($AY60,'Pregnancy costs and utilities'!$A$23:$H$158,5))</f>
        <v>5.0436262419796162E-5</v>
      </c>
      <c r="BJ60" s="3">
        <f>SUM(BH60:BI60)</f>
        <v>5.0580464054873257E-5</v>
      </c>
      <c r="BK60" s="3"/>
      <c r="BL60" s="3">
        <f>BC60+BI60</f>
        <v>4.7192851693629221E-4</v>
      </c>
      <c r="BN60" s="1" t="str">
        <f>IF(AV60=AX60,"Okay",IF(AV60&gt;AX60,"Lost infant","Gained infant"))</f>
        <v>Okay</v>
      </c>
    </row>
    <row r="61" spans="1:66" ht="18.75" x14ac:dyDescent="0.25">
      <c r="A61" s="243" t="s">
        <v>725</v>
      </c>
      <c r="B61" s="252">
        <f ca="1">VLOOKUP(reference_age,$DV$681:$DX$766,3)/Cohort</f>
        <v>11750.843142610667</v>
      </c>
      <c r="C61" s="253"/>
      <c r="D61" s="375"/>
      <c r="E61" s="375"/>
      <c r="F61" s="375"/>
      <c r="H61" s="375"/>
      <c r="O61" s="238"/>
      <c r="U61" s="238"/>
      <c r="V61" s="3"/>
      <c r="W61" s="3"/>
      <c r="X61" s="3"/>
      <c r="Y61" s="3"/>
      <c r="Z61" s="370"/>
      <c r="AA61" s="238"/>
      <c r="AG61" s="238"/>
      <c r="AM61" s="240" t="s">
        <v>361</v>
      </c>
      <c r="AN61" s="235"/>
      <c r="AO61" s="235"/>
      <c r="AP61" s="235"/>
      <c r="AQ61" s="235"/>
      <c r="AR61" s="239"/>
      <c r="AS61" s="238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</row>
    <row r="62" spans="1:66" ht="18.75" x14ac:dyDescent="0.25">
      <c r="A62" s="243" t="s">
        <v>950</v>
      </c>
      <c r="B62" s="260">
        <f ca="1">VLOOKUP(reference_age,$DZ$681:$ED$766,2)</f>
        <v>0.29787697369677835</v>
      </c>
      <c r="C62" s="261"/>
      <c r="D62" s="375"/>
      <c r="E62" s="375"/>
      <c r="F62" s="375"/>
      <c r="H62" s="375"/>
      <c r="O62" s="238"/>
      <c r="U62" s="238"/>
      <c r="AA62" s="238"/>
      <c r="AG62" s="238"/>
      <c r="AS62" s="238"/>
    </row>
    <row r="63" spans="1:66" x14ac:dyDescent="0.25">
      <c r="A63" s="243" t="s">
        <v>951</v>
      </c>
      <c r="B63" s="260">
        <f ca="1">VLOOKUP(reference_age,$DZ$681:$ED$766,3)</f>
        <v>0.70212302630322154</v>
      </c>
      <c r="C63" s="261"/>
      <c r="O63" s="238"/>
      <c r="U63" s="238"/>
      <c r="AA63" s="238"/>
      <c r="AG63" s="238"/>
      <c r="AS63" s="238" t="s">
        <v>344</v>
      </c>
      <c r="AT63" s="3">
        <f>1-AT60</f>
        <v>0.99838900581518553</v>
      </c>
      <c r="AU63" s="3" t="s">
        <v>345</v>
      </c>
      <c r="AV63" s="3">
        <f>AT63*AP60</f>
        <v>2.9396959792427811E-5</v>
      </c>
      <c r="AW63" s="3" t="s">
        <v>346</v>
      </c>
      <c r="AX63" s="3">
        <f>AT63*AR60</f>
        <v>2.9396959792427811E-5</v>
      </c>
      <c r="AY63" s="3">
        <f>AY60+1</f>
        <v>16</v>
      </c>
      <c r="AZ63" s="3"/>
      <c r="BA63" s="1">
        <f>det_cost_experimental*AV63</f>
        <v>8.936675776898055E-5</v>
      </c>
      <c r="BB63" s="3">
        <f>$AV63*(VLOOKUP($AY63,'Pregnancy costs and utilities'!$A$23:$H$158,3))</f>
        <v>0.26112401123713469</v>
      </c>
      <c r="BC63" s="3">
        <f>SUM(BA63:BB63)</f>
        <v>0.26121337799490368</v>
      </c>
      <c r="BD63" s="3"/>
      <c r="BE63" s="3">
        <f>$AV63*(VLOOKUP($AY63,'Pregnancy costs and utilities'!$A$23:$I$158,9))</f>
        <v>0</v>
      </c>
      <c r="BF63" s="3">
        <f>$AV63*(VLOOKUP($AY63,'Pregnancy costs and utilities'!$A$23:$H$158,7))</f>
        <v>0</v>
      </c>
      <c r="BG63" s="3"/>
      <c r="BH63" s="3">
        <f>$BA63</f>
        <v>8.936675776898055E-5</v>
      </c>
      <c r="BI63" s="3">
        <f>$AX63*(VLOOKUP($AY63,'Pregnancy costs and utilities'!$A$23:$H$158,5))</f>
        <v>7.7780467116027818E-2</v>
      </c>
      <c r="BJ63" s="3">
        <f>SUM(BH63:BI63)</f>
        <v>7.7869833873796798E-2</v>
      </c>
      <c r="BK63" s="3"/>
      <c r="BL63" s="3">
        <f>BC63+BI63</f>
        <v>0.3389938451109315</v>
      </c>
      <c r="BN63" s="1" t="str">
        <f>IF(AV63=AX63,"Okay",IF(AV63&gt;AX63,"Lost infant","Gained infant"))</f>
        <v>Okay</v>
      </c>
    </row>
    <row r="64" spans="1:66" x14ac:dyDescent="0.25">
      <c r="A64" s="243" t="s">
        <v>833</v>
      </c>
      <c r="B64" s="260">
        <f ca="1">VLOOKUP(reference_age,$DZ$681:$ED$766,4)</f>
        <v>0.14193589021283964</v>
      </c>
      <c r="C64" s="261"/>
      <c r="O64" s="238"/>
      <c r="U64" s="238"/>
      <c r="AA64" s="238" t="s">
        <v>344</v>
      </c>
      <c r="AB64" s="1">
        <f>1-AB33</f>
        <v>0.62252766163297868</v>
      </c>
      <c r="AC64" s="1" t="s">
        <v>345</v>
      </c>
      <c r="AD64" s="1">
        <f>AB64*X50</f>
        <v>0.10871504019831961</v>
      </c>
      <c r="AE64" s="1" t="s">
        <v>346</v>
      </c>
      <c r="AF64" s="1">
        <f>AB64*Z50</f>
        <v>0.10871504019831961</v>
      </c>
      <c r="AG64" s="238"/>
      <c r="AS64" s="240" t="s">
        <v>365</v>
      </c>
      <c r="AT64" s="235"/>
      <c r="AU64" s="235"/>
      <c r="AV64" s="235"/>
      <c r="AW64" s="235"/>
      <c r="AX64" s="235"/>
      <c r="AY64" s="235"/>
      <c r="AZ64" s="235"/>
      <c r="BA64" s="235"/>
      <c r="BB64" s="235"/>
      <c r="BC64" s="235"/>
      <c r="BD64" s="235"/>
      <c r="BE64" s="235"/>
      <c r="BF64" s="235"/>
      <c r="BG64" s="235"/>
      <c r="BH64" s="235"/>
      <c r="BI64" s="235"/>
      <c r="BJ64" s="235"/>
      <c r="BK64" s="235"/>
      <c r="BL64" s="235"/>
      <c r="BM64" s="235"/>
      <c r="BN64" s="235"/>
    </row>
    <row r="65" spans="1:66" x14ac:dyDescent="0.25">
      <c r="A65" s="243" t="s">
        <v>952</v>
      </c>
      <c r="B65" s="260">
        <f ca="1">VLOOKUP(reference_age,$DZ$681:$ED$766,5)</f>
        <v>0.14967108494871628</v>
      </c>
      <c r="C65" s="261"/>
      <c r="O65" s="238"/>
      <c r="U65" s="238"/>
      <c r="AA65" s="240" t="s">
        <v>375</v>
      </c>
      <c r="AB65" s="235"/>
      <c r="AC65" s="235"/>
      <c r="AD65" s="235"/>
      <c r="AE65" s="235"/>
      <c r="AF65" s="235"/>
      <c r="AG65" s="238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</row>
    <row r="66" spans="1:66" x14ac:dyDescent="0.25">
      <c r="A66" s="243" t="s">
        <v>912</v>
      </c>
      <c r="B66" s="250">
        <f ca="1">VLOOKUP(reference_age,$DN$681:$DP$766,3)/Cohort</f>
        <v>24.100143822757875</v>
      </c>
      <c r="C66" s="262"/>
      <c r="O66" s="238"/>
      <c r="U66" s="238"/>
      <c r="AA66" s="237"/>
      <c r="AG66" s="238"/>
      <c r="AM66" s="3"/>
      <c r="AN66" s="3"/>
      <c r="AO66" s="3"/>
      <c r="AP66" s="3"/>
      <c r="AQ66" s="3"/>
      <c r="AR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</row>
    <row r="67" spans="1:66" x14ac:dyDescent="0.25">
      <c r="A67" s="243" t="s">
        <v>913</v>
      </c>
      <c r="B67" s="250">
        <f ca="1">VLOOKUP(reference_age,$DR$681:$DT$766,3)/Cohort</f>
        <v>23.575042570171995</v>
      </c>
      <c r="C67" s="251"/>
      <c r="O67" s="238"/>
      <c r="U67" s="238"/>
      <c r="AA67" s="3"/>
      <c r="AG67" s="238"/>
      <c r="AS67" s="236" t="s">
        <v>380</v>
      </c>
      <c r="AT67" s="237"/>
      <c r="AU67" s="237"/>
      <c r="AV67" s="237"/>
      <c r="AW67" s="237"/>
      <c r="AX67" s="237"/>
      <c r="AY67" s="237"/>
      <c r="AZ67" s="237"/>
      <c r="BA67" s="237"/>
      <c r="BB67" s="237"/>
      <c r="BC67" s="237"/>
      <c r="BD67" s="237"/>
      <c r="BE67" s="237"/>
      <c r="BF67" s="237"/>
      <c r="BG67" s="237"/>
      <c r="BH67" s="237"/>
      <c r="BI67" s="237"/>
      <c r="BJ67" s="237"/>
      <c r="BK67" s="237"/>
      <c r="BL67" s="237"/>
      <c r="BM67" s="237"/>
      <c r="BN67" s="237"/>
    </row>
    <row r="68" spans="1:66" ht="15.75" thickBot="1" x14ac:dyDescent="0.3">
      <c r="A68" s="244"/>
      <c r="B68" s="254"/>
      <c r="C68" s="255"/>
      <c r="O68" s="238"/>
      <c r="U68" s="238"/>
      <c r="AA68" s="3"/>
      <c r="AG68" s="238"/>
      <c r="AS68" s="238" t="s">
        <v>344</v>
      </c>
      <c r="AT68" s="3">
        <f>DET_NS_stillbirth_lbw_fullgest</f>
        <v>1.5360924440585004E-2</v>
      </c>
      <c r="AU68" s="3" t="s">
        <v>345</v>
      </c>
      <c r="AV68" s="3">
        <f>AT68*AP71</f>
        <v>4.497955819930998E-5</v>
      </c>
      <c r="AW68" s="3" t="s">
        <v>346</v>
      </c>
      <c r="AX68" s="3">
        <f>AT68*AR71</f>
        <v>4.497955819930998E-5</v>
      </c>
      <c r="AY68" s="3">
        <f>AY63+1</f>
        <v>17</v>
      </c>
      <c r="AZ68" s="3"/>
      <c r="BA68" s="1">
        <f>det_cost_experimental*AV68</f>
        <v>1.3673785692590234E-4</v>
      </c>
      <c r="BB68" s="3">
        <f>$AV68*(VLOOKUP($AY68,'Pregnancy costs and utilities'!$A$23:$H$158,3))</f>
        <v>0.32617861103209084</v>
      </c>
      <c r="BC68" s="3">
        <f>SUM(BA68:BB68)</f>
        <v>0.32631534888901675</v>
      </c>
      <c r="BD68" s="3"/>
      <c r="BE68" s="3">
        <f>$AV68*(VLOOKUP($AY68,'Pregnancy costs and utilities'!$A$23:$I$158,9))</f>
        <v>3.3734668649482489E-5</v>
      </c>
      <c r="BF68" s="3">
        <f>$AV68*(VLOOKUP($AY68,'Pregnancy costs and utilities'!$A$23:$H$158,7))</f>
        <v>2.992265109209097E-5</v>
      </c>
      <c r="BG68" s="3"/>
      <c r="BH68" s="3">
        <f>$BA68</f>
        <v>1.3673785692590234E-4</v>
      </c>
      <c r="BI68" s="3">
        <f>$AX68*(VLOOKUP($AY68,'Pregnancy costs and utilities'!$A$23:$H$158,5))</f>
        <v>4.7825715921654278E-2</v>
      </c>
      <c r="BJ68" s="3">
        <f>SUM(BH68:BI68)</f>
        <v>4.7962453778580182E-2</v>
      </c>
      <c r="BK68" s="3"/>
      <c r="BL68" s="3">
        <f>BC68+BI68</f>
        <v>0.37414106481067105</v>
      </c>
      <c r="BN68" s="1" t="str">
        <f>IF(AV68=AX68,"Okay",IF(AV68&gt;AX68,"Lost infant","Gained infant"))</f>
        <v>Okay</v>
      </c>
    </row>
    <row r="69" spans="1:66" x14ac:dyDescent="0.25">
      <c r="A69" s="242"/>
      <c r="B69" s="399"/>
      <c r="C69" s="2"/>
      <c r="O69" s="238"/>
      <c r="U69" s="238"/>
      <c r="AA69" s="3"/>
      <c r="AF69" s="3"/>
      <c r="AG69" s="238"/>
      <c r="AH69" s="3"/>
      <c r="AI69" s="3"/>
      <c r="AJ69" s="3"/>
      <c r="AK69" s="3"/>
      <c r="AL69" s="3"/>
      <c r="AM69" s="3"/>
      <c r="AS69" s="238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</row>
    <row r="70" spans="1:66" x14ac:dyDescent="0.25">
      <c r="A70" s="246" t="s">
        <v>914</v>
      </c>
      <c r="B70" s="258" t="s">
        <v>1085</v>
      </c>
      <c r="C70" s="259"/>
      <c r="O70" s="238"/>
      <c r="U70" s="238"/>
      <c r="AA70" s="3"/>
      <c r="AF70" s="3"/>
      <c r="AG70" s="238"/>
      <c r="AH70" s="3"/>
      <c r="AI70" s="3"/>
      <c r="AJ70" s="3"/>
      <c r="AK70" s="3"/>
      <c r="AL70" s="3"/>
      <c r="AM70" s="236" t="s">
        <v>378</v>
      </c>
      <c r="AN70" s="237"/>
      <c r="AO70" s="237"/>
      <c r="AP70" s="237"/>
      <c r="AQ70" s="237"/>
      <c r="AR70" s="371"/>
      <c r="AS70" s="238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</row>
    <row r="71" spans="1:66" x14ac:dyDescent="0.25">
      <c r="A71" s="243" t="s">
        <v>726</v>
      </c>
      <c r="B71" s="252">
        <f ca="1">(VLOOKUP(reference_age,$AM$555:$AO$655,3)+VLOOKUP(reference_age,$EF$681:$EH$766,3))/Cohort</f>
        <v>36119.089605865789</v>
      </c>
      <c r="C71" s="253"/>
      <c r="O71" s="238"/>
      <c r="U71" s="238"/>
      <c r="AA71" s="3"/>
      <c r="AF71" s="3"/>
      <c r="AG71" s="238"/>
      <c r="AH71" s="3"/>
      <c r="AI71" s="3"/>
      <c r="AJ71" s="3"/>
      <c r="AK71" s="3"/>
      <c r="AL71" s="3"/>
      <c r="AM71" s="238" t="s">
        <v>344</v>
      </c>
      <c r="AN71" s="3">
        <f>DET_NS_lbw_fullgest</f>
        <v>2.6941954581366025E-2</v>
      </c>
      <c r="AO71" s="3" t="s">
        <v>345</v>
      </c>
      <c r="AP71" s="3">
        <f>AN71*AJ72</f>
        <v>2.9281804212557523E-3</v>
      </c>
      <c r="AQ71" s="3" t="s">
        <v>346</v>
      </c>
      <c r="AR71" s="370">
        <f>AN71*AL72</f>
        <v>2.9281804212557523E-3</v>
      </c>
      <c r="AS71" s="238" t="s">
        <v>344</v>
      </c>
      <c r="AT71" s="3">
        <f>1-AT68</f>
        <v>0.98463907555941499</v>
      </c>
      <c r="AU71" s="3" t="s">
        <v>345</v>
      </c>
      <c r="AV71" s="3">
        <f>AT71*AP71</f>
        <v>2.8832008630564425E-3</v>
      </c>
      <c r="AW71" s="3" t="s">
        <v>346</v>
      </c>
      <c r="AX71" s="3">
        <f>AT71*AR71</f>
        <v>2.8832008630564425E-3</v>
      </c>
      <c r="AY71" s="3">
        <f>AY68+1</f>
        <v>18</v>
      </c>
      <c r="AZ71" s="3"/>
      <c r="BA71" s="1">
        <f>det_cost_experimental*AV71</f>
        <v>8.7649306236915851E-3</v>
      </c>
      <c r="BB71" s="3">
        <f>$AV71*(VLOOKUP($AY71,'Pregnancy costs and utilities'!$A$23:$H$158,3))</f>
        <v>20.908130059238843</v>
      </c>
      <c r="BC71" s="3">
        <f>SUM(BA71:BB71)</f>
        <v>20.916894989862534</v>
      </c>
      <c r="BD71" s="3"/>
      <c r="BE71" s="3">
        <f>$AV71*(VLOOKUP($AY71,'Pregnancy costs and utilities'!$A$23:$I$158,9))</f>
        <v>2.1624006472923318E-3</v>
      </c>
      <c r="BF71" s="3">
        <f>$AV71*(VLOOKUP($AY71,'Pregnancy costs and utilities'!$A$23:$H$158,7))</f>
        <v>2.1342894388775317E-3</v>
      </c>
      <c r="BG71" s="3"/>
      <c r="BH71" s="3">
        <f>$BA71</f>
        <v>8.7649306236915851E-3</v>
      </c>
      <c r="BI71" s="3">
        <f>$AX71*(VLOOKUP($AY71,'Pregnancy costs and utilities'!$A$23:$H$158,5))</f>
        <v>7.6285681070880536</v>
      </c>
      <c r="BJ71" s="3">
        <f>SUM(BH71:BI71)</f>
        <v>7.6373330377117448</v>
      </c>
      <c r="BK71" s="3"/>
      <c r="BL71" s="3">
        <f>BC71+BI71</f>
        <v>28.545463096950588</v>
      </c>
      <c r="BN71" s="1" t="str">
        <f>IF(AV71=AX71,"Okay",IF(AV71&gt;AX71,"Lost infant","Gained infant"))</f>
        <v>Okay</v>
      </c>
    </row>
    <row r="72" spans="1:66" x14ac:dyDescent="0.25">
      <c r="A72" s="243" t="s">
        <v>915</v>
      </c>
      <c r="B72" s="250">
        <f ca="1">B66+B41</f>
        <v>49.282658825483935</v>
      </c>
      <c r="C72" s="251"/>
      <c r="O72" s="238"/>
      <c r="U72" s="238"/>
      <c r="AA72" s="3"/>
      <c r="AF72" s="3"/>
      <c r="AG72" s="238" t="s">
        <v>344</v>
      </c>
      <c r="AH72" s="1">
        <f>1-AH59</f>
        <v>0.99972166088000003</v>
      </c>
      <c r="AI72" s="1" t="s">
        <v>345</v>
      </c>
      <c r="AJ72" s="1">
        <f>AH72*AD64</f>
        <v>0.10868478054970004</v>
      </c>
      <c r="AK72" s="1" t="s">
        <v>346</v>
      </c>
      <c r="AL72" s="1">
        <f>AH72*AF64</f>
        <v>0.10868478054970004</v>
      </c>
      <c r="AM72" s="238"/>
      <c r="AS72" s="240" t="s">
        <v>381</v>
      </c>
      <c r="AT72" s="235"/>
      <c r="AU72" s="235"/>
      <c r="AV72" s="235"/>
      <c r="AW72" s="235"/>
      <c r="AX72" s="235"/>
      <c r="AY72" s="235"/>
      <c r="AZ72" s="235"/>
      <c r="BA72" s="235"/>
      <c r="BB72" s="235"/>
      <c r="BC72" s="235"/>
      <c r="BD72" s="235"/>
      <c r="BE72" s="235"/>
      <c r="BF72" s="235"/>
      <c r="BG72" s="235"/>
      <c r="BH72" s="235"/>
      <c r="BI72" s="235"/>
      <c r="BJ72" s="235"/>
      <c r="BK72" s="235"/>
      <c r="BL72" s="235"/>
      <c r="BM72" s="235"/>
      <c r="BN72" s="235"/>
    </row>
    <row r="73" spans="1:66" x14ac:dyDescent="0.25">
      <c r="A73" s="243" t="s">
        <v>916</v>
      </c>
      <c r="B73" s="250">
        <f ca="1">B67+B42</f>
        <v>46.699092475725521</v>
      </c>
      <c r="C73" s="251"/>
      <c r="O73" s="238"/>
      <c r="U73" s="238"/>
      <c r="AA73" s="3"/>
      <c r="AF73" s="3"/>
      <c r="AG73" s="240" t="s">
        <v>377</v>
      </c>
      <c r="AH73" s="235"/>
      <c r="AI73" s="235"/>
      <c r="AJ73" s="235"/>
      <c r="AK73" s="235"/>
      <c r="AL73" s="239"/>
      <c r="AM73" s="238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</row>
    <row r="74" spans="1:66" ht="15.75" thickBot="1" x14ac:dyDescent="0.3">
      <c r="A74" s="244"/>
      <c r="B74" s="401"/>
      <c r="C74" s="6"/>
      <c r="O74" s="238"/>
      <c r="U74" s="238"/>
      <c r="AA74" s="3"/>
      <c r="AG74" s="237"/>
      <c r="AM74" s="238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</row>
    <row r="75" spans="1:66" x14ac:dyDescent="0.25">
      <c r="A75" s="242"/>
      <c r="B75" s="399"/>
      <c r="C75" s="2"/>
      <c r="O75" s="238"/>
      <c r="U75" s="238"/>
      <c r="AA75" s="3"/>
      <c r="AG75" s="3"/>
      <c r="AM75" s="238"/>
      <c r="AS75" s="236" t="s">
        <v>382</v>
      </c>
      <c r="AT75" s="237"/>
      <c r="AU75" s="237"/>
      <c r="AV75" s="237"/>
      <c r="AW75" s="237"/>
      <c r="AX75" s="237"/>
      <c r="AY75" s="237"/>
      <c r="AZ75" s="237"/>
      <c r="BA75" s="237"/>
      <c r="BB75" s="237"/>
      <c r="BC75" s="237"/>
      <c r="BD75" s="237"/>
      <c r="BE75" s="237"/>
      <c r="BF75" s="237"/>
      <c r="BG75" s="237"/>
      <c r="BH75" s="237"/>
      <c r="BI75" s="237"/>
      <c r="BJ75" s="237"/>
      <c r="BK75" s="237"/>
      <c r="BL75" s="237"/>
      <c r="BM75" s="237"/>
      <c r="BN75" s="237"/>
    </row>
    <row r="76" spans="1:66" x14ac:dyDescent="0.25">
      <c r="A76" s="246" t="s">
        <v>1089</v>
      </c>
      <c r="B76" s="258" t="s">
        <v>1085</v>
      </c>
      <c r="C76" s="4"/>
      <c r="I76" s="236" t="s">
        <v>391</v>
      </c>
      <c r="J76" s="237"/>
      <c r="K76" s="237"/>
      <c r="L76" s="237"/>
      <c r="M76" s="237"/>
      <c r="N76" s="371"/>
      <c r="O76" s="238"/>
      <c r="U76" s="238"/>
      <c r="AA76" s="3"/>
      <c r="AG76" s="3"/>
      <c r="AM76" s="238" t="s">
        <v>344</v>
      </c>
      <c r="AN76" s="1">
        <f>1-AN71</f>
        <v>0.97305804541863394</v>
      </c>
      <c r="AO76" s="1" t="s">
        <v>345</v>
      </c>
      <c r="AP76" s="1">
        <f>AN76*AJ72</f>
        <v>0.10575660012844429</v>
      </c>
      <c r="AQ76" s="1" t="s">
        <v>346</v>
      </c>
      <c r="AR76" s="1">
        <f>AN76*AL72</f>
        <v>0.10575660012844429</v>
      </c>
      <c r="AS76" s="238" t="s">
        <v>344</v>
      </c>
      <c r="AT76" s="3">
        <f>DET_NS_stillbirth_nbw_fullgest</f>
        <v>1.6109941848144384E-3</v>
      </c>
      <c r="AU76" s="3" t="s">
        <v>345</v>
      </c>
      <c r="AV76" s="3">
        <f>AT76*AP76</f>
        <v>1.7037326781266964E-4</v>
      </c>
      <c r="AW76" s="3" t="s">
        <v>346</v>
      </c>
      <c r="AX76" s="3">
        <f>AT76*AR76</f>
        <v>1.7037326781266964E-4</v>
      </c>
      <c r="AY76" s="3">
        <f>AY71+1</f>
        <v>19</v>
      </c>
      <c r="AZ76" s="3"/>
      <c r="BA76" s="1">
        <f>det_cost_experimental*AV76</f>
        <v>5.1793473415051572E-4</v>
      </c>
      <c r="BB76" s="3">
        <f>$AV76*(VLOOKUP($AY76,'Pregnancy costs and utilities'!$A$23:$H$158,3))</f>
        <v>1.2354971475239509</v>
      </c>
      <c r="BC76" s="3">
        <f>SUM(BA76:BB76)</f>
        <v>1.2360150822581013</v>
      </c>
      <c r="BD76" s="3"/>
      <c r="BE76" s="3">
        <f>$AV76*(VLOOKUP($AY76,'Pregnancy costs and utilities'!$A$23:$I$158,9))</f>
        <v>1.2777995085950223E-4</v>
      </c>
      <c r="BF76" s="3">
        <f>$AV76*(VLOOKUP($AY76,'Pregnancy costs and utilities'!$A$23:$H$158,7))</f>
        <v>1.1334081641237849E-4</v>
      </c>
      <c r="BG76" s="3"/>
      <c r="BH76" s="3">
        <f>$BA76</f>
        <v>5.1793473415051572E-4</v>
      </c>
      <c r="BI76" s="3">
        <f>$AX76*(VLOOKUP($AY76,'Pregnancy costs and utilities'!$A$23:$H$158,5))</f>
        <v>0.18115392487731599</v>
      </c>
      <c r="BJ76" s="3">
        <f>SUM(BH76:BI76)</f>
        <v>0.18167185961146651</v>
      </c>
      <c r="BK76" s="3"/>
      <c r="BL76" s="3">
        <f>BC76+BI76</f>
        <v>1.4171690071354173</v>
      </c>
      <c r="BN76" s="1" t="str">
        <f>IF(AV76=AX76,"Okay",IF(AV76&gt;AX76,"Lost infant","Gained infant"))</f>
        <v>Okay</v>
      </c>
    </row>
    <row r="77" spans="1:66" x14ac:dyDescent="0.25">
      <c r="A77" s="243" t="s">
        <v>1090</v>
      </c>
      <c r="B77" s="398">
        <f>VLOOKUP(reference_age,$AV$555:$AX$655,3)/Cohort</f>
        <v>21263.190739291578</v>
      </c>
      <c r="C77" s="4"/>
      <c r="I77" s="238" t="s">
        <v>344</v>
      </c>
      <c r="J77" s="3">
        <f>DET_QR_experimental</f>
        <v>5.1999999999999998E-2</v>
      </c>
      <c r="K77" s="3" t="s">
        <v>345</v>
      </c>
      <c r="L77" s="3">
        <f>$J77*$C$263</f>
        <v>52</v>
      </c>
      <c r="M77" s="3" t="s">
        <v>346</v>
      </c>
      <c r="N77" s="370">
        <f>$J77*$C$264</f>
        <v>52</v>
      </c>
      <c r="O77" s="238"/>
      <c r="U77" s="238"/>
      <c r="AA77" s="3"/>
      <c r="AG77" s="3"/>
      <c r="AM77" s="240" t="s">
        <v>379</v>
      </c>
      <c r="AN77" s="235"/>
      <c r="AO77" s="235"/>
      <c r="AP77" s="235"/>
      <c r="AQ77" s="235"/>
      <c r="AR77" s="239"/>
      <c r="AS77" s="238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</row>
    <row r="78" spans="1:66" x14ac:dyDescent="0.25">
      <c r="A78" s="243" t="s">
        <v>1091</v>
      </c>
      <c r="B78" s="398">
        <f>$GV$676/Cohort</f>
        <v>5433.7419509560159</v>
      </c>
      <c r="C78" s="4"/>
      <c r="I78" s="238"/>
      <c r="O78" s="238"/>
      <c r="U78" s="238"/>
      <c r="AA78" s="3"/>
      <c r="AG78" s="3"/>
      <c r="AS78" s="238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</row>
    <row r="79" spans="1:66" x14ac:dyDescent="0.25">
      <c r="A79" s="243" t="s">
        <v>1092</v>
      </c>
      <c r="B79" s="398">
        <f ca="1">VLOOKUP(reference_age,$EJ$681:$EL$766,3)/Cohort</f>
        <v>11747.803142610665</v>
      </c>
      <c r="C79" s="4"/>
      <c r="I79" s="238"/>
      <c r="O79" s="238"/>
      <c r="U79" s="238"/>
      <c r="AG79" s="3"/>
      <c r="AS79" s="238" t="s">
        <v>344</v>
      </c>
      <c r="AT79" s="3">
        <f>1-AT76</f>
        <v>0.99838900581518553</v>
      </c>
      <c r="AU79" s="3" t="s">
        <v>345</v>
      </c>
      <c r="AV79" s="3">
        <f>AT79*AP76</f>
        <v>0.10558622686063161</v>
      </c>
      <c r="AW79" s="3" t="s">
        <v>346</v>
      </c>
      <c r="AX79" s="3">
        <f>AT79*AR76</f>
        <v>0.10558622686063161</v>
      </c>
      <c r="AY79" s="3">
        <f>AY76+1</f>
        <v>20</v>
      </c>
      <c r="AZ79" s="3"/>
      <c r="BA79" s="1">
        <f>det_cost_experimental*AV79</f>
        <v>0.32098212965632011</v>
      </c>
      <c r="BB79" s="3">
        <f>$AV79*(VLOOKUP($AY79,'Pregnancy costs and utilities'!$A$23:$H$158,3))</f>
        <v>765.68046019732571</v>
      </c>
      <c r="BC79" s="3">
        <f>SUM(BA79:BB79)</f>
        <v>766.00144232698199</v>
      </c>
      <c r="BD79" s="3"/>
      <c r="BE79" s="3">
        <f>$AV79*(VLOOKUP($AY79,'Pregnancy costs and utilities'!$A$23:$I$158,9))</f>
        <v>7.9189670145473706E-2</v>
      </c>
      <c r="BF79" s="3">
        <f>$AV79*(VLOOKUP($AY79,'Pregnancy costs and utilities'!$A$23:$H$158,7))</f>
        <v>7.8160204433582556E-2</v>
      </c>
      <c r="BG79" s="3"/>
      <c r="BH79" s="3">
        <f>$BA79</f>
        <v>0.32098212965632011</v>
      </c>
      <c r="BI79" s="3">
        <f>$AX79*(VLOOKUP($AY79,'Pregnancy costs and utilities'!$A$23:$H$158,5))</f>
        <v>279.36718981240472</v>
      </c>
      <c r="BJ79" s="3">
        <f>SUM(BH79:BI79)</f>
        <v>279.68817194206105</v>
      </c>
      <c r="BK79" s="3"/>
      <c r="BL79" s="3">
        <f>BC79+BI79</f>
        <v>1045.3686321393866</v>
      </c>
      <c r="BN79" s="1" t="str">
        <f>IF(AV79=AX79,"Okay",IF(AV79&gt;AX79,"Lost infant","Gained infant"))</f>
        <v>Okay</v>
      </c>
    </row>
    <row r="80" spans="1:66" x14ac:dyDescent="0.25">
      <c r="A80" s="243" t="s">
        <v>1093</v>
      </c>
      <c r="B80" s="398">
        <f>(VLOOKUP(reference_age,AV555:AX655,3)+($GZ$676))/Cohort</f>
        <v>29801.988414211133</v>
      </c>
      <c r="C80" s="4"/>
      <c r="I80" s="238"/>
      <c r="O80" s="238"/>
      <c r="U80" s="238"/>
      <c r="AG80" s="3"/>
      <c r="AS80" s="240" t="s">
        <v>383</v>
      </c>
      <c r="AT80" s="235"/>
      <c r="AU80" s="235"/>
      <c r="AV80" s="235"/>
      <c r="AW80" s="235"/>
      <c r="AX80" s="235"/>
      <c r="AY80" s="235"/>
      <c r="AZ80" s="235"/>
      <c r="BA80" s="235"/>
      <c r="BB80" s="235"/>
      <c r="BC80" s="235"/>
      <c r="BD80" s="235"/>
      <c r="BE80" s="235"/>
      <c r="BF80" s="235"/>
      <c r="BG80" s="235"/>
      <c r="BH80" s="235"/>
      <c r="BI80" s="235"/>
      <c r="BJ80" s="235"/>
      <c r="BK80" s="235"/>
      <c r="BL80" s="235"/>
      <c r="BM80" s="235"/>
      <c r="BN80" s="235"/>
    </row>
    <row r="81" spans="1:66" x14ac:dyDescent="0.25">
      <c r="A81" s="243" t="s">
        <v>1094</v>
      </c>
      <c r="B81" s="398">
        <f ca="1">(VLOOKUP(reference_age,AV555:AX655,3)+VLOOKUP(reference_age,$EN$681:$EP$766,3))/Cohort</f>
        <v>36116.049605865788</v>
      </c>
      <c r="C81" s="4"/>
      <c r="I81" s="238"/>
      <c r="O81" s="238"/>
      <c r="U81" s="238"/>
      <c r="AG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</row>
    <row r="82" spans="1:66" ht="15.75" thickBot="1" x14ac:dyDescent="0.3">
      <c r="A82" s="244"/>
      <c r="B82" s="401"/>
      <c r="C82" s="6"/>
      <c r="I82" s="238"/>
      <c r="O82" s="238"/>
      <c r="U82" s="238"/>
      <c r="AG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</row>
    <row r="83" spans="1:66" x14ac:dyDescent="0.25">
      <c r="I83" s="238"/>
      <c r="O83" s="238"/>
      <c r="U83" s="238"/>
      <c r="AG83" s="3"/>
      <c r="AS83" s="236" t="s">
        <v>461</v>
      </c>
      <c r="AT83" s="237"/>
      <c r="AU83" s="237"/>
      <c r="AV83" s="237"/>
      <c r="AW83" s="237"/>
      <c r="AX83" s="237"/>
      <c r="AY83" s="237"/>
      <c r="AZ83" s="237"/>
      <c r="BA83" s="237"/>
      <c r="BB83" s="237"/>
      <c r="BC83" s="237"/>
      <c r="BD83" s="237"/>
      <c r="BE83" s="237"/>
      <c r="BF83" s="237"/>
      <c r="BG83" s="237"/>
      <c r="BH83" s="237"/>
      <c r="BI83" s="237"/>
      <c r="BJ83" s="237"/>
      <c r="BK83" s="237"/>
      <c r="BL83" s="237"/>
      <c r="BM83" s="237"/>
      <c r="BN83" s="237"/>
    </row>
    <row r="84" spans="1:66" ht="18.75" x14ac:dyDescent="0.25">
      <c r="A84" s="375" t="s">
        <v>955</v>
      </c>
      <c r="I84" s="238"/>
      <c r="O84" s="238"/>
      <c r="U84" s="238"/>
      <c r="AG84" s="3"/>
      <c r="AS84" s="238" t="s">
        <v>344</v>
      </c>
      <c r="AT84" s="3">
        <f>DET_NS_stillbirth_lbw_premature</f>
        <v>6.0752905295406189E-2</v>
      </c>
      <c r="AU84" s="3" t="s">
        <v>345</v>
      </c>
      <c r="AV84" s="3">
        <f>AT84*AP87</f>
        <v>1.2902869761006719E-7</v>
      </c>
      <c r="AW84" s="3" t="s">
        <v>346</v>
      </c>
      <c r="AX84" s="3">
        <f>AT84*AR87</f>
        <v>1.2902869761006719E-7</v>
      </c>
      <c r="AY84" s="3">
        <f>AY79+1</f>
        <v>21</v>
      </c>
      <c r="AZ84" s="3"/>
      <c r="BA84" s="1">
        <f>det_cost_experimental*AV84</f>
        <v>3.9224724073460428E-7</v>
      </c>
      <c r="BB84" s="3">
        <f>$AV84*(VLOOKUP($AY84,'Pregnancy costs and utilities'!$A$23:$H$158,3))</f>
        <v>1.2846165489911212E-3</v>
      </c>
      <c r="BC84" s="3">
        <f>SUM(BA84:BB84)</f>
        <v>1.2850087962318556E-3</v>
      </c>
      <c r="BD84" s="3"/>
      <c r="BE84" s="3">
        <f>$AV84*(VLOOKUP($AY84,'Pregnancy costs and utilities'!$A$23:$I$158,9))</f>
        <v>0</v>
      </c>
      <c r="BF84" s="3">
        <f>$AV84*(VLOOKUP($AY84,'Pregnancy costs and utilities'!$A$23:$H$158,7))</f>
        <v>0</v>
      </c>
      <c r="BG84" s="3"/>
      <c r="BH84" s="3">
        <f>$BA84</f>
        <v>3.9224724073460428E-7</v>
      </c>
      <c r="BI84" s="3">
        <f>$AX84*(VLOOKUP($AY84,'Pregnancy costs and utilities'!$A$23:$H$158,5))</f>
        <v>1.3719320697406877E-4</v>
      </c>
      <c r="BJ84" s="3">
        <f>SUM(BH84:BI84)</f>
        <v>1.3758545421480337E-4</v>
      </c>
      <c r="BK84" s="3"/>
      <c r="BL84" s="3">
        <f>BC84+BI84</f>
        <v>1.4222020032059245E-3</v>
      </c>
      <c r="BN84" s="1" t="str">
        <f>IF(AV84=AX84,"Okay",IF(AV84&gt;AX84,"Lost infant","Gained infant"))</f>
        <v>Okay</v>
      </c>
    </row>
    <row r="85" spans="1:66" ht="18.75" x14ac:dyDescent="0.25">
      <c r="A85" s="375" t="s">
        <v>956</v>
      </c>
      <c r="I85" s="238"/>
      <c r="O85" s="238"/>
      <c r="U85" s="238"/>
      <c r="AG85" s="3"/>
      <c r="AS85" s="238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</row>
    <row r="86" spans="1:66" x14ac:dyDescent="0.25">
      <c r="I86" s="238"/>
      <c r="O86" s="238"/>
      <c r="U86" s="238"/>
      <c r="AG86" s="3"/>
      <c r="AM86" s="236" t="s">
        <v>457</v>
      </c>
      <c r="AN86" s="237"/>
      <c r="AO86" s="237"/>
      <c r="AP86" s="237"/>
      <c r="AQ86" s="237"/>
      <c r="AR86" s="371"/>
      <c r="AS86" s="238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</row>
    <row r="87" spans="1:66" x14ac:dyDescent="0.25">
      <c r="I87" s="238"/>
      <c r="O87" s="238"/>
      <c r="U87" s="238"/>
      <c r="AG87" s="3"/>
      <c r="AM87" s="238" t="s">
        <v>344</v>
      </c>
      <c r="AN87" s="3">
        <f>DET_NS_lbw_premature</f>
        <v>0.57035604742854706</v>
      </c>
      <c r="AO87" s="3" t="s">
        <v>345</v>
      </c>
      <c r="AP87" s="3">
        <f>AN87*AJ91</f>
        <v>2.1238276092752332E-6</v>
      </c>
      <c r="AQ87" s="3" t="s">
        <v>346</v>
      </c>
      <c r="AR87" s="370">
        <f>AN87*AL91</f>
        <v>2.1238276092752332E-6</v>
      </c>
      <c r="AS87" s="238" t="s">
        <v>344</v>
      </c>
      <c r="AT87" s="3">
        <f>1-AT84</f>
        <v>0.93924709470459378</v>
      </c>
      <c r="AU87" s="3" t="s">
        <v>345</v>
      </c>
      <c r="AV87" s="3">
        <f>AT87*AP87</f>
        <v>1.994798911665166E-6</v>
      </c>
      <c r="AW87" s="3" t="s">
        <v>346</v>
      </c>
      <c r="AX87" s="3">
        <f>AT87*AR87</f>
        <v>1.994798911665166E-6</v>
      </c>
      <c r="AY87" s="3">
        <f>AY84+1</f>
        <v>22</v>
      </c>
      <c r="AZ87" s="3"/>
      <c r="BA87" s="1">
        <f>det_cost_experimental*AV87</f>
        <v>6.0641886914621048E-6</v>
      </c>
      <c r="BB87" s="3">
        <f>$AV87*(VLOOKUP($AY87,'Pregnancy costs and utilities'!$A$23:$H$158,3))</f>
        <v>1.9860323643494736E-2</v>
      </c>
      <c r="BC87" s="3">
        <f>SUM(BA87:BB87)</f>
        <v>1.9866387832186198E-2</v>
      </c>
      <c r="BD87" s="3"/>
      <c r="BE87" s="3">
        <f>$AV87*(VLOOKUP($AY87,'Pregnancy costs and utilities'!$A$23:$I$158,9))</f>
        <v>0</v>
      </c>
      <c r="BF87" s="3">
        <f>$AV87*(VLOOKUP($AY87,'Pregnancy costs and utilities'!$A$23:$H$158,7))</f>
        <v>0</v>
      </c>
      <c r="BG87" s="3"/>
      <c r="BH87" s="3">
        <f>$BA87</f>
        <v>6.0641886914621048E-6</v>
      </c>
      <c r="BI87" s="3">
        <f>$AX87*(VLOOKUP($AY87,'Pregnancy costs and utilities'!$A$23:$H$158,5))</f>
        <v>3.1786221318494033E-2</v>
      </c>
      <c r="BJ87" s="3">
        <f>SUM(BH87:BI87)</f>
        <v>3.1792285507185498E-2</v>
      </c>
      <c r="BK87" s="3"/>
      <c r="BL87" s="3">
        <f>BC87+BI87</f>
        <v>5.1652609150680234E-2</v>
      </c>
      <c r="BN87" s="1" t="str">
        <f>IF(AV87=AX87,"Okay",IF(AV87&gt;AX87,"Lost infant","Gained infant"))</f>
        <v>Okay</v>
      </c>
    </row>
    <row r="88" spans="1:66" x14ac:dyDescent="0.25">
      <c r="I88" s="238"/>
      <c r="O88" s="238"/>
      <c r="U88" s="238"/>
      <c r="AG88" s="3"/>
      <c r="AM88" s="238"/>
      <c r="AS88" s="240" t="s">
        <v>462</v>
      </c>
      <c r="AT88" s="235"/>
      <c r="AU88" s="235"/>
      <c r="AV88" s="235"/>
      <c r="AW88" s="235"/>
      <c r="AX88" s="235"/>
      <c r="AY88" s="235"/>
      <c r="AZ88" s="235"/>
      <c r="BA88" s="235"/>
      <c r="BB88" s="235"/>
      <c r="BC88" s="235"/>
      <c r="BD88" s="235"/>
      <c r="BE88" s="235"/>
      <c r="BF88" s="235"/>
      <c r="BG88" s="235"/>
      <c r="BH88" s="235"/>
      <c r="BI88" s="235"/>
      <c r="BJ88" s="235"/>
      <c r="BK88" s="235"/>
      <c r="BL88" s="235"/>
      <c r="BM88" s="235"/>
      <c r="BN88" s="235"/>
    </row>
    <row r="89" spans="1:66" x14ac:dyDescent="0.25">
      <c r="I89" s="238"/>
      <c r="O89" s="238"/>
      <c r="U89" s="238"/>
      <c r="AM89" s="238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</row>
    <row r="90" spans="1:66" x14ac:dyDescent="0.25">
      <c r="I90" s="238"/>
      <c r="O90" s="238"/>
      <c r="U90" s="238"/>
      <c r="AG90" s="236" t="s">
        <v>455</v>
      </c>
      <c r="AH90" s="237"/>
      <c r="AI90" s="237"/>
      <c r="AJ90" s="237"/>
      <c r="AK90" s="237"/>
      <c r="AL90" s="371"/>
      <c r="AM90" s="238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</row>
    <row r="91" spans="1:66" x14ac:dyDescent="0.25">
      <c r="I91" s="238"/>
      <c r="O91" s="238"/>
      <c r="U91" s="238"/>
      <c r="AG91" s="238" t="s">
        <v>344</v>
      </c>
      <c r="AH91" s="3">
        <f>DET_MORT_previa</f>
        <v>5.0731599999999045E-5</v>
      </c>
      <c r="AI91" s="3" t="s">
        <v>345</v>
      </c>
      <c r="AJ91" s="3">
        <f>AH91*AD99</f>
        <v>3.7236873683561697E-6</v>
      </c>
      <c r="AK91" s="3" t="s">
        <v>346</v>
      </c>
      <c r="AL91" s="370">
        <f>AH91*AF99</f>
        <v>3.7236873683561697E-6</v>
      </c>
      <c r="AM91" s="238"/>
      <c r="AS91" s="236" t="s">
        <v>463</v>
      </c>
      <c r="AT91" s="237"/>
      <c r="AU91" s="237"/>
      <c r="AV91" s="237"/>
      <c r="AW91" s="237"/>
      <c r="AX91" s="237"/>
      <c r="AY91" s="237"/>
      <c r="AZ91" s="237"/>
      <c r="BA91" s="237"/>
      <c r="BB91" s="237"/>
      <c r="BC91" s="237"/>
      <c r="BD91" s="237"/>
      <c r="BE91" s="237"/>
      <c r="BF91" s="237"/>
      <c r="BG91" s="237"/>
      <c r="BH91" s="237"/>
      <c r="BI91" s="237"/>
      <c r="BJ91" s="237"/>
      <c r="BK91" s="237"/>
      <c r="BL91" s="237"/>
      <c r="BM91" s="237"/>
      <c r="BN91" s="237"/>
    </row>
    <row r="92" spans="1:66" x14ac:dyDescent="0.25">
      <c r="I92" s="238"/>
      <c r="J92" s="3"/>
      <c r="K92" s="3"/>
      <c r="L92" s="3"/>
      <c r="M92" s="3"/>
      <c r="N92" s="370"/>
      <c r="O92" s="238"/>
      <c r="U92" s="238"/>
      <c r="AG92" s="238"/>
      <c r="AM92" s="238" t="s">
        <v>344</v>
      </c>
      <c r="AN92" s="1">
        <f>1-AN87</f>
        <v>0.42964395257145294</v>
      </c>
      <c r="AO92" s="1" t="s">
        <v>345</v>
      </c>
      <c r="AP92" s="1">
        <f>AN92*AJ91</f>
        <v>1.5998597590809365E-6</v>
      </c>
      <c r="AQ92" s="1" t="s">
        <v>346</v>
      </c>
      <c r="AR92" s="1">
        <f>AN92*AL91</f>
        <v>1.5998597590809365E-6</v>
      </c>
      <c r="AS92" s="238" t="s">
        <v>344</v>
      </c>
      <c r="AT92" s="3">
        <f>DET_NS_stillbirth_nbw_premature</f>
        <v>7.6129469648265786E-3</v>
      </c>
      <c r="AU92" s="3" t="s">
        <v>345</v>
      </c>
      <c r="AV92" s="3">
        <f>AT92*AP92</f>
        <v>1.2179647497043397E-8</v>
      </c>
      <c r="AW92" s="3" t="s">
        <v>346</v>
      </c>
      <c r="AX92" s="3">
        <f>AT92*AR92</f>
        <v>1.2179647497043397E-8</v>
      </c>
      <c r="AY92" s="3">
        <f>AY87+1</f>
        <v>23</v>
      </c>
      <c r="AZ92" s="3"/>
      <c r="BA92" s="1">
        <f>det_cost_experimental*AV92</f>
        <v>3.7026128391011926E-8</v>
      </c>
      <c r="BB92" s="3">
        <f>$AV92*(VLOOKUP($AY92,'Pregnancy costs and utilities'!$A$23:$H$158,3))</f>
        <v>1.2126121572476817E-4</v>
      </c>
      <c r="BC92" s="3">
        <f>SUM(BA92:BB92)</f>
        <v>1.2129824185315918E-4</v>
      </c>
      <c r="BD92" s="3"/>
      <c r="BE92" s="3">
        <f>$AV92*(VLOOKUP($AY92,'Pregnancy costs and utilities'!$A$23:$I$158,9))</f>
        <v>0</v>
      </c>
      <c r="BF92" s="3">
        <f>$AV92*(VLOOKUP($AY92,'Pregnancy costs and utilities'!$A$23:$H$158,7))</f>
        <v>0</v>
      </c>
      <c r="BG92" s="3"/>
      <c r="BH92" s="3">
        <f>$BA92</f>
        <v>3.7026128391011926E-8</v>
      </c>
      <c r="BI92" s="3">
        <f>$AX92*(VLOOKUP($AY92,'Pregnancy costs and utilities'!$A$23:$H$158,5))</f>
        <v>1.2950335319843606E-5</v>
      </c>
      <c r="BJ92" s="3">
        <f>SUM(BH92:BI92)</f>
        <v>1.2987361448234618E-5</v>
      </c>
      <c r="BK92" s="3"/>
      <c r="BL92" s="3">
        <f>BC92+BI92</f>
        <v>1.3424857717300278E-4</v>
      </c>
      <c r="BN92" s="1" t="str">
        <f>IF(AV92=AX92,"Okay",IF(AV92&gt;AX92,"Lost infant","Gained infant"))</f>
        <v>Okay</v>
      </c>
    </row>
    <row r="93" spans="1:66" x14ac:dyDescent="0.25">
      <c r="I93" s="238"/>
      <c r="J93" s="3"/>
      <c r="K93" s="3"/>
      <c r="L93" s="3"/>
      <c r="M93" s="3"/>
      <c r="N93" s="370"/>
      <c r="O93" s="238"/>
      <c r="U93" s="238"/>
      <c r="AG93" s="238"/>
      <c r="AM93" s="240" t="s">
        <v>458</v>
      </c>
      <c r="AN93" s="235"/>
      <c r="AO93" s="235"/>
      <c r="AP93" s="235"/>
      <c r="AQ93" s="235"/>
      <c r="AR93" s="239"/>
      <c r="AS93" s="238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</row>
    <row r="94" spans="1:66" x14ac:dyDescent="0.25">
      <c r="I94" s="238"/>
      <c r="O94" s="238"/>
      <c r="U94" s="238"/>
      <c r="AG94" s="238"/>
      <c r="AS94" s="238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</row>
    <row r="95" spans="1:66" x14ac:dyDescent="0.25">
      <c r="I95" s="238"/>
      <c r="O95" s="238"/>
      <c r="U95" s="238"/>
      <c r="AG95" s="238"/>
      <c r="AS95" s="238" t="s">
        <v>344</v>
      </c>
      <c r="AT95" s="3">
        <f>1-AT92</f>
        <v>0.99238705303517338</v>
      </c>
      <c r="AU95" s="3" t="s">
        <v>345</v>
      </c>
      <c r="AV95" s="3">
        <f>AT95*AP92</f>
        <v>1.5876801115838931E-6</v>
      </c>
      <c r="AW95" s="3" t="s">
        <v>346</v>
      </c>
      <c r="AX95" s="3">
        <f>AT95*AR92</f>
        <v>1.5876801115838931E-6</v>
      </c>
      <c r="AY95" s="3">
        <f>AY92+1</f>
        <v>24</v>
      </c>
      <c r="AZ95" s="3"/>
      <c r="BA95" s="1">
        <f>det_cost_experimental*AV95</f>
        <v>4.8265475392150346E-6</v>
      </c>
      <c r="BB95" s="3">
        <f>$AV95*(VLOOKUP($AY95,'Pregnancy costs and utilities'!$A$23:$H$158,3))</f>
        <v>1.5807027301852006E-2</v>
      </c>
      <c r="BC95" s="3">
        <f>SUM(BA95:BB95)</f>
        <v>1.5811853849391221E-2</v>
      </c>
      <c r="BD95" s="3"/>
      <c r="BE95" s="3">
        <f>$AV95*(VLOOKUP($AY95,'Pregnancy costs and utilities'!$A$23:$I$158,9))</f>
        <v>0</v>
      </c>
      <c r="BF95" s="3">
        <f>$AV95*(VLOOKUP($AY95,'Pregnancy costs and utilities'!$A$23:$H$158,7))</f>
        <v>0</v>
      </c>
      <c r="BG95" s="3"/>
      <c r="BH95" s="3">
        <f>$BA95</f>
        <v>4.8265475392150346E-6</v>
      </c>
      <c r="BI95" s="3">
        <f>$AX95*(VLOOKUP($AY95,'Pregnancy costs and utilities'!$A$23:$H$158,5))</f>
        <v>2.5298966785403925E-2</v>
      </c>
      <c r="BJ95" s="3">
        <f>SUM(BH95:BI95)</f>
        <v>2.530379333294314E-2</v>
      </c>
      <c r="BK95" s="3"/>
      <c r="BL95" s="3">
        <f>BC95+BI95</f>
        <v>4.1110820634795146E-2</v>
      </c>
      <c r="BN95" s="1" t="str">
        <f>IF(AV95=AX95,"Okay",IF(AV95&gt;AX95,"Lost infant","Gained infant"))</f>
        <v>Okay</v>
      </c>
    </row>
    <row r="96" spans="1:66" x14ac:dyDescent="0.25">
      <c r="I96" s="238"/>
      <c r="O96" s="238"/>
      <c r="U96" s="238"/>
      <c r="AG96" s="238"/>
      <c r="AS96" s="240" t="s">
        <v>464</v>
      </c>
      <c r="AT96" s="235"/>
      <c r="AU96" s="235"/>
      <c r="AV96" s="235"/>
      <c r="AW96" s="235"/>
      <c r="AX96" s="235"/>
      <c r="AY96" s="235"/>
      <c r="AZ96" s="235"/>
      <c r="BA96" s="235"/>
      <c r="BB96" s="235"/>
      <c r="BC96" s="235"/>
      <c r="BD96" s="235"/>
      <c r="BE96" s="235"/>
      <c r="BF96" s="235"/>
      <c r="BG96" s="235"/>
      <c r="BH96" s="235"/>
      <c r="BI96" s="235"/>
      <c r="BJ96" s="235"/>
      <c r="BK96" s="235"/>
      <c r="BL96" s="235"/>
      <c r="BM96" s="235"/>
      <c r="BN96" s="235"/>
    </row>
    <row r="97" spans="9:66" x14ac:dyDescent="0.25">
      <c r="I97" s="238"/>
      <c r="O97" s="238"/>
      <c r="U97" s="238"/>
      <c r="AG97" s="238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</row>
    <row r="98" spans="9:66" x14ac:dyDescent="0.25">
      <c r="I98" s="238"/>
      <c r="O98" s="238"/>
      <c r="U98" s="238"/>
      <c r="AA98" s="236" t="s">
        <v>453</v>
      </c>
      <c r="AB98" s="237"/>
      <c r="AC98" s="237"/>
      <c r="AD98" s="237"/>
      <c r="AE98" s="237"/>
      <c r="AF98" s="371"/>
      <c r="AG98" s="238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</row>
    <row r="99" spans="9:66" x14ac:dyDescent="0.25">
      <c r="I99" s="238"/>
      <c r="O99" s="238"/>
      <c r="U99" s="238"/>
      <c r="AA99" s="238" t="s">
        <v>344</v>
      </c>
      <c r="AB99" s="3">
        <f>DET_NS_premature_previa</f>
        <v>0.25293178972979463</v>
      </c>
      <c r="AC99" s="3" t="s">
        <v>345</v>
      </c>
      <c r="AD99" s="3">
        <f>AB99*X114</f>
        <v>7.3399762048826367E-2</v>
      </c>
      <c r="AE99" s="3" t="s">
        <v>346</v>
      </c>
      <c r="AF99" s="370">
        <f>AB99*Z114</f>
        <v>7.3399762048826367E-2</v>
      </c>
      <c r="AG99" s="238"/>
      <c r="AS99" s="236" t="s">
        <v>465</v>
      </c>
      <c r="AT99" s="237"/>
      <c r="AU99" s="237"/>
      <c r="AV99" s="237"/>
      <c r="AW99" s="237"/>
      <c r="AX99" s="237"/>
      <c r="AY99" s="237"/>
      <c r="AZ99" s="237"/>
      <c r="BA99" s="237"/>
      <c r="BB99" s="237"/>
      <c r="BC99" s="237"/>
      <c r="BD99" s="237"/>
      <c r="BE99" s="237"/>
      <c r="BF99" s="237"/>
      <c r="BG99" s="237"/>
      <c r="BH99" s="237"/>
      <c r="BI99" s="237"/>
      <c r="BJ99" s="237"/>
      <c r="BK99" s="237"/>
      <c r="BL99" s="237"/>
      <c r="BM99" s="237"/>
      <c r="BN99" s="237"/>
    </row>
    <row r="100" spans="9:66" x14ac:dyDescent="0.25">
      <c r="I100" s="238"/>
      <c r="O100" s="238"/>
      <c r="U100" s="238"/>
      <c r="AA100" s="238"/>
      <c r="AG100" s="238"/>
      <c r="AS100" s="238" t="s">
        <v>344</v>
      </c>
      <c r="AT100" s="3">
        <f>DET_NS_stillbirth_lbw_premature</f>
        <v>6.0752905295406189E-2</v>
      </c>
      <c r="AU100" s="3" t="s">
        <v>345</v>
      </c>
      <c r="AV100" s="3">
        <f>AT100*AP103</f>
        <v>2.5432304870690839E-3</v>
      </c>
      <c r="AW100" s="3" t="s">
        <v>346</v>
      </c>
      <c r="AX100" s="3">
        <f>AT100*AR103</f>
        <v>2.5432304870690839E-3</v>
      </c>
      <c r="AY100" s="3">
        <f>AY95+1</f>
        <v>25</v>
      </c>
      <c r="AZ100" s="3"/>
      <c r="BA100" s="1">
        <f>det_cost_experimental*AV100</f>
        <v>7.7314206806900149E-3</v>
      </c>
      <c r="BB100" s="3">
        <f>$AV100*(VLOOKUP($AY100,'Pregnancy costs and utilities'!$A$23:$H$158,3))</f>
        <v>21.172579710752714</v>
      </c>
      <c r="BC100" s="3">
        <f>SUM(BA100:BB100)</f>
        <v>21.180311131433406</v>
      </c>
      <c r="BD100" s="3"/>
      <c r="BE100" s="3">
        <f>$AV100*(VLOOKUP($AY100,'Pregnancy costs and utilities'!$A$23:$I$158,9))</f>
        <v>1.6139731937169185E-3</v>
      </c>
      <c r="BF100" s="3">
        <f>$AV100*(VLOOKUP($AY100,'Pregnancy costs and utilities'!$A$23:$H$158,7))</f>
        <v>1.4315942228269071E-3</v>
      </c>
      <c r="BG100" s="3"/>
      <c r="BH100" s="3">
        <f>$BA100</f>
        <v>7.7314206806900149E-3</v>
      </c>
      <c r="BI100" s="3">
        <f>$AX100*(VLOOKUP($AY100,'Pregnancy costs and utilities'!$A$23:$H$158,5))</f>
        <v>2.7041577033480593</v>
      </c>
      <c r="BJ100" s="3">
        <f>SUM(BH100:BI100)</f>
        <v>2.7118891240287493</v>
      </c>
      <c r="BK100" s="3"/>
      <c r="BL100" s="3">
        <f>BC100+BI100</f>
        <v>23.884468834781465</v>
      </c>
      <c r="BN100" s="1" t="str">
        <f>IF(AV100=AX100,"Okay",IF(AV100&gt;AX100,"Lost infant","Gained infant"))</f>
        <v>Okay</v>
      </c>
    </row>
    <row r="101" spans="9:66" x14ac:dyDescent="0.25">
      <c r="I101" s="238"/>
      <c r="O101" s="238"/>
      <c r="U101" s="238"/>
      <c r="AA101" s="238"/>
      <c r="AG101" s="238"/>
      <c r="AS101" s="238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</row>
    <row r="102" spans="9:66" x14ac:dyDescent="0.25">
      <c r="I102" s="238"/>
      <c r="O102" s="238"/>
      <c r="U102" s="238"/>
      <c r="AA102" s="238"/>
      <c r="AG102" s="238"/>
      <c r="AM102" s="236" t="s">
        <v>459</v>
      </c>
      <c r="AN102" s="237"/>
      <c r="AO102" s="237"/>
      <c r="AP102" s="237"/>
      <c r="AQ102" s="237"/>
      <c r="AR102" s="371"/>
      <c r="AS102" s="238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</row>
    <row r="103" spans="9:66" x14ac:dyDescent="0.25">
      <c r="I103" s="238"/>
      <c r="O103" s="238"/>
      <c r="U103" s="238"/>
      <c r="AA103" s="238"/>
      <c r="AG103" s="238"/>
      <c r="AM103" s="238" t="s">
        <v>344</v>
      </c>
      <c r="AN103" s="3">
        <f>DET_NS_lbw_premature</f>
        <v>0.57035604742854706</v>
      </c>
      <c r="AO103" s="3" t="s">
        <v>345</v>
      </c>
      <c r="AP103" s="3">
        <f>AN103*AJ104</f>
        <v>4.1861874336755207E-2</v>
      </c>
      <c r="AQ103" s="3" t="s">
        <v>346</v>
      </c>
      <c r="AR103" s="370">
        <f>AN103*AL104</f>
        <v>4.1861874336755207E-2</v>
      </c>
      <c r="AS103" s="238" t="s">
        <v>344</v>
      </c>
      <c r="AT103" s="3">
        <f>1-AT100</f>
        <v>0.93924709470459378</v>
      </c>
      <c r="AU103" s="3" t="s">
        <v>345</v>
      </c>
      <c r="AV103" s="3">
        <f>AT103*AP103</f>
        <v>3.931864384968612E-2</v>
      </c>
      <c r="AW103" s="3" t="s">
        <v>346</v>
      </c>
      <c r="AX103" s="3">
        <f>AT103*AR103</f>
        <v>3.931864384968612E-2</v>
      </c>
      <c r="AY103" s="3">
        <f>AY100+1</f>
        <v>26</v>
      </c>
      <c r="AZ103" s="3"/>
      <c r="BA103" s="1">
        <f>det_cost_experimental*AV103</f>
        <v>0.11952867730304581</v>
      </c>
      <c r="BB103" s="3">
        <f>$AV103*(VLOOKUP($AY103,'Pregnancy costs and utilities'!$A$23:$H$158,3))</f>
        <v>327.33058417585846</v>
      </c>
      <c r="BC103" s="3">
        <f>SUM(BA103:BB103)</f>
        <v>327.4501128531615</v>
      </c>
      <c r="BD103" s="3"/>
      <c r="BE103" s="3">
        <f>$AV103*(VLOOKUP($AY103,'Pregnancy costs and utilities'!$A$23:$I$158,9))</f>
        <v>2.4952216289223884E-2</v>
      </c>
      <c r="BF103" s="3">
        <f>$AV103*(VLOOKUP($AY103,'Pregnancy costs and utilities'!$A$23:$H$158,7))</f>
        <v>2.4627837477463974E-2</v>
      </c>
      <c r="BG103" s="3"/>
      <c r="BH103" s="3">
        <f>$BA103</f>
        <v>0.11952867730304581</v>
      </c>
      <c r="BI103" s="3">
        <f>$AX103*(VLOOKUP($AY103,'Pregnancy costs and utilities'!$A$23:$H$158,5))</f>
        <v>626.52486325345922</v>
      </c>
      <c r="BJ103" s="3">
        <f>SUM(BH103:BI103)</f>
        <v>626.64439193076225</v>
      </c>
      <c r="BK103" s="3"/>
      <c r="BL103" s="3">
        <f>BC103+BI103</f>
        <v>953.97497610662072</v>
      </c>
      <c r="BN103" s="1" t="str">
        <f>IF(AV103=AX103,"Okay",IF(AV103&gt;AX103,"Lost infant","Gained infant"))</f>
        <v>Okay</v>
      </c>
    </row>
    <row r="104" spans="9:66" x14ac:dyDescent="0.25">
      <c r="I104" s="238"/>
      <c r="O104" s="238"/>
      <c r="U104" s="238"/>
      <c r="AA104" s="238"/>
      <c r="AG104" s="238" t="s">
        <v>344</v>
      </c>
      <c r="AH104" s="1">
        <f>1-AH91</f>
        <v>0.99994926839999998</v>
      </c>
      <c r="AI104" s="1" t="s">
        <v>345</v>
      </c>
      <c r="AJ104" s="1">
        <f>AH104*AD99</f>
        <v>7.3396038361458013E-2</v>
      </c>
      <c r="AK104" s="1" t="s">
        <v>346</v>
      </c>
      <c r="AL104" s="1">
        <f>AH104*AF99</f>
        <v>7.3396038361458013E-2</v>
      </c>
      <c r="AM104" s="238"/>
      <c r="AS104" s="240" t="s">
        <v>466</v>
      </c>
      <c r="AT104" s="235"/>
      <c r="AU104" s="235"/>
      <c r="AV104" s="235"/>
      <c r="AW104" s="235"/>
      <c r="AX104" s="235"/>
      <c r="AY104" s="235"/>
      <c r="AZ104" s="235"/>
      <c r="BA104" s="235"/>
      <c r="BB104" s="235"/>
      <c r="BC104" s="235"/>
      <c r="BD104" s="235"/>
      <c r="BE104" s="235"/>
      <c r="BF104" s="235"/>
      <c r="BG104" s="235"/>
      <c r="BH104" s="235"/>
      <c r="BI104" s="235"/>
      <c r="BJ104" s="235"/>
      <c r="BK104" s="235"/>
      <c r="BL104" s="235"/>
      <c r="BM104" s="235"/>
      <c r="BN104" s="235"/>
    </row>
    <row r="105" spans="9:66" x14ac:dyDescent="0.25">
      <c r="I105" s="238"/>
      <c r="O105" s="238"/>
      <c r="U105" s="238"/>
      <c r="AA105" s="238"/>
      <c r="AG105" s="240" t="s">
        <v>456</v>
      </c>
      <c r="AH105" s="235"/>
      <c r="AI105" s="235"/>
      <c r="AJ105" s="235"/>
      <c r="AK105" s="235"/>
      <c r="AL105" s="239"/>
      <c r="AM105" s="238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</row>
    <row r="106" spans="9:66" x14ac:dyDescent="0.25">
      <c r="I106" s="238"/>
      <c r="O106" s="238"/>
      <c r="U106" s="238"/>
      <c r="AA106" s="238"/>
      <c r="AM106" s="238"/>
      <c r="AN106" s="3"/>
      <c r="AO106" s="3"/>
      <c r="AP106" s="3"/>
      <c r="AQ106" s="3"/>
      <c r="AR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</row>
    <row r="107" spans="9:66" x14ac:dyDescent="0.25">
      <c r="I107" s="238"/>
      <c r="O107" s="238"/>
      <c r="U107" s="238"/>
      <c r="AA107" s="238"/>
      <c r="AM107" s="238"/>
      <c r="AS107" s="236" t="s">
        <v>467</v>
      </c>
      <c r="AT107" s="237"/>
      <c r="AU107" s="237"/>
      <c r="AV107" s="237"/>
      <c r="AW107" s="237"/>
      <c r="AX107" s="237"/>
      <c r="AY107" s="237"/>
      <c r="AZ107" s="237"/>
      <c r="BA107" s="237"/>
      <c r="BB107" s="237"/>
      <c r="BC107" s="237"/>
      <c r="BD107" s="237"/>
      <c r="BE107" s="237"/>
      <c r="BF107" s="237"/>
      <c r="BG107" s="237"/>
      <c r="BH107" s="237"/>
      <c r="BI107" s="237"/>
      <c r="BJ107" s="237"/>
      <c r="BK107" s="237"/>
      <c r="BL107" s="237"/>
      <c r="BM107" s="237"/>
      <c r="BN107" s="237"/>
    </row>
    <row r="108" spans="9:66" x14ac:dyDescent="0.25">
      <c r="I108" s="238"/>
      <c r="O108" s="238"/>
      <c r="U108" s="238"/>
      <c r="AA108" s="238"/>
      <c r="AM108" s="238" t="s">
        <v>344</v>
      </c>
      <c r="AN108" s="1">
        <f>1-AN103</f>
        <v>0.42964395257145294</v>
      </c>
      <c r="AO108" s="1" t="s">
        <v>345</v>
      </c>
      <c r="AP108" s="1">
        <f>AN108*AJ104</f>
        <v>3.1534164024702806E-2</v>
      </c>
      <c r="AQ108" s="1" t="s">
        <v>346</v>
      </c>
      <c r="AR108" s="1">
        <f>AN108*AL104</f>
        <v>3.1534164024702806E-2</v>
      </c>
      <c r="AS108" s="238" t="s">
        <v>344</v>
      </c>
      <c r="AT108" s="3">
        <f>DET_NS_stillbirth_nbw_premature</f>
        <v>7.6129469648265786E-3</v>
      </c>
      <c r="AU108" s="3" t="s">
        <v>345</v>
      </c>
      <c r="AV108" s="3">
        <f>AT108*AP108</f>
        <v>2.4006791830020471E-4</v>
      </c>
      <c r="AW108" s="3" t="s">
        <v>346</v>
      </c>
      <c r="AX108" s="3">
        <f>AT108*AR108</f>
        <v>2.4006791830020471E-4</v>
      </c>
      <c r="AY108" s="3">
        <f>AY103+1</f>
        <v>27</v>
      </c>
      <c r="AZ108" s="3"/>
      <c r="BA108" s="1">
        <f>det_cost_experimental*AV108</f>
        <v>7.2980647163262233E-4</v>
      </c>
      <c r="BB108" s="3">
        <f>$AV108*(VLOOKUP($AY108,'Pregnancy costs and utilities'!$A$23:$H$158,3))</f>
        <v>1.9985829684132299</v>
      </c>
      <c r="BC108" s="3">
        <f>SUM(BA108:BB108)</f>
        <v>1.9993127748848625</v>
      </c>
      <c r="BD108" s="3"/>
      <c r="BE108" s="3">
        <f>$AV108*(VLOOKUP($AY108,'Pregnancy costs and utilities'!$A$23:$I$158,9))</f>
        <v>1.5235079430589912E-4</v>
      </c>
      <c r="BF108" s="3">
        <f>$AV108*(VLOOKUP($AY108,'Pregnancy costs and utilities'!$A$23:$H$158,7))</f>
        <v>1.3513515454933257E-4</v>
      </c>
      <c r="BG108" s="3"/>
      <c r="BH108" s="3">
        <f>$BA108</f>
        <v>7.2980647163262233E-4</v>
      </c>
      <c r="BI108" s="3">
        <f>$AX108*(VLOOKUP($AY108,'Pregnancy costs and utilities'!$A$23:$H$158,5))</f>
        <v>0.25525862240915992</v>
      </c>
      <c r="BJ108" s="3">
        <f>SUM(BH108:BI108)</f>
        <v>0.25598842888079254</v>
      </c>
      <c r="BK108" s="3"/>
      <c r="BL108" s="3">
        <f>BC108+BI108</f>
        <v>2.2545713972940225</v>
      </c>
      <c r="BN108" s="1" t="str">
        <f>IF(AV108=AX108,"Okay",IF(AV108&gt;AX108,"Lost infant","Gained infant"))</f>
        <v>Okay</v>
      </c>
    </row>
    <row r="109" spans="9:66" x14ac:dyDescent="0.25">
      <c r="I109" s="238"/>
      <c r="O109" s="238"/>
      <c r="U109" s="238"/>
      <c r="AA109" s="238"/>
      <c r="AM109" s="240" t="s">
        <v>460</v>
      </c>
      <c r="AN109" s="235"/>
      <c r="AO109" s="235"/>
      <c r="AP109" s="235"/>
      <c r="AQ109" s="235"/>
      <c r="AR109" s="239"/>
      <c r="AS109" s="238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</row>
    <row r="110" spans="9:66" x14ac:dyDescent="0.25">
      <c r="I110" s="238"/>
      <c r="O110" s="238"/>
      <c r="U110" s="238"/>
      <c r="AA110" s="238"/>
      <c r="AM110" s="237"/>
      <c r="AS110" s="238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</row>
    <row r="111" spans="9:66" x14ac:dyDescent="0.25">
      <c r="I111" s="238"/>
      <c r="O111" s="238"/>
      <c r="U111" s="238"/>
      <c r="AA111" s="238"/>
      <c r="AG111" s="3"/>
      <c r="AH111" s="3"/>
      <c r="AI111" s="3"/>
      <c r="AJ111" s="3"/>
      <c r="AK111" s="3"/>
      <c r="AL111" s="3"/>
      <c r="AM111" s="3"/>
      <c r="AS111" s="238" t="s">
        <v>344</v>
      </c>
      <c r="AT111" s="3">
        <f>1-AT108</f>
        <v>0.99238705303517338</v>
      </c>
      <c r="AU111" s="3" t="s">
        <v>345</v>
      </c>
      <c r="AV111" s="3">
        <f>AT111*AP108</f>
        <v>3.1294096106402602E-2</v>
      </c>
      <c r="AW111" s="3" t="s">
        <v>346</v>
      </c>
      <c r="AX111" s="3">
        <f>AT111*AR108</f>
        <v>3.1294096106402602E-2</v>
      </c>
      <c r="AY111" s="3">
        <f>AY108+1</f>
        <v>28</v>
      </c>
      <c r="AZ111" s="3"/>
      <c r="BA111" s="1">
        <f>det_cost_experimental*AV111</f>
        <v>9.5134052163463906E-2</v>
      </c>
      <c r="BB111" s="3">
        <f>$AV111*(VLOOKUP($AY111,'Pregnancy costs and utilities'!$A$23:$H$158,3))</f>
        <v>260.52563763198043</v>
      </c>
      <c r="BC111" s="3">
        <f>SUM(BA111:BB111)</f>
        <v>260.6207716841439</v>
      </c>
      <c r="BD111" s="3"/>
      <c r="BE111" s="3">
        <f>$AV111*(VLOOKUP($AY111,'Pregnancy costs and utilities'!$A$23:$I$158,9))</f>
        <v>1.9859714836755495E-2</v>
      </c>
      <c r="BF111" s="3">
        <f>$AV111*(VLOOKUP($AY111,'Pregnancy costs and utilities'!$A$23:$H$158,7))</f>
        <v>1.9601538543877677E-2</v>
      </c>
      <c r="BG111" s="3"/>
      <c r="BH111" s="3">
        <f>$BA111</f>
        <v>9.5134052163463906E-2</v>
      </c>
      <c r="BI111" s="3">
        <f>$AX111*(VLOOKUP($AY111,'Pregnancy costs and utilities'!$A$23:$H$158,5))</f>
        <v>498.65731276642236</v>
      </c>
      <c r="BJ111" s="3">
        <f>SUM(BH111:BI111)</f>
        <v>498.75244681858584</v>
      </c>
      <c r="BK111" s="3"/>
      <c r="BL111" s="3">
        <f>BC111+BI111</f>
        <v>759.27808445056621</v>
      </c>
      <c r="BN111" s="1" t="str">
        <f>IF(AV111=AX111,"Okay",IF(AV111&gt;AX111,"Lost infant","Gained infant"))</f>
        <v>Okay</v>
      </c>
    </row>
    <row r="112" spans="9:66" x14ac:dyDescent="0.25">
      <c r="I112" s="238"/>
      <c r="O112" s="238"/>
      <c r="U112" s="238"/>
      <c r="AA112" s="238"/>
      <c r="AG112" s="3"/>
      <c r="AH112" s="3"/>
      <c r="AI112" s="3"/>
      <c r="AJ112" s="3"/>
      <c r="AK112" s="3"/>
      <c r="AL112" s="3"/>
      <c r="AM112" s="3"/>
      <c r="AS112" s="240" t="s">
        <v>468</v>
      </c>
      <c r="AT112" s="235"/>
      <c r="AU112" s="235"/>
      <c r="AV112" s="235"/>
      <c r="AW112" s="235"/>
      <c r="AX112" s="235"/>
      <c r="AY112" s="235"/>
      <c r="AZ112" s="235"/>
      <c r="BA112" s="235"/>
      <c r="BB112" s="235"/>
      <c r="BC112" s="235"/>
      <c r="BD112" s="235"/>
      <c r="BE112" s="235"/>
      <c r="BF112" s="235"/>
      <c r="BG112" s="235"/>
      <c r="BH112" s="235"/>
      <c r="BI112" s="235"/>
      <c r="BJ112" s="235"/>
      <c r="BK112" s="235"/>
      <c r="BL112" s="235"/>
      <c r="BM112" s="235"/>
      <c r="BN112" s="235"/>
    </row>
    <row r="113" spans="9:66" x14ac:dyDescent="0.25">
      <c r="I113" s="238"/>
      <c r="O113" s="238"/>
      <c r="U113" s="236" t="s">
        <v>385</v>
      </c>
      <c r="V113" s="237"/>
      <c r="W113" s="237"/>
      <c r="X113" s="237"/>
      <c r="Y113" s="237"/>
      <c r="Z113" s="371"/>
      <c r="AA113" s="238"/>
      <c r="AG113" s="3"/>
      <c r="AH113" s="3"/>
      <c r="AI113" s="3"/>
      <c r="AJ113" s="3"/>
      <c r="AK113" s="3"/>
      <c r="AL113" s="3"/>
      <c r="AM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</row>
    <row r="114" spans="9:66" x14ac:dyDescent="0.25">
      <c r="I114" s="238"/>
      <c r="O114" s="238"/>
      <c r="U114" s="238" t="s">
        <v>344</v>
      </c>
      <c r="V114" s="3">
        <f>DET_NS_previa</f>
        <v>6.0073428290690692E-3</v>
      </c>
      <c r="W114" s="3" t="s">
        <v>345</v>
      </c>
      <c r="X114" s="3">
        <f>V114*R144</f>
        <v>0.29019587505089356</v>
      </c>
      <c r="Y114" s="3" t="s">
        <v>346</v>
      </c>
      <c r="Z114" s="370">
        <f>V114*T144</f>
        <v>0.29019587505089356</v>
      </c>
      <c r="AA114" s="238"/>
      <c r="AG114" s="3"/>
      <c r="AH114" s="3"/>
      <c r="AI114" s="3"/>
      <c r="AJ114" s="3"/>
      <c r="AK114" s="3"/>
      <c r="AL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</row>
    <row r="115" spans="9:66" x14ac:dyDescent="0.25">
      <c r="I115" s="238"/>
      <c r="O115" s="238"/>
      <c r="U115" s="238"/>
      <c r="AA115" s="238"/>
      <c r="AG115" s="3"/>
      <c r="AH115" s="3"/>
      <c r="AI115" s="3"/>
      <c r="AJ115" s="3"/>
      <c r="AK115" s="3"/>
      <c r="AL115" s="3"/>
      <c r="AS115" s="236" t="s">
        <v>469</v>
      </c>
      <c r="AT115" s="237"/>
      <c r="AU115" s="237"/>
      <c r="AV115" s="237"/>
      <c r="AW115" s="237"/>
      <c r="AX115" s="237"/>
      <c r="AY115" s="237"/>
      <c r="AZ115" s="237"/>
      <c r="BA115" s="237"/>
      <c r="BB115" s="237"/>
      <c r="BC115" s="237"/>
      <c r="BD115" s="237"/>
      <c r="BE115" s="237"/>
      <c r="BF115" s="237"/>
      <c r="BG115" s="237"/>
      <c r="BH115" s="237"/>
      <c r="BI115" s="237"/>
      <c r="BJ115" s="237"/>
      <c r="BK115" s="237"/>
      <c r="BL115" s="237"/>
      <c r="BM115" s="237"/>
      <c r="BN115" s="237"/>
    </row>
    <row r="116" spans="9:66" x14ac:dyDescent="0.25">
      <c r="I116" s="238"/>
      <c r="O116" s="238"/>
      <c r="U116" s="238"/>
      <c r="AA116" s="238"/>
      <c r="AG116" s="3"/>
      <c r="AH116" s="3"/>
      <c r="AI116" s="3"/>
      <c r="AJ116" s="3"/>
      <c r="AK116" s="3"/>
      <c r="AL116" s="3"/>
      <c r="AS116" s="238" t="s">
        <v>344</v>
      </c>
      <c r="AT116" s="3">
        <f>DET_NS_stillbirth_lbw_fullgest</f>
        <v>1.5360924440585004E-2</v>
      </c>
      <c r="AU116" s="3" t="s">
        <v>345</v>
      </c>
      <c r="AV116" s="3">
        <f>AT116*AP119</f>
        <v>4.551730113492674E-9</v>
      </c>
      <c r="AW116" s="3" t="s">
        <v>346</v>
      </c>
      <c r="AX116" s="3">
        <f>AT116*AR119</f>
        <v>4.551730113492674E-9</v>
      </c>
      <c r="AY116" s="3">
        <f>AY111+1</f>
        <v>29</v>
      </c>
      <c r="AZ116" s="3"/>
      <c r="BA116" s="1">
        <f>det_cost_experimental*AV116</f>
        <v>1.3837259545017728E-8</v>
      </c>
      <c r="BB116" s="3">
        <f>$AV116*(VLOOKUP($AY116,'Pregnancy costs and utilities'!$A$23:$H$158,3))</f>
        <v>4.0251134086068459E-5</v>
      </c>
      <c r="BC116" s="3">
        <f>SUM(BA116:BB116)</f>
        <v>4.0264971345613473E-5</v>
      </c>
      <c r="BD116" s="3"/>
      <c r="BE116" s="3">
        <f>$AV116*(VLOOKUP($AY116,'Pregnancy costs and utilities'!$A$23:$I$158,9))</f>
        <v>0</v>
      </c>
      <c r="BF116" s="3">
        <f>$AV116*(VLOOKUP($AY116,'Pregnancy costs and utilities'!$A$23:$H$158,7))</f>
        <v>0</v>
      </c>
      <c r="BG116" s="3"/>
      <c r="BH116" s="3">
        <f>$BA116</f>
        <v>1.3837259545017728E-8</v>
      </c>
      <c r="BI116" s="3">
        <f>$AX116*(VLOOKUP($AY116,'Pregnancy costs and utilities'!$A$23:$H$158,5))</f>
        <v>4.8397485452242467E-6</v>
      </c>
      <c r="BJ116" s="3">
        <f>SUM(BH116:BI116)</f>
        <v>4.8535858047692645E-6</v>
      </c>
      <c r="BK116" s="3"/>
      <c r="BL116" s="3">
        <f>BC116+BI116</f>
        <v>4.5104719890837718E-5</v>
      </c>
      <c r="BN116" s="1" t="str">
        <f>IF(AV116=AX116,"Okay",IF(AV116&gt;AX116,"Lost infant","Gained infant"))</f>
        <v>Okay</v>
      </c>
    </row>
    <row r="117" spans="9:66" x14ac:dyDescent="0.25">
      <c r="I117" s="238"/>
      <c r="O117" s="238"/>
      <c r="U117" s="238"/>
      <c r="AA117" s="238"/>
      <c r="AG117" s="3"/>
      <c r="AH117" s="3"/>
      <c r="AI117" s="3"/>
      <c r="AJ117" s="3"/>
      <c r="AK117" s="3"/>
      <c r="AL117" s="3"/>
      <c r="AS117" s="238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</row>
    <row r="118" spans="9:66" x14ac:dyDescent="0.25">
      <c r="I118" s="238"/>
      <c r="O118" s="238"/>
      <c r="U118" s="238"/>
      <c r="AA118" s="238"/>
      <c r="AG118" s="3"/>
      <c r="AH118" s="3"/>
      <c r="AI118" s="3"/>
      <c r="AJ118" s="3"/>
      <c r="AK118" s="3"/>
      <c r="AL118" s="3"/>
      <c r="AM118" s="236" t="s">
        <v>477</v>
      </c>
      <c r="AN118" s="237"/>
      <c r="AO118" s="237"/>
      <c r="AP118" s="237"/>
      <c r="AQ118" s="237"/>
      <c r="AR118" s="371"/>
      <c r="AS118" s="238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</row>
    <row r="119" spans="9:66" x14ac:dyDescent="0.25">
      <c r="I119" s="238"/>
      <c r="O119" s="238"/>
      <c r="U119" s="238"/>
      <c r="AA119" s="238"/>
      <c r="AG119" s="3"/>
      <c r="AH119" s="3"/>
      <c r="AI119" s="3"/>
      <c r="AJ119" s="3"/>
      <c r="AK119" s="3"/>
      <c r="AL119" s="3"/>
      <c r="AM119" s="238" t="s">
        <v>344</v>
      </c>
      <c r="AN119" s="3">
        <f>DET_NS_lbw_fullgest</f>
        <v>2.6941954581366025E-2</v>
      </c>
      <c r="AO119" s="3" t="s">
        <v>345</v>
      </c>
      <c r="AP119" s="3">
        <f>AN119*AJ123</f>
        <v>2.9631876200540222E-7</v>
      </c>
      <c r="AQ119" s="3" t="s">
        <v>346</v>
      </c>
      <c r="AR119" s="370">
        <f>AN119*AL123</f>
        <v>2.9631876200540222E-7</v>
      </c>
      <c r="AS119" s="238" t="s">
        <v>344</v>
      </c>
      <c r="AT119" s="3">
        <f>1-AT116</f>
        <v>0.98463907555941499</v>
      </c>
      <c r="AU119" s="3" t="s">
        <v>345</v>
      </c>
      <c r="AV119" s="3">
        <f>AT119*AP119</f>
        <v>2.9176703189190955E-7</v>
      </c>
      <c r="AW119" s="3" t="s">
        <v>346</v>
      </c>
      <c r="AX119" s="3">
        <f>AT119*AR119</f>
        <v>2.9176703189190955E-7</v>
      </c>
      <c r="AY119" s="3">
        <f>AY116+1</f>
        <v>30</v>
      </c>
      <c r="AZ119" s="3"/>
      <c r="BA119" s="1">
        <f>det_cost_experimental*AV119</f>
        <v>8.8697177695140503E-7</v>
      </c>
      <c r="BB119" s="3">
        <f>$AV119*(VLOOKUP($AY119,'Pregnancy costs and utilities'!$A$23:$H$158,3))</f>
        <v>2.5801077018522941E-3</v>
      </c>
      <c r="BC119" s="3">
        <f>SUM(BA119:BB119)</f>
        <v>2.5809946736292453E-3</v>
      </c>
      <c r="BD119" s="3"/>
      <c r="BE119" s="3">
        <f>$AV119*(VLOOKUP($AY119,'Pregnancy costs and utilities'!$A$23:$I$158,9))</f>
        <v>0</v>
      </c>
      <c r="BF119" s="3">
        <f>$AV119*(VLOOKUP($AY119,'Pregnancy costs and utilities'!$A$23:$H$158,7))</f>
        <v>0</v>
      </c>
      <c r="BG119" s="3"/>
      <c r="BH119" s="3">
        <f>$BA119</f>
        <v>8.8697177695140503E-7</v>
      </c>
      <c r="BI119" s="3">
        <f>$AX119*(VLOOKUP($AY119,'Pregnancy costs and utilities'!$A$23:$H$158,5))</f>
        <v>7.7197697278394298E-4</v>
      </c>
      <c r="BJ119" s="3">
        <f>SUM(BH119:BI119)</f>
        <v>7.7286394456089439E-4</v>
      </c>
      <c r="BK119" s="3"/>
      <c r="BL119" s="3">
        <f>BC119+BI119</f>
        <v>3.3529716464131883E-3</v>
      </c>
      <c r="BN119" s="1" t="str">
        <f>IF(AV119=AX119,"Okay",IF(AV119&gt;AX119,"Lost infant","Gained infant"))</f>
        <v>Okay</v>
      </c>
    </row>
    <row r="120" spans="9:66" x14ac:dyDescent="0.25">
      <c r="I120" s="238"/>
      <c r="O120" s="238"/>
      <c r="U120" s="238"/>
      <c r="AA120" s="238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238"/>
      <c r="AN120" s="3"/>
      <c r="AO120" s="3"/>
      <c r="AP120" s="3"/>
      <c r="AQ120" s="3"/>
      <c r="AR120" s="3"/>
      <c r="AS120" s="240" t="s">
        <v>470</v>
      </c>
      <c r="AT120" s="235"/>
      <c r="AU120" s="235"/>
      <c r="AV120" s="235"/>
      <c r="AW120" s="235"/>
      <c r="AX120" s="235"/>
      <c r="AY120" s="235"/>
      <c r="AZ120" s="235"/>
      <c r="BA120" s="235"/>
      <c r="BB120" s="235"/>
      <c r="BC120" s="235"/>
      <c r="BD120" s="235"/>
      <c r="BE120" s="235"/>
      <c r="BF120" s="235"/>
      <c r="BG120" s="235"/>
      <c r="BH120" s="235"/>
      <c r="BI120" s="235"/>
      <c r="BJ120" s="235"/>
      <c r="BK120" s="235"/>
      <c r="BL120" s="235"/>
      <c r="BM120" s="235"/>
      <c r="BN120" s="235"/>
    </row>
    <row r="121" spans="9:66" x14ac:dyDescent="0.25">
      <c r="I121" s="238"/>
      <c r="O121" s="238"/>
      <c r="U121" s="238"/>
      <c r="AA121" s="238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238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</row>
    <row r="122" spans="9:66" x14ac:dyDescent="0.25">
      <c r="I122" s="238"/>
      <c r="O122" s="238"/>
      <c r="U122" s="238"/>
      <c r="AA122" s="238"/>
      <c r="AG122" s="236" t="s">
        <v>481</v>
      </c>
      <c r="AH122" s="237"/>
      <c r="AI122" s="237"/>
      <c r="AJ122" s="237"/>
      <c r="AK122" s="237"/>
      <c r="AL122" s="371"/>
      <c r="AM122" s="238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</row>
    <row r="123" spans="9:66" x14ac:dyDescent="0.25">
      <c r="I123" s="238"/>
      <c r="O123" s="238"/>
      <c r="U123" s="238"/>
      <c r="AA123" s="238"/>
      <c r="AG123" s="238" t="s">
        <v>344</v>
      </c>
      <c r="AH123" s="3">
        <f>DET_MORT_previa</f>
        <v>5.0731599999999045E-5</v>
      </c>
      <c r="AI123" s="3" t="s">
        <v>345</v>
      </c>
      <c r="AJ123" s="3">
        <f>AH123*AD128</f>
        <v>1.0998413686375463E-5</v>
      </c>
      <c r="AK123" s="3" t="s">
        <v>346</v>
      </c>
      <c r="AL123" s="370">
        <f>AH123*AF128</f>
        <v>1.0998413686375463E-5</v>
      </c>
      <c r="AM123" s="238"/>
      <c r="AN123" s="3"/>
      <c r="AO123" s="3"/>
      <c r="AP123" s="3"/>
      <c r="AQ123" s="3"/>
      <c r="AR123" s="3"/>
      <c r="AS123" s="236" t="s">
        <v>471</v>
      </c>
      <c r="AT123" s="237"/>
      <c r="AU123" s="237"/>
      <c r="AV123" s="237"/>
      <c r="AW123" s="237"/>
      <c r="AX123" s="3"/>
      <c r="BJ123" s="237"/>
      <c r="BK123" s="237"/>
      <c r="BL123" s="237"/>
      <c r="BM123" s="237"/>
      <c r="BN123" s="237"/>
    </row>
    <row r="124" spans="9:66" x14ac:dyDescent="0.25">
      <c r="I124" s="238"/>
      <c r="O124" s="238"/>
      <c r="U124" s="238"/>
      <c r="AA124" s="238"/>
      <c r="AG124" s="238"/>
      <c r="AH124" s="3"/>
      <c r="AI124" s="3"/>
      <c r="AJ124" s="3"/>
      <c r="AK124" s="3"/>
      <c r="AL124" s="3"/>
      <c r="AM124" s="238" t="s">
        <v>344</v>
      </c>
      <c r="AN124" s="1">
        <f>1-AN119</f>
        <v>0.97305804541863394</v>
      </c>
      <c r="AO124" s="1" t="s">
        <v>345</v>
      </c>
      <c r="AP124" s="1">
        <f>AN124*AJ123</f>
        <v>1.070209492437006E-5</v>
      </c>
      <c r="AQ124" s="1" t="s">
        <v>346</v>
      </c>
      <c r="AR124" s="1">
        <f>AN124*AL123</f>
        <v>1.070209492437006E-5</v>
      </c>
      <c r="AS124" s="238" t="s">
        <v>344</v>
      </c>
      <c r="AT124" s="1">
        <f>DET_NS_stillbirth_nbw_fullgest</f>
        <v>1.6109941848144384E-3</v>
      </c>
      <c r="AU124" s="1" t="s">
        <v>345</v>
      </c>
      <c r="AV124" s="1">
        <f>AT124*AP124</f>
        <v>1.7241012688492284E-8</v>
      </c>
      <c r="AW124" s="1" t="s">
        <v>346</v>
      </c>
      <c r="AX124" s="1">
        <f>AT124*AR124</f>
        <v>1.7241012688492284E-8</v>
      </c>
      <c r="AY124" s="1">
        <f>AY119+1</f>
        <v>31</v>
      </c>
      <c r="BA124" s="1">
        <f>det_cost_experimental*AV124</f>
        <v>5.2412678573016542E-8</v>
      </c>
      <c r="BB124" s="1">
        <f>$AV124*(VLOOKUP($AY124,'Pregnancy costs and utilities'!$A$23:$H$158,3))</f>
        <v>1.5246297478116669E-4</v>
      </c>
      <c r="BC124" s="1">
        <f>SUM(BA124:BB124)</f>
        <v>1.5251538745973971E-4</v>
      </c>
      <c r="BE124" s="1">
        <f>$AV124*(VLOOKUP($AY124,'Pregnancy costs and utilities'!$A$23:$I$158,9))</f>
        <v>0</v>
      </c>
      <c r="BF124" s="1">
        <f>$AV124*(VLOOKUP($AY124,'Pregnancy costs and utilities'!$A$23:$H$158,7))</f>
        <v>0</v>
      </c>
      <c r="BH124" s="1">
        <f>$BA124</f>
        <v>5.2412678573016542E-8</v>
      </c>
      <c r="BI124" s="1">
        <f>$AX124*(VLOOKUP($AY124,'Pregnancy costs and utilities'!$A$23:$H$158,5))</f>
        <v>1.8331966965698614E-5</v>
      </c>
      <c r="BJ124" s="3">
        <f>SUM(BH124:BI124)</f>
        <v>1.8384379644271632E-5</v>
      </c>
      <c r="BK124" s="3"/>
      <c r="BL124" s="3">
        <f>BC124+BI124</f>
        <v>1.7084735442543831E-4</v>
      </c>
      <c r="BN124" s="1" t="str">
        <f>IF(AV124=AX124,"Okay",IF(AV124&gt;AX124,"Lost infant","Gained infant"))</f>
        <v>Okay</v>
      </c>
    </row>
    <row r="125" spans="9:66" x14ac:dyDescent="0.25">
      <c r="I125" s="238"/>
      <c r="O125" s="238"/>
      <c r="U125" s="238"/>
      <c r="AA125" s="238"/>
      <c r="AG125" s="238"/>
      <c r="AH125" s="3"/>
      <c r="AI125" s="3"/>
      <c r="AJ125" s="3"/>
      <c r="AK125" s="3"/>
      <c r="AL125" s="3"/>
      <c r="AM125" s="240" t="s">
        <v>478</v>
      </c>
      <c r="AN125" s="235"/>
      <c r="AO125" s="235"/>
      <c r="AP125" s="235"/>
      <c r="AQ125" s="235"/>
      <c r="AR125" s="239"/>
      <c r="AS125" s="238"/>
      <c r="BJ125" s="3"/>
      <c r="BK125" s="3"/>
      <c r="BL125" s="3"/>
    </row>
    <row r="126" spans="9:66" x14ac:dyDescent="0.25">
      <c r="I126" s="238"/>
      <c r="O126" s="238"/>
      <c r="U126" s="238"/>
      <c r="AA126" s="238"/>
      <c r="AG126" s="238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238"/>
      <c r="BJ126" s="3"/>
      <c r="BK126" s="3"/>
      <c r="BL126" s="3"/>
    </row>
    <row r="127" spans="9:66" x14ac:dyDescent="0.25">
      <c r="I127" s="238"/>
      <c r="O127" s="238"/>
      <c r="U127" s="238"/>
      <c r="AA127" s="238"/>
      <c r="AG127" s="238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238" t="s">
        <v>344</v>
      </c>
      <c r="AT127" s="1">
        <f>1-AT124</f>
        <v>0.99838900581518553</v>
      </c>
      <c r="AU127" s="1" t="s">
        <v>345</v>
      </c>
      <c r="AV127" s="1">
        <f>AT127*AP124</f>
        <v>1.0684853911681566E-5</v>
      </c>
      <c r="AW127" s="1" t="s">
        <v>346</v>
      </c>
      <c r="AX127" s="1">
        <f>AT127*AR124</f>
        <v>1.0684853911681566E-5</v>
      </c>
      <c r="AY127" s="1">
        <f>AY124+1</f>
        <v>32</v>
      </c>
      <c r="BA127" s="1">
        <f>det_cost_experimental*AV127</f>
        <v>3.2481955891511964E-5</v>
      </c>
      <c r="BB127" s="1">
        <f>$AV127*(VLOOKUP($AY127,'Pregnancy costs and utilities'!$A$23:$H$158,3))</f>
        <v>9.4486596693040076E-2</v>
      </c>
      <c r="BC127" s="1">
        <f>SUM(BA127:BB127)</f>
        <v>9.4519078648931582E-2</v>
      </c>
      <c r="BE127" s="1">
        <f>$AV127*(VLOOKUP($AY127,'Pregnancy costs and utilities'!$A$23:$I$158,9))</f>
        <v>0</v>
      </c>
      <c r="BF127" s="1">
        <f>$AV127*(VLOOKUP($AY127,'Pregnancy costs and utilities'!$A$23:$H$158,7))</f>
        <v>0</v>
      </c>
      <c r="BH127" s="1">
        <f>$BA127</f>
        <v>3.2481955891511964E-5</v>
      </c>
      <c r="BI127" s="1">
        <f>$AX127*(VLOOKUP($AY127,'Pregnancy costs and utilities'!$A$23:$H$158,5))</f>
        <v>2.8270710106940392E-2</v>
      </c>
      <c r="BJ127" s="3">
        <f>SUM(BH127:BI127)</f>
        <v>2.8303192062831904E-2</v>
      </c>
      <c r="BK127" s="3"/>
      <c r="BL127" s="3">
        <f>BC127+BI127</f>
        <v>0.12278978875587197</v>
      </c>
      <c r="BN127" s="1" t="str">
        <f>IF(AV127=AX127,"Okay",IF(AV127&gt;AX127,"Lost infant","Gained infant"))</f>
        <v>Okay</v>
      </c>
    </row>
    <row r="128" spans="9:66" x14ac:dyDescent="0.25">
      <c r="I128" s="238"/>
      <c r="O128" s="238"/>
      <c r="U128" s="238"/>
      <c r="AA128" s="238" t="s">
        <v>344</v>
      </c>
      <c r="AB128" s="1">
        <f>1-AB99</f>
        <v>0.74706821027020531</v>
      </c>
      <c r="AC128" s="1" t="s">
        <v>345</v>
      </c>
      <c r="AD128" s="1">
        <f>AB128*X114</f>
        <v>0.21679611300206716</v>
      </c>
      <c r="AE128" s="1" t="s">
        <v>346</v>
      </c>
      <c r="AF128" s="1">
        <f>AB128*Z114</f>
        <v>0.21679611300206716</v>
      </c>
      <c r="AG128" s="238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240" t="s">
        <v>472</v>
      </c>
      <c r="AT128" s="235"/>
      <c r="AU128" s="235"/>
      <c r="AV128" s="235"/>
      <c r="AW128" s="235"/>
      <c r="AX128" s="235"/>
      <c r="AY128" s="235"/>
      <c r="AZ128" s="235"/>
      <c r="BA128" s="235"/>
      <c r="BB128" s="235"/>
      <c r="BC128" s="235"/>
      <c r="BD128" s="235"/>
      <c r="BE128" s="235"/>
      <c r="BF128" s="235"/>
      <c r="BG128" s="235"/>
      <c r="BH128" s="235"/>
      <c r="BI128" s="235"/>
      <c r="BJ128" s="235"/>
      <c r="BK128" s="235"/>
      <c r="BL128" s="235"/>
      <c r="BM128" s="235"/>
      <c r="BN128" s="235"/>
    </row>
    <row r="129" spans="9:66" x14ac:dyDescent="0.25">
      <c r="I129" s="238"/>
      <c r="O129" s="238"/>
      <c r="U129" s="238"/>
      <c r="AA129" s="240" t="s">
        <v>454</v>
      </c>
      <c r="AB129" s="235"/>
      <c r="AC129" s="235"/>
      <c r="AD129" s="235"/>
      <c r="AE129" s="235"/>
      <c r="AF129" s="235"/>
      <c r="AG129" s="238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</row>
    <row r="130" spans="9:66" x14ac:dyDescent="0.25">
      <c r="I130" s="238"/>
      <c r="O130" s="238"/>
      <c r="U130" s="238"/>
      <c r="AA130" s="237"/>
      <c r="AG130" s="238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</row>
    <row r="131" spans="9:66" x14ac:dyDescent="0.25">
      <c r="I131" s="238"/>
      <c r="O131" s="238"/>
      <c r="U131" s="238"/>
      <c r="AA131" s="3"/>
      <c r="AG131" s="238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236" t="s">
        <v>473</v>
      </c>
      <c r="AT131" s="237"/>
      <c r="AU131" s="237"/>
      <c r="AV131" s="237"/>
      <c r="AW131" s="237"/>
      <c r="AX131" s="237"/>
      <c r="AY131" s="237"/>
      <c r="AZ131" s="237"/>
      <c r="BA131" s="237"/>
      <c r="BB131" s="237"/>
      <c r="BC131" s="237"/>
      <c r="BD131" s="237"/>
      <c r="BE131" s="237"/>
      <c r="BF131" s="237"/>
      <c r="BG131" s="237"/>
      <c r="BH131" s="237"/>
      <c r="BI131" s="237"/>
      <c r="BJ131" s="237"/>
      <c r="BK131" s="237"/>
      <c r="BL131" s="237"/>
      <c r="BM131" s="237"/>
      <c r="BN131" s="237"/>
    </row>
    <row r="132" spans="9:66" x14ac:dyDescent="0.25">
      <c r="I132" s="238"/>
      <c r="O132" s="238"/>
      <c r="U132" s="238"/>
      <c r="AA132" s="3"/>
      <c r="AG132" s="238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238" t="s">
        <v>344</v>
      </c>
      <c r="AT132" s="3">
        <f>DET_NS_stillbirth_lbw_fullgest</f>
        <v>1.5360924440585004E-2</v>
      </c>
      <c r="AU132" s="3" t="s">
        <v>345</v>
      </c>
      <c r="AV132" s="3">
        <f>AT132*AP135</f>
        <v>8.9717241264642428E-5</v>
      </c>
      <c r="AW132" s="3" t="s">
        <v>346</v>
      </c>
      <c r="AX132" s="3">
        <f>AT132*AR135</f>
        <v>8.9717241264642428E-5</v>
      </c>
      <c r="AY132" s="3">
        <f>AY127+1</f>
        <v>33</v>
      </c>
      <c r="AZ132" s="3"/>
      <c r="BA132" s="1">
        <f>det_cost_experimental*AV132</f>
        <v>2.7274041344451299E-4</v>
      </c>
      <c r="BB132" s="3">
        <f>$AV132*(VLOOKUP($AY132,'Pregnancy costs and utilities'!$A$23:$H$158,3))</f>
        <v>0.64704618960401983</v>
      </c>
      <c r="BC132" s="3">
        <f>SUM(BA132:BB132)</f>
        <v>0.64731893001746432</v>
      </c>
      <c r="BD132" s="3"/>
      <c r="BE132" s="3">
        <f>$AV132*(VLOOKUP($AY132,'Pregnancy costs and utilities'!$A$23:$I$158,9))</f>
        <v>6.5562599385700232E-5</v>
      </c>
      <c r="BF132" s="3">
        <f>$AV132*(VLOOKUP($AY132,'Pregnancy costs and utilities'!$A$23:$H$158,7))</f>
        <v>5.8154025655116113E-5</v>
      </c>
      <c r="BG132" s="3"/>
      <c r="BH132" s="3">
        <f>$BA132</f>
        <v>2.7274041344451299E-4</v>
      </c>
      <c r="BI132" s="3">
        <f>$AX132*(VLOOKUP($AY132,'Pregnancy costs and utilities'!$A$23:$H$158,5))</f>
        <v>9.5394251650589387E-2</v>
      </c>
      <c r="BJ132" s="3">
        <f>SUM(BH132:BI132)</f>
        <v>9.5666992064033896E-2</v>
      </c>
      <c r="BK132" s="3"/>
      <c r="BL132" s="3">
        <f>BC132+BI132</f>
        <v>0.74271318166805367</v>
      </c>
      <c r="BN132" s="1" t="str">
        <f>IF(AV132=AX132,"Okay",IF(AV132&gt;AX132,"Lost infant","Gained infant"))</f>
        <v>Okay</v>
      </c>
    </row>
    <row r="133" spans="9:66" x14ac:dyDescent="0.25">
      <c r="I133" s="238"/>
      <c r="O133" s="238"/>
      <c r="U133" s="238"/>
      <c r="AA133" s="3"/>
      <c r="AG133" s="238"/>
      <c r="AH133" s="3"/>
      <c r="AI133" s="3"/>
      <c r="AJ133" s="3"/>
      <c r="AK133" s="3"/>
      <c r="AL133" s="3"/>
      <c r="AM133" s="3"/>
      <c r="AS133" s="238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</row>
    <row r="134" spans="9:66" x14ac:dyDescent="0.25">
      <c r="I134" s="238"/>
      <c r="O134" s="238"/>
      <c r="U134" s="238"/>
      <c r="AA134" s="3"/>
      <c r="AG134" s="238"/>
      <c r="AM134" s="236" t="s">
        <v>479</v>
      </c>
      <c r="AN134" s="237"/>
      <c r="AO134" s="237"/>
      <c r="AP134" s="237"/>
      <c r="AQ134" s="237"/>
      <c r="AR134" s="371"/>
      <c r="AS134" s="238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</row>
    <row r="135" spans="9:66" x14ac:dyDescent="0.25">
      <c r="I135" s="238"/>
      <c r="O135" s="238"/>
      <c r="U135" s="238"/>
      <c r="AA135" s="3"/>
      <c r="AG135" s="238"/>
      <c r="AM135" s="238" t="s">
        <v>344</v>
      </c>
      <c r="AN135" s="3">
        <f>DET_NS_lbw_fullgest</f>
        <v>2.6941954581366025E-2</v>
      </c>
      <c r="AO135" s="3" t="s">
        <v>345</v>
      </c>
      <c r="AP135" s="3">
        <f>AN135*AJ136</f>
        <v>5.8406147111563847E-3</v>
      </c>
      <c r="AQ135" s="3" t="s">
        <v>346</v>
      </c>
      <c r="AR135" s="370">
        <f>AN135*AL136</f>
        <v>5.8406147111563847E-3</v>
      </c>
      <c r="AS135" s="238" t="s">
        <v>344</v>
      </c>
      <c r="AT135" s="3">
        <f>1-AT132</f>
        <v>0.98463907555941499</v>
      </c>
      <c r="AU135" s="3" t="s">
        <v>345</v>
      </c>
      <c r="AV135" s="3">
        <f>AT135*AP135</f>
        <v>5.7508974698917423E-3</v>
      </c>
      <c r="AW135" s="3" t="s">
        <v>346</v>
      </c>
      <c r="AX135" s="3">
        <f>AT135*AR135</f>
        <v>5.7508974698917423E-3</v>
      </c>
      <c r="AY135" s="3">
        <f>AY132+1</f>
        <v>34</v>
      </c>
      <c r="AZ135" s="3"/>
      <c r="BA135" s="1">
        <f>det_cost_experimental*AV135</f>
        <v>1.7482728308470898E-2</v>
      </c>
      <c r="BB135" s="3">
        <f>$AV135*(VLOOKUP($AY135,'Pregnancy costs and utilities'!$A$23:$H$158,3))</f>
        <v>41.475821617392228</v>
      </c>
      <c r="BC135" s="3">
        <f>SUM(BA135:BB135)</f>
        <v>41.4933043457007</v>
      </c>
      <c r="BD135" s="3"/>
      <c r="BE135" s="3">
        <f>$AV135*(VLOOKUP($AY135,'Pregnancy costs and utilities'!$A$23:$I$158,9))</f>
        <v>4.2025789203055039E-3</v>
      </c>
      <c r="BF135" s="3">
        <f>$AV135*(VLOOKUP($AY135,'Pregnancy costs and utilities'!$A$23:$H$158,7))</f>
        <v>4.1479453943415326E-3</v>
      </c>
      <c r="BG135" s="3"/>
      <c r="BH135" s="3">
        <f>$BA135</f>
        <v>1.7482728308470898E-2</v>
      </c>
      <c r="BI135" s="3">
        <f>$AX135*(VLOOKUP($AY135,'Pregnancy costs and utilities'!$A$23:$H$158,5))</f>
        <v>15.216114003046721</v>
      </c>
      <c r="BJ135" s="3">
        <f>SUM(BH135:BI135)</f>
        <v>15.233596731355192</v>
      </c>
      <c r="BK135" s="3"/>
      <c r="BL135" s="3">
        <f>BC135+BI135</f>
        <v>56.70941834874742</v>
      </c>
      <c r="BN135" s="1" t="str">
        <f>IF(AV135=AX135,"Okay",IF(AV135&gt;AX135,"Lost infant","Gained infant"))</f>
        <v>Okay</v>
      </c>
    </row>
    <row r="136" spans="9:66" x14ac:dyDescent="0.25">
      <c r="I136" s="238"/>
      <c r="O136" s="238"/>
      <c r="U136" s="238"/>
      <c r="AA136" s="3"/>
      <c r="AG136" s="238" t="s">
        <v>344</v>
      </c>
      <c r="AH136" s="1">
        <f>1-AH123</f>
        <v>0.99994926839999998</v>
      </c>
      <c r="AI136" s="1" t="s">
        <v>345</v>
      </c>
      <c r="AJ136" s="1">
        <f>AH136*AD128</f>
        <v>0.21678511458838079</v>
      </c>
      <c r="AK136" s="1" t="s">
        <v>346</v>
      </c>
      <c r="AL136" s="1">
        <f>AH136*AF128</f>
        <v>0.21678511458838079</v>
      </c>
      <c r="AM136" s="238"/>
      <c r="AS136" s="240" t="s">
        <v>474</v>
      </c>
      <c r="AT136" s="235"/>
      <c r="AU136" s="235"/>
      <c r="AV136" s="235"/>
      <c r="AW136" s="235"/>
      <c r="AX136" s="235"/>
      <c r="AY136" s="235"/>
      <c r="AZ136" s="235"/>
      <c r="BA136" s="235"/>
      <c r="BB136" s="235"/>
      <c r="BC136" s="235"/>
      <c r="BD136" s="235"/>
      <c r="BE136" s="235"/>
      <c r="BF136" s="235"/>
      <c r="BG136" s="235"/>
      <c r="BH136" s="235"/>
      <c r="BI136" s="235"/>
      <c r="BJ136" s="235"/>
      <c r="BK136" s="235"/>
      <c r="BL136" s="235"/>
      <c r="BM136" s="235"/>
      <c r="BN136" s="235"/>
    </row>
    <row r="137" spans="9:66" x14ac:dyDescent="0.25">
      <c r="I137" s="238"/>
      <c r="O137" s="238"/>
      <c r="U137" s="238"/>
      <c r="AA137" s="3"/>
      <c r="AG137" s="240" t="s">
        <v>482</v>
      </c>
      <c r="AH137" s="235"/>
      <c r="AI137" s="235"/>
      <c r="AJ137" s="235"/>
      <c r="AK137" s="235"/>
      <c r="AL137" s="239"/>
      <c r="AM137" s="238"/>
    </row>
    <row r="138" spans="9:66" x14ac:dyDescent="0.25">
      <c r="I138" s="238"/>
      <c r="O138" s="238"/>
      <c r="U138" s="238"/>
      <c r="AA138" s="3"/>
      <c r="AM138" s="238"/>
    </row>
    <row r="139" spans="9:66" x14ac:dyDescent="0.25">
      <c r="I139" s="238"/>
      <c r="O139" s="238"/>
      <c r="U139" s="238"/>
      <c r="AA139" s="3"/>
      <c r="AM139" s="238"/>
      <c r="AS139" s="236" t="s">
        <v>475</v>
      </c>
      <c r="AT139" s="237"/>
      <c r="AU139" s="237"/>
      <c r="AV139" s="237"/>
      <c r="AW139" s="237"/>
      <c r="AX139" s="237"/>
      <c r="AY139" s="237"/>
      <c r="AZ139" s="237"/>
      <c r="BA139" s="237"/>
      <c r="BB139" s="237"/>
      <c r="BC139" s="237"/>
      <c r="BD139" s="237"/>
      <c r="BE139" s="237"/>
      <c r="BF139" s="237"/>
      <c r="BG139" s="237"/>
      <c r="BH139" s="237"/>
      <c r="BI139" s="237"/>
      <c r="BJ139" s="237"/>
      <c r="BK139" s="237"/>
      <c r="BL139" s="237"/>
      <c r="BM139" s="237"/>
      <c r="BN139" s="237"/>
    </row>
    <row r="140" spans="9:66" x14ac:dyDescent="0.25">
      <c r="I140" s="238"/>
      <c r="O140" s="238"/>
      <c r="U140" s="238"/>
      <c r="AA140" s="3"/>
      <c r="AM140" s="238" t="s">
        <v>344</v>
      </c>
      <c r="AN140" s="1">
        <f>1-AN135</f>
        <v>0.97305804541863394</v>
      </c>
      <c r="AO140" s="1" t="s">
        <v>345</v>
      </c>
      <c r="AP140" s="1">
        <f>AN140*AJ136</f>
        <v>0.21094449987722441</v>
      </c>
      <c r="AQ140" s="1" t="s">
        <v>346</v>
      </c>
      <c r="AR140" s="1">
        <f>AN140*AL136</f>
        <v>0.21094449987722441</v>
      </c>
      <c r="AS140" s="238" t="s">
        <v>344</v>
      </c>
      <c r="AT140" s="3">
        <f>DET_NS_stillbirth_nbw_fullgest</f>
        <v>1.6109941848144384E-3</v>
      </c>
      <c r="AU140" s="3" t="s">
        <v>345</v>
      </c>
      <c r="AV140" s="3">
        <f>AT140*AP140</f>
        <v>3.3983036262079857E-4</v>
      </c>
      <c r="AW140" s="3" t="s">
        <v>346</v>
      </c>
      <c r="AX140" s="3">
        <f>AT140*AR140</f>
        <v>3.3983036262079857E-4</v>
      </c>
      <c r="AY140" s="3">
        <f>AY135+1</f>
        <v>35</v>
      </c>
      <c r="AZ140" s="3"/>
      <c r="BA140" s="1">
        <f>det_cost_experimental*AV140</f>
        <v>1.0330843023672277E-3</v>
      </c>
      <c r="BB140" s="3">
        <f>$AV140*(VLOOKUP($AY140,'Pregnancy costs and utilities'!$A$23:$H$158,3))</f>
        <v>2.4508772020411769</v>
      </c>
      <c r="BC140" s="3">
        <f>SUM(BA140:BB140)</f>
        <v>2.4519102863435442</v>
      </c>
      <c r="BD140" s="3"/>
      <c r="BE140" s="3">
        <f>$AV140*(VLOOKUP($AY140,'Pregnancy costs and utilities'!$A$23:$I$158,9))</f>
        <v>2.4833757268442972E-4</v>
      </c>
      <c r="BF140" s="3">
        <f>$AV140*(VLOOKUP($AY140,'Pregnancy costs and utilities'!$A$23:$H$158,7))</f>
        <v>2.2027542697108918E-4</v>
      </c>
      <c r="BG140" s="3"/>
      <c r="BH140" s="3">
        <f>$BA140</f>
        <v>1.0330843023672277E-3</v>
      </c>
      <c r="BI140" s="3">
        <f>$AX140*(VLOOKUP($AY140,'Pregnancy costs and utilities'!$A$23:$H$158,5))</f>
        <v>0.36133370435160034</v>
      </c>
      <c r="BJ140" s="3">
        <f>SUM(BH140:BI140)</f>
        <v>0.36236678865396754</v>
      </c>
      <c r="BK140" s="3"/>
      <c r="BL140" s="3">
        <f>BC140+BI140</f>
        <v>2.8132439906951445</v>
      </c>
      <c r="BN140" s="1" t="str">
        <f>IF(AV140=AX140,"Okay",IF(AV140&gt;AX140,"Lost infant","Gained infant"))</f>
        <v>Okay</v>
      </c>
    </row>
    <row r="141" spans="9:66" x14ac:dyDescent="0.25">
      <c r="I141" s="238"/>
      <c r="O141" s="238"/>
      <c r="U141" s="238"/>
      <c r="V141" s="3"/>
      <c r="W141" s="3"/>
      <c r="X141" s="3"/>
      <c r="Y141" s="3"/>
      <c r="Z141" s="3"/>
      <c r="AA141" s="3"/>
      <c r="AM141" s="240" t="s">
        <v>480</v>
      </c>
      <c r="AN141" s="235"/>
      <c r="AO141" s="235"/>
      <c r="AP141" s="235"/>
      <c r="AQ141" s="235"/>
      <c r="AR141" s="239"/>
      <c r="AS141" s="238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</row>
    <row r="142" spans="9:66" x14ac:dyDescent="0.25">
      <c r="I142" s="238"/>
      <c r="O142" s="238"/>
      <c r="U142" s="238"/>
      <c r="AA142" s="3"/>
      <c r="AS142" s="238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</row>
    <row r="143" spans="9:66" x14ac:dyDescent="0.25">
      <c r="I143" s="238"/>
      <c r="O143" s="238"/>
      <c r="U143" s="238"/>
      <c r="AA143" s="3"/>
      <c r="AS143" s="238" t="s">
        <v>344</v>
      </c>
      <c r="AT143" s="3">
        <f>1-AT140</f>
        <v>0.99838900581518553</v>
      </c>
      <c r="AU143" s="3" t="s">
        <v>345</v>
      </c>
      <c r="AV143" s="3">
        <f>AT143*AP140</f>
        <v>0.2106046695146036</v>
      </c>
      <c r="AW143" s="3" t="s">
        <v>346</v>
      </c>
      <c r="AX143" s="3">
        <f>AT143*AR140</f>
        <v>0.2106046695146036</v>
      </c>
      <c r="AY143" s="3">
        <f>AY140+1</f>
        <v>36</v>
      </c>
      <c r="AZ143" s="3"/>
      <c r="BA143" s="1">
        <f>det_cost_experimental*AV143</f>
        <v>0.64023819532439497</v>
      </c>
      <c r="BB143" s="3">
        <f>$AV143*(VLOOKUP($AY143,'Pregnancy costs and utilities'!$A$23:$H$158,3))</f>
        <v>1518.8936596955143</v>
      </c>
      <c r="BC143" s="3">
        <f>SUM(BA143:BB143)</f>
        <v>1519.5338978908387</v>
      </c>
      <c r="BD143" s="3"/>
      <c r="BE143" s="3">
        <f>$AV143*(VLOOKUP($AY143,'Pregnancy costs and utilities'!$A$23:$I$158,9))</f>
        <v>0.15390341233759494</v>
      </c>
      <c r="BF143" s="3">
        <f>$AV143*(VLOOKUP($AY143,'Pregnancy costs and utilities'!$A$23:$H$158,7))</f>
        <v>0.1519026679772062</v>
      </c>
      <c r="BG143" s="3"/>
      <c r="BH143" s="3">
        <f>$BA143</f>
        <v>0.64023819532439497</v>
      </c>
      <c r="BI143" s="3">
        <f>$AX143*(VLOOKUP($AY143,'Pregnancy costs and utilities'!$A$23:$H$158,5))</f>
        <v>557.23209771787344</v>
      </c>
      <c r="BJ143" s="3">
        <f>SUM(BH143:BI143)</f>
        <v>557.87233591319784</v>
      </c>
      <c r="BK143" s="3"/>
      <c r="BL143" s="3">
        <f>BC143+BI143</f>
        <v>2076.7659956087123</v>
      </c>
      <c r="BN143" s="1" t="str">
        <f>IF(AV143=AX143,"Okay",IF(AV143&gt;AX143,"Lost infant","Gained infant"))</f>
        <v>Okay</v>
      </c>
    </row>
    <row r="144" spans="9:66" x14ac:dyDescent="0.25">
      <c r="I144" s="238"/>
      <c r="O144" s="238" t="s">
        <v>344</v>
      </c>
      <c r="P144" s="1">
        <f>1-P7-P15</f>
        <v>0.92897809624254302</v>
      </c>
      <c r="Q144" s="1" t="s">
        <v>345</v>
      </c>
      <c r="R144" s="1">
        <f>P144*L77</f>
        <v>48.306861004612237</v>
      </c>
      <c r="S144" s="1" t="s">
        <v>346</v>
      </c>
      <c r="T144" s="1">
        <f>P144*N77</f>
        <v>48.306861004612237</v>
      </c>
      <c r="U144" s="238"/>
      <c r="AA144" s="3"/>
      <c r="AS144" s="240" t="s">
        <v>476</v>
      </c>
      <c r="AT144" s="235"/>
      <c r="AU144" s="235"/>
      <c r="AV144" s="235"/>
      <c r="AW144" s="235"/>
      <c r="AX144" s="235"/>
      <c r="AY144" s="235"/>
      <c r="AZ144" s="235"/>
      <c r="BA144" s="235"/>
      <c r="BB144" s="235"/>
      <c r="BC144" s="235"/>
      <c r="BD144" s="235"/>
      <c r="BE144" s="235"/>
      <c r="BF144" s="235"/>
      <c r="BG144" s="235"/>
      <c r="BH144" s="235"/>
      <c r="BI144" s="235"/>
      <c r="BJ144" s="235"/>
      <c r="BK144" s="235"/>
      <c r="BL144" s="235"/>
      <c r="BM144" s="235"/>
      <c r="BN144" s="235"/>
    </row>
    <row r="145" spans="9:66" x14ac:dyDescent="0.25">
      <c r="I145" s="238"/>
      <c r="O145" s="240" t="s">
        <v>390</v>
      </c>
      <c r="P145" s="235"/>
      <c r="Q145" s="235"/>
      <c r="R145" s="235"/>
      <c r="S145" s="235"/>
      <c r="T145" s="235"/>
      <c r="U145" s="238"/>
      <c r="AA145" s="3"/>
    </row>
    <row r="146" spans="9:66" x14ac:dyDescent="0.25">
      <c r="I146" s="238"/>
      <c r="O146" s="237"/>
      <c r="U146" s="238"/>
      <c r="AA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</row>
    <row r="147" spans="9:66" x14ac:dyDescent="0.25">
      <c r="I147" s="238"/>
      <c r="O147" s="3"/>
      <c r="U147" s="238"/>
      <c r="AA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236" t="s">
        <v>497</v>
      </c>
      <c r="AT147" s="237"/>
      <c r="AU147" s="237"/>
      <c r="AV147" s="237"/>
      <c r="AW147" s="237"/>
      <c r="AX147" s="237"/>
      <c r="AY147" s="237"/>
      <c r="AZ147" s="237"/>
      <c r="BA147" s="237"/>
      <c r="BB147" s="237"/>
      <c r="BC147" s="237"/>
      <c r="BD147" s="237"/>
      <c r="BE147" s="237"/>
      <c r="BF147" s="237"/>
      <c r="BG147" s="237"/>
      <c r="BH147" s="237"/>
      <c r="BI147" s="237"/>
      <c r="BJ147" s="237"/>
      <c r="BK147" s="237"/>
      <c r="BL147" s="237"/>
      <c r="BM147" s="237"/>
      <c r="BN147" s="237"/>
    </row>
    <row r="148" spans="9:66" x14ac:dyDescent="0.25">
      <c r="I148" s="238"/>
      <c r="O148" s="3"/>
      <c r="U148" s="238"/>
      <c r="AA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238" t="s">
        <v>344</v>
      </c>
      <c r="AT148" s="3">
        <f>DET_NS_stillbirth_lbw_premature</f>
        <v>6.0752905295406189E-2</v>
      </c>
      <c r="AU148" s="3" t="s">
        <v>345</v>
      </c>
      <c r="AV148" s="3">
        <f>AT148*AP151</f>
        <v>1.6641039616385114E-6</v>
      </c>
      <c r="AW148" s="3" t="s">
        <v>346</v>
      </c>
      <c r="AX148" s="3">
        <f>AT148*AR151</f>
        <v>1.6641039616385114E-6</v>
      </c>
      <c r="AY148" s="3">
        <f>AY143+1</f>
        <v>37</v>
      </c>
      <c r="AZ148" s="3"/>
      <c r="BA148" s="1">
        <f>det_cost_experimental*AV148</f>
        <v>5.0588760433810746E-6</v>
      </c>
      <c r="BB148" s="3">
        <f>$AV148*(VLOOKUP($AY148,'Pregnancy costs and utilities'!$A$23:$H$158,3))</f>
        <v>1.3963439075348243E-2</v>
      </c>
      <c r="BC148" s="3">
        <f>SUM(BA148:BB148)</f>
        <v>1.3968497951391623E-2</v>
      </c>
      <c r="BD148" s="3"/>
      <c r="BE148" s="3">
        <f>$AV148*(VLOOKUP($AY148,'Pregnancy costs and utilities'!$A$23:$I$158,9))</f>
        <v>0</v>
      </c>
      <c r="BF148" s="3">
        <f>$AV148*(VLOOKUP($AY148,'Pregnancy costs and utilities'!$A$23:$H$158,7))</f>
        <v>0</v>
      </c>
      <c r="BG148" s="3"/>
      <c r="BH148" s="3">
        <f>$BA148</f>
        <v>5.0588760433810746E-6</v>
      </c>
      <c r="BI148" s="3">
        <f>$AX148*(VLOOKUP($AY148,'Pregnancy costs and utilities'!$A$23:$H$158,5))</f>
        <v>1.769402958134076E-3</v>
      </c>
      <c r="BJ148" s="3">
        <f>SUM(BH148:BI148)</f>
        <v>1.7744618341774571E-3</v>
      </c>
      <c r="BK148" s="3"/>
      <c r="BL148" s="3">
        <f>BC148+BI148</f>
        <v>1.57379009095257E-2</v>
      </c>
      <c r="BN148" s="1" t="str">
        <f>IF(AV148=AX148,"Okay",IF(AV148&gt;AX148,"Lost infant","Gained infant"))</f>
        <v>Okay</v>
      </c>
    </row>
    <row r="149" spans="9:66" x14ac:dyDescent="0.25">
      <c r="I149" s="238"/>
      <c r="O149" s="3"/>
      <c r="U149" s="238"/>
      <c r="AA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238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</row>
    <row r="150" spans="9:66" x14ac:dyDescent="0.25">
      <c r="I150" s="238"/>
      <c r="O150" s="3"/>
      <c r="U150" s="238"/>
      <c r="AA150" s="3"/>
      <c r="AG150" s="3"/>
      <c r="AH150" s="3"/>
      <c r="AI150" s="3"/>
      <c r="AJ150" s="3"/>
      <c r="AK150" s="3"/>
      <c r="AL150" s="3"/>
      <c r="AM150" s="236" t="s">
        <v>489</v>
      </c>
      <c r="AN150" s="237"/>
      <c r="AO150" s="237"/>
      <c r="AP150" s="237"/>
      <c r="AQ150" s="237"/>
      <c r="AR150" s="371"/>
      <c r="AS150" s="238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</row>
    <row r="151" spans="9:66" x14ac:dyDescent="0.25">
      <c r="I151" s="238"/>
      <c r="O151" s="3"/>
      <c r="U151" s="238"/>
      <c r="AA151" s="3"/>
      <c r="AG151" s="3"/>
      <c r="AH151" s="3"/>
      <c r="AI151" s="3"/>
      <c r="AJ151" s="3"/>
      <c r="AK151" s="3"/>
      <c r="AL151" s="3"/>
      <c r="AM151" s="238" t="s">
        <v>344</v>
      </c>
      <c r="AN151" s="3">
        <f>DET_NS_lbw_premature</f>
        <v>0.57035604742854706</v>
      </c>
      <c r="AO151" s="3" t="s">
        <v>345</v>
      </c>
      <c r="AP151" s="3">
        <f>AN151*AJ155</f>
        <v>2.7391347846608121E-5</v>
      </c>
      <c r="AQ151" s="3" t="s">
        <v>346</v>
      </c>
      <c r="AR151" s="370">
        <f>AN151*AL155</f>
        <v>2.7391347846608121E-5</v>
      </c>
      <c r="AS151" s="238" t="s">
        <v>344</v>
      </c>
      <c r="AT151" s="3">
        <f>1-AT148</f>
        <v>0.93924709470459378</v>
      </c>
      <c r="AU151" s="3" t="s">
        <v>345</v>
      </c>
      <c r="AV151" s="3">
        <f>AT151*AP151</f>
        <v>2.5727243884969609E-5</v>
      </c>
      <c r="AW151" s="3" t="s">
        <v>346</v>
      </c>
      <c r="AX151" s="3">
        <f>AT151*AR151</f>
        <v>2.5727243884969609E-5</v>
      </c>
      <c r="AY151" s="3">
        <f>AY148+1</f>
        <v>38</v>
      </c>
      <c r="AZ151" s="3"/>
      <c r="BA151" s="1">
        <f>det_cost_experimental*AV151</f>
        <v>7.8210821410307609E-5</v>
      </c>
      <c r="BB151" s="3">
        <f>$AV151*(VLOOKUP($AY151,'Pregnancy costs and utilities'!$A$23:$H$158,3))</f>
        <v>0.21587641808789568</v>
      </c>
      <c r="BC151" s="3">
        <f>SUM(BA151:BB151)</f>
        <v>0.21595462890930597</v>
      </c>
      <c r="BD151" s="3"/>
      <c r="BE151" s="3">
        <f>$AV151*(VLOOKUP($AY151,'Pregnancy costs and utilities'!$A$23:$I$158,9))</f>
        <v>0</v>
      </c>
      <c r="BF151" s="3">
        <f>$AV151*(VLOOKUP($AY151,'Pregnancy costs and utilities'!$A$23:$H$158,7))</f>
        <v>0</v>
      </c>
      <c r="BG151" s="3"/>
      <c r="BH151" s="3">
        <f>$BA151</f>
        <v>7.8210821410307609E-5</v>
      </c>
      <c r="BI151" s="3">
        <f>$AX151*(VLOOKUP($AY151,'Pregnancy costs and utilities'!$A$23:$H$158,5))</f>
        <v>0.40995203238800554</v>
      </c>
      <c r="BJ151" s="3">
        <f>SUM(BH151:BI151)</f>
        <v>0.41003024320941583</v>
      </c>
      <c r="BK151" s="3"/>
      <c r="BL151" s="3">
        <f>BC151+BI151</f>
        <v>0.62590666129731154</v>
      </c>
      <c r="BN151" s="1" t="str">
        <f>IF(AV151=AX151,"Okay",IF(AV151&gt;AX151,"Lost infant","Gained infant"))</f>
        <v>Okay</v>
      </c>
    </row>
    <row r="152" spans="9:66" x14ac:dyDescent="0.25">
      <c r="I152" s="238"/>
      <c r="O152" s="3"/>
      <c r="U152" s="238"/>
      <c r="AA152" s="3"/>
      <c r="AG152" s="3"/>
      <c r="AH152" s="3"/>
      <c r="AI152" s="3"/>
      <c r="AJ152" s="3"/>
      <c r="AK152" s="3"/>
      <c r="AL152" s="3"/>
      <c r="AM152" s="238"/>
      <c r="AN152" s="3"/>
      <c r="AO152" s="3"/>
      <c r="AP152" s="3"/>
      <c r="AQ152" s="3"/>
      <c r="AR152" s="3"/>
      <c r="AS152" s="240" t="s">
        <v>498</v>
      </c>
      <c r="AT152" s="235"/>
      <c r="AU152" s="235"/>
      <c r="AV152" s="235"/>
      <c r="AW152" s="235"/>
      <c r="AX152" s="235"/>
      <c r="AY152" s="235"/>
      <c r="AZ152" s="235"/>
      <c r="BA152" s="235"/>
      <c r="BB152" s="235"/>
      <c r="BC152" s="235"/>
      <c r="BD152" s="235"/>
      <c r="BE152" s="235"/>
      <c r="BF152" s="235"/>
      <c r="BG152" s="235"/>
      <c r="BH152" s="235"/>
      <c r="BI152" s="235"/>
      <c r="BJ152" s="235"/>
      <c r="BK152" s="235"/>
      <c r="BL152" s="235"/>
      <c r="BM152" s="235"/>
      <c r="BN152" s="235"/>
    </row>
    <row r="153" spans="9:66" x14ac:dyDescent="0.25">
      <c r="I153" s="238"/>
      <c r="O153" s="3"/>
      <c r="U153" s="238"/>
      <c r="AA153" s="3"/>
      <c r="AG153" s="3"/>
      <c r="AH153" s="3"/>
      <c r="AI153" s="3"/>
      <c r="AJ153" s="3"/>
      <c r="AK153" s="3"/>
      <c r="AL153" s="3"/>
      <c r="AM153" s="238"/>
      <c r="AN153" s="3"/>
      <c r="AO153" s="3"/>
      <c r="AP153" s="3"/>
      <c r="AQ153" s="3"/>
      <c r="AR153" s="3"/>
    </row>
    <row r="154" spans="9:66" x14ac:dyDescent="0.25">
      <c r="I154" s="238"/>
      <c r="O154" s="3"/>
      <c r="U154" s="238"/>
      <c r="AA154" s="3"/>
      <c r="AG154" s="236" t="s">
        <v>485</v>
      </c>
      <c r="AH154" s="237"/>
      <c r="AI154" s="237"/>
      <c r="AJ154" s="237"/>
      <c r="AK154" s="237"/>
      <c r="AL154" s="371"/>
      <c r="AM154" s="238"/>
    </row>
    <row r="155" spans="9:66" x14ac:dyDescent="0.25">
      <c r="I155" s="238"/>
      <c r="O155" s="3"/>
      <c r="U155" s="238"/>
      <c r="AA155" s="3"/>
      <c r="AG155" s="238" t="s">
        <v>344</v>
      </c>
      <c r="AH155" s="3">
        <f>DET_MORT_pre_eclampsia</f>
        <v>1.8648298999999959E-4</v>
      </c>
      <c r="AI155" s="3" t="s">
        <v>345</v>
      </c>
      <c r="AJ155" s="3">
        <f>AH155*AD163</f>
        <v>4.8024997666110742E-5</v>
      </c>
      <c r="AK155" s="3" t="s">
        <v>346</v>
      </c>
      <c r="AL155" s="370">
        <f>AH155*AF163</f>
        <v>4.8024997666110742E-5</v>
      </c>
      <c r="AM155" s="238"/>
      <c r="AS155" s="236" t="s">
        <v>499</v>
      </c>
      <c r="AT155" s="237"/>
      <c r="AU155" s="237"/>
      <c r="AV155" s="237"/>
      <c r="AW155" s="237"/>
      <c r="AX155" s="237"/>
      <c r="AY155" s="237"/>
      <c r="AZ155" s="237"/>
      <c r="BA155" s="237"/>
      <c r="BB155" s="237"/>
      <c r="BC155" s="237"/>
      <c r="BD155" s="237"/>
      <c r="BE155" s="237"/>
      <c r="BF155" s="237"/>
      <c r="BG155" s="237"/>
      <c r="BH155" s="237"/>
      <c r="BI155" s="237"/>
      <c r="BJ155" s="237"/>
      <c r="BK155" s="237"/>
      <c r="BL155" s="237"/>
      <c r="BM155" s="237"/>
      <c r="BN155" s="237"/>
    </row>
    <row r="156" spans="9:66" x14ac:dyDescent="0.25">
      <c r="I156" s="238"/>
      <c r="O156" s="3"/>
      <c r="U156" s="238"/>
      <c r="AA156" s="3"/>
      <c r="AG156" s="238"/>
      <c r="AM156" s="238" t="s">
        <v>344</v>
      </c>
      <c r="AN156" s="1">
        <f>1-AN151</f>
        <v>0.42964395257145294</v>
      </c>
      <c r="AO156" s="1" t="s">
        <v>345</v>
      </c>
      <c r="AP156" s="1">
        <f>AN156*AJ155</f>
        <v>2.0633649819502621E-5</v>
      </c>
      <c r="AQ156" s="1" t="s">
        <v>346</v>
      </c>
      <c r="AR156" s="1">
        <f>AN156*AL155</f>
        <v>2.0633649819502621E-5</v>
      </c>
      <c r="AS156" s="238" t="s">
        <v>344</v>
      </c>
      <c r="AT156" s="1">
        <f>DET_NS_stillbirth_nbw_premature</f>
        <v>7.6129469648265786E-3</v>
      </c>
      <c r="AU156" s="1" t="s">
        <v>345</v>
      </c>
      <c r="AV156" s="1">
        <f>AT156*AP156</f>
        <v>1.5708288176667697E-7</v>
      </c>
      <c r="AW156" s="1" t="s">
        <v>346</v>
      </c>
      <c r="AX156" s="3">
        <f>AT156*AR156</f>
        <v>1.5708288176667697E-7</v>
      </c>
      <c r="AY156" s="3">
        <f>AY151+1</f>
        <v>39</v>
      </c>
      <c r="AZ156" s="3"/>
      <c r="BA156" s="1">
        <f>det_cost_experimental*AV156</f>
        <v>4.7753196057069796E-7</v>
      </c>
      <c r="BB156" s="3">
        <f>$AV156*(VLOOKUP($AY156,'Pregnancy costs and utilities'!$A$23:$H$158,3))</f>
        <v>1.3180770552156135E-3</v>
      </c>
      <c r="BC156" s="3">
        <f>SUM(BA156:BB156)</f>
        <v>1.3185545871761842E-3</v>
      </c>
      <c r="BD156" s="3"/>
      <c r="BE156" s="3">
        <f>$AV156*(VLOOKUP($AY156,'Pregnancy costs and utilities'!$A$23:$I$158,9))</f>
        <v>0</v>
      </c>
      <c r="BF156" s="3">
        <f>$AV156*(VLOOKUP($AY156,'Pregnancy costs and utilities'!$A$23:$H$158,7))</f>
        <v>0</v>
      </c>
      <c r="BG156" s="3"/>
      <c r="BH156" s="3">
        <f>$BA156</f>
        <v>4.7753196057069796E-7</v>
      </c>
      <c r="BI156" s="3">
        <f>$AX156*(VLOOKUP($AY156,'Pregnancy costs and utilities'!$A$23:$H$158,5))</f>
        <v>1.6702256714569392E-4</v>
      </c>
      <c r="BJ156" s="3">
        <f>SUM(BH156:BI156)</f>
        <v>1.6750009910626462E-4</v>
      </c>
      <c r="BK156" s="3"/>
      <c r="BL156" s="3">
        <f>BC156+BI156</f>
        <v>1.4855771543218781E-3</v>
      </c>
      <c r="BN156" s="1" t="str">
        <f>IF(AV156=AX156,"Okay",IF(AV156&gt;AX156,"Lost infant","Gained infant"))</f>
        <v>Okay</v>
      </c>
    </row>
    <row r="157" spans="9:66" x14ac:dyDescent="0.25">
      <c r="I157" s="238"/>
      <c r="O157" s="3"/>
      <c r="U157" s="238"/>
      <c r="AA157" s="3"/>
      <c r="AG157" s="238"/>
      <c r="AM157" s="240" t="s">
        <v>490</v>
      </c>
      <c r="AN157" s="235"/>
      <c r="AO157" s="235"/>
      <c r="AP157" s="235"/>
      <c r="AQ157" s="235"/>
      <c r="AR157" s="239"/>
      <c r="AS157" s="238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</row>
    <row r="158" spans="9:66" x14ac:dyDescent="0.25">
      <c r="I158" s="238"/>
      <c r="O158" s="3"/>
      <c r="U158" s="238"/>
      <c r="AA158" s="3"/>
      <c r="AG158" s="238"/>
      <c r="AS158" s="238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</row>
    <row r="159" spans="9:66" x14ac:dyDescent="0.25">
      <c r="I159" s="238"/>
      <c r="O159" s="3"/>
      <c r="U159" s="238"/>
      <c r="AG159" s="238"/>
      <c r="AS159" s="238" t="s">
        <v>344</v>
      </c>
      <c r="AT159" s="1">
        <f>1-AT156</f>
        <v>0.99238705303517338</v>
      </c>
      <c r="AU159" s="1" t="s">
        <v>345</v>
      </c>
      <c r="AV159" s="1">
        <f>AT159*AP156</f>
        <v>2.0476566937735942E-5</v>
      </c>
      <c r="AW159" s="1" t="s">
        <v>346</v>
      </c>
      <c r="AX159" s="3">
        <f>AT159*AR156</f>
        <v>2.0476566937735942E-5</v>
      </c>
      <c r="AY159" s="3">
        <f>AY156+1</f>
        <v>40</v>
      </c>
      <c r="AZ159" s="3"/>
      <c r="BA159" s="1">
        <f>det_cost_experimental*AV159</f>
        <v>6.2248763490717267E-5</v>
      </c>
      <c r="BB159" s="3">
        <f>$AV159*(VLOOKUP($AY159,'Pregnancy costs and utilities'!$A$23:$H$158,3))</f>
        <v>0.17181816851504875</v>
      </c>
      <c r="BC159" s="3">
        <f>SUM(BA159:BB159)</f>
        <v>0.17188041727853948</v>
      </c>
      <c r="BD159" s="3"/>
      <c r="BE159" s="3">
        <f>$AV159*(VLOOKUP($AY159,'Pregnancy costs and utilities'!$A$23:$I$158,9))</f>
        <v>0</v>
      </c>
      <c r="BF159" s="3">
        <f>$AV159*(VLOOKUP($AY159,'Pregnancy costs and utilities'!$A$23:$H$158,7))</f>
        <v>0</v>
      </c>
      <c r="BG159" s="3"/>
      <c r="BH159" s="3">
        <f>$BA159</f>
        <v>6.2248763490717267E-5</v>
      </c>
      <c r="BI159" s="3">
        <f>$AX159*(VLOOKUP($AY159,'Pregnancy costs and utilities'!$A$23:$H$158,5))</f>
        <v>0.32628486245890015</v>
      </c>
      <c r="BJ159" s="3">
        <f>SUM(BH159:BI159)</f>
        <v>0.32634711122239085</v>
      </c>
      <c r="BK159" s="3"/>
      <c r="BL159" s="3">
        <f>BC159+BI159</f>
        <v>0.49816527973743963</v>
      </c>
      <c r="BN159" s="1" t="str">
        <f>IF(AV159=AX159,"Okay",IF(AV159&gt;AX159,"Lost infant","Gained infant"))</f>
        <v>Okay</v>
      </c>
    </row>
    <row r="160" spans="9:66" x14ac:dyDescent="0.25">
      <c r="I160" s="238"/>
      <c r="O160" s="3"/>
      <c r="U160" s="238"/>
      <c r="AG160" s="238"/>
      <c r="AS160" s="240" t="s">
        <v>500</v>
      </c>
      <c r="AT160" s="235"/>
      <c r="AU160" s="235"/>
      <c r="AV160" s="235"/>
      <c r="AW160" s="235"/>
      <c r="AX160" s="235"/>
      <c r="AY160" s="235"/>
      <c r="AZ160" s="235"/>
      <c r="BA160" s="235"/>
      <c r="BB160" s="235"/>
      <c r="BC160" s="235"/>
      <c r="BD160" s="235"/>
      <c r="BE160" s="235"/>
      <c r="BF160" s="235"/>
      <c r="BG160" s="235"/>
      <c r="BH160" s="235"/>
      <c r="BI160" s="235"/>
      <c r="BJ160" s="235"/>
      <c r="BK160" s="235"/>
      <c r="BL160" s="235"/>
      <c r="BM160" s="235"/>
      <c r="BN160" s="235"/>
    </row>
    <row r="161" spans="9:66" x14ac:dyDescent="0.25">
      <c r="I161" s="238"/>
      <c r="O161" s="3"/>
      <c r="U161" s="238"/>
      <c r="AG161" s="238"/>
      <c r="AS161" s="3"/>
      <c r="AT161" s="3"/>
      <c r="AU161" s="3"/>
      <c r="AV161" s="3"/>
      <c r="AW161" s="3"/>
      <c r="AX161" s="237"/>
      <c r="AY161" s="237"/>
      <c r="AZ161" s="237"/>
      <c r="BA161" s="237"/>
      <c r="BB161" s="237"/>
      <c r="BC161" s="237"/>
      <c r="BD161" s="237"/>
      <c r="BE161" s="237"/>
      <c r="BF161" s="237"/>
      <c r="BG161" s="237"/>
      <c r="BH161" s="237"/>
      <c r="BI161" s="237"/>
      <c r="BJ161" s="3"/>
      <c r="BK161" s="3"/>
      <c r="BL161" s="3"/>
    </row>
    <row r="162" spans="9:66" x14ac:dyDescent="0.25">
      <c r="I162" s="238"/>
      <c r="O162" s="3"/>
      <c r="U162" s="238"/>
      <c r="AA162" s="236" t="s">
        <v>483</v>
      </c>
      <c r="AB162" s="237"/>
      <c r="AC162" s="237"/>
      <c r="AD162" s="237"/>
      <c r="AE162" s="237"/>
      <c r="AF162" s="371"/>
      <c r="AG162" s="238"/>
      <c r="AX162" s="235"/>
      <c r="AY162" s="235"/>
      <c r="AZ162" s="235"/>
      <c r="BA162" s="235"/>
      <c r="BB162" s="235"/>
      <c r="BC162" s="235"/>
      <c r="BD162" s="235"/>
      <c r="BE162" s="235"/>
      <c r="BF162" s="235"/>
      <c r="BG162" s="235"/>
      <c r="BH162" s="235"/>
      <c r="BI162" s="235"/>
      <c r="BJ162" s="3"/>
      <c r="BK162" s="3"/>
      <c r="BL162" s="3"/>
    </row>
    <row r="163" spans="9:66" x14ac:dyDescent="0.25">
      <c r="I163" s="238"/>
      <c r="O163" s="3"/>
      <c r="U163" s="238"/>
      <c r="AA163" s="238" t="s">
        <v>344</v>
      </c>
      <c r="AB163" s="3">
        <f>DET_NS_premature_pre_eclampsia</f>
        <v>0.26200038414313942</v>
      </c>
      <c r="AC163" s="3" t="s">
        <v>345</v>
      </c>
      <c r="AD163" s="3">
        <f>AB163*X179</f>
        <v>0.25753017830801</v>
      </c>
      <c r="AE163" s="3" t="s">
        <v>346</v>
      </c>
      <c r="AF163" s="370">
        <f>AB163*Z179</f>
        <v>0.25753017830801</v>
      </c>
      <c r="AG163" s="238"/>
      <c r="AS163" s="236" t="s">
        <v>501</v>
      </c>
      <c r="AT163" s="237"/>
      <c r="AU163" s="237"/>
      <c r="AV163" s="237"/>
      <c r="AW163" s="237"/>
      <c r="AX163" s="3"/>
      <c r="BJ163" s="237"/>
      <c r="BK163" s="237"/>
      <c r="BL163" s="237"/>
      <c r="BM163" s="237"/>
      <c r="BN163" s="237"/>
    </row>
    <row r="164" spans="9:66" x14ac:dyDescent="0.25">
      <c r="I164" s="238"/>
      <c r="O164" s="3"/>
      <c r="U164" s="238"/>
      <c r="AA164" s="238"/>
      <c r="AG164" s="238"/>
      <c r="AS164" s="238" t="s">
        <v>344</v>
      </c>
      <c r="AT164" s="1">
        <f>DET_NS_stillbirth_lbw_premature</f>
        <v>6.0752905295406189E-2</v>
      </c>
      <c r="AU164" s="1" t="s">
        <v>345</v>
      </c>
      <c r="AV164" s="1">
        <f>AT164*AP167</f>
        <v>8.9219592336870941E-3</v>
      </c>
      <c r="AW164" s="1" t="s">
        <v>346</v>
      </c>
      <c r="AX164" s="1">
        <f>AT164*AR167</f>
        <v>8.9219592336870941E-3</v>
      </c>
      <c r="AY164" s="1">
        <f>AY159+1</f>
        <v>41</v>
      </c>
      <c r="BA164" s="1">
        <f>det_cost_experimental*AV164</f>
        <v>2.7122756070408767E-2</v>
      </c>
      <c r="BB164" s="1">
        <f>$AV164*(VLOOKUP($AY164,'Pregnancy costs and utilities'!$A$23:$H$158,3))</f>
        <v>60.312316908083915</v>
      </c>
      <c r="BC164" s="1">
        <f>SUM(BA164:BB164)</f>
        <v>60.339439664154327</v>
      </c>
      <c r="BE164" s="1">
        <f>$AV164*(VLOOKUP($AY164,'Pregnancy costs and utilities'!$A$23:$I$158,9))</f>
        <v>5.6620125906091173E-3</v>
      </c>
      <c r="BF164" s="1">
        <f>$AV164*(VLOOKUP($AY164,'Pregnancy costs and utilities'!$A$23:$H$158,7))</f>
        <v>5.0222051678702881E-3</v>
      </c>
      <c r="BH164" s="1">
        <f>$BA164</f>
        <v>2.7122756070408767E-2</v>
      </c>
      <c r="BI164" s="1">
        <f>$AX164*(VLOOKUP($AY164,'Pregnancy costs and utilities'!$A$23:$H$158,5))</f>
        <v>9.4865113144096007</v>
      </c>
      <c r="BJ164" s="3">
        <f>SUM(BH164:BI164)</f>
        <v>9.5136340704800091</v>
      </c>
      <c r="BK164" s="3"/>
      <c r="BL164" s="3">
        <f>BC164+BI164</f>
        <v>69.825950978563924</v>
      </c>
      <c r="BN164" s="1" t="str">
        <f>IF(AV164=AX164,"Okay",IF(AV164&gt;AX164,"Lost infant","Gained infant"))</f>
        <v>Okay</v>
      </c>
    </row>
    <row r="165" spans="9:66" x14ac:dyDescent="0.25">
      <c r="I165" s="238"/>
      <c r="O165" s="3"/>
      <c r="U165" s="238"/>
      <c r="AA165" s="238"/>
      <c r="AG165" s="238"/>
      <c r="AM165" s="3"/>
      <c r="AN165" s="3"/>
      <c r="AO165" s="3"/>
      <c r="AP165" s="3"/>
      <c r="AQ165" s="3"/>
      <c r="AR165" s="3"/>
      <c r="AS165" s="238"/>
      <c r="BJ165" s="3"/>
      <c r="BK165" s="3"/>
      <c r="BL165" s="3"/>
    </row>
    <row r="166" spans="9:66" x14ac:dyDescent="0.25">
      <c r="I166" s="238"/>
      <c r="O166" s="3"/>
      <c r="U166" s="238"/>
      <c r="AA166" s="238"/>
      <c r="AG166" s="238"/>
      <c r="AM166" s="236" t="s">
        <v>491</v>
      </c>
      <c r="AN166" s="237"/>
      <c r="AO166" s="237"/>
      <c r="AP166" s="237"/>
      <c r="AQ166" s="237"/>
      <c r="AR166" s="371"/>
      <c r="AS166" s="238"/>
      <c r="BJ166" s="3"/>
      <c r="BK166" s="3"/>
      <c r="BL166" s="3"/>
    </row>
    <row r="167" spans="9:66" x14ac:dyDescent="0.25">
      <c r="I167" s="238"/>
      <c r="O167" s="3"/>
      <c r="U167" s="238"/>
      <c r="AA167" s="238"/>
      <c r="AG167" s="238"/>
      <c r="AM167" s="238" t="s">
        <v>344</v>
      </c>
      <c r="AN167" s="3">
        <f>DET_NS_lbw_premature</f>
        <v>0.57035604742854706</v>
      </c>
      <c r="AO167" s="3" t="s">
        <v>345</v>
      </c>
      <c r="AP167" s="3">
        <f>AN167*AJ168</f>
        <v>0.14685650324547894</v>
      </c>
      <c r="AQ167" s="3" t="s">
        <v>346</v>
      </c>
      <c r="AR167" s="370">
        <f>AN167*AL168</f>
        <v>0.14685650324547894</v>
      </c>
      <c r="AS167" s="238" t="s">
        <v>344</v>
      </c>
      <c r="AT167" s="1">
        <f>1-AT164</f>
        <v>0.93924709470459378</v>
      </c>
      <c r="AU167" s="1" t="s">
        <v>345</v>
      </c>
      <c r="AV167" s="1">
        <f>AT167*AP167</f>
        <v>0.13793454401179184</v>
      </c>
      <c r="AW167" s="1" t="s">
        <v>346</v>
      </c>
      <c r="AX167" s="1">
        <f>AT167*AR167</f>
        <v>0.13793454401179184</v>
      </c>
      <c r="AY167" s="1">
        <f>AY164+1</f>
        <v>42</v>
      </c>
      <c r="BA167" s="1">
        <f>det_cost_experimental*AV167</f>
        <v>0.41932101379584719</v>
      </c>
      <c r="BB167" s="1">
        <f>$AV167*(VLOOKUP($AY167,'Pregnancy costs and utilities'!$A$23:$H$158,3))</f>
        <v>932.43554617467805</v>
      </c>
      <c r="BC167" s="1">
        <f>SUM(BA167:BB167)</f>
        <v>932.85486718847392</v>
      </c>
      <c r="BE167" s="1">
        <f>$AV167*(VLOOKUP($AY167,'Pregnancy costs and utilities'!$A$23:$I$158,9))</f>
        <v>8.753538369979097E-2</v>
      </c>
      <c r="BF167" s="1">
        <f>$AV167*(VLOOKUP($AY167,'Pregnancy costs and utilities'!$A$23:$H$158,7))</f>
        <v>8.6397423711693691E-2</v>
      </c>
      <c r="BH167" s="1">
        <f>$BA167</f>
        <v>0.41932101379584719</v>
      </c>
      <c r="BI167" s="1">
        <f>$AX167*(VLOOKUP($AY167,'Pregnancy costs and utilities'!$A$23:$H$158,5))</f>
        <v>2197.9247721588449</v>
      </c>
      <c r="BJ167" s="3">
        <f>SUM(BH167:BI167)</f>
        <v>2198.3440931726409</v>
      </c>
      <c r="BK167" s="3"/>
      <c r="BL167" s="3">
        <f>BC167+BI167</f>
        <v>3130.7796393473191</v>
      </c>
      <c r="BN167" s="1" t="str">
        <f>IF(AV167=AX167,"Okay",IF(AV167&gt;AX167,"Lost infant","Gained infant"))</f>
        <v>Okay</v>
      </c>
    </row>
    <row r="168" spans="9:66" x14ac:dyDescent="0.25">
      <c r="I168" s="238"/>
      <c r="O168" s="3"/>
      <c r="U168" s="238"/>
      <c r="AA168" s="238"/>
      <c r="AG168" s="238" t="s">
        <v>344</v>
      </c>
      <c r="AH168" s="1">
        <f>1-AH155</f>
        <v>0.99981351700999999</v>
      </c>
      <c r="AI168" s="1" t="s">
        <v>345</v>
      </c>
      <c r="AJ168" s="1">
        <f>AH168*AD163</f>
        <v>0.25748215331034391</v>
      </c>
      <c r="AK168" s="1" t="s">
        <v>346</v>
      </c>
      <c r="AL168" s="1">
        <f>AH168*AF163</f>
        <v>0.25748215331034391</v>
      </c>
      <c r="AM168" s="238"/>
      <c r="AS168" s="240" t="s">
        <v>502</v>
      </c>
      <c r="AT168" s="235"/>
      <c r="AU168" s="235"/>
      <c r="AV168" s="235"/>
      <c r="AW168" s="235"/>
      <c r="AX168" s="235"/>
      <c r="AY168" s="235"/>
      <c r="AZ168" s="235"/>
      <c r="BA168" s="235"/>
      <c r="BB168" s="235"/>
      <c r="BC168" s="235"/>
      <c r="BD168" s="235"/>
      <c r="BE168" s="235"/>
      <c r="BF168" s="235"/>
      <c r="BG168" s="235"/>
      <c r="BH168" s="235"/>
      <c r="BI168" s="235"/>
      <c r="BJ168" s="235"/>
      <c r="BK168" s="235"/>
      <c r="BL168" s="235"/>
      <c r="BM168" s="235"/>
      <c r="BN168" s="235"/>
    </row>
    <row r="169" spans="9:66" x14ac:dyDescent="0.25">
      <c r="I169" s="238"/>
      <c r="O169" s="3"/>
      <c r="U169" s="238"/>
      <c r="AA169" s="238"/>
      <c r="AG169" s="240" t="s">
        <v>486</v>
      </c>
      <c r="AH169" s="235"/>
      <c r="AI169" s="235"/>
      <c r="AJ169" s="235"/>
      <c r="AK169" s="235"/>
      <c r="AL169" s="235"/>
      <c r="AM169" s="238"/>
    </row>
    <row r="170" spans="9:66" x14ac:dyDescent="0.25">
      <c r="I170" s="238"/>
      <c r="O170" s="3"/>
      <c r="U170" s="238"/>
      <c r="AA170" s="238"/>
      <c r="AM170" s="238"/>
    </row>
    <row r="171" spans="9:66" x14ac:dyDescent="0.25">
      <c r="I171" s="238"/>
      <c r="O171" s="3"/>
      <c r="U171" s="238"/>
      <c r="AA171" s="238"/>
      <c r="AM171" s="238"/>
      <c r="AS171" s="236" t="s">
        <v>503</v>
      </c>
      <c r="AT171" s="237"/>
      <c r="AU171" s="237"/>
      <c r="AV171" s="237"/>
      <c r="AW171" s="237"/>
      <c r="AX171" s="237"/>
      <c r="AY171" s="237"/>
      <c r="AZ171" s="237"/>
      <c r="BA171" s="237"/>
      <c r="BB171" s="237"/>
      <c r="BC171" s="237"/>
      <c r="BD171" s="237"/>
      <c r="BE171" s="237"/>
      <c r="BF171" s="237"/>
      <c r="BG171" s="237"/>
      <c r="BH171" s="237"/>
      <c r="BI171" s="237"/>
      <c r="BJ171" s="237"/>
      <c r="BK171" s="237"/>
      <c r="BL171" s="237"/>
      <c r="BM171" s="237"/>
      <c r="BN171" s="237"/>
    </row>
    <row r="172" spans="9:66" x14ac:dyDescent="0.25">
      <c r="I172" s="238"/>
      <c r="O172" s="3"/>
      <c r="U172" s="238"/>
      <c r="AA172" s="238"/>
      <c r="AM172" s="238" t="s">
        <v>344</v>
      </c>
      <c r="AN172" s="1">
        <f>1-AN167</f>
        <v>0.42964395257145294</v>
      </c>
      <c r="AO172" s="1" t="s">
        <v>345</v>
      </c>
      <c r="AP172" s="1">
        <f>AN172*AJ168</f>
        <v>0.11062565006486497</v>
      </c>
      <c r="AQ172" s="1" t="s">
        <v>346</v>
      </c>
      <c r="AR172" s="1">
        <f>AN172*AL168</f>
        <v>0.11062565006486497</v>
      </c>
      <c r="AS172" s="238" t="s">
        <v>344</v>
      </c>
      <c r="AT172" s="3">
        <f>DET_NS_stillbirth_nbw_premature</f>
        <v>7.6129469648265786E-3</v>
      </c>
      <c r="AU172" s="3" t="s">
        <v>345</v>
      </c>
      <c r="AV172" s="3">
        <f>AT172*AP172</f>
        <v>8.4218720689328093E-4</v>
      </c>
      <c r="AW172" s="3" t="s">
        <v>346</v>
      </c>
      <c r="AX172" s="3">
        <f>AT172*AR172</f>
        <v>8.4218720689328093E-4</v>
      </c>
      <c r="AY172" s="3">
        <f>AY167+1</f>
        <v>43</v>
      </c>
      <c r="AZ172" s="3"/>
      <c r="BA172" s="1">
        <f>det_cost_experimental*AV172</f>
        <v>2.5602491089555738E-3</v>
      </c>
      <c r="BB172" s="3">
        <f>$AV172*(VLOOKUP($AY172,'Pregnancy costs and utilities'!$A$23:$H$158,3))</f>
        <v>5.6931734821534627</v>
      </c>
      <c r="BC172" s="3">
        <f>SUM(BA172:BB172)</f>
        <v>5.6957337312624183</v>
      </c>
      <c r="BD172" s="3"/>
      <c r="BE172" s="3">
        <f>$AV172*(VLOOKUP($AY172,'Pregnancy costs and utilities'!$A$23:$I$158,9))</f>
        <v>5.3446495822073595E-4</v>
      </c>
      <c r="BF172" s="3">
        <f>$AV172*(VLOOKUP($AY172,'Pregnancy costs and utilities'!$A$23:$H$158,7))</f>
        <v>4.7407041794179287E-4</v>
      </c>
      <c r="BG172" s="3"/>
      <c r="BH172" s="3">
        <f>$BA172</f>
        <v>2.5602491089555738E-3</v>
      </c>
      <c r="BI172" s="3">
        <f>$AX172*(VLOOKUP($AY172,'Pregnancy costs and utilities'!$A$23:$H$158,5))</f>
        <v>0.89547802873589422</v>
      </c>
      <c r="BJ172" s="3">
        <f>SUM(BH172:BI172)</f>
        <v>0.8980382778448498</v>
      </c>
      <c r="BK172" s="3"/>
      <c r="BL172" s="3">
        <f>BC172+BI172</f>
        <v>6.5912117599983127</v>
      </c>
      <c r="BN172" s="1" t="str">
        <f>IF(AV172=AX172,"Okay",IF(AV172&gt;AX172,"Lost infant","Gained infant"))</f>
        <v>Okay</v>
      </c>
    </row>
    <row r="173" spans="9:66" x14ac:dyDescent="0.25">
      <c r="I173" s="238"/>
      <c r="O173" s="3"/>
      <c r="U173" s="238"/>
      <c r="AA173" s="238"/>
      <c r="AM173" s="240" t="s">
        <v>492</v>
      </c>
      <c r="AN173" s="235"/>
      <c r="AO173" s="235"/>
      <c r="AP173" s="235"/>
      <c r="AQ173" s="235"/>
      <c r="AR173" s="239"/>
      <c r="AS173" s="238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</row>
    <row r="174" spans="9:66" x14ac:dyDescent="0.25">
      <c r="I174" s="238"/>
      <c r="O174" s="3"/>
      <c r="U174" s="238"/>
      <c r="AA174" s="238"/>
      <c r="AS174" s="238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</row>
    <row r="175" spans="9:66" x14ac:dyDescent="0.25">
      <c r="I175" s="238"/>
      <c r="O175" s="3"/>
      <c r="U175" s="238"/>
      <c r="AA175" s="238"/>
      <c r="AS175" s="238" t="s">
        <v>344</v>
      </c>
      <c r="AT175" s="3">
        <f>1-AT172</f>
        <v>0.99238705303517338</v>
      </c>
      <c r="AU175" s="3" t="s">
        <v>345</v>
      </c>
      <c r="AV175" s="3">
        <f>AT175*AP172</f>
        <v>0.10978346285797168</v>
      </c>
      <c r="AW175" s="3" t="s">
        <v>346</v>
      </c>
      <c r="AX175" s="3">
        <f>AT175*AR172</f>
        <v>0.10978346285797168</v>
      </c>
      <c r="AY175" s="3">
        <f>AY172+1</f>
        <v>44</v>
      </c>
      <c r="AZ175" s="3"/>
      <c r="BA175" s="1">
        <f>det_cost_experimental*AV175</f>
        <v>0.33374172708823391</v>
      </c>
      <c r="BB175" s="3">
        <f>$AV175*(VLOOKUP($AY175,'Pregnancy costs and utilities'!$A$23:$H$158,3))</f>
        <v>742.13463990694868</v>
      </c>
      <c r="BC175" s="3">
        <f>SUM(BA175:BB175)</f>
        <v>742.46838163403686</v>
      </c>
      <c r="BD175" s="3"/>
      <c r="BE175" s="3">
        <f>$AV175*(VLOOKUP($AY175,'Pregnancy costs and utilities'!$A$23:$I$158,9))</f>
        <v>6.967027450602048E-2</v>
      </c>
      <c r="BF175" s="3">
        <f>$AV175*(VLOOKUP($AY175,'Pregnancy costs and utilities'!$A$23:$H$158,7))</f>
        <v>6.8764560937442223E-2</v>
      </c>
      <c r="BG175" s="3"/>
      <c r="BH175" s="3">
        <f>$BA175</f>
        <v>0.33374172708823391</v>
      </c>
      <c r="BI175" s="3">
        <f>$AX175*(VLOOKUP($AY175,'Pregnancy costs and utilities'!$A$23:$H$158,5))</f>
        <v>1749.3499856590554</v>
      </c>
      <c r="BJ175" s="3">
        <f>SUM(BH175:BI175)</f>
        <v>1749.6837273861436</v>
      </c>
      <c r="BK175" s="3"/>
      <c r="BL175" s="3">
        <f>BC175+BI175</f>
        <v>2491.8183672930923</v>
      </c>
      <c r="BN175" s="1" t="str">
        <f>IF(AV175=AX175,"Okay",IF(AV175&gt;AX175,"Lost infant","Gained infant"))</f>
        <v>Okay</v>
      </c>
    </row>
    <row r="176" spans="9:66" x14ac:dyDescent="0.25">
      <c r="I176" s="238"/>
      <c r="O176" s="3"/>
      <c r="U176" s="238"/>
      <c r="AA176" s="238"/>
      <c r="AS176" s="240" t="s">
        <v>504</v>
      </c>
      <c r="AT176" s="235"/>
      <c r="AU176" s="235"/>
      <c r="AV176" s="235"/>
      <c r="AW176" s="235"/>
      <c r="AX176" s="235"/>
      <c r="AY176" s="235"/>
      <c r="AZ176" s="235"/>
      <c r="BA176" s="235"/>
      <c r="BB176" s="235"/>
      <c r="BC176" s="235"/>
      <c r="BD176" s="235"/>
      <c r="BE176" s="235"/>
      <c r="BF176" s="235"/>
      <c r="BG176" s="235"/>
      <c r="BH176" s="235"/>
      <c r="BI176" s="235"/>
      <c r="BJ176" s="235"/>
      <c r="BK176" s="235"/>
      <c r="BL176" s="235"/>
      <c r="BM176" s="235"/>
      <c r="BN176" s="235"/>
    </row>
    <row r="177" spans="9:66" x14ac:dyDescent="0.25">
      <c r="I177" s="238"/>
      <c r="O177" s="3"/>
      <c r="U177" s="238"/>
      <c r="AA177" s="238"/>
    </row>
    <row r="178" spans="9:66" x14ac:dyDescent="0.25">
      <c r="I178" s="238"/>
      <c r="O178" s="3"/>
      <c r="U178" s="236" t="s">
        <v>386</v>
      </c>
      <c r="V178" s="237"/>
      <c r="W178" s="237"/>
      <c r="X178" s="237"/>
      <c r="Y178" s="237"/>
      <c r="Z178" s="371"/>
      <c r="AA178" s="238"/>
    </row>
    <row r="179" spans="9:66" x14ac:dyDescent="0.25">
      <c r="I179" s="238"/>
      <c r="U179" s="238" t="s">
        <v>344</v>
      </c>
      <c r="V179" s="1">
        <f>DET_NS_pre_eclampsia</f>
        <v>2.0347796363534534E-2</v>
      </c>
      <c r="W179" s="1" t="s">
        <v>345</v>
      </c>
      <c r="X179" s="1">
        <f>V179*R144</f>
        <v>0.98293817068341705</v>
      </c>
      <c r="Y179" s="1" t="s">
        <v>346</v>
      </c>
      <c r="Z179" s="1">
        <f>V179*T144</f>
        <v>0.98293817068341705</v>
      </c>
      <c r="AA179" s="238"/>
      <c r="AS179" s="236" t="s">
        <v>505</v>
      </c>
      <c r="AT179" s="237"/>
      <c r="AU179" s="237"/>
      <c r="AV179" s="237"/>
      <c r="AW179" s="237"/>
      <c r="AX179" s="237"/>
      <c r="AY179" s="237"/>
      <c r="AZ179" s="237"/>
      <c r="BA179" s="237"/>
      <c r="BB179" s="237"/>
      <c r="BC179" s="237"/>
      <c r="BD179" s="237"/>
      <c r="BE179" s="237"/>
      <c r="BF179" s="237"/>
      <c r="BG179" s="237"/>
      <c r="BH179" s="237"/>
      <c r="BI179" s="237"/>
      <c r="BJ179" s="237"/>
      <c r="BK179" s="237"/>
      <c r="BL179" s="237"/>
      <c r="BM179" s="237"/>
      <c r="BN179" s="237"/>
    </row>
    <row r="180" spans="9:66" x14ac:dyDescent="0.25">
      <c r="I180" s="238"/>
      <c r="U180" s="238"/>
      <c r="AA180" s="238"/>
      <c r="AS180" s="238" t="s">
        <v>344</v>
      </c>
      <c r="AT180" s="1">
        <f>DET_NS_stillbirth_lbw_fullgest</f>
        <v>1.5360924440585004E-2</v>
      </c>
      <c r="AU180" s="1" t="s">
        <v>345</v>
      </c>
      <c r="AV180" s="1">
        <f>AT180*AP183</f>
        <v>5.5984526918296756E-8</v>
      </c>
      <c r="AW180" s="1" t="s">
        <v>346</v>
      </c>
      <c r="AX180" s="1">
        <f>AT180*AR183</f>
        <v>5.5984526918296756E-8</v>
      </c>
      <c r="AY180" s="1">
        <f>AY175+1</f>
        <v>45</v>
      </c>
      <c r="BA180" s="1">
        <f>det_cost_experimental*AV180</f>
        <v>1.7019296183162215E-7</v>
      </c>
      <c r="BB180" s="1">
        <f>$AV180*(VLOOKUP($AY180,'Pregnancy costs and utilities'!$A$23:$H$158,3))</f>
        <v>4.0745276605735285E-4</v>
      </c>
      <c r="BC180" s="1">
        <f>SUM(BA180:BB180)</f>
        <v>4.0762295901918449E-4</v>
      </c>
      <c r="BE180" s="1">
        <f>$AV180*(VLOOKUP($AY180,'Pregnancy costs and utilities'!$A$23:$I$158,9))</f>
        <v>0</v>
      </c>
      <c r="BF180" s="1">
        <f>$AV180*(VLOOKUP($AY180,'Pregnancy costs and utilities'!$A$23:$H$158,7))</f>
        <v>0</v>
      </c>
      <c r="BH180" s="1">
        <f>$BA180</f>
        <v>1.7019296183162215E-7</v>
      </c>
      <c r="BI180" s="1">
        <f>$AX180*(VLOOKUP($AY180,'Pregnancy costs and utilities'!$A$23:$H$158,5))</f>
        <v>5.952704267432628E-5</v>
      </c>
      <c r="BJ180" s="3">
        <f>SUM(BH180:BI180)</f>
        <v>5.9697235636157899E-5</v>
      </c>
      <c r="BK180" s="3"/>
      <c r="BL180" s="3">
        <f>BC180+BI180</f>
        <v>4.6715000169351078E-4</v>
      </c>
      <c r="BN180" s="1" t="str">
        <f>IF(AV180=AX180,"Okay",IF(AV180&gt;AX180,"Lost infant","Gained infant"))</f>
        <v>Okay</v>
      </c>
    </row>
    <row r="181" spans="9:66" x14ac:dyDescent="0.25">
      <c r="I181" s="238"/>
      <c r="U181" s="238"/>
      <c r="AA181" s="238"/>
      <c r="AS181" s="238"/>
      <c r="BJ181" s="3"/>
      <c r="BK181" s="3"/>
      <c r="BL181" s="3"/>
    </row>
    <row r="182" spans="9:66" x14ac:dyDescent="0.25">
      <c r="I182" s="238"/>
      <c r="U182" s="238"/>
      <c r="AA182" s="238"/>
      <c r="AM182" s="236" t="s">
        <v>493</v>
      </c>
      <c r="AN182" s="237"/>
      <c r="AO182" s="237"/>
      <c r="AP182" s="237"/>
      <c r="AQ182" s="237"/>
      <c r="AR182" s="371"/>
      <c r="AS182" s="238"/>
      <c r="BJ182" s="3"/>
      <c r="BK182" s="3"/>
      <c r="BL182" s="3"/>
    </row>
    <row r="183" spans="9:66" x14ac:dyDescent="0.25">
      <c r="I183" s="238"/>
      <c r="U183" s="238"/>
      <c r="AA183" s="238"/>
      <c r="AM183" s="238" t="s">
        <v>344</v>
      </c>
      <c r="AN183" s="1">
        <f>DET_NS_lbw_fullgest</f>
        <v>2.6941954581366025E-2</v>
      </c>
      <c r="AO183" s="1" t="s">
        <v>345</v>
      </c>
      <c r="AP183" s="1">
        <f>AN183*AJ187</f>
        <v>3.644606620834641E-6</v>
      </c>
      <c r="AQ183" s="1" t="s">
        <v>346</v>
      </c>
      <c r="AR183" s="1">
        <f>AN183*AL187</f>
        <v>3.644606620834641E-6</v>
      </c>
      <c r="AS183" s="238" t="s">
        <v>344</v>
      </c>
      <c r="AT183" s="1">
        <f>1-AT180</f>
        <v>0.98463907555941499</v>
      </c>
      <c r="AU183" s="1" t="s">
        <v>345</v>
      </c>
      <c r="AV183" s="1">
        <f>AT183*AP183</f>
        <v>3.5886220939163442E-6</v>
      </c>
      <c r="AW183" s="1" t="s">
        <v>346</v>
      </c>
      <c r="AX183" s="1">
        <f>AT183*AR183</f>
        <v>3.5886220939163442E-6</v>
      </c>
      <c r="AY183" s="1">
        <f>AY180+1</f>
        <v>46</v>
      </c>
      <c r="BA183" s="1">
        <f>det_cost_experimental*AV183</f>
        <v>1.0909411165505687E-5</v>
      </c>
      <c r="BB183" s="1">
        <f>$AV183*(VLOOKUP($AY183,'Pregnancy costs and utilities'!$A$23:$H$158,3))</f>
        <v>2.6117823602129473E-2</v>
      </c>
      <c r="BC183" s="1">
        <f>SUM(BA183:BB183)</f>
        <v>2.6128733013294977E-2</v>
      </c>
      <c r="BE183" s="1">
        <f>$AV183*(VLOOKUP($AY183,'Pregnancy costs and utilities'!$A$23:$I$158,9))</f>
        <v>0</v>
      </c>
      <c r="BF183" s="1">
        <f>$AV183*(VLOOKUP($AY183,'Pregnancy costs and utilities'!$A$23:$H$158,7))</f>
        <v>0</v>
      </c>
      <c r="BH183" s="1">
        <f>$BA183</f>
        <v>1.0909411165505687E-5</v>
      </c>
      <c r="BI183" s="1">
        <f>$AX183*(VLOOKUP($AY183,'Pregnancy costs and utilities'!$A$23:$H$158,5))</f>
        <v>9.4950193740649738E-3</v>
      </c>
      <c r="BJ183" s="3">
        <f>SUM(BH183:BI183)</f>
        <v>9.5059287852304799E-3</v>
      </c>
      <c r="BK183" s="3"/>
      <c r="BL183" s="3">
        <f>BC183+BI183</f>
        <v>3.5623752387359951E-2</v>
      </c>
      <c r="BN183" s="1" t="str">
        <f>IF(AV183=AX183,"Okay",IF(AV183&gt;AX183,"Lost infant","Gained infant"))</f>
        <v>Okay</v>
      </c>
    </row>
    <row r="184" spans="9:66" x14ac:dyDescent="0.25">
      <c r="I184" s="238"/>
      <c r="U184" s="238"/>
      <c r="AA184" s="238"/>
      <c r="AM184" s="238"/>
      <c r="AS184" s="240" t="s">
        <v>506</v>
      </c>
      <c r="AT184" s="235"/>
      <c r="AU184" s="235"/>
      <c r="AV184" s="235"/>
      <c r="AW184" s="235"/>
      <c r="AX184" s="235"/>
      <c r="AY184" s="235"/>
      <c r="AZ184" s="235"/>
      <c r="BA184" s="235"/>
      <c r="BB184" s="235"/>
      <c r="BC184" s="235"/>
      <c r="BD184" s="235"/>
      <c r="BE184" s="235"/>
      <c r="BF184" s="235"/>
      <c r="BG184" s="235"/>
      <c r="BH184" s="235"/>
      <c r="BI184" s="235"/>
      <c r="BJ184" s="235"/>
      <c r="BK184" s="235"/>
      <c r="BL184" s="235"/>
      <c r="BM184" s="235"/>
      <c r="BN184" s="235"/>
    </row>
    <row r="185" spans="9:66" x14ac:dyDescent="0.25">
      <c r="I185" s="238"/>
      <c r="U185" s="238"/>
      <c r="AA185" s="238"/>
      <c r="AM185" s="238"/>
    </row>
    <row r="186" spans="9:66" x14ac:dyDescent="0.25">
      <c r="I186" s="238"/>
      <c r="U186" s="238"/>
      <c r="AA186" s="238"/>
      <c r="AG186" s="236" t="s">
        <v>487</v>
      </c>
      <c r="AH186" s="237"/>
      <c r="AI186" s="237"/>
      <c r="AJ186" s="237"/>
      <c r="AK186" s="237"/>
      <c r="AL186" s="371"/>
      <c r="AM186" s="238"/>
      <c r="AN186" s="3"/>
      <c r="AO186" s="3"/>
      <c r="AP186" s="3"/>
      <c r="AQ186" s="3"/>
      <c r="AR186" s="3"/>
      <c r="AS186" s="3"/>
    </row>
    <row r="187" spans="9:66" x14ac:dyDescent="0.25">
      <c r="I187" s="238"/>
      <c r="U187" s="238"/>
      <c r="AA187" s="238"/>
      <c r="AG187" s="238" t="s">
        <v>344</v>
      </c>
      <c r="AH187" s="3">
        <f>DET_MORT_pre_eclampsia</f>
        <v>1.8648298999999959E-4</v>
      </c>
      <c r="AI187" s="3" t="s">
        <v>345</v>
      </c>
      <c r="AJ187" s="3">
        <f>AH187*AD192</f>
        <v>1.352762513880628E-4</v>
      </c>
      <c r="AK187" s="3" t="s">
        <v>346</v>
      </c>
      <c r="AL187" s="370">
        <f>AH187*AF192</f>
        <v>1.352762513880628E-4</v>
      </c>
      <c r="AM187" s="238"/>
      <c r="AN187" s="3"/>
      <c r="AO187" s="3"/>
      <c r="AP187" s="3"/>
      <c r="AQ187" s="3"/>
      <c r="AR187" s="370"/>
      <c r="AS187" s="236" t="s">
        <v>507</v>
      </c>
      <c r="AT187" s="237"/>
      <c r="AU187" s="237"/>
      <c r="AV187" s="237"/>
      <c r="AW187" s="237"/>
      <c r="AX187" s="237"/>
      <c r="AY187" s="237"/>
      <c r="AZ187" s="237"/>
      <c r="BA187" s="237"/>
      <c r="BB187" s="237"/>
      <c r="BC187" s="237"/>
      <c r="BD187" s="237"/>
      <c r="BE187" s="237"/>
      <c r="BF187" s="237"/>
      <c r="BG187" s="237"/>
      <c r="BH187" s="237"/>
      <c r="BI187" s="237"/>
      <c r="BJ187" s="237"/>
      <c r="BK187" s="237"/>
      <c r="BL187" s="237"/>
      <c r="BM187" s="237"/>
      <c r="BN187" s="237"/>
    </row>
    <row r="188" spans="9:66" x14ac:dyDescent="0.25">
      <c r="I188" s="238"/>
      <c r="U188" s="238"/>
      <c r="AA188" s="238"/>
      <c r="AG188" s="238"/>
      <c r="AM188" s="238" t="s">
        <v>344</v>
      </c>
      <c r="AN188" s="1">
        <f>1-AN183</f>
        <v>0.97305804541863394</v>
      </c>
      <c r="AO188" s="1" t="s">
        <v>345</v>
      </c>
      <c r="AP188" s="1">
        <f>AN188*AJ187</f>
        <v>1.3163164476722816E-4</v>
      </c>
      <c r="AQ188" s="1" t="s">
        <v>346</v>
      </c>
      <c r="AR188" s="1">
        <f>AN188*AL187</f>
        <v>1.3163164476722816E-4</v>
      </c>
      <c r="AS188" s="238" t="s">
        <v>344</v>
      </c>
      <c r="AT188" s="1">
        <f>DET_NS_stillbirth_nbw_fullgest</f>
        <v>1.6109941848144384E-3</v>
      </c>
      <c r="AU188" s="1" t="s">
        <v>345</v>
      </c>
      <c r="AV188" s="1">
        <f>AT188*AP188</f>
        <v>2.1205781425756447E-7</v>
      </c>
      <c r="AW188" s="1" t="s">
        <v>346</v>
      </c>
      <c r="AX188" s="1">
        <f>AT188*AR188</f>
        <v>2.1205781425756447E-7</v>
      </c>
      <c r="AY188" s="1">
        <f>AY183+1</f>
        <v>47</v>
      </c>
      <c r="BA188" s="1">
        <f>det_cost_experimental*AV188</f>
        <v>6.44655755342996E-7</v>
      </c>
      <c r="BB188" s="1">
        <f>$AV188*(VLOOKUP($AY188,'Pregnancy costs and utilities'!$A$23:$H$158,3))</f>
        <v>1.5433468449133712E-3</v>
      </c>
      <c r="BC188" s="1">
        <f>SUM(BA188:BB188)</f>
        <v>1.5439915006687142E-3</v>
      </c>
      <c r="BE188" s="1">
        <f>$AV188*(VLOOKUP($AY188,'Pregnancy costs and utilities'!$A$23:$I$158,9))</f>
        <v>0</v>
      </c>
      <c r="BF188" s="1">
        <f>$AV188*(VLOOKUP($AY188,'Pregnancy costs and utilities'!$A$23:$H$158,7))</f>
        <v>0</v>
      </c>
      <c r="BH188" s="1">
        <f>$BA188</f>
        <v>6.44655755342996E-7</v>
      </c>
      <c r="BI188" s="1">
        <f>$AX188*(VLOOKUP($AY188,'Pregnancy costs and utilities'!$A$23:$H$158,5))</f>
        <v>2.2547613159536967E-4</v>
      </c>
      <c r="BJ188" s="3">
        <f>SUM(BH188:BI188)</f>
        <v>2.2612078735071266E-4</v>
      </c>
      <c r="BK188" s="3"/>
      <c r="BL188" s="3">
        <f>BC188+BI188</f>
        <v>1.7694676322640838E-3</v>
      </c>
      <c r="BN188" s="1" t="str">
        <f>IF(AV188=AX188,"Okay",IF(AV188&gt;AX188,"Lost infant","Gained infant"))</f>
        <v>Okay</v>
      </c>
    </row>
    <row r="189" spans="9:66" x14ac:dyDescent="0.25">
      <c r="I189" s="238"/>
      <c r="U189" s="238"/>
      <c r="AA189" s="238"/>
      <c r="AG189" s="238"/>
      <c r="AM189" s="240" t="s">
        <v>494</v>
      </c>
      <c r="AN189" s="235"/>
      <c r="AO189" s="235"/>
      <c r="AP189" s="235"/>
      <c r="AQ189" s="235"/>
      <c r="AR189" s="239"/>
      <c r="AS189" s="238"/>
      <c r="BJ189" s="3"/>
      <c r="BK189" s="3"/>
      <c r="BL189" s="3"/>
    </row>
    <row r="190" spans="9:66" x14ac:dyDescent="0.25">
      <c r="I190" s="238"/>
      <c r="U190" s="238"/>
      <c r="AA190" s="238"/>
      <c r="AG190" s="238"/>
      <c r="AM190" s="237"/>
      <c r="AS190" s="238"/>
      <c r="BJ190" s="3"/>
      <c r="BK190" s="3"/>
      <c r="BL190" s="3"/>
    </row>
    <row r="191" spans="9:66" x14ac:dyDescent="0.25">
      <c r="I191" s="238"/>
      <c r="U191" s="238"/>
      <c r="AA191" s="238"/>
      <c r="AG191" s="238"/>
      <c r="AH191" s="3"/>
      <c r="AI191" s="3"/>
      <c r="AJ191" s="3"/>
      <c r="AK191" s="3"/>
      <c r="AL191" s="3"/>
      <c r="AM191" s="3"/>
      <c r="AS191" s="238" t="s">
        <v>344</v>
      </c>
      <c r="AT191" s="1">
        <f>1-AT188</f>
        <v>0.99838900581518553</v>
      </c>
      <c r="AU191" s="1" t="s">
        <v>345</v>
      </c>
      <c r="AV191" s="1">
        <f>AT191*AP188</f>
        <v>1.314195869529706E-4</v>
      </c>
      <c r="AW191" s="1" t="s">
        <v>346</v>
      </c>
      <c r="AX191" s="1">
        <f>AT191*AR188</f>
        <v>1.314195869529706E-4</v>
      </c>
      <c r="AY191" s="1">
        <f>AY188+1</f>
        <v>48</v>
      </c>
      <c r="BA191" s="1">
        <f>det_cost_experimental*AV191</f>
        <v>3.9951554433703061E-4</v>
      </c>
      <c r="BB191" s="1">
        <f>$AV191*(VLOOKUP($AY191,'Pregnancy costs and utilities'!$A$23:$H$158,3))</f>
        <v>0.95646560158039751</v>
      </c>
      <c r="BC191" s="1">
        <f>SUM(BA191:BB191)</f>
        <v>0.95686511712473454</v>
      </c>
      <c r="BE191" s="1">
        <f>$AV191*(VLOOKUP($AY191,'Pregnancy costs and utilities'!$A$23:$I$158,9))</f>
        <v>0</v>
      </c>
      <c r="BF191" s="1">
        <f>$AV191*(VLOOKUP($AY191,'Pregnancy costs and utilities'!$A$23:$H$158,7))</f>
        <v>0</v>
      </c>
      <c r="BH191" s="1">
        <f>$BA191</f>
        <v>3.9951554433703061E-4</v>
      </c>
      <c r="BI191" s="1">
        <f>$AX191*(VLOOKUP($AY191,'Pregnancy costs and utilities'!$A$23:$H$158,5))</f>
        <v>0.34771884349858795</v>
      </c>
      <c r="BJ191" s="3">
        <f>SUM(BH191:BI191)</f>
        <v>0.34811835904292499</v>
      </c>
      <c r="BK191" s="3"/>
      <c r="BL191" s="3">
        <f>BC191+BI191</f>
        <v>1.3045839606233225</v>
      </c>
      <c r="BN191" s="1" t="str">
        <f>IF(AV191=AX191,"Okay",IF(AV191&gt;AX191,"Lost infant","Gained infant"))</f>
        <v>Okay</v>
      </c>
    </row>
    <row r="192" spans="9:66" x14ac:dyDescent="0.25">
      <c r="I192" s="238"/>
      <c r="U192" s="238"/>
      <c r="AA192" s="238" t="s">
        <v>344</v>
      </c>
      <c r="AB192" s="1">
        <f>1-AB163</f>
        <v>0.73799961585686058</v>
      </c>
      <c r="AC192" s="1" t="s">
        <v>345</v>
      </c>
      <c r="AD192" s="1">
        <f>AB192*X179</f>
        <v>0.72540799237540698</v>
      </c>
      <c r="AE192" s="1" t="s">
        <v>346</v>
      </c>
      <c r="AF192" s="1">
        <f>AB192*Z179</f>
        <v>0.72540799237540698</v>
      </c>
      <c r="AG192" s="238"/>
      <c r="AM192" s="3"/>
      <c r="AS192" s="240" t="s">
        <v>508</v>
      </c>
      <c r="AT192" s="235"/>
      <c r="AU192" s="235"/>
      <c r="AV192" s="235"/>
      <c r="AW192" s="235"/>
      <c r="AX192" s="235"/>
      <c r="AY192" s="235"/>
      <c r="AZ192" s="235"/>
      <c r="BA192" s="235"/>
      <c r="BB192" s="235"/>
      <c r="BC192" s="235"/>
      <c r="BD192" s="235"/>
      <c r="BE192" s="235"/>
      <c r="BF192" s="235"/>
      <c r="BG192" s="235"/>
      <c r="BH192" s="235"/>
      <c r="BI192" s="235"/>
      <c r="BJ192" s="235"/>
      <c r="BK192" s="235"/>
      <c r="BL192" s="235"/>
      <c r="BM192" s="235"/>
      <c r="BN192" s="235"/>
    </row>
    <row r="193" spans="9:66" x14ac:dyDescent="0.25">
      <c r="I193" s="238"/>
      <c r="U193" s="238"/>
      <c r="AA193" s="240" t="s">
        <v>484</v>
      </c>
      <c r="AB193" s="235"/>
      <c r="AC193" s="235"/>
      <c r="AD193" s="235"/>
      <c r="AE193" s="235"/>
      <c r="AF193" s="239"/>
      <c r="AG193" s="238"/>
      <c r="AM193" s="3"/>
    </row>
    <row r="194" spans="9:66" x14ac:dyDescent="0.25">
      <c r="I194" s="238"/>
      <c r="U194" s="238"/>
      <c r="AA194" s="237"/>
      <c r="AG194" s="238"/>
    </row>
    <row r="195" spans="9:66" x14ac:dyDescent="0.25">
      <c r="I195" s="238"/>
      <c r="U195" s="238"/>
      <c r="AA195" s="3"/>
      <c r="AG195" s="238"/>
      <c r="AS195" s="236" t="s">
        <v>509</v>
      </c>
      <c r="AT195" s="237"/>
      <c r="AU195" s="237"/>
      <c r="AV195" s="237"/>
      <c r="AW195" s="237"/>
      <c r="AX195" s="237"/>
      <c r="AY195" s="237"/>
      <c r="AZ195" s="237"/>
      <c r="BA195" s="237"/>
      <c r="BB195" s="237"/>
      <c r="BC195" s="237"/>
      <c r="BD195" s="237"/>
      <c r="BE195" s="237"/>
      <c r="BF195" s="237"/>
      <c r="BG195" s="237"/>
      <c r="BH195" s="237"/>
      <c r="BI195" s="237"/>
      <c r="BJ195" s="237"/>
      <c r="BK195" s="237"/>
      <c r="BL195" s="237"/>
      <c r="BM195" s="237"/>
      <c r="BN195" s="237"/>
    </row>
    <row r="196" spans="9:66" x14ac:dyDescent="0.25">
      <c r="I196" s="238"/>
      <c r="U196" s="238"/>
      <c r="AA196" s="3"/>
      <c r="AG196" s="238"/>
      <c r="AS196" s="238" t="s">
        <v>344</v>
      </c>
      <c r="AT196" s="3">
        <f>DET_NS_stillbirth_lbw_fullgest</f>
        <v>1.5360924440585004E-2</v>
      </c>
      <c r="AU196" s="3" t="s">
        <v>345</v>
      </c>
      <c r="AV196" s="3">
        <f>AT196*AP199</f>
        <v>3.0015652771506619E-4</v>
      </c>
      <c r="AW196" s="3" t="s">
        <v>346</v>
      </c>
      <c r="AX196" s="3">
        <f>AT196*AR199</f>
        <v>3.0015652771506619E-4</v>
      </c>
      <c r="AY196" s="3">
        <f>AY191+1</f>
        <v>49</v>
      </c>
      <c r="AZ196" s="3"/>
      <c r="BA196" s="1">
        <f>det_cost_experimental*AV196</f>
        <v>9.1247584425380125E-4</v>
      </c>
      <c r="BB196" s="3">
        <f>$AV196*(VLOOKUP($AY196,'Pregnancy costs and utilities'!$A$23:$H$158,3))</f>
        <v>1.6949758999837801</v>
      </c>
      <c r="BC196" s="3">
        <f>SUM(BA196:BB196)</f>
        <v>1.6958883758280339</v>
      </c>
      <c r="BD196" s="3"/>
      <c r="BE196" s="3">
        <f>$AV196*(VLOOKUP($AY196,'Pregnancy costs and utilities'!$A$23:$I$158,9))</f>
        <v>2.2511739578629964E-4</v>
      </c>
      <c r="BF196" s="3">
        <f>$AV196*(VLOOKUP($AY196,'Pregnancy costs and utilities'!$A$23:$H$158,7))</f>
        <v>1.9967913006244781E-4</v>
      </c>
      <c r="BG196" s="3"/>
      <c r="BH196" s="3">
        <f>$BA196</f>
        <v>9.1247584425380125E-4</v>
      </c>
      <c r="BI196" s="3">
        <f>$AX196*(VLOOKUP($AY196,'Pregnancy costs and utilities'!$A$23:$H$158,5))</f>
        <v>0.31914944035068632</v>
      </c>
      <c r="BJ196" s="3">
        <f>SUM(BH196:BI196)</f>
        <v>0.32006191619494012</v>
      </c>
      <c r="BK196" s="3"/>
      <c r="BL196" s="3">
        <f>BC196+BI196</f>
        <v>2.0150378161787201</v>
      </c>
      <c r="BN196" s="1" t="str">
        <f>IF(AV196=AX196,"Okay",IF(AV196&gt;AX196,"Lost infant","Gained infant"))</f>
        <v>Okay</v>
      </c>
    </row>
    <row r="197" spans="9:66" x14ac:dyDescent="0.25">
      <c r="I197" s="238"/>
      <c r="U197" s="238"/>
      <c r="AA197" s="3"/>
      <c r="AG197" s="238"/>
      <c r="AS197" s="238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</row>
    <row r="198" spans="9:66" x14ac:dyDescent="0.25">
      <c r="I198" s="238"/>
      <c r="U198" s="238"/>
      <c r="AA198" s="3"/>
      <c r="AG198" s="238"/>
      <c r="AM198" s="236" t="s">
        <v>495</v>
      </c>
      <c r="AN198" s="237"/>
      <c r="AO198" s="237"/>
      <c r="AP198" s="237"/>
      <c r="AQ198" s="237"/>
      <c r="AR198" s="371"/>
      <c r="AS198" s="238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</row>
    <row r="199" spans="9:66" x14ac:dyDescent="0.25">
      <c r="I199" s="238"/>
      <c r="U199" s="238"/>
      <c r="AA199" s="3"/>
      <c r="AG199" s="238"/>
      <c r="AH199" s="3"/>
      <c r="AI199" s="3"/>
      <c r="AJ199" s="3"/>
      <c r="AK199" s="3"/>
      <c r="AL199" s="3"/>
      <c r="AM199" s="238" t="s">
        <v>344</v>
      </c>
      <c r="AN199" s="3">
        <f>DET_NS_lbw_fullgest</f>
        <v>2.6941954581366025E-2</v>
      </c>
      <c r="AO199" s="3" t="s">
        <v>345</v>
      </c>
      <c r="AP199" s="3">
        <f>AN199*AJ200</f>
        <v>1.954026457691729E-2</v>
      </c>
      <c r="AQ199" s="3" t="s">
        <v>346</v>
      </c>
      <c r="AR199" s="370">
        <f>AN199*AL200</f>
        <v>1.954026457691729E-2</v>
      </c>
      <c r="AS199" s="238" t="s">
        <v>344</v>
      </c>
      <c r="AT199" s="3">
        <f>1-AT196</f>
        <v>0.98463907555941499</v>
      </c>
      <c r="AU199" s="3" t="s">
        <v>345</v>
      </c>
      <c r="AV199" s="3">
        <f>AT199*AP199</f>
        <v>1.9240108049202224E-2</v>
      </c>
      <c r="AW199" s="3" t="s">
        <v>346</v>
      </c>
      <c r="AX199" s="3">
        <f>AT199*AR199</f>
        <v>1.9240108049202224E-2</v>
      </c>
      <c r="AY199" s="3">
        <f>AY196+1</f>
        <v>50</v>
      </c>
      <c r="AZ199" s="3"/>
      <c r="BA199" s="1">
        <f>det_cost_experimental*AV199</f>
        <v>5.8489928469574765E-2</v>
      </c>
      <c r="BB199" s="3">
        <f>$AV199*(VLOOKUP($AY199,'Pregnancy costs and utilities'!$A$23:$H$158,3))</f>
        <v>108.64837658116605</v>
      </c>
      <c r="BC199" s="3">
        <f>SUM(BA199:BB199)</f>
        <v>108.70686650963562</v>
      </c>
      <c r="BD199" s="3"/>
      <c r="BE199" s="3">
        <f>$AV199*(VLOOKUP($AY199,'Pregnancy costs and utilities'!$A$23:$I$158,9))</f>
        <v>1.4430081036901668E-2</v>
      </c>
      <c r="BF199" s="3">
        <f>$AV199*(VLOOKUP($AY199,'Pregnancy costs and utilities'!$A$23:$H$158,7))</f>
        <v>1.4242489983421949E-2</v>
      </c>
      <c r="BG199" s="3"/>
      <c r="BH199" s="3">
        <f>$BA199</f>
        <v>5.8489928469574765E-2</v>
      </c>
      <c r="BI199" s="3">
        <f>$AX199*(VLOOKUP($AY199,'Pregnancy costs and utilities'!$A$23:$H$158,5))</f>
        <v>50.906780905121742</v>
      </c>
      <c r="BJ199" s="3">
        <f>SUM(BH199:BI199)</f>
        <v>50.965270833591319</v>
      </c>
      <c r="BK199" s="3"/>
      <c r="BL199" s="3">
        <f>BC199+BI199</f>
        <v>159.61364741475737</v>
      </c>
      <c r="BN199" s="1" t="str">
        <f>IF(AV199=AX199,"Okay",IF(AV199&gt;AX199,"Lost infant","Gained infant"))</f>
        <v>Okay</v>
      </c>
    </row>
    <row r="200" spans="9:66" x14ac:dyDescent="0.25">
      <c r="I200" s="238"/>
      <c r="U200" s="238"/>
      <c r="AA200" s="3"/>
      <c r="AB200" s="3"/>
      <c r="AC200" s="3"/>
      <c r="AD200" s="3"/>
      <c r="AE200" s="3"/>
      <c r="AF200" s="370"/>
      <c r="AG200" s="238" t="s">
        <v>344</v>
      </c>
      <c r="AH200" s="1">
        <f>1-AH187</f>
        <v>0.99981351700999999</v>
      </c>
      <c r="AI200" s="1" t="s">
        <v>345</v>
      </c>
      <c r="AJ200" s="1">
        <f>AH200*AD192</f>
        <v>0.72527271612401889</v>
      </c>
      <c r="AK200" s="1" t="s">
        <v>346</v>
      </c>
      <c r="AL200" s="1">
        <f>AH200*AF192</f>
        <v>0.72527271612401889</v>
      </c>
      <c r="AM200" s="238"/>
      <c r="AN200" s="3"/>
      <c r="AO200" s="3"/>
      <c r="AP200" s="3"/>
      <c r="AQ200" s="3"/>
      <c r="AR200" s="3"/>
      <c r="AS200" s="240" t="s">
        <v>510</v>
      </c>
      <c r="AT200" s="235"/>
      <c r="AU200" s="235"/>
      <c r="AV200" s="235"/>
      <c r="AW200" s="235"/>
      <c r="AX200" s="235"/>
      <c r="AY200" s="235"/>
      <c r="AZ200" s="235"/>
      <c r="BA200" s="235"/>
      <c r="BB200" s="235"/>
      <c r="BC200" s="235"/>
      <c r="BD200" s="235"/>
      <c r="BE200" s="235"/>
      <c r="BF200" s="235"/>
      <c r="BG200" s="235"/>
      <c r="BH200" s="235"/>
      <c r="BI200" s="235"/>
      <c r="BJ200" s="235"/>
      <c r="BK200" s="235"/>
      <c r="BL200" s="235"/>
      <c r="BM200" s="235"/>
      <c r="BN200" s="235"/>
    </row>
    <row r="201" spans="9:66" x14ac:dyDescent="0.25">
      <c r="I201" s="238"/>
      <c r="U201" s="238"/>
      <c r="AA201" s="3"/>
      <c r="AB201" s="3"/>
      <c r="AC201" s="3"/>
      <c r="AD201" s="3"/>
      <c r="AE201" s="3"/>
      <c r="AF201" s="370"/>
      <c r="AG201" s="240" t="s">
        <v>488</v>
      </c>
      <c r="AH201" s="235"/>
      <c r="AI201" s="235"/>
      <c r="AJ201" s="235"/>
      <c r="AK201" s="235"/>
      <c r="AL201" s="239"/>
      <c r="AM201" s="238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</row>
    <row r="202" spans="9:66" x14ac:dyDescent="0.25">
      <c r="I202" s="238"/>
      <c r="U202" s="238"/>
      <c r="AA202" s="3"/>
      <c r="AG202" s="3"/>
      <c r="AH202" s="3"/>
      <c r="AI202" s="3"/>
      <c r="AJ202" s="3"/>
      <c r="AK202" s="3"/>
      <c r="AL202" s="3"/>
      <c r="AM202" s="238"/>
      <c r="AN202" s="3"/>
      <c r="AO202" s="3"/>
      <c r="AP202" s="3"/>
      <c r="AQ202" s="3"/>
      <c r="AR202" s="3"/>
      <c r="AS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</row>
    <row r="203" spans="9:66" x14ac:dyDescent="0.25">
      <c r="I203" s="238"/>
      <c r="U203" s="238"/>
      <c r="AA203" s="3"/>
      <c r="AG203" s="3"/>
      <c r="AH203" s="3"/>
      <c r="AI203" s="3"/>
      <c r="AJ203" s="3"/>
      <c r="AK203" s="3"/>
      <c r="AL203" s="3"/>
      <c r="AM203" s="238"/>
      <c r="AN203" s="3"/>
      <c r="AO203" s="3"/>
      <c r="AP203" s="3"/>
      <c r="AQ203" s="3"/>
      <c r="AR203" s="3"/>
      <c r="AS203" s="236" t="s">
        <v>511</v>
      </c>
      <c r="AT203" s="237"/>
      <c r="AU203" s="237"/>
      <c r="AV203" s="237"/>
      <c r="AW203" s="237"/>
      <c r="AX203" s="237"/>
      <c r="AY203" s="237"/>
      <c r="AZ203" s="237"/>
      <c r="BA203" s="237"/>
      <c r="BB203" s="237"/>
      <c r="BC203" s="237"/>
      <c r="BD203" s="237"/>
      <c r="BE203" s="237"/>
      <c r="BF203" s="237"/>
      <c r="BG203" s="237"/>
      <c r="BH203" s="237"/>
      <c r="BI203" s="237"/>
      <c r="BJ203" s="237"/>
      <c r="BK203" s="237"/>
      <c r="BL203" s="237"/>
      <c r="BM203" s="237"/>
      <c r="BN203" s="237"/>
    </row>
    <row r="204" spans="9:66" x14ac:dyDescent="0.25">
      <c r="I204" s="238"/>
      <c r="U204" s="238"/>
      <c r="V204" s="3"/>
      <c r="W204" s="3"/>
      <c r="X204" s="3"/>
      <c r="Y204" s="3"/>
      <c r="Z204" s="3"/>
      <c r="AA204" s="3"/>
      <c r="AG204" s="3"/>
      <c r="AH204" s="3"/>
      <c r="AI204" s="3"/>
      <c r="AJ204" s="3"/>
      <c r="AK204" s="3"/>
      <c r="AL204" s="3"/>
      <c r="AM204" s="238" t="s">
        <v>344</v>
      </c>
      <c r="AN204" s="1">
        <f>1-AN199</f>
        <v>0.97305804541863394</v>
      </c>
      <c r="AO204" s="1" t="s">
        <v>345</v>
      </c>
      <c r="AP204" s="1">
        <f>AN204*AJ200</f>
        <v>0.70573245154710162</v>
      </c>
      <c r="AQ204" s="1" t="s">
        <v>346</v>
      </c>
      <c r="AR204" s="1">
        <f>AN204*AL200</f>
        <v>0.70573245154710162</v>
      </c>
      <c r="AS204" s="238" t="s">
        <v>344</v>
      </c>
      <c r="AT204" s="3">
        <f>DET_NS_stillbirth_nbw_fullgest</f>
        <v>1.6109941848144384E-3</v>
      </c>
      <c r="AU204" s="3" t="s">
        <v>345</v>
      </c>
      <c r="AV204" s="3">
        <f>AT204*AP204</f>
        <v>1.136930875477218E-3</v>
      </c>
      <c r="AW204" s="3" t="s">
        <v>346</v>
      </c>
      <c r="AX204" s="3">
        <f>AT204*AR204</f>
        <v>1.136930875477218E-3</v>
      </c>
      <c r="AY204" s="3">
        <f>AY199+1</f>
        <v>51</v>
      </c>
      <c r="AZ204" s="3"/>
      <c r="BA204" s="1">
        <f>det_cost_experimental*AV204</f>
        <v>3.4562698614507429E-3</v>
      </c>
      <c r="BB204" s="3">
        <f>$AV204*(VLOOKUP($AY204,'Pregnancy costs and utilities'!$A$23:$H$158,3))</f>
        <v>6.4202183059323037</v>
      </c>
      <c r="BC204" s="3">
        <f>SUM(BA204:BB204)</f>
        <v>6.4236745757937541</v>
      </c>
      <c r="BD204" s="3"/>
      <c r="BE204" s="3">
        <f>$AV204*(VLOOKUP($AY204,'Pregnancy costs and utilities'!$A$23:$I$158,9))</f>
        <v>8.5269815660791353E-4</v>
      </c>
      <c r="BF204" s="3">
        <f>$AV204*(VLOOKUP($AY204,'Pregnancy costs and utilities'!$A$23:$H$158,7))</f>
        <v>7.563432649112194E-4</v>
      </c>
      <c r="BG204" s="3"/>
      <c r="BH204" s="3">
        <f>$BA204</f>
        <v>3.4562698614507429E-3</v>
      </c>
      <c r="BI204" s="3">
        <f>$AX204*(VLOOKUP($AY204,'Pregnancy costs and utilities'!$A$23:$H$158,5))</f>
        <v>1.2088721021267228</v>
      </c>
      <c r="BJ204" s="3">
        <f>SUM(BH204:BI204)</f>
        <v>1.2123283719881734</v>
      </c>
      <c r="BK204" s="3"/>
      <c r="BL204" s="3">
        <f>BC204+BI204</f>
        <v>7.6325466779204767</v>
      </c>
      <c r="BN204" s="1" t="str">
        <f>IF(AV204=AX204,"Okay",IF(AV204&gt;AX204,"Lost infant","Gained infant"))</f>
        <v>Okay</v>
      </c>
    </row>
    <row r="205" spans="9:66" x14ac:dyDescent="0.25">
      <c r="I205" s="238"/>
      <c r="U205" s="238"/>
      <c r="V205" s="3"/>
      <c r="W205" s="3"/>
      <c r="X205" s="3"/>
      <c r="Y205" s="3"/>
      <c r="Z205" s="3"/>
      <c r="AA205" s="3"/>
      <c r="AG205" s="3"/>
      <c r="AH205" s="3"/>
      <c r="AI205" s="3"/>
      <c r="AJ205" s="3"/>
      <c r="AK205" s="3"/>
      <c r="AL205" s="3"/>
      <c r="AM205" s="240" t="s">
        <v>496</v>
      </c>
      <c r="AN205" s="235"/>
      <c r="AO205" s="235"/>
      <c r="AP205" s="235"/>
      <c r="AQ205" s="235"/>
      <c r="AR205" s="239"/>
      <c r="AS205" s="238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</row>
    <row r="206" spans="9:66" x14ac:dyDescent="0.25">
      <c r="I206" s="238"/>
      <c r="U206" s="238"/>
      <c r="V206" s="3"/>
      <c r="W206" s="3"/>
      <c r="X206" s="3"/>
      <c r="Y206" s="3"/>
      <c r="Z206" s="3"/>
      <c r="AA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238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</row>
    <row r="207" spans="9:66" x14ac:dyDescent="0.25">
      <c r="I207" s="238"/>
      <c r="U207" s="238"/>
      <c r="V207" s="3"/>
      <c r="W207" s="3"/>
      <c r="X207" s="3"/>
      <c r="Y207" s="3"/>
      <c r="Z207" s="3"/>
      <c r="AA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238" t="s">
        <v>344</v>
      </c>
      <c r="AT207" s="3">
        <f>1-AT204</f>
        <v>0.99838900581518553</v>
      </c>
      <c r="AU207" s="3" t="s">
        <v>345</v>
      </c>
      <c r="AV207" s="3">
        <f>AT207*AP204</f>
        <v>0.70459552067162434</v>
      </c>
      <c r="AW207" s="3" t="s">
        <v>346</v>
      </c>
      <c r="AX207" s="3">
        <f>AT207*AR204</f>
        <v>0.70459552067162434</v>
      </c>
      <c r="AY207" s="3">
        <f>AY204+1</f>
        <v>52</v>
      </c>
      <c r="AZ207" s="3"/>
      <c r="BA207" s="1">
        <f>det_cost_experimental*AV207</f>
        <v>2.141970382841738</v>
      </c>
      <c r="BB207" s="3">
        <f>$AV207*(VLOOKUP($AY207,'Pregnancy costs and utilities'!$A$23:$H$158,3))</f>
        <v>3978.8320975935276</v>
      </c>
      <c r="BC207" s="3">
        <f>SUM(BA207:BB207)</f>
        <v>3980.9740679763695</v>
      </c>
      <c r="BD207" s="3"/>
      <c r="BE207" s="3">
        <f>$AV207*(VLOOKUP($AY207,'Pregnancy costs and utilities'!$A$23:$I$158,9))</f>
        <v>0.52844664050371826</v>
      </c>
      <c r="BF207" s="3">
        <f>$AV207*(VLOOKUP($AY207,'Pregnancy costs and utilities'!$A$23:$H$158,7))</f>
        <v>0.52157683417716993</v>
      </c>
      <c r="BG207" s="3"/>
      <c r="BH207" s="3">
        <f>$BA207</f>
        <v>2.141970382841738</v>
      </c>
      <c r="BI207" s="3">
        <f>$AX207*(VLOOKUP($AY207,'Pregnancy costs and utilities'!$A$23:$H$158,5))</f>
        <v>1864.2665470398865</v>
      </c>
      <c r="BJ207" s="3">
        <f>SUM(BH207:BI207)</f>
        <v>1866.4085174227282</v>
      </c>
      <c r="BK207" s="3"/>
      <c r="BL207" s="3">
        <f>BC207+BI207</f>
        <v>5845.240615016256</v>
      </c>
      <c r="BN207" s="1" t="str">
        <f>IF(AV207=AX207,"Okay",IF(AV207&gt;AX207,"Lost infant","Gained infant"))</f>
        <v>Okay</v>
      </c>
    </row>
    <row r="208" spans="9:66" x14ac:dyDescent="0.25">
      <c r="I208" s="238"/>
      <c r="U208" s="238"/>
      <c r="V208" s="3"/>
      <c r="W208" s="3"/>
      <c r="X208" s="3"/>
      <c r="Y208" s="3"/>
      <c r="Z208" s="3"/>
      <c r="AA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240" t="s">
        <v>512</v>
      </c>
      <c r="AT208" s="235"/>
      <c r="AU208" s="235"/>
      <c r="AV208" s="235"/>
      <c r="AW208" s="235"/>
      <c r="AX208" s="235"/>
      <c r="AY208" s="235"/>
      <c r="AZ208" s="235"/>
      <c r="BA208" s="235"/>
      <c r="BB208" s="235"/>
      <c r="BC208" s="235"/>
      <c r="BD208" s="235"/>
      <c r="BE208" s="235"/>
      <c r="BF208" s="235"/>
      <c r="BG208" s="235"/>
      <c r="BH208" s="235"/>
      <c r="BI208" s="235"/>
      <c r="BJ208" s="235"/>
      <c r="BK208" s="235"/>
      <c r="BL208" s="235"/>
      <c r="BM208" s="235"/>
      <c r="BN208" s="235"/>
    </row>
    <row r="209" spans="9:66" x14ac:dyDescent="0.25">
      <c r="I209" s="238"/>
      <c r="U209" s="238"/>
      <c r="V209" s="3"/>
      <c r="W209" s="3"/>
      <c r="X209" s="3"/>
      <c r="Y209" s="3"/>
      <c r="Z209" s="3"/>
      <c r="AA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</row>
    <row r="210" spans="9:66" x14ac:dyDescent="0.25">
      <c r="I210" s="238"/>
      <c r="U210" s="238"/>
      <c r="V210" s="3"/>
      <c r="W210" s="3"/>
      <c r="X210" s="3"/>
      <c r="Y210" s="3"/>
      <c r="Z210" s="3"/>
      <c r="AA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</row>
    <row r="211" spans="9:66" x14ac:dyDescent="0.25">
      <c r="I211" s="238"/>
      <c r="U211" s="238"/>
      <c r="V211" s="3"/>
      <c r="W211" s="3"/>
      <c r="X211" s="3"/>
      <c r="Y211" s="3"/>
      <c r="Z211" s="3"/>
      <c r="AA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236" t="s">
        <v>542</v>
      </c>
      <c r="AT211" s="237"/>
      <c r="AU211" s="237"/>
      <c r="AV211" s="237"/>
      <c r="AW211" s="237"/>
      <c r="AX211" s="237"/>
      <c r="AY211" s="237"/>
      <c r="AZ211" s="237"/>
      <c r="BA211" s="237"/>
      <c r="BB211" s="237"/>
      <c r="BC211" s="237"/>
      <c r="BD211" s="237"/>
      <c r="BE211" s="237"/>
      <c r="BF211" s="237"/>
      <c r="BG211" s="237"/>
      <c r="BH211" s="237"/>
      <c r="BI211" s="237"/>
      <c r="BJ211" s="237"/>
      <c r="BK211" s="237"/>
      <c r="BL211" s="237"/>
      <c r="BM211" s="237"/>
      <c r="BN211" s="237"/>
    </row>
    <row r="212" spans="9:66" x14ac:dyDescent="0.25">
      <c r="I212" s="238"/>
      <c r="U212" s="238"/>
      <c r="V212" s="3"/>
      <c r="W212" s="3"/>
      <c r="X212" s="3"/>
      <c r="Y212" s="3"/>
      <c r="Z212" s="3"/>
      <c r="AA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238" t="s">
        <v>344</v>
      </c>
      <c r="AT212" s="1">
        <f>DET_NS_stillbirth_lbw_premature</f>
        <v>6.0752905295406189E-2</v>
      </c>
      <c r="AU212" s="1" t="s">
        <v>345</v>
      </c>
      <c r="AV212" s="1">
        <f>AT212*AP215</f>
        <v>5.9124815898529975E-6</v>
      </c>
      <c r="AW212" s="1" t="s">
        <v>346</v>
      </c>
      <c r="AX212" s="1">
        <f>AT212*AR215</f>
        <v>5.9124815898529975E-6</v>
      </c>
      <c r="AY212" s="1">
        <f>AY207+1</f>
        <v>53</v>
      </c>
      <c r="BA212" s="1">
        <f>det_cost_experimental*AV212</f>
        <v>1.7973944033153111E-5</v>
      </c>
      <c r="BB212" s="1">
        <f>$AV212*(VLOOKUP($AY212,'Pregnancy costs and utilities'!$A$23:$H$158,3))</f>
        <v>3.5047549651232295E-2</v>
      </c>
      <c r="BC212" s="1">
        <f>SUM(BA212:BB212)</f>
        <v>3.5065523595265449E-2</v>
      </c>
      <c r="BE212" s="1">
        <f>$AV212*(VLOOKUP($AY212,'Pregnancy costs and utilities'!$A$23:$I$158,9))</f>
        <v>0</v>
      </c>
      <c r="BF212" s="1">
        <f>$AV212*(VLOOKUP($AY212,'Pregnancy costs and utilities'!$A$23:$H$158,7))</f>
        <v>0</v>
      </c>
      <c r="BH212" s="1">
        <f>$BA212</f>
        <v>1.7973944033153111E-5</v>
      </c>
      <c r="BI212" s="1">
        <f>$AX212*(VLOOKUP($AY212,'Pregnancy costs and utilities'!$A$23:$H$158,5))</f>
        <v>6.2866038758170413E-3</v>
      </c>
      <c r="BJ212" s="3">
        <f>SUM(BH212:BI212)</f>
        <v>6.3045778198501943E-3</v>
      </c>
      <c r="BK212" s="3"/>
      <c r="BL212" s="3">
        <f>BC212+BI212</f>
        <v>4.1352127471082488E-2</v>
      </c>
      <c r="BN212" s="1" t="str">
        <f>IF(AV212=AX212,"Okay",IF(AV212&gt;AX212,"Lost infant","Gained infant"))</f>
        <v>Okay</v>
      </c>
    </row>
    <row r="213" spans="9:66" x14ac:dyDescent="0.25">
      <c r="I213" s="238"/>
      <c r="U213" s="238"/>
      <c r="V213" s="3"/>
      <c r="W213" s="3"/>
      <c r="X213" s="3"/>
      <c r="Y213" s="3"/>
      <c r="Z213" s="3"/>
      <c r="AA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238"/>
      <c r="BJ213" s="3"/>
      <c r="BK213" s="3"/>
      <c r="BL213" s="3"/>
    </row>
    <row r="214" spans="9:66" x14ac:dyDescent="0.25">
      <c r="I214" s="238"/>
      <c r="U214" s="238"/>
      <c r="V214" s="3"/>
      <c r="W214" s="3"/>
      <c r="X214" s="3"/>
      <c r="Y214" s="3"/>
      <c r="Z214" s="3"/>
      <c r="AA214" s="3"/>
      <c r="AG214" s="3"/>
      <c r="AH214" s="3"/>
      <c r="AI214" s="3"/>
      <c r="AJ214" s="3"/>
      <c r="AK214" s="3"/>
      <c r="AL214" s="3"/>
      <c r="AM214" s="236" t="s">
        <v>519</v>
      </c>
      <c r="AN214" s="237"/>
      <c r="AO214" s="237"/>
      <c r="AP214" s="237"/>
      <c r="AQ214" s="237"/>
      <c r="AR214" s="371"/>
      <c r="AS214" s="238"/>
      <c r="BJ214" s="3"/>
      <c r="BK214" s="3"/>
      <c r="BL214" s="3"/>
    </row>
    <row r="215" spans="9:66" x14ac:dyDescent="0.25">
      <c r="I215" s="238"/>
      <c r="U215" s="238"/>
      <c r="V215" s="3"/>
      <c r="W215" s="3"/>
      <c r="X215" s="3"/>
      <c r="Y215" s="3"/>
      <c r="Z215" s="3"/>
      <c r="AA215" s="3"/>
      <c r="AG215" s="3"/>
      <c r="AH215" s="3"/>
      <c r="AI215" s="3"/>
      <c r="AJ215" s="3"/>
      <c r="AK215" s="3"/>
      <c r="AL215" s="3"/>
      <c r="AM215" s="238" t="s">
        <v>344</v>
      </c>
      <c r="AN215" s="1">
        <f>DET_NS_lbw_premature</f>
        <v>0.57035604742854706</v>
      </c>
      <c r="AO215" s="1" t="s">
        <v>345</v>
      </c>
      <c r="AP215" s="1">
        <f>AN215*AJ219</f>
        <v>9.7320145614502291E-5</v>
      </c>
      <c r="AQ215" s="1" t="s">
        <v>346</v>
      </c>
      <c r="AR215" s="1">
        <f>AN215*AL219</f>
        <v>9.7320145614502291E-5</v>
      </c>
      <c r="AS215" s="238" t="s">
        <v>344</v>
      </c>
      <c r="AT215" s="1">
        <f>1-AT212</f>
        <v>0.93924709470459378</v>
      </c>
      <c r="AU215" s="1" t="s">
        <v>345</v>
      </c>
      <c r="AV215" s="1">
        <f>AT215*AP215</f>
        <v>9.1407664024649286E-5</v>
      </c>
      <c r="AW215" s="1" t="s">
        <v>346</v>
      </c>
      <c r="AX215" s="1">
        <f>AT215*AR215</f>
        <v>9.1407664024649286E-5</v>
      </c>
      <c r="AY215" s="1">
        <f>AY212+1</f>
        <v>54</v>
      </c>
      <c r="BA215" s="1">
        <f>det_cost_experimental*AV215</f>
        <v>2.7787929863493381E-4</v>
      </c>
      <c r="BB215" s="1">
        <f>$AV215*(VLOOKUP($AY215,'Pregnancy costs and utilities'!$A$23:$H$158,3))</f>
        <v>0.54183925898477214</v>
      </c>
      <c r="BC215" s="1">
        <f>SUM(BA215:BB215)</f>
        <v>0.54211713828340713</v>
      </c>
      <c r="BE215" s="1">
        <f>$AV215*(VLOOKUP($AY215,'Pregnancy costs and utilities'!$A$23:$I$158,9))</f>
        <v>0</v>
      </c>
      <c r="BF215" s="1">
        <f>$AV215*(VLOOKUP($AY215,'Pregnancy costs and utilities'!$A$23:$H$158,7))</f>
        <v>0</v>
      </c>
      <c r="BH215" s="1">
        <f>$BA215</f>
        <v>2.7787929863493381E-4</v>
      </c>
      <c r="BI215" s="1">
        <f>$AX215*(VLOOKUP($AY215,'Pregnancy costs and utilities'!$A$23:$H$158,5))</f>
        <v>1.4565399158297447</v>
      </c>
      <c r="BJ215" s="3">
        <f>SUM(BH215:BI215)</f>
        <v>1.4568177951283796</v>
      </c>
      <c r="BK215" s="3"/>
      <c r="BL215" s="3">
        <f>BC215+BI215</f>
        <v>1.9986570541131519</v>
      </c>
      <c r="BN215" s="1" t="str">
        <f>IF(AV215=AX215,"Okay",IF(AV215&gt;AX215,"Lost infant","Gained infant"))</f>
        <v>Okay</v>
      </c>
    </row>
    <row r="216" spans="9:66" x14ac:dyDescent="0.25">
      <c r="I216" s="238"/>
      <c r="U216" s="238"/>
      <c r="V216" s="3"/>
      <c r="W216" s="3"/>
      <c r="X216" s="3"/>
      <c r="Y216" s="3"/>
      <c r="Z216" s="3"/>
      <c r="AA216" s="3"/>
      <c r="AG216" s="3"/>
      <c r="AH216" s="3"/>
      <c r="AI216" s="3"/>
      <c r="AJ216" s="3"/>
      <c r="AK216" s="3"/>
      <c r="AL216" s="3"/>
      <c r="AM216" s="238"/>
      <c r="AN216" s="3"/>
      <c r="AO216" s="3"/>
      <c r="AP216" s="3"/>
      <c r="AQ216" s="3"/>
      <c r="AR216" s="3"/>
      <c r="AS216" s="240" t="s">
        <v>541</v>
      </c>
      <c r="AT216" s="235"/>
      <c r="AU216" s="235"/>
      <c r="AV216" s="235"/>
      <c r="AW216" s="235"/>
      <c r="AX216" s="235"/>
      <c r="AY216" s="235"/>
      <c r="AZ216" s="235"/>
      <c r="BA216" s="235"/>
      <c r="BB216" s="235"/>
      <c r="BC216" s="235"/>
      <c r="BD216" s="235"/>
      <c r="BE216" s="235"/>
      <c r="BF216" s="235"/>
      <c r="BG216" s="235"/>
      <c r="BH216" s="235"/>
      <c r="BI216" s="235"/>
      <c r="BJ216" s="235"/>
      <c r="BK216" s="235"/>
      <c r="BL216" s="235"/>
      <c r="BM216" s="235"/>
      <c r="BN216" s="235"/>
    </row>
    <row r="217" spans="9:66" x14ac:dyDescent="0.25">
      <c r="I217" s="238"/>
      <c r="U217" s="238"/>
      <c r="V217" s="3"/>
      <c r="W217" s="3"/>
      <c r="X217" s="3"/>
      <c r="Y217" s="3"/>
      <c r="Z217" s="3"/>
      <c r="AA217" s="3"/>
      <c r="AG217" s="3"/>
      <c r="AH217" s="3"/>
      <c r="AI217" s="3"/>
      <c r="AJ217" s="3"/>
      <c r="AK217" s="3"/>
      <c r="AL217" s="3"/>
      <c r="AM217" s="238"/>
      <c r="AN217" s="3"/>
      <c r="AO217" s="3"/>
      <c r="AP217" s="3"/>
      <c r="AQ217" s="3"/>
      <c r="AR217" s="3"/>
      <c r="AS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</row>
    <row r="218" spans="9:66" x14ac:dyDescent="0.25">
      <c r="I218" s="238"/>
      <c r="U218" s="238"/>
      <c r="V218" s="3"/>
      <c r="W218" s="3"/>
      <c r="X218" s="3"/>
      <c r="Y218" s="3"/>
      <c r="Z218" s="3"/>
      <c r="AA218" s="3"/>
      <c r="AG218" s="236" t="s">
        <v>515</v>
      </c>
      <c r="AH218" s="237"/>
      <c r="AI218" s="237"/>
      <c r="AJ218" s="237"/>
      <c r="AK218" s="237"/>
      <c r="AL218" s="237"/>
      <c r="AM218" s="238"/>
      <c r="AN218" s="3"/>
      <c r="AO218" s="3"/>
      <c r="AP218" s="3"/>
      <c r="AQ218" s="3"/>
      <c r="AR218" s="3"/>
      <c r="AS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</row>
    <row r="219" spans="9:66" x14ac:dyDescent="0.25">
      <c r="I219" s="238"/>
      <c r="U219" s="238"/>
      <c r="V219" s="3"/>
      <c r="W219" s="3"/>
      <c r="X219" s="3"/>
      <c r="Y219" s="3"/>
      <c r="Z219" s="3"/>
      <c r="AA219" s="3"/>
      <c r="AG219" s="238" t="s">
        <v>344</v>
      </c>
      <c r="AH219" s="1">
        <f>DET_MORT_no_complication</f>
        <v>6.1594290000000217E-5</v>
      </c>
      <c r="AI219" s="1" t="s">
        <v>345</v>
      </c>
      <c r="AJ219" s="1">
        <f>AH219*AD227</f>
        <v>1.7063051413809081E-4</v>
      </c>
      <c r="AK219" s="1" t="s">
        <v>346</v>
      </c>
      <c r="AL219" s="1">
        <f>AH219*AF227</f>
        <v>1.7063051413809081E-4</v>
      </c>
      <c r="AM219" s="238"/>
      <c r="AN219" s="3"/>
      <c r="AO219" s="3"/>
      <c r="AP219" s="3"/>
      <c r="AQ219" s="3"/>
      <c r="AR219" s="3"/>
      <c r="AS219" s="236" t="s">
        <v>540</v>
      </c>
      <c r="AT219" s="237"/>
      <c r="AU219" s="237"/>
      <c r="AV219" s="237"/>
      <c r="AW219" s="237"/>
      <c r="AX219" s="237"/>
      <c r="AY219" s="237"/>
      <c r="AZ219" s="237"/>
      <c r="BA219" s="237"/>
      <c r="BB219" s="237"/>
      <c r="BC219" s="237"/>
      <c r="BD219" s="237"/>
      <c r="BE219" s="237"/>
      <c r="BF219" s="237"/>
      <c r="BG219" s="237"/>
      <c r="BH219" s="237"/>
      <c r="BI219" s="237"/>
      <c r="BJ219" s="237"/>
      <c r="BK219" s="237"/>
      <c r="BL219" s="237"/>
      <c r="BM219" s="237"/>
      <c r="BN219" s="237"/>
    </row>
    <row r="220" spans="9:66" x14ac:dyDescent="0.25">
      <c r="I220" s="238"/>
      <c r="U220" s="238"/>
      <c r="V220" s="3"/>
      <c r="W220" s="3"/>
      <c r="X220" s="3"/>
      <c r="Y220" s="3"/>
      <c r="Z220" s="3"/>
      <c r="AA220" s="3"/>
      <c r="AG220" s="238"/>
      <c r="AH220" s="3"/>
      <c r="AI220" s="3"/>
      <c r="AJ220" s="3"/>
      <c r="AK220" s="3"/>
      <c r="AL220" s="3"/>
      <c r="AM220" s="238" t="s">
        <v>344</v>
      </c>
      <c r="AN220" s="1">
        <f>1-AN215</f>
        <v>0.42964395257145294</v>
      </c>
      <c r="AO220" s="1" t="s">
        <v>345</v>
      </c>
      <c r="AP220" s="1">
        <f>AN220*AJ219</f>
        <v>7.3310368523588518E-5</v>
      </c>
      <c r="AQ220" s="1" t="s">
        <v>346</v>
      </c>
      <c r="AR220" s="1">
        <f>AN220*AL219</f>
        <v>7.3310368523588518E-5</v>
      </c>
      <c r="AS220" s="238" t="s">
        <v>344</v>
      </c>
      <c r="AT220" s="3">
        <f>DET_NS_stillbirth_nbw_premature</f>
        <v>7.6129469648265786E-3</v>
      </c>
      <c r="AU220" s="3" t="s">
        <v>345</v>
      </c>
      <c r="AV220" s="3">
        <f>AT220*AP220</f>
        <v>5.581079475419712E-7</v>
      </c>
      <c r="AW220" s="3" t="s">
        <v>346</v>
      </c>
      <c r="AX220" s="3">
        <f>AT220*AR220</f>
        <v>5.581079475419712E-7</v>
      </c>
      <c r="AY220" s="3">
        <f>AY215+1</f>
        <v>55</v>
      </c>
      <c r="AZ220" s="3"/>
      <c r="BA220" s="1">
        <f>det_cost_experimental*AV220</f>
        <v>1.6966481605275925E-6</v>
      </c>
      <c r="BB220" s="3">
        <f>$AV220*(VLOOKUP($AY220,'Pregnancy costs and utilities'!$A$23:$H$158,3))</f>
        <v>3.3083089908971563E-3</v>
      </c>
      <c r="BC220" s="3">
        <f>SUM(BA220:BB220)</f>
        <v>3.3100056390576839E-3</v>
      </c>
      <c r="BD220" s="3"/>
      <c r="BE220" s="3">
        <f>$AV220*(VLOOKUP($AY220,'Pregnancy costs and utilities'!$A$23:$I$158,9))</f>
        <v>0</v>
      </c>
      <c r="BF220" s="3">
        <f>$AV220*(VLOOKUP($AY220,'Pregnancy costs and utilities'!$A$23:$H$158,7))</f>
        <v>0</v>
      </c>
      <c r="BG220" s="3"/>
      <c r="BH220" s="3">
        <f>$BA220</f>
        <v>1.6966481605275925E-6</v>
      </c>
      <c r="BI220" s="3">
        <f>$AX220*(VLOOKUP($AY220,'Pregnancy costs and utilities'!$A$23:$H$158,5))</f>
        <v>5.9342317313310815E-4</v>
      </c>
      <c r="BJ220" s="3">
        <f>SUM(BH220:BI220)</f>
        <v>5.9511982129363571E-4</v>
      </c>
      <c r="BK220" s="3"/>
      <c r="BL220" s="3">
        <f>BC220+BI220</f>
        <v>3.9034288121907921E-3</v>
      </c>
      <c r="BN220" s="1" t="str">
        <f>IF(AV220=AX220,"Okay",IF(AV220&gt;AX220,"Lost infant","Gained infant"))</f>
        <v>Okay</v>
      </c>
    </row>
    <row r="221" spans="9:66" x14ac:dyDescent="0.25">
      <c r="I221" s="238"/>
      <c r="U221" s="238"/>
      <c r="V221" s="3"/>
      <c r="W221" s="3"/>
      <c r="X221" s="3"/>
      <c r="Y221" s="3"/>
      <c r="Z221" s="3"/>
      <c r="AA221" s="3"/>
      <c r="AG221" s="238"/>
      <c r="AH221" s="3"/>
      <c r="AI221" s="3"/>
      <c r="AJ221" s="3"/>
      <c r="AK221" s="3"/>
      <c r="AL221" s="3"/>
      <c r="AM221" s="240" t="s">
        <v>520</v>
      </c>
      <c r="AN221" s="235"/>
      <c r="AO221" s="235"/>
      <c r="AP221" s="235"/>
      <c r="AQ221" s="235"/>
      <c r="AR221" s="239"/>
      <c r="AS221" s="238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</row>
    <row r="222" spans="9:66" x14ac:dyDescent="0.25">
      <c r="I222" s="238"/>
      <c r="U222" s="238"/>
      <c r="V222" s="3"/>
      <c r="W222" s="3"/>
      <c r="X222" s="3"/>
      <c r="Y222" s="3"/>
      <c r="Z222" s="3"/>
      <c r="AA222" s="3"/>
      <c r="AG222" s="238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238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</row>
    <row r="223" spans="9:66" x14ac:dyDescent="0.25">
      <c r="I223" s="238"/>
      <c r="U223" s="238"/>
      <c r="V223" s="3"/>
      <c r="W223" s="3"/>
      <c r="X223" s="3"/>
      <c r="Y223" s="3"/>
      <c r="Z223" s="3"/>
      <c r="AA223" s="3"/>
      <c r="AG223" s="238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238" t="s">
        <v>344</v>
      </c>
      <c r="AT223" s="3">
        <f>1-AT220</f>
        <v>0.99238705303517338</v>
      </c>
      <c r="AU223" s="3" t="s">
        <v>345</v>
      </c>
      <c r="AV223" s="3">
        <f>AT223*AP220</f>
        <v>7.275226057604655E-5</v>
      </c>
      <c r="AW223" s="3" t="s">
        <v>346</v>
      </c>
      <c r="AX223" s="3">
        <f>AT223*AR220</f>
        <v>7.275226057604655E-5</v>
      </c>
      <c r="AY223" s="3">
        <f>AY220+1</f>
        <v>56</v>
      </c>
      <c r="AZ223" s="3"/>
      <c r="BA223" s="1">
        <f>det_cost_experimental*AV223</f>
        <v>2.2116687215118151E-4</v>
      </c>
      <c r="BB223" s="3">
        <f>$AV223*(VLOOKUP($AY223,'Pregnancy costs and utilities'!$A$23:$H$158,3))</f>
        <v>0.43125520579283139</v>
      </c>
      <c r="BC223" s="3">
        <f>SUM(BA223:BB223)</f>
        <v>0.43147637266498257</v>
      </c>
      <c r="BD223" s="3"/>
      <c r="BE223" s="3">
        <f>$AV223*(VLOOKUP($AY223,'Pregnancy costs and utilities'!$A$23:$I$158,9))</f>
        <v>0</v>
      </c>
      <c r="BF223" s="3">
        <f>$AV223*(VLOOKUP($AY223,'Pregnancy costs and utilities'!$A$23:$H$158,7))</f>
        <v>0</v>
      </c>
      <c r="BG223" s="3"/>
      <c r="BH223" s="3">
        <f>$BA223</f>
        <v>2.2116687215118151E-4</v>
      </c>
      <c r="BI223" s="3">
        <f>$AX223*(VLOOKUP($AY223,'Pregnancy costs and utilities'!$A$23:$H$158,5))</f>
        <v>1.1592744725134121</v>
      </c>
      <c r="BJ223" s="3">
        <f>SUM(BH223:BI223)</f>
        <v>1.1594956393855633</v>
      </c>
      <c r="BK223" s="3"/>
      <c r="BL223" s="3">
        <f>BC223+BI223</f>
        <v>1.5907508451783947</v>
      </c>
      <c r="BN223" s="1" t="str">
        <f>IF(AV223=AX223,"Okay",IF(AV223&gt;AX223,"Lost infant","Gained infant"))</f>
        <v>Okay</v>
      </c>
    </row>
    <row r="224" spans="9:66" x14ac:dyDescent="0.25">
      <c r="I224" s="238"/>
      <c r="U224" s="238"/>
      <c r="V224" s="3"/>
      <c r="W224" s="3"/>
      <c r="X224" s="3"/>
      <c r="Y224" s="3"/>
      <c r="Z224" s="3"/>
      <c r="AA224" s="3"/>
      <c r="AG224" s="238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240" t="s">
        <v>539</v>
      </c>
      <c r="AT224" s="235"/>
      <c r="AU224" s="235"/>
      <c r="AV224" s="235"/>
      <c r="AW224" s="235"/>
      <c r="AX224" s="235"/>
      <c r="AY224" s="235"/>
      <c r="AZ224" s="235"/>
      <c r="BA224" s="235"/>
      <c r="BB224" s="235"/>
      <c r="BC224" s="235"/>
      <c r="BD224" s="235"/>
      <c r="BE224" s="235"/>
      <c r="BF224" s="235"/>
      <c r="BG224" s="235"/>
      <c r="BH224" s="235"/>
      <c r="BI224" s="235"/>
      <c r="BJ224" s="235"/>
      <c r="BK224" s="235"/>
      <c r="BL224" s="235"/>
      <c r="BM224" s="235"/>
      <c r="BN224" s="235"/>
    </row>
    <row r="225" spans="9:66" x14ac:dyDescent="0.25">
      <c r="I225" s="238"/>
      <c r="U225" s="238"/>
      <c r="V225" s="3"/>
      <c r="W225" s="3"/>
      <c r="X225" s="3"/>
      <c r="Y225" s="3"/>
      <c r="Z225" s="3"/>
      <c r="AA225" s="235"/>
      <c r="AG225" s="238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</row>
    <row r="226" spans="9:66" x14ac:dyDescent="0.25">
      <c r="I226" s="238"/>
      <c r="U226" s="238"/>
      <c r="V226" s="3"/>
      <c r="W226" s="3"/>
      <c r="X226" s="3"/>
      <c r="Y226" s="3"/>
      <c r="Z226" s="3"/>
      <c r="AA226" s="236" t="s">
        <v>513</v>
      </c>
      <c r="AB226" s="237"/>
      <c r="AC226" s="237"/>
      <c r="AD226" s="237"/>
      <c r="AE226" s="237"/>
      <c r="AF226" s="371"/>
      <c r="AG226" s="238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</row>
    <row r="227" spans="9:66" x14ac:dyDescent="0.25">
      <c r="I227" s="238"/>
      <c r="U227" s="238"/>
      <c r="V227" s="3"/>
      <c r="W227" s="3"/>
      <c r="X227" s="3"/>
      <c r="Y227" s="3"/>
      <c r="Z227" s="3"/>
      <c r="AA227" s="238" t="s">
        <v>344</v>
      </c>
      <c r="AB227" s="3">
        <f>DET_NS_premature_no_complication</f>
        <v>5.9118359785268297E-2</v>
      </c>
      <c r="AC227" s="3" t="s">
        <v>345</v>
      </c>
      <c r="AD227" s="3">
        <f>AB227*X240</f>
        <v>2.770232665042331</v>
      </c>
      <c r="AE227" s="3" t="s">
        <v>346</v>
      </c>
      <c r="AF227" s="370">
        <f>AB227*Z240</f>
        <v>2.770232665042331</v>
      </c>
      <c r="AG227" s="238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236" t="s">
        <v>538</v>
      </c>
      <c r="AT227" s="237"/>
      <c r="AU227" s="237"/>
      <c r="AV227" s="237"/>
      <c r="AW227" s="237"/>
      <c r="AX227" s="237"/>
      <c r="AY227" s="237"/>
      <c r="AZ227" s="237"/>
      <c r="BA227" s="237"/>
      <c r="BB227" s="237"/>
      <c r="BC227" s="237"/>
      <c r="BD227" s="237"/>
      <c r="BE227" s="237"/>
      <c r="BF227" s="237"/>
      <c r="BG227" s="237"/>
      <c r="BH227" s="237"/>
      <c r="BI227" s="237"/>
      <c r="BJ227" s="237"/>
      <c r="BK227" s="237"/>
      <c r="BL227" s="237"/>
      <c r="BM227" s="237"/>
      <c r="BN227" s="237"/>
    </row>
    <row r="228" spans="9:66" x14ac:dyDescent="0.25">
      <c r="I228" s="238"/>
      <c r="U228" s="238"/>
      <c r="V228" s="3"/>
      <c r="W228" s="3"/>
      <c r="X228" s="3"/>
      <c r="Y228" s="3"/>
      <c r="Z228" s="3"/>
      <c r="AA228" s="238"/>
      <c r="AG228" s="238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238" t="s">
        <v>344</v>
      </c>
      <c r="AT228" s="1">
        <f>DET_NS_stillbirth_lbw_premature</f>
        <v>6.0752905295406189E-2</v>
      </c>
      <c r="AU228" s="1" t="s">
        <v>345</v>
      </c>
      <c r="AV228" s="1">
        <f>AT228*AP231</f>
        <v>9.5984829352644727E-2</v>
      </c>
      <c r="AW228" s="1" t="s">
        <v>346</v>
      </c>
      <c r="AX228" s="1">
        <f>AT228*AR231</f>
        <v>9.5984829352644727E-2</v>
      </c>
      <c r="AY228" s="1">
        <f>AY223+1</f>
        <v>57</v>
      </c>
      <c r="BA228" s="1">
        <f>det_cost_experimental*AV228</f>
        <v>0.29179388123203998</v>
      </c>
      <c r="BB228" s="1">
        <f>$AV228*(VLOOKUP($AY228,'Pregnancy costs and utilities'!$A$23:$H$158,3))</f>
        <v>412.42209914336644</v>
      </c>
      <c r="BC228" s="1">
        <f>SUM(BA228:BB228)</f>
        <v>412.71389302459846</v>
      </c>
      <c r="BE228" s="1">
        <f>$AV228*(VLOOKUP($AY228,'Pregnancy costs and utilities'!$A$23:$I$158,9))</f>
        <v>6.0913449396870691E-2</v>
      </c>
      <c r="BF228" s="1">
        <f>$AV228*(VLOOKUP($AY228,'Pregnancy costs and utilities'!$A$23:$H$158,7))</f>
        <v>5.4030229615024315E-2</v>
      </c>
      <c r="BH228" s="1">
        <f>$BA228</f>
        <v>0.29179388123203998</v>
      </c>
      <c r="BI228" s="1">
        <f>$AX228*(VLOOKUP($AY228,'Pregnancy costs and utilities'!$A$23:$H$158,5))</f>
        <v>102.05843198963373</v>
      </c>
      <c r="BJ228" s="3">
        <f>SUM(BH228:BI228)</f>
        <v>102.35022587086577</v>
      </c>
      <c r="BK228" s="3"/>
      <c r="BL228" s="3">
        <f>BC228+BI228</f>
        <v>514.77232501423214</v>
      </c>
      <c r="BN228" s="1" t="str">
        <f>IF(AV228=AX228,"Okay",IF(AV228&gt;AX228,"Lost infant","Gained infant"))</f>
        <v>Okay</v>
      </c>
    </row>
    <row r="229" spans="9:66" x14ac:dyDescent="0.25">
      <c r="I229" s="238"/>
      <c r="U229" s="238"/>
      <c r="V229" s="3"/>
      <c r="W229" s="3"/>
      <c r="X229" s="3"/>
      <c r="Y229" s="3"/>
      <c r="Z229" s="3"/>
      <c r="AA229" s="238"/>
      <c r="AG229" s="238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238"/>
      <c r="BJ229" s="3"/>
      <c r="BK229" s="3"/>
      <c r="BL229" s="3"/>
    </row>
    <row r="230" spans="9:66" x14ac:dyDescent="0.25">
      <c r="I230" s="238"/>
      <c r="U230" s="238"/>
      <c r="V230" s="3"/>
      <c r="W230" s="3"/>
      <c r="X230" s="3"/>
      <c r="Y230" s="3"/>
      <c r="Z230" s="3"/>
      <c r="AA230" s="238"/>
      <c r="AG230" s="238"/>
      <c r="AH230" s="3"/>
      <c r="AI230" s="3"/>
      <c r="AJ230" s="3"/>
      <c r="AK230" s="3"/>
      <c r="AL230" s="3"/>
      <c r="AM230" s="236" t="s">
        <v>521</v>
      </c>
      <c r="AN230" s="237"/>
      <c r="AO230" s="237"/>
      <c r="AP230" s="237"/>
      <c r="AQ230" s="237"/>
      <c r="AR230" s="371"/>
      <c r="AS230" s="238"/>
      <c r="BJ230" s="3"/>
      <c r="BK230" s="3"/>
      <c r="BL230" s="3"/>
    </row>
    <row r="231" spans="9:66" x14ac:dyDescent="0.25">
      <c r="I231" s="238"/>
      <c r="U231" s="238"/>
      <c r="V231" s="3"/>
      <c r="W231" s="3"/>
      <c r="X231" s="3"/>
      <c r="Y231" s="3"/>
      <c r="Z231" s="3"/>
      <c r="AA231" s="238"/>
      <c r="AG231" s="238"/>
      <c r="AH231" s="3"/>
      <c r="AI231" s="3"/>
      <c r="AJ231" s="3"/>
      <c r="AK231" s="3"/>
      <c r="AL231" s="3"/>
      <c r="AM231" s="238" t="s">
        <v>344</v>
      </c>
      <c r="AN231" s="1">
        <f>DET_NS_lbw_premature</f>
        <v>0.57035604742854706</v>
      </c>
      <c r="AO231" s="1" t="s">
        <v>345</v>
      </c>
      <c r="AP231" s="1">
        <f>AN231*AJ232</f>
        <v>1.5799216331453796</v>
      </c>
      <c r="AQ231" s="1" t="s">
        <v>346</v>
      </c>
      <c r="AR231" s="1">
        <f>AN231*AL232</f>
        <v>1.5799216331453796</v>
      </c>
      <c r="AS231" s="238" t="s">
        <v>344</v>
      </c>
      <c r="AT231" s="1">
        <f>1-AT228</f>
        <v>0.93924709470459378</v>
      </c>
      <c r="AU231" s="1" t="s">
        <v>345</v>
      </c>
      <c r="AV231" s="1">
        <f>AT231*AP231</f>
        <v>1.4839368037927347</v>
      </c>
      <c r="AW231" s="1" t="s">
        <v>346</v>
      </c>
      <c r="AX231" s="1">
        <f>AT231*AR231</f>
        <v>1.4839368037927347</v>
      </c>
      <c r="AY231" s="1">
        <f>AY228+1</f>
        <v>58</v>
      </c>
      <c r="BA231" s="1">
        <f>det_cost_experimental*AV231</f>
        <v>4.5111678835299136</v>
      </c>
      <c r="BB231" s="1">
        <f>$AV231*(VLOOKUP($AY231,'Pregnancy costs and utilities'!$A$23:$H$158,3))</f>
        <v>6376.0943864139354</v>
      </c>
      <c r="BC231" s="1">
        <f>SUM(BA231:BB231)</f>
        <v>6380.6055542974655</v>
      </c>
      <c r="BE231" s="1">
        <f>$AV231*(VLOOKUP($AY231,'Pregnancy costs and utilities'!$A$23:$I$158,9))</f>
        <v>0.94172912548385079</v>
      </c>
      <c r="BF231" s="1">
        <f>$AV231*(VLOOKUP($AY231,'Pregnancy costs and utilities'!$A$23:$H$158,7))</f>
        <v>0.92948664685256077</v>
      </c>
      <c r="BH231" s="1">
        <f>$BA231</f>
        <v>4.5111678835299136</v>
      </c>
      <c r="BI231" s="1">
        <f>$AX231*(VLOOKUP($AY231,'Pregnancy costs and utilities'!$A$23:$H$158,5))</f>
        <v>23645.863947579677</v>
      </c>
      <c r="BJ231" s="3">
        <f>SUM(BH231:BI231)</f>
        <v>23650.375115463208</v>
      </c>
      <c r="BK231" s="3"/>
      <c r="BL231" s="3">
        <f>BC231+BI231</f>
        <v>30026.469501877142</v>
      </c>
      <c r="BN231" s="1" t="str">
        <f>IF(AV231=AX231,"Okay",IF(AV231&gt;AX231,"Lost infant","Gained infant"))</f>
        <v>Okay</v>
      </c>
    </row>
    <row r="232" spans="9:66" x14ac:dyDescent="0.25">
      <c r="I232" s="238"/>
      <c r="U232" s="238"/>
      <c r="V232" s="3"/>
      <c r="W232" s="3"/>
      <c r="X232" s="3"/>
      <c r="Y232" s="3"/>
      <c r="Z232" s="3"/>
      <c r="AA232" s="238"/>
      <c r="AG232" s="238" t="s">
        <v>344</v>
      </c>
      <c r="AH232" s="1">
        <f>1-AH219</f>
        <v>0.99993840571000003</v>
      </c>
      <c r="AI232" s="1" t="s">
        <v>345</v>
      </c>
      <c r="AJ232" s="1">
        <f>AH232*AD227</f>
        <v>2.770062034528193</v>
      </c>
      <c r="AK232" s="1" t="s">
        <v>346</v>
      </c>
      <c r="AL232" s="1">
        <f>AH232*AF227</f>
        <v>2.770062034528193</v>
      </c>
      <c r="AM232" s="238"/>
      <c r="AN232" s="3"/>
      <c r="AO232" s="3"/>
      <c r="AP232" s="3"/>
      <c r="AQ232" s="3"/>
      <c r="AR232" s="3"/>
      <c r="AS232" s="240" t="s">
        <v>537</v>
      </c>
      <c r="AT232" s="235"/>
      <c r="AU232" s="235"/>
      <c r="AV232" s="235"/>
      <c r="AW232" s="235"/>
      <c r="AX232" s="235"/>
      <c r="AY232" s="235"/>
      <c r="AZ232" s="235"/>
      <c r="BA232" s="235"/>
      <c r="BB232" s="235"/>
      <c r="BC232" s="235"/>
      <c r="BD232" s="235"/>
      <c r="BE232" s="235"/>
      <c r="BF232" s="235"/>
      <c r="BG232" s="235"/>
      <c r="BH232" s="235"/>
      <c r="BI232" s="235"/>
      <c r="BJ232" s="235"/>
      <c r="BK232" s="235"/>
      <c r="BL232" s="235"/>
      <c r="BM232" s="235"/>
      <c r="BN232" s="235"/>
    </row>
    <row r="233" spans="9:66" x14ac:dyDescent="0.25">
      <c r="I233" s="238"/>
      <c r="U233" s="238"/>
      <c r="V233" s="3"/>
      <c r="W233" s="3"/>
      <c r="X233" s="3"/>
      <c r="Y233" s="3"/>
      <c r="Z233" s="3"/>
      <c r="AA233" s="238"/>
      <c r="AG233" s="240" t="s">
        <v>516</v>
      </c>
      <c r="AH233" s="235"/>
      <c r="AI233" s="235"/>
      <c r="AJ233" s="235"/>
      <c r="AK233" s="235"/>
      <c r="AL233" s="235"/>
      <c r="AM233" s="238"/>
      <c r="AN233" s="3"/>
      <c r="AO233" s="3"/>
      <c r="AP233" s="3"/>
      <c r="AQ233" s="3"/>
      <c r="AR233" s="3"/>
      <c r="AS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</row>
    <row r="234" spans="9:66" x14ac:dyDescent="0.25">
      <c r="I234" s="238"/>
      <c r="U234" s="238"/>
      <c r="V234" s="3"/>
      <c r="W234" s="3"/>
      <c r="X234" s="3"/>
      <c r="Y234" s="3"/>
      <c r="Z234" s="3"/>
      <c r="AA234" s="238"/>
      <c r="AG234" s="3"/>
      <c r="AH234" s="3"/>
      <c r="AI234" s="3"/>
      <c r="AJ234" s="3"/>
      <c r="AK234" s="3"/>
      <c r="AL234" s="3"/>
      <c r="AM234" s="238"/>
      <c r="AN234" s="3"/>
      <c r="AO234" s="3"/>
      <c r="AP234" s="3"/>
      <c r="AQ234" s="3"/>
      <c r="AR234" s="3"/>
      <c r="AS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</row>
    <row r="235" spans="9:66" x14ac:dyDescent="0.25">
      <c r="I235" s="238"/>
      <c r="U235" s="238"/>
      <c r="V235" s="3"/>
      <c r="W235" s="3"/>
      <c r="X235" s="3"/>
      <c r="Y235" s="3"/>
      <c r="Z235" s="3"/>
      <c r="AA235" s="238"/>
      <c r="AG235" s="3"/>
      <c r="AH235" s="3"/>
      <c r="AI235" s="3"/>
      <c r="AJ235" s="3"/>
      <c r="AK235" s="3"/>
      <c r="AL235" s="3"/>
      <c r="AM235" s="238"/>
      <c r="AN235" s="3"/>
      <c r="AO235" s="3"/>
      <c r="AP235" s="3"/>
      <c r="AQ235" s="3"/>
      <c r="AR235" s="3"/>
      <c r="AS235" s="236" t="s">
        <v>536</v>
      </c>
      <c r="AT235" s="237"/>
      <c r="AU235" s="237"/>
      <c r="AV235" s="237"/>
      <c r="AW235" s="237"/>
      <c r="AX235" s="3"/>
      <c r="BJ235" s="237"/>
      <c r="BK235" s="237"/>
      <c r="BL235" s="237"/>
      <c r="BM235" s="237"/>
      <c r="BN235" s="237"/>
    </row>
    <row r="236" spans="9:66" x14ac:dyDescent="0.25">
      <c r="I236" s="238"/>
      <c r="U236" s="238"/>
      <c r="V236" s="3"/>
      <c r="W236" s="3"/>
      <c r="X236" s="3"/>
      <c r="Y236" s="3"/>
      <c r="Z236" s="3"/>
      <c r="AA236" s="238"/>
      <c r="AG236" s="3"/>
      <c r="AH236" s="3"/>
      <c r="AI236" s="3"/>
      <c r="AJ236" s="3"/>
      <c r="AK236" s="3"/>
      <c r="AL236" s="3"/>
      <c r="AM236" s="238" t="s">
        <v>344</v>
      </c>
      <c r="AN236" s="1">
        <f>1-AN231</f>
        <v>0.42964395257145294</v>
      </c>
      <c r="AO236" s="1" t="s">
        <v>345</v>
      </c>
      <c r="AP236" s="1">
        <f>AN236*AJ232</f>
        <v>1.1901404013828134</v>
      </c>
      <c r="AQ236" s="1" t="s">
        <v>346</v>
      </c>
      <c r="AR236" s="1">
        <f>AN236*AL232</f>
        <v>1.1901404013828134</v>
      </c>
      <c r="AS236" s="238" t="s">
        <v>344</v>
      </c>
      <c r="AT236" s="1">
        <f>DET_NS_stillbirth_nbw_premature</f>
        <v>7.6129469648265786E-3</v>
      </c>
      <c r="AU236" s="1" t="s">
        <v>345</v>
      </c>
      <c r="AV236" s="1">
        <f>AT236*AP236</f>
        <v>9.0604757564247754E-3</v>
      </c>
      <c r="AW236" s="1" t="s">
        <v>346</v>
      </c>
      <c r="AX236" s="1">
        <f>AT236*AR236</f>
        <v>9.0604757564247754E-3</v>
      </c>
      <c r="AY236" s="1">
        <f>AY231+1</f>
        <v>59</v>
      </c>
      <c r="BA236" s="1">
        <f>det_cost_experimental*AV236</f>
        <v>2.7543846299531317E-2</v>
      </c>
      <c r="BB236" s="1">
        <f>$AV236*(VLOOKUP($AY236,'Pregnancy costs and utilities'!$A$23:$H$158,3))</f>
        <v>38.930531584044807</v>
      </c>
      <c r="BC236" s="1">
        <f>SUM(BA236:BB236)</f>
        <v>38.958075430344337</v>
      </c>
      <c r="BE236" s="1">
        <f>$AV236*(VLOOKUP($AY236,'Pregnancy costs and utilities'!$A$23:$I$158,9))</f>
        <v>5.7499173069618763E-3</v>
      </c>
      <c r="BF236" s="1">
        <f>$AV236*(VLOOKUP($AY236,'Pregnancy costs and utilities'!$A$23:$H$158,7))</f>
        <v>5.1001766512751854E-3</v>
      </c>
      <c r="BH236" s="1">
        <f>$BA236</f>
        <v>2.7543846299531317E-2</v>
      </c>
      <c r="BI236" s="1">
        <f>$AX236*(VLOOKUP($AY236,'Pregnancy costs and utilities'!$A$23:$H$158,5))</f>
        <v>9.6337927047147929</v>
      </c>
      <c r="BJ236" s="3">
        <f>SUM(BH236:BI236)</f>
        <v>9.6613365510143243</v>
      </c>
      <c r="BK236" s="3"/>
      <c r="BL236" s="3">
        <f>BC236+BI236</f>
        <v>48.59186813505913</v>
      </c>
      <c r="BN236" s="1" t="str">
        <f>IF(AV236=AX236,"Okay",IF(AV236&gt;AX236,"Lost infant","Gained infant"))</f>
        <v>Okay</v>
      </c>
    </row>
    <row r="237" spans="9:66" x14ac:dyDescent="0.25">
      <c r="I237" s="238"/>
      <c r="U237" s="238"/>
      <c r="V237" s="3"/>
      <c r="W237" s="3"/>
      <c r="X237" s="3"/>
      <c r="Y237" s="3"/>
      <c r="Z237" s="3"/>
      <c r="AA237" s="238"/>
      <c r="AG237" s="3"/>
      <c r="AH237" s="3"/>
      <c r="AI237" s="3"/>
      <c r="AJ237" s="3"/>
      <c r="AK237" s="3"/>
      <c r="AL237" s="3"/>
      <c r="AM237" s="240" t="s">
        <v>522</v>
      </c>
      <c r="AN237" s="235"/>
      <c r="AO237" s="235"/>
      <c r="AP237" s="235"/>
      <c r="AQ237" s="235"/>
      <c r="AR237" s="239"/>
      <c r="AS237" s="238"/>
      <c r="BJ237" s="3"/>
      <c r="BK237" s="3"/>
      <c r="BL237" s="3"/>
    </row>
    <row r="238" spans="9:66" x14ac:dyDescent="0.25">
      <c r="I238" s="238"/>
      <c r="U238" s="238"/>
      <c r="V238" s="3"/>
      <c r="W238" s="3"/>
      <c r="X238" s="3"/>
      <c r="Y238" s="3"/>
      <c r="Z238" s="3"/>
      <c r="AA238" s="238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238"/>
      <c r="BJ238" s="3"/>
      <c r="BK238" s="3"/>
      <c r="BL238" s="3"/>
    </row>
    <row r="239" spans="9:66" x14ac:dyDescent="0.25">
      <c r="I239" s="238"/>
      <c r="U239" s="238"/>
      <c r="AA239" s="238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238" t="s">
        <v>344</v>
      </c>
      <c r="AT239" s="1">
        <f>1-AT236</f>
        <v>0.99238705303517338</v>
      </c>
      <c r="AU239" s="1" t="s">
        <v>345</v>
      </c>
      <c r="AV239" s="1">
        <f>AT239*AP236</f>
        <v>1.1810799256263886</v>
      </c>
      <c r="AW239" s="1" t="s">
        <v>346</v>
      </c>
      <c r="AX239" s="1">
        <f>AT239*AR236</f>
        <v>1.1810799256263886</v>
      </c>
      <c r="AY239" s="1">
        <f>AY236+1</f>
        <v>60</v>
      </c>
      <c r="BA239" s="1">
        <f>det_cost_experimental*AV239</f>
        <v>3.5904829739042214</v>
      </c>
      <c r="BB239" s="1">
        <f>$AV239*(VLOOKUP($AY239,'Pregnancy costs and utilities'!$A$23:$H$158,3))</f>
        <v>5074.7963555087035</v>
      </c>
      <c r="BC239" s="1">
        <f>SUM(BA239:BB239)</f>
        <v>5078.3868384826073</v>
      </c>
      <c r="BE239" s="1">
        <f>$AV239*(VLOOKUP($AY239,'Pregnancy costs and utilities'!$A$23:$I$158,9))</f>
        <v>0.74953149126290042</v>
      </c>
      <c r="BF239" s="1">
        <f>$AV239*(VLOOKUP($AY239,'Pregnancy costs and utilities'!$A$23:$H$158,7))</f>
        <v>0.73978758187648275</v>
      </c>
      <c r="BH239" s="1">
        <f>$BA239</f>
        <v>3.5904829739042214</v>
      </c>
      <c r="BI239" s="1">
        <f>$AX239*(VLOOKUP($AY239,'Pregnancy costs and utilities'!$A$23:$H$158,5))</f>
        <v>18819.976134563098</v>
      </c>
      <c r="BJ239" s="3">
        <f>SUM(BH239:BI239)</f>
        <v>18823.566617537002</v>
      </c>
      <c r="BK239" s="3"/>
      <c r="BL239" s="3">
        <f>BC239+BI239</f>
        <v>23898.362973045703</v>
      </c>
      <c r="BN239" s="1" t="str">
        <f>IF(AV239=AX239,"Okay",IF(AV239&gt;AX239,"Lost infant","Gained infant"))</f>
        <v>Okay</v>
      </c>
    </row>
    <row r="240" spans="9:66" x14ac:dyDescent="0.25">
      <c r="I240" s="238"/>
      <c r="U240" s="238" t="s">
        <v>344</v>
      </c>
      <c r="V240" s="1">
        <f>1-V50-V114-V179</f>
        <v>0.97002974545758669</v>
      </c>
      <c r="W240" s="1" t="s">
        <v>345</v>
      </c>
      <c r="X240" s="1">
        <f>V240*R144</f>
        <v>46.85909208415903</v>
      </c>
      <c r="Y240" s="1" t="s">
        <v>346</v>
      </c>
      <c r="Z240" s="1">
        <f>V240*T144</f>
        <v>46.85909208415903</v>
      </c>
      <c r="AA240" s="238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240" t="s">
        <v>535</v>
      </c>
      <c r="AT240" s="235"/>
      <c r="AU240" s="235"/>
      <c r="AV240" s="235"/>
      <c r="AW240" s="235"/>
      <c r="AX240" s="235"/>
      <c r="AY240" s="235"/>
      <c r="AZ240" s="235"/>
      <c r="BA240" s="235"/>
      <c r="BB240" s="235"/>
      <c r="BC240" s="235"/>
      <c r="BD240" s="235"/>
      <c r="BE240" s="235"/>
      <c r="BF240" s="235"/>
      <c r="BG240" s="235"/>
      <c r="BH240" s="235"/>
      <c r="BI240" s="235"/>
      <c r="BJ240" s="235"/>
      <c r="BK240" s="235"/>
      <c r="BL240" s="235"/>
      <c r="BM240" s="235"/>
      <c r="BN240" s="235"/>
    </row>
    <row r="241" spans="9:66" x14ac:dyDescent="0.25">
      <c r="I241" s="238"/>
      <c r="U241" s="240" t="s">
        <v>389</v>
      </c>
      <c r="V241" s="235"/>
      <c r="W241" s="235"/>
      <c r="X241" s="235"/>
      <c r="Y241" s="235"/>
      <c r="Z241" s="235"/>
      <c r="AA241" s="238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</row>
    <row r="242" spans="9:66" x14ac:dyDescent="0.25">
      <c r="I242" s="238"/>
      <c r="U242" s="237"/>
      <c r="AA242" s="238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</row>
    <row r="243" spans="9:66" x14ac:dyDescent="0.25">
      <c r="I243" s="238"/>
      <c r="U243" s="3"/>
      <c r="AA243" s="238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236" t="s">
        <v>534</v>
      </c>
      <c r="AT243" s="237"/>
      <c r="AU243" s="237"/>
      <c r="AV243" s="237"/>
      <c r="AW243" s="237"/>
      <c r="AX243" s="237"/>
      <c r="AY243" s="237"/>
      <c r="AZ243" s="237"/>
      <c r="BA243" s="237"/>
      <c r="BB243" s="237"/>
      <c r="BC243" s="237"/>
      <c r="BD243" s="237"/>
      <c r="BE243" s="237"/>
      <c r="BF243" s="237"/>
      <c r="BG243" s="237"/>
      <c r="BH243" s="237"/>
      <c r="BI243" s="237"/>
      <c r="BJ243" s="237"/>
      <c r="BK243" s="237"/>
      <c r="BL243" s="237"/>
      <c r="BM243" s="237"/>
      <c r="BN243" s="237"/>
    </row>
    <row r="244" spans="9:66" x14ac:dyDescent="0.25">
      <c r="I244" s="238"/>
      <c r="U244" s="3"/>
      <c r="AA244" s="238"/>
      <c r="AG244" s="3"/>
      <c r="AH244" s="3"/>
      <c r="AI244" s="3"/>
      <c r="AJ244" s="3"/>
      <c r="AK244" s="3"/>
      <c r="AL244" s="3"/>
      <c r="AS244" s="238" t="s">
        <v>344</v>
      </c>
      <c r="AT244" s="3">
        <f>DET_NS_stillbirth_lbw_fullgest</f>
        <v>1.5360924440585004E-2</v>
      </c>
      <c r="AU244" s="3" t="s">
        <v>345</v>
      </c>
      <c r="AV244" s="3">
        <f>AT244*AP247</f>
        <v>1.1238692009685841E-6</v>
      </c>
      <c r="AW244" s="3" t="s">
        <v>346</v>
      </c>
      <c r="AX244" s="3">
        <f>AT244*AR247</f>
        <v>1.1238692009685841E-6</v>
      </c>
      <c r="AY244" s="3">
        <f>AY239+1</f>
        <v>61</v>
      </c>
      <c r="AZ244" s="3"/>
      <c r="BA244" s="1">
        <f>det_cost_experimental*AV244</f>
        <v>3.4165623709444956E-6</v>
      </c>
      <c r="BB244" s="3">
        <f>$AV244*(VLOOKUP($AY244,'Pregnancy costs and utilities'!$A$23:$H$158,3))</f>
        <v>5.4111042969390523E-3</v>
      </c>
      <c r="BC244" s="3">
        <f>SUM(BA244:BB244)</f>
        <v>5.4145208593099963E-3</v>
      </c>
      <c r="BD244" s="3"/>
      <c r="BE244" s="3">
        <f>$AV244*(VLOOKUP($AY244,'Pregnancy costs and utilities'!$A$23:$I$158,9))</f>
        <v>0</v>
      </c>
      <c r="BF244" s="3">
        <f>$AV244*(VLOOKUP($AY244,'Pregnancy costs and utilities'!$A$23:$H$158,7))</f>
        <v>0</v>
      </c>
      <c r="BG244" s="3"/>
      <c r="BH244" s="3">
        <f>$BA244</f>
        <v>3.4165623709444956E-6</v>
      </c>
      <c r="BI244" s="3">
        <f>$AX244*(VLOOKUP($AY244,'Pregnancy costs and utilities'!$A$23:$H$158,5))</f>
        <v>1.1949839280423311E-3</v>
      </c>
      <c r="BJ244" s="3">
        <f>SUM(BH244:BI244)</f>
        <v>1.1984004904132756E-3</v>
      </c>
      <c r="BK244" s="3"/>
      <c r="BL244" s="3">
        <f>BC244+BI244</f>
        <v>6.6095047873523279E-3</v>
      </c>
      <c r="BN244" s="1" t="str">
        <f>IF(AV244=AX244,"Okay",IF(AV244&gt;AX244,"Lost infant","Gained infant"))</f>
        <v>Okay</v>
      </c>
    </row>
    <row r="245" spans="9:66" x14ac:dyDescent="0.25">
      <c r="I245" s="238"/>
      <c r="U245" s="3"/>
      <c r="AA245" s="238"/>
      <c r="AG245" s="3"/>
      <c r="AH245" s="3"/>
      <c r="AI245" s="3"/>
      <c r="AJ245" s="3"/>
      <c r="AK245" s="3"/>
      <c r="AL245" s="3"/>
      <c r="AS245" s="238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</row>
    <row r="246" spans="9:66" x14ac:dyDescent="0.25">
      <c r="I246" s="238"/>
      <c r="U246" s="3"/>
      <c r="AA246" s="238"/>
      <c r="AG246" s="3"/>
      <c r="AH246" s="3"/>
      <c r="AI246" s="3"/>
      <c r="AJ246" s="3"/>
      <c r="AK246" s="3"/>
      <c r="AL246" s="3"/>
      <c r="AM246" s="236" t="s">
        <v>523</v>
      </c>
      <c r="AN246" s="237"/>
      <c r="AO246" s="237"/>
      <c r="AP246" s="237"/>
      <c r="AQ246" s="237"/>
      <c r="AR246" s="371"/>
      <c r="AS246" s="238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</row>
    <row r="247" spans="9:66" x14ac:dyDescent="0.25">
      <c r="I247" s="238"/>
      <c r="U247" s="3"/>
      <c r="AA247" s="238"/>
      <c r="AG247" s="3"/>
      <c r="AH247" s="3"/>
      <c r="AI247" s="3"/>
      <c r="AJ247" s="3"/>
      <c r="AK247" s="3"/>
      <c r="AL247" s="3"/>
      <c r="AM247" s="238" t="s">
        <v>344</v>
      </c>
      <c r="AN247" s="3">
        <f>DET_NS_lbw_fullgest</f>
        <v>2.6941954581366025E-2</v>
      </c>
      <c r="AO247" s="3" t="s">
        <v>345</v>
      </c>
      <c r="AP247" s="3">
        <f>AN247*AJ251</f>
        <v>7.3164164390993039E-5</v>
      </c>
      <c r="AQ247" s="3" t="s">
        <v>346</v>
      </c>
      <c r="AR247" s="370">
        <f>AN247*AL251</f>
        <v>7.3164164390993039E-5</v>
      </c>
      <c r="AS247" s="238" t="s">
        <v>344</v>
      </c>
      <c r="AT247" s="3">
        <f>1-AT244</f>
        <v>0.98463907555941499</v>
      </c>
      <c r="AU247" s="3" t="s">
        <v>345</v>
      </c>
      <c r="AV247" s="3">
        <f>AT247*AP247</f>
        <v>7.2040295190024451E-5</v>
      </c>
      <c r="AW247" s="3" t="s">
        <v>346</v>
      </c>
      <c r="AX247" s="3">
        <f>AT247*AR247</f>
        <v>7.2040295190024451E-5</v>
      </c>
      <c r="AY247" s="3">
        <f>AY244+1</f>
        <v>62</v>
      </c>
      <c r="AZ247" s="3"/>
      <c r="BA247" s="1">
        <f>det_cost_experimental*AV247</f>
        <v>2.1900249737767433E-4</v>
      </c>
      <c r="BB247" s="3">
        <f>$AV247*(VLOOKUP($AY247,'Pregnancy costs and utilities'!$A$23:$H$158,3))</f>
        <v>0.34685313070199147</v>
      </c>
      <c r="BC247" s="3">
        <f>SUM(BA247:BB247)</f>
        <v>0.34707213319936914</v>
      </c>
      <c r="BD247" s="3"/>
      <c r="BE247" s="3">
        <f>$AV247*(VLOOKUP($AY247,'Pregnancy costs and utilities'!$A$23:$I$158,9))</f>
        <v>0</v>
      </c>
      <c r="BF247" s="3">
        <f>$AV247*(VLOOKUP($AY247,'Pregnancy costs and utilities'!$A$23:$H$158,7))</f>
        <v>0</v>
      </c>
      <c r="BG247" s="3"/>
      <c r="BH247" s="3">
        <f>$BA247</f>
        <v>2.1900249737767433E-4</v>
      </c>
      <c r="BI247" s="3">
        <f>$AX247*(VLOOKUP($AY247,'Pregnancy costs and utilities'!$A$23:$H$158,5))</f>
        <v>0.19060909191364617</v>
      </c>
      <c r="BJ247" s="3">
        <f>SUM(BH247:BI247)</f>
        <v>0.19082809441102383</v>
      </c>
      <c r="BK247" s="3"/>
      <c r="BL247" s="3">
        <f>BC247+BI247</f>
        <v>0.5376812251130153</v>
      </c>
      <c r="BN247" s="1" t="str">
        <f>IF(AV247=AX247,"Okay",IF(AV247&gt;AX247,"Lost infant","Gained infant"))</f>
        <v>Okay</v>
      </c>
    </row>
    <row r="248" spans="9:66" x14ac:dyDescent="0.25">
      <c r="I248" s="238"/>
      <c r="U248" s="3"/>
      <c r="AA248" s="238"/>
      <c r="AG248" s="3"/>
      <c r="AH248" s="3"/>
      <c r="AI248" s="3"/>
      <c r="AJ248" s="3"/>
      <c r="AK248" s="3"/>
      <c r="AL248" s="3"/>
      <c r="AM248" s="238"/>
      <c r="AN248" s="3"/>
      <c r="AO248" s="3"/>
      <c r="AP248" s="3"/>
      <c r="AQ248" s="3"/>
      <c r="AR248" s="3"/>
      <c r="AS248" s="240" t="s">
        <v>533</v>
      </c>
      <c r="AT248" s="235"/>
      <c r="AU248" s="235"/>
      <c r="AV248" s="235"/>
      <c r="AW248" s="235"/>
      <c r="AX248" s="235"/>
      <c r="AY248" s="235"/>
      <c r="AZ248" s="235"/>
      <c r="BA248" s="235"/>
      <c r="BB248" s="235"/>
      <c r="BC248" s="235"/>
      <c r="BD248" s="235"/>
      <c r="BE248" s="235"/>
      <c r="BF248" s="235"/>
      <c r="BG248" s="235"/>
      <c r="BH248" s="235"/>
      <c r="BI248" s="235"/>
      <c r="BJ248" s="235"/>
      <c r="BK248" s="235"/>
      <c r="BL248" s="235"/>
      <c r="BM248" s="235"/>
      <c r="BN248" s="235"/>
    </row>
    <row r="249" spans="9:66" x14ac:dyDescent="0.25">
      <c r="I249" s="238"/>
      <c r="U249" s="3"/>
      <c r="AA249" s="238"/>
      <c r="AM249" s="238"/>
      <c r="AN249" s="3"/>
      <c r="AO249" s="3"/>
      <c r="AP249" s="3"/>
      <c r="AQ249" s="3"/>
      <c r="AR249" s="3"/>
      <c r="AS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</row>
    <row r="250" spans="9:66" x14ac:dyDescent="0.25">
      <c r="I250" s="238"/>
      <c r="U250" s="3"/>
      <c r="AA250" s="238"/>
      <c r="AG250" s="236" t="s">
        <v>517</v>
      </c>
      <c r="AH250" s="237"/>
      <c r="AI250" s="237"/>
      <c r="AJ250" s="237"/>
      <c r="AK250" s="237"/>
      <c r="AL250" s="371"/>
      <c r="AM250" s="238"/>
      <c r="AN250" s="3"/>
      <c r="AO250" s="3"/>
      <c r="AP250" s="3"/>
      <c r="AQ250" s="3"/>
      <c r="AR250" s="3"/>
      <c r="AS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</row>
    <row r="251" spans="9:66" x14ac:dyDescent="0.25">
      <c r="I251" s="238"/>
      <c r="U251" s="3"/>
      <c r="AA251" s="238"/>
      <c r="AG251" s="238" t="s">
        <v>344</v>
      </c>
      <c r="AH251" s="1">
        <f>DET_MORT_no_complication</f>
        <v>6.1594290000000217E-5</v>
      </c>
      <c r="AI251" s="1" t="s">
        <v>345</v>
      </c>
      <c r="AJ251" s="1">
        <f>AH251*AD256</f>
        <v>2.715621992830315E-3</v>
      </c>
      <c r="AK251" s="1" t="s">
        <v>346</v>
      </c>
      <c r="AL251" s="1">
        <f>AH251*AF256</f>
        <v>2.715621992830315E-3</v>
      </c>
      <c r="AM251" s="238"/>
      <c r="AN251" s="3"/>
      <c r="AO251" s="3"/>
      <c r="AP251" s="3"/>
      <c r="AQ251" s="3"/>
      <c r="AR251" s="3"/>
      <c r="AS251" s="236" t="s">
        <v>532</v>
      </c>
      <c r="AT251" s="237"/>
      <c r="AU251" s="237"/>
      <c r="AV251" s="237"/>
      <c r="AW251" s="237"/>
      <c r="AX251" s="237"/>
      <c r="AY251" s="237"/>
      <c r="AZ251" s="237"/>
      <c r="BA251" s="237"/>
      <c r="BB251" s="237"/>
      <c r="BC251" s="237"/>
      <c r="BD251" s="237"/>
      <c r="BE251" s="237"/>
      <c r="BF251" s="237"/>
      <c r="BG251" s="237"/>
      <c r="BH251" s="237"/>
      <c r="BI251" s="237"/>
      <c r="BJ251" s="237"/>
      <c r="BK251" s="237"/>
      <c r="BL251" s="237"/>
      <c r="BM251" s="237"/>
      <c r="BN251" s="237"/>
    </row>
    <row r="252" spans="9:66" x14ac:dyDescent="0.25">
      <c r="I252" s="238"/>
      <c r="U252" s="3"/>
      <c r="AA252" s="238"/>
      <c r="AG252" s="238"/>
      <c r="AH252" s="3"/>
      <c r="AI252" s="3"/>
      <c r="AJ252" s="3"/>
      <c r="AK252" s="3"/>
      <c r="AL252" s="3"/>
      <c r="AM252" s="238" t="s">
        <v>344</v>
      </c>
      <c r="AN252" s="1">
        <f>1-AN247</f>
        <v>0.97305804541863394</v>
      </c>
      <c r="AO252" s="1" t="s">
        <v>345</v>
      </c>
      <c r="AP252" s="1">
        <f>AN252*AJ251</f>
        <v>2.6424578284393219E-3</v>
      </c>
      <c r="AQ252" s="1" t="s">
        <v>346</v>
      </c>
      <c r="AR252" s="1">
        <f>AN252*AL251</f>
        <v>2.6424578284393219E-3</v>
      </c>
      <c r="AS252" s="238" t="s">
        <v>344</v>
      </c>
      <c r="AT252" s="3">
        <f>DET_NS_stillbirth_nbw_fullgest</f>
        <v>1.6109941848144384E-3</v>
      </c>
      <c r="AU252" s="3" t="s">
        <v>345</v>
      </c>
      <c r="AV252" s="3">
        <f>AT252*AP252</f>
        <v>4.2569841952331369E-6</v>
      </c>
      <c r="AW252" s="3" t="s">
        <v>346</v>
      </c>
      <c r="AX252" s="3">
        <f>AT252*AR252</f>
        <v>4.2569841952331369E-6</v>
      </c>
      <c r="AY252" s="3">
        <f>AY247+1</f>
        <v>63</v>
      </c>
      <c r="AZ252" s="3"/>
      <c r="BA252" s="1">
        <f>det_cost_experimental*AV252</f>
        <v>1.2941231953508737E-5</v>
      </c>
      <c r="BB252" s="3">
        <f>$AV252*(VLOOKUP($AY252,'Pregnancy costs and utilities'!$A$23:$H$158,3))</f>
        <v>2.0496144436537116E-2</v>
      </c>
      <c r="BC252" s="3">
        <f>SUM(BA252:BB252)</f>
        <v>2.0509085668490624E-2</v>
      </c>
      <c r="BD252" s="3"/>
      <c r="BE252" s="3">
        <f>$AV252*(VLOOKUP($AY252,'Pregnancy costs and utilities'!$A$23:$I$158,9))</f>
        <v>0</v>
      </c>
      <c r="BF252" s="3">
        <f>$AV252*(VLOOKUP($AY252,'Pregnancy costs and utilities'!$A$23:$H$158,7))</f>
        <v>0</v>
      </c>
      <c r="BG252" s="3"/>
      <c r="BH252" s="3">
        <f>$BA252</f>
        <v>1.2941231953508737E-5</v>
      </c>
      <c r="BI252" s="3">
        <f>$AX252*(VLOOKUP($AY252,'Pregnancy costs and utilities'!$A$23:$H$158,5))</f>
        <v>4.5263520798057844E-3</v>
      </c>
      <c r="BJ252" s="3">
        <f>SUM(BH252:BI252)</f>
        <v>4.5392933117592927E-3</v>
      </c>
      <c r="BK252" s="3"/>
      <c r="BL252" s="3">
        <f>BC252+BI252</f>
        <v>2.5035437748296408E-2</v>
      </c>
      <c r="BN252" s="1" t="str">
        <f>IF(AV252=AX252,"Okay",IF(AV252&gt;AX252,"Lost infant","Gained infant"))</f>
        <v>Okay</v>
      </c>
    </row>
    <row r="253" spans="9:66" x14ac:dyDescent="0.25">
      <c r="I253" s="238"/>
      <c r="U253" s="3"/>
      <c r="AA253" s="238"/>
      <c r="AG253" s="238"/>
      <c r="AH253" s="3"/>
      <c r="AI253" s="3"/>
      <c r="AJ253" s="3"/>
      <c r="AK253" s="3"/>
      <c r="AL253" s="3"/>
      <c r="AM253" s="240" t="s">
        <v>524</v>
      </c>
      <c r="AN253" s="235"/>
      <c r="AO253" s="235"/>
      <c r="AP253" s="235"/>
      <c r="AQ253" s="235"/>
      <c r="AR253" s="239"/>
      <c r="AS253" s="238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</row>
    <row r="254" spans="9:66" x14ac:dyDescent="0.25">
      <c r="I254" s="238"/>
      <c r="U254" s="3"/>
      <c r="AA254" s="238"/>
      <c r="AG254" s="238"/>
      <c r="AH254" s="3"/>
      <c r="AI254" s="3"/>
      <c r="AJ254" s="3"/>
      <c r="AK254" s="3"/>
      <c r="AL254" s="3"/>
      <c r="AS254" s="238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</row>
    <row r="255" spans="9:66" x14ac:dyDescent="0.25">
      <c r="I255" s="238"/>
      <c r="U255" s="3"/>
      <c r="AA255" s="238"/>
      <c r="AG255" s="238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238" t="s">
        <v>344</v>
      </c>
      <c r="AT255" s="3">
        <f>1-AT252</f>
        <v>0.99838900581518553</v>
      </c>
      <c r="AU255" s="3" t="s">
        <v>345</v>
      </c>
      <c r="AV255" s="3">
        <f>AT255*AP252</f>
        <v>2.6382008442440885E-3</v>
      </c>
      <c r="AW255" s="3" t="s">
        <v>346</v>
      </c>
      <c r="AX255" s="3">
        <f>AT255*AR252</f>
        <v>2.6382008442440885E-3</v>
      </c>
      <c r="AY255" s="3">
        <f>AY252+1</f>
        <v>64</v>
      </c>
      <c r="AZ255" s="3"/>
      <c r="BA255" s="1">
        <f>det_cost_experimental*AV255</f>
        <v>8.0201305665020296E-3</v>
      </c>
      <c r="BB255" s="3">
        <f>$AV255*(VLOOKUP($AY255,'Pregnancy costs and utilities'!$A$23:$H$158,3))</f>
        <v>12.702172025155862</v>
      </c>
      <c r="BC255" s="3">
        <f>SUM(BA255:BB255)</f>
        <v>12.710192155722364</v>
      </c>
      <c r="BD255" s="3"/>
      <c r="BE255" s="3">
        <f>$AV255*(VLOOKUP($AY255,'Pregnancy costs and utilities'!$A$23:$I$158,9))</f>
        <v>0</v>
      </c>
      <c r="BF255" s="3">
        <f>$AV255*(VLOOKUP($AY255,'Pregnancy costs and utilities'!$A$23:$H$158,7))</f>
        <v>0</v>
      </c>
      <c r="BG255" s="3"/>
      <c r="BH255" s="3">
        <f>$BA255</f>
        <v>8.0201305665020296E-3</v>
      </c>
      <c r="BI255" s="3">
        <f>$AX255*(VLOOKUP($AY255,'Pregnancy costs and utilities'!$A$23:$H$158,5))</f>
        <v>6.9803304647870608</v>
      </c>
      <c r="BJ255" s="3">
        <f>SUM(BH255:BI255)</f>
        <v>6.9883505953535625</v>
      </c>
      <c r="BK255" s="3"/>
      <c r="BL255" s="3">
        <f>BC255+BI255</f>
        <v>19.690522620509427</v>
      </c>
      <c r="BN255" s="1" t="str">
        <f>IF(AV255=AX255,"Okay",IF(AV255&gt;AX255,"Lost infant","Gained infant"))</f>
        <v>Okay</v>
      </c>
    </row>
    <row r="256" spans="9:66" x14ac:dyDescent="0.25">
      <c r="I256" s="238"/>
      <c r="U256" s="3"/>
      <c r="AA256" s="238" t="s">
        <v>344</v>
      </c>
      <c r="AB256" s="1">
        <f>1-AB227</f>
        <v>0.94088164021473175</v>
      </c>
      <c r="AC256" s="1" t="s">
        <v>345</v>
      </c>
      <c r="AD256" s="1">
        <f>AB256*X240</f>
        <v>44.088859419116702</v>
      </c>
      <c r="AE256" s="1" t="s">
        <v>346</v>
      </c>
      <c r="AF256" s="1">
        <f>AB256*Z240</f>
        <v>44.088859419116702</v>
      </c>
      <c r="AG256" s="238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240" t="s">
        <v>531</v>
      </c>
      <c r="AT256" s="235"/>
      <c r="AU256" s="235"/>
      <c r="AV256" s="235"/>
      <c r="AW256" s="235"/>
      <c r="AX256" s="235"/>
      <c r="AY256" s="235"/>
      <c r="AZ256" s="235"/>
      <c r="BA256" s="235"/>
      <c r="BB256" s="235"/>
      <c r="BC256" s="235"/>
      <c r="BD256" s="235"/>
      <c r="BE256" s="235"/>
      <c r="BF256" s="235"/>
      <c r="BG256" s="235"/>
      <c r="BH256" s="235"/>
      <c r="BI256" s="235"/>
      <c r="BJ256" s="235"/>
      <c r="BK256" s="235"/>
      <c r="BL256" s="235"/>
      <c r="BM256" s="235"/>
      <c r="BN256" s="235"/>
    </row>
    <row r="257" spans="1:66" x14ac:dyDescent="0.25">
      <c r="I257" s="238"/>
      <c r="U257" s="3"/>
      <c r="AA257" s="240" t="s">
        <v>514</v>
      </c>
      <c r="AB257" s="235"/>
      <c r="AC257" s="235"/>
      <c r="AD257" s="235"/>
      <c r="AE257" s="235"/>
      <c r="AF257" s="239"/>
      <c r="AG257" s="238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</row>
    <row r="258" spans="1:66" x14ac:dyDescent="0.25">
      <c r="I258" s="238"/>
      <c r="U258" s="3"/>
      <c r="AG258" s="238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</row>
    <row r="259" spans="1:66" x14ac:dyDescent="0.25">
      <c r="I259" s="238"/>
      <c r="U259" s="3"/>
      <c r="AG259" s="238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236" t="s">
        <v>530</v>
      </c>
      <c r="AT259" s="237"/>
      <c r="AU259" s="237"/>
      <c r="AV259" s="237"/>
      <c r="AW259" s="237"/>
      <c r="AX259" s="237"/>
      <c r="AY259" s="237"/>
      <c r="AZ259" s="237"/>
      <c r="BA259" s="237"/>
      <c r="BB259" s="237"/>
      <c r="BC259" s="237"/>
      <c r="BD259" s="237"/>
      <c r="BE259" s="237"/>
      <c r="BF259" s="237"/>
      <c r="BG259" s="237"/>
      <c r="BH259" s="237"/>
      <c r="BI259" s="237"/>
      <c r="BJ259" s="237"/>
      <c r="BK259" s="237"/>
      <c r="BL259" s="237"/>
      <c r="BM259" s="237"/>
      <c r="BN259" s="237"/>
    </row>
    <row r="260" spans="1:66" x14ac:dyDescent="0.25">
      <c r="I260" s="238"/>
      <c r="U260" s="3"/>
      <c r="AG260" s="238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238" t="s">
        <v>344</v>
      </c>
      <c r="AT260" s="3">
        <f>DET_NS_stillbirth_lbw_fullgest</f>
        <v>1.5360924440585004E-2</v>
      </c>
      <c r="AU260" s="3" t="s">
        <v>345</v>
      </c>
      <c r="AV260" s="3">
        <f>AT260*AP263</f>
        <v>1.8245197355844085E-2</v>
      </c>
      <c r="AW260" s="3" t="s">
        <v>346</v>
      </c>
      <c r="AX260" s="3">
        <f>AT260*AR263</f>
        <v>1.8245197355844085E-2</v>
      </c>
      <c r="AY260" s="3">
        <f>AY255+1</f>
        <v>65</v>
      </c>
      <c r="AZ260" s="3"/>
      <c r="BA260" s="1">
        <f>det_cost_experimental*AV260</f>
        <v>5.546539996176602E-2</v>
      </c>
      <c r="BB260" s="3">
        <f>$AV260*(VLOOKUP($AY260,'Pregnancy costs and utilities'!$A$23:$H$158,3))</f>
        <v>58.087784652224236</v>
      </c>
      <c r="BC260" s="3">
        <f>SUM(BA260:BB260)</f>
        <v>58.143250052186005</v>
      </c>
      <c r="BD260" s="3"/>
      <c r="BE260" s="3">
        <f>$AV260*(VLOOKUP($AY260,'Pregnancy costs and utilities'!$A$23:$I$158,9))</f>
        <v>1.4034767196803143E-2</v>
      </c>
      <c r="BF260" s="3">
        <f>$AV260*(VLOOKUP($AY260,'Pregnancy costs and utilities'!$A$23:$H$158,7))</f>
        <v>1.2448838503564388E-2</v>
      </c>
      <c r="BG260" s="3"/>
      <c r="BH260" s="3">
        <f>$BA260</f>
        <v>5.546539996176602E-2</v>
      </c>
      <c r="BI260" s="3">
        <f>$AX260*(VLOOKUP($AY260,'Pregnancy costs and utilities'!$A$23:$H$158,5))</f>
        <v>19.399693118562091</v>
      </c>
      <c r="BJ260" s="3">
        <f>SUM(BH260:BI260)</f>
        <v>19.455158518523856</v>
      </c>
      <c r="BK260" s="3"/>
      <c r="BL260" s="3">
        <f>BC260+BI260</f>
        <v>77.542943170748089</v>
      </c>
      <c r="BN260" s="1" t="str">
        <f>IF(AV260=AX260,"Okay",IF(AV260&gt;AX260,"Lost infant","Gained infant"))</f>
        <v>Okay</v>
      </c>
    </row>
    <row r="261" spans="1:66" x14ac:dyDescent="0.25">
      <c r="I261" s="238"/>
      <c r="U261" s="3"/>
      <c r="AG261" s="238"/>
      <c r="AS261" s="238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</row>
    <row r="262" spans="1:66" x14ac:dyDescent="0.25">
      <c r="I262" s="238"/>
      <c r="U262" s="3"/>
      <c r="AA262" s="3"/>
      <c r="AB262" s="3"/>
      <c r="AC262" s="3"/>
      <c r="AD262" s="3"/>
      <c r="AE262" s="3"/>
      <c r="AF262" s="3"/>
      <c r="AG262" s="238"/>
      <c r="AH262" s="3"/>
      <c r="AI262" s="3"/>
      <c r="AJ262" s="3"/>
      <c r="AK262" s="3"/>
      <c r="AL262" s="3"/>
      <c r="AM262" s="236" t="s">
        <v>525</v>
      </c>
      <c r="AN262" s="237"/>
      <c r="AO262" s="237"/>
      <c r="AP262" s="237"/>
      <c r="AQ262" s="237"/>
      <c r="AR262" s="371"/>
      <c r="AS262" s="238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</row>
    <row r="263" spans="1:66" x14ac:dyDescent="0.25">
      <c r="A263" s="235" t="s">
        <v>708</v>
      </c>
      <c r="B263" s="235" t="s">
        <v>709</v>
      </c>
      <c r="C263" s="235">
        <f>Cohort</f>
        <v>1000</v>
      </c>
      <c r="D263" s="235"/>
      <c r="E263" s="235"/>
      <c r="F263" s="235"/>
      <c r="G263" s="235"/>
      <c r="H263" s="239"/>
      <c r="I263" s="238"/>
      <c r="U263" s="3"/>
      <c r="AA263" s="3"/>
      <c r="AB263" s="3"/>
      <c r="AC263" s="3"/>
      <c r="AD263" s="3"/>
      <c r="AE263" s="3"/>
      <c r="AF263" s="3"/>
      <c r="AG263" s="238"/>
      <c r="AH263" s="3"/>
      <c r="AI263" s="3"/>
      <c r="AJ263" s="3"/>
      <c r="AK263" s="3"/>
      <c r="AL263" s="3"/>
      <c r="AM263" s="238" t="s">
        <v>344</v>
      </c>
      <c r="AN263" s="3">
        <f>DET_NS_lbw_fullgest</f>
        <v>2.6941954581366025E-2</v>
      </c>
      <c r="AO263" s="3" t="s">
        <v>345</v>
      </c>
      <c r="AP263" s="3">
        <f>AN263*AJ264</f>
        <v>1.1877668838496829</v>
      </c>
      <c r="AQ263" s="3" t="s">
        <v>346</v>
      </c>
      <c r="AR263" s="370">
        <f>AN263*AL264</f>
        <v>1.1877668838496829</v>
      </c>
      <c r="AS263" s="238" t="s">
        <v>344</v>
      </c>
      <c r="AT263" s="3">
        <f>1-AT260</f>
        <v>0.98463907555941499</v>
      </c>
      <c r="AU263" s="3" t="s">
        <v>345</v>
      </c>
      <c r="AV263" s="3">
        <f>AT263*AP263</f>
        <v>1.1695216864938387</v>
      </c>
      <c r="AW263" s="3" t="s">
        <v>346</v>
      </c>
      <c r="AX263" s="3">
        <f>AT263*AR263</f>
        <v>1.1695216864938387</v>
      </c>
      <c r="AY263" s="3">
        <f>AY260+1</f>
        <v>66</v>
      </c>
      <c r="AZ263" s="3"/>
      <c r="BA263" s="1">
        <f>det_cost_experimental*AV263</f>
        <v>3.5553459269412695</v>
      </c>
      <c r="BB263" s="3">
        <f>$AV263*(VLOOKUP($AY263,'Pregnancy costs and utilities'!$A$23:$H$158,3))</f>
        <v>3723.4414375572705</v>
      </c>
      <c r="BC263" s="3">
        <f>SUM(BA263:BB263)</f>
        <v>3726.9967834842118</v>
      </c>
      <c r="BD263" s="3"/>
      <c r="BE263" s="3">
        <f>$AV263*(VLOOKUP($AY263,'Pregnancy costs and utilities'!$A$23:$I$158,9))</f>
        <v>0.89963206653372207</v>
      </c>
      <c r="BF263" s="3">
        <f>$AV263*(VLOOKUP($AY263,'Pregnancy costs and utilities'!$A$23:$H$158,7))</f>
        <v>0.88793684966878383</v>
      </c>
      <c r="BG263" s="3"/>
      <c r="BH263" s="3">
        <f>$BA263</f>
        <v>3.5553459269412695</v>
      </c>
      <c r="BI263" s="3">
        <f>$AX263*(VLOOKUP($AY263,'Pregnancy costs and utilities'!$A$23:$H$158,5))</f>
        <v>3094.3996835090002</v>
      </c>
      <c r="BJ263" s="3">
        <f>SUM(BH263:BI263)</f>
        <v>3097.9550294359415</v>
      </c>
      <c r="BK263" s="3"/>
      <c r="BL263" s="3">
        <f>BC263+BI263</f>
        <v>6821.396466993212</v>
      </c>
      <c r="BN263" s="1" t="str">
        <f>IF(AV263=AX263,"Okay",IF(AV263&gt;AX263,"Lost infant","Gained infant"))</f>
        <v>Okay</v>
      </c>
    </row>
    <row r="264" spans="1:66" x14ac:dyDescent="0.25">
      <c r="A264" s="1" t="s">
        <v>63</v>
      </c>
      <c r="B264" s="1" t="s">
        <v>710</v>
      </c>
      <c r="C264" s="1">
        <f>Cohort</f>
        <v>1000</v>
      </c>
      <c r="I264" s="238"/>
      <c r="U264" s="3"/>
      <c r="AA264" s="3"/>
      <c r="AB264" s="3"/>
      <c r="AC264" s="3"/>
      <c r="AD264" s="3"/>
      <c r="AE264" s="3"/>
      <c r="AF264" s="3"/>
      <c r="AG264" s="238" t="s">
        <v>344</v>
      </c>
      <c r="AH264" s="1">
        <f>1-AH251</f>
        <v>0.99993840571000003</v>
      </c>
      <c r="AI264" s="1" t="s">
        <v>345</v>
      </c>
      <c r="AJ264" s="1">
        <f>AH264*AD256</f>
        <v>44.086143797123874</v>
      </c>
      <c r="AK264" s="1" t="s">
        <v>346</v>
      </c>
      <c r="AL264" s="1">
        <f>AH264*AF256</f>
        <v>44.086143797123874</v>
      </c>
      <c r="AM264" s="238"/>
      <c r="AN264" s="3"/>
      <c r="AO264" s="3"/>
      <c r="AP264" s="3"/>
      <c r="AQ264" s="3"/>
      <c r="AR264" s="3"/>
      <c r="AS264" s="240" t="s">
        <v>529</v>
      </c>
      <c r="AT264" s="235"/>
      <c r="AU264" s="235"/>
      <c r="AV264" s="235"/>
      <c r="AW264" s="235"/>
      <c r="AX264" s="235"/>
      <c r="AY264" s="235"/>
      <c r="AZ264" s="235"/>
      <c r="BA264" s="235"/>
      <c r="BB264" s="235"/>
      <c r="BC264" s="235"/>
      <c r="BD264" s="235"/>
      <c r="BE264" s="235"/>
      <c r="BF264" s="235"/>
      <c r="BG264" s="235"/>
      <c r="BH264" s="235"/>
      <c r="BI264" s="235"/>
      <c r="BJ264" s="235"/>
      <c r="BK264" s="235"/>
      <c r="BL264" s="235"/>
      <c r="BM264" s="235"/>
      <c r="BN264" s="235"/>
    </row>
    <row r="265" spans="1:66" x14ac:dyDescent="0.25">
      <c r="I265" s="238"/>
      <c r="U265" s="3"/>
      <c r="AA265" s="3"/>
      <c r="AB265" s="3"/>
      <c r="AC265" s="3"/>
      <c r="AD265" s="3"/>
      <c r="AE265" s="3"/>
      <c r="AF265" s="3"/>
      <c r="AG265" s="240" t="s">
        <v>518</v>
      </c>
      <c r="AH265" s="235"/>
      <c r="AI265" s="235"/>
      <c r="AJ265" s="235"/>
      <c r="AK265" s="235"/>
      <c r="AL265" s="239"/>
      <c r="AM265" s="238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</row>
    <row r="266" spans="1:66" x14ac:dyDescent="0.25">
      <c r="I266" s="238"/>
      <c r="U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238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</row>
    <row r="267" spans="1:66" x14ac:dyDescent="0.25">
      <c r="I267" s="238"/>
      <c r="U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238"/>
      <c r="AN267" s="3"/>
      <c r="AO267" s="3"/>
      <c r="AP267" s="3"/>
      <c r="AQ267" s="3"/>
      <c r="AR267" s="3"/>
      <c r="AS267" s="236" t="s">
        <v>528</v>
      </c>
      <c r="AT267" s="237"/>
      <c r="AU267" s="237"/>
      <c r="AV267" s="237"/>
      <c r="AW267" s="237"/>
      <c r="AX267" s="237"/>
      <c r="AY267" s="237"/>
      <c r="AZ267" s="237"/>
      <c r="BA267" s="237"/>
      <c r="BB267" s="237"/>
      <c r="BC267" s="237"/>
      <c r="BD267" s="237"/>
      <c r="BE267" s="237"/>
      <c r="BF267" s="237"/>
      <c r="BG267" s="237"/>
      <c r="BH267" s="237"/>
      <c r="BI267" s="237"/>
      <c r="BJ267" s="237"/>
      <c r="BK267" s="237"/>
      <c r="BL267" s="237"/>
      <c r="BM267" s="237"/>
      <c r="BN267" s="237"/>
    </row>
    <row r="268" spans="1:66" x14ac:dyDescent="0.25">
      <c r="I268" s="238"/>
      <c r="U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238" t="s">
        <v>344</v>
      </c>
      <c r="AN268" s="1">
        <f>1-AN263</f>
        <v>0.97305804541863394</v>
      </c>
      <c r="AO268" s="1" t="s">
        <v>345</v>
      </c>
      <c r="AP268" s="1">
        <f>AN268*AJ264</f>
        <v>42.898376913274191</v>
      </c>
      <c r="AQ268" s="1" t="s">
        <v>346</v>
      </c>
      <c r="AR268" s="1">
        <f>AN268*AL264</f>
        <v>42.898376913274191</v>
      </c>
      <c r="AS268" s="238" t="s">
        <v>344</v>
      </c>
      <c r="AT268" s="3">
        <f>DET_NS_stillbirth_nbw_fullgest</f>
        <v>1.6109941848144384E-3</v>
      </c>
      <c r="AU268" s="3" t="s">
        <v>345</v>
      </c>
      <c r="AV268" s="3">
        <f>AT268*AP268</f>
        <v>6.9109035745262684E-2</v>
      </c>
      <c r="AW268" s="3" t="s">
        <v>346</v>
      </c>
      <c r="AX268" s="3">
        <f>AT268*AR268</f>
        <v>6.9109035745262684E-2</v>
      </c>
      <c r="AY268" s="3">
        <f>AY263+1</f>
        <v>67</v>
      </c>
      <c r="AZ268" s="3"/>
      <c r="BA268" s="1">
        <f>det_cost_experimental*AV268</f>
        <v>0.21009146866559855</v>
      </c>
      <c r="BB268" s="3">
        <f>$AV268*(VLOOKUP($AY268,'Pregnancy costs and utilities'!$A$23:$H$158,3))</f>
        <v>220.02451974617003</v>
      </c>
      <c r="BC268" s="3">
        <f>SUM(BA268:BB268)</f>
        <v>220.23461121483564</v>
      </c>
      <c r="BD268" s="3"/>
      <c r="BE268" s="3">
        <f>$AV268*(VLOOKUP($AY268,'Pregnancy costs and utilities'!$A$23:$I$158,9))</f>
        <v>5.3160796727125148E-2</v>
      </c>
      <c r="BF268" s="3">
        <f>$AV268*(VLOOKUP($AY268,'Pregnancy costs and utilities'!$A$23:$H$158,7))</f>
        <v>4.7153626696960008E-2</v>
      </c>
      <c r="BG268" s="3"/>
      <c r="BH268" s="3">
        <f>$BA268</f>
        <v>0.21009146866559855</v>
      </c>
      <c r="BI268" s="3">
        <f>$AX268*(VLOOKUP($AY268,'Pregnancy costs and utilities'!$A$23:$H$158,5))</f>
        <v>73.48202702495837</v>
      </c>
      <c r="BJ268" s="3">
        <f>SUM(BH268:BI268)</f>
        <v>73.692118493623965</v>
      </c>
      <c r="BK268" s="3"/>
      <c r="BL268" s="3">
        <f>BC268+BI268</f>
        <v>293.71663823979401</v>
      </c>
      <c r="BN268" s="1" t="str">
        <f>IF(AV268=AX268,"Okay",IF(AV268&gt;AX268,"Lost infant","Gained infant"))</f>
        <v>Okay</v>
      </c>
    </row>
    <row r="269" spans="1:66" x14ac:dyDescent="0.25">
      <c r="I269" s="238"/>
      <c r="U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240" t="s">
        <v>526</v>
      </c>
      <c r="AN269" s="235"/>
      <c r="AO269" s="235"/>
      <c r="AP269" s="235"/>
      <c r="AQ269" s="235"/>
      <c r="AR269" s="239"/>
      <c r="AS269" s="238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</row>
    <row r="270" spans="1:66" x14ac:dyDescent="0.25">
      <c r="I270" s="238"/>
      <c r="U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238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</row>
    <row r="271" spans="1:66" x14ac:dyDescent="0.25">
      <c r="I271" s="238"/>
      <c r="U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238" t="s">
        <v>344</v>
      </c>
      <c r="AT271" s="3">
        <f>1-AT268</f>
        <v>0.99838900581518553</v>
      </c>
      <c r="AU271" s="3" t="s">
        <v>345</v>
      </c>
      <c r="AV271" s="3">
        <f>AT271*AP268</f>
        <v>42.829267877528927</v>
      </c>
      <c r="AW271" s="3" t="s">
        <v>346</v>
      </c>
      <c r="AX271" s="3">
        <f>AT271*AR268</f>
        <v>42.829267877528927</v>
      </c>
      <c r="AY271" s="3">
        <f>AY268+1</f>
        <v>68</v>
      </c>
      <c r="AZ271" s="3"/>
      <c r="BA271" s="1">
        <f>det_cost_experimental*AV271</f>
        <v>130.20097434768795</v>
      </c>
      <c r="BB271" s="3">
        <f>$AV271*(VLOOKUP($AY271,'Pregnancy costs and utilities'!$A$23:$H$158,3))</f>
        <v>136356.83082843959</v>
      </c>
      <c r="BC271" s="3">
        <f>SUM(BA271:BB271)</f>
        <v>136487.03180278727</v>
      </c>
      <c r="BD271" s="3"/>
      <c r="BE271" s="3">
        <f>$AV271*(VLOOKUP($AY271,'Pregnancy costs and utilities'!$A$23:$I$158,9))</f>
        <v>32.945590675022252</v>
      </c>
      <c r="BF271" s="3">
        <f>$AV271*(VLOOKUP($AY271,'Pregnancy costs and utilities'!$A$23:$H$158,7))</f>
        <v>32.517297996246967</v>
      </c>
      <c r="BG271" s="3"/>
      <c r="BH271" s="3">
        <f>$BA271</f>
        <v>130.20097434768795</v>
      </c>
      <c r="BI271" s="3">
        <f>$AX271*(VLOOKUP($AY271,'Pregnancy costs and utilities'!$A$23:$H$158,5))</f>
        <v>113320.57754522527</v>
      </c>
      <c r="BJ271" s="3">
        <f>SUM(BH271:BI271)</f>
        <v>113450.77851957295</v>
      </c>
      <c r="BK271" s="3"/>
      <c r="BL271" s="3">
        <f>BC271+BI271</f>
        <v>249807.60934801254</v>
      </c>
      <c r="BN271" s="1" t="str">
        <f>IF(AV271=AX271,"Okay",IF(AV271&gt;AX271,"Lost infant","Gained infant"))</f>
        <v>Okay</v>
      </c>
    </row>
    <row r="272" spans="1:66" x14ac:dyDescent="0.25">
      <c r="I272" s="238"/>
      <c r="U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240" t="s">
        <v>527</v>
      </c>
      <c r="AT272" s="235"/>
      <c r="AU272" s="235"/>
      <c r="AV272" s="235"/>
      <c r="AW272" s="235"/>
      <c r="AX272" s="235"/>
      <c r="AY272" s="235"/>
      <c r="AZ272" s="235"/>
      <c r="BA272" s="235"/>
      <c r="BB272" s="235"/>
      <c r="BC272" s="235"/>
      <c r="BD272" s="235"/>
      <c r="BE272" s="235"/>
      <c r="BF272" s="235"/>
      <c r="BG272" s="235"/>
      <c r="BH272" s="235"/>
      <c r="BI272" s="235"/>
      <c r="BJ272" s="235"/>
      <c r="BK272" s="235"/>
      <c r="BL272" s="235"/>
      <c r="BM272" s="235"/>
      <c r="BN272" s="235"/>
    </row>
    <row r="273" spans="9:66" x14ac:dyDescent="0.25">
      <c r="I273" s="238"/>
      <c r="U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</row>
    <row r="274" spans="9:66" x14ac:dyDescent="0.25">
      <c r="I274" s="238"/>
      <c r="U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</row>
    <row r="275" spans="9:66" x14ac:dyDescent="0.25">
      <c r="I275" s="238"/>
      <c r="U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236" t="s">
        <v>353</v>
      </c>
      <c r="AT275" s="237"/>
      <c r="AU275" s="237"/>
      <c r="AV275" s="237"/>
      <c r="AW275" s="237"/>
      <c r="AX275" s="237"/>
      <c r="AY275" s="237"/>
      <c r="AZ275" s="237"/>
      <c r="BA275" s="237"/>
      <c r="BB275" s="237"/>
      <c r="BC275" s="237"/>
      <c r="BD275" s="237"/>
      <c r="BE275" s="237"/>
      <c r="BF275" s="237"/>
      <c r="BG275" s="237"/>
      <c r="BH275" s="237"/>
      <c r="BI275" s="237"/>
      <c r="BJ275" s="237"/>
      <c r="BK275" s="237"/>
      <c r="BL275" s="237"/>
      <c r="BM275" s="237"/>
      <c r="BN275" s="237"/>
    </row>
    <row r="276" spans="9:66" x14ac:dyDescent="0.25">
      <c r="I276" s="238"/>
      <c r="U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238" t="s">
        <v>344</v>
      </c>
      <c r="AT276" s="1">
        <f>DET_MORT_ectopic</f>
        <v>1.440317699999998E-4</v>
      </c>
      <c r="AU276" s="1" t="s">
        <v>345</v>
      </c>
      <c r="AV276" s="1">
        <f>AT276*R279</f>
        <v>3.343976103845475E-3</v>
      </c>
      <c r="AW276" s="1" t="s">
        <v>346</v>
      </c>
      <c r="AX276" s="1">
        <f>AT276*T279</f>
        <v>3.343976103845475E-3</v>
      </c>
      <c r="AY276" s="1">
        <f>AY271+1</f>
        <v>69</v>
      </c>
      <c r="BA276" s="1">
        <f>det_cost_experimental*AV276</f>
        <v>1.0165687355690244E-2</v>
      </c>
      <c r="BB276" s="1">
        <f>$AV276*(VLOOKUP($AY276,'Pregnancy costs and utilities'!$A$23:$H$158,3))</f>
        <v>7.7574377267437269</v>
      </c>
      <c r="BC276" s="1">
        <f>SUM(BA276:BB276)</f>
        <v>7.7676034140994172</v>
      </c>
      <c r="BE276" s="1">
        <f>$AV276*(VLOOKUP($AY276,'Pregnancy costs and utilities'!$A$23:$I$158,9))</f>
        <v>0</v>
      </c>
      <c r="BF276" s="1">
        <f>$AV276*(VLOOKUP($AY276,'Pregnancy costs and utilities'!$A$23:$H$158,7))</f>
        <v>0</v>
      </c>
      <c r="BH276" s="1">
        <f>$BA276</f>
        <v>1.0165687355690244E-2</v>
      </c>
      <c r="BI276" s="1">
        <f>$AX276*(VLOOKUP($AY276,'Pregnancy costs and utilities'!$A$23:$H$158,5))</f>
        <v>0</v>
      </c>
      <c r="BJ276" s="3">
        <f>SUM(BH276:BI276)</f>
        <v>1.0165687355690244E-2</v>
      </c>
      <c r="BK276" s="3"/>
      <c r="BL276" s="3">
        <f>BC276+BI276</f>
        <v>7.7676034140994172</v>
      </c>
      <c r="BN276" s="1" t="str">
        <f>IF(AV276=AX276,"Okay",IF(AV276&gt;AX276,"Lost infant","Gained infant"))</f>
        <v>Okay</v>
      </c>
    </row>
    <row r="277" spans="9:66" x14ac:dyDescent="0.25">
      <c r="I277" s="238"/>
      <c r="U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238"/>
      <c r="BJ277" s="3"/>
      <c r="BK277" s="3"/>
      <c r="BL277" s="3"/>
    </row>
    <row r="278" spans="9:66" x14ac:dyDescent="0.25">
      <c r="I278" s="238"/>
      <c r="O278" s="236" t="s">
        <v>387</v>
      </c>
      <c r="P278" s="237"/>
      <c r="Q278" s="237"/>
      <c r="R278" s="237"/>
      <c r="S278" s="237"/>
      <c r="T278" s="237"/>
      <c r="U278" s="237"/>
      <c r="V278" s="237"/>
      <c r="W278" s="237"/>
      <c r="X278" s="237"/>
      <c r="Y278" s="237"/>
      <c r="Z278" s="237"/>
      <c r="AA278" s="237"/>
      <c r="AB278" s="237"/>
      <c r="AC278" s="237"/>
      <c r="AD278" s="237"/>
      <c r="AE278" s="237"/>
      <c r="AF278" s="237"/>
      <c r="AG278" s="237"/>
      <c r="AH278" s="237"/>
      <c r="AI278" s="237"/>
      <c r="AJ278" s="237"/>
      <c r="AK278" s="237"/>
      <c r="AL278" s="237"/>
      <c r="AM278" s="237"/>
      <c r="AN278" s="237"/>
      <c r="AO278" s="237"/>
      <c r="AP278" s="237"/>
      <c r="AQ278" s="237"/>
      <c r="AR278" s="371"/>
      <c r="AS278" s="238"/>
      <c r="BJ278" s="3"/>
      <c r="BK278" s="3"/>
      <c r="BL278" s="3"/>
    </row>
    <row r="279" spans="9:66" x14ac:dyDescent="0.25">
      <c r="I279" s="238"/>
      <c r="O279" s="238" t="s">
        <v>344</v>
      </c>
      <c r="P279" s="3">
        <f>DET_CS_ectopic</f>
        <v>2.4490436751721523E-2</v>
      </c>
      <c r="Q279" s="1" t="s">
        <v>345</v>
      </c>
      <c r="R279" s="1">
        <f>P279*L346</f>
        <v>23.216934040632005</v>
      </c>
      <c r="S279" s="1" t="s">
        <v>346</v>
      </c>
      <c r="T279" s="1">
        <f>P279*N346</f>
        <v>23.216934040632005</v>
      </c>
      <c r="U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238" t="s">
        <v>344</v>
      </c>
      <c r="AT279" s="1">
        <f>1-AT276</f>
        <v>0.99985596823</v>
      </c>
      <c r="AU279" s="1" t="s">
        <v>345</v>
      </c>
      <c r="AV279" s="1">
        <f>AT279*R279</f>
        <v>23.213590064528159</v>
      </c>
      <c r="AW279" s="1" t="s">
        <v>346</v>
      </c>
      <c r="AX279" s="1">
        <f>AT279*T279</f>
        <v>23.213590064528159</v>
      </c>
      <c r="AY279" s="1">
        <f>AY276+1</f>
        <v>70</v>
      </c>
      <c r="BA279" s="1">
        <f>det_cost_experimental*AV279</f>
        <v>70.569313796165602</v>
      </c>
      <c r="BB279" s="1">
        <f>$AV279*(VLOOKUP($AY279,'Pregnancy costs and utilities'!$A$23:$H$158,3))</f>
        <v>15990.556885412954</v>
      </c>
      <c r="BC279" s="1">
        <f>SUM(BA279:BB279)</f>
        <v>16061.12619920912</v>
      </c>
      <c r="BE279" s="1">
        <f>$AV279*(VLOOKUP($AY279,'Pregnancy costs and utilities'!$A$23:$I$158,9))</f>
        <v>4.4641519354861847</v>
      </c>
      <c r="BF279" s="1">
        <f>$AV279*(VLOOKUP($AY279,'Pregnancy costs and utilities'!$A$23:$H$158,7))</f>
        <v>3.8407188281301172</v>
      </c>
      <c r="BH279" s="1">
        <f>$BA279</f>
        <v>70.569313796165602</v>
      </c>
      <c r="BI279" s="1">
        <f>$AX279*(VLOOKUP($AY279,'Pregnancy costs and utilities'!$A$23:$H$158,5))</f>
        <v>0</v>
      </c>
      <c r="BJ279" s="3">
        <f>SUM(BH279:BI279)</f>
        <v>70.569313796165602</v>
      </c>
      <c r="BK279" s="3"/>
      <c r="BL279" s="3">
        <f>BC279+BI279</f>
        <v>16061.12619920912</v>
      </c>
      <c r="BN279" s="1" t="str">
        <f>IF(AV279=AX279,"Okay",IF(AV279&gt;AX279,"Lost infant","Gained infant"))</f>
        <v>Okay</v>
      </c>
    </row>
    <row r="280" spans="9:66" x14ac:dyDescent="0.25">
      <c r="I280" s="238"/>
      <c r="O280" s="238"/>
      <c r="P280" s="3"/>
      <c r="U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240" t="s">
        <v>354</v>
      </c>
      <c r="AT280" s="235"/>
      <c r="AU280" s="235"/>
      <c r="AV280" s="235"/>
      <c r="AW280" s="235"/>
      <c r="AX280" s="235"/>
      <c r="AY280" s="235"/>
      <c r="AZ280" s="235"/>
      <c r="BA280" s="235"/>
      <c r="BB280" s="235"/>
      <c r="BC280" s="235"/>
      <c r="BD280" s="235"/>
      <c r="BE280" s="235"/>
      <c r="BF280" s="235"/>
      <c r="BG280" s="235"/>
      <c r="BH280" s="235"/>
      <c r="BI280" s="235"/>
      <c r="BJ280" s="235"/>
      <c r="BK280" s="235"/>
      <c r="BL280" s="235"/>
      <c r="BM280" s="235"/>
      <c r="BN280" s="235"/>
    </row>
    <row r="281" spans="9:66" x14ac:dyDescent="0.25">
      <c r="I281" s="238"/>
      <c r="O281" s="238"/>
      <c r="P281" s="3"/>
      <c r="U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</row>
    <row r="282" spans="9:66" x14ac:dyDescent="0.25">
      <c r="I282" s="238"/>
      <c r="O282" s="238"/>
      <c r="P282" s="3"/>
      <c r="U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</row>
    <row r="283" spans="9:66" x14ac:dyDescent="0.25">
      <c r="I283" s="238"/>
      <c r="O283" s="238"/>
      <c r="P283" s="3"/>
      <c r="U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236" t="s">
        <v>355</v>
      </c>
      <c r="AT283" s="237"/>
      <c r="AU283" s="237"/>
      <c r="AV283" s="237"/>
      <c r="AW283" s="237"/>
      <c r="AX283" s="237"/>
      <c r="AY283" s="237"/>
      <c r="AZ283" s="237"/>
      <c r="BA283" s="237"/>
      <c r="BB283" s="237"/>
      <c r="BC283" s="237"/>
      <c r="BD283" s="237"/>
      <c r="BE283" s="237"/>
      <c r="BF283" s="237"/>
      <c r="BG283" s="237"/>
      <c r="BH283" s="237"/>
      <c r="BI283" s="237"/>
      <c r="BJ283" s="237"/>
      <c r="BK283" s="237"/>
      <c r="BL283" s="237"/>
      <c r="BM283" s="237"/>
      <c r="BN283" s="237"/>
    </row>
    <row r="284" spans="9:66" x14ac:dyDescent="0.25">
      <c r="I284" s="238"/>
      <c r="O284" s="238"/>
      <c r="P284" s="3"/>
      <c r="U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238" t="s">
        <v>344</v>
      </c>
      <c r="AT284" s="3">
        <f>DET_MORT_miscarriage</f>
        <v>9.4658919999998391E-6</v>
      </c>
      <c r="AU284" s="3" t="s">
        <v>345</v>
      </c>
      <c r="AV284" s="3">
        <f>AT284*R287</f>
        <v>6.6566638701987077E-4</v>
      </c>
      <c r="AW284" s="3" t="s">
        <v>346</v>
      </c>
      <c r="AX284" s="3">
        <f>AT284*T287</f>
        <v>6.6566638701987077E-4</v>
      </c>
      <c r="AY284" s="3">
        <f>AY279+1</f>
        <v>71</v>
      </c>
      <c r="AZ284" s="3"/>
      <c r="BA284" s="1">
        <f>det_cost_experimental*AV284</f>
        <v>2.0236258165404072E-3</v>
      </c>
      <c r="BB284" s="3">
        <f>$AV284*(VLOOKUP($AY284,'Pregnancy costs and utilities'!$A$23:$H$158,3))</f>
        <v>1.5442292001294031</v>
      </c>
      <c r="BC284" s="3">
        <f>SUM(BA284:BB284)</f>
        <v>1.5462528259459436</v>
      </c>
      <c r="BD284" s="3"/>
      <c r="BE284" s="3">
        <f>$AV284*(VLOOKUP($AY284,'Pregnancy costs and utilities'!$A$23:$I$158,9))</f>
        <v>0</v>
      </c>
      <c r="BF284" s="3">
        <f>$AV284*(VLOOKUP($AY284,'Pregnancy costs and utilities'!$A$23:$H$158,7))</f>
        <v>0</v>
      </c>
      <c r="BG284" s="3"/>
      <c r="BH284" s="3">
        <f>$BA284</f>
        <v>2.0236258165404072E-3</v>
      </c>
      <c r="BI284" s="3">
        <f>$AX284*(VLOOKUP($AY284,'Pregnancy costs and utilities'!$A$23:$H$158,5))</f>
        <v>0</v>
      </c>
      <c r="BJ284" s="3">
        <f>SUM(BH284:BI284)</f>
        <v>2.0236258165404072E-3</v>
      </c>
      <c r="BK284" s="3"/>
      <c r="BL284" s="3">
        <f>BC284+BI284</f>
        <v>1.5462528259459436</v>
      </c>
      <c r="BN284" s="1" t="str">
        <f>IF(AV284=AX284,"Okay",IF(AV284&gt;AX284,"Lost infant","Gained infant"))</f>
        <v>Okay</v>
      </c>
    </row>
    <row r="285" spans="9:66" x14ac:dyDescent="0.25">
      <c r="I285" s="238"/>
      <c r="O285" s="238"/>
      <c r="P285" s="3"/>
      <c r="U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238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</row>
    <row r="286" spans="9:66" x14ac:dyDescent="0.25">
      <c r="I286" s="238"/>
      <c r="O286" s="236" t="s">
        <v>388</v>
      </c>
      <c r="P286" s="237"/>
      <c r="Q286" s="237"/>
      <c r="R286" s="237"/>
      <c r="S286" s="237"/>
      <c r="T286" s="237"/>
      <c r="U286" s="237"/>
      <c r="V286" s="237"/>
      <c r="W286" s="237"/>
      <c r="X286" s="237"/>
      <c r="Y286" s="237"/>
      <c r="Z286" s="237"/>
      <c r="AA286" s="237"/>
      <c r="AB286" s="237"/>
      <c r="AC286" s="237"/>
      <c r="AD286" s="237"/>
      <c r="AE286" s="237"/>
      <c r="AF286" s="237"/>
      <c r="AG286" s="237"/>
      <c r="AH286" s="237"/>
      <c r="AI286" s="237"/>
      <c r="AJ286" s="237"/>
      <c r="AK286" s="237"/>
      <c r="AL286" s="237"/>
      <c r="AM286" s="237"/>
      <c r="AN286" s="237"/>
      <c r="AO286" s="237"/>
      <c r="AP286" s="237"/>
      <c r="AQ286" s="237"/>
      <c r="AR286" s="371"/>
      <c r="AS286" s="238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</row>
    <row r="287" spans="9:66" x14ac:dyDescent="0.25">
      <c r="I287" s="238"/>
      <c r="O287" s="238" t="s">
        <v>344</v>
      </c>
      <c r="P287" s="3">
        <f>DET_CS_miscarriage</f>
        <v>7.4179985694252118E-2</v>
      </c>
      <c r="Q287" s="1" t="s">
        <v>345</v>
      </c>
      <c r="R287" s="1">
        <f>P287*L346</f>
        <v>70.322626438151005</v>
      </c>
      <c r="S287" s="1" t="s">
        <v>346</v>
      </c>
      <c r="T287" s="1">
        <f>P287*N346</f>
        <v>70.322626438151005</v>
      </c>
      <c r="U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238" t="s">
        <v>344</v>
      </c>
      <c r="AT287" s="3">
        <f>1-AT284</f>
        <v>0.99999053410799998</v>
      </c>
      <c r="AU287" s="3" t="s">
        <v>345</v>
      </c>
      <c r="AV287" s="3">
        <f>AT287*R287</f>
        <v>70.321960771763983</v>
      </c>
      <c r="AW287" s="3" t="s">
        <v>346</v>
      </c>
      <c r="AX287" s="3">
        <f>AT287*T287</f>
        <v>70.321960771763983</v>
      </c>
      <c r="AY287" s="3">
        <f>AY284+1</f>
        <v>72</v>
      </c>
      <c r="AZ287" s="3"/>
      <c r="BA287" s="1">
        <f>det_cost_experimental*AV287</f>
        <v>213.7787607461625</v>
      </c>
      <c r="BB287" s="3">
        <f>$AV287*(VLOOKUP($AY287,'Pregnancy costs and utilities'!$A$23:$H$158,3))</f>
        <v>48440.905128800317</v>
      </c>
      <c r="BC287" s="3">
        <f>SUM(BA287:BB287)</f>
        <v>48654.683889546483</v>
      </c>
      <c r="BD287" s="3"/>
      <c r="BE287" s="3">
        <f>$AV287*(VLOOKUP($AY287,'Pregnancy costs and utilities'!$A$23:$I$158,9))</f>
        <v>18.932835592397996</v>
      </c>
      <c r="BF287" s="3">
        <f>$AV287*(VLOOKUP($AY287,'Pregnancy costs and utilities'!$A$23:$H$158,7))</f>
        <v>16.478132854621141</v>
      </c>
      <c r="BG287" s="3"/>
      <c r="BH287" s="3">
        <f>$BA287</f>
        <v>213.7787607461625</v>
      </c>
      <c r="BI287" s="3">
        <f>$AX287*(VLOOKUP($AY287,'Pregnancy costs and utilities'!$A$23:$H$158,5))</f>
        <v>0</v>
      </c>
      <c r="BJ287" s="3">
        <f>SUM(BH287:BI287)</f>
        <v>213.7787607461625</v>
      </c>
      <c r="BK287" s="3"/>
      <c r="BL287" s="3">
        <f>BC287+BI287</f>
        <v>48654.683889546483</v>
      </c>
      <c r="BN287" s="1" t="str">
        <f>IF(AV287=AX287,"Okay",IF(AV287&gt;AX287,"Lost infant","Gained infant"))</f>
        <v>Okay</v>
      </c>
    </row>
    <row r="288" spans="9:66" x14ac:dyDescent="0.25">
      <c r="I288" s="238"/>
      <c r="O288" s="238"/>
      <c r="P288" s="3"/>
      <c r="U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240" t="s">
        <v>356</v>
      </c>
      <c r="AT288" s="235"/>
      <c r="AU288" s="235"/>
      <c r="AV288" s="235"/>
      <c r="AW288" s="235"/>
      <c r="AX288" s="235"/>
      <c r="AY288" s="235"/>
      <c r="AZ288" s="235"/>
      <c r="BA288" s="235"/>
      <c r="BB288" s="235"/>
      <c r="BC288" s="235"/>
      <c r="BD288" s="235"/>
      <c r="BE288" s="235"/>
      <c r="BF288" s="235"/>
      <c r="BG288" s="235"/>
      <c r="BH288" s="235"/>
      <c r="BI288" s="235"/>
      <c r="BJ288" s="235"/>
      <c r="BK288" s="235"/>
      <c r="BL288" s="235"/>
      <c r="BM288" s="235"/>
      <c r="BN288" s="235"/>
    </row>
    <row r="289" spans="9:66" x14ac:dyDescent="0.25">
      <c r="I289" s="238"/>
      <c r="O289" s="238"/>
      <c r="P289" s="3"/>
      <c r="U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</row>
    <row r="290" spans="9:66" x14ac:dyDescent="0.25">
      <c r="I290" s="238"/>
      <c r="O290" s="238"/>
      <c r="P290" s="3"/>
      <c r="U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</row>
    <row r="291" spans="9:66" x14ac:dyDescent="0.25">
      <c r="I291" s="238"/>
      <c r="O291" s="238"/>
      <c r="P291" s="3"/>
      <c r="U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236" t="s">
        <v>351</v>
      </c>
      <c r="AT291" s="237"/>
      <c r="AU291" s="237"/>
      <c r="AV291" s="237"/>
      <c r="AW291" s="237"/>
      <c r="AX291" s="237"/>
      <c r="AY291" s="237"/>
      <c r="AZ291" s="237"/>
      <c r="BA291" s="237"/>
      <c r="BB291" s="237"/>
      <c r="BC291" s="237"/>
      <c r="BD291" s="237"/>
      <c r="BE291" s="237"/>
      <c r="BF291" s="237"/>
      <c r="BG291" s="237"/>
      <c r="BH291" s="237"/>
      <c r="BI291" s="237"/>
      <c r="BJ291" s="237"/>
      <c r="BK291" s="237"/>
      <c r="BL291" s="237"/>
      <c r="BM291" s="237"/>
      <c r="BN291" s="237"/>
    </row>
    <row r="292" spans="9:66" x14ac:dyDescent="0.25">
      <c r="I292" s="238"/>
      <c r="O292" s="238"/>
      <c r="P292" s="3"/>
      <c r="U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238" t="s">
        <v>344</v>
      </c>
      <c r="AT292" s="3">
        <f>DET_CS_stillbirth_lbw_premature</f>
        <v>7.6548660672211805E-2</v>
      </c>
      <c r="AU292" s="3" t="s">
        <v>345</v>
      </c>
      <c r="AV292" s="3">
        <f>AT292*AP295</f>
        <v>5.0255580976906895E-5</v>
      </c>
      <c r="AW292" s="3" t="s">
        <v>346</v>
      </c>
      <c r="AX292" s="3">
        <f>AT292*AR295</f>
        <v>5.0255580976906895E-5</v>
      </c>
      <c r="AY292" s="3">
        <f>AY287+1</f>
        <v>73</v>
      </c>
      <c r="AZ292" s="3"/>
      <c r="BA292" s="1">
        <f>det_cost_experimental*AV292</f>
        <v>1.5277696616979697E-4</v>
      </c>
      <c r="BB292" s="3">
        <f>$AV292*(VLOOKUP($AY292,'Pregnancy costs and utilities'!$A$23:$H$158,3))</f>
        <v>0.50233971254631304</v>
      </c>
      <c r="BC292" s="3">
        <f>SUM(BA292:BB292)</f>
        <v>0.50249248951248282</v>
      </c>
      <c r="BD292" s="3"/>
      <c r="BE292" s="3">
        <f>$AV292*(VLOOKUP($AY292,'Pregnancy costs and utilities'!$A$23:$I$158,9))</f>
        <v>0</v>
      </c>
      <c r="BF292" s="3">
        <f>$AV292*(VLOOKUP($AY292,'Pregnancy costs and utilities'!$A$23:$H$158,7))</f>
        <v>0</v>
      </c>
      <c r="BG292" s="3"/>
      <c r="BH292" s="3">
        <f>$BA292</f>
        <v>1.5277696616979697E-4</v>
      </c>
      <c r="BI292" s="3">
        <f>$AX292*(VLOOKUP($AY292,'Pregnancy costs and utilities'!$A$23:$H$158,5))</f>
        <v>5.3435587975964455E-2</v>
      </c>
      <c r="BJ292" s="3">
        <f>SUM(BH292:BI292)</f>
        <v>5.3588364942134252E-2</v>
      </c>
      <c r="BK292" s="3"/>
      <c r="BL292" s="3">
        <f>BC292+BI292</f>
        <v>0.5559280774884473</v>
      </c>
      <c r="BN292" s="1" t="str">
        <f>IF(AV292=AX292,"Okay",IF(AV292&gt;AX292,"Lost infant","Gained infant"))</f>
        <v>Okay</v>
      </c>
    </row>
    <row r="293" spans="9:66" x14ac:dyDescent="0.25">
      <c r="I293" s="238"/>
      <c r="O293" s="238"/>
      <c r="P293" s="3"/>
      <c r="U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238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</row>
    <row r="294" spans="9:66" x14ac:dyDescent="0.25">
      <c r="I294" s="238"/>
      <c r="O294" s="238"/>
      <c r="P294" s="3"/>
      <c r="U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236" t="s">
        <v>350</v>
      </c>
      <c r="AN294" s="237"/>
      <c r="AO294" s="237"/>
      <c r="AP294" s="237"/>
      <c r="AQ294" s="237"/>
      <c r="AR294" s="371"/>
      <c r="AS294" s="238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</row>
    <row r="295" spans="9:66" x14ac:dyDescent="0.25">
      <c r="I295" s="238"/>
      <c r="O295" s="238"/>
      <c r="P295" s="3"/>
      <c r="U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238" t="s">
        <v>344</v>
      </c>
      <c r="AN295" s="3">
        <f>DET_CS_lbw_premature</f>
        <v>1</v>
      </c>
      <c r="AO295" s="3" t="s">
        <v>345</v>
      </c>
      <c r="AP295" s="3">
        <f>AN295*AJ299</f>
        <v>6.5651809627480977E-4</v>
      </c>
      <c r="AQ295" s="3" t="s">
        <v>346</v>
      </c>
      <c r="AR295" s="370">
        <f>AN295*AL299</f>
        <v>6.5651809627480977E-4</v>
      </c>
      <c r="AS295" s="238" t="s">
        <v>344</v>
      </c>
      <c r="AT295" s="3">
        <f>1-AT292</f>
        <v>0.92345133932778822</v>
      </c>
      <c r="AU295" s="3" t="s">
        <v>345</v>
      </c>
      <c r="AV295" s="3">
        <f>AT295*AP295</f>
        <v>6.0626251529790286E-4</v>
      </c>
      <c r="AW295" s="3" t="s">
        <v>346</v>
      </c>
      <c r="AX295" s="3">
        <f>AT295*AR295</f>
        <v>6.0626251529790286E-4</v>
      </c>
      <c r="AY295" s="3">
        <f>AY292+1</f>
        <v>74</v>
      </c>
      <c r="AZ295" s="3"/>
      <c r="BA295" s="1">
        <f>det_cost_experimental*AV295</f>
        <v>1.8430380465056246E-3</v>
      </c>
      <c r="BB295" s="3">
        <f>$AV295*(VLOOKUP($AY295,'Pregnancy costs and utilities'!$A$23:$H$158,3))</f>
        <v>6.0600182455814782</v>
      </c>
      <c r="BC295" s="3">
        <f>SUM(BA295:BB295)</f>
        <v>6.0618612836279837</v>
      </c>
      <c r="BD295" s="3"/>
      <c r="BE295" s="3">
        <f>$AV295*(VLOOKUP($AY295,'Pregnancy costs and utilities'!$A$23:$I$158,9))</f>
        <v>0</v>
      </c>
      <c r="BF295" s="3">
        <f>$AV295*(VLOOKUP($AY295,'Pregnancy costs and utilities'!$A$23:$H$158,7))</f>
        <v>0</v>
      </c>
      <c r="BG295" s="3"/>
      <c r="BH295" s="3">
        <f>$BA295</f>
        <v>1.8430380465056246E-3</v>
      </c>
      <c r="BI295" s="3">
        <f>$AX295*(VLOOKUP($AY295,'Pregnancy costs and utilities'!$A$23:$H$158,5))</f>
        <v>9.6605198527402685</v>
      </c>
      <c r="BJ295" s="3">
        <f>SUM(BH295:BI295)</f>
        <v>9.662362890786774</v>
      </c>
      <c r="BK295" s="3"/>
      <c r="BL295" s="3">
        <f>BC295+BI295</f>
        <v>15.722381136368252</v>
      </c>
      <c r="BN295" s="1" t="str">
        <f>IF(AV295=AX295,"Okay",IF(AV295&gt;AX295,"Lost infant","Gained infant"))</f>
        <v>Okay</v>
      </c>
    </row>
    <row r="296" spans="9:66" x14ac:dyDescent="0.25">
      <c r="I296" s="238"/>
      <c r="O296" s="238"/>
      <c r="P296" s="3"/>
      <c r="U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238"/>
      <c r="AN296" s="3"/>
      <c r="AO296" s="3"/>
      <c r="AP296" s="3"/>
      <c r="AQ296" s="3"/>
      <c r="AR296" s="3"/>
      <c r="AS296" s="240" t="s">
        <v>352</v>
      </c>
      <c r="AT296" s="235"/>
      <c r="AU296" s="235"/>
      <c r="AV296" s="235"/>
      <c r="AW296" s="235"/>
      <c r="AX296" s="235"/>
      <c r="AY296" s="235"/>
      <c r="AZ296" s="235"/>
      <c r="BA296" s="235"/>
      <c r="BB296" s="235"/>
      <c r="BC296" s="235"/>
      <c r="BD296" s="235"/>
      <c r="BE296" s="235"/>
      <c r="BF296" s="235"/>
      <c r="BG296" s="235"/>
      <c r="BH296" s="235"/>
      <c r="BI296" s="235"/>
      <c r="BJ296" s="235"/>
      <c r="BK296" s="235"/>
      <c r="BL296" s="235"/>
      <c r="BM296" s="235"/>
      <c r="BN296" s="235"/>
    </row>
    <row r="297" spans="9:66" x14ac:dyDescent="0.25">
      <c r="I297" s="238"/>
      <c r="O297" s="238"/>
      <c r="P297" s="3"/>
      <c r="U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238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</row>
    <row r="298" spans="9:66" x14ac:dyDescent="0.25">
      <c r="I298" s="238"/>
      <c r="O298" s="238"/>
      <c r="P298" s="3"/>
      <c r="U298" s="3"/>
      <c r="AA298" s="3"/>
      <c r="AB298" s="3"/>
      <c r="AC298" s="3"/>
      <c r="AD298" s="3"/>
      <c r="AE298" s="3"/>
      <c r="AF298" s="3"/>
      <c r="AG298" s="236" t="s">
        <v>372</v>
      </c>
      <c r="AH298" s="237"/>
      <c r="AI298" s="237"/>
      <c r="AJ298" s="237"/>
      <c r="AK298" s="237"/>
      <c r="AL298" s="371"/>
      <c r="AM298" s="238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</row>
    <row r="299" spans="9:66" x14ac:dyDescent="0.25">
      <c r="I299" s="238"/>
      <c r="O299" s="238"/>
      <c r="P299" s="3"/>
      <c r="AA299" s="3"/>
      <c r="AB299" s="3"/>
      <c r="AC299" s="3"/>
      <c r="AD299" s="3"/>
      <c r="AE299" s="3"/>
      <c r="AF299" s="3"/>
      <c r="AG299" s="238" t="s">
        <v>344</v>
      </c>
      <c r="AH299" s="3">
        <f>DET_MORT_abruption</f>
        <v>2.7833911999999947E-4</v>
      </c>
      <c r="AI299" s="3" t="s">
        <v>345</v>
      </c>
      <c r="AJ299" s="3">
        <f>AH299*AD307</f>
        <v>6.5651809627480977E-4</v>
      </c>
      <c r="AK299" s="3" t="s">
        <v>346</v>
      </c>
      <c r="AL299" s="370">
        <f>AH299*AF307</f>
        <v>6.5651809627480977E-4</v>
      </c>
      <c r="AM299" s="238"/>
      <c r="AN299" s="3"/>
      <c r="AO299" s="3"/>
      <c r="AP299" s="3"/>
      <c r="AQ299" s="3"/>
      <c r="AR299" s="3"/>
      <c r="AS299" s="236" t="s">
        <v>358</v>
      </c>
      <c r="AT299" s="237"/>
      <c r="AU299" s="237"/>
      <c r="AV299" s="237"/>
      <c r="AW299" s="237"/>
      <c r="AX299" s="237"/>
      <c r="AY299" s="237"/>
      <c r="AZ299" s="237"/>
      <c r="BA299" s="237"/>
      <c r="BB299" s="237"/>
      <c r="BC299" s="237"/>
      <c r="BD299" s="237"/>
      <c r="BE299" s="237"/>
      <c r="BF299" s="237"/>
      <c r="BG299" s="237"/>
      <c r="BH299" s="237"/>
      <c r="BI299" s="237"/>
      <c r="BJ299" s="237"/>
      <c r="BK299" s="237"/>
      <c r="BL299" s="237"/>
      <c r="BM299" s="237"/>
      <c r="BN299" s="237"/>
    </row>
    <row r="300" spans="9:66" x14ac:dyDescent="0.25">
      <c r="I300" s="238"/>
      <c r="O300" s="238"/>
      <c r="P300" s="3"/>
      <c r="AA300" s="3"/>
      <c r="AB300" s="3"/>
      <c r="AC300" s="3"/>
      <c r="AD300" s="3"/>
      <c r="AE300" s="3"/>
      <c r="AF300" s="3"/>
      <c r="AG300" s="238"/>
      <c r="AH300" s="3"/>
      <c r="AI300" s="3"/>
      <c r="AJ300" s="3"/>
      <c r="AK300" s="3"/>
      <c r="AL300" s="3"/>
      <c r="AM300" s="238" t="s">
        <v>344</v>
      </c>
      <c r="AN300" s="1">
        <f>1-AN295</f>
        <v>0</v>
      </c>
      <c r="AO300" s="1" t="s">
        <v>345</v>
      </c>
      <c r="AP300" s="1">
        <f>AN300*AJ299</f>
        <v>0</v>
      </c>
      <c r="AQ300" s="1" t="s">
        <v>346</v>
      </c>
      <c r="AR300" s="1">
        <f>AN300*AL299</f>
        <v>0</v>
      </c>
      <c r="AS300" s="238" t="s">
        <v>344</v>
      </c>
      <c r="AT300" s="3">
        <f>DET_CS_stillbirth_nbw_premature</f>
        <v>9.5923131756814883E-3</v>
      </c>
      <c r="AU300" s="3" t="s">
        <v>345</v>
      </c>
      <c r="AV300" s="3">
        <f>AT300*AP300</f>
        <v>0</v>
      </c>
      <c r="AW300" s="3" t="s">
        <v>346</v>
      </c>
      <c r="AX300" s="3">
        <f>AT300*AR300</f>
        <v>0</v>
      </c>
      <c r="AY300" s="3">
        <f>AY295+1</f>
        <v>75</v>
      </c>
      <c r="AZ300" s="3"/>
      <c r="BA300" s="1">
        <f>det_cost_experimental*AV300</f>
        <v>0</v>
      </c>
      <c r="BB300" s="3">
        <f>$AV300*(VLOOKUP($AY300,'Pregnancy costs and utilities'!$A$23:$H$158,3))</f>
        <v>0</v>
      </c>
      <c r="BC300" s="3">
        <f>SUM(BA300:BB300)</f>
        <v>0</v>
      </c>
      <c r="BD300" s="3"/>
      <c r="BE300" s="3">
        <f>$AV300*(VLOOKUP($AY300,'Pregnancy costs and utilities'!$A$23:$I$158,9))</f>
        <v>0</v>
      </c>
      <c r="BF300" s="3">
        <f>$AV300*(VLOOKUP($AY300,'Pregnancy costs and utilities'!$A$23:$H$158,7))</f>
        <v>0</v>
      </c>
      <c r="BG300" s="3"/>
      <c r="BH300" s="3">
        <f>$BA300</f>
        <v>0</v>
      </c>
      <c r="BI300" s="3">
        <f>$AX300*(VLOOKUP($AY300,'Pregnancy costs and utilities'!$A$23:$H$158,5))</f>
        <v>0</v>
      </c>
      <c r="BJ300" s="3">
        <f>SUM(BH300:BI300)</f>
        <v>0</v>
      </c>
      <c r="BK300" s="3"/>
      <c r="BL300" s="3">
        <f>BC300+BI300</f>
        <v>0</v>
      </c>
      <c r="BN300" s="1" t="str">
        <f>IF(AV300=AX300,"Okay",IF(AV300&gt;AX300,"Lost infant","Gained infant"))</f>
        <v>Okay</v>
      </c>
    </row>
    <row r="301" spans="9:66" x14ac:dyDescent="0.25">
      <c r="I301" s="238"/>
      <c r="O301" s="238"/>
      <c r="P301" s="3"/>
      <c r="AA301" s="3"/>
      <c r="AB301" s="3"/>
      <c r="AC301" s="3"/>
      <c r="AD301" s="3"/>
      <c r="AE301" s="3"/>
      <c r="AF301" s="3"/>
      <c r="AG301" s="238"/>
      <c r="AH301" s="3"/>
      <c r="AI301" s="3"/>
      <c r="AJ301" s="3"/>
      <c r="AK301" s="3"/>
      <c r="AL301" s="3"/>
      <c r="AM301" s="240" t="s">
        <v>357</v>
      </c>
      <c r="AN301" s="235"/>
      <c r="AO301" s="235"/>
      <c r="AP301" s="235"/>
      <c r="AQ301" s="235"/>
      <c r="AR301" s="239"/>
      <c r="AS301" s="238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</row>
    <row r="302" spans="9:66" x14ac:dyDescent="0.25">
      <c r="I302" s="238"/>
      <c r="O302" s="238"/>
      <c r="P302" s="3"/>
      <c r="AA302" s="3"/>
      <c r="AB302" s="3"/>
      <c r="AC302" s="3"/>
      <c r="AD302" s="3"/>
      <c r="AE302" s="3"/>
      <c r="AF302" s="3"/>
      <c r="AG302" s="238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238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</row>
    <row r="303" spans="9:66" x14ac:dyDescent="0.25">
      <c r="I303" s="238"/>
      <c r="O303" s="238"/>
      <c r="P303" s="3"/>
      <c r="AA303" s="3"/>
      <c r="AB303" s="3"/>
      <c r="AC303" s="3"/>
      <c r="AD303" s="3"/>
      <c r="AE303" s="3"/>
      <c r="AF303" s="3"/>
      <c r="AG303" s="238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238" t="s">
        <v>344</v>
      </c>
      <c r="AT303" s="3">
        <f>1-AT300</f>
        <v>0.99040768682431857</v>
      </c>
      <c r="AU303" s="3" t="s">
        <v>345</v>
      </c>
      <c r="AV303" s="3">
        <f>AT303*AP300</f>
        <v>0</v>
      </c>
      <c r="AW303" s="3" t="s">
        <v>346</v>
      </c>
      <c r="AX303" s="3">
        <f>AT303*AR300</f>
        <v>0</v>
      </c>
      <c r="AY303" s="3">
        <f>AY300+1</f>
        <v>76</v>
      </c>
      <c r="AZ303" s="3"/>
      <c r="BA303" s="1">
        <f>det_cost_experimental*AV303</f>
        <v>0</v>
      </c>
      <c r="BB303" s="3">
        <f>$AV303*(VLOOKUP($AY303,'Pregnancy costs and utilities'!$A$23:$H$158,3))</f>
        <v>0</v>
      </c>
      <c r="BC303" s="3">
        <f>SUM(BA303:BB303)</f>
        <v>0</v>
      </c>
      <c r="BD303" s="3"/>
      <c r="BE303" s="3">
        <f>$AV303*(VLOOKUP($AY303,'Pregnancy costs and utilities'!$A$23:$I$158,9))</f>
        <v>0</v>
      </c>
      <c r="BF303" s="3">
        <f>$AV303*(VLOOKUP($AY303,'Pregnancy costs and utilities'!$A$23:$H$158,7))</f>
        <v>0</v>
      </c>
      <c r="BG303" s="3"/>
      <c r="BH303" s="3">
        <f>$BA303</f>
        <v>0</v>
      </c>
      <c r="BI303" s="3">
        <f>$AX303*(VLOOKUP($AY303,'Pregnancy costs and utilities'!$A$23:$H$158,5))</f>
        <v>0</v>
      </c>
      <c r="BJ303" s="3">
        <f>SUM(BH303:BI303)</f>
        <v>0</v>
      </c>
      <c r="BK303" s="3"/>
      <c r="BL303" s="3">
        <f>BC303+BI303</f>
        <v>0</v>
      </c>
      <c r="BN303" s="1" t="str">
        <f>IF(AV303=AX303,"Okay",IF(AV303&gt;AX303,"Lost infant","Gained infant"))</f>
        <v>Okay</v>
      </c>
    </row>
    <row r="304" spans="9:66" x14ac:dyDescent="0.25">
      <c r="I304" s="238"/>
      <c r="O304" s="238"/>
      <c r="P304" s="3"/>
      <c r="AA304" s="3"/>
      <c r="AB304" s="3"/>
      <c r="AC304" s="3"/>
      <c r="AD304" s="3"/>
      <c r="AE304" s="3"/>
      <c r="AF304" s="3"/>
      <c r="AG304" s="238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240" t="s">
        <v>359</v>
      </c>
      <c r="AT304" s="235"/>
      <c r="AU304" s="235"/>
      <c r="AV304" s="235"/>
      <c r="AW304" s="235"/>
      <c r="AX304" s="235"/>
      <c r="AY304" s="235"/>
      <c r="AZ304" s="235"/>
      <c r="BA304" s="235"/>
      <c r="BB304" s="235"/>
      <c r="BC304" s="235"/>
      <c r="BD304" s="235"/>
      <c r="BE304" s="235"/>
      <c r="BF304" s="235"/>
      <c r="BG304" s="235"/>
      <c r="BH304" s="235"/>
      <c r="BI304" s="235"/>
      <c r="BJ304" s="235"/>
      <c r="BK304" s="235"/>
      <c r="BL304" s="235"/>
      <c r="BM304" s="235"/>
      <c r="BN304" s="235"/>
    </row>
    <row r="305" spans="9:66" x14ac:dyDescent="0.25">
      <c r="I305" s="238"/>
      <c r="O305" s="238"/>
      <c r="P305" s="3"/>
      <c r="AA305" s="3"/>
      <c r="AB305" s="3"/>
      <c r="AC305" s="3"/>
      <c r="AD305" s="3"/>
      <c r="AE305" s="3"/>
      <c r="AF305" s="3"/>
      <c r="AG305" s="238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</row>
    <row r="306" spans="9:66" x14ac:dyDescent="0.25">
      <c r="I306" s="238"/>
      <c r="O306" s="238"/>
      <c r="P306" s="3"/>
      <c r="AA306" s="236" t="s">
        <v>374</v>
      </c>
      <c r="AB306" s="237"/>
      <c r="AC306" s="237"/>
      <c r="AD306" s="237"/>
      <c r="AE306" s="237"/>
      <c r="AF306" s="371"/>
      <c r="AG306" s="238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</row>
    <row r="307" spans="9:66" x14ac:dyDescent="0.25">
      <c r="I307" s="238"/>
      <c r="O307" s="238"/>
      <c r="P307" s="3"/>
      <c r="AA307" s="238" t="s">
        <v>344</v>
      </c>
      <c r="AB307" s="3">
        <f>DET_CS_premature_abruption</f>
        <v>0.47203481916371182</v>
      </c>
      <c r="AC307" s="3" t="s">
        <v>345</v>
      </c>
      <c r="AD307" s="3">
        <f>AB307*X323</f>
        <v>2.3586986129539067</v>
      </c>
      <c r="AE307" s="3" t="s">
        <v>346</v>
      </c>
      <c r="AF307" s="370">
        <f>AB307*Z323</f>
        <v>2.3586986129539067</v>
      </c>
      <c r="AG307" s="238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236" t="s">
        <v>368</v>
      </c>
      <c r="AT307" s="237"/>
      <c r="AU307" s="237"/>
      <c r="AV307" s="237"/>
      <c r="AW307" s="237"/>
      <c r="AX307" s="237"/>
      <c r="AY307" s="237"/>
      <c r="AZ307" s="237"/>
      <c r="BA307" s="237"/>
      <c r="BB307" s="237"/>
      <c r="BC307" s="237"/>
      <c r="BD307" s="237"/>
      <c r="BE307" s="237"/>
      <c r="BF307" s="237"/>
      <c r="BG307" s="237"/>
      <c r="BH307" s="237"/>
      <c r="BI307" s="237"/>
      <c r="BJ307" s="237"/>
      <c r="BK307" s="237"/>
      <c r="BL307" s="237"/>
      <c r="BM307" s="237"/>
      <c r="BN307" s="237"/>
    </row>
    <row r="308" spans="9:66" x14ac:dyDescent="0.25">
      <c r="I308" s="238"/>
      <c r="O308" s="238"/>
      <c r="P308" s="3"/>
      <c r="AA308" s="238"/>
      <c r="AB308" s="3"/>
      <c r="AC308" s="3"/>
      <c r="AD308" s="3"/>
      <c r="AE308" s="3"/>
      <c r="AF308" s="3"/>
      <c r="AG308" s="238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238" t="s">
        <v>344</v>
      </c>
      <c r="AT308" s="3">
        <f>DET_CS_stillbirth_lbw_premature</f>
        <v>7.6548660672211805E-2</v>
      </c>
      <c r="AU308" s="3" t="s">
        <v>345</v>
      </c>
      <c r="AV308" s="3">
        <f>AT308*AP311</f>
        <v>0.18050496417004835</v>
      </c>
      <c r="AW308" s="3" t="s">
        <v>346</v>
      </c>
      <c r="AX308" s="3">
        <f>AT308*AR311</f>
        <v>0.18050496417004835</v>
      </c>
      <c r="AY308" s="3">
        <f>AY303+1</f>
        <v>77</v>
      </c>
      <c r="AZ308" s="3"/>
      <c r="BA308" s="1">
        <f>det_cost_experimental*AV308</f>
        <v>0.54873509107694696</v>
      </c>
      <c r="BB308" s="3">
        <f>$AV308*(VLOOKUP($AY308,'Pregnancy costs and utilities'!$A$23:$H$158,3))</f>
        <v>1509.8735121254369</v>
      </c>
      <c r="BC308" s="3">
        <f>SUM(BA308:BB308)</f>
        <v>1510.4222472165138</v>
      </c>
      <c r="BD308" s="3"/>
      <c r="BE308" s="3">
        <f>$AV308*(VLOOKUP($AY308,'Pregnancy costs and utilities'!$A$23:$I$158,9))</f>
        <v>0.11455122726176145</v>
      </c>
      <c r="BF308" s="3">
        <f>$AV308*(VLOOKUP($AY308,'Pregnancy costs and utilities'!$A$23:$H$158,7))</f>
        <v>9.9699293973540798E-2</v>
      </c>
      <c r="BG308" s="3"/>
      <c r="BH308" s="3">
        <f>$BA308</f>
        <v>0.54873509107694696</v>
      </c>
      <c r="BI308" s="3">
        <f>$AX308*(VLOOKUP($AY308,'Pregnancy costs and utilities'!$A$23:$H$158,5))</f>
        <v>191.926721480727</v>
      </c>
      <c r="BJ308" s="3">
        <f>SUM(BH308:BI308)</f>
        <v>192.47545657180393</v>
      </c>
      <c r="BK308" s="3"/>
      <c r="BL308" s="3">
        <f>BC308+BI308</f>
        <v>1702.3489686972407</v>
      </c>
      <c r="BN308" s="1" t="str">
        <f>IF(AV308=AX308,"Okay",IF(AV308&gt;AX308,"Lost infant","Gained infant"))</f>
        <v>Okay</v>
      </c>
    </row>
    <row r="309" spans="9:66" x14ac:dyDescent="0.25">
      <c r="I309" s="238"/>
      <c r="O309" s="238"/>
      <c r="P309" s="3"/>
      <c r="AA309" s="238"/>
      <c r="AB309" s="3"/>
      <c r="AC309" s="3"/>
      <c r="AD309" s="3"/>
      <c r="AE309" s="3"/>
      <c r="AF309" s="3"/>
      <c r="AG309" s="238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238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</row>
    <row r="310" spans="9:66" x14ac:dyDescent="0.25">
      <c r="I310" s="238"/>
      <c r="O310" s="238"/>
      <c r="P310" s="3"/>
      <c r="AA310" s="238"/>
      <c r="AB310" s="3"/>
      <c r="AC310" s="3"/>
      <c r="AD310" s="3"/>
      <c r="AE310" s="3"/>
      <c r="AF310" s="3"/>
      <c r="AG310" s="238"/>
      <c r="AH310" s="3"/>
      <c r="AI310" s="3"/>
      <c r="AJ310" s="3"/>
      <c r="AK310" s="3"/>
      <c r="AL310" s="3"/>
      <c r="AM310" s="236" t="s">
        <v>366</v>
      </c>
      <c r="AN310" s="237"/>
      <c r="AO310" s="237"/>
      <c r="AP310" s="237"/>
      <c r="AQ310" s="237"/>
      <c r="AR310" s="371"/>
      <c r="AS310" s="238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</row>
    <row r="311" spans="9:66" x14ac:dyDescent="0.25">
      <c r="I311" s="238"/>
      <c r="O311" s="238"/>
      <c r="P311" s="3"/>
      <c r="AA311" s="238"/>
      <c r="AB311" s="3"/>
      <c r="AC311" s="3"/>
      <c r="AD311" s="3"/>
      <c r="AE311" s="3"/>
      <c r="AF311" s="3"/>
      <c r="AG311" s="238"/>
      <c r="AH311" s="3"/>
      <c r="AI311" s="3"/>
      <c r="AJ311" s="3"/>
      <c r="AK311" s="3"/>
      <c r="AL311" s="3"/>
      <c r="AM311" s="238" t="s">
        <v>344</v>
      </c>
      <c r="AN311" s="3">
        <f>DET_CS_lbw_premature</f>
        <v>1</v>
      </c>
      <c r="AO311" s="3" t="s">
        <v>345</v>
      </c>
      <c r="AP311" s="3">
        <f>AN311*AJ312</f>
        <v>2.3580420948576322</v>
      </c>
      <c r="AQ311" s="3" t="s">
        <v>346</v>
      </c>
      <c r="AR311" s="370">
        <f>AN311*AL312</f>
        <v>2.3580420948576322</v>
      </c>
      <c r="AS311" s="238" t="s">
        <v>344</v>
      </c>
      <c r="AT311" s="3">
        <f>1-AT308</f>
        <v>0.92345133932778822</v>
      </c>
      <c r="AU311" s="3" t="s">
        <v>345</v>
      </c>
      <c r="AV311" s="3">
        <f>AT311*AP311</f>
        <v>2.1775371306875839</v>
      </c>
      <c r="AW311" s="3" t="s">
        <v>346</v>
      </c>
      <c r="AX311" s="3">
        <f>AT311*AR311</f>
        <v>2.1775371306875839</v>
      </c>
      <c r="AY311" s="3">
        <f>AY308+1</f>
        <v>78</v>
      </c>
      <c r="AZ311" s="3"/>
      <c r="BA311" s="1">
        <f>det_cost_experimental*AV311</f>
        <v>6.6197128772902554</v>
      </c>
      <c r="BB311" s="3">
        <f>$AV311*(VLOOKUP($AY311,'Pregnancy costs and utilities'!$A$23:$H$158,3))</f>
        <v>18214.488728395663</v>
      </c>
      <c r="BC311" s="3">
        <f>SUM(BA311:BB311)</f>
        <v>18221.108441272954</v>
      </c>
      <c r="BD311" s="3"/>
      <c r="BE311" s="3">
        <f>$AV311*(VLOOKUP($AY311,'Pregnancy costs and utilities'!$A$23:$I$158,9))</f>
        <v>1.3818985637055821</v>
      </c>
      <c r="BF311" s="3">
        <f>$AV311*(VLOOKUP($AY311,'Pregnancy costs and utilities'!$A$23:$H$158,7))</f>
        <v>1.340920847891653</v>
      </c>
      <c r="BG311" s="3"/>
      <c r="BH311" s="3">
        <f>$BA311</f>
        <v>6.6197128772902554</v>
      </c>
      <c r="BI311" s="3">
        <f>$AX311*(VLOOKUP($AY311,'Pregnancy costs and utilities'!$A$23:$H$158,5))</f>
        <v>34698.072452574161</v>
      </c>
      <c r="BJ311" s="3">
        <f>SUM(BH311:BI311)</f>
        <v>34704.692165451452</v>
      </c>
      <c r="BK311" s="3"/>
      <c r="BL311" s="3">
        <f>BC311+BI311</f>
        <v>52919.180893847115</v>
      </c>
      <c r="BN311" s="1" t="str">
        <f>IF(AV311=AX311,"Okay",IF(AV311&gt;AX311,"Lost infant","Gained infant"))</f>
        <v>Okay</v>
      </c>
    </row>
    <row r="312" spans="9:66" x14ac:dyDescent="0.25">
      <c r="I312" s="238"/>
      <c r="O312" s="238"/>
      <c r="P312" s="3"/>
      <c r="AA312" s="238"/>
      <c r="AB312" s="3"/>
      <c r="AC312" s="3"/>
      <c r="AD312" s="3"/>
      <c r="AE312" s="3"/>
      <c r="AF312" s="3"/>
      <c r="AG312" s="238" t="s">
        <v>344</v>
      </c>
      <c r="AH312" s="1">
        <f>1-AH299</f>
        <v>0.99972166088000003</v>
      </c>
      <c r="AI312" s="1" t="s">
        <v>345</v>
      </c>
      <c r="AJ312" s="1">
        <f>AH312*AD307</f>
        <v>2.3580420948576322</v>
      </c>
      <c r="AK312" s="1" t="s">
        <v>346</v>
      </c>
      <c r="AL312" s="1">
        <f>AH312*AF307</f>
        <v>2.3580420948576322</v>
      </c>
      <c r="AM312" s="238"/>
      <c r="AN312" s="3"/>
      <c r="AO312" s="3"/>
      <c r="AP312" s="3"/>
      <c r="AQ312" s="3"/>
      <c r="AR312" s="3"/>
      <c r="AS312" s="240" t="s">
        <v>369</v>
      </c>
      <c r="AT312" s="235"/>
      <c r="AU312" s="235"/>
      <c r="AV312" s="235"/>
      <c r="AW312" s="235"/>
      <c r="AX312" s="235"/>
      <c r="AY312" s="235"/>
      <c r="AZ312" s="235"/>
      <c r="BA312" s="235"/>
      <c r="BB312" s="235"/>
      <c r="BC312" s="235"/>
      <c r="BD312" s="235"/>
      <c r="BE312" s="235"/>
      <c r="BF312" s="235"/>
      <c r="BG312" s="235"/>
      <c r="BH312" s="235"/>
      <c r="BI312" s="235"/>
      <c r="BJ312" s="235"/>
      <c r="BK312" s="235"/>
      <c r="BL312" s="235"/>
      <c r="BM312" s="235"/>
      <c r="BN312" s="235"/>
    </row>
    <row r="313" spans="9:66" x14ac:dyDescent="0.25">
      <c r="I313" s="238"/>
      <c r="O313" s="238"/>
      <c r="P313" s="3"/>
      <c r="AA313" s="238"/>
      <c r="AB313" s="3"/>
      <c r="AC313" s="3"/>
      <c r="AD313" s="3"/>
      <c r="AE313" s="3"/>
      <c r="AF313" s="3"/>
      <c r="AG313" s="240" t="s">
        <v>373</v>
      </c>
      <c r="AH313" s="235"/>
      <c r="AI313" s="235"/>
      <c r="AJ313" s="235"/>
      <c r="AK313" s="235"/>
      <c r="AL313" s="239"/>
      <c r="AM313" s="238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</row>
    <row r="314" spans="9:66" x14ac:dyDescent="0.25">
      <c r="I314" s="238"/>
      <c r="O314" s="238"/>
      <c r="P314" s="3"/>
      <c r="AA314" s="238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238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</row>
    <row r="315" spans="9:66" x14ac:dyDescent="0.25">
      <c r="I315" s="238"/>
      <c r="O315" s="238"/>
      <c r="P315" s="3"/>
      <c r="AA315" s="238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238"/>
      <c r="AN315" s="3"/>
      <c r="AO315" s="3"/>
      <c r="AP315" s="3"/>
      <c r="AQ315" s="3"/>
      <c r="AR315" s="3"/>
      <c r="AS315" s="236" t="s">
        <v>370</v>
      </c>
      <c r="AT315" s="237"/>
      <c r="AU315" s="237"/>
      <c r="AV315" s="237"/>
      <c r="AW315" s="237"/>
      <c r="AX315" s="237"/>
      <c r="AY315" s="237"/>
      <c r="AZ315" s="237"/>
      <c r="BA315" s="237"/>
      <c r="BB315" s="237"/>
      <c r="BC315" s="237"/>
      <c r="BD315" s="237"/>
      <c r="BE315" s="237"/>
      <c r="BF315" s="237"/>
      <c r="BG315" s="237"/>
      <c r="BH315" s="237"/>
      <c r="BI315" s="237"/>
      <c r="BJ315" s="237"/>
      <c r="BK315" s="237"/>
      <c r="BL315" s="237"/>
      <c r="BM315" s="237"/>
      <c r="BN315" s="237"/>
    </row>
    <row r="316" spans="9:66" x14ac:dyDescent="0.25">
      <c r="I316" s="238"/>
      <c r="O316" s="238"/>
      <c r="P316" s="3"/>
      <c r="AA316" s="238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238" t="s">
        <v>344</v>
      </c>
      <c r="AN316" s="1">
        <f>1-AN311</f>
        <v>0</v>
      </c>
      <c r="AO316" s="1" t="s">
        <v>345</v>
      </c>
      <c r="AP316" s="1">
        <f>AN316*AJ312</f>
        <v>0</v>
      </c>
      <c r="AQ316" s="1" t="s">
        <v>346</v>
      </c>
      <c r="AR316" s="1">
        <f>AN316*AL312</f>
        <v>0</v>
      </c>
      <c r="AS316" s="238" t="s">
        <v>344</v>
      </c>
      <c r="AT316" s="3">
        <f>DET_CS_stillbirth_nbw_premature</f>
        <v>9.5923131756814883E-3</v>
      </c>
      <c r="AU316" s="3" t="s">
        <v>345</v>
      </c>
      <c r="AV316" s="3">
        <f>AT316*AP316</f>
        <v>0</v>
      </c>
      <c r="AW316" s="3" t="s">
        <v>346</v>
      </c>
      <c r="AX316" s="3">
        <f>AT316*AR316</f>
        <v>0</v>
      </c>
      <c r="AY316" s="3">
        <f>AY311+1</f>
        <v>79</v>
      </c>
      <c r="AZ316" s="3"/>
      <c r="BA316" s="1">
        <f>det_cost_experimental*AV316</f>
        <v>0</v>
      </c>
      <c r="BB316" s="3">
        <f>$AV316*(VLOOKUP($AY316,'Pregnancy costs and utilities'!$A$23:$H$158,3))</f>
        <v>0</v>
      </c>
      <c r="BC316" s="3">
        <f>SUM(BA316:BB316)</f>
        <v>0</v>
      </c>
      <c r="BD316" s="3"/>
      <c r="BE316" s="3">
        <f>$AV316*(VLOOKUP($AY316,'Pregnancy costs and utilities'!$A$23:$I$158,9))</f>
        <v>0</v>
      </c>
      <c r="BF316" s="3">
        <f>$AV316*(VLOOKUP($AY316,'Pregnancy costs and utilities'!$A$23:$H$158,7))</f>
        <v>0</v>
      </c>
      <c r="BG316" s="3"/>
      <c r="BH316" s="3">
        <f>$BA316</f>
        <v>0</v>
      </c>
      <c r="BI316" s="3">
        <f>$AX316*(VLOOKUP($AY316,'Pregnancy costs and utilities'!$A$23:$H$158,5))</f>
        <v>0</v>
      </c>
      <c r="BJ316" s="3">
        <f>SUM(BH316:BI316)</f>
        <v>0</v>
      </c>
      <c r="BK316" s="3"/>
      <c r="BL316" s="3">
        <f>BC316+BI316</f>
        <v>0</v>
      </c>
      <c r="BN316" s="1" t="str">
        <f>IF(AV316=AX316,"Okay",IF(AV316&gt;AX316,"Lost infant","Gained infant"))</f>
        <v>Okay</v>
      </c>
    </row>
    <row r="317" spans="9:66" x14ac:dyDescent="0.25">
      <c r="I317" s="238"/>
      <c r="O317" s="238"/>
      <c r="P317" s="3"/>
      <c r="AA317" s="238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240" t="s">
        <v>367</v>
      </c>
      <c r="AN317" s="235"/>
      <c r="AO317" s="235"/>
      <c r="AP317" s="235"/>
      <c r="AQ317" s="235"/>
      <c r="AR317" s="239"/>
      <c r="AS317" s="238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</row>
    <row r="318" spans="9:66" x14ac:dyDescent="0.25">
      <c r="I318" s="238"/>
      <c r="O318" s="238"/>
      <c r="P318" s="3"/>
      <c r="AA318" s="238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238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</row>
    <row r="319" spans="9:66" x14ac:dyDescent="0.25">
      <c r="I319" s="238"/>
      <c r="O319" s="238"/>
      <c r="P319" s="3"/>
      <c r="AA319" s="238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238" t="s">
        <v>344</v>
      </c>
      <c r="AT319" s="3">
        <f>1-AT316</f>
        <v>0.99040768682431857</v>
      </c>
      <c r="AU319" s="3" t="s">
        <v>345</v>
      </c>
      <c r="AV319" s="3">
        <f>AT319*AP316</f>
        <v>0</v>
      </c>
      <c r="AW319" s="3" t="s">
        <v>346</v>
      </c>
      <c r="AX319" s="3">
        <f>AT319*AR316</f>
        <v>0</v>
      </c>
      <c r="AY319" s="3">
        <f>AY316+1</f>
        <v>80</v>
      </c>
      <c r="AZ319" s="3"/>
      <c r="BA319" s="1">
        <f>det_cost_experimental*AV319</f>
        <v>0</v>
      </c>
      <c r="BB319" s="3">
        <f>$AV319*(VLOOKUP($AY319,'Pregnancy costs and utilities'!$A$23:$H$158,3))</f>
        <v>0</v>
      </c>
      <c r="BC319" s="3">
        <f>SUM(BA319:BB319)</f>
        <v>0</v>
      </c>
      <c r="BD319" s="3"/>
      <c r="BE319" s="3">
        <f>$AV319*(VLOOKUP($AY319,'Pregnancy costs and utilities'!$A$23:$I$158,9))</f>
        <v>0</v>
      </c>
      <c r="BF319" s="3">
        <f>$AV319*(VLOOKUP($AY319,'Pregnancy costs and utilities'!$A$23:$H$158,7))</f>
        <v>0</v>
      </c>
      <c r="BG319" s="3"/>
      <c r="BH319" s="3">
        <f>$BA319</f>
        <v>0</v>
      </c>
      <c r="BI319" s="3">
        <f>$AX319*(VLOOKUP($AY319,'Pregnancy costs and utilities'!$A$23:$H$158,5))</f>
        <v>0</v>
      </c>
      <c r="BJ319" s="3">
        <f>SUM(BH319:BI319)</f>
        <v>0</v>
      </c>
      <c r="BK319" s="3"/>
      <c r="BL319" s="3">
        <f>BC319+BI319</f>
        <v>0</v>
      </c>
      <c r="BN319" s="1" t="str">
        <f>IF(AV319=AX319,"Okay",IF(AV319&gt;AX319,"Lost infant","Gained infant"))</f>
        <v>Okay</v>
      </c>
    </row>
    <row r="320" spans="9:66" x14ac:dyDescent="0.25">
      <c r="I320" s="238"/>
      <c r="O320" s="238"/>
      <c r="P320" s="3"/>
      <c r="AA320" s="238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240" t="s">
        <v>371</v>
      </c>
      <c r="AT320" s="235"/>
      <c r="AU320" s="235"/>
      <c r="AV320" s="235"/>
      <c r="AW320" s="235"/>
      <c r="AX320" s="235"/>
      <c r="AY320" s="235"/>
      <c r="AZ320" s="235"/>
      <c r="BA320" s="235"/>
      <c r="BB320" s="235"/>
      <c r="BC320" s="235"/>
      <c r="BD320" s="235"/>
      <c r="BE320" s="235"/>
      <c r="BF320" s="235"/>
      <c r="BG320" s="235"/>
      <c r="BH320" s="235"/>
      <c r="BI320" s="235"/>
      <c r="BJ320" s="235"/>
      <c r="BK320" s="235"/>
      <c r="BL320" s="235"/>
      <c r="BM320" s="235"/>
      <c r="BN320" s="235"/>
    </row>
    <row r="321" spans="9:66" x14ac:dyDescent="0.25">
      <c r="I321" s="238"/>
      <c r="O321" s="238"/>
      <c r="P321" s="3"/>
      <c r="AA321" s="238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</row>
    <row r="322" spans="9:66" x14ac:dyDescent="0.25">
      <c r="I322" s="238"/>
      <c r="O322" s="238"/>
      <c r="P322" s="3"/>
      <c r="U322" s="236" t="s">
        <v>384</v>
      </c>
      <c r="V322" s="237"/>
      <c r="W322" s="237"/>
      <c r="X322" s="237"/>
      <c r="Y322" s="237"/>
      <c r="Z322" s="371"/>
      <c r="AA322" s="238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</row>
    <row r="323" spans="9:66" x14ac:dyDescent="0.25">
      <c r="I323" s="238"/>
      <c r="O323" s="238"/>
      <c r="P323" s="3"/>
      <c r="U323" s="238" t="s">
        <v>344</v>
      </c>
      <c r="V323" s="3">
        <f>DET_CS_abruption</f>
        <v>5.8479877785441586E-3</v>
      </c>
      <c r="W323" s="3" t="s">
        <v>345</v>
      </c>
      <c r="X323" s="3">
        <f>V323*R416</f>
        <v>4.9968742075695465</v>
      </c>
      <c r="Y323" s="3" t="s">
        <v>346</v>
      </c>
      <c r="Z323" s="370">
        <f>V323*T416</f>
        <v>4.9968742075695465</v>
      </c>
      <c r="AA323" s="238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236" t="s">
        <v>362</v>
      </c>
      <c r="AT323" s="237"/>
      <c r="AU323" s="237"/>
      <c r="AV323" s="237"/>
      <c r="AW323" s="237"/>
      <c r="AX323" s="237"/>
      <c r="AY323" s="237"/>
      <c r="AZ323" s="237"/>
      <c r="BA323" s="237"/>
      <c r="BB323" s="237"/>
      <c r="BC323" s="237"/>
      <c r="BD323" s="237"/>
      <c r="BE323" s="237"/>
      <c r="BF323" s="237"/>
      <c r="BG323" s="237"/>
      <c r="BH323" s="237"/>
      <c r="BI323" s="237"/>
      <c r="BJ323" s="237"/>
      <c r="BK323" s="237"/>
      <c r="BL323" s="237"/>
      <c r="BM323" s="237"/>
      <c r="BN323" s="237"/>
    </row>
    <row r="324" spans="9:66" x14ac:dyDescent="0.25">
      <c r="I324" s="238"/>
      <c r="O324" s="238"/>
      <c r="P324" s="3"/>
      <c r="U324" s="238"/>
      <c r="AA324" s="238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238" t="s">
        <v>344</v>
      </c>
      <c r="AT324" s="3">
        <f>DET_CS_stillbirth_lbw_fullgest</f>
        <v>1.9354764795137105E-2</v>
      </c>
      <c r="AU324" s="3" t="s">
        <v>345</v>
      </c>
      <c r="AV324" s="3">
        <f>AT324*AP327</f>
        <v>6.9689337178387271E-7</v>
      </c>
      <c r="AW324" s="3" t="s">
        <v>346</v>
      </c>
      <c r="AX324" s="3">
        <f>AT324*AR327</f>
        <v>6.9689337178387271E-7</v>
      </c>
      <c r="AY324" s="3">
        <f>AY319+1</f>
        <v>81</v>
      </c>
      <c r="AZ324" s="3"/>
      <c r="BA324" s="1">
        <f>det_cost_experimental*AV324</f>
        <v>2.118555850222973E-6</v>
      </c>
      <c r="BB324" s="3">
        <f>$AV324*(VLOOKUP($AY324,'Pregnancy costs and utilities'!$A$23:$H$158,3))</f>
        <v>6.1902861360395058E-3</v>
      </c>
      <c r="BC324" s="3">
        <f>SUM(BA324:BB324)</f>
        <v>6.192404691889729E-3</v>
      </c>
      <c r="BD324" s="3"/>
      <c r="BE324" s="3">
        <f>$AV324*(VLOOKUP($AY324,'Pregnancy costs and utilities'!$A$23:$I$158,9))</f>
        <v>0</v>
      </c>
      <c r="BF324" s="3">
        <f>$AV324*(VLOOKUP($AY324,'Pregnancy costs and utilities'!$A$23:$H$158,7))</f>
        <v>0</v>
      </c>
      <c r="BG324" s="3"/>
      <c r="BH324" s="3">
        <f>$BA324</f>
        <v>2.118555850222973E-6</v>
      </c>
      <c r="BI324" s="3">
        <f>$AX324*(VLOOKUP($AY324,'Pregnancy costs and utilities'!$A$23:$H$158,5))</f>
        <v>7.409904801406118E-4</v>
      </c>
      <c r="BJ324" s="3">
        <f>SUM(BH324:BI324)</f>
        <v>7.4310903599083481E-4</v>
      </c>
      <c r="BK324" s="3"/>
      <c r="BL324" s="3">
        <f>BC324+BI324</f>
        <v>6.9333951720303407E-3</v>
      </c>
      <c r="BN324" s="1" t="str">
        <f>IF(AV324=AX324,"Okay",IF(AV324&gt;AX324,"Lost infant","Gained infant"))</f>
        <v>Okay</v>
      </c>
    </row>
    <row r="325" spans="9:66" x14ac:dyDescent="0.25">
      <c r="I325" s="238"/>
      <c r="O325" s="238"/>
      <c r="P325" s="3"/>
      <c r="U325" s="238"/>
      <c r="AA325" s="238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238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</row>
    <row r="326" spans="9:66" x14ac:dyDescent="0.25">
      <c r="I326" s="238"/>
      <c r="O326" s="238"/>
      <c r="P326" s="3"/>
      <c r="U326" s="238"/>
      <c r="AA326" s="238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236" t="s">
        <v>360</v>
      </c>
      <c r="AN326" s="237"/>
      <c r="AO326" s="237"/>
      <c r="AP326" s="237"/>
      <c r="AQ326" s="237"/>
      <c r="AR326" s="371"/>
      <c r="AS326" s="238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</row>
    <row r="327" spans="9:66" x14ac:dyDescent="0.25">
      <c r="I327" s="238"/>
      <c r="O327" s="238"/>
      <c r="P327" s="3"/>
      <c r="U327" s="238"/>
      <c r="AA327" s="238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238" t="s">
        <v>344</v>
      </c>
      <c r="AN327" s="3">
        <f>DET_CS_lbw_fullgest</f>
        <v>4.9034357338086171E-2</v>
      </c>
      <c r="AO327" s="3" t="s">
        <v>345</v>
      </c>
      <c r="AP327" s="3">
        <f>AN327*AJ331</f>
        <v>3.6006295047252012E-5</v>
      </c>
      <c r="AQ327" s="3" t="s">
        <v>346</v>
      </c>
      <c r="AR327" s="370">
        <f>AN327*AL331</f>
        <v>3.6006295047252012E-5</v>
      </c>
      <c r="AS327" s="238" t="s">
        <v>344</v>
      </c>
      <c r="AT327" s="3">
        <f>1-AT324</f>
        <v>0.98064523520486291</v>
      </c>
      <c r="AU327" s="3" t="s">
        <v>345</v>
      </c>
      <c r="AV327" s="3">
        <f>AT327*AP327</f>
        <v>3.5309401675468139E-5</v>
      </c>
      <c r="AW327" s="3" t="s">
        <v>346</v>
      </c>
      <c r="AX327" s="3">
        <f>AT327*AR327</f>
        <v>3.5309401675468139E-5</v>
      </c>
      <c r="AY327" s="3">
        <f>AY324+1</f>
        <v>82</v>
      </c>
      <c r="AZ327" s="3"/>
      <c r="BA327" s="1">
        <f>det_cost_experimental*AV327</f>
        <v>1.0734058109342315E-4</v>
      </c>
      <c r="BB327" s="3">
        <f>$AV327*(VLOOKUP($AY327,'Pregnancy costs and utilities'!$A$23:$H$158,3))</f>
        <v>0.31364238564072205</v>
      </c>
      <c r="BC327" s="3">
        <f>SUM(BA327:BB327)</f>
        <v>0.31374972622181546</v>
      </c>
      <c r="BD327" s="3"/>
      <c r="BE327" s="3">
        <f>$AV327*(VLOOKUP($AY327,'Pregnancy costs and utilities'!$A$23:$I$158,9))</f>
        <v>0</v>
      </c>
      <c r="BF327" s="3">
        <f>$AV327*(VLOOKUP($AY327,'Pregnancy costs and utilities'!$A$23:$H$158,7))</f>
        <v>0</v>
      </c>
      <c r="BG327" s="3"/>
      <c r="BH327" s="3">
        <f>$BA327</f>
        <v>1.0734058109342315E-4</v>
      </c>
      <c r="BI327" s="3">
        <f>$AX327*(VLOOKUP($AY327,'Pregnancy costs and utilities'!$A$23:$H$158,5))</f>
        <v>9.3424006267913168E-2</v>
      </c>
      <c r="BJ327" s="3">
        <f>SUM(BH327:BI327)</f>
        <v>9.3531346849006589E-2</v>
      </c>
      <c r="BK327" s="3"/>
      <c r="BL327" s="3">
        <f>BC327+BI327</f>
        <v>0.40717373248972866</v>
      </c>
      <c r="BN327" s="1" t="str">
        <f>IF(AV327=AX327,"Okay",IF(AV327&gt;AX327,"Lost infant","Gained infant"))</f>
        <v>Okay</v>
      </c>
    </row>
    <row r="328" spans="9:66" x14ac:dyDescent="0.25">
      <c r="I328" s="238"/>
      <c r="O328" s="238"/>
      <c r="P328" s="3"/>
      <c r="U328" s="238"/>
      <c r="AA328" s="238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238"/>
      <c r="AN328" s="3"/>
      <c r="AO328" s="3"/>
      <c r="AP328" s="3"/>
      <c r="AQ328" s="3"/>
      <c r="AR328" s="3"/>
      <c r="AS328" s="240" t="s">
        <v>363</v>
      </c>
      <c r="AT328" s="235"/>
      <c r="AU328" s="235"/>
      <c r="AV328" s="235"/>
      <c r="AW328" s="235"/>
      <c r="AX328" s="235"/>
      <c r="AY328" s="235"/>
      <c r="AZ328" s="235"/>
      <c r="BA328" s="235"/>
      <c r="BB328" s="235"/>
      <c r="BC328" s="235"/>
      <c r="BD328" s="235"/>
      <c r="BE328" s="235"/>
      <c r="BF328" s="235"/>
      <c r="BG328" s="235"/>
      <c r="BH328" s="235"/>
      <c r="BI328" s="235"/>
      <c r="BJ328" s="235"/>
      <c r="BK328" s="235"/>
      <c r="BL328" s="235"/>
      <c r="BM328" s="235"/>
      <c r="BN328" s="235"/>
    </row>
    <row r="329" spans="9:66" x14ac:dyDescent="0.25">
      <c r="I329" s="238"/>
      <c r="O329" s="238"/>
      <c r="P329" s="3"/>
      <c r="U329" s="238"/>
      <c r="AA329" s="238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238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</row>
    <row r="330" spans="9:66" x14ac:dyDescent="0.25">
      <c r="I330" s="238"/>
      <c r="O330" s="238"/>
      <c r="P330" s="3"/>
      <c r="U330" s="238"/>
      <c r="AA330" s="238"/>
      <c r="AB330" s="3"/>
      <c r="AC330" s="3"/>
      <c r="AD330" s="3"/>
      <c r="AE330" s="3"/>
      <c r="AF330" s="3"/>
      <c r="AG330" s="236" t="s">
        <v>376</v>
      </c>
      <c r="AH330" s="237"/>
      <c r="AI330" s="237"/>
      <c r="AJ330" s="237"/>
      <c r="AK330" s="237"/>
      <c r="AL330" s="371"/>
      <c r="AM330" s="238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</row>
    <row r="331" spans="9:66" x14ac:dyDescent="0.25">
      <c r="I331" s="238"/>
      <c r="O331" s="238"/>
      <c r="P331" s="3"/>
      <c r="U331" s="238"/>
      <c r="AA331" s="238"/>
      <c r="AB331" s="3"/>
      <c r="AC331" s="3"/>
      <c r="AD331" s="3"/>
      <c r="AE331" s="3"/>
      <c r="AF331" s="3"/>
      <c r="AG331" s="238" t="s">
        <v>344</v>
      </c>
      <c r="AH331" s="3">
        <f>DET_MORT_abruption</f>
        <v>2.7833911999999947E-4</v>
      </c>
      <c r="AI331" s="3" t="s">
        <v>345</v>
      </c>
      <c r="AJ331" s="3">
        <f>AH331*AD336</f>
        <v>7.3430747341079257E-4</v>
      </c>
      <c r="AK331" s="3" t="s">
        <v>346</v>
      </c>
      <c r="AL331" s="370">
        <f>AH331*AF336</f>
        <v>7.3430747341079257E-4</v>
      </c>
      <c r="AM331" s="238"/>
      <c r="AN331" s="3"/>
      <c r="AO331" s="3"/>
      <c r="AP331" s="3"/>
      <c r="AQ331" s="3"/>
      <c r="AR331" s="3"/>
      <c r="AS331" s="236" t="s">
        <v>364</v>
      </c>
      <c r="AT331" s="237"/>
      <c r="AU331" s="237"/>
      <c r="AV331" s="237"/>
      <c r="AW331" s="237"/>
      <c r="AX331" s="237"/>
      <c r="AY331" s="237"/>
      <c r="AZ331" s="237"/>
      <c r="BA331" s="237"/>
      <c r="BB331" s="237"/>
      <c r="BC331" s="237"/>
      <c r="BD331" s="237"/>
      <c r="BE331" s="237"/>
      <c r="BF331" s="237"/>
      <c r="BG331" s="237"/>
      <c r="BH331" s="237"/>
      <c r="BI331" s="237"/>
      <c r="BJ331" s="237"/>
      <c r="BK331" s="237"/>
      <c r="BL331" s="237"/>
      <c r="BM331" s="237"/>
      <c r="BN331" s="237"/>
    </row>
    <row r="332" spans="9:66" x14ac:dyDescent="0.25">
      <c r="I332" s="238"/>
      <c r="O332" s="238"/>
      <c r="P332" s="3"/>
      <c r="U332" s="238"/>
      <c r="AA332" s="238"/>
      <c r="AB332" s="3"/>
      <c r="AC332" s="3"/>
      <c r="AD332" s="3"/>
      <c r="AE332" s="3"/>
      <c r="AF332" s="3"/>
      <c r="AG332" s="238"/>
      <c r="AH332" s="3"/>
      <c r="AI332" s="3"/>
      <c r="AJ332" s="3"/>
      <c r="AK332" s="3"/>
      <c r="AL332" s="3"/>
      <c r="AM332" s="238" t="s">
        <v>344</v>
      </c>
      <c r="AN332" s="1">
        <f>1-AN327</f>
        <v>0.95096564266191386</v>
      </c>
      <c r="AO332" s="1" t="s">
        <v>345</v>
      </c>
      <c r="AP332" s="1">
        <f>AN332*AJ331</f>
        <v>6.9830117836354054E-4</v>
      </c>
      <c r="AQ332" s="1" t="s">
        <v>346</v>
      </c>
      <c r="AR332" s="1">
        <f>AN332*AL331</f>
        <v>6.9830117836354054E-4</v>
      </c>
      <c r="AS332" s="238" t="s">
        <v>344</v>
      </c>
      <c r="AT332" s="3">
        <f>DET_CS_stillbirth_nbw_fullgest</f>
        <v>2.0298526728661924E-3</v>
      </c>
      <c r="AU332" s="3" t="s">
        <v>345</v>
      </c>
      <c r="AV332" s="3">
        <f>AT332*AP332</f>
        <v>1.4174485133668446E-6</v>
      </c>
      <c r="AW332" s="3" t="s">
        <v>346</v>
      </c>
      <c r="AX332" s="3">
        <f>AT332*AR332</f>
        <v>1.4174485133668446E-6</v>
      </c>
      <c r="AY332" s="3">
        <f>AY327+1</f>
        <v>83</v>
      </c>
      <c r="AZ332" s="3"/>
      <c r="BA332" s="1">
        <f>det_cost_experimental*AV332</f>
        <v>4.3090434806352077E-6</v>
      </c>
      <c r="BB332" s="3">
        <f>$AV332*(VLOOKUP($AY332,'Pregnancy costs and utilities'!$A$23:$H$158,3))</f>
        <v>1.2590752382081474E-2</v>
      </c>
      <c r="BC332" s="3">
        <f>SUM(BA332:BB332)</f>
        <v>1.2595061425562109E-2</v>
      </c>
      <c r="BD332" s="3"/>
      <c r="BE332" s="3">
        <f>$AV332*(VLOOKUP($AY332,'Pregnancy costs and utilities'!$A$23:$I$158,9))</f>
        <v>0</v>
      </c>
      <c r="BF332" s="3">
        <f>$AV332*(VLOOKUP($AY332,'Pregnancy costs and utilities'!$A$23:$H$158,7))</f>
        <v>0</v>
      </c>
      <c r="BG332" s="3"/>
      <c r="BH332" s="3">
        <f>$BA332</f>
        <v>4.3090434806352077E-6</v>
      </c>
      <c r="BI332" s="3">
        <f>$AX332*(VLOOKUP($AY332,'Pregnancy costs and utilities'!$A$23:$H$158,5))</f>
        <v>1.5071399686378832E-3</v>
      </c>
      <c r="BJ332" s="3">
        <f>SUM(BH332:BI332)</f>
        <v>1.5114490121185184E-3</v>
      </c>
      <c r="BK332" s="3"/>
      <c r="BL332" s="3">
        <f>BC332+BI332</f>
        <v>1.4102201394199992E-2</v>
      </c>
      <c r="BN332" s="1" t="str">
        <f>IF(AV332=AX332,"Okay",IF(AV332&gt;AX332,"Lost infant","Gained infant"))</f>
        <v>Okay</v>
      </c>
    </row>
    <row r="333" spans="9:66" x14ac:dyDescent="0.25">
      <c r="I333" s="238"/>
      <c r="O333" s="238"/>
      <c r="P333" s="3"/>
      <c r="U333" s="238"/>
      <c r="AA333" s="238"/>
      <c r="AB333" s="3"/>
      <c r="AC333" s="3"/>
      <c r="AD333" s="3"/>
      <c r="AE333" s="3"/>
      <c r="AF333" s="3"/>
      <c r="AG333" s="238"/>
      <c r="AH333" s="3"/>
      <c r="AI333" s="3"/>
      <c r="AJ333" s="3"/>
      <c r="AK333" s="3"/>
      <c r="AL333" s="3"/>
      <c r="AM333" s="240" t="s">
        <v>361</v>
      </c>
      <c r="AN333" s="235"/>
      <c r="AO333" s="235"/>
      <c r="AP333" s="235"/>
      <c r="AQ333" s="235"/>
      <c r="AR333" s="239"/>
      <c r="AS333" s="238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</row>
    <row r="334" spans="9:66" x14ac:dyDescent="0.25">
      <c r="I334" s="238"/>
      <c r="O334" s="238"/>
      <c r="P334" s="3"/>
      <c r="U334" s="238"/>
      <c r="AA334" s="238"/>
      <c r="AG334" s="238"/>
      <c r="AS334" s="238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</row>
    <row r="335" spans="9:66" x14ac:dyDescent="0.25">
      <c r="I335" s="238"/>
      <c r="O335" s="238"/>
      <c r="P335" s="3"/>
      <c r="U335" s="238"/>
      <c r="AA335" s="238"/>
      <c r="AG335" s="238"/>
      <c r="AS335" s="238" t="s">
        <v>344</v>
      </c>
      <c r="AT335" s="3">
        <f>1-AT332</f>
        <v>0.99797014732713385</v>
      </c>
      <c r="AU335" s="3" t="s">
        <v>345</v>
      </c>
      <c r="AV335" s="3">
        <f>AT335*AP332</f>
        <v>6.9688372985017371E-4</v>
      </c>
      <c r="AW335" s="3" t="s">
        <v>346</v>
      </c>
      <c r="AX335" s="3">
        <f>AT335*AR332</f>
        <v>6.9688372985017371E-4</v>
      </c>
      <c r="AY335" s="3">
        <f>AY332+1</f>
        <v>84</v>
      </c>
      <c r="AZ335" s="3"/>
      <c r="BA335" s="1">
        <f>det_cost_experimental*AV335</f>
        <v>2.1185265387445281E-3</v>
      </c>
      <c r="BB335" s="3">
        <f>$AV335*(VLOOKUP($AY335,'Pregnancy costs and utilities'!$A$23:$H$158,3))</f>
        <v>6.1902004897542655</v>
      </c>
      <c r="BC335" s="3">
        <f>SUM(BA335:BB335)</f>
        <v>6.19231901629301</v>
      </c>
      <c r="BD335" s="3"/>
      <c r="BE335" s="3">
        <f>$AV335*(VLOOKUP($AY335,'Pregnancy costs and utilities'!$A$23:$I$158,9))</f>
        <v>0</v>
      </c>
      <c r="BF335" s="3">
        <f>$AV335*(VLOOKUP($AY335,'Pregnancy costs and utilities'!$A$23:$H$158,7))</f>
        <v>0</v>
      </c>
      <c r="BG335" s="3"/>
      <c r="BH335" s="3">
        <f>$BA335</f>
        <v>2.1185265387445281E-3</v>
      </c>
      <c r="BI335" s="3">
        <f>$AX335*(VLOOKUP($AY335,'Pregnancy costs and utilities'!$A$23:$H$158,5))</f>
        <v>1.8438621686065755</v>
      </c>
      <c r="BJ335" s="3">
        <f>SUM(BH335:BI335)</f>
        <v>1.8459806951453199</v>
      </c>
      <c r="BK335" s="3"/>
      <c r="BL335" s="3">
        <f>BC335+BI335</f>
        <v>8.0361811848995863</v>
      </c>
      <c r="BN335" s="1" t="str">
        <f>IF(AV335=AX335,"Okay",IF(AV335&gt;AX335,"Lost infant","Gained infant"))</f>
        <v>Okay</v>
      </c>
    </row>
    <row r="336" spans="9:66" x14ac:dyDescent="0.25">
      <c r="I336" s="238"/>
      <c r="O336" s="238"/>
      <c r="P336" s="3"/>
      <c r="U336" s="238"/>
      <c r="AA336" s="238" t="s">
        <v>344</v>
      </c>
      <c r="AB336" s="1">
        <f>1-AB307</f>
        <v>0.52796518083628818</v>
      </c>
      <c r="AC336" s="1" t="s">
        <v>345</v>
      </c>
      <c r="AD336" s="1">
        <f>AB336*X323</f>
        <v>2.6381755946156398</v>
      </c>
      <c r="AE336" s="1" t="s">
        <v>346</v>
      </c>
      <c r="AF336" s="1">
        <f>AB336*Z323</f>
        <v>2.6381755946156398</v>
      </c>
      <c r="AG336" s="238"/>
      <c r="AS336" s="240" t="s">
        <v>365</v>
      </c>
      <c r="AT336" s="235"/>
      <c r="AU336" s="235"/>
      <c r="AV336" s="235"/>
      <c r="AW336" s="235"/>
      <c r="AX336" s="235"/>
      <c r="AY336" s="235"/>
      <c r="AZ336" s="235"/>
      <c r="BA336" s="235"/>
      <c r="BB336" s="235"/>
      <c r="BC336" s="235"/>
      <c r="BD336" s="235"/>
      <c r="BE336" s="235"/>
      <c r="BF336" s="235"/>
      <c r="BG336" s="235"/>
      <c r="BH336" s="235"/>
      <c r="BI336" s="235"/>
      <c r="BJ336" s="235"/>
      <c r="BK336" s="235"/>
      <c r="BL336" s="235"/>
      <c r="BM336" s="235"/>
      <c r="BN336" s="235"/>
    </row>
    <row r="337" spans="9:66" x14ac:dyDescent="0.25">
      <c r="I337" s="238"/>
      <c r="O337" s="238"/>
      <c r="P337" s="3"/>
      <c r="U337" s="238"/>
      <c r="AA337" s="240" t="s">
        <v>375</v>
      </c>
      <c r="AB337" s="235"/>
      <c r="AC337" s="235"/>
      <c r="AD337" s="235"/>
      <c r="AE337" s="235"/>
      <c r="AF337" s="239"/>
      <c r="AG337" s="238"/>
    </row>
    <row r="338" spans="9:66" x14ac:dyDescent="0.25">
      <c r="I338" s="238"/>
      <c r="O338" s="238"/>
      <c r="P338" s="3"/>
      <c r="U338" s="238"/>
      <c r="AG338" s="238"/>
    </row>
    <row r="339" spans="9:66" x14ac:dyDescent="0.25">
      <c r="I339" s="238"/>
      <c r="N339" s="3"/>
      <c r="O339" s="238"/>
      <c r="P339" s="3"/>
      <c r="Q339" s="3"/>
      <c r="R339" s="3"/>
      <c r="S339" s="3"/>
      <c r="T339" s="3"/>
      <c r="U339" s="238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238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236" t="s">
        <v>380</v>
      </c>
      <c r="AT339" s="237"/>
      <c r="AU339" s="237"/>
      <c r="AV339" s="237"/>
      <c r="AW339" s="237"/>
      <c r="AX339" s="3"/>
      <c r="BJ339" s="237"/>
      <c r="BK339" s="237"/>
      <c r="BL339" s="237"/>
      <c r="BM339" s="237"/>
      <c r="BN339" s="237"/>
    </row>
    <row r="340" spans="9:66" x14ac:dyDescent="0.25">
      <c r="I340" s="238"/>
      <c r="N340" s="3"/>
      <c r="O340" s="238"/>
      <c r="P340" s="3"/>
      <c r="Q340" s="3"/>
      <c r="R340" s="3"/>
      <c r="S340" s="3"/>
      <c r="T340" s="3"/>
      <c r="U340" s="238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238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238" t="s">
        <v>344</v>
      </c>
      <c r="AT340" s="1">
        <f>DET_CS_stillbirth_lbw_fullgest</f>
        <v>1.9354764795137105E-2</v>
      </c>
      <c r="AU340" s="1" t="s">
        <v>345</v>
      </c>
      <c r="AV340" s="1">
        <f>AT340*AP343</f>
        <v>2.5030595738609719E-3</v>
      </c>
      <c r="AW340" s="1" t="s">
        <v>346</v>
      </c>
      <c r="AX340" s="1">
        <f>AT340*AR343</f>
        <v>2.5030595738609719E-3</v>
      </c>
      <c r="AY340" s="1">
        <f>AY335+1</f>
        <v>85</v>
      </c>
      <c r="BA340" s="1">
        <f>det_cost_experimental*AV340</f>
        <v>7.6093011045373551E-3</v>
      </c>
      <c r="BB340" s="1">
        <f>$AV340*(VLOOKUP($AY340,'Pregnancy costs and utilities'!$A$23:$H$158,3))</f>
        <v>18.151456524201119</v>
      </c>
      <c r="BC340" s="1">
        <f>SUM(BA340:BB340)</f>
        <v>18.159065825305657</v>
      </c>
      <c r="BE340" s="1">
        <f>$AV340*(VLOOKUP($AY340,'Pregnancy costs and utilities'!$A$23:$I$158,9))</f>
        <v>1.877294680395729E-3</v>
      </c>
      <c r="BF340" s="1">
        <f>$AV340*(VLOOKUP($AY340,'Pregnancy costs and utilities'!$A$23:$H$158,7))</f>
        <v>1.6338974159399162E-3</v>
      </c>
      <c r="BH340" s="1">
        <f>$BA340</f>
        <v>7.6093011045373551E-3</v>
      </c>
      <c r="BI340" s="1">
        <f>$AX340*(VLOOKUP($AY340,'Pregnancy costs and utilities'!$A$23:$H$158,5))</f>
        <v>2.661444907573332</v>
      </c>
      <c r="BJ340" s="3">
        <f>SUM(BH340:BI340)</f>
        <v>2.6690542086778692</v>
      </c>
      <c r="BK340" s="3"/>
      <c r="BL340" s="3">
        <f>BC340+BI340</f>
        <v>20.82051073287899</v>
      </c>
      <c r="BN340" s="1" t="str">
        <f>IF(AV340=AX340,"Okay",IF(AV340&gt;AX340,"Lost infant","Gained infant"))</f>
        <v>Okay</v>
      </c>
    </row>
    <row r="341" spans="9:66" x14ac:dyDescent="0.25">
      <c r="I341" s="238"/>
      <c r="N341" s="3"/>
      <c r="O341" s="238"/>
      <c r="P341" s="3"/>
      <c r="Q341" s="3"/>
      <c r="R341" s="3"/>
      <c r="S341" s="3"/>
      <c r="T341" s="3"/>
      <c r="U341" s="238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238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238"/>
      <c r="BJ341" s="3"/>
      <c r="BK341" s="3"/>
      <c r="BL341" s="3"/>
    </row>
    <row r="342" spans="9:66" x14ac:dyDescent="0.25">
      <c r="I342" s="238"/>
      <c r="N342" s="3"/>
      <c r="O342" s="238"/>
      <c r="P342" s="3"/>
      <c r="Q342" s="3"/>
      <c r="R342" s="3"/>
      <c r="S342" s="3"/>
      <c r="T342" s="3"/>
      <c r="U342" s="238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238"/>
      <c r="AH342" s="3"/>
      <c r="AI342" s="3"/>
      <c r="AJ342" s="3"/>
      <c r="AK342" s="3"/>
      <c r="AL342" s="3"/>
      <c r="AM342" s="236" t="s">
        <v>378</v>
      </c>
      <c r="AN342" s="237"/>
      <c r="AO342" s="237"/>
      <c r="AP342" s="237"/>
      <c r="AQ342" s="237"/>
      <c r="AR342" s="371"/>
      <c r="AS342" s="238"/>
      <c r="BJ342" s="3"/>
      <c r="BK342" s="3"/>
      <c r="BL342" s="3"/>
    </row>
    <row r="343" spans="9:66" x14ac:dyDescent="0.25">
      <c r="I343" s="238"/>
      <c r="N343" s="3"/>
      <c r="O343" s="238"/>
      <c r="P343" s="3"/>
      <c r="Q343" s="3"/>
      <c r="R343" s="3"/>
      <c r="S343" s="3"/>
      <c r="T343" s="3"/>
      <c r="U343" s="238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238"/>
      <c r="AH343" s="3"/>
      <c r="AI343" s="3"/>
      <c r="AJ343" s="3"/>
      <c r="AK343" s="3"/>
      <c r="AL343" s="3"/>
      <c r="AM343" s="238" t="s">
        <v>344</v>
      </c>
      <c r="AN343" s="3">
        <f>DET_CS_lbw_fullgest</f>
        <v>4.9034357338086171E-2</v>
      </c>
      <c r="AO343" s="3" t="s">
        <v>345</v>
      </c>
      <c r="AP343" s="3">
        <f>AN343*AJ344</f>
        <v>0.12932523853195399</v>
      </c>
      <c r="AQ343" s="3" t="s">
        <v>346</v>
      </c>
      <c r="AR343" s="370">
        <f>AN343*AL344</f>
        <v>0.12932523853195399</v>
      </c>
      <c r="AS343" s="238" t="s">
        <v>344</v>
      </c>
      <c r="AT343" s="1">
        <f>1-AT340</f>
        <v>0.98064523520486291</v>
      </c>
      <c r="AU343" s="1" t="s">
        <v>345</v>
      </c>
      <c r="AV343" s="1">
        <f>AT343*AP343</f>
        <v>0.12682217895809303</v>
      </c>
      <c r="AW343" s="1" t="s">
        <v>346</v>
      </c>
      <c r="AX343" s="1">
        <f>AT343*AR343</f>
        <v>0.12682217895809303</v>
      </c>
      <c r="AY343" s="1">
        <f>AY340+1</f>
        <v>86</v>
      </c>
      <c r="BA343" s="1">
        <f>det_cost_experimental*AV343</f>
        <v>0.38553942403260283</v>
      </c>
      <c r="BB343" s="1">
        <f>$AV343*(VLOOKUP($AY343,'Pregnancy costs and utilities'!$A$23:$H$158,3))</f>
        <v>919.67737871753127</v>
      </c>
      <c r="BC343" s="1">
        <f>SUM(BA343:BB343)</f>
        <v>920.06291814156384</v>
      </c>
      <c r="BE343" s="1">
        <f>$AV343*(VLOOKUP($AY343,'Pregnancy costs and utilities'!$A$23:$I$158,9))</f>
        <v>9.5116634218569779E-2</v>
      </c>
      <c r="BF343" s="1">
        <f>$AV343*(VLOOKUP($AY343,'Pregnancy costs and utilities'!$A$23:$H$158,7))</f>
        <v>9.2296121549583165E-2</v>
      </c>
      <c r="BH343" s="1">
        <f>$BA343</f>
        <v>0.38553942403260283</v>
      </c>
      <c r="BI343" s="1">
        <f>$AX343*(VLOOKUP($AY343,'Pregnancy costs and utilities'!$A$23:$H$158,5))</f>
        <v>335.5547100681423</v>
      </c>
      <c r="BJ343" s="3">
        <f>SUM(BH343:BI343)</f>
        <v>335.94024949217493</v>
      </c>
      <c r="BK343" s="3"/>
      <c r="BL343" s="3">
        <f>BC343+BI343</f>
        <v>1255.6176282097063</v>
      </c>
      <c r="BN343" s="1" t="str">
        <f>IF(AV343=AX343,"Okay",IF(AV343&gt;AX343,"Lost infant","Gained infant"))</f>
        <v>Okay</v>
      </c>
    </row>
    <row r="344" spans="9:66" x14ac:dyDescent="0.25">
      <c r="I344" s="238"/>
      <c r="N344" s="3"/>
      <c r="O344" s="238"/>
      <c r="P344" s="3"/>
      <c r="Q344" s="3"/>
      <c r="R344" s="3"/>
      <c r="S344" s="3"/>
      <c r="T344" s="3"/>
      <c r="U344" s="238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238" t="s">
        <v>344</v>
      </c>
      <c r="AH344" s="1">
        <f>1-AH331</f>
        <v>0.99972166088000003</v>
      </c>
      <c r="AI344" s="1" t="s">
        <v>345</v>
      </c>
      <c r="AJ344" s="1">
        <f>AH344*AD336</f>
        <v>2.637441287142229</v>
      </c>
      <c r="AK344" s="1" t="s">
        <v>346</v>
      </c>
      <c r="AL344" s="1">
        <f>AH344*AF336</f>
        <v>2.637441287142229</v>
      </c>
      <c r="AM344" s="238"/>
      <c r="AN344" s="3"/>
      <c r="AO344" s="3"/>
      <c r="AP344" s="3"/>
      <c r="AQ344" s="3"/>
      <c r="AR344" s="3"/>
      <c r="AS344" s="240" t="s">
        <v>381</v>
      </c>
      <c r="AT344" s="235"/>
      <c r="AU344" s="235"/>
      <c r="AV344" s="235"/>
      <c r="AW344" s="235"/>
      <c r="AX344" s="235"/>
      <c r="AY344" s="235"/>
      <c r="AZ344" s="235"/>
      <c r="BA344" s="235"/>
      <c r="BB344" s="235"/>
      <c r="BC344" s="235"/>
      <c r="BD344" s="235"/>
      <c r="BE344" s="235"/>
      <c r="BF344" s="235"/>
      <c r="BG344" s="235"/>
      <c r="BH344" s="235"/>
      <c r="BI344" s="235"/>
      <c r="BJ344" s="235"/>
      <c r="BK344" s="235"/>
      <c r="BL344" s="235"/>
      <c r="BM344" s="235"/>
      <c r="BN344" s="235"/>
    </row>
    <row r="345" spans="9:66" x14ac:dyDescent="0.25">
      <c r="I345" s="238"/>
      <c r="N345" s="3"/>
      <c r="O345" s="238"/>
      <c r="P345" s="3"/>
      <c r="Q345" s="3"/>
      <c r="R345" s="3"/>
      <c r="S345" s="3"/>
      <c r="T345" s="3"/>
      <c r="U345" s="238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240" t="s">
        <v>377</v>
      </c>
      <c r="AH345" s="235"/>
      <c r="AI345" s="235"/>
      <c r="AJ345" s="235"/>
      <c r="AK345" s="235"/>
      <c r="AL345" s="239"/>
      <c r="AM345" s="238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</row>
    <row r="346" spans="9:66" x14ac:dyDescent="0.25">
      <c r="I346" s="238" t="s">
        <v>344</v>
      </c>
      <c r="J346" s="1">
        <f>1-J77</f>
        <v>0.94799999999999995</v>
      </c>
      <c r="K346" s="1" t="s">
        <v>345</v>
      </c>
      <c r="L346" s="1">
        <f>$J346*$C$263</f>
        <v>948</v>
      </c>
      <c r="M346" s="1" t="s">
        <v>346</v>
      </c>
      <c r="N346" s="1">
        <f>$J346*$C$264</f>
        <v>948</v>
      </c>
      <c r="O346" s="238"/>
      <c r="P346" s="3"/>
      <c r="Q346" s="3"/>
      <c r="R346" s="3"/>
      <c r="S346" s="3"/>
      <c r="T346" s="3"/>
      <c r="U346" s="238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238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</row>
    <row r="347" spans="9:66" x14ac:dyDescent="0.25">
      <c r="I347" s="240" t="s">
        <v>391</v>
      </c>
      <c r="J347" s="235"/>
      <c r="K347" s="235"/>
      <c r="L347" s="235"/>
      <c r="M347" s="235"/>
      <c r="N347" s="235"/>
      <c r="O347" s="238"/>
      <c r="P347" s="3"/>
      <c r="Q347" s="3"/>
      <c r="R347" s="3"/>
      <c r="S347" s="3"/>
      <c r="T347" s="3"/>
      <c r="U347" s="238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238"/>
      <c r="AN347" s="3"/>
      <c r="AO347" s="3"/>
      <c r="AP347" s="3"/>
      <c r="AQ347" s="3"/>
      <c r="AR347" s="3"/>
      <c r="AS347" s="236" t="s">
        <v>382</v>
      </c>
      <c r="AT347" s="237"/>
      <c r="AU347" s="237"/>
      <c r="AV347" s="237"/>
      <c r="AW347" s="237"/>
      <c r="AX347" s="3"/>
      <c r="BJ347" s="237"/>
      <c r="BK347" s="237"/>
      <c r="BL347" s="237"/>
      <c r="BM347" s="237"/>
      <c r="BN347" s="237"/>
    </row>
    <row r="348" spans="9:66" x14ac:dyDescent="0.25">
      <c r="I348" s="237"/>
      <c r="N348" s="3"/>
      <c r="O348" s="238"/>
      <c r="P348" s="3"/>
      <c r="Q348" s="3"/>
      <c r="R348" s="3"/>
      <c r="S348" s="3"/>
      <c r="T348" s="3"/>
      <c r="U348" s="238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238" t="s">
        <v>344</v>
      </c>
      <c r="AN348" s="1">
        <f>1-AN343</f>
        <v>0.95096564266191386</v>
      </c>
      <c r="AO348" s="1" t="s">
        <v>345</v>
      </c>
      <c r="AP348" s="1">
        <f>AN348*AJ344</f>
        <v>2.5081160486102752</v>
      </c>
      <c r="AQ348" s="1" t="s">
        <v>346</v>
      </c>
      <c r="AR348" s="1">
        <f>AN348*AL344</f>
        <v>2.5081160486102752</v>
      </c>
      <c r="AS348" s="238" t="s">
        <v>344</v>
      </c>
      <c r="AT348" s="1">
        <f>DET_CS_stillbirth_nbw_fullgest</f>
        <v>2.0298526728661924E-3</v>
      </c>
      <c r="AU348" s="1" t="s">
        <v>345</v>
      </c>
      <c r="AV348" s="1">
        <f>AT348*AP348</f>
        <v>5.0911060651301597E-3</v>
      </c>
      <c r="AW348" s="1" t="s">
        <v>346</v>
      </c>
      <c r="AX348" s="1">
        <f>AT348*AR348</f>
        <v>5.0911060651301597E-3</v>
      </c>
      <c r="AY348" s="1">
        <f>AY343+1</f>
        <v>87</v>
      </c>
      <c r="BA348" s="1">
        <f>det_cost_experimental*AV348</f>
        <v>1.5476962437995685E-2</v>
      </c>
      <c r="BB348" s="1">
        <f>$AV348*(VLOOKUP($AY348,'Pregnancy costs and utilities'!$A$23:$H$158,3))</f>
        <v>36.919213336485903</v>
      </c>
      <c r="BC348" s="1">
        <f>SUM(BA348:BB348)</f>
        <v>36.934690298923897</v>
      </c>
      <c r="BE348" s="1">
        <f>$AV348*(VLOOKUP($AY348,'Pregnancy costs and utilities'!$A$23:$I$158,9))</f>
        <v>3.8183295488476198E-3</v>
      </c>
      <c r="BF348" s="1">
        <f>$AV348*(VLOOKUP($AY348,'Pregnancy costs and utilities'!$A$23:$H$158,7))</f>
        <v>6.3587409303027939E-5</v>
      </c>
      <c r="BH348" s="1">
        <f>$BA348</f>
        <v>1.5476962437995685E-2</v>
      </c>
      <c r="BI348" s="1">
        <f>$AX348*(VLOOKUP($AY348,'Pregnancy costs and utilities'!$A$23:$H$158,5))</f>
        <v>5.4132544236875448</v>
      </c>
      <c r="BJ348" s="3">
        <f>SUM(BH348:BI348)</f>
        <v>5.4287313861255404</v>
      </c>
      <c r="BK348" s="3"/>
      <c r="BL348" s="3">
        <f>BC348+BI348</f>
        <v>42.347944722611444</v>
      </c>
      <c r="BN348" s="1" t="str">
        <f>IF(AV348=AX348,"Okay",IF(AV348&gt;AX348,"Lost infant","Gained infant"))</f>
        <v>Okay</v>
      </c>
    </row>
    <row r="349" spans="9:66" x14ac:dyDescent="0.25">
      <c r="I349" s="3"/>
      <c r="N349" s="3"/>
      <c r="O349" s="238"/>
      <c r="P349" s="3"/>
      <c r="Q349" s="3"/>
      <c r="R349" s="3"/>
      <c r="S349" s="3"/>
      <c r="T349" s="3"/>
      <c r="U349" s="238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240" t="s">
        <v>379</v>
      </c>
      <c r="AN349" s="235"/>
      <c r="AO349" s="235"/>
      <c r="AP349" s="235"/>
      <c r="AQ349" s="235"/>
      <c r="AR349" s="239"/>
      <c r="AS349" s="238"/>
      <c r="BJ349" s="3"/>
      <c r="BK349" s="3"/>
      <c r="BL349" s="3"/>
    </row>
    <row r="350" spans="9:66" x14ac:dyDescent="0.25">
      <c r="I350" s="3"/>
      <c r="N350" s="3"/>
      <c r="O350" s="238"/>
      <c r="P350" s="3"/>
      <c r="Q350" s="3"/>
      <c r="R350" s="3"/>
      <c r="S350" s="3"/>
      <c r="T350" s="3"/>
      <c r="U350" s="238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238"/>
      <c r="BJ350" s="3"/>
      <c r="BK350" s="3"/>
      <c r="BL350" s="3"/>
    </row>
    <row r="351" spans="9:66" x14ac:dyDescent="0.25">
      <c r="I351" s="3"/>
      <c r="N351" s="3"/>
      <c r="O351" s="238"/>
      <c r="P351" s="3"/>
      <c r="Q351" s="3"/>
      <c r="R351" s="3"/>
      <c r="S351" s="3"/>
      <c r="T351" s="3"/>
      <c r="U351" s="238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238" t="s">
        <v>344</v>
      </c>
      <c r="AT351" s="1">
        <f>1-AT348</f>
        <v>0.99797014732713385</v>
      </c>
      <c r="AU351" s="1" t="s">
        <v>345</v>
      </c>
      <c r="AV351" s="1">
        <f>AT351*AP348</f>
        <v>2.503024942545145</v>
      </c>
      <c r="AW351" s="1" t="s">
        <v>346</v>
      </c>
      <c r="AX351" s="1">
        <f>AT351*AR348</f>
        <v>2.503024942545145</v>
      </c>
      <c r="AY351" s="1">
        <f>AY348+1</f>
        <v>88</v>
      </c>
      <c r="BA351" s="1">
        <f>det_cost_experimental*AV351</f>
        <v>7.6091958253372409</v>
      </c>
      <c r="BB351" s="1">
        <f>$AV351*(VLOOKUP($AY351,'Pregnancy costs and utilities'!$A$23:$H$158,3))</f>
        <v>18151.205388019553</v>
      </c>
      <c r="BC351" s="1">
        <f>SUM(BA351:BB351)</f>
        <v>18158.814583844891</v>
      </c>
      <c r="BE351" s="1">
        <f>$AV351*(VLOOKUP($AY351,'Pregnancy costs and utilities'!$A$23:$I$158,9))</f>
        <v>1.8772687069088587</v>
      </c>
      <c r="BF351" s="1">
        <f>$AV351*(VLOOKUP($AY351,'Pregnancy costs and utilities'!$A$23:$H$158,7))</f>
        <v>1.8216016806896445</v>
      </c>
      <c r="BH351" s="1">
        <f>$BA351</f>
        <v>7.6091958253372409</v>
      </c>
      <c r="BI351" s="1">
        <f>$AX351*(VLOOKUP($AY351,'Pregnancy costs and utilities'!$A$23:$H$158,5))</f>
        <v>6622.6729093386793</v>
      </c>
      <c r="BJ351" s="3">
        <f>SUM(BH351:BI351)</f>
        <v>6630.2821051640167</v>
      </c>
      <c r="BK351" s="3"/>
      <c r="BL351" s="3">
        <f>BC351+BI351</f>
        <v>24781.487493183569</v>
      </c>
      <c r="BN351" s="1" t="str">
        <f>IF(AV351=AX351,"Okay",IF(AV351&gt;AX351,"Lost infant","Gained infant"))</f>
        <v>Okay</v>
      </c>
    </row>
    <row r="352" spans="9:66" x14ac:dyDescent="0.25">
      <c r="I352" s="3"/>
      <c r="N352" s="3"/>
      <c r="O352" s="238"/>
      <c r="P352" s="3"/>
      <c r="Q352" s="3"/>
      <c r="R352" s="3"/>
      <c r="S352" s="3"/>
      <c r="T352" s="3"/>
      <c r="U352" s="238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240" t="s">
        <v>383</v>
      </c>
      <c r="AT352" s="235"/>
      <c r="AU352" s="235"/>
      <c r="AV352" s="235"/>
      <c r="AW352" s="235"/>
      <c r="AX352" s="235"/>
      <c r="AY352" s="235"/>
      <c r="AZ352" s="235"/>
      <c r="BA352" s="235"/>
      <c r="BB352" s="235"/>
      <c r="BC352" s="235"/>
      <c r="BD352" s="235"/>
      <c r="BE352" s="235"/>
      <c r="BF352" s="235"/>
      <c r="BG352" s="235"/>
      <c r="BH352" s="235"/>
      <c r="BI352" s="235"/>
      <c r="BJ352" s="235"/>
      <c r="BK352" s="235"/>
      <c r="BL352" s="235"/>
      <c r="BM352" s="235"/>
      <c r="BN352" s="235"/>
    </row>
    <row r="353" spans="9:66" x14ac:dyDescent="0.25">
      <c r="I353" s="3"/>
      <c r="N353" s="3"/>
      <c r="O353" s="238"/>
      <c r="P353" s="3"/>
      <c r="Q353" s="3"/>
      <c r="R353" s="3"/>
      <c r="S353" s="3"/>
      <c r="T353" s="3"/>
      <c r="U353" s="238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</row>
    <row r="354" spans="9:66" x14ac:dyDescent="0.25">
      <c r="I354" s="3"/>
      <c r="N354" s="3"/>
      <c r="O354" s="238"/>
      <c r="P354" s="3"/>
      <c r="Q354" s="3"/>
      <c r="R354" s="3"/>
      <c r="S354" s="3"/>
      <c r="T354" s="3"/>
      <c r="U354" s="238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</row>
    <row r="355" spans="9:66" x14ac:dyDescent="0.25">
      <c r="I355" s="3"/>
      <c r="N355" s="3"/>
      <c r="O355" s="238"/>
      <c r="P355" s="3"/>
      <c r="Q355" s="3"/>
      <c r="R355" s="3"/>
      <c r="S355" s="3"/>
      <c r="T355" s="3"/>
      <c r="U355" s="238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236" t="s">
        <v>461</v>
      </c>
      <c r="AT355" s="237"/>
      <c r="AU355" s="237"/>
      <c r="AV355" s="237"/>
      <c r="AW355" s="237"/>
      <c r="AX355" s="3"/>
      <c r="BJ355" s="237"/>
      <c r="BK355" s="237"/>
      <c r="BL355" s="237"/>
      <c r="BM355" s="237"/>
      <c r="BN355" s="237"/>
    </row>
    <row r="356" spans="9:66" x14ac:dyDescent="0.25">
      <c r="I356" s="3"/>
      <c r="N356" s="3"/>
      <c r="O356" s="238"/>
      <c r="P356" s="3"/>
      <c r="Q356" s="3"/>
      <c r="R356" s="3"/>
      <c r="S356" s="3"/>
      <c r="T356" s="3"/>
      <c r="U356" s="238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238" t="s">
        <v>344</v>
      </c>
      <c r="AT356" s="1">
        <f>DET_CS_stillbirth_lbw_premature</f>
        <v>7.6548660672211805E-2</v>
      </c>
      <c r="AU356" s="1" t="s">
        <v>345</v>
      </c>
      <c r="AV356" s="1">
        <f>AT356*AP359</f>
        <v>1.0086865419283726E-5</v>
      </c>
      <c r="AW356" s="1" t="s">
        <v>346</v>
      </c>
      <c r="AX356" s="1">
        <f>AT356*AR359</f>
        <v>1.0086865419283726E-5</v>
      </c>
      <c r="AY356" s="1">
        <f>AY351+1</f>
        <v>89</v>
      </c>
      <c r="BA356" s="1">
        <f>det_cost_experimental*AV356</f>
        <v>3.0664070874622526E-5</v>
      </c>
      <c r="BB356" s="1">
        <f>$AV356*(VLOOKUP($AY356,'Pregnancy costs and utilities'!$A$23:$H$158,3))</f>
        <v>0.10042536648875806</v>
      </c>
      <c r="BC356" s="1">
        <f>SUM(BA356:BB356)</f>
        <v>0.10045603055963269</v>
      </c>
      <c r="BE356" s="1">
        <f>$AV356*(VLOOKUP($AY356,'Pregnancy costs and utilities'!$A$23:$I$158,9))</f>
        <v>0</v>
      </c>
      <c r="BF356" s="1">
        <f>$AV356*(VLOOKUP($AY356,'Pregnancy costs and utilities'!$A$23:$H$158,7))</f>
        <v>0</v>
      </c>
      <c r="BH356" s="1">
        <f>$BA356</f>
        <v>3.0664070874622526E-5</v>
      </c>
      <c r="BI356" s="1">
        <f>$AX356*(VLOOKUP($AY356,'Pregnancy costs and utilities'!$A$23:$H$158,5))</f>
        <v>1.0725128911782468E-2</v>
      </c>
      <c r="BJ356" s="3">
        <f>SUM(BH356:BI356)</f>
        <v>1.075579298265709E-2</v>
      </c>
      <c r="BK356" s="3"/>
      <c r="BL356" s="3">
        <f>BC356+BI356</f>
        <v>0.11118115947141516</v>
      </c>
      <c r="BN356" s="1" t="str">
        <f>IF(AV356=AX356,"Okay",IF(AV356&gt;AX356,"Lost infant","Gained infant"))</f>
        <v>Okay</v>
      </c>
    </row>
    <row r="357" spans="9:66" x14ac:dyDescent="0.25">
      <c r="I357" s="3"/>
      <c r="N357" s="3"/>
      <c r="O357" s="238"/>
      <c r="P357" s="3"/>
      <c r="Q357" s="3"/>
      <c r="R357" s="3"/>
      <c r="S357" s="3"/>
      <c r="T357" s="3"/>
      <c r="U357" s="238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238"/>
      <c r="BJ357" s="3"/>
      <c r="BK357" s="3"/>
      <c r="BL357" s="3"/>
    </row>
    <row r="358" spans="9:66" x14ac:dyDescent="0.25">
      <c r="I358" s="3"/>
      <c r="N358" s="3"/>
      <c r="O358" s="238"/>
      <c r="P358" s="3"/>
      <c r="Q358" s="3"/>
      <c r="R358" s="3"/>
      <c r="S358" s="3"/>
      <c r="T358" s="3"/>
      <c r="U358" s="238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236" t="s">
        <v>457</v>
      </c>
      <c r="AN358" s="237"/>
      <c r="AO358" s="237"/>
      <c r="AP358" s="237"/>
      <c r="AQ358" s="237"/>
      <c r="AR358" s="371"/>
      <c r="AS358" s="238"/>
      <c r="BJ358" s="3"/>
      <c r="BK358" s="3"/>
      <c r="BL358" s="3"/>
    </row>
    <row r="359" spans="9:66" x14ac:dyDescent="0.25">
      <c r="I359" s="3"/>
      <c r="N359" s="3"/>
      <c r="O359" s="238"/>
      <c r="P359" s="3"/>
      <c r="Q359" s="3"/>
      <c r="R359" s="3"/>
      <c r="S359" s="3"/>
      <c r="T359" s="3"/>
      <c r="U359" s="238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238" t="s">
        <v>344</v>
      </c>
      <c r="AN359" s="3">
        <f>DET_CS_lbw_premature</f>
        <v>1</v>
      </c>
      <c r="AO359" s="3" t="s">
        <v>345</v>
      </c>
      <c r="AP359" s="3">
        <f>AN359*AJ363</f>
        <v>1.3177063231029716E-4</v>
      </c>
      <c r="AQ359" s="3" t="s">
        <v>346</v>
      </c>
      <c r="AR359" s="370">
        <f>AN359*AL363</f>
        <v>1.3177063231029716E-4</v>
      </c>
      <c r="AS359" s="238" t="s">
        <v>344</v>
      </c>
      <c r="AT359" s="1">
        <f>1-AT356</f>
        <v>0.92345133932778822</v>
      </c>
      <c r="AU359" s="1" t="s">
        <v>345</v>
      </c>
      <c r="AV359" s="1">
        <f>AT359*AP359</f>
        <v>1.2168376689101344E-4</v>
      </c>
      <c r="AW359" s="1" t="s">
        <v>346</v>
      </c>
      <c r="AX359" s="1">
        <f>AT359*AR359</f>
        <v>1.2168376689101344E-4</v>
      </c>
      <c r="AY359" s="1">
        <f>AY356+1</f>
        <v>90</v>
      </c>
      <c r="BA359" s="1">
        <f>det_cost_experimental*AV359</f>
        <v>3.6991865134868089E-4</v>
      </c>
      <c r="BB359" s="1">
        <f>$AV359*(VLOOKUP($AY359,'Pregnancy costs and utilities'!$A$23:$H$158,3))</f>
        <v>1.2114900296380069</v>
      </c>
      <c r="BC359" s="1">
        <f>SUM(BA359:BB359)</f>
        <v>1.2118599482893555</v>
      </c>
      <c r="BE359" s="1">
        <f>$AV359*(VLOOKUP($AY359,'Pregnancy costs and utilities'!$A$23:$I$158,9))</f>
        <v>0</v>
      </c>
      <c r="BF359" s="1">
        <f>$AV359*(VLOOKUP($AY359,'Pregnancy costs and utilities'!$A$23:$H$158,7))</f>
        <v>0</v>
      </c>
      <c r="BH359" s="1">
        <f>$BA359</f>
        <v>3.6991865134868089E-4</v>
      </c>
      <c r="BI359" s="1">
        <f>$AX359*(VLOOKUP($AY359,'Pregnancy costs and utilities'!$A$23:$H$158,5))</f>
        <v>1.9389759652701402</v>
      </c>
      <c r="BJ359" s="3">
        <f>SUM(BH359:BI359)</f>
        <v>1.9393458839214888</v>
      </c>
      <c r="BK359" s="3"/>
      <c r="BL359" s="3">
        <f>BC359+BI359</f>
        <v>3.1508359135594954</v>
      </c>
      <c r="BN359" s="1" t="str">
        <f>IF(AV359=AX359,"Okay",IF(AV359&gt;AX359,"Lost infant","Gained infant"))</f>
        <v>Okay</v>
      </c>
    </row>
    <row r="360" spans="9:66" x14ac:dyDescent="0.25">
      <c r="I360" s="3"/>
      <c r="N360" s="3"/>
      <c r="O360" s="238"/>
      <c r="P360" s="3"/>
      <c r="Q360" s="3"/>
      <c r="R360" s="3"/>
      <c r="S360" s="3"/>
      <c r="T360" s="3"/>
      <c r="U360" s="238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238"/>
      <c r="AN360" s="3"/>
      <c r="AO360" s="3"/>
      <c r="AP360" s="3"/>
      <c r="AQ360" s="3"/>
      <c r="AR360" s="3"/>
      <c r="AS360" s="240" t="s">
        <v>462</v>
      </c>
      <c r="AT360" s="235"/>
      <c r="AU360" s="235"/>
      <c r="AV360" s="235"/>
      <c r="AW360" s="235"/>
      <c r="AX360" s="235"/>
      <c r="AY360" s="235"/>
      <c r="AZ360" s="235"/>
      <c r="BA360" s="235"/>
      <c r="BB360" s="235"/>
      <c r="BC360" s="235"/>
      <c r="BD360" s="235"/>
      <c r="BE360" s="235"/>
      <c r="BF360" s="235"/>
      <c r="BG360" s="235"/>
      <c r="BH360" s="235"/>
      <c r="BI360" s="235"/>
      <c r="BJ360" s="235"/>
      <c r="BK360" s="235"/>
      <c r="BL360" s="235"/>
      <c r="BM360" s="235"/>
      <c r="BN360" s="235"/>
    </row>
    <row r="361" spans="9:66" x14ac:dyDescent="0.25">
      <c r="I361" s="3"/>
      <c r="N361" s="3"/>
      <c r="O361" s="238"/>
      <c r="P361" s="3"/>
      <c r="Q361" s="3"/>
      <c r="R361" s="3"/>
      <c r="S361" s="3"/>
      <c r="T361" s="3"/>
      <c r="U361" s="238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238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</row>
    <row r="362" spans="9:66" x14ac:dyDescent="0.25">
      <c r="I362" s="3"/>
      <c r="N362" s="3"/>
      <c r="O362" s="238"/>
      <c r="P362" s="3"/>
      <c r="Q362" s="3"/>
      <c r="R362" s="3"/>
      <c r="S362" s="3"/>
      <c r="T362" s="3"/>
      <c r="U362" s="238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236" t="s">
        <v>455</v>
      </c>
      <c r="AH362" s="237"/>
      <c r="AI362" s="237"/>
      <c r="AJ362" s="237"/>
      <c r="AK362" s="237"/>
      <c r="AL362" s="371"/>
      <c r="AM362" s="238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</row>
    <row r="363" spans="9:66" x14ac:dyDescent="0.25">
      <c r="I363" s="3"/>
      <c r="N363" s="3"/>
      <c r="O363" s="238"/>
      <c r="P363" s="3"/>
      <c r="Q363" s="3"/>
      <c r="R363" s="3"/>
      <c r="S363" s="3"/>
      <c r="T363" s="3"/>
      <c r="U363" s="238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238" t="s">
        <v>344</v>
      </c>
      <c r="AH363" s="3">
        <f>DET_MORT_previa</f>
        <v>5.0731599999999045E-5</v>
      </c>
      <c r="AI363" s="3" t="s">
        <v>345</v>
      </c>
      <c r="AJ363" s="3">
        <f>AH363*AD371</f>
        <v>1.3177063231029716E-4</v>
      </c>
      <c r="AK363" s="3" t="s">
        <v>346</v>
      </c>
      <c r="AL363" s="370">
        <f>AH363*AF371</f>
        <v>1.3177063231029716E-4</v>
      </c>
      <c r="AM363" s="238"/>
      <c r="AN363" s="3"/>
      <c r="AO363" s="3"/>
      <c r="AP363" s="3"/>
      <c r="AQ363" s="3"/>
      <c r="AR363" s="3"/>
      <c r="AS363" s="236" t="s">
        <v>463</v>
      </c>
      <c r="AT363" s="237"/>
      <c r="AU363" s="237"/>
      <c r="AV363" s="237"/>
      <c r="AW363" s="237"/>
      <c r="AX363" s="3"/>
      <c r="BJ363" s="237"/>
      <c r="BK363" s="237"/>
      <c r="BL363" s="237"/>
      <c r="BM363" s="237"/>
      <c r="BN363" s="237"/>
    </row>
    <row r="364" spans="9:66" x14ac:dyDescent="0.25">
      <c r="I364" s="3"/>
      <c r="N364" s="3"/>
      <c r="O364" s="238"/>
      <c r="P364" s="3"/>
      <c r="Q364" s="3"/>
      <c r="R364" s="3"/>
      <c r="S364" s="3"/>
      <c r="T364" s="3"/>
      <c r="U364" s="238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238"/>
      <c r="AH364" s="3"/>
      <c r="AI364" s="3"/>
      <c r="AJ364" s="3"/>
      <c r="AK364" s="3"/>
      <c r="AL364" s="3"/>
      <c r="AM364" s="238" t="s">
        <v>344</v>
      </c>
      <c r="AN364" s="1">
        <f>1-AN359</f>
        <v>0</v>
      </c>
      <c r="AO364" s="1" t="s">
        <v>345</v>
      </c>
      <c r="AP364" s="1">
        <f>AN364*AJ363</f>
        <v>0</v>
      </c>
      <c r="AQ364" s="1" t="s">
        <v>346</v>
      </c>
      <c r="AR364" s="1">
        <f>AN364*AL363</f>
        <v>0</v>
      </c>
      <c r="AS364" s="238" t="s">
        <v>344</v>
      </c>
      <c r="AT364" s="1">
        <f>DET_CS_stillbirth_nbw_premature</f>
        <v>9.5923131756814883E-3</v>
      </c>
      <c r="AU364" s="1" t="s">
        <v>345</v>
      </c>
      <c r="AV364" s="1">
        <f>AT364*AP364</f>
        <v>0</v>
      </c>
      <c r="AW364" s="1" t="s">
        <v>346</v>
      </c>
      <c r="AX364" s="1">
        <f>AT364*AR364</f>
        <v>0</v>
      </c>
      <c r="AY364" s="1">
        <f>AY359+1</f>
        <v>91</v>
      </c>
      <c r="BA364" s="1">
        <f>det_cost_experimental*AV364</f>
        <v>0</v>
      </c>
      <c r="BB364" s="1">
        <f>$AV364*(VLOOKUP($AY364,'Pregnancy costs and utilities'!$A$23:$H$158,3))</f>
        <v>0</v>
      </c>
      <c r="BC364" s="1">
        <f>SUM(BA364:BB364)</f>
        <v>0</v>
      </c>
      <c r="BE364" s="1">
        <f>$AV364*(VLOOKUP($AY364,'Pregnancy costs and utilities'!$A$23:$I$158,9))</f>
        <v>0</v>
      </c>
      <c r="BF364" s="1">
        <f>$AV364*(VLOOKUP($AY364,'Pregnancy costs and utilities'!$A$23:$H$158,7))</f>
        <v>0</v>
      </c>
      <c r="BH364" s="1">
        <f>$BA364</f>
        <v>0</v>
      </c>
      <c r="BI364" s="1">
        <f>$AX364*(VLOOKUP($AY364,'Pregnancy costs and utilities'!$A$23:$H$158,5))</f>
        <v>0</v>
      </c>
      <c r="BJ364" s="3">
        <f>SUM(BH364:BI364)</f>
        <v>0</v>
      </c>
      <c r="BK364" s="3"/>
      <c r="BL364" s="3">
        <f>BC364+BI364</f>
        <v>0</v>
      </c>
      <c r="BN364" s="1" t="str">
        <f>IF(AV364=AX364,"Okay",IF(AV364&gt;AX364,"Lost infant","Gained infant"))</f>
        <v>Okay</v>
      </c>
    </row>
    <row r="365" spans="9:66" x14ac:dyDescent="0.25">
      <c r="I365" s="3"/>
      <c r="N365" s="3"/>
      <c r="O365" s="238"/>
      <c r="P365" s="3"/>
      <c r="Q365" s="3"/>
      <c r="R365" s="3"/>
      <c r="S365" s="3"/>
      <c r="T365" s="3"/>
      <c r="U365" s="238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238"/>
      <c r="AH365" s="3"/>
      <c r="AI365" s="3"/>
      <c r="AJ365" s="3"/>
      <c r="AK365" s="3"/>
      <c r="AL365" s="3"/>
      <c r="AM365" s="240" t="s">
        <v>458</v>
      </c>
      <c r="AN365" s="235"/>
      <c r="AO365" s="235"/>
      <c r="AP365" s="235"/>
      <c r="AQ365" s="235"/>
      <c r="AR365" s="239"/>
      <c r="AS365" s="238"/>
      <c r="BJ365" s="3"/>
      <c r="BK365" s="3"/>
      <c r="BL365" s="3"/>
    </row>
    <row r="366" spans="9:66" x14ac:dyDescent="0.25">
      <c r="I366" s="3"/>
      <c r="N366" s="3"/>
      <c r="O366" s="238"/>
      <c r="P366" s="3"/>
      <c r="Q366" s="3"/>
      <c r="R366" s="3"/>
      <c r="S366" s="3"/>
      <c r="T366" s="3"/>
      <c r="U366" s="238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238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238"/>
      <c r="BJ366" s="3"/>
      <c r="BK366" s="3"/>
      <c r="BL366" s="3"/>
    </row>
    <row r="367" spans="9:66" x14ac:dyDescent="0.25">
      <c r="I367" s="3"/>
      <c r="N367" s="3"/>
      <c r="O367" s="238"/>
      <c r="P367" s="3"/>
      <c r="Q367" s="3"/>
      <c r="R367" s="3"/>
      <c r="S367" s="3"/>
      <c r="T367" s="3"/>
      <c r="U367" s="238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238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238" t="s">
        <v>344</v>
      </c>
      <c r="AT367" s="1">
        <f>1-AT364</f>
        <v>0.99040768682431857</v>
      </c>
      <c r="AU367" s="1" t="s">
        <v>345</v>
      </c>
      <c r="AV367" s="1">
        <f>AT367*AP364</f>
        <v>0</v>
      </c>
      <c r="AW367" s="1" t="s">
        <v>346</v>
      </c>
      <c r="AX367" s="1">
        <f>AT367*AR364</f>
        <v>0</v>
      </c>
      <c r="AY367" s="1">
        <f>AY364+1</f>
        <v>92</v>
      </c>
      <c r="BA367" s="1">
        <f>det_cost_experimental*AV367</f>
        <v>0</v>
      </c>
      <c r="BB367" s="1">
        <f>$AV367*(VLOOKUP($AY367,'Pregnancy costs and utilities'!$A$23:$H$158,3))</f>
        <v>0</v>
      </c>
      <c r="BC367" s="1">
        <f>SUM(BA367:BB367)</f>
        <v>0</v>
      </c>
      <c r="BE367" s="1">
        <f>$AV367*(VLOOKUP($AY367,'Pregnancy costs and utilities'!$A$23:$I$158,9))</f>
        <v>0</v>
      </c>
      <c r="BF367" s="1">
        <f>$AV367*(VLOOKUP($AY367,'Pregnancy costs and utilities'!$A$23:$H$158,7))</f>
        <v>0</v>
      </c>
      <c r="BH367" s="1">
        <f>$BA367</f>
        <v>0</v>
      </c>
      <c r="BI367" s="1">
        <f>$AX367*(VLOOKUP($AY367,'Pregnancy costs and utilities'!$A$23:$H$158,5))</f>
        <v>0</v>
      </c>
      <c r="BJ367" s="3">
        <f>SUM(BH367:BI367)</f>
        <v>0</v>
      </c>
      <c r="BK367" s="3"/>
      <c r="BL367" s="3">
        <f>BC367+BI367</f>
        <v>0</v>
      </c>
      <c r="BN367" s="1" t="str">
        <f>IF(AV367=AX367,"Okay",IF(AV367&gt;AX367,"Lost infant","Gained infant"))</f>
        <v>Okay</v>
      </c>
    </row>
    <row r="368" spans="9:66" x14ac:dyDescent="0.25">
      <c r="I368" s="3"/>
      <c r="N368" s="3"/>
      <c r="O368" s="238"/>
      <c r="P368" s="3"/>
      <c r="Q368" s="3"/>
      <c r="R368" s="3"/>
      <c r="S368" s="3"/>
      <c r="T368" s="3"/>
      <c r="U368" s="238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238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240" t="s">
        <v>464</v>
      </c>
      <c r="AT368" s="235"/>
      <c r="AU368" s="235"/>
      <c r="AV368" s="235"/>
      <c r="AW368" s="235"/>
      <c r="AX368" s="235"/>
      <c r="AY368" s="235"/>
      <c r="AZ368" s="235"/>
      <c r="BA368" s="235"/>
      <c r="BB368" s="235"/>
      <c r="BC368" s="235"/>
      <c r="BD368" s="235"/>
      <c r="BE368" s="235"/>
      <c r="BF368" s="235"/>
      <c r="BG368" s="235"/>
      <c r="BH368" s="235"/>
      <c r="BI368" s="235"/>
      <c r="BJ368" s="235"/>
      <c r="BK368" s="235"/>
      <c r="BL368" s="235"/>
      <c r="BM368" s="235"/>
      <c r="BN368" s="235"/>
    </row>
    <row r="369" spans="9:66" x14ac:dyDescent="0.25">
      <c r="I369" s="3"/>
      <c r="N369" s="3"/>
      <c r="O369" s="238"/>
      <c r="P369" s="3"/>
      <c r="Q369" s="3"/>
      <c r="R369" s="3"/>
      <c r="S369" s="3"/>
      <c r="T369" s="3"/>
      <c r="U369" s="238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238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</row>
    <row r="370" spans="9:66" x14ac:dyDescent="0.25">
      <c r="I370" s="3"/>
      <c r="N370" s="3"/>
      <c r="O370" s="238"/>
      <c r="P370" s="3"/>
      <c r="Q370" s="3"/>
      <c r="R370" s="3"/>
      <c r="S370" s="3"/>
      <c r="T370" s="3"/>
      <c r="U370" s="238"/>
      <c r="V370" s="3"/>
      <c r="W370" s="3"/>
      <c r="X370" s="3"/>
      <c r="Y370" s="3"/>
      <c r="Z370" s="3"/>
      <c r="AA370" s="236" t="s">
        <v>453</v>
      </c>
      <c r="AB370" s="237"/>
      <c r="AC370" s="237"/>
      <c r="AD370" s="237"/>
      <c r="AE370" s="237"/>
      <c r="AF370" s="371"/>
      <c r="AG370" s="238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</row>
    <row r="371" spans="9:66" x14ac:dyDescent="0.25">
      <c r="I371" s="3"/>
      <c r="N371" s="3"/>
      <c r="O371" s="238"/>
      <c r="P371" s="3"/>
      <c r="Q371" s="3"/>
      <c r="R371" s="3"/>
      <c r="S371" s="3"/>
      <c r="T371" s="3"/>
      <c r="U371" s="238"/>
      <c r="V371" s="3"/>
      <c r="W371" s="3"/>
      <c r="X371" s="3"/>
      <c r="Y371" s="3"/>
      <c r="Z371" s="3"/>
      <c r="AA371" s="238" t="s">
        <v>344</v>
      </c>
      <c r="AB371" s="3">
        <f>DET_CS_premature_previa</f>
        <v>0.31629499566076963</v>
      </c>
      <c r="AC371" s="3" t="s">
        <v>345</v>
      </c>
      <c r="AD371" s="3">
        <f>AB371*X387</f>
        <v>2.5974073814013288</v>
      </c>
      <c r="AE371" s="3" t="s">
        <v>346</v>
      </c>
      <c r="AF371" s="370">
        <f>AB371*Z387</f>
        <v>2.5974073814013288</v>
      </c>
      <c r="AG371" s="238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236" t="s">
        <v>465</v>
      </c>
      <c r="AT371" s="237"/>
      <c r="AU371" s="237"/>
      <c r="AV371" s="237"/>
      <c r="AW371" s="237"/>
      <c r="AX371" s="3"/>
      <c r="BJ371" s="237"/>
      <c r="BK371" s="237"/>
      <c r="BL371" s="237"/>
      <c r="BM371" s="237"/>
      <c r="BN371" s="237"/>
    </row>
    <row r="372" spans="9:66" x14ac:dyDescent="0.25">
      <c r="I372" s="3"/>
      <c r="O372" s="238"/>
      <c r="P372" s="3"/>
      <c r="U372" s="238"/>
      <c r="AA372" s="238"/>
      <c r="AB372" s="3"/>
      <c r="AC372" s="3"/>
      <c r="AD372" s="3"/>
      <c r="AE372" s="3"/>
      <c r="AF372" s="3"/>
      <c r="AG372" s="238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238" t="s">
        <v>344</v>
      </c>
      <c r="AT372" s="1">
        <f>DET_CS_stillbirth_lbw_premature</f>
        <v>7.6548660672211805E-2</v>
      </c>
      <c r="AU372" s="1" t="s">
        <v>345</v>
      </c>
      <c r="AV372" s="1">
        <f>AT372*AP375</f>
        <v>0.19881796940096924</v>
      </c>
      <c r="AW372" s="1" t="s">
        <v>346</v>
      </c>
      <c r="AX372" s="1">
        <f>AT372*AR375</f>
        <v>0.19881796940096924</v>
      </c>
      <c r="AY372" s="1">
        <f>AY367+1</f>
        <v>93</v>
      </c>
      <c r="BA372" s="1">
        <f>det_cost_experimental*AV372</f>
        <v>0.60440662697894654</v>
      </c>
      <c r="BB372" s="1">
        <f>$AV372*(VLOOKUP($AY372,'Pregnancy costs and utilities'!$A$23:$H$158,3))</f>
        <v>1655.1741285246983</v>
      </c>
      <c r="BC372" s="1">
        <f>SUM(BA372:BB372)</f>
        <v>1655.7785351516773</v>
      </c>
      <c r="BE372" s="1">
        <f>$AV372*(VLOOKUP($AY372,'Pregnancy costs and utilities'!$A$23:$I$158,9))</f>
        <v>0.12617294211984587</v>
      </c>
      <c r="BF372" s="1">
        <f>$AV372*(VLOOKUP($AY372,'Pregnancy costs and utilities'!$A$23:$H$158,7))</f>
        <v>0.10981421629964672</v>
      </c>
      <c r="BH372" s="1">
        <f>$BA372</f>
        <v>0.60440662697894654</v>
      </c>
      <c r="BI372" s="1">
        <f>$AX372*(VLOOKUP($AY372,'Pregnancy costs and utilities'!$A$23:$H$158,5))</f>
        <v>211.39851313250063</v>
      </c>
      <c r="BJ372" s="3">
        <f>SUM(BH372:BI372)</f>
        <v>212.00291975947957</v>
      </c>
      <c r="BK372" s="3"/>
      <c r="BL372" s="3">
        <f>BC372+BI372</f>
        <v>1867.177048284178</v>
      </c>
      <c r="BN372" s="1" t="str">
        <f>IF(AV372=AX372,"Okay",IF(AV372&gt;AX372,"Lost infant","Gained infant"))</f>
        <v>Okay</v>
      </c>
    </row>
    <row r="373" spans="9:66" x14ac:dyDescent="0.25">
      <c r="I373" s="3"/>
      <c r="O373" s="238"/>
      <c r="P373" s="3"/>
      <c r="U373" s="238"/>
      <c r="AA373" s="238"/>
      <c r="AB373" s="3"/>
      <c r="AC373" s="3"/>
      <c r="AD373" s="3"/>
      <c r="AE373" s="3"/>
      <c r="AF373" s="3"/>
      <c r="AG373" s="238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238"/>
      <c r="BJ373" s="3"/>
      <c r="BK373" s="3"/>
      <c r="BL373" s="3"/>
    </row>
    <row r="374" spans="9:66" x14ac:dyDescent="0.25">
      <c r="I374" s="3"/>
      <c r="O374" s="238"/>
      <c r="P374" s="3"/>
      <c r="U374" s="238"/>
      <c r="AA374" s="238"/>
      <c r="AB374" s="3"/>
      <c r="AC374" s="3"/>
      <c r="AD374" s="3"/>
      <c r="AE374" s="3"/>
      <c r="AF374" s="3"/>
      <c r="AG374" s="238"/>
      <c r="AH374" s="3"/>
      <c r="AI374" s="3"/>
      <c r="AJ374" s="3"/>
      <c r="AK374" s="3"/>
      <c r="AL374" s="3"/>
      <c r="AM374" s="236" t="s">
        <v>459</v>
      </c>
      <c r="AN374" s="237"/>
      <c r="AO374" s="237"/>
      <c r="AP374" s="237"/>
      <c r="AQ374" s="237"/>
      <c r="AR374" s="371"/>
      <c r="AS374" s="238"/>
      <c r="BJ374" s="3"/>
      <c r="BK374" s="3"/>
      <c r="BL374" s="3"/>
    </row>
    <row r="375" spans="9:66" x14ac:dyDescent="0.25">
      <c r="I375" s="3"/>
      <c r="O375" s="238"/>
      <c r="P375" s="3"/>
      <c r="U375" s="238"/>
      <c r="AA375" s="238"/>
      <c r="AB375" s="3"/>
      <c r="AC375" s="3"/>
      <c r="AD375" s="3"/>
      <c r="AE375" s="3"/>
      <c r="AF375" s="3"/>
      <c r="AG375" s="238"/>
      <c r="AH375" s="3"/>
      <c r="AI375" s="3"/>
      <c r="AJ375" s="3"/>
      <c r="AK375" s="3"/>
      <c r="AL375" s="3"/>
      <c r="AM375" s="238" t="s">
        <v>344</v>
      </c>
      <c r="AN375" s="3">
        <f>DET_CS_lbw_premature</f>
        <v>1</v>
      </c>
      <c r="AO375" s="3" t="s">
        <v>345</v>
      </c>
      <c r="AP375" s="3">
        <f>AN375*AJ376</f>
        <v>2.5972756107690183</v>
      </c>
      <c r="AQ375" s="3" t="s">
        <v>346</v>
      </c>
      <c r="AR375" s="370">
        <f>AN375*AL376</f>
        <v>2.5972756107690183</v>
      </c>
      <c r="AS375" s="238" t="s">
        <v>344</v>
      </c>
      <c r="AT375" s="1">
        <f>1-AT372</f>
        <v>0.92345133932778822</v>
      </c>
      <c r="AU375" s="1" t="s">
        <v>345</v>
      </c>
      <c r="AV375" s="1">
        <f>AT375*AP375</f>
        <v>2.398457641368049</v>
      </c>
      <c r="AW375" s="1" t="s">
        <v>346</v>
      </c>
      <c r="AX375" s="1">
        <f>AT375*AR375</f>
        <v>2.398457641368049</v>
      </c>
      <c r="AY375" s="1">
        <f>AY372+1</f>
        <v>94</v>
      </c>
      <c r="BA375" s="1">
        <f>det_cost_experimental*AV375</f>
        <v>7.2913112297588691</v>
      </c>
      <c r="BB375" s="1">
        <f>$AV375*(VLOOKUP($AY375,'Pregnancy costs and utilities'!$A$23:$H$158,3))</f>
        <v>19967.33518763828</v>
      </c>
      <c r="BC375" s="1">
        <f>SUM(BA375:BB375)</f>
        <v>19974.626498868038</v>
      </c>
      <c r="BE375" s="1">
        <f>$AV375*(VLOOKUP($AY375,'Pregnancy costs and utilities'!$A$23:$I$158,9))</f>
        <v>1.5220981185604925</v>
      </c>
      <c r="BF375" s="1">
        <f>$AV375*(VLOOKUP($AY375,'Pregnancy costs and utilities'!$A$23:$H$158,7))</f>
        <v>1.4769630371721481</v>
      </c>
      <c r="BH375" s="1">
        <f>$BA375</f>
        <v>7.2913112297588691</v>
      </c>
      <c r="BI375" s="1">
        <f>$AX375*(VLOOKUP($AY375,'Pregnancy costs and utilities'!$A$23:$H$158,5))</f>
        <v>38218.341190049134</v>
      </c>
      <c r="BJ375" s="3">
        <f>SUM(BH375:BI375)</f>
        <v>38225.632501278895</v>
      </c>
      <c r="BK375" s="3"/>
      <c r="BL375" s="3">
        <f>BC375+BI375</f>
        <v>58192.967688917168</v>
      </c>
      <c r="BN375" s="1" t="str">
        <f>IF(AV375=AX375,"Okay",IF(AV375&gt;AX375,"Lost infant","Gained infant"))</f>
        <v>Okay</v>
      </c>
    </row>
    <row r="376" spans="9:66" x14ac:dyDescent="0.25">
      <c r="I376" s="3"/>
      <c r="O376" s="238"/>
      <c r="P376" s="3"/>
      <c r="U376" s="238"/>
      <c r="AA376" s="238"/>
      <c r="AB376" s="3"/>
      <c r="AC376" s="3"/>
      <c r="AD376" s="3"/>
      <c r="AE376" s="3"/>
      <c r="AF376" s="3"/>
      <c r="AG376" s="238" t="s">
        <v>344</v>
      </c>
      <c r="AH376" s="1">
        <f>1-AH363</f>
        <v>0.99994926839999998</v>
      </c>
      <c r="AI376" s="1" t="s">
        <v>345</v>
      </c>
      <c r="AJ376" s="1">
        <f>AH376*AD371</f>
        <v>2.5972756107690183</v>
      </c>
      <c r="AK376" s="1" t="s">
        <v>346</v>
      </c>
      <c r="AL376" s="1">
        <f>AH376*AF371</f>
        <v>2.5972756107690183</v>
      </c>
      <c r="AM376" s="238"/>
      <c r="AN376" s="3"/>
      <c r="AO376" s="3"/>
      <c r="AP376" s="3"/>
      <c r="AQ376" s="3"/>
      <c r="AR376" s="3"/>
      <c r="AS376" s="240" t="s">
        <v>466</v>
      </c>
      <c r="AT376" s="235"/>
      <c r="AU376" s="235"/>
      <c r="AV376" s="235"/>
      <c r="AW376" s="235"/>
      <c r="AX376" s="235"/>
      <c r="AY376" s="235"/>
      <c r="AZ376" s="235"/>
      <c r="BA376" s="235"/>
      <c r="BB376" s="235"/>
      <c r="BC376" s="235"/>
      <c r="BD376" s="235"/>
      <c r="BE376" s="235"/>
      <c r="BF376" s="235"/>
      <c r="BG376" s="235"/>
      <c r="BH376" s="235"/>
      <c r="BI376" s="235"/>
      <c r="BJ376" s="235"/>
      <c r="BK376" s="235"/>
      <c r="BL376" s="235"/>
      <c r="BM376" s="235"/>
      <c r="BN376" s="235"/>
    </row>
    <row r="377" spans="9:66" x14ac:dyDescent="0.25">
      <c r="I377" s="3"/>
      <c r="O377" s="238"/>
      <c r="P377" s="3"/>
      <c r="U377" s="238"/>
      <c r="AA377" s="238"/>
      <c r="AB377" s="3"/>
      <c r="AC377" s="3"/>
      <c r="AD377" s="3"/>
      <c r="AE377" s="3"/>
      <c r="AF377" s="3"/>
      <c r="AG377" s="240" t="s">
        <v>456</v>
      </c>
      <c r="AH377" s="235"/>
      <c r="AI377" s="235"/>
      <c r="AJ377" s="235"/>
      <c r="AK377" s="235"/>
      <c r="AL377" s="239"/>
      <c r="AM377" s="238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</row>
    <row r="378" spans="9:66" x14ac:dyDescent="0.25">
      <c r="I378" s="3"/>
      <c r="O378" s="238"/>
      <c r="P378" s="3"/>
      <c r="U378" s="238"/>
      <c r="AA378" s="238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238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</row>
    <row r="379" spans="9:66" x14ac:dyDescent="0.25">
      <c r="I379" s="3"/>
      <c r="O379" s="238"/>
      <c r="P379" s="3"/>
      <c r="U379" s="238"/>
      <c r="AA379" s="238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238"/>
      <c r="AN379" s="3"/>
      <c r="AO379" s="3"/>
      <c r="AP379" s="3"/>
      <c r="AQ379" s="3"/>
      <c r="AR379" s="3"/>
      <c r="AS379" s="236" t="s">
        <v>467</v>
      </c>
      <c r="AT379" s="237"/>
      <c r="AU379" s="237"/>
      <c r="AV379" s="237"/>
      <c r="AW379" s="237"/>
      <c r="AX379" s="3"/>
      <c r="BJ379" s="237"/>
      <c r="BK379" s="237"/>
      <c r="BL379" s="237"/>
      <c r="BM379" s="237"/>
      <c r="BN379" s="237"/>
    </row>
    <row r="380" spans="9:66" x14ac:dyDescent="0.25">
      <c r="I380" s="3"/>
      <c r="O380" s="238"/>
      <c r="P380" s="3"/>
      <c r="U380" s="238"/>
      <c r="AA380" s="238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238" t="s">
        <v>344</v>
      </c>
      <c r="AN380" s="1">
        <f>1-AN375</f>
        <v>0</v>
      </c>
      <c r="AO380" s="1" t="s">
        <v>345</v>
      </c>
      <c r="AP380" s="1">
        <f>AN380*AJ376</f>
        <v>0</v>
      </c>
      <c r="AQ380" s="1" t="s">
        <v>346</v>
      </c>
      <c r="AR380" s="1">
        <f>AN380*AL376</f>
        <v>0</v>
      </c>
      <c r="AS380" s="238" t="s">
        <v>344</v>
      </c>
      <c r="AT380" s="1">
        <f>DET_CS_stillbirth_nbw_premature</f>
        <v>9.5923131756814883E-3</v>
      </c>
      <c r="AU380" s="1" t="s">
        <v>345</v>
      </c>
      <c r="AV380" s="1">
        <f>AT380*AP380</f>
        <v>0</v>
      </c>
      <c r="AW380" s="1" t="s">
        <v>346</v>
      </c>
      <c r="AX380" s="1">
        <f>AT380*AR380</f>
        <v>0</v>
      </c>
      <c r="AY380" s="1">
        <f>AY375+1</f>
        <v>95</v>
      </c>
      <c r="BA380" s="1">
        <f>det_cost_experimental*AV380</f>
        <v>0</v>
      </c>
      <c r="BB380" s="1">
        <f>$AV380*(VLOOKUP($AY380,'Pregnancy costs and utilities'!$A$23:$H$158,3))</f>
        <v>0</v>
      </c>
      <c r="BC380" s="1">
        <f>SUM(BA380:BB380)</f>
        <v>0</v>
      </c>
      <c r="BE380" s="1">
        <f>$AV380*(VLOOKUP($AY380,'Pregnancy costs and utilities'!$A$23:$I$158,9))</f>
        <v>0</v>
      </c>
      <c r="BF380" s="1">
        <f>$AV380*(VLOOKUP($AY380,'Pregnancy costs and utilities'!$A$23:$H$158,7))</f>
        <v>0</v>
      </c>
      <c r="BH380" s="1">
        <f>$BA380</f>
        <v>0</v>
      </c>
      <c r="BI380" s="1">
        <f>$AX380*(VLOOKUP($AY380,'Pregnancy costs and utilities'!$A$23:$H$158,5))</f>
        <v>0</v>
      </c>
      <c r="BJ380" s="3">
        <f>SUM(BH380:BI380)</f>
        <v>0</v>
      </c>
      <c r="BK380" s="3"/>
      <c r="BL380" s="3">
        <f>BC380+BI380</f>
        <v>0</v>
      </c>
      <c r="BN380" s="1" t="str">
        <f>IF(AV380=AX380,"Okay",IF(AV380&gt;AX380,"Lost infant","Gained infant"))</f>
        <v>Okay</v>
      </c>
    </row>
    <row r="381" spans="9:66" x14ac:dyDescent="0.25">
      <c r="I381" s="3"/>
      <c r="O381" s="238"/>
      <c r="P381" s="3"/>
      <c r="U381" s="238"/>
      <c r="AA381" s="238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240" t="s">
        <v>460</v>
      </c>
      <c r="AN381" s="235"/>
      <c r="AO381" s="235"/>
      <c r="AP381" s="235"/>
      <c r="AQ381" s="235"/>
      <c r="AR381" s="239"/>
      <c r="AS381" s="238"/>
      <c r="BJ381" s="3"/>
      <c r="BK381" s="3"/>
      <c r="BL381" s="3"/>
    </row>
    <row r="382" spans="9:66" x14ac:dyDescent="0.25">
      <c r="I382" s="3"/>
      <c r="O382" s="238"/>
      <c r="P382" s="3"/>
      <c r="U382" s="238"/>
      <c r="AA382" s="238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238"/>
      <c r="BJ382" s="3"/>
      <c r="BK382" s="3"/>
      <c r="BL382" s="3"/>
    </row>
    <row r="383" spans="9:66" x14ac:dyDescent="0.25">
      <c r="I383" s="3"/>
      <c r="O383" s="238"/>
      <c r="P383" s="3"/>
      <c r="U383" s="238"/>
      <c r="AA383" s="238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238" t="s">
        <v>344</v>
      </c>
      <c r="AT383" s="1">
        <f>1-AT380</f>
        <v>0.99040768682431857</v>
      </c>
      <c r="AU383" s="1" t="s">
        <v>345</v>
      </c>
      <c r="AV383" s="1">
        <f>AT383*AP380</f>
        <v>0</v>
      </c>
      <c r="AW383" s="1" t="s">
        <v>346</v>
      </c>
      <c r="AX383" s="1">
        <f>AT383*AR380</f>
        <v>0</v>
      </c>
      <c r="AY383" s="1">
        <f>AY380+1</f>
        <v>96</v>
      </c>
      <c r="BA383" s="1">
        <f>det_cost_experimental*AV383</f>
        <v>0</v>
      </c>
      <c r="BB383" s="1">
        <f>$AV383*(VLOOKUP($AY383,'Pregnancy costs and utilities'!$A$23:$H$158,3))</f>
        <v>0</v>
      </c>
      <c r="BC383" s="1">
        <f>SUM(BA383:BB383)</f>
        <v>0</v>
      </c>
      <c r="BE383" s="1">
        <f>$AV383*(VLOOKUP($AY383,'Pregnancy costs and utilities'!$A$23:$I$158,9))</f>
        <v>0</v>
      </c>
      <c r="BF383" s="1">
        <f>$AV383*(VLOOKUP($AY383,'Pregnancy costs and utilities'!$A$23:$H$158,7))</f>
        <v>0</v>
      </c>
      <c r="BH383" s="1">
        <f>$BA383</f>
        <v>0</v>
      </c>
      <c r="BI383" s="1">
        <f>$AX383*(VLOOKUP($AY383,'Pregnancy costs and utilities'!$A$23:$H$158,5))</f>
        <v>0</v>
      </c>
      <c r="BJ383" s="3">
        <f>SUM(BH383:BI383)</f>
        <v>0</v>
      </c>
      <c r="BK383" s="3"/>
      <c r="BL383" s="3">
        <f>BC383+BI383</f>
        <v>0</v>
      </c>
      <c r="BN383" s="1" t="str">
        <f>IF(AV383=AX383,"Okay",IF(AV383&gt;AX383,"Lost infant","Gained infant"))</f>
        <v>Okay</v>
      </c>
    </row>
    <row r="384" spans="9:66" x14ac:dyDescent="0.25">
      <c r="I384" s="3"/>
      <c r="O384" s="238"/>
      <c r="P384" s="3"/>
      <c r="U384" s="238"/>
      <c r="AA384" s="238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240" t="s">
        <v>468</v>
      </c>
      <c r="AT384" s="235"/>
      <c r="AU384" s="235"/>
      <c r="AV384" s="235"/>
      <c r="AW384" s="235"/>
      <c r="AX384" s="235"/>
      <c r="AY384" s="235"/>
      <c r="AZ384" s="235"/>
      <c r="BA384" s="235"/>
      <c r="BB384" s="235"/>
      <c r="BC384" s="235"/>
      <c r="BD384" s="235"/>
      <c r="BE384" s="235"/>
      <c r="BF384" s="235"/>
      <c r="BG384" s="235"/>
      <c r="BH384" s="235"/>
      <c r="BI384" s="235"/>
      <c r="BJ384" s="235"/>
      <c r="BK384" s="235"/>
      <c r="BL384" s="235"/>
      <c r="BM384" s="235"/>
      <c r="BN384" s="235"/>
    </row>
    <row r="385" spans="9:66" x14ac:dyDescent="0.25">
      <c r="I385" s="3"/>
      <c r="O385" s="238"/>
      <c r="P385" s="3"/>
      <c r="U385" s="238"/>
      <c r="V385" s="3"/>
      <c r="W385" s="3"/>
      <c r="X385" s="3"/>
      <c r="Y385" s="3"/>
      <c r="Z385" s="3"/>
      <c r="AA385" s="238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</row>
    <row r="386" spans="9:66" x14ac:dyDescent="0.25">
      <c r="I386" s="3"/>
      <c r="O386" s="238"/>
      <c r="P386" s="3"/>
      <c r="U386" s="236" t="s">
        <v>385</v>
      </c>
      <c r="V386" s="237"/>
      <c r="W386" s="237"/>
      <c r="X386" s="237"/>
      <c r="Y386" s="237"/>
      <c r="Z386" s="371"/>
      <c r="AA386" s="238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</row>
    <row r="387" spans="9:66" x14ac:dyDescent="0.25">
      <c r="I387" s="3"/>
      <c r="O387" s="238"/>
      <c r="P387" s="3"/>
      <c r="U387" s="238" t="s">
        <v>344</v>
      </c>
      <c r="V387" s="3">
        <f>DET_CS_previa</f>
        <v>9.6107170094338838E-3</v>
      </c>
      <c r="W387" s="3" t="s">
        <v>345</v>
      </c>
      <c r="X387" s="3">
        <f>V387*R416</f>
        <v>8.2119774799949123</v>
      </c>
      <c r="Y387" s="3" t="s">
        <v>346</v>
      </c>
      <c r="Z387" s="370">
        <f>V387*T416</f>
        <v>8.2119774799949123</v>
      </c>
      <c r="AA387" s="238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236" t="s">
        <v>469</v>
      </c>
      <c r="AT387" s="237"/>
      <c r="AU387" s="237"/>
      <c r="AV387" s="237"/>
      <c r="AW387" s="237"/>
      <c r="AX387" s="237"/>
      <c r="AY387" s="237"/>
      <c r="AZ387" s="237"/>
      <c r="BA387" s="237"/>
      <c r="BB387" s="237"/>
      <c r="BC387" s="237"/>
      <c r="BD387" s="237"/>
      <c r="BE387" s="237"/>
      <c r="BF387" s="237"/>
      <c r="BG387" s="237"/>
      <c r="BH387" s="237"/>
      <c r="BI387" s="237"/>
      <c r="BJ387" s="237"/>
      <c r="BK387" s="237"/>
      <c r="BL387" s="237"/>
      <c r="BM387" s="237"/>
      <c r="BN387" s="237"/>
    </row>
    <row r="388" spans="9:66" x14ac:dyDescent="0.25">
      <c r="I388" s="3"/>
      <c r="O388" s="238"/>
      <c r="P388" s="3"/>
      <c r="U388" s="238"/>
      <c r="V388" s="3"/>
      <c r="W388" s="3"/>
      <c r="X388" s="3"/>
      <c r="Y388" s="3"/>
      <c r="Z388" s="3"/>
      <c r="AA388" s="238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238" t="s">
        <v>344</v>
      </c>
      <c r="AT388" s="3">
        <f>DET_CS_stillbirth_lbw_fullgest</f>
        <v>1.9354764795137105E-2</v>
      </c>
      <c r="AU388" s="3" t="s">
        <v>345</v>
      </c>
      <c r="AV388" s="3">
        <f>AT388*AP391</f>
        <v>2.7032328327882937E-7</v>
      </c>
      <c r="AW388" s="3" t="s">
        <v>346</v>
      </c>
      <c r="AX388" s="3">
        <f>AT388*AR391</f>
        <v>2.7032328327882937E-7</v>
      </c>
      <c r="AY388" s="3">
        <f>AY383+1</f>
        <v>97</v>
      </c>
      <c r="AZ388" s="3"/>
      <c r="BA388" s="1">
        <f>det_cost_experimental*AV388</f>
        <v>8.2178278116764129E-7</v>
      </c>
      <c r="BB388" s="3">
        <f>$AV388*(VLOOKUP($AY388,'Pregnancy costs and utilities'!$A$23:$H$158,3))</f>
        <v>2.3904797627584433E-3</v>
      </c>
      <c r="BC388" s="3">
        <f>SUM(BA388:BB388)</f>
        <v>2.3913015455396111E-3</v>
      </c>
      <c r="BD388" s="3"/>
      <c r="BE388" s="3">
        <f>$AV388*(VLOOKUP($AY388,'Pregnancy costs and utilities'!$A$23:$I$158,9))</f>
        <v>0</v>
      </c>
      <c r="BF388" s="3">
        <f>$AV388*(VLOOKUP($AY388,'Pregnancy costs and utilities'!$A$23:$H$158,7))</f>
        <v>0</v>
      </c>
      <c r="BG388" s="3"/>
      <c r="BH388" s="3">
        <f>$BA388</f>
        <v>8.2178278116764129E-7</v>
      </c>
      <c r="BI388" s="3">
        <f>$AX388*(VLOOKUP($AY388,'Pregnancy costs and utilities'!$A$23:$H$158,5))</f>
        <v>2.8742844684722806E-4</v>
      </c>
      <c r="BJ388" s="3">
        <f>SUM(BH388:BI388)</f>
        <v>2.8825022962839571E-4</v>
      </c>
      <c r="BK388" s="3"/>
      <c r="BL388" s="3">
        <f>BC388+BI388</f>
        <v>2.6787299923868393E-3</v>
      </c>
      <c r="BN388" s="1" t="str">
        <f>IF(AV388=AX388,"Okay",IF(AV388&gt;AX388,"Lost infant","Gained infant"))</f>
        <v>Okay</v>
      </c>
    </row>
    <row r="389" spans="9:66" x14ac:dyDescent="0.25">
      <c r="I389" s="3"/>
      <c r="O389" s="238"/>
      <c r="P389" s="3"/>
      <c r="U389" s="238"/>
      <c r="V389" s="3"/>
      <c r="W389" s="3"/>
      <c r="X389" s="3"/>
      <c r="Y389" s="3"/>
      <c r="Z389" s="3"/>
      <c r="AA389" s="238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238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</row>
    <row r="390" spans="9:66" x14ac:dyDescent="0.25">
      <c r="I390" s="3"/>
      <c r="O390" s="238"/>
      <c r="P390" s="3"/>
      <c r="U390" s="238"/>
      <c r="V390" s="3"/>
      <c r="W390" s="3"/>
      <c r="X390" s="3"/>
      <c r="Y390" s="3"/>
      <c r="Z390" s="3"/>
      <c r="AA390" s="238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236" t="s">
        <v>477</v>
      </c>
      <c r="AN390" s="237"/>
      <c r="AO390" s="237"/>
      <c r="AP390" s="237"/>
      <c r="AQ390" s="237"/>
      <c r="AR390" s="371"/>
      <c r="AS390" s="238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</row>
    <row r="391" spans="9:66" x14ac:dyDescent="0.25">
      <c r="I391" s="3"/>
      <c r="O391" s="238"/>
      <c r="P391" s="3"/>
      <c r="U391" s="238"/>
      <c r="V391" s="3"/>
      <c r="W391" s="3"/>
      <c r="X391" s="3"/>
      <c r="Y391" s="3"/>
      <c r="Z391" s="3"/>
      <c r="AA391" s="238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238" t="s">
        <v>344</v>
      </c>
      <c r="AN391" s="3">
        <f>DET_CS_lbw_fullgest</f>
        <v>4.9034357338086171E-2</v>
      </c>
      <c r="AO391" s="3" t="s">
        <v>345</v>
      </c>
      <c r="AP391" s="3">
        <f>AN391*AJ395</f>
        <v>1.3966756307302079E-5</v>
      </c>
      <c r="AQ391" s="3" t="s">
        <v>346</v>
      </c>
      <c r="AR391" s="370">
        <f>AN391*AL395</f>
        <v>1.3966756307302079E-5</v>
      </c>
      <c r="AS391" s="238" t="s">
        <v>344</v>
      </c>
      <c r="AT391" s="3">
        <f>1-AT388</f>
        <v>0.98064523520486291</v>
      </c>
      <c r="AU391" s="3" t="s">
        <v>345</v>
      </c>
      <c r="AV391" s="3">
        <f>AT391*AP391</f>
        <v>1.369643302402325E-5</v>
      </c>
      <c r="AW391" s="3" t="s">
        <v>346</v>
      </c>
      <c r="AX391" s="3">
        <f>AT391*AR391</f>
        <v>1.369643302402325E-5</v>
      </c>
      <c r="AY391" s="3">
        <f>AY388+1</f>
        <v>98</v>
      </c>
      <c r="AZ391" s="3"/>
      <c r="BA391" s="1">
        <f>det_cost_experimental*AV391</f>
        <v>4.1637156393030682E-5</v>
      </c>
      <c r="BB391" s="3">
        <f>$AV391*(VLOOKUP($AY391,'Pregnancy costs and utilities'!$A$23:$H$158,3))</f>
        <v>0.12111811298227211</v>
      </c>
      <c r="BC391" s="3">
        <f>SUM(BA391:BB391)</f>
        <v>0.12115975013866515</v>
      </c>
      <c r="BD391" s="3"/>
      <c r="BE391" s="3">
        <f>$AV391*(VLOOKUP($AY391,'Pregnancy costs and utilities'!$A$23:$I$158,9))</f>
        <v>0</v>
      </c>
      <c r="BF391" s="3">
        <f>$AV391*(VLOOKUP($AY391,'Pregnancy costs and utilities'!$A$23:$H$158,7))</f>
        <v>0</v>
      </c>
      <c r="BG391" s="3"/>
      <c r="BH391" s="3">
        <f>$BA391</f>
        <v>4.1637156393030682E-5</v>
      </c>
      <c r="BI391" s="3">
        <f>$AX391*(VLOOKUP($AY391,'Pregnancy costs and utilities'!$A$23:$H$158,5))</f>
        <v>3.623895008035239E-2</v>
      </c>
      <c r="BJ391" s="3">
        <f>SUM(BH391:BI391)</f>
        <v>3.6280587236745418E-2</v>
      </c>
      <c r="BK391" s="3"/>
      <c r="BL391" s="3">
        <f>BC391+BI391</f>
        <v>0.15739870021901753</v>
      </c>
      <c r="BN391" s="1" t="str">
        <f>IF(AV391=AX391,"Okay",IF(AV391&gt;AX391,"Lost infant","Gained infant"))</f>
        <v>Okay</v>
      </c>
    </row>
    <row r="392" spans="9:66" x14ac:dyDescent="0.25">
      <c r="I392" s="3"/>
      <c r="O392" s="238"/>
      <c r="P392" s="3"/>
      <c r="U392" s="238"/>
      <c r="V392" s="3"/>
      <c r="W392" s="3"/>
      <c r="X392" s="3"/>
      <c r="Y392" s="3"/>
      <c r="Z392" s="3"/>
      <c r="AA392" s="238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238"/>
      <c r="AN392" s="3"/>
      <c r="AO392" s="3"/>
      <c r="AP392" s="3"/>
      <c r="AQ392" s="3"/>
      <c r="AR392" s="3"/>
      <c r="AS392" s="240" t="s">
        <v>470</v>
      </c>
      <c r="AT392" s="235"/>
      <c r="AU392" s="235"/>
      <c r="AV392" s="235"/>
      <c r="AW392" s="235"/>
      <c r="AX392" s="235"/>
      <c r="AY392" s="235"/>
      <c r="AZ392" s="235"/>
      <c r="BA392" s="235"/>
      <c r="BB392" s="235"/>
      <c r="BC392" s="235"/>
      <c r="BD392" s="235"/>
      <c r="BE392" s="235"/>
      <c r="BF392" s="235"/>
      <c r="BG392" s="235"/>
      <c r="BH392" s="235"/>
      <c r="BI392" s="235"/>
      <c r="BJ392" s="235"/>
      <c r="BK392" s="235"/>
      <c r="BL392" s="235"/>
      <c r="BM392" s="235"/>
      <c r="BN392" s="235"/>
    </row>
    <row r="393" spans="9:66" x14ac:dyDescent="0.25">
      <c r="I393" s="3"/>
      <c r="O393" s="238"/>
      <c r="P393" s="3"/>
      <c r="U393" s="238"/>
      <c r="V393" s="3"/>
      <c r="W393" s="3"/>
      <c r="X393" s="3"/>
      <c r="Y393" s="3"/>
      <c r="Z393" s="3"/>
      <c r="AA393" s="238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238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</row>
    <row r="394" spans="9:66" x14ac:dyDescent="0.25">
      <c r="I394" s="3"/>
      <c r="O394" s="238"/>
      <c r="P394" s="3"/>
      <c r="U394" s="238"/>
      <c r="V394" s="3"/>
      <c r="W394" s="3"/>
      <c r="X394" s="3"/>
      <c r="Y394" s="3"/>
      <c r="Z394" s="3"/>
      <c r="AA394" s="238"/>
      <c r="AB394" s="3"/>
      <c r="AC394" s="3"/>
      <c r="AD394" s="3"/>
      <c r="AE394" s="3"/>
      <c r="AF394" s="3"/>
      <c r="AG394" s="236" t="s">
        <v>481</v>
      </c>
      <c r="AH394" s="237"/>
      <c r="AI394" s="237"/>
      <c r="AJ394" s="237"/>
      <c r="AK394" s="237"/>
      <c r="AL394" s="371"/>
      <c r="AM394" s="238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</row>
    <row r="395" spans="9:66" x14ac:dyDescent="0.25">
      <c r="I395" s="3"/>
      <c r="O395" s="238"/>
      <c r="P395" s="3"/>
      <c r="U395" s="238"/>
      <c r="V395" s="3"/>
      <c r="W395" s="3"/>
      <c r="X395" s="3"/>
      <c r="Y395" s="3"/>
      <c r="Z395" s="3"/>
      <c r="AA395" s="238"/>
      <c r="AB395" s="3"/>
      <c r="AC395" s="3"/>
      <c r="AD395" s="3"/>
      <c r="AE395" s="3"/>
      <c r="AF395" s="3"/>
      <c r="AG395" s="238" t="s">
        <v>344</v>
      </c>
      <c r="AH395" s="3">
        <f>DET_MORT_previa</f>
        <v>5.0731599999999045E-5</v>
      </c>
      <c r="AI395" s="3" t="s">
        <v>345</v>
      </c>
      <c r="AJ395" s="3">
        <f>AH395*AD400</f>
        <v>2.848361244138049E-4</v>
      </c>
      <c r="AK395" s="3" t="s">
        <v>346</v>
      </c>
      <c r="AL395" s="370">
        <f>AH395*AF400</f>
        <v>2.848361244138049E-4</v>
      </c>
      <c r="AM395" s="238"/>
      <c r="AN395" s="3"/>
      <c r="AO395" s="3"/>
      <c r="AP395" s="3"/>
      <c r="AQ395" s="3"/>
      <c r="AR395" s="3"/>
      <c r="AS395" s="236" t="s">
        <v>471</v>
      </c>
      <c r="AT395" s="237"/>
      <c r="AU395" s="237"/>
      <c r="AV395" s="237"/>
      <c r="AW395" s="237"/>
      <c r="AX395" s="237"/>
      <c r="AY395" s="237"/>
      <c r="AZ395" s="237"/>
      <c r="BA395" s="237"/>
      <c r="BB395" s="237"/>
      <c r="BC395" s="237"/>
      <c r="BD395" s="237"/>
      <c r="BE395" s="237"/>
      <c r="BF395" s="237"/>
      <c r="BG395" s="237"/>
      <c r="BH395" s="237"/>
      <c r="BI395" s="237"/>
      <c r="BJ395" s="237"/>
      <c r="BK395" s="237"/>
      <c r="BL395" s="237"/>
      <c r="BM395" s="237"/>
      <c r="BN395" s="237"/>
    </row>
    <row r="396" spans="9:66" x14ac:dyDescent="0.25">
      <c r="I396" s="3"/>
      <c r="O396" s="238"/>
      <c r="P396" s="3"/>
      <c r="U396" s="238"/>
      <c r="V396" s="3"/>
      <c r="W396" s="3"/>
      <c r="X396" s="3"/>
      <c r="Y396" s="3"/>
      <c r="Z396" s="3"/>
      <c r="AA396" s="238"/>
      <c r="AB396" s="3"/>
      <c r="AC396" s="3"/>
      <c r="AD396" s="3"/>
      <c r="AE396" s="3"/>
      <c r="AF396" s="3"/>
      <c r="AG396" s="238"/>
      <c r="AH396" s="3"/>
      <c r="AI396" s="3"/>
      <c r="AJ396" s="3"/>
      <c r="AK396" s="3"/>
      <c r="AL396" s="3"/>
      <c r="AM396" s="238" t="s">
        <v>344</v>
      </c>
      <c r="AN396" s="1">
        <f>1-AN391</f>
        <v>0.95096564266191386</v>
      </c>
      <c r="AO396" s="1" t="s">
        <v>345</v>
      </c>
      <c r="AP396" s="1">
        <f>AN396*AJ395</f>
        <v>2.7086936810650282E-4</v>
      </c>
      <c r="AQ396" s="1" t="s">
        <v>346</v>
      </c>
      <c r="AR396" s="1">
        <f>AN396*AL395</f>
        <v>2.7086936810650282E-4</v>
      </c>
      <c r="AS396" s="238" t="s">
        <v>344</v>
      </c>
      <c r="AT396" s="3">
        <f>DET_CS_stillbirth_nbw_fullgest</f>
        <v>2.0298526728661924E-3</v>
      </c>
      <c r="AU396" s="3" t="s">
        <v>345</v>
      </c>
      <c r="AV396" s="3">
        <f>AT396*AP396</f>
        <v>5.4982491084856137E-7</v>
      </c>
      <c r="AW396" s="3" t="s">
        <v>346</v>
      </c>
      <c r="AX396" s="3">
        <f>AT396*AR396</f>
        <v>5.4982491084856137E-7</v>
      </c>
      <c r="AY396" s="3">
        <f>AY391+1</f>
        <v>99</v>
      </c>
      <c r="AZ396" s="3"/>
      <c r="BA396" s="1">
        <f>det_cost_experimental*AV396</f>
        <v>1.6714677289796267E-6</v>
      </c>
      <c r="BB396" s="3">
        <f>$AV396*(VLOOKUP($AY396,'Pregnancy costs and utilities'!$A$23:$H$158,3))</f>
        <v>4.8621239965047636E-3</v>
      </c>
      <c r="BC396" s="3">
        <f>SUM(BA396:BB396)</f>
        <v>4.8637954642337432E-3</v>
      </c>
      <c r="BD396" s="3"/>
      <c r="BE396" s="3">
        <f>$AV396*(VLOOKUP($AY396,'Pregnancy costs and utilities'!$A$23:$I$158,9))</f>
        <v>0</v>
      </c>
      <c r="BF396" s="3">
        <f>$AV396*(VLOOKUP($AY396,'Pregnancy costs and utilities'!$A$23:$H$158,7))</f>
        <v>0</v>
      </c>
      <c r="BG396" s="3"/>
      <c r="BH396" s="3">
        <f>$BA396</f>
        <v>1.6714677289796267E-6</v>
      </c>
      <c r="BI396" s="3">
        <f>$AX396*(VLOOKUP($AY396,'Pregnancy costs and utilities'!$A$23:$H$158,5))</f>
        <v>5.846160132647897E-4</v>
      </c>
      <c r="BJ396" s="3">
        <f>SUM(BH396:BI396)</f>
        <v>5.8628748099376934E-4</v>
      </c>
      <c r="BK396" s="3"/>
      <c r="BL396" s="3">
        <f>BC396+BI396</f>
        <v>5.4484114774985331E-3</v>
      </c>
      <c r="BN396" s="1" t="str">
        <f>IF(AV396=AX396,"Okay",IF(AV396&gt;AX396,"Lost infant","Gained infant"))</f>
        <v>Okay</v>
      </c>
    </row>
    <row r="397" spans="9:66" x14ac:dyDescent="0.25">
      <c r="I397" s="3"/>
      <c r="O397" s="238"/>
      <c r="P397" s="3"/>
      <c r="U397" s="238"/>
      <c r="V397" s="3"/>
      <c r="W397" s="3"/>
      <c r="X397" s="3"/>
      <c r="Y397" s="3"/>
      <c r="Z397" s="3"/>
      <c r="AA397" s="238"/>
      <c r="AB397" s="3"/>
      <c r="AC397" s="3"/>
      <c r="AD397" s="3"/>
      <c r="AE397" s="3"/>
      <c r="AF397" s="3"/>
      <c r="AG397" s="238"/>
      <c r="AH397" s="3"/>
      <c r="AI397" s="3"/>
      <c r="AJ397" s="3"/>
      <c r="AK397" s="3"/>
      <c r="AL397" s="3"/>
      <c r="AM397" s="240" t="s">
        <v>478</v>
      </c>
      <c r="AN397" s="235"/>
      <c r="AO397" s="235"/>
      <c r="AP397" s="235"/>
      <c r="AQ397" s="235"/>
      <c r="AR397" s="239"/>
      <c r="AS397" s="238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</row>
    <row r="398" spans="9:66" x14ac:dyDescent="0.25">
      <c r="I398" s="3"/>
      <c r="O398" s="238"/>
      <c r="P398" s="3"/>
      <c r="U398" s="238"/>
      <c r="V398" s="3"/>
      <c r="W398" s="3"/>
      <c r="X398" s="3"/>
      <c r="Y398" s="3"/>
      <c r="Z398" s="3"/>
      <c r="AA398" s="238"/>
      <c r="AB398" s="3"/>
      <c r="AC398" s="3"/>
      <c r="AD398" s="3"/>
      <c r="AE398" s="3"/>
      <c r="AF398" s="3"/>
      <c r="AG398" s="238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238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</row>
    <row r="399" spans="9:66" x14ac:dyDescent="0.25">
      <c r="I399" s="3"/>
      <c r="O399" s="238"/>
      <c r="P399" s="3"/>
      <c r="U399" s="238"/>
      <c r="V399" s="3"/>
      <c r="W399" s="3"/>
      <c r="X399" s="3"/>
      <c r="Y399" s="3"/>
      <c r="Z399" s="3"/>
      <c r="AA399" s="238"/>
      <c r="AB399" s="3"/>
      <c r="AC399" s="3"/>
      <c r="AD399" s="3"/>
      <c r="AE399" s="3"/>
      <c r="AF399" s="3"/>
      <c r="AG399" s="238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238" t="s">
        <v>344</v>
      </c>
      <c r="AT399" s="3">
        <f>1-AT396</f>
        <v>0.99797014732713385</v>
      </c>
      <c r="AU399" s="3" t="s">
        <v>345</v>
      </c>
      <c r="AV399" s="3">
        <f>AT399*AP396</f>
        <v>2.7031954319565429E-4</v>
      </c>
      <c r="AW399" s="3" t="s">
        <v>346</v>
      </c>
      <c r="AX399" s="3">
        <f>AT399*AR396</f>
        <v>2.7031954319565429E-4</v>
      </c>
      <c r="AY399" s="3">
        <f>AY396+1</f>
        <v>100</v>
      </c>
      <c r="AZ399" s="3"/>
      <c r="BA399" s="1">
        <f>det_cost_experimental*AV399</f>
        <v>8.2177141131478909E-4</v>
      </c>
      <c r="BB399" s="3">
        <f>$AV399*(VLOOKUP($AY399,'Pregnancy costs and utilities'!$A$23:$H$158,3))</f>
        <v>2.3904466890511671</v>
      </c>
      <c r="BC399" s="3">
        <f>SUM(BA399:BB399)</f>
        <v>2.3912684604624821</v>
      </c>
      <c r="BD399" s="3"/>
      <c r="BE399" s="3">
        <f>$AV399*(VLOOKUP($AY399,'Pregnancy costs and utilities'!$A$23:$I$158,9))</f>
        <v>0</v>
      </c>
      <c r="BF399" s="3">
        <f>$AV399*(VLOOKUP($AY399,'Pregnancy costs and utilities'!$A$23:$H$158,7))</f>
        <v>0</v>
      </c>
      <c r="BG399" s="3"/>
      <c r="BH399" s="3">
        <f>$BA399</f>
        <v>8.2177141131478909E-4</v>
      </c>
      <c r="BI399" s="3">
        <f>$AX399*(VLOOKUP($AY399,'Pregnancy costs and utilities'!$A$23:$H$158,5))</f>
        <v>0.71522975466888605</v>
      </c>
      <c r="BJ399" s="3">
        <f>SUM(BH399:BI399)</f>
        <v>0.71605152608020084</v>
      </c>
      <c r="BK399" s="3"/>
      <c r="BL399" s="3">
        <f>BC399+BI399</f>
        <v>3.106498215131368</v>
      </c>
      <c r="BN399" s="1" t="str">
        <f>IF(AV399=AX399,"Okay",IF(AV399&gt;AX399,"Lost infant","Gained infant"))</f>
        <v>Okay</v>
      </c>
    </row>
    <row r="400" spans="9:66" x14ac:dyDescent="0.25">
      <c r="I400" s="3"/>
      <c r="O400" s="238"/>
      <c r="P400" s="3"/>
      <c r="U400" s="238"/>
      <c r="V400" s="3"/>
      <c r="W400" s="3"/>
      <c r="X400" s="3"/>
      <c r="Y400" s="3"/>
      <c r="Z400" s="3"/>
      <c r="AA400" s="238" t="s">
        <v>344</v>
      </c>
      <c r="AB400" s="1">
        <f>1-AB371</f>
        <v>0.68370500433923032</v>
      </c>
      <c r="AC400" s="1" t="s">
        <v>345</v>
      </c>
      <c r="AD400" s="1">
        <f>AB400*X387</f>
        <v>5.6145700985935836</v>
      </c>
      <c r="AE400" s="1" t="s">
        <v>346</v>
      </c>
      <c r="AF400" s="1">
        <f>AB400*Z387</f>
        <v>5.6145700985935836</v>
      </c>
      <c r="AG400" s="238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240" t="s">
        <v>472</v>
      </c>
      <c r="AT400" s="235"/>
      <c r="AU400" s="235"/>
      <c r="AV400" s="235"/>
      <c r="AW400" s="235"/>
      <c r="AX400" s="235"/>
      <c r="AY400" s="235"/>
      <c r="AZ400" s="235"/>
      <c r="BA400" s="235"/>
      <c r="BB400" s="235"/>
      <c r="BC400" s="235"/>
      <c r="BD400" s="235"/>
      <c r="BE400" s="235"/>
      <c r="BF400" s="235"/>
      <c r="BG400" s="235"/>
      <c r="BH400" s="235"/>
      <c r="BI400" s="235"/>
      <c r="BJ400" s="235"/>
      <c r="BK400" s="235"/>
      <c r="BL400" s="235"/>
      <c r="BM400" s="235"/>
      <c r="BN400" s="235"/>
    </row>
    <row r="401" spans="9:66" x14ac:dyDescent="0.25">
      <c r="I401" s="3"/>
      <c r="O401" s="238"/>
      <c r="P401" s="3"/>
      <c r="U401" s="238"/>
      <c r="V401" s="3"/>
      <c r="W401" s="3"/>
      <c r="X401" s="3"/>
      <c r="Y401" s="3"/>
      <c r="Z401" s="3"/>
      <c r="AA401" s="240" t="s">
        <v>454</v>
      </c>
      <c r="AB401" s="235"/>
      <c r="AC401" s="235"/>
      <c r="AD401" s="235"/>
      <c r="AE401" s="235"/>
      <c r="AF401" s="239"/>
      <c r="AG401" s="238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</row>
    <row r="402" spans="9:66" x14ac:dyDescent="0.25">
      <c r="I402" s="3"/>
      <c r="O402" s="238"/>
      <c r="P402" s="3"/>
      <c r="U402" s="238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238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</row>
    <row r="403" spans="9:66" x14ac:dyDescent="0.25">
      <c r="I403" s="3"/>
      <c r="O403" s="238"/>
      <c r="P403" s="3"/>
      <c r="U403" s="238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238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236" t="s">
        <v>473</v>
      </c>
      <c r="AT403" s="237"/>
      <c r="AU403" s="237"/>
      <c r="AV403" s="237"/>
      <c r="AW403" s="237"/>
      <c r="AX403" s="237"/>
      <c r="AY403" s="237"/>
      <c r="AZ403" s="237"/>
      <c r="BA403" s="237"/>
      <c r="BB403" s="237"/>
      <c r="BC403" s="237"/>
      <c r="BD403" s="237"/>
      <c r="BE403" s="237"/>
      <c r="BF403" s="237"/>
      <c r="BG403" s="237"/>
      <c r="BH403" s="237"/>
      <c r="BI403" s="237"/>
      <c r="BJ403" s="237"/>
      <c r="BK403" s="237"/>
      <c r="BL403" s="237"/>
      <c r="BM403" s="237"/>
      <c r="BN403" s="237"/>
    </row>
    <row r="404" spans="9:66" x14ac:dyDescent="0.25">
      <c r="I404" s="3"/>
      <c r="O404" s="238"/>
      <c r="P404" s="3"/>
      <c r="U404" s="238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238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238" t="s">
        <v>344</v>
      </c>
      <c r="AT404" s="3">
        <f>DET_CS_stillbirth_lbw_fullgest</f>
        <v>1.9354764795137105E-2</v>
      </c>
      <c r="AU404" s="3" t="s">
        <v>345</v>
      </c>
      <c r="AV404" s="3">
        <f>AT404*AP407</f>
        <v>5.3282287439417736E-3</v>
      </c>
      <c r="AW404" s="3" t="s">
        <v>346</v>
      </c>
      <c r="AX404" s="3">
        <f>AT404*AR407</f>
        <v>5.3282287439417736E-3</v>
      </c>
      <c r="AY404" s="3">
        <f>AY399+1</f>
        <v>101</v>
      </c>
      <c r="AZ404" s="3"/>
      <c r="BA404" s="1">
        <f>det_cost_experimental*AV404</f>
        <v>1.6197815381582992E-2</v>
      </c>
      <c r="BB404" s="3">
        <f>$AV404*(VLOOKUP($AY404,'Pregnancy costs and utilities'!$A$23:$H$158,3))</f>
        <v>38.427509110947675</v>
      </c>
      <c r="BC404" s="3">
        <f>SUM(BA404:BB404)</f>
        <v>38.443706926329256</v>
      </c>
      <c r="BD404" s="3"/>
      <c r="BE404" s="3">
        <f>$AV404*(VLOOKUP($AY404,'Pregnancy costs and utilities'!$A$23:$I$158,9))</f>
        <v>3.8937056205728343E-3</v>
      </c>
      <c r="BF404" s="3">
        <f>$AV404*(VLOOKUP($AY404,'Pregnancy costs and utilities'!$A$23:$H$158,7))</f>
        <v>3.3888742232751684E-3</v>
      </c>
      <c r="BG404" s="3"/>
      <c r="BH404" s="3">
        <f>$BA404</f>
        <v>1.6197815381582992E-2</v>
      </c>
      <c r="BI404" s="3">
        <f>$AX404*(VLOOKUP($AY404,'Pregnancy costs and utilities'!$A$23:$H$158,5))</f>
        <v>5.6653814415914221</v>
      </c>
      <c r="BJ404" s="3">
        <f>SUM(BH404:BI404)</f>
        <v>5.6815792569730048</v>
      </c>
      <c r="BK404" s="3"/>
      <c r="BL404" s="3">
        <f>BC404+BI404</f>
        <v>44.109088367920677</v>
      </c>
      <c r="BN404" s="1" t="str">
        <f>IF(AV404=AX404,"Okay",IF(AV404&gt;AX404,"Lost infant","Gained infant"))</f>
        <v>Okay</v>
      </c>
    </row>
    <row r="405" spans="9:66" x14ac:dyDescent="0.25">
      <c r="I405" s="3"/>
      <c r="O405" s="238"/>
      <c r="P405" s="3"/>
      <c r="U405" s="238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238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238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</row>
    <row r="406" spans="9:66" x14ac:dyDescent="0.25">
      <c r="I406" s="3"/>
      <c r="O406" s="238"/>
      <c r="P406" s="3"/>
      <c r="U406" s="238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238"/>
      <c r="AH406" s="3"/>
      <c r="AI406" s="3"/>
      <c r="AJ406" s="3"/>
      <c r="AK406" s="3"/>
      <c r="AL406" s="3"/>
      <c r="AM406" s="236" t="s">
        <v>479</v>
      </c>
      <c r="AN406" s="237"/>
      <c r="AO406" s="237"/>
      <c r="AP406" s="237"/>
      <c r="AQ406" s="237"/>
      <c r="AR406" s="371"/>
      <c r="AS406" s="238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</row>
    <row r="407" spans="9:66" x14ac:dyDescent="0.25">
      <c r="I407" s="3"/>
      <c r="O407" s="238"/>
      <c r="P407" s="3"/>
      <c r="U407" s="238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238"/>
      <c r="AH407" s="3"/>
      <c r="AI407" s="3"/>
      <c r="AJ407" s="3"/>
      <c r="AK407" s="3"/>
      <c r="AL407" s="3"/>
      <c r="AM407" s="238" t="s">
        <v>344</v>
      </c>
      <c r="AN407" s="3">
        <f>DET_CS_lbw_fullgest</f>
        <v>4.9034357338086171E-2</v>
      </c>
      <c r="AO407" s="3" t="s">
        <v>345</v>
      </c>
      <c r="AP407" s="3">
        <f>AN407*AJ408</f>
        <v>0.27529286975786416</v>
      </c>
      <c r="AQ407" s="3" t="s">
        <v>346</v>
      </c>
      <c r="AR407" s="370">
        <f>AN407*AL408</f>
        <v>0.27529286975786416</v>
      </c>
      <c r="AS407" s="238" t="s">
        <v>344</v>
      </c>
      <c r="AT407" s="3">
        <f>1-AT404</f>
        <v>0.98064523520486291</v>
      </c>
      <c r="AU407" s="3" t="s">
        <v>345</v>
      </c>
      <c r="AV407" s="3">
        <f>AT407*AP407</f>
        <v>0.26996464101392237</v>
      </c>
      <c r="AW407" s="3" t="s">
        <v>346</v>
      </c>
      <c r="AX407" s="3">
        <f>AT407*AR407</f>
        <v>0.26996464101392237</v>
      </c>
      <c r="AY407" s="3">
        <f>AY404+1</f>
        <v>102</v>
      </c>
      <c r="AZ407" s="3"/>
      <c r="BA407" s="1">
        <f>det_cost_experimental*AV407</f>
        <v>0.82069250868232402</v>
      </c>
      <c r="BB407" s="3">
        <f>$AV407*(VLOOKUP($AY407,'Pregnancy costs and utilities'!$A$23:$H$158,3))</f>
        <v>1947.001377144627</v>
      </c>
      <c r="BC407" s="3">
        <f>SUM(BA407:BB407)</f>
        <v>1947.8220696533092</v>
      </c>
      <c r="BD407" s="3"/>
      <c r="BE407" s="3">
        <f>$AV407*(VLOOKUP($AY407,'Pregnancy costs and utilities'!$A$23:$I$158,9))</f>
        <v>0.19728185304863557</v>
      </c>
      <c r="BF407" s="3">
        <f>$AV407*(VLOOKUP($AY407,'Pregnancy costs and utilities'!$A$23:$H$158,7))</f>
        <v>0.19143181461470413</v>
      </c>
      <c r="BG407" s="3"/>
      <c r="BH407" s="3">
        <f>$BA407</f>
        <v>0.82069250868232402</v>
      </c>
      <c r="BI407" s="3">
        <f>$AX407*(VLOOKUP($AY407,'Pregnancy costs and utilities'!$A$23:$H$158,5))</f>
        <v>714.29073044085283</v>
      </c>
      <c r="BJ407" s="3">
        <f>SUM(BH407:BI407)</f>
        <v>715.11142294953515</v>
      </c>
      <c r="BK407" s="3"/>
      <c r="BL407" s="3">
        <f>BC407+BI407</f>
        <v>2662.1128000941621</v>
      </c>
      <c r="BN407" s="1" t="str">
        <f>IF(AV407=AX407,"Okay",IF(AV407&gt;AX407,"Lost infant","Gained infant"))</f>
        <v>Okay</v>
      </c>
    </row>
    <row r="408" spans="9:66" x14ac:dyDescent="0.25">
      <c r="I408" s="3"/>
      <c r="O408" s="238"/>
      <c r="P408" s="3"/>
      <c r="U408" s="238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238" t="s">
        <v>344</v>
      </c>
      <c r="AH408" s="1">
        <f>1-AH395</f>
        <v>0.99994926839999998</v>
      </c>
      <c r="AI408" s="1" t="s">
        <v>345</v>
      </c>
      <c r="AJ408" s="1">
        <f>AH408*AD400</f>
        <v>5.6142852624691697</v>
      </c>
      <c r="AK408" s="1" t="s">
        <v>346</v>
      </c>
      <c r="AL408" s="1">
        <f>AH408*AF400</f>
        <v>5.6142852624691697</v>
      </c>
      <c r="AM408" s="238"/>
      <c r="AN408" s="3"/>
      <c r="AO408" s="3"/>
      <c r="AP408" s="3"/>
      <c r="AQ408" s="3"/>
      <c r="AR408" s="3"/>
      <c r="AS408" s="240" t="s">
        <v>474</v>
      </c>
      <c r="AT408" s="235"/>
      <c r="AU408" s="235"/>
      <c r="AV408" s="235"/>
      <c r="AW408" s="235"/>
      <c r="AX408" s="235"/>
      <c r="AY408" s="235"/>
      <c r="AZ408" s="235"/>
      <c r="BA408" s="235"/>
      <c r="BB408" s="235"/>
      <c r="BC408" s="235"/>
      <c r="BD408" s="235"/>
      <c r="BE408" s="235"/>
      <c r="BF408" s="235"/>
      <c r="BG408" s="235"/>
      <c r="BH408" s="235"/>
      <c r="BI408" s="235"/>
      <c r="BJ408" s="235"/>
      <c r="BK408" s="235"/>
      <c r="BL408" s="235"/>
      <c r="BM408" s="235"/>
      <c r="BN408" s="235"/>
    </row>
    <row r="409" spans="9:66" x14ac:dyDescent="0.25">
      <c r="I409" s="3"/>
      <c r="O409" s="238"/>
      <c r="P409" s="3"/>
      <c r="U409" s="238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240" t="s">
        <v>482</v>
      </c>
      <c r="AH409" s="235"/>
      <c r="AI409" s="235"/>
      <c r="AJ409" s="235"/>
      <c r="AK409" s="235"/>
      <c r="AL409" s="239"/>
      <c r="AM409" s="238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</row>
    <row r="410" spans="9:66" x14ac:dyDescent="0.25">
      <c r="I410" s="3"/>
      <c r="O410" s="238"/>
      <c r="P410" s="3"/>
      <c r="U410" s="238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238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</row>
    <row r="411" spans="9:66" x14ac:dyDescent="0.25">
      <c r="I411" s="3"/>
      <c r="O411" s="238"/>
      <c r="P411" s="3"/>
      <c r="U411" s="238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238"/>
      <c r="AN411" s="3"/>
      <c r="AO411" s="3"/>
      <c r="AP411" s="3"/>
      <c r="AQ411" s="3"/>
      <c r="AR411" s="3"/>
      <c r="AS411" s="236" t="s">
        <v>475</v>
      </c>
      <c r="AT411" s="237"/>
      <c r="AU411" s="237"/>
      <c r="AV411" s="237"/>
      <c r="AW411" s="237"/>
      <c r="AX411" s="3"/>
      <c r="BJ411" s="237"/>
      <c r="BK411" s="237"/>
      <c r="BL411" s="237"/>
      <c r="BM411" s="237"/>
      <c r="BN411" s="237"/>
    </row>
    <row r="412" spans="9:66" x14ac:dyDescent="0.25">
      <c r="I412" s="3"/>
      <c r="O412" s="238"/>
      <c r="P412" s="3"/>
      <c r="U412" s="238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238" t="s">
        <v>344</v>
      </c>
      <c r="AN412" s="1">
        <f>1-AN407</f>
        <v>0.95096564266191386</v>
      </c>
      <c r="AO412" s="1" t="s">
        <v>345</v>
      </c>
      <c r="AP412" s="1">
        <f>AN412*AJ408</f>
        <v>5.3389923927113054</v>
      </c>
      <c r="AQ412" s="1" t="s">
        <v>346</v>
      </c>
      <c r="AR412" s="1">
        <f>AN412*AL408</f>
        <v>5.3389923927113054</v>
      </c>
      <c r="AS412" s="238" t="s">
        <v>344</v>
      </c>
      <c r="AT412" s="1">
        <f>DET_CS_stillbirth_nbw_fullgest</f>
        <v>2.0298526728661924E-3</v>
      </c>
      <c r="AU412" s="1" t="s">
        <v>345</v>
      </c>
      <c r="AV412" s="1">
        <f>AT412*AP412</f>
        <v>1.0837367978757312E-2</v>
      </c>
      <c r="AW412" s="1" t="s">
        <v>346</v>
      </c>
      <c r="AX412" s="1">
        <f>AT412*AR412</f>
        <v>1.0837367978757312E-2</v>
      </c>
      <c r="AY412" s="1">
        <f>AY407+1</f>
        <v>103</v>
      </c>
      <c r="BA412" s="1">
        <f>det_cost_experimental*AV412</f>
        <v>3.294559865542223E-2</v>
      </c>
      <c r="BB412" s="1">
        <f>$AV412*(VLOOKUP($AY412,'Pregnancy costs and utilities'!$A$23:$H$158,3))</f>
        <v>78.15975566287365</v>
      </c>
      <c r="BC412" s="1">
        <f>SUM(BA412:BB412)</f>
        <v>78.192701261529066</v>
      </c>
      <c r="BE412" s="1">
        <f>$AV412*(VLOOKUP($AY412,'Pregnancy costs and utilities'!$A$23:$I$158,9))</f>
        <v>7.9196150613995743E-3</v>
      </c>
      <c r="BF412" s="1">
        <f>$AV412*(VLOOKUP($AY412,'Pregnancy costs and utilities'!$A$23:$H$158,7))</f>
        <v>6.8928116183293708E-3</v>
      </c>
      <c r="BH412" s="1">
        <f>$BA412</f>
        <v>3.294559865542223E-2</v>
      </c>
      <c r="BI412" s="1">
        <f>$AX412*(VLOOKUP($AY412,'Pregnancy costs and utilities'!$A$23:$H$158,5))</f>
        <v>11.523120791756265</v>
      </c>
      <c r="BJ412" s="3">
        <f>SUM(BH412:BI412)</f>
        <v>11.556066390411686</v>
      </c>
      <c r="BK412" s="3"/>
      <c r="BL412" s="3">
        <f>BC412+BI412</f>
        <v>89.715822053285336</v>
      </c>
      <c r="BN412" s="1" t="str">
        <f>IF(AV412=AX412,"Okay",IF(AV412&gt;AX412,"Lost infant","Gained infant"))</f>
        <v>Okay</v>
      </c>
    </row>
    <row r="413" spans="9:66" x14ac:dyDescent="0.25">
      <c r="I413" s="3"/>
      <c r="O413" s="238"/>
      <c r="P413" s="3"/>
      <c r="U413" s="238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240" t="s">
        <v>480</v>
      </c>
      <c r="AN413" s="235"/>
      <c r="AO413" s="235"/>
      <c r="AP413" s="235"/>
      <c r="AQ413" s="235"/>
      <c r="AR413" s="239"/>
      <c r="AS413" s="238"/>
      <c r="BJ413" s="3"/>
      <c r="BK413" s="3"/>
      <c r="BL413" s="3"/>
    </row>
    <row r="414" spans="9:66" x14ac:dyDescent="0.25">
      <c r="I414" s="3"/>
      <c r="O414" s="238"/>
      <c r="P414" s="3"/>
      <c r="U414" s="238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238"/>
      <c r="BJ414" s="3"/>
      <c r="BK414" s="3"/>
      <c r="BL414" s="3"/>
    </row>
    <row r="415" spans="9:66" x14ac:dyDescent="0.25">
      <c r="I415" s="3"/>
      <c r="O415" s="238"/>
      <c r="P415" s="3"/>
      <c r="U415" s="238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238" t="s">
        <v>344</v>
      </c>
      <c r="AT415" s="1">
        <f>1-AT412</f>
        <v>0.99797014732713385</v>
      </c>
      <c r="AU415" s="1" t="s">
        <v>345</v>
      </c>
      <c r="AV415" s="1">
        <f>AT415*AP412</f>
        <v>5.3281550247325482</v>
      </c>
      <c r="AW415" s="1" t="s">
        <v>346</v>
      </c>
      <c r="AX415" s="1">
        <f>AT415*AR412</f>
        <v>5.3281550247325482</v>
      </c>
      <c r="AY415" s="1">
        <f>AY412+1</f>
        <v>104</v>
      </c>
      <c r="BA415" s="1">
        <f>det_cost_experimental*AV415</f>
        <v>16.197591275186948</v>
      </c>
      <c r="BB415" s="1">
        <f>$AV415*(VLOOKUP($AY415,'Pregnancy costs and utilities'!$A$23:$H$158,3))</f>
        <v>38426.977443536176</v>
      </c>
      <c r="BC415" s="1">
        <f>SUM(BA415:BB415)</f>
        <v>38443.175034811364</v>
      </c>
      <c r="BE415" s="1">
        <f>$AV415*(VLOOKUP($AY415,'Pregnancy costs and utilities'!$A$23:$I$158,9))</f>
        <v>3.8936517488430158</v>
      </c>
      <c r="BF415" s="1">
        <f>$AV415*(VLOOKUP($AY415,'Pregnancy costs and utilities'!$A$23:$H$158,7))</f>
        <v>3.7781925110718633</v>
      </c>
      <c r="BH415" s="1">
        <f>$BA415</f>
        <v>16.197591275186948</v>
      </c>
      <c r="BI415" s="1">
        <f>$AX415*(VLOOKUP($AY415,'Pregnancy costs and utilities'!$A$23:$H$158,5))</f>
        <v>14097.593411583262</v>
      </c>
      <c r="BJ415" s="3">
        <f>SUM(BH415:BI415)</f>
        <v>14113.79100285845</v>
      </c>
      <c r="BK415" s="3"/>
      <c r="BL415" s="3">
        <f>BC415+BI415</f>
        <v>52540.768446394628</v>
      </c>
      <c r="BN415" s="1" t="str">
        <f>IF(AV415=AX415,"Okay",IF(AV415&gt;AX415,"Lost infant","Gained infant"))</f>
        <v>Okay</v>
      </c>
    </row>
    <row r="416" spans="9:66" x14ac:dyDescent="0.25">
      <c r="I416" s="3"/>
      <c r="O416" s="238" t="s">
        <v>344</v>
      </c>
      <c r="P416" s="3">
        <f>1-P279-P287</f>
        <v>0.90132957755402632</v>
      </c>
      <c r="Q416" s="1" t="s">
        <v>345</v>
      </c>
      <c r="R416" s="1">
        <f>P416*L346</f>
        <v>854.46043952121693</v>
      </c>
      <c r="S416" s="1" t="s">
        <v>346</v>
      </c>
      <c r="T416" s="1">
        <f>P416*N346</f>
        <v>854.46043952121693</v>
      </c>
      <c r="U416" s="238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240" t="s">
        <v>476</v>
      </c>
      <c r="AT416" s="235"/>
      <c r="AU416" s="235"/>
      <c r="AV416" s="235"/>
      <c r="AW416" s="235"/>
      <c r="AX416" s="235"/>
      <c r="AY416" s="235"/>
      <c r="AZ416" s="235"/>
      <c r="BA416" s="235"/>
      <c r="BB416" s="235"/>
      <c r="BC416" s="235"/>
      <c r="BD416" s="235"/>
      <c r="BE416" s="235"/>
      <c r="BF416" s="235"/>
      <c r="BG416" s="235"/>
      <c r="BH416" s="235"/>
      <c r="BI416" s="235"/>
      <c r="BJ416" s="235"/>
      <c r="BK416" s="235"/>
      <c r="BL416" s="235"/>
      <c r="BM416" s="235"/>
      <c r="BN416" s="235"/>
    </row>
    <row r="417" spans="9:66" x14ac:dyDescent="0.25">
      <c r="I417" s="3"/>
      <c r="O417" s="240" t="s">
        <v>390</v>
      </c>
      <c r="P417" s="235"/>
      <c r="Q417" s="235"/>
      <c r="R417" s="235"/>
      <c r="S417" s="235"/>
      <c r="T417" s="239"/>
      <c r="U417" s="238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</row>
    <row r="418" spans="9:66" x14ac:dyDescent="0.25">
      <c r="I418" s="3"/>
      <c r="O418" s="237"/>
      <c r="U418" s="238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</row>
    <row r="419" spans="9:66" x14ac:dyDescent="0.25">
      <c r="I419" s="3"/>
      <c r="O419" s="3"/>
      <c r="U419" s="238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236" t="s">
        <v>497</v>
      </c>
      <c r="AT419" s="237"/>
      <c r="AU419" s="237"/>
      <c r="AV419" s="237"/>
      <c r="AW419" s="237"/>
      <c r="AX419" s="237"/>
      <c r="AY419" s="237"/>
      <c r="AZ419" s="237"/>
      <c r="BA419" s="237"/>
      <c r="BB419" s="237"/>
      <c r="BC419" s="237"/>
      <c r="BD419" s="237"/>
      <c r="BE419" s="237"/>
      <c r="BF419" s="237"/>
      <c r="BG419" s="237"/>
      <c r="BH419" s="237"/>
      <c r="BI419" s="237"/>
      <c r="BJ419" s="237"/>
      <c r="BK419" s="237"/>
      <c r="BL419" s="237"/>
      <c r="BM419" s="237"/>
      <c r="BN419" s="237"/>
    </row>
    <row r="420" spans="9:66" x14ac:dyDescent="0.25">
      <c r="I420" s="3"/>
      <c r="O420" s="3"/>
      <c r="U420" s="238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238" t="s">
        <v>344</v>
      </c>
      <c r="AT420" s="3">
        <f>DET_CS_stillbirth_lbw_premature</f>
        <v>7.6548660672211805E-2</v>
      </c>
      <c r="AU420" s="3" t="s">
        <v>345</v>
      </c>
      <c r="AV420" s="3">
        <f>AT420*AP423</f>
        <v>4.2242613311167809E-5</v>
      </c>
      <c r="AW420" s="3" t="s">
        <v>346</v>
      </c>
      <c r="AX420" s="3">
        <f>AT420*AR423</f>
        <v>4.2242613311167809E-5</v>
      </c>
      <c r="AY420" s="3">
        <f>AY415+1</f>
        <v>105</v>
      </c>
      <c r="AZ420" s="3"/>
      <c r="BA420" s="1">
        <f>det_cost_experimental*AV420</f>
        <v>1.2841754446595014E-4</v>
      </c>
      <c r="BB420" s="3">
        <f>$AV420*(VLOOKUP($AY420,'Pregnancy costs and utilities'!$A$23:$H$158,3))</f>
        <v>0.35445631460020427</v>
      </c>
      <c r="BC420" s="3">
        <f>SUM(BA420:BB420)</f>
        <v>0.35458473214467023</v>
      </c>
      <c r="BD420" s="3"/>
      <c r="BE420" s="3">
        <f>$AV420*(VLOOKUP($AY420,'Pregnancy costs and utilities'!$A$23:$I$158,9))</f>
        <v>0</v>
      </c>
      <c r="BF420" s="3">
        <f>$AV420*(VLOOKUP($AY420,'Pregnancy costs and utilities'!$A$23:$H$158,7))</f>
        <v>0</v>
      </c>
      <c r="BG420" s="3"/>
      <c r="BH420" s="3">
        <f>$BA420</f>
        <v>1.2841754446595014E-4</v>
      </c>
      <c r="BI420" s="3">
        <f>$AX420*(VLOOKUP($AY420,'Pregnancy costs and utilities'!$A$23:$H$158,5))</f>
        <v>4.4915586210430937E-2</v>
      </c>
      <c r="BJ420" s="3">
        <f>SUM(BH420:BI420)</f>
        <v>4.5044003754896887E-2</v>
      </c>
      <c r="BK420" s="3"/>
      <c r="BL420" s="3">
        <f>BC420+BI420</f>
        <v>0.39950031835510119</v>
      </c>
      <c r="BN420" s="1" t="str">
        <f>IF(AV420=AX420,"Okay",IF(AV420&gt;AX420,"Lost infant","Gained infant"))</f>
        <v>Okay</v>
      </c>
    </row>
    <row r="421" spans="9:66" x14ac:dyDescent="0.25">
      <c r="I421" s="3"/>
      <c r="O421" s="3"/>
      <c r="U421" s="238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238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</row>
    <row r="422" spans="9:66" x14ac:dyDescent="0.25">
      <c r="I422" s="3"/>
      <c r="O422" s="3"/>
      <c r="U422" s="238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236" t="s">
        <v>489</v>
      </c>
      <c r="AN422" s="237"/>
      <c r="AO422" s="237"/>
      <c r="AP422" s="237"/>
      <c r="AQ422" s="237"/>
      <c r="AR422" s="371"/>
      <c r="AS422" s="238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</row>
    <row r="423" spans="9:66" x14ac:dyDescent="0.25">
      <c r="I423" s="3"/>
      <c r="O423" s="3"/>
      <c r="U423" s="238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238" t="s">
        <v>344</v>
      </c>
      <c r="AN423" s="3">
        <f>DET_CS_lbw_premature</f>
        <v>1</v>
      </c>
      <c r="AO423" s="3" t="s">
        <v>345</v>
      </c>
      <c r="AP423" s="3">
        <f>AN423*AJ427</f>
        <v>5.5184000530139187E-4</v>
      </c>
      <c r="AQ423" s="3" t="s">
        <v>346</v>
      </c>
      <c r="AR423" s="370">
        <f>AN423*AL427</f>
        <v>5.5184000530139187E-4</v>
      </c>
      <c r="AS423" s="238" t="s">
        <v>344</v>
      </c>
      <c r="AT423" s="3">
        <f>1-AT420</f>
        <v>0.92345133932778822</v>
      </c>
      <c r="AU423" s="3" t="s">
        <v>345</v>
      </c>
      <c r="AV423" s="3">
        <f>AT423*AP423</f>
        <v>5.0959739199022411E-4</v>
      </c>
      <c r="AW423" s="3" t="s">
        <v>346</v>
      </c>
      <c r="AX423" s="3">
        <f>AT423*AR423</f>
        <v>5.0959739199022411E-4</v>
      </c>
      <c r="AY423" s="3">
        <f>AY420+1</f>
        <v>106</v>
      </c>
      <c r="AZ423" s="3"/>
      <c r="BA423" s="1">
        <f>det_cost_experimental*AV423</f>
        <v>1.5491760716502814E-3</v>
      </c>
      <c r="BB423" s="3">
        <f>$AV423*(VLOOKUP($AY423,'Pregnancy costs and utilities'!$A$23:$H$158,3))</f>
        <v>4.2760141794299642</v>
      </c>
      <c r="BC423" s="3">
        <f>SUM(BA423:BB423)</f>
        <v>4.2775633555016146</v>
      </c>
      <c r="BD423" s="3"/>
      <c r="BE423" s="3">
        <f>$AV423*(VLOOKUP($AY423,'Pregnancy costs and utilities'!$A$23:$I$158,9))</f>
        <v>0</v>
      </c>
      <c r="BF423" s="3">
        <f>$AV423*(VLOOKUP($AY423,'Pregnancy costs and utilities'!$A$23:$H$158,7))</f>
        <v>0</v>
      </c>
      <c r="BG423" s="3"/>
      <c r="BH423" s="3">
        <f>$BA423</f>
        <v>1.5491760716502814E-3</v>
      </c>
      <c r="BI423" s="3">
        <f>$AX423*(VLOOKUP($AY423,'Pregnancy costs and utilities'!$A$23:$H$158,5))</f>
        <v>8.1202046935182732</v>
      </c>
      <c r="BJ423" s="3">
        <f>SUM(BH423:BI423)</f>
        <v>8.1217538695899236</v>
      </c>
      <c r="BK423" s="3"/>
      <c r="BL423" s="3">
        <f>BC423+BI423</f>
        <v>12.397768049019888</v>
      </c>
      <c r="BN423" s="1" t="str">
        <f>IF(AV423=AX423,"Okay",IF(AV423&gt;AX423,"Lost infant","Gained infant"))</f>
        <v>Okay</v>
      </c>
    </row>
    <row r="424" spans="9:66" x14ac:dyDescent="0.25">
      <c r="I424" s="3"/>
      <c r="O424" s="3"/>
      <c r="U424" s="238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238"/>
      <c r="AN424" s="3"/>
      <c r="AO424" s="3"/>
      <c r="AP424" s="3"/>
      <c r="AQ424" s="3"/>
      <c r="AR424" s="3"/>
      <c r="AS424" s="240" t="s">
        <v>498</v>
      </c>
      <c r="AT424" s="235"/>
      <c r="AU424" s="235"/>
      <c r="AV424" s="235"/>
      <c r="AW424" s="235"/>
      <c r="AX424" s="235"/>
      <c r="AY424" s="235"/>
      <c r="AZ424" s="235"/>
      <c r="BA424" s="235"/>
      <c r="BB424" s="235"/>
      <c r="BC424" s="235"/>
      <c r="BD424" s="235"/>
      <c r="BE424" s="235"/>
      <c r="BF424" s="235"/>
      <c r="BG424" s="235"/>
      <c r="BH424" s="235"/>
      <c r="BI424" s="235"/>
      <c r="BJ424" s="235"/>
      <c r="BK424" s="235"/>
      <c r="BL424" s="235"/>
      <c r="BM424" s="235"/>
      <c r="BN424" s="235"/>
    </row>
    <row r="425" spans="9:66" x14ac:dyDescent="0.25">
      <c r="I425" s="3"/>
      <c r="O425" s="3"/>
      <c r="U425" s="238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238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</row>
    <row r="426" spans="9:66" x14ac:dyDescent="0.25">
      <c r="I426" s="3"/>
      <c r="O426" s="3"/>
      <c r="U426" s="238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236" t="s">
        <v>485</v>
      </c>
      <c r="AH426" s="237"/>
      <c r="AI426" s="237"/>
      <c r="AJ426" s="237"/>
      <c r="AK426" s="237"/>
      <c r="AL426" s="371"/>
      <c r="AM426" s="238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</row>
    <row r="427" spans="9:66" x14ac:dyDescent="0.25">
      <c r="I427" s="3"/>
      <c r="O427" s="3"/>
      <c r="U427" s="238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238" t="s">
        <v>344</v>
      </c>
      <c r="AH427" s="3">
        <f>DET_MORT_pre_eclampsia</f>
        <v>1.8648298999999959E-4</v>
      </c>
      <c r="AI427" s="3" t="s">
        <v>345</v>
      </c>
      <c r="AJ427" s="3">
        <f>AH427*AD435</f>
        <v>5.5184000530139187E-4</v>
      </c>
      <c r="AK427" s="3" t="s">
        <v>346</v>
      </c>
      <c r="AL427" s="370">
        <f>AH427*AF435</f>
        <v>5.5184000530139187E-4</v>
      </c>
      <c r="AM427" s="238"/>
      <c r="AN427" s="3"/>
      <c r="AO427" s="3"/>
      <c r="AP427" s="3"/>
      <c r="AQ427" s="3"/>
      <c r="AR427" s="3"/>
      <c r="AS427" s="236" t="s">
        <v>499</v>
      </c>
      <c r="AT427" s="237"/>
      <c r="AU427" s="237"/>
      <c r="AV427" s="237"/>
      <c r="AW427" s="237"/>
      <c r="AX427" s="237"/>
      <c r="AY427" s="237"/>
      <c r="AZ427" s="237"/>
      <c r="BA427" s="237"/>
      <c r="BB427" s="237"/>
      <c r="BC427" s="237"/>
      <c r="BD427" s="237"/>
      <c r="BE427" s="237"/>
      <c r="BF427" s="237"/>
      <c r="BG427" s="237"/>
      <c r="BH427" s="237"/>
      <c r="BI427" s="237"/>
      <c r="BJ427" s="237"/>
      <c r="BK427" s="237"/>
      <c r="BL427" s="237"/>
      <c r="BM427" s="237"/>
      <c r="BN427" s="237"/>
    </row>
    <row r="428" spans="9:66" x14ac:dyDescent="0.25">
      <c r="I428" s="3"/>
      <c r="O428" s="3"/>
      <c r="U428" s="238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238"/>
      <c r="AH428" s="3"/>
      <c r="AI428" s="3"/>
      <c r="AJ428" s="3"/>
      <c r="AK428" s="3"/>
      <c r="AL428" s="3"/>
      <c r="AM428" s="238" t="s">
        <v>344</v>
      </c>
      <c r="AN428" s="1">
        <f>1-AN423</f>
        <v>0</v>
      </c>
      <c r="AO428" s="1" t="s">
        <v>345</v>
      </c>
      <c r="AP428" s="1">
        <f>AN428*AJ427</f>
        <v>0</v>
      </c>
      <c r="AQ428" s="1" t="s">
        <v>346</v>
      </c>
      <c r="AR428" s="1">
        <f>AN428*AL427</f>
        <v>0</v>
      </c>
      <c r="AS428" s="238" t="s">
        <v>344</v>
      </c>
      <c r="AT428" s="3">
        <f>DET_CS_stillbirth_nbw_premature</f>
        <v>9.5923131756814883E-3</v>
      </c>
      <c r="AU428" s="3" t="s">
        <v>345</v>
      </c>
      <c r="AV428" s="3">
        <f>AT428*AP428</f>
        <v>0</v>
      </c>
      <c r="AW428" s="3" t="s">
        <v>346</v>
      </c>
      <c r="AX428" s="3">
        <f>AT428*AR428</f>
        <v>0</v>
      </c>
      <c r="AY428" s="3">
        <f>AY423+1</f>
        <v>107</v>
      </c>
      <c r="AZ428" s="3"/>
      <c r="BA428" s="1">
        <f>det_cost_experimental*AV428</f>
        <v>0</v>
      </c>
      <c r="BB428" s="3">
        <f>$AV428*(VLOOKUP($AY428,'Pregnancy costs and utilities'!$A$23:$H$158,3))</f>
        <v>0</v>
      </c>
      <c r="BC428" s="3">
        <f>SUM(BA428:BB428)</f>
        <v>0</v>
      </c>
      <c r="BD428" s="3"/>
      <c r="BE428" s="3">
        <f>$AV428*(VLOOKUP($AY428,'Pregnancy costs and utilities'!$A$23:$I$158,9))</f>
        <v>0</v>
      </c>
      <c r="BF428" s="3">
        <f>$AV428*(VLOOKUP($AY428,'Pregnancy costs and utilities'!$A$23:$H$158,7))</f>
        <v>0</v>
      </c>
      <c r="BG428" s="3"/>
      <c r="BH428" s="3">
        <f>$BA428</f>
        <v>0</v>
      </c>
      <c r="BI428" s="3">
        <f>$AX428*(VLOOKUP($AY428,'Pregnancy costs and utilities'!$A$23:$H$158,5))</f>
        <v>0</v>
      </c>
      <c r="BJ428" s="3">
        <f>SUM(BH428:BI428)</f>
        <v>0</v>
      </c>
      <c r="BK428" s="3"/>
      <c r="BL428" s="3">
        <f>BC428+BI428</f>
        <v>0</v>
      </c>
      <c r="BN428" s="1" t="str">
        <f>IF(AV428=AX428,"Okay",IF(AV428&gt;AX428,"Lost infant","Gained infant"))</f>
        <v>Okay</v>
      </c>
    </row>
    <row r="429" spans="9:66" x14ac:dyDescent="0.25">
      <c r="I429" s="3"/>
      <c r="O429" s="3"/>
      <c r="U429" s="238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238"/>
      <c r="AH429" s="3"/>
      <c r="AI429" s="3"/>
      <c r="AJ429" s="3"/>
      <c r="AK429" s="3"/>
      <c r="AL429" s="3"/>
      <c r="AM429" s="240" t="s">
        <v>490</v>
      </c>
      <c r="AN429" s="235"/>
      <c r="AO429" s="235"/>
      <c r="AP429" s="235"/>
      <c r="AQ429" s="235"/>
      <c r="AR429" s="239"/>
      <c r="AS429" s="238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</row>
    <row r="430" spans="9:66" x14ac:dyDescent="0.25">
      <c r="I430" s="3"/>
      <c r="O430" s="3"/>
      <c r="U430" s="238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238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238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</row>
    <row r="431" spans="9:66" x14ac:dyDescent="0.25">
      <c r="I431" s="3"/>
      <c r="O431" s="3"/>
      <c r="U431" s="238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238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238" t="s">
        <v>344</v>
      </c>
      <c r="AT431" s="3">
        <f>1-AT428</f>
        <v>0.99040768682431857</v>
      </c>
      <c r="AU431" s="3" t="s">
        <v>345</v>
      </c>
      <c r="AV431" s="3">
        <f>AT431*AP428</f>
        <v>0</v>
      </c>
      <c r="AW431" s="3" t="s">
        <v>346</v>
      </c>
      <c r="AX431" s="3">
        <f>AT431*AR428</f>
        <v>0</v>
      </c>
      <c r="AY431" s="3">
        <f>AY428+1</f>
        <v>108</v>
      </c>
      <c r="AZ431" s="3"/>
      <c r="BA431" s="1">
        <f>det_cost_experimental*AV431</f>
        <v>0</v>
      </c>
      <c r="BB431" s="3">
        <f>$AV431*(VLOOKUP($AY431,'Pregnancy costs and utilities'!$A$23:$H$158,3))</f>
        <v>0</v>
      </c>
      <c r="BC431" s="3">
        <f>SUM(BA431:BB431)</f>
        <v>0</v>
      </c>
      <c r="BD431" s="3"/>
      <c r="BE431" s="3">
        <f>$AV431*(VLOOKUP($AY431,'Pregnancy costs and utilities'!$A$23:$I$158,9))</f>
        <v>0</v>
      </c>
      <c r="BF431" s="3">
        <f>$AV431*(VLOOKUP($AY431,'Pregnancy costs and utilities'!$A$23:$H$158,7))</f>
        <v>0</v>
      </c>
      <c r="BG431" s="3"/>
      <c r="BH431" s="3">
        <f>$BA431</f>
        <v>0</v>
      </c>
      <c r="BI431" s="3">
        <f>$AX431*(VLOOKUP($AY431,'Pregnancy costs and utilities'!$A$23:$H$158,5))</f>
        <v>0</v>
      </c>
      <c r="BJ431" s="3">
        <f>SUM(BH431:BI431)</f>
        <v>0</v>
      </c>
      <c r="BK431" s="3"/>
      <c r="BL431" s="3">
        <f>BC431+BI431</f>
        <v>0</v>
      </c>
      <c r="BN431" s="1" t="str">
        <f>IF(AV431=AX431,"Okay",IF(AV431&gt;AX431,"Lost infant","Gained infant"))</f>
        <v>Okay</v>
      </c>
    </row>
    <row r="432" spans="9:66" x14ac:dyDescent="0.25">
      <c r="O432" s="3"/>
      <c r="U432" s="238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238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240" t="s">
        <v>500</v>
      </c>
      <c r="AT432" s="235"/>
      <c r="AU432" s="235"/>
      <c r="AV432" s="235"/>
      <c r="AW432" s="235"/>
      <c r="AX432" s="235"/>
      <c r="AY432" s="235"/>
      <c r="AZ432" s="235"/>
      <c r="BA432" s="235"/>
      <c r="BB432" s="235"/>
      <c r="BC432" s="235"/>
      <c r="BD432" s="235"/>
      <c r="BE432" s="235"/>
      <c r="BF432" s="235"/>
      <c r="BG432" s="235"/>
      <c r="BH432" s="235"/>
      <c r="BI432" s="235"/>
      <c r="BJ432" s="235"/>
      <c r="BK432" s="235"/>
      <c r="BL432" s="235"/>
      <c r="BM432" s="235"/>
      <c r="BN432" s="235"/>
    </row>
    <row r="433" spans="15:66" x14ac:dyDescent="0.25">
      <c r="O433" s="3"/>
      <c r="U433" s="238"/>
      <c r="V433" s="3"/>
      <c r="W433" s="3"/>
      <c r="X433" s="3"/>
      <c r="Y433" s="3"/>
      <c r="Z433" s="3"/>
      <c r="AG433" s="238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</row>
    <row r="434" spans="15:66" x14ac:dyDescent="0.25">
      <c r="O434" s="3"/>
      <c r="U434" s="238"/>
      <c r="V434" s="3"/>
      <c r="W434" s="3"/>
      <c r="X434" s="3"/>
      <c r="Y434" s="3"/>
      <c r="Z434" s="3"/>
      <c r="AA434" s="236" t="s">
        <v>483</v>
      </c>
      <c r="AB434" s="237"/>
      <c r="AC434" s="237"/>
      <c r="AD434" s="237"/>
      <c r="AE434" s="237"/>
      <c r="AF434" s="371"/>
      <c r="AG434" s="238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</row>
    <row r="435" spans="15:66" x14ac:dyDescent="0.25">
      <c r="O435" s="3"/>
      <c r="U435" s="238"/>
      <c r="V435" s="3"/>
      <c r="W435" s="3"/>
      <c r="X435" s="3"/>
      <c r="Y435" s="3"/>
      <c r="Z435" s="3"/>
      <c r="AA435" s="238" t="s">
        <v>344</v>
      </c>
      <c r="AB435" s="1">
        <f>DET_CS_premature_pre_eclampsia</f>
        <v>0.32763540895433946</v>
      </c>
      <c r="AC435" s="1" t="s">
        <v>345</v>
      </c>
      <c r="AD435" s="1">
        <f>AB435*X451</f>
        <v>2.9591975402228003</v>
      </c>
      <c r="AE435" s="1" t="s">
        <v>346</v>
      </c>
      <c r="AF435" s="1">
        <f>AB435*Z451</f>
        <v>2.9591975402228003</v>
      </c>
      <c r="AG435" s="238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236" t="s">
        <v>501</v>
      </c>
      <c r="AT435" s="237"/>
      <c r="AU435" s="237"/>
      <c r="AV435" s="237"/>
      <c r="AW435" s="237"/>
      <c r="AX435" s="237"/>
      <c r="AY435" s="237"/>
      <c r="AZ435" s="237"/>
      <c r="BA435" s="237"/>
      <c r="BB435" s="237"/>
      <c r="BC435" s="237"/>
      <c r="BD435" s="237"/>
      <c r="BE435" s="237"/>
      <c r="BF435" s="237"/>
      <c r="BG435" s="237"/>
      <c r="BH435" s="237"/>
      <c r="BI435" s="237"/>
      <c r="BJ435" s="237"/>
      <c r="BK435" s="237"/>
      <c r="BL435" s="237"/>
      <c r="BM435" s="237"/>
      <c r="BN435" s="237"/>
    </row>
    <row r="436" spans="15:66" x14ac:dyDescent="0.25">
      <c r="O436" s="3"/>
      <c r="U436" s="238"/>
      <c r="V436" s="3"/>
      <c r="W436" s="3"/>
      <c r="X436" s="3"/>
      <c r="Y436" s="3"/>
      <c r="Z436" s="3"/>
      <c r="AA436" s="238"/>
      <c r="AB436" s="3"/>
      <c r="AC436" s="3"/>
      <c r="AD436" s="3"/>
      <c r="AE436" s="3"/>
      <c r="AF436" s="3"/>
      <c r="AG436" s="238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238" t="s">
        <v>344</v>
      </c>
      <c r="AT436" s="3">
        <f>DET_CS_stillbirth_lbw_premature</f>
        <v>7.6548660672211805E-2</v>
      </c>
      <c r="AU436" s="3" t="s">
        <v>345</v>
      </c>
      <c r="AV436" s="3">
        <f>AT436*AP439</f>
        <v>0.2264803657552478</v>
      </c>
      <c r="AW436" s="3" t="s">
        <v>346</v>
      </c>
      <c r="AX436" s="3">
        <f>AT436*AR439</f>
        <v>0.2264803657552478</v>
      </c>
      <c r="AY436" s="3">
        <f>AY431+1</f>
        <v>109</v>
      </c>
      <c r="AZ436" s="3"/>
      <c r="BA436" s="1">
        <f>det_cost_experimental*AV436</f>
        <v>0.68850031189595329</v>
      </c>
      <c r="BB436" s="3">
        <f>$AV436*(VLOOKUP($AY436,'Pregnancy costs and utilities'!$A$23:$H$158,3))</f>
        <v>1531.0040356734858</v>
      </c>
      <c r="BC436" s="3">
        <f>SUM(BA436:BB436)</f>
        <v>1531.6925359853817</v>
      </c>
      <c r="BD436" s="3"/>
      <c r="BE436" s="3">
        <f>$AV436*(VLOOKUP($AY436,'Pregnancy costs and utilities'!$A$23:$I$158,9))</f>
        <v>0.14372792442159957</v>
      </c>
      <c r="BF436" s="3">
        <f>$AV436*(VLOOKUP($AY436,'Pregnancy costs and utilities'!$A$23:$H$158,7))</f>
        <v>0.12509313895320689</v>
      </c>
      <c r="BG436" s="3"/>
      <c r="BH436" s="3">
        <f>$BA436</f>
        <v>0.68850031189595329</v>
      </c>
      <c r="BI436" s="3">
        <f>$AX436*(VLOOKUP($AY436,'Pregnancy costs and utilities'!$A$23:$H$158,5))</f>
        <v>240.81129446507109</v>
      </c>
      <c r="BJ436" s="3">
        <f>SUM(BH436:BI436)</f>
        <v>241.49979477696704</v>
      </c>
      <c r="BK436" s="3"/>
      <c r="BL436" s="3">
        <f>BC436+BI436</f>
        <v>1772.5038304504528</v>
      </c>
      <c r="BN436" s="1" t="str">
        <f>IF(AV436=AX436,"Okay",IF(AV436&gt;AX436,"Lost infant","Gained infant"))</f>
        <v>Okay</v>
      </c>
    </row>
    <row r="437" spans="15:66" x14ac:dyDescent="0.25">
      <c r="O437" s="3"/>
      <c r="U437" s="238"/>
      <c r="V437" s="3"/>
      <c r="W437" s="3"/>
      <c r="X437" s="3"/>
      <c r="Y437" s="3"/>
      <c r="Z437" s="3"/>
      <c r="AA437" s="238"/>
      <c r="AB437" s="3"/>
      <c r="AC437" s="3"/>
      <c r="AD437" s="3"/>
      <c r="AE437" s="3"/>
      <c r="AF437" s="3"/>
      <c r="AG437" s="238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238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</row>
    <row r="438" spans="15:66" x14ac:dyDescent="0.25">
      <c r="O438" s="3"/>
      <c r="U438" s="238"/>
      <c r="V438" s="3"/>
      <c r="W438" s="3"/>
      <c r="X438" s="3"/>
      <c r="Y438" s="3"/>
      <c r="Z438" s="3"/>
      <c r="AA438" s="238"/>
      <c r="AB438" s="3"/>
      <c r="AC438" s="3"/>
      <c r="AD438" s="3"/>
      <c r="AE438" s="3"/>
      <c r="AF438" s="3"/>
      <c r="AG438" s="238"/>
      <c r="AH438" s="3"/>
      <c r="AI438" s="3"/>
      <c r="AJ438" s="3"/>
      <c r="AK438" s="3"/>
      <c r="AL438" s="3"/>
      <c r="AM438" s="236" t="s">
        <v>491</v>
      </c>
      <c r="AN438" s="237"/>
      <c r="AO438" s="237"/>
      <c r="AP438" s="237"/>
      <c r="AQ438" s="237"/>
      <c r="AR438" s="371"/>
      <c r="AS438" s="238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</row>
    <row r="439" spans="15:66" x14ac:dyDescent="0.25">
      <c r="O439" s="3"/>
      <c r="U439" s="238"/>
      <c r="V439" s="3"/>
      <c r="W439" s="3"/>
      <c r="X439" s="3"/>
      <c r="Y439" s="3"/>
      <c r="Z439" s="3"/>
      <c r="AA439" s="238"/>
      <c r="AB439" s="3"/>
      <c r="AC439" s="3"/>
      <c r="AD439" s="3"/>
      <c r="AE439" s="3"/>
      <c r="AF439" s="3"/>
      <c r="AG439" s="238"/>
      <c r="AH439" s="3"/>
      <c r="AI439" s="3"/>
      <c r="AJ439" s="3"/>
      <c r="AK439" s="3"/>
      <c r="AL439" s="3"/>
      <c r="AM439" s="238" t="s">
        <v>344</v>
      </c>
      <c r="AN439" s="3">
        <f>DET_CS_lbw_premature</f>
        <v>1</v>
      </c>
      <c r="AO439" s="3" t="s">
        <v>345</v>
      </c>
      <c r="AP439" s="3">
        <f>AN439*AJ440</f>
        <v>2.9586457002174988</v>
      </c>
      <c r="AQ439" s="3" t="s">
        <v>346</v>
      </c>
      <c r="AR439" s="370">
        <f>AN439*AL440</f>
        <v>2.9586457002174988</v>
      </c>
      <c r="AS439" s="238" t="s">
        <v>344</v>
      </c>
      <c r="AT439" s="3">
        <f>1-AT436</f>
        <v>0.92345133932778822</v>
      </c>
      <c r="AU439" s="3" t="s">
        <v>345</v>
      </c>
      <c r="AV439" s="3">
        <f>AT439*AP439</f>
        <v>2.732165334462251</v>
      </c>
      <c r="AW439" s="3" t="s">
        <v>346</v>
      </c>
      <c r="AX439" s="3">
        <f>AT439*AR439</f>
        <v>2.732165334462251</v>
      </c>
      <c r="AY439" s="3">
        <f>AY436+1</f>
        <v>110</v>
      </c>
      <c r="AZ439" s="3"/>
      <c r="BA439" s="1">
        <f>det_cost_experimental*AV439</f>
        <v>8.3057826167652422</v>
      </c>
      <c r="BB439" s="3">
        <f>$AV439*(VLOOKUP($AY439,'Pregnancy costs and utilities'!$A$23:$H$158,3))</f>
        <v>18469.398613164245</v>
      </c>
      <c r="BC439" s="3">
        <f>SUM(BA439:BB439)</f>
        <v>18477.704395781009</v>
      </c>
      <c r="BD439" s="3"/>
      <c r="BE439" s="3">
        <f>$AV439*(VLOOKUP($AY439,'Pregnancy costs and utilities'!$A$23:$I$158,9))</f>
        <v>1.7338741545625822</v>
      </c>
      <c r="BF439" s="3">
        <f>$AV439*(VLOOKUP($AY439,'Pregnancy costs and utilities'!$A$23:$H$158,7))</f>
        <v>1.6824592358204571</v>
      </c>
      <c r="BG439" s="3"/>
      <c r="BH439" s="3">
        <f>$BA439</f>
        <v>8.3057826167652422</v>
      </c>
      <c r="BI439" s="3">
        <f>$AX439*(VLOOKUP($AY439,'Pregnancy costs and utilities'!$A$23:$H$158,5))</f>
        <v>43535.822830101715</v>
      </c>
      <c r="BJ439" s="3">
        <f>SUM(BH439:BI439)</f>
        <v>43544.128612718479</v>
      </c>
      <c r="BK439" s="3"/>
      <c r="BL439" s="3">
        <f>BC439+BI439</f>
        <v>62013.527225882724</v>
      </c>
      <c r="BN439" s="1" t="str">
        <f>IF(AV439=AX439,"Okay",IF(AV439&gt;AX439,"Lost infant","Gained infant"))</f>
        <v>Okay</v>
      </c>
    </row>
    <row r="440" spans="15:66" x14ac:dyDescent="0.25">
      <c r="O440" s="3"/>
      <c r="U440" s="238"/>
      <c r="V440" s="3"/>
      <c r="W440" s="3"/>
      <c r="X440" s="3"/>
      <c r="Y440" s="3"/>
      <c r="Z440" s="3"/>
      <c r="AA440" s="238"/>
      <c r="AB440" s="3"/>
      <c r="AC440" s="3"/>
      <c r="AD440" s="3"/>
      <c r="AE440" s="3"/>
      <c r="AF440" s="3"/>
      <c r="AG440" s="238" t="s">
        <v>344</v>
      </c>
      <c r="AH440" s="1">
        <f>1-AH427</f>
        <v>0.99981351700999999</v>
      </c>
      <c r="AI440" s="1" t="s">
        <v>345</v>
      </c>
      <c r="AJ440" s="1">
        <f>AH440*AD435</f>
        <v>2.9586457002174988</v>
      </c>
      <c r="AK440" s="1" t="s">
        <v>346</v>
      </c>
      <c r="AL440" s="1">
        <f>AH440*AF435</f>
        <v>2.9586457002174988</v>
      </c>
      <c r="AM440" s="238"/>
      <c r="AN440" s="3"/>
      <c r="AO440" s="3"/>
      <c r="AP440" s="3"/>
      <c r="AQ440" s="3"/>
      <c r="AR440" s="3"/>
      <c r="AS440" s="240" t="s">
        <v>502</v>
      </c>
      <c r="AT440" s="235"/>
      <c r="AU440" s="235"/>
      <c r="AV440" s="235"/>
      <c r="AW440" s="235"/>
      <c r="AX440" s="235"/>
      <c r="AY440" s="235"/>
      <c r="AZ440" s="235"/>
      <c r="BA440" s="235"/>
      <c r="BB440" s="235"/>
      <c r="BC440" s="235"/>
      <c r="BD440" s="235"/>
      <c r="BE440" s="235"/>
      <c r="BF440" s="235"/>
      <c r="BG440" s="235"/>
      <c r="BH440" s="235"/>
      <c r="BI440" s="235"/>
      <c r="BJ440" s="235"/>
      <c r="BK440" s="235"/>
      <c r="BL440" s="235"/>
      <c r="BM440" s="235"/>
      <c r="BN440" s="235"/>
    </row>
    <row r="441" spans="15:66" x14ac:dyDescent="0.25">
      <c r="O441" s="3"/>
      <c r="U441" s="238"/>
      <c r="V441" s="3"/>
      <c r="W441" s="3"/>
      <c r="X441" s="3"/>
      <c r="Y441" s="3"/>
      <c r="Z441" s="3"/>
      <c r="AA441" s="238"/>
      <c r="AB441" s="3"/>
      <c r="AC441" s="3"/>
      <c r="AD441" s="3"/>
      <c r="AE441" s="3"/>
      <c r="AF441" s="3"/>
      <c r="AG441" s="240" t="s">
        <v>486</v>
      </c>
      <c r="AH441" s="235"/>
      <c r="AI441" s="235"/>
      <c r="AJ441" s="235"/>
      <c r="AK441" s="235"/>
      <c r="AL441" s="239"/>
      <c r="AM441" s="238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</row>
    <row r="442" spans="15:66" x14ac:dyDescent="0.25">
      <c r="O442" s="3"/>
      <c r="U442" s="238"/>
      <c r="V442" s="3"/>
      <c r="W442" s="3"/>
      <c r="X442" s="3"/>
      <c r="Y442" s="3"/>
      <c r="Z442" s="3"/>
      <c r="AA442" s="238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238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</row>
    <row r="443" spans="15:66" x14ac:dyDescent="0.25">
      <c r="O443" s="3"/>
      <c r="U443" s="238"/>
      <c r="V443" s="3"/>
      <c r="W443" s="3"/>
      <c r="X443" s="3"/>
      <c r="Y443" s="3"/>
      <c r="Z443" s="3"/>
      <c r="AA443" s="238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238"/>
      <c r="AN443" s="3"/>
      <c r="AO443" s="3"/>
      <c r="AP443" s="3"/>
      <c r="AQ443" s="3"/>
      <c r="AR443" s="3"/>
      <c r="AS443" s="236" t="s">
        <v>503</v>
      </c>
      <c r="AT443" s="237"/>
      <c r="AU443" s="237"/>
      <c r="AV443" s="237"/>
      <c r="AW443" s="237"/>
      <c r="AX443" s="237"/>
      <c r="AY443" s="237"/>
      <c r="AZ443" s="237"/>
      <c r="BA443" s="237"/>
      <c r="BB443" s="237"/>
      <c r="BC443" s="237"/>
      <c r="BD443" s="237"/>
      <c r="BE443" s="237"/>
      <c r="BF443" s="237"/>
      <c r="BG443" s="237"/>
      <c r="BH443" s="237"/>
      <c r="BI443" s="237"/>
      <c r="BJ443" s="237"/>
      <c r="BK443" s="237"/>
      <c r="BL443" s="237"/>
      <c r="BM443" s="237"/>
      <c r="BN443" s="237"/>
    </row>
    <row r="444" spans="15:66" x14ac:dyDescent="0.25">
      <c r="O444" s="3"/>
      <c r="U444" s="238"/>
      <c r="V444" s="3"/>
      <c r="W444" s="3"/>
      <c r="X444" s="3"/>
      <c r="Y444" s="3"/>
      <c r="Z444" s="3"/>
      <c r="AA444" s="238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238" t="s">
        <v>344</v>
      </c>
      <c r="AN444" s="1">
        <f>1-AN439</f>
        <v>0</v>
      </c>
      <c r="AO444" s="1" t="s">
        <v>345</v>
      </c>
      <c r="AP444" s="1">
        <f>AN444*AJ440</f>
        <v>0</v>
      </c>
      <c r="AQ444" s="1" t="s">
        <v>346</v>
      </c>
      <c r="AR444" s="1">
        <f>AN444*AL440</f>
        <v>0</v>
      </c>
      <c r="AS444" s="238" t="s">
        <v>344</v>
      </c>
      <c r="AT444" s="3">
        <f>DET_CS_stillbirth_nbw_premature</f>
        <v>9.5923131756814883E-3</v>
      </c>
      <c r="AU444" s="3" t="s">
        <v>345</v>
      </c>
      <c r="AV444" s="3">
        <f>AT444*AP444</f>
        <v>0</v>
      </c>
      <c r="AW444" s="3" t="s">
        <v>346</v>
      </c>
      <c r="AX444" s="3">
        <f>AT444*AR444</f>
        <v>0</v>
      </c>
      <c r="AY444" s="3">
        <f>AY439+1</f>
        <v>111</v>
      </c>
      <c r="AZ444" s="3"/>
      <c r="BA444" s="1">
        <f>det_cost_experimental*AV444</f>
        <v>0</v>
      </c>
      <c r="BB444" s="3">
        <f>$AV444*(VLOOKUP($AY444,'Pregnancy costs and utilities'!$A$23:$H$158,3))</f>
        <v>0</v>
      </c>
      <c r="BC444" s="3">
        <f>SUM(BA444:BB444)</f>
        <v>0</v>
      </c>
      <c r="BD444" s="3"/>
      <c r="BE444" s="3">
        <f>$AV444*(VLOOKUP($AY444,'Pregnancy costs and utilities'!$A$23:$I$158,9))</f>
        <v>0</v>
      </c>
      <c r="BF444" s="3">
        <f>$AV444*(VLOOKUP($AY444,'Pregnancy costs and utilities'!$A$23:$H$158,7))</f>
        <v>0</v>
      </c>
      <c r="BG444" s="3"/>
      <c r="BH444" s="3">
        <f>$BA444</f>
        <v>0</v>
      </c>
      <c r="BI444" s="3">
        <f>$AX444*(VLOOKUP($AY444,'Pregnancy costs and utilities'!$A$23:$H$158,5))</f>
        <v>0</v>
      </c>
      <c r="BJ444" s="3">
        <f>SUM(BH444:BI444)</f>
        <v>0</v>
      </c>
      <c r="BK444" s="3"/>
      <c r="BL444" s="3">
        <f>BC444+BI444</f>
        <v>0</v>
      </c>
      <c r="BN444" s="1" t="str">
        <f>IF(AV444=AX444,"Okay",IF(AV444&gt;AX444,"Lost infant","Gained infant"))</f>
        <v>Okay</v>
      </c>
    </row>
    <row r="445" spans="15:66" x14ac:dyDescent="0.25">
      <c r="O445" s="3"/>
      <c r="U445" s="238"/>
      <c r="V445" s="3"/>
      <c r="W445" s="3"/>
      <c r="X445" s="3"/>
      <c r="Y445" s="3"/>
      <c r="Z445" s="3"/>
      <c r="AA445" s="238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240" t="s">
        <v>492</v>
      </c>
      <c r="AN445" s="235"/>
      <c r="AO445" s="235"/>
      <c r="AP445" s="235"/>
      <c r="AQ445" s="235"/>
      <c r="AR445" s="239"/>
      <c r="AS445" s="238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</row>
    <row r="446" spans="15:66" x14ac:dyDescent="0.25">
      <c r="O446" s="3"/>
      <c r="U446" s="238"/>
      <c r="V446" s="3"/>
      <c r="W446" s="3"/>
      <c r="X446" s="3"/>
      <c r="Y446" s="3"/>
      <c r="Z446" s="3"/>
      <c r="AA446" s="238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238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</row>
    <row r="447" spans="15:66" x14ac:dyDescent="0.25">
      <c r="O447" s="3"/>
      <c r="U447" s="238"/>
      <c r="V447" s="3"/>
      <c r="W447" s="3"/>
      <c r="X447" s="3"/>
      <c r="Y447" s="3"/>
      <c r="Z447" s="3"/>
      <c r="AA447" s="238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238" t="s">
        <v>344</v>
      </c>
      <c r="AT447" s="3">
        <f>1-AT444</f>
        <v>0.99040768682431857</v>
      </c>
      <c r="AU447" s="3" t="s">
        <v>345</v>
      </c>
      <c r="AV447" s="3">
        <f>AT447*AP444</f>
        <v>0</v>
      </c>
      <c r="AW447" s="3" t="s">
        <v>346</v>
      </c>
      <c r="AX447" s="3">
        <f>AT447*AR444</f>
        <v>0</v>
      </c>
      <c r="AY447" s="3">
        <f>AY444+1</f>
        <v>112</v>
      </c>
      <c r="AZ447" s="3"/>
      <c r="BA447" s="1">
        <f>det_cost_experimental*AV447</f>
        <v>0</v>
      </c>
      <c r="BB447" s="3">
        <f>$AV447*(VLOOKUP($AY447,'Pregnancy costs and utilities'!$A$23:$H$158,3))</f>
        <v>0</v>
      </c>
      <c r="BC447" s="3">
        <f>SUM(BA447:BB447)</f>
        <v>0</v>
      </c>
      <c r="BD447" s="3"/>
      <c r="BE447" s="3">
        <f>$AV447*(VLOOKUP($AY447,'Pregnancy costs and utilities'!$A$23:$I$158,9))</f>
        <v>0</v>
      </c>
      <c r="BF447" s="3">
        <f>$AV447*(VLOOKUP($AY447,'Pregnancy costs and utilities'!$A$23:$H$158,7))</f>
        <v>0</v>
      </c>
      <c r="BG447" s="3"/>
      <c r="BH447" s="3">
        <f>$BA447</f>
        <v>0</v>
      </c>
      <c r="BI447" s="3">
        <f>$AX447*(VLOOKUP($AY447,'Pregnancy costs and utilities'!$A$23:$H$158,5))</f>
        <v>0</v>
      </c>
      <c r="BJ447" s="3">
        <f>SUM(BH447:BI447)</f>
        <v>0</v>
      </c>
      <c r="BK447" s="3"/>
      <c r="BL447" s="3">
        <f>BC447+BI447</f>
        <v>0</v>
      </c>
      <c r="BN447" s="1" t="str">
        <f>IF(AV447=AX447,"Okay",IF(AV447&gt;AX447,"Lost infant","Gained infant"))</f>
        <v>Okay</v>
      </c>
    </row>
    <row r="448" spans="15:66" x14ac:dyDescent="0.25">
      <c r="O448" s="3"/>
      <c r="U448" s="238"/>
      <c r="V448" s="3"/>
      <c r="W448" s="3"/>
      <c r="X448" s="3"/>
      <c r="Y448" s="3"/>
      <c r="Z448" s="3"/>
      <c r="AA448" s="238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240" t="s">
        <v>504</v>
      </c>
      <c r="AT448" s="235"/>
      <c r="AU448" s="235"/>
      <c r="AV448" s="235"/>
      <c r="AW448" s="235"/>
      <c r="AX448" s="235"/>
      <c r="AY448" s="235"/>
      <c r="AZ448" s="235"/>
      <c r="BA448" s="235"/>
      <c r="BB448" s="235"/>
      <c r="BC448" s="235"/>
      <c r="BD448" s="235"/>
      <c r="BE448" s="235"/>
      <c r="BF448" s="235"/>
      <c r="BG448" s="235"/>
      <c r="BH448" s="235"/>
      <c r="BI448" s="235"/>
      <c r="BJ448" s="235"/>
      <c r="BK448" s="235"/>
      <c r="BL448" s="235"/>
      <c r="BM448" s="235"/>
      <c r="BN448" s="235"/>
    </row>
    <row r="449" spans="15:66" x14ac:dyDescent="0.25">
      <c r="O449" s="3"/>
      <c r="U449" s="238"/>
      <c r="V449" s="3"/>
      <c r="W449" s="3"/>
      <c r="X449" s="3"/>
      <c r="Y449" s="3"/>
      <c r="Z449" s="3"/>
      <c r="AA449" s="238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</row>
    <row r="450" spans="15:66" x14ac:dyDescent="0.25">
      <c r="O450" s="3"/>
      <c r="U450" s="236" t="s">
        <v>386</v>
      </c>
      <c r="V450" s="237"/>
      <c r="W450" s="237"/>
      <c r="X450" s="237"/>
      <c r="Y450" s="237"/>
      <c r="Z450" s="371"/>
      <c r="AA450" s="238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</row>
    <row r="451" spans="15:66" x14ac:dyDescent="0.25">
      <c r="O451" s="3"/>
      <c r="U451" s="238" t="s">
        <v>344</v>
      </c>
      <c r="V451" s="3">
        <f>DET_CS_pre_eclampsia</f>
        <v>1.0570393755309772E-2</v>
      </c>
      <c r="W451" s="3" t="s">
        <v>345</v>
      </c>
      <c r="X451" s="3">
        <f>V451*R416</f>
        <v>9.0319832940743154</v>
      </c>
      <c r="Y451" s="3" t="s">
        <v>346</v>
      </c>
      <c r="Z451" s="370">
        <f>V451*T416</f>
        <v>9.0319832940743154</v>
      </c>
      <c r="AA451" s="238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236" t="s">
        <v>505</v>
      </c>
      <c r="AT451" s="237"/>
      <c r="AU451" s="237"/>
      <c r="AV451" s="237"/>
      <c r="AW451" s="237"/>
      <c r="AX451" s="3"/>
      <c r="BJ451" s="237"/>
      <c r="BK451" s="237"/>
      <c r="BL451" s="237"/>
      <c r="BM451" s="237"/>
      <c r="BN451" s="237"/>
    </row>
    <row r="452" spans="15:66" x14ac:dyDescent="0.25">
      <c r="O452" s="3"/>
      <c r="U452" s="238"/>
      <c r="V452" s="3"/>
      <c r="W452" s="3"/>
      <c r="X452" s="3"/>
      <c r="Y452" s="3"/>
      <c r="Z452" s="3"/>
      <c r="AA452" s="238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238" t="s">
        <v>344</v>
      </c>
      <c r="AT452" s="1">
        <f>DET_CS_stillbirth_lbw_fullgest</f>
        <v>1.9354764795137105E-2</v>
      </c>
      <c r="AU452" s="1" t="s">
        <v>345</v>
      </c>
      <c r="AV452" s="1">
        <f>AT452*AP455</f>
        <v>1.0747700833219514E-6</v>
      </c>
      <c r="AW452" s="1" t="s">
        <v>346</v>
      </c>
      <c r="AX452" s="1">
        <f>AT452*AR455</f>
        <v>1.0747700833219514E-6</v>
      </c>
      <c r="AY452" s="1">
        <f>AY447+1</f>
        <v>113</v>
      </c>
      <c r="BA452" s="1">
        <f>det_cost_experimental*AV452</f>
        <v>3.2673010532987324E-6</v>
      </c>
      <c r="BB452" s="1">
        <f>$AV452*(VLOOKUP($AY452,'Pregnancy costs and utilities'!$A$23:$H$158,3))</f>
        <v>7.8221263522386068E-3</v>
      </c>
      <c r="BC452" s="1">
        <f>SUM(BA452:BB452)</f>
        <v>7.8253936532919049E-3</v>
      </c>
      <c r="BE452" s="1">
        <f>$AV452*(VLOOKUP($AY452,'Pregnancy costs and utilities'!$A$23:$I$158,9))</f>
        <v>0</v>
      </c>
      <c r="BF452" s="1">
        <f>$AV452*(VLOOKUP($AY452,'Pregnancy costs and utilities'!$A$23:$H$158,7))</f>
        <v>0</v>
      </c>
      <c r="BH452" s="1">
        <f>$BA452</f>
        <v>3.2673010532987324E-6</v>
      </c>
      <c r="BI452" s="1">
        <f>$AX452*(VLOOKUP($AY452,'Pregnancy costs and utilities'!$A$23:$H$158,5))</f>
        <v>1.1427779805724477E-3</v>
      </c>
      <c r="BJ452" s="3">
        <f>SUM(BH452:BI452)</f>
        <v>1.1460452816257464E-3</v>
      </c>
      <c r="BK452" s="3"/>
      <c r="BL452" s="3">
        <f>BC452+BI452</f>
        <v>8.9681716338643521E-3</v>
      </c>
      <c r="BN452" s="1" t="str">
        <f>IF(AV452=AX452,"Okay",IF(AV452&gt;AX452,"Lost infant","Gained infant"))</f>
        <v>Okay</v>
      </c>
    </row>
    <row r="453" spans="15:66" x14ac:dyDescent="0.25">
      <c r="O453" s="3"/>
      <c r="U453" s="238"/>
      <c r="V453" s="3"/>
      <c r="W453" s="3"/>
      <c r="X453" s="3"/>
      <c r="Y453" s="3"/>
      <c r="Z453" s="3"/>
      <c r="AA453" s="238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238"/>
      <c r="BJ453" s="3"/>
      <c r="BK453" s="3"/>
      <c r="BL453" s="3"/>
    </row>
    <row r="454" spans="15:66" x14ac:dyDescent="0.25">
      <c r="O454" s="3"/>
      <c r="U454" s="238"/>
      <c r="V454" s="3"/>
      <c r="W454" s="3"/>
      <c r="X454" s="3"/>
      <c r="Y454" s="3"/>
      <c r="Z454" s="3"/>
      <c r="AA454" s="238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236" t="s">
        <v>493</v>
      </c>
      <c r="AN454" s="237"/>
      <c r="AO454" s="237"/>
      <c r="AP454" s="237"/>
      <c r="AQ454" s="237"/>
      <c r="AR454" s="371"/>
      <c r="AS454" s="238"/>
      <c r="BJ454" s="3"/>
      <c r="BK454" s="3"/>
      <c r="BL454" s="3"/>
    </row>
    <row r="455" spans="15:66" x14ac:dyDescent="0.25">
      <c r="O455" s="3"/>
      <c r="U455" s="238"/>
      <c r="V455" s="3"/>
      <c r="W455" s="3"/>
      <c r="X455" s="3"/>
      <c r="Y455" s="3"/>
      <c r="Z455" s="3"/>
      <c r="AA455" s="238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238" t="s">
        <v>344</v>
      </c>
      <c r="AN455" s="3">
        <f>DET_CS_lbw_fullgest</f>
        <v>4.9034357338086171E-2</v>
      </c>
      <c r="AO455" s="3" t="s">
        <v>345</v>
      </c>
      <c r="AP455" s="3">
        <f>AN455*AJ459</f>
        <v>5.552999970281157E-5</v>
      </c>
      <c r="AQ455" s="3" t="s">
        <v>346</v>
      </c>
      <c r="AR455" s="370">
        <f>AN455*AL459</f>
        <v>5.552999970281157E-5</v>
      </c>
      <c r="AS455" s="238" t="s">
        <v>344</v>
      </c>
      <c r="AT455" s="1">
        <f>1-AT452</f>
        <v>0.98064523520486291</v>
      </c>
      <c r="AU455" s="1" t="s">
        <v>345</v>
      </c>
      <c r="AV455" s="1">
        <f>AT455*AP455</f>
        <v>5.4455229619489621E-5</v>
      </c>
      <c r="AW455" s="1" t="s">
        <v>346</v>
      </c>
      <c r="AX455" s="1">
        <f>AT455*AR455</f>
        <v>5.4455229619489621E-5</v>
      </c>
      <c r="AY455" s="1">
        <f>AY452+1</f>
        <v>114</v>
      </c>
      <c r="BA455" s="1">
        <f>det_cost_experimental*AV455</f>
        <v>1.6554389804324845E-4</v>
      </c>
      <c r="BB455" s="1">
        <f>$AV455*(VLOOKUP($AY455,'Pregnancy costs and utilities'!$A$23:$H$158,3))</f>
        <v>0.39632261190900436</v>
      </c>
      <c r="BC455" s="1">
        <f>SUM(BA455:BB455)</f>
        <v>0.3964881558070476</v>
      </c>
      <c r="BE455" s="1">
        <f>$AV455*(VLOOKUP($AY455,'Pregnancy costs and utilities'!$A$23:$I$158,9))</f>
        <v>0</v>
      </c>
      <c r="BF455" s="1">
        <f>$AV455*(VLOOKUP($AY455,'Pregnancy costs and utilities'!$A$23:$H$158,7))</f>
        <v>0</v>
      </c>
      <c r="BH455" s="1">
        <f>$BA455</f>
        <v>1.6554389804324845E-4</v>
      </c>
      <c r="BI455" s="1">
        <f>$AX455*(VLOOKUP($AY455,'Pregnancy costs and utilities'!$A$23:$H$158,5))</f>
        <v>0.14408133448566568</v>
      </c>
      <c r="BJ455" s="3">
        <f>SUM(BH455:BI455)</f>
        <v>0.14424687838370892</v>
      </c>
      <c r="BK455" s="3"/>
      <c r="BL455" s="3">
        <f>BC455+BI455</f>
        <v>0.54056949029271328</v>
      </c>
      <c r="BN455" s="1" t="str">
        <f>IF(AV455=AX455,"Okay",IF(AV455&gt;AX455,"Lost infant","Gained infant"))</f>
        <v>Okay</v>
      </c>
    </row>
    <row r="456" spans="15:66" x14ac:dyDescent="0.25">
      <c r="O456" s="3"/>
      <c r="U456" s="238"/>
      <c r="V456" s="3"/>
      <c r="W456" s="3"/>
      <c r="X456" s="3"/>
      <c r="Y456" s="3"/>
      <c r="Z456" s="3"/>
      <c r="AA456" s="238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238"/>
      <c r="AN456" s="3"/>
      <c r="AO456" s="3"/>
      <c r="AP456" s="3"/>
      <c r="AQ456" s="3"/>
      <c r="AR456" s="3"/>
      <c r="AS456" s="240" t="s">
        <v>506</v>
      </c>
      <c r="AT456" s="235"/>
      <c r="AU456" s="235"/>
      <c r="AV456" s="235"/>
      <c r="AW456" s="235"/>
      <c r="AX456" s="235"/>
      <c r="AY456" s="235"/>
      <c r="AZ456" s="235"/>
      <c r="BA456" s="235"/>
      <c r="BB456" s="235"/>
      <c r="BC456" s="235"/>
      <c r="BD456" s="235"/>
      <c r="BE456" s="235"/>
      <c r="BF456" s="235"/>
      <c r="BG456" s="235"/>
      <c r="BH456" s="235"/>
      <c r="BI456" s="235"/>
      <c r="BJ456" s="235"/>
      <c r="BK456" s="235"/>
      <c r="BL456" s="235"/>
      <c r="BM456" s="235"/>
      <c r="BN456" s="235"/>
    </row>
    <row r="457" spans="15:66" x14ac:dyDescent="0.25">
      <c r="O457" s="3"/>
      <c r="U457" s="238"/>
      <c r="V457" s="3"/>
      <c r="W457" s="3"/>
      <c r="X457" s="3"/>
      <c r="Y457" s="3"/>
      <c r="Z457" s="3"/>
      <c r="AA457" s="238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238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</row>
    <row r="458" spans="15:66" x14ac:dyDescent="0.25">
      <c r="O458" s="3"/>
      <c r="U458" s="238"/>
      <c r="V458" s="3"/>
      <c r="W458" s="3"/>
      <c r="X458" s="3"/>
      <c r="Y458" s="3"/>
      <c r="Z458" s="3"/>
      <c r="AA458" s="238"/>
      <c r="AB458" s="3"/>
      <c r="AC458" s="3"/>
      <c r="AD458" s="3"/>
      <c r="AE458" s="3"/>
      <c r="AF458" s="3"/>
      <c r="AG458" s="236" t="s">
        <v>487</v>
      </c>
      <c r="AH458" s="237"/>
      <c r="AI458" s="237"/>
      <c r="AJ458" s="237"/>
      <c r="AK458" s="237"/>
      <c r="AL458" s="371"/>
      <c r="AM458" s="238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</row>
    <row r="459" spans="15:66" x14ac:dyDescent="0.25">
      <c r="O459" s="3"/>
      <c r="U459" s="238"/>
      <c r="V459" s="3"/>
      <c r="W459" s="3"/>
      <c r="X459" s="3"/>
      <c r="Y459" s="3"/>
      <c r="Z459" s="3"/>
      <c r="AA459" s="238"/>
      <c r="AB459" s="3"/>
      <c r="AC459" s="3"/>
      <c r="AD459" s="3"/>
      <c r="AE459" s="3"/>
      <c r="AF459" s="3"/>
      <c r="AG459" s="238" t="s">
        <v>344</v>
      </c>
      <c r="AH459" s="3">
        <f>DET_MORT_pre_eclampsia</f>
        <v>1.8648298999999959E-4</v>
      </c>
      <c r="AI459" s="3" t="s">
        <v>345</v>
      </c>
      <c r="AJ459" s="3">
        <f>AH459*AD464</f>
        <v>1.1324712450076321E-3</v>
      </c>
      <c r="AK459" s="3" t="s">
        <v>346</v>
      </c>
      <c r="AL459" s="370">
        <f>AH459*AF464</f>
        <v>1.1324712450076321E-3</v>
      </c>
      <c r="AM459" s="238"/>
      <c r="AN459" s="3"/>
      <c r="AO459" s="3"/>
      <c r="AP459" s="3"/>
      <c r="AQ459" s="3"/>
      <c r="AR459" s="3"/>
      <c r="AS459" s="236" t="s">
        <v>507</v>
      </c>
      <c r="AT459" s="237"/>
      <c r="AU459" s="237"/>
      <c r="AV459" s="237"/>
      <c r="AW459" s="237"/>
      <c r="AX459" s="237"/>
      <c r="AY459" s="237"/>
      <c r="AZ459" s="237"/>
      <c r="BA459" s="237"/>
      <c r="BB459" s="237"/>
      <c r="BC459" s="237"/>
      <c r="BD459" s="237"/>
      <c r="BE459" s="237"/>
      <c r="BF459" s="237"/>
      <c r="BG459" s="237"/>
      <c r="BH459" s="237"/>
      <c r="BI459" s="237"/>
      <c r="BJ459" s="237"/>
      <c r="BK459" s="237"/>
      <c r="BL459" s="237"/>
      <c r="BM459" s="237"/>
      <c r="BN459" s="237"/>
    </row>
    <row r="460" spans="15:66" x14ac:dyDescent="0.25">
      <c r="O460" s="3"/>
      <c r="U460" s="238"/>
      <c r="V460" s="3"/>
      <c r="W460" s="3"/>
      <c r="X460" s="3"/>
      <c r="Y460" s="3"/>
      <c r="Z460" s="3"/>
      <c r="AA460" s="238"/>
      <c r="AB460" s="3"/>
      <c r="AC460" s="3"/>
      <c r="AD460" s="3"/>
      <c r="AE460" s="3"/>
      <c r="AF460" s="3"/>
      <c r="AG460" s="238"/>
      <c r="AH460" s="3"/>
      <c r="AI460" s="3"/>
      <c r="AJ460" s="3"/>
      <c r="AK460" s="3"/>
      <c r="AL460" s="3"/>
      <c r="AM460" s="238" t="s">
        <v>344</v>
      </c>
      <c r="AN460" s="1">
        <f>1-AN455</f>
        <v>0.95096564266191386</v>
      </c>
      <c r="AO460" s="1" t="s">
        <v>345</v>
      </c>
      <c r="AP460" s="1">
        <f>AN460*AJ459</f>
        <v>1.0769412453048206E-3</v>
      </c>
      <c r="AQ460" s="1" t="s">
        <v>346</v>
      </c>
      <c r="AR460" s="1">
        <f>AN460*AL459</f>
        <v>1.0769412453048206E-3</v>
      </c>
      <c r="AS460" s="238" t="s">
        <v>344</v>
      </c>
      <c r="AT460" s="3">
        <f>DET_CS_stillbirth_nbw_fullgest</f>
        <v>2.0298526728661924E-3</v>
      </c>
      <c r="AU460" s="3" t="s">
        <v>345</v>
      </c>
      <c r="AV460" s="3">
        <f>AT460*AP460</f>
        <v>2.186032065301836E-6</v>
      </c>
      <c r="AW460" s="3" t="s">
        <v>346</v>
      </c>
      <c r="AX460" s="3">
        <f>AT460*AR460</f>
        <v>2.186032065301836E-6</v>
      </c>
      <c r="AY460" s="3">
        <f>AY455+1</f>
        <v>115</v>
      </c>
      <c r="AZ460" s="3"/>
      <c r="BA460" s="1">
        <f>det_cost_experimental*AV460</f>
        <v>6.645537478517582E-6</v>
      </c>
      <c r="BB460" s="3">
        <f>$AV460*(VLOOKUP($AY460,'Pregnancy costs and utilities'!$A$23:$H$158,3))</f>
        <v>1.5909839034581579E-2</v>
      </c>
      <c r="BC460" s="3">
        <f>SUM(BA460:BB460)</f>
        <v>1.5916484572060095E-2</v>
      </c>
      <c r="BD460" s="3"/>
      <c r="BE460" s="3">
        <f>$AV460*(VLOOKUP($AY460,'Pregnancy costs and utilities'!$A$23:$I$158,9))</f>
        <v>0</v>
      </c>
      <c r="BF460" s="3">
        <f>$AV460*(VLOOKUP($AY460,'Pregnancy costs and utilities'!$A$23:$H$158,7))</f>
        <v>0</v>
      </c>
      <c r="BG460" s="3"/>
      <c r="BH460" s="3">
        <f>$BA460</f>
        <v>6.645537478517582E-6</v>
      </c>
      <c r="BI460" s="3">
        <f>$AX460*(VLOOKUP($AY460,'Pregnancy costs and utilities'!$A$23:$H$158,5))</f>
        <v>2.3243569464930103E-3</v>
      </c>
      <c r="BJ460" s="3">
        <f>SUM(BH460:BI460)</f>
        <v>2.3310024839715278E-3</v>
      </c>
      <c r="BK460" s="3"/>
      <c r="BL460" s="3">
        <f>BC460+BI460</f>
        <v>1.8240841518553104E-2</v>
      </c>
      <c r="BN460" s="1" t="str">
        <f>IF(AV460=AX460,"Okay",IF(AV460&gt;AX460,"Lost infant","Gained infant"))</f>
        <v>Okay</v>
      </c>
    </row>
    <row r="461" spans="15:66" x14ac:dyDescent="0.25">
      <c r="O461" s="3"/>
      <c r="U461" s="238"/>
      <c r="V461" s="3"/>
      <c r="W461" s="3"/>
      <c r="X461" s="3"/>
      <c r="Y461" s="3"/>
      <c r="Z461" s="3"/>
      <c r="AA461" s="238"/>
      <c r="AB461" s="3"/>
      <c r="AC461" s="3"/>
      <c r="AD461" s="3"/>
      <c r="AE461" s="3"/>
      <c r="AF461" s="3"/>
      <c r="AG461" s="238"/>
      <c r="AH461" s="3"/>
      <c r="AI461" s="3"/>
      <c r="AJ461" s="3"/>
      <c r="AK461" s="3"/>
      <c r="AL461" s="3"/>
      <c r="AM461" s="240" t="s">
        <v>494</v>
      </c>
      <c r="AN461" s="235"/>
      <c r="AO461" s="235"/>
      <c r="AP461" s="235"/>
      <c r="AQ461" s="235"/>
      <c r="AR461" s="239"/>
      <c r="AS461" s="238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</row>
    <row r="462" spans="15:66" x14ac:dyDescent="0.25">
      <c r="O462" s="3"/>
      <c r="U462" s="238"/>
      <c r="V462" s="3"/>
      <c r="W462" s="3"/>
      <c r="X462" s="3"/>
      <c r="Y462" s="3"/>
      <c r="Z462" s="3"/>
      <c r="AA462" s="238"/>
      <c r="AB462" s="3"/>
      <c r="AC462" s="3"/>
      <c r="AD462" s="3"/>
      <c r="AE462" s="3"/>
      <c r="AF462" s="3"/>
      <c r="AG462" s="238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238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</row>
    <row r="463" spans="15:66" x14ac:dyDescent="0.25">
      <c r="O463" s="3"/>
      <c r="U463" s="238"/>
      <c r="V463" s="3"/>
      <c r="W463" s="3"/>
      <c r="X463" s="3"/>
      <c r="Y463" s="3"/>
      <c r="Z463" s="3"/>
      <c r="AA463" s="238"/>
      <c r="AB463" s="3"/>
      <c r="AC463" s="3"/>
      <c r="AD463" s="3"/>
      <c r="AE463" s="3"/>
      <c r="AF463" s="3"/>
      <c r="AG463" s="238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238" t="s">
        <v>344</v>
      </c>
      <c r="AT463" s="3">
        <f>1-AT460</f>
        <v>0.99797014732713385</v>
      </c>
      <c r="AU463" s="3" t="s">
        <v>345</v>
      </c>
      <c r="AV463" s="3">
        <f>AT463*AP460</f>
        <v>1.0747552132395189E-3</v>
      </c>
      <c r="AW463" s="3" t="s">
        <v>346</v>
      </c>
      <c r="AX463" s="3">
        <f>AT463*AR460</f>
        <v>1.0747552132395189E-3</v>
      </c>
      <c r="AY463" s="3">
        <f>AY460+1</f>
        <v>116</v>
      </c>
      <c r="AZ463" s="3"/>
      <c r="BA463" s="1">
        <f>det_cost_experimental*AV463</f>
        <v>3.2672558482481373E-3</v>
      </c>
      <c r="BB463" s="3">
        <f>$AV463*(VLOOKUP($AY463,'Pregnancy costs and utilities'!$A$23:$H$158,3))</f>
        <v>7.8220181284747889</v>
      </c>
      <c r="BC463" s="3">
        <f>SUM(BA463:BB463)</f>
        <v>7.8252853843230374</v>
      </c>
      <c r="BD463" s="3"/>
      <c r="BE463" s="3">
        <f>$AV463*(VLOOKUP($AY463,'Pregnancy costs and utilities'!$A$23:$I$158,9))</f>
        <v>0</v>
      </c>
      <c r="BF463" s="3">
        <f>$AV463*(VLOOKUP($AY463,'Pregnancy costs and utilities'!$A$23:$H$158,7))</f>
        <v>0</v>
      </c>
      <c r="BG463" s="3"/>
      <c r="BH463" s="3">
        <f>$BA463</f>
        <v>3.2672558482481373E-3</v>
      </c>
      <c r="BI463" s="3">
        <f>$AX463*(VLOOKUP($AY463,'Pregnancy costs and utilities'!$A$23:$H$158,5))</f>
        <v>2.8436601305516156</v>
      </c>
      <c r="BJ463" s="3">
        <f>SUM(BH463:BI463)</f>
        <v>2.8469273863998636</v>
      </c>
      <c r="BK463" s="3"/>
      <c r="BL463" s="3">
        <f>BC463+BI463</f>
        <v>10.668945514874654</v>
      </c>
      <c r="BN463" s="1" t="str">
        <f>IF(AV463=AX463,"Okay",IF(AV463&gt;AX463,"Lost infant","Gained infant"))</f>
        <v>Okay</v>
      </c>
    </row>
    <row r="464" spans="15:66" x14ac:dyDescent="0.25">
      <c r="O464" s="3"/>
      <c r="U464" s="238"/>
      <c r="V464" s="3"/>
      <c r="W464" s="3"/>
      <c r="X464" s="3"/>
      <c r="Y464" s="3"/>
      <c r="Z464" s="3"/>
      <c r="AA464" s="238" t="s">
        <v>344</v>
      </c>
      <c r="AB464" s="1">
        <f>1-AB435</f>
        <v>0.6723645910456606</v>
      </c>
      <c r="AC464" s="1" t="s">
        <v>345</v>
      </c>
      <c r="AD464" s="1">
        <f>AB464*X451</f>
        <v>6.072785753851516</v>
      </c>
      <c r="AE464" s="1" t="s">
        <v>346</v>
      </c>
      <c r="AF464" s="1">
        <f>AB464*Z451</f>
        <v>6.072785753851516</v>
      </c>
      <c r="AG464" s="238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240" t="s">
        <v>508</v>
      </c>
      <c r="AT464" s="235"/>
      <c r="AU464" s="235"/>
      <c r="AV464" s="235"/>
      <c r="AW464" s="235"/>
      <c r="AX464" s="235"/>
      <c r="AY464" s="235"/>
      <c r="AZ464" s="235"/>
      <c r="BA464" s="235"/>
      <c r="BB464" s="235"/>
      <c r="BC464" s="235"/>
      <c r="BD464" s="235"/>
      <c r="BE464" s="235"/>
      <c r="BF464" s="235"/>
      <c r="BG464" s="235"/>
      <c r="BH464" s="235"/>
      <c r="BI464" s="235"/>
      <c r="BJ464" s="235"/>
      <c r="BK464" s="235"/>
      <c r="BL464" s="235"/>
      <c r="BM464" s="235"/>
      <c r="BN464" s="235"/>
    </row>
    <row r="465" spans="15:66" x14ac:dyDescent="0.25">
      <c r="O465" s="3"/>
      <c r="U465" s="238"/>
      <c r="V465" s="3"/>
      <c r="W465" s="3"/>
      <c r="X465" s="3"/>
      <c r="Y465" s="3"/>
      <c r="Z465" s="3"/>
      <c r="AA465" s="240" t="s">
        <v>484</v>
      </c>
      <c r="AB465" s="235"/>
      <c r="AC465" s="235"/>
      <c r="AD465" s="235"/>
      <c r="AE465" s="235"/>
      <c r="AF465" s="239"/>
      <c r="AG465" s="238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</row>
    <row r="466" spans="15:66" x14ac:dyDescent="0.25">
      <c r="O466" s="3"/>
      <c r="U466" s="238"/>
      <c r="V466" s="3"/>
      <c r="W466" s="3"/>
      <c r="X466" s="3"/>
      <c r="Y466" s="3"/>
      <c r="Z466" s="3"/>
      <c r="AG466" s="238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</row>
    <row r="467" spans="15:66" x14ac:dyDescent="0.25">
      <c r="O467" s="3"/>
      <c r="U467" s="238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238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236" t="s">
        <v>509</v>
      </c>
      <c r="AT467" s="237"/>
      <c r="AU467" s="237"/>
      <c r="AV467" s="237"/>
      <c r="AW467" s="237"/>
      <c r="AX467" s="237"/>
      <c r="AY467" s="237"/>
      <c r="AZ467" s="237"/>
      <c r="BA467" s="237"/>
      <c r="BB467" s="237"/>
      <c r="BC467" s="237"/>
      <c r="BD467" s="237"/>
      <c r="BE467" s="237"/>
      <c r="BF467" s="237"/>
      <c r="BG467" s="237"/>
      <c r="BH467" s="237"/>
      <c r="BI467" s="237"/>
      <c r="BJ467" s="237"/>
      <c r="BK467" s="237"/>
      <c r="BL467" s="237"/>
      <c r="BM467" s="237"/>
      <c r="BN467" s="237"/>
    </row>
    <row r="468" spans="15:66" x14ac:dyDescent="0.25">
      <c r="O468" s="3"/>
      <c r="U468" s="238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238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238" t="s">
        <v>344</v>
      </c>
      <c r="AT468" s="3">
        <f>DET_CS_stillbirth_lbw_fullgest</f>
        <v>1.9354764795137105E-2</v>
      </c>
      <c r="AU468" s="3" t="s">
        <v>345</v>
      </c>
      <c r="AV468" s="3">
        <f>AT468*AP471</f>
        <v>5.7622931559776751E-3</v>
      </c>
      <c r="AW468" s="3" t="s">
        <v>346</v>
      </c>
      <c r="AX468" s="3">
        <f>AT468*AR471</f>
        <v>5.7622931559776751E-3</v>
      </c>
      <c r="AY468" s="3">
        <f>AY463+1</f>
        <v>117</v>
      </c>
      <c r="AZ468" s="3"/>
      <c r="BA468" s="1">
        <f>det_cost_experimental*AV468</f>
        <v>1.7517371194172134E-2</v>
      </c>
      <c r="BB468" s="3">
        <f>$AV468*(VLOOKUP($AY468,'Pregnancy costs and utilities'!$A$23:$H$158,3))</f>
        <v>32.539515639970503</v>
      </c>
      <c r="BC468" s="3">
        <f>SUM(BA468:BB468)</f>
        <v>32.557033011164677</v>
      </c>
      <c r="BD468" s="3"/>
      <c r="BE468" s="3">
        <f>$AV468*(VLOOKUP($AY468,'Pregnancy costs and utilities'!$A$23:$I$158,9))</f>
        <v>4.3217198669832559E-3</v>
      </c>
      <c r="BF468" s="3">
        <f>$AV468*(VLOOKUP($AY468,'Pregnancy costs and utilities'!$A$23:$H$158,7))</f>
        <v>3.7613950525826069E-3</v>
      </c>
      <c r="BG468" s="3"/>
      <c r="BH468" s="3">
        <f>$BA468</f>
        <v>1.7517371194172134E-2</v>
      </c>
      <c r="BI468" s="3">
        <f>$AX468*(VLOOKUP($AY468,'Pregnancy costs and utilities'!$A$23:$H$158,5))</f>
        <v>6.1269120144294495</v>
      </c>
      <c r="BJ468" s="3">
        <f>SUM(BH468:BI468)</f>
        <v>6.1444293856236216</v>
      </c>
      <c r="BK468" s="3"/>
      <c r="BL468" s="3">
        <f>BC468+BI468</f>
        <v>38.683945025594127</v>
      </c>
      <c r="BN468" s="1" t="str">
        <f>IF(AV468=AX468,"Okay",IF(AV468&gt;AX468,"Lost infant","Gained infant"))</f>
        <v>Okay</v>
      </c>
    </row>
    <row r="469" spans="15:66" x14ac:dyDescent="0.25">
      <c r="O469" s="3"/>
      <c r="U469" s="238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238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238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</row>
    <row r="470" spans="15:66" x14ac:dyDescent="0.25">
      <c r="O470" s="3"/>
      <c r="U470" s="238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238"/>
      <c r="AH470" s="3"/>
      <c r="AI470" s="3"/>
      <c r="AJ470" s="3"/>
      <c r="AK470" s="3"/>
      <c r="AL470" s="3"/>
      <c r="AM470" s="236" t="s">
        <v>495</v>
      </c>
      <c r="AN470" s="237"/>
      <c r="AO470" s="237"/>
      <c r="AP470" s="237"/>
      <c r="AQ470" s="237"/>
      <c r="AR470" s="371"/>
      <c r="AS470" s="238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</row>
    <row r="471" spans="15:66" x14ac:dyDescent="0.25">
      <c r="O471" s="3"/>
      <c r="U471" s="238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238"/>
      <c r="AH471" s="3"/>
      <c r="AI471" s="3"/>
      <c r="AJ471" s="3"/>
      <c r="AK471" s="3"/>
      <c r="AL471" s="3"/>
      <c r="AM471" s="238" t="s">
        <v>344</v>
      </c>
      <c r="AN471" s="3">
        <f>DET_CS_lbw_fullgest</f>
        <v>4.9034357338086171E-2</v>
      </c>
      <c r="AO471" s="3" t="s">
        <v>345</v>
      </c>
      <c r="AP471" s="3">
        <f>AN471*AJ472</f>
        <v>0.29771961669229141</v>
      </c>
      <c r="AQ471" s="3" t="s">
        <v>346</v>
      </c>
      <c r="AR471" s="370">
        <f>AN471*AL472</f>
        <v>0.29771961669229141</v>
      </c>
      <c r="AS471" s="238" t="s">
        <v>344</v>
      </c>
      <c r="AT471" s="3">
        <f>1-AT468</f>
        <v>0.98064523520486291</v>
      </c>
      <c r="AU471" s="3" t="s">
        <v>345</v>
      </c>
      <c r="AV471" s="3">
        <f>AT471*AP471</f>
        <v>0.29195732353631376</v>
      </c>
      <c r="AW471" s="3" t="s">
        <v>346</v>
      </c>
      <c r="AX471" s="3">
        <f>AT471*AR471</f>
        <v>0.29195732353631376</v>
      </c>
      <c r="AY471" s="3">
        <f>AY468+1</f>
        <v>118</v>
      </c>
      <c r="AZ471" s="3"/>
      <c r="BA471" s="1">
        <f>det_cost_experimental*AV471</f>
        <v>0.88755026355039379</v>
      </c>
      <c r="BB471" s="3">
        <f>$AV471*(VLOOKUP($AY471,'Pregnancy costs and utilities'!$A$23:$H$158,3))</f>
        <v>1648.6752128462201</v>
      </c>
      <c r="BC471" s="3">
        <f>SUM(BA471:BB471)</f>
        <v>1649.5627631097705</v>
      </c>
      <c r="BD471" s="3"/>
      <c r="BE471" s="3">
        <f>$AV471*(VLOOKUP($AY471,'Pregnancy costs and utilities'!$A$23:$I$158,9))</f>
        <v>0.21896799265223532</v>
      </c>
      <c r="BF471" s="3">
        <f>$AV471*(VLOOKUP($AY471,'Pregnancy costs and utilities'!$A$23:$H$158,7))</f>
        <v>0.21247489076262263</v>
      </c>
      <c r="BG471" s="3"/>
      <c r="BH471" s="3">
        <f>$BA471</f>
        <v>0.88755026355039379</v>
      </c>
      <c r="BI471" s="3">
        <f>$AX471*(VLOOKUP($AY471,'Pregnancy costs and utilities'!$A$23:$H$158,5))</f>
        <v>772.48045930413241</v>
      </c>
      <c r="BJ471" s="3">
        <f>SUM(BH471:BI471)</f>
        <v>773.36800956768275</v>
      </c>
      <c r="BK471" s="3"/>
      <c r="BL471" s="3">
        <f>BC471+BI471</f>
        <v>2422.0432224139031</v>
      </c>
      <c r="BN471" s="1" t="str">
        <f>IF(AV471=AX471,"Okay",IF(AV471&gt;AX471,"Lost infant","Gained infant"))</f>
        <v>Okay</v>
      </c>
    </row>
    <row r="472" spans="15:66" x14ac:dyDescent="0.25">
      <c r="O472" s="3"/>
      <c r="U472" s="238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238" t="s">
        <v>344</v>
      </c>
      <c r="AH472" s="1">
        <f>1-AH459</f>
        <v>0.99981351700999999</v>
      </c>
      <c r="AI472" s="1" t="s">
        <v>345</v>
      </c>
      <c r="AJ472" s="1">
        <f>AH472*AD464</f>
        <v>6.0716532826065084</v>
      </c>
      <c r="AK472" s="1" t="s">
        <v>346</v>
      </c>
      <c r="AL472" s="1">
        <f>AH472*AF464</f>
        <v>6.0716532826065084</v>
      </c>
      <c r="AM472" s="238"/>
      <c r="AN472" s="3"/>
      <c r="AO472" s="3"/>
      <c r="AP472" s="3"/>
      <c r="AQ472" s="3"/>
      <c r="AR472" s="3"/>
      <c r="AS472" s="240" t="s">
        <v>510</v>
      </c>
      <c r="AT472" s="235"/>
      <c r="AU472" s="235"/>
      <c r="AV472" s="235"/>
      <c r="AW472" s="235"/>
      <c r="AX472" s="235"/>
      <c r="AY472" s="235"/>
      <c r="AZ472" s="235"/>
      <c r="BA472" s="235"/>
      <c r="BB472" s="235"/>
      <c r="BC472" s="235"/>
      <c r="BD472" s="235"/>
      <c r="BE472" s="235"/>
      <c r="BF472" s="235"/>
      <c r="BG472" s="235"/>
      <c r="BH472" s="235"/>
      <c r="BI472" s="235"/>
      <c r="BJ472" s="235"/>
      <c r="BK472" s="235"/>
      <c r="BL472" s="235"/>
      <c r="BM472" s="235"/>
      <c r="BN472" s="235"/>
    </row>
    <row r="473" spans="15:66" x14ac:dyDescent="0.25">
      <c r="O473" s="3"/>
      <c r="U473" s="238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240" t="s">
        <v>488</v>
      </c>
      <c r="AH473" s="235"/>
      <c r="AI473" s="235"/>
      <c r="AJ473" s="235"/>
      <c r="AK473" s="235"/>
      <c r="AL473" s="239"/>
      <c r="AM473" s="238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</row>
    <row r="474" spans="15:66" x14ac:dyDescent="0.25">
      <c r="O474" s="3"/>
      <c r="U474" s="238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238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</row>
    <row r="475" spans="15:66" x14ac:dyDescent="0.25">
      <c r="O475" s="3"/>
      <c r="U475" s="238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238"/>
      <c r="AN475" s="3"/>
      <c r="AO475" s="3"/>
      <c r="AP475" s="3"/>
      <c r="AQ475" s="3"/>
      <c r="AR475" s="3"/>
      <c r="AS475" s="236" t="s">
        <v>511</v>
      </c>
      <c r="AT475" s="237"/>
      <c r="AU475" s="237"/>
      <c r="AV475" s="237"/>
      <c r="AW475" s="237"/>
      <c r="AX475" s="237"/>
      <c r="AY475" s="237"/>
      <c r="AZ475" s="237"/>
      <c r="BA475" s="237"/>
      <c r="BB475" s="237"/>
      <c r="BC475" s="237"/>
      <c r="BD475" s="237"/>
      <c r="BE475" s="237"/>
      <c r="BF475" s="237"/>
      <c r="BG475" s="237"/>
      <c r="BH475" s="237"/>
      <c r="BI475" s="237"/>
      <c r="BJ475" s="237"/>
      <c r="BK475" s="237"/>
      <c r="BL475" s="237"/>
      <c r="BM475" s="237"/>
      <c r="BN475" s="237"/>
    </row>
    <row r="476" spans="15:66" x14ac:dyDescent="0.25">
      <c r="O476" s="3"/>
      <c r="U476" s="238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238" t="s">
        <v>344</v>
      </c>
      <c r="AN476" s="1">
        <f>1-AN471</f>
        <v>0.95096564266191386</v>
      </c>
      <c r="AO476" s="1" t="s">
        <v>345</v>
      </c>
      <c r="AP476" s="1">
        <f>AN476*AJ472</f>
        <v>5.7739336659142175</v>
      </c>
      <c r="AQ476" s="1" t="s">
        <v>346</v>
      </c>
      <c r="AR476" s="1">
        <f>AN476*AL472</f>
        <v>5.7739336659142175</v>
      </c>
      <c r="AS476" s="238" t="s">
        <v>344</v>
      </c>
      <c r="AT476" s="3">
        <f>DET_CS_stillbirth_nbw_fullgest</f>
        <v>2.0298526728661924E-3</v>
      </c>
      <c r="AU476" s="3" t="s">
        <v>345</v>
      </c>
      <c r="AV476" s="3">
        <f>AT476*AP476</f>
        <v>1.1720234684708068E-2</v>
      </c>
      <c r="AW476" s="3" t="s">
        <v>346</v>
      </c>
      <c r="AX476" s="3">
        <f>AT476*AR476</f>
        <v>1.1720234684708068E-2</v>
      </c>
      <c r="AY476" s="3">
        <f>AY471+1</f>
        <v>119</v>
      </c>
      <c r="AZ476" s="3"/>
      <c r="BA476" s="1">
        <f>det_cost_experimental*AV476</f>
        <v>3.5629513441512523E-2</v>
      </c>
      <c r="BB476" s="3">
        <f>$AV476*(VLOOKUP($AY476,'Pregnancy costs and utilities'!$A$23:$H$158,3))</f>
        <v>66.183852418469442</v>
      </c>
      <c r="BC476" s="3">
        <f>SUM(BA476:BB476)</f>
        <v>66.219481931910948</v>
      </c>
      <c r="BD476" s="3"/>
      <c r="BE476" s="3">
        <f>$AV476*(VLOOKUP($AY476,'Pregnancy costs and utilities'!$A$23:$I$158,9))</f>
        <v>8.7901760135310515E-3</v>
      </c>
      <c r="BF476" s="3">
        <f>$AV476*(VLOOKUP($AY476,'Pregnancy costs and utilities'!$A$23:$H$158,7))</f>
        <v>7.6505015563874566E-3</v>
      </c>
      <c r="BG476" s="3"/>
      <c r="BH476" s="3">
        <f>$BA476</f>
        <v>3.5629513441512523E-2</v>
      </c>
      <c r="BI476" s="3">
        <f>$AX476*(VLOOKUP($AY476,'Pregnancy costs and utilities'!$A$23:$H$158,5))</f>
        <v>12.461852383747207</v>
      </c>
      <c r="BJ476" s="3">
        <f>SUM(BH476:BI476)</f>
        <v>12.497481897188718</v>
      </c>
      <c r="BK476" s="3"/>
      <c r="BL476" s="3">
        <f>BC476+BI476</f>
        <v>78.681334315658148</v>
      </c>
      <c r="BN476" s="1" t="str">
        <f>IF(AV476=AX476,"Okay",IF(AV476&gt;AX476,"Lost infant","Gained infant"))</f>
        <v>Okay</v>
      </c>
    </row>
    <row r="477" spans="15:66" x14ac:dyDescent="0.25">
      <c r="O477" s="3"/>
      <c r="U477" s="238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240" t="s">
        <v>496</v>
      </c>
      <c r="AN477" s="235"/>
      <c r="AO477" s="235"/>
      <c r="AP477" s="235"/>
      <c r="AQ477" s="235"/>
      <c r="AR477" s="239"/>
      <c r="AS477" s="238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</row>
    <row r="478" spans="15:66" x14ac:dyDescent="0.25">
      <c r="O478" s="3"/>
      <c r="U478" s="238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238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</row>
    <row r="479" spans="15:66" x14ac:dyDescent="0.25">
      <c r="O479" s="3"/>
      <c r="U479" s="238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238" t="s">
        <v>344</v>
      </c>
      <c r="AT479" s="3">
        <f>1-AT476</f>
        <v>0.99797014732713385</v>
      </c>
      <c r="AU479" s="3" t="s">
        <v>345</v>
      </c>
      <c r="AV479" s="3">
        <f>AT479*AP476</f>
        <v>5.7622134312295099</v>
      </c>
      <c r="AW479" s="3" t="s">
        <v>346</v>
      </c>
      <c r="AX479" s="3">
        <f>AT479*AR476</f>
        <v>5.7622134312295099</v>
      </c>
      <c r="AY479" s="3">
        <f>AY476+1</f>
        <v>120</v>
      </c>
      <c r="AZ479" s="3"/>
      <c r="BA479" s="1">
        <f>det_cost_experimental*AV479</f>
        <v>17.517128830937711</v>
      </c>
      <c r="BB479" s="3">
        <f>$AV479*(VLOOKUP($AY479,'Pregnancy costs and utilities'!$A$23:$H$158,3))</f>
        <v>32539.065436445693</v>
      </c>
      <c r="BC479" s="3">
        <f>SUM(BA479:BB479)</f>
        <v>32556.582565276633</v>
      </c>
      <c r="BD479" s="3"/>
      <c r="BE479" s="3">
        <f>$AV479*(VLOOKUP($AY479,'Pregnancy costs and utilities'!$A$23:$I$158,9))</f>
        <v>4.321660073422132</v>
      </c>
      <c r="BF479" s="3">
        <f>$AV479*(VLOOKUP($AY479,'Pregnancy costs and utilities'!$A$23:$H$158,7))</f>
        <v>4.1935090187902926</v>
      </c>
      <c r="BG479" s="3"/>
      <c r="BH479" s="3">
        <f>$BA479</f>
        <v>17.517128830937711</v>
      </c>
      <c r="BI479" s="3">
        <f>$AX479*(VLOOKUP($AY479,'Pregnancy costs and utilities'!$A$23:$H$158,5))</f>
        <v>15246.054539923096</v>
      </c>
      <c r="BJ479" s="3">
        <f>SUM(BH479:BI479)</f>
        <v>15263.571668754033</v>
      </c>
      <c r="BK479" s="3"/>
      <c r="BL479" s="3">
        <f>BC479+BI479</f>
        <v>47802.637105199727</v>
      </c>
      <c r="BN479" s="1" t="str">
        <f>IF(AV479=AX479,"Okay",IF(AV479&gt;AX479,"Lost infant","Gained infant"))</f>
        <v>Okay</v>
      </c>
    </row>
    <row r="480" spans="15:66" x14ac:dyDescent="0.25">
      <c r="O480" s="3"/>
      <c r="U480" s="238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240" t="s">
        <v>512</v>
      </c>
      <c r="AT480" s="235"/>
      <c r="AU480" s="235"/>
      <c r="AV480" s="235"/>
      <c r="AW480" s="235"/>
      <c r="AX480" s="235"/>
      <c r="AY480" s="235"/>
      <c r="AZ480" s="235"/>
      <c r="BA480" s="235"/>
      <c r="BB480" s="235"/>
      <c r="BC480" s="235"/>
      <c r="BD480" s="235"/>
      <c r="BE480" s="235"/>
      <c r="BF480" s="235"/>
      <c r="BG480" s="235"/>
      <c r="BH480" s="235"/>
      <c r="BI480" s="235"/>
      <c r="BJ480" s="235"/>
      <c r="BK480" s="235"/>
      <c r="BL480" s="235"/>
      <c r="BM480" s="235"/>
      <c r="BN480" s="235"/>
    </row>
    <row r="481" spans="15:66" x14ac:dyDescent="0.25">
      <c r="O481" s="3"/>
      <c r="U481" s="238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</row>
    <row r="482" spans="15:66" x14ac:dyDescent="0.25">
      <c r="O482" s="3"/>
      <c r="U482" s="238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</row>
    <row r="483" spans="15:66" x14ac:dyDescent="0.25">
      <c r="O483" s="3"/>
      <c r="U483" s="238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236" t="s">
        <v>542</v>
      </c>
      <c r="AT483" s="237"/>
      <c r="AU483" s="237"/>
      <c r="AV483" s="237"/>
      <c r="AW483" s="237"/>
      <c r="AX483" s="237"/>
      <c r="AY483" s="237"/>
      <c r="AZ483" s="237"/>
      <c r="BA483" s="237"/>
      <c r="BB483" s="237"/>
      <c r="BC483" s="237"/>
      <c r="BD483" s="237"/>
      <c r="BE483" s="237"/>
      <c r="BF483" s="237"/>
      <c r="BG483" s="237"/>
      <c r="BH483" s="237"/>
      <c r="BI483" s="237"/>
      <c r="BJ483" s="237"/>
      <c r="BK483" s="237"/>
      <c r="BL483" s="237"/>
      <c r="BM483" s="237"/>
      <c r="BN483" s="237"/>
    </row>
    <row r="484" spans="15:66" x14ac:dyDescent="0.25">
      <c r="O484" s="3"/>
      <c r="U484" s="238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238" t="s">
        <v>344</v>
      </c>
      <c r="AT484" s="3">
        <f>DET_CS_stillbirth_lbw_premature</f>
        <v>7.6548660672211805E-2</v>
      </c>
      <c r="AU484" s="3" t="s">
        <v>345</v>
      </c>
      <c r="AV484" s="3">
        <f>AT484*AP487</f>
        <v>2.9008633559474102E-4</v>
      </c>
      <c r="AW484" s="3" t="s">
        <v>346</v>
      </c>
      <c r="AX484" s="3">
        <f>AT484*AR487</f>
        <v>2.9008633559474102E-4</v>
      </c>
      <c r="AY484" s="3">
        <f>AY479+1</f>
        <v>121</v>
      </c>
      <c r="AZ484" s="3"/>
      <c r="BA484" s="1">
        <f>det_cost_experimental*AV484</f>
        <v>8.8186246020801272E-4</v>
      </c>
      <c r="BB484" s="3">
        <f>$AV484*(VLOOKUP($AY484,'Pregnancy costs and utilities'!$A$23:$H$158,3))</f>
        <v>1.7195512739268417</v>
      </c>
      <c r="BC484" s="3">
        <f>SUM(BA484:BB484)</f>
        <v>1.7204331363870498</v>
      </c>
      <c r="BD484" s="3"/>
      <c r="BE484" s="3">
        <f>$AV484*(VLOOKUP($AY484,'Pregnancy costs and utilities'!$A$23:$I$158,9))</f>
        <v>0</v>
      </c>
      <c r="BF484" s="3">
        <f>$AV484*(VLOOKUP($AY484,'Pregnancy costs and utilities'!$A$23:$H$158,7))</f>
        <v>0</v>
      </c>
      <c r="BG484" s="3"/>
      <c r="BH484" s="3">
        <f>$BA484</f>
        <v>8.8186246020801272E-4</v>
      </c>
      <c r="BI484" s="3">
        <f>$AX484*(VLOOKUP($AY484,'Pregnancy costs and utilities'!$A$23:$H$158,5))</f>
        <v>0.30844203976909185</v>
      </c>
      <c r="BJ484" s="3">
        <f>SUM(BH484:BI484)</f>
        <v>0.30932390222929984</v>
      </c>
      <c r="BK484" s="3"/>
      <c r="BL484" s="3">
        <f>BC484+BI484</f>
        <v>2.0288751761561414</v>
      </c>
      <c r="BN484" s="1" t="str">
        <f>IF(AV484=AX484,"Okay",IF(AV484&gt;AX484,"Lost infant","Gained infant"))</f>
        <v>Okay</v>
      </c>
    </row>
    <row r="485" spans="15:66" x14ac:dyDescent="0.25">
      <c r="O485" s="3"/>
      <c r="U485" s="238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238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</row>
    <row r="486" spans="15:66" x14ac:dyDescent="0.25">
      <c r="O486" s="3"/>
      <c r="U486" s="238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236" t="s">
        <v>519</v>
      </c>
      <c r="AN486" s="237"/>
      <c r="AO486" s="237"/>
      <c r="AP486" s="237"/>
      <c r="AQ486" s="237"/>
      <c r="AR486" s="371"/>
      <c r="AS486" s="238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</row>
    <row r="487" spans="15:66" x14ac:dyDescent="0.25">
      <c r="O487" s="3"/>
      <c r="U487" s="238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238" t="s">
        <v>344</v>
      </c>
      <c r="AN487" s="3">
        <f>DET_CS_lbw_premature</f>
        <v>1</v>
      </c>
      <c r="AO487" s="3" t="s">
        <v>345</v>
      </c>
      <c r="AP487" s="3">
        <f>AN487*AJ491</f>
        <v>3.7895677474608807E-3</v>
      </c>
      <c r="AQ487" s="3" t="s">
        <v>346</v>
      </c>
      <c r="AR487" s="370">
        <f>AN487*AL491</f>
        <v>3.7895677474608807E-3</v>
      </c>
      <c r="AS487" s="238" t="s">
        <v>344</v>
      </c>
      <c r="AT487" s="3">
        <f>1-AT484</f>
        <v>0.92345133932778822</v>
      </c>
      <c r="AU487" s="3" t="s">
        <v>345</v>
      </c>
      <c r="AV487" s="3">
        <f>AT487*AP487</f>
        <v>3.4994814118661398E-3</v>
      </c>
      <c r="AW487" s="3" t="s">
        <v>346</v>
      </c>
      <c r="AX487" s="3">
        <f>AT487*AR487</f>
        <v>3.4994814118661398E-3</v>
      </c>
      <c r="AY487" s="3">
        <f>AY484+1</f>
        <v>122</v>
      </c>
      <c r="AZ487" s="3"/>
      <c r="BA487" s="1">
        <f>det_cost_experimental*AV487</f>
        <v>1.0638423492073066E-2</v>
      </c>
      <c r="BB487" s="3">
        <f>$AV487*(VLOOKUP($AY487,'Pregnancy costs and utilities'!$A$23:$H$158,3))</f>
        <v>20.743954407643649</v>
      </c>
      <c r="BC487" s="3">
        <f>SUM(BA487:BB487)</f>
        <v>20.754592831135721</v>
      </c>
      <c r="BD487" s="3"/>
      <c r="BE487" s="3">
        <f>$AV487*(VLOOKUP($AY487,'Pregnancy costs and utilities'!$A$23:$I$158,9))</f>
        <v>0</v>
      </c>
      <c r="BF487" s="3">
        <f>$AV487*(VLOOKUP($AY487,'Pregnancy costs and utilities'!$A$23:$H$158,7))</f>
        <v>0</v>
      </c>
      <c r="BG487" s="3"/>
      <c r="BH487" s="3">
        <f>$BA487</f>
        <v>1.0638423492073066E-2</v>
      </c>
      <c r="BI487" s="3">
        <f>$AX487*(VLOOKUP($AY487,'Pregnancy costs and utilities'!$A$23:$H$158,5))</f>
        <v>55.762658585310241</v>
      </c>
      <c r="BJ487" s="3">
        <f>SUM(BH487:BI487)</f>
        <v>55.773297008802317</v>
      </c>
      <c r="BK487" s="3"/>
      <c r="BL487" s="3">
        <f>BC487+BI487</f>
        <v>76.517251416445959</v>
      </c>
      <c r="BN487" s="1" t="str">
        <f>IF(AV487=AX487,"Okay",IF(AV487&gt;AX487,"Lost infant","Gained infant"))</f>
        <v>Okay</v>
      </c>
    </row>
    <row r="488" spans="15:66" x14ac:dyDescent="0.25">
      <c r="O488" s="3"/>
      <c r="U488" s="238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238"/>
      <c r="AN488" s="3"/>
      <c r="AO488" s="3"/>
      <c r="AP488" s="3"/>
      <c r="AQ488" s="3"/>
      <c r="AR488" s="3"/>
      <c r="AS488" s="240" t="s">
        <v>541</v>
      </c>
      <c r="AT488" s="235"/>
      <c r="AU488" s="235"/>
      <c r="AV488" s="235"/>
      <c r="AW488" s="235"/>
      <c r="AX488" s="235"/>
      <c r="AY488" s="235"/>
      <c r="AZ488" s="235"/>
      <c r="BA488" s="235"/>
      <c r="BB488" s="235"/>
      <c r="BC488" s="235"/>
      <c r="BD488" s="235"/>
      <c r="BE488" s="235"/>
      <c r="BF488" s="235"/>
      <c r="BG488" s="235"/>
      <c r="BH488" s="235"/>
      <c r="BI488" s="235"/>
      <c r="BJ488" s="235"/>
      <c r="BK488" s="235"/>
      <c r="BL488" s="235"/>
      <c r="BM488" s="235"/>
      <c r="BN488" s="235"/>
    </row>
    <row r="489" spans="15:66" x14ac:dyDescent="0.25">
      <c r="O489" s="3"/>
      <c r="U489" s="238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238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</row>
    <row r="490" spans="15:66" x14ac:dyDescent="0.25">
      <c r="O490" s="3"/>
      <c r="U490" s="238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236" t="s">
        <v>515</v>
      </c>
      <c r="AH490" s="237"/>
      <c r="AI490" s="237"/>
      <c r="AJ490" s="237"/>
      <c r="AK490" s="237"/>
      <c r="AL490" s="371"/>
      <c r="AM490" s="238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</row>
    <row r="491" spans="15:66" x14ac:dyDescent="0.25">
      <c r="O491" s="3"/>
      <c r="U491" s="238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238" t="s">
        <v>344</v>
      </c>
      <c r="AH491" s="3">
        <f>DET_MORT_no_complication</f>
        <v>6.1594290000000217E-5</v>
      </c>
      <c r="AI491" s="3" t="s">
        <v>345</v>
      </c>
      <c r="AJ491" s="3">
        <f>AH491*AD499</f>
        <v>3.7895677474608807E-3</v>
      </c>
      <c r="AK491" s="3" t="s">
        <v>346</v>
      </c>
      <c r="AL491" s="370">
        <f>AH491*AF499</f>
        <v>3.7895677474608807E-3</v>
      </c>
      <c r="AM491" s="238"/>
      <c r="AN491" s="3"/>
      <c r="AO491" s="3"/>
      <c r="AP491" s="3"/>
      <c r="AQ491" s="3"/>
      <c r="AR491" s="3"/>
      <c r="AS491" s="236" t="s">
        <v>540</v>
      </c>
      <c r="AT491" s="237"/>
      <c r="AU491" s="237"/>
      <c r="AV491" s="237"/>
      <c r="AW491" s="237"/>
      <c r="AX491" s="237"/>
      <c r="AY491" s="237"/>
      <c r="AZ491" s="237"/>
      <c r="BA491" s="237"/>
      <c r="BB491" s="237"/>
      <c r="BC491" s="237"/>
      <c r="BD491" s="237"/>
      <c r="BE491" s="237"/>
      <c r="BF491" s="237"/>
      <c r="BG491" s="237"/>
      <c r="BH491" s="237"/>
      <c r="BI491" s="237"/>
      <c r="BJ491" s="237"/>
      <c r="BK491" s="237"/>
      <c r="BL491" s="237"/>
      <c r="BM491" s="237"/>
      <c r="BN491" s="237"/>
    </row>
    <row r="492" spans="15:66" x14ac:dyDescent="0.25">
      <c r="O492" s="3"/>
      <c r="U492" s="238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238"/>
      <c r="AH492" s="3"/>
      <c r="AI492" s="3"/>
      <c r="AJ492" s="3"/>
      <c r="AK492" s="3"/>
      <c r="AL492" s="3"/>
      <c r="AM492" s="238" t="s">
        <v>344</v>
      </c>
      <c r="AN492" s="1">
        <f>1-AN487</f>
        <v>0</v>
      </c>
      <c r="AO492" s="1" t="s">
        <v>345</v>
      </c>
      <c r="AP492" s="1">
        <f>AN492*AJ491</f>
        <v>0</v>
      </c>
      <c r="AQ492" s="1" t="s">
        <v>346</v>
      </c>
      <c r="AR492" s="1">
        <f>AN492*AL491</f>
        <v>0</v>
      </c>
      <c r="AS492" s="238" t="s">
        <v>344</v>
      </c>
      <c r="AT492" s="3">
        <f>DET_CS_stillbirth_nbw_premature</f>
        <v>9.5923131756814883E-3</v>
      </c>
      <c r="AU492" s="3" t="s">
        <v>345</v>
      </c>
      <c r="AV492" s="3">
        <f>AT492*AP492</f>
        <v>0</v>
      </c>
      <c r="AW492" s="3" t="s">
        <v>346</v>
      </c>
      <c r="AX492" s="3">
        <f>AT492*AR492</f>
        <v>0</v>
      </c>
      <c r="AY492" s="3">
        <f>AY487+1</f>
        <v>123</v>
      </c>
      <c r="AZ492" s="3"/>
      <c r="BA492" s="1">
        <f>det_cost_experimental*AV492</f>
        <v>0</v>
      </c>
      <c r="BB492" s="3">
        <f>$AV492*(VLOOKUP($AY492,'Pregnancy costs and utilities'!$A$23:$H$158,3))</f>
        <v>0</v>
      </c>
      <c r="BC492" s="3">
        <f>SUM(BA492:BB492)</f>
        <v>0</v>
      </c>
      <c r="BD492" s="3"/>
      <c r="BE492" s="3">
        <f>$AV492*(VLOOKUP($AY492,'Pregnancy costs and utilities'!$A$23:$I$158,9))</f>
        <v>0</v>
      </c>
      <c r="BF492" s="3">
        <f>$AV492*(VLOOKUP($AY492,'Pregnancy costs and utilities'!$A$23:$H$158,7))</f>
        <v>0</v>
      </c>
      <c r="BG492" s="3"/>
      <c r="BH492" s="3">
        <f>$BA492</f>
        <v>0</v>
      </c>
      <c r="BI492" s="3">
        <f>$AX492*(VLOOKUP($AY492,'Pregnancy costs and utilities'!$A$23:$H$158,5))</f>
        <v>0</v>
      </c>
      <c r="BJ492" s="3">
        <f>SUM(BH492:BI492)</f>
        <v>0</v>
      </c>
      <c r="BK492" s="3"/>
      <c r="BL492" s="3">
        <f>BC492+BI492</f>
        <v>0</v>
      </c>
      <c r="BN492" s="1" t="str">
        <f>IF(AV492=AX492,"Okay",IF(AV492&gt;AX492,"Lost infant","Gained infant"))</f>
        <v>Okay</v>
      </c>
    </row>
    <row r="493" spans="15:66" x14ac:dyDescent="0.25">
      <c r="O493" s="3"/>
      <c r="U493" s="238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238"/>
      <c r="AH493" s="3"/>
      <c r="AI493" s="3"/>
      <c r="AJ493" s="3"/>
      <c r="AK493" s="3"/>
      <c r="AL493" s="3"/>
      <c r="AM493" s="240" t="s">
        <v>520</v>
      </c>
      <c r="AN493" s="235"/>
      <c r="AO493" s="235"/>
      <c r="AP493" s="235"/>
      <c r="AQ493" s="235"/>
      <c r="AR493" s="239"/>
      <c r="AS493" s="238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</row>
    <row r="494" spans="15:66" x14ac:dyDescent="0.25">
      <c r="O494" s="3"/>
      <c r="U494" s="238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238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238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</row>
    <row r="495" spans="15:66" x14ac:dyDescent="0.25">
      <c r="O495" s="3"/>
      <c r="U495" s="238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238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238" t="s">
        <v>344</v>
      </c>
      <c r="AT495" s="3">
        <f>1-AT492</f>
        <v>0.99040768682431857</v>
      </c>
      <c r="AU495" s="3" t="s">
        <v>345</v>
      </c>
      <c r="AV495" s="3">
        <f>AT495*AP492</f>
        <v>0</v>
      </c>
      <c r="AW495" s="3" t="s">
        <v>346</v>
      </c>
      <c r="AX495" s="3">
        <f>AT495*AR492</f>
        <v>0</v>
      </c>
      <c r="AY495" s="3">
        <f>AY492+1</f>
        <v>124</v>
      </c>
      <c r="AZ495" s="3"/>
      <c r="BA495" s="1">
        <f>det_cost_experimental*AV495</f>
        <v>0</v>
      </c>
      <c r="BB495" s="3">
        <f>$AV495*(VLOOKUP($AY495,'Pregnancy costs and utilities'!$A$23:$H$158,3))</f>
        <v>0</v>
      </c>
      <c r="BC495" s="3">
        <f>SUM(BA495:BB495)</f>
        <v>0</v>
      </c>
      <c r="BD495" s="3"/>
      <c r="BE495" s="3">
        <f>$AV495*(VLOOKUP($AY495,'Pregnancy costs and utilities'!$A$23:$I$158,9))</f>
        <v>0</v>
      </c>
      <c r="BF495" s="3">
        <f>$AV495*(VLOOKUP($AY495,'Pregnancy costs and utilities'!$A$23:$H$158,7))</f>
        <v>0</v>
      </c>
      <c r="BG495" s="3"/>
      <c r="BH495" s="3">
        <f>$BA495</f>
        <v>0</v>
      </c>
      <c r="BI495" s="3">
        <f>$AX495*(VLOOKUP($AY495,'Pregnancy costs and utilities'!$A$23:$H$158,5))</f>
        <v>0</v>
      </c>
      <c r="BJ495" s="3">
        <f>SUM(BH495:BI495)</f>
        <v>0</v>
      </c>
      <c r="BK495" s="3"/>
      <c r="BL495" s="3">
        <f>BC495+BI495</f>
        <v>0</v>
      </c>
      <c r="BN495" s="1" t="str">
        <f>IF(AV495=AX495,"Okay",IF(AV495&gt;AX495,"Lost infant","Gained infant"))</f>
        <v>Okay</v>
      </c>
    </row>
    <row r="496" spans="15:66" x14ac:dyDescent="0.25">
      <c r="O496" s="3"/>
      <c r="U496" s="238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238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240" t="s">
        <v>539</v>
      </c>
      <c r="AT496" s="235"/>
      <c r="AU496" s="235"/>
      <c r="AV496" s="235"/>
      <c r="AW496" s="235"/>
      <c r="AX496" s="235"/>
      <c r="AY496" s="235"/>
      <c r="AZ496" s="235"/>
      <c r="BA496" s="235"/>
      <c r="BB496" s="235"/>
      <c r="BC496" s="235"/>
      <c r="BD496" s="235"/>
      <c r="BE496" s="235"/>
      <c r="BF496" s="235"/>
      <c r="BG496" s="235"/>
      <c r="BH496" s="235"/>
      <c r="BI496" s="235"/>
      <c r="BJ496" s="235"/>
      <c r="BK496" s="235"/>
      <c r="BL496" s="235"/>
      <c r="BM496" s="235"/>
      <c r="BN496" s="235"/>
    </row>
    <row r="497" spans="15:66" x14ac:dyDescent="0.25">
      <c r="O497" s="3"/>
      <c r="U497" s="238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238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</row>
    <row r="498" spans="15:66" x14ac:dyDescent="0.25">
      <c r="O498" s="3"/>
      <c r="U498" s="238"/>
      <c r="V498" s="3"/>
      <c r="W498" s="3"/>
      <c r="X498" s="3"/>
      <c r="Y498" s="3"/>
      <c r="Z498" s="3"/>
      <c r="AA498" s="236" t="s">
        <v>513</v>
      </c>
      <c r="AB498" s="237"/>
      <c r="AC498" s="237"/>
      <c r="AD498" s="237"/>
      <c r="AE498" s="237"/>
      <c r="AF498" s="371"/>
      <c r="AG498" s="238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</row>
    <row r="499" spans="15:66" x14ac:dyDescent="0.25">
      <c r="O499" s="3"/>
      <c r="U499" s="238"/>
      <c r="V499" s="3"/>
      <c r="W499" s="3"/>
      <c r="X499" s="3"/>
      <c r="Y499" s="3"/>
      <c r="Z499" s="3"/>
      <c r="AA499" s="238" t="s">
        <v>344</v>
      </c>
      <c r="AB499" s="3">
        <f>DET_CS_premature_no_complication</f>
        <v>7.3928395365917041E-2</v>
      </c>
      <c r="AC499" s="3" t="s">
        <v>345</v>
      </c>
      <c r="AD499" s="3">
        <f>AB499*X512</f>
        <v>61.524659955669065</v>
      </c>
      <c r="AE499" s="3" t="s">
        <v>346</v>
      </c>
      <c r="AF499" s="370">
        <f>AB499*Z512</f>
        <v>61.524659955669065</v>
      </c>
      <c r="AG499" s="238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236" t="s">
        <v>538</v>
      </c>
      <c r="AT499" s="237"/>
      <c r="AU499" s="237"/>
      <c r="AV499" s="237"/>
      <c r="AW499" s="237"/>
      <c r="AX499" s="237"/>
      <c r="AY499" s="237"/>
      <c r="AZ499" s="237"/>
      <c r="BA499" s="237"/>
      <c r="BB499" s="237"/>
      <c r="BC499" s="237"/>
      <c r="BD499" s="237"/>
      <c r="BE499" s="237"/>
      <c r="BF499" s="237"/>
      <c r="BG499" s="237"/>
      <c r="BH499" s="237"/>
      <c r="BI499" s="237"/>
      <c r="BJ499" s="237"/>
      <c r="BK499" s="237"/>
      <c r="BL499" s="237"/>
      <c r="BM499" s="237"/>
      <c r="BN499" s="237"/>
    </row>
    <row r="500" spans="15:66" x14ac:dyDescent="0.25">
      <c r="O500" s="3"/>
      <c r="U500" s="238"/>
      <c r="V500" s="3"/>
      <c r="W500" s="3"/>
      <c r="X500" s="3"/>
      <c r="Y500" s="3"/>
      <c r="Z500" s="3"/>
      <c r="AA500" s="238"/>
      <c r="AB500" s="3"/>
      <c r="AC500" s="3"/>
      <c r="AD500" s="3"/>
      <c r="AE500" s="3"/>
      <c r="AF500" s="3"/>
      <c r="AG500" s="238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238" t="s">
        <v>344</v>
      </c>
      <c r="AT500" s="3">
        <f>DET_CS_stillbirth_lbw_premature</f>
        <v>7.6548660672211805E-2</v>
      </c>
      <c r="AU500" s="3" t="s">
        <v>345</v>
      </c>
      <c r="AV500" s="3">
        <f>AT500*AP503</f>
        <v>4.7093402315841342</v>
      </c>
      <c r="AW500" s="3" t="s">
        <v>346</v>
      </c>
      <c r="AX500" s="3">
        <f>AT500*AR503</f>
        <v>4.7093402315841342</v>
      </c>
      <c r="AY500" s="3">
        <f>AY495+1</f>
        <v>125</v>
      </c>
      <c r="AZ500" s="3"/>
      <c r="BA500" s="1">
        <f>det_cost_experimental*AV500</f>
        <v>14.316394304015768</v>
      </c>
      <c r="BB500" s="3">
        <f>$AV500*(VLOOKUP($AY500,'Pregnancy costs and utilities'!$A$23:$H$158,3))</f>
        <v>20234.822492151678</v>
      </c>
      <c r="BC500" s="3">
        <f>SUM(BA500:BB500)</f>
        <v>20249.138886455694</v>
      </c>
      <c r="BD500" s="3"/>
      <c r="BE500" s="3">
        <f>$AV500*(VLOOKUP($AY500,'Pregnancy costs and utilities'!$A$23:$I$158,9))</f>
        <v>2.9886197623514694</v>
      </c>
      <c r="BF500" s="3">
        <f>$AV500*(VLOOKUP($AY500,'Pregnancy costs and utilities'!$A$23:$H$158,7))</f>
        <v>2.6011356437145432</v>
      </c>
      <c r="BG500" s="3"/>
      <c r="BH500" s="3">
        <f>$BA500</f>
        <v>14.316394304015768</v>
      </c>
      <c r="BI500" s="3">
        <f>$AX500*(VLOOKUP($AY500,'Pregnancy costs and utilities'!$A$23:$H$158,5))</f>
        <v>5007.331710466101</v>
      </c>
      <c r="BJ500" s="3">
        <f>SUM(BH500:BI500)</f>
        <v>5021.6481047701163</v>
      </c>
      <c r="BK500" s="3"/>
      <c r="BL500" s="3">
        <f>BC500+BI500</f>
        <v>25256.470596921794</v>
      </c>
      <c r="BN500" s="1" t="str">
        <f>IF(AV500=AX500,"Okay",IF(AV500&gt;AX500,"Lost infant","Gained infant"))</f>
        <v>Okay</v>
      </c>
    </row>
    <row r="501" spans="15:66" x14ac:dyDescent="0.25">
      <c r="O501" s="3"/>
      <c r="U501" s="238"/>
      <c r="V501" s="3"/>
      <c r="W501" s="3"/>
      <c r="X501" s="3"/>
      <c r="Y501" s="3"/>
      <c r="Z501" s="3"/>
      <c r="AA501" s="238"/>
      <c r="AB501" s="3"/>
      <c r="AC501" s="3"/>
      <c r="AD501" s="3"/>
      <c r="AE501" s="3"/>
      <c r="AF501" s="3"/>
      <c r="AG501" s="238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238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</row>
    <row r="502" spans="15:66" x14ac:dyDescent="0.25">
      <c r="O502" s="3"/>
      <c r="U502" s="238"/>
      <c r="V502" s="3"/>
      <c r="W502" s="3"/>
      <c r="X502" s="3"/>
      <c r="Y502" s="3"/>
      <c r="Z502" s="3"/>
      <c r="AA502" s="238"/>
      <c r="AB502" s="3"/>
      <c r="AC502" s="3"/>
      <c r="AD502" s="3"/>
      <c r="AE502" s="3"/>
      <c r="AF502" s="3"/>
      <c r="AG502" s="238"/>
      <c r="AH502" s="3"/>
      <c r="AI502" s="3"/>
      <c r="AJ502" s="3"/>
      <c r="AK502" s="3"/>
      <c r="AL502" s="3"/>
      <c r="AM502" s="236" t="s">
        <v>521</v>
      </c>
      <c r="AN502" s="237"/>
      <c r="AO502" s="237"/>
      <c r="AP502" s="237"/>
      <c r="AQ502" s="237"/>
      <c r="AR502" s="371"/>
      <c r="AS502" s="238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</row>
    <row r="503" spans="15:66" x14ac:dyDescent="0.25">
      <c r="O503" s="3"/>
      <c r="U503" s="238"/>
      <c r="V503" s="3"/>
      <c r="W503" s="3"/>
      <c r="X503" s="3"/>
      <c r="Y503" s="3"/>
      <c r="Z503" s="3"/>
      <c r="AA503" s="238"/>
      <c r="AB503" s="3"/>
      <c r="AC503" s="3"/>
      <c r="AD503" s="3"/>
      <c r="AE503" s="3"/>
      <c r="AF503" s="3"/>
      <c r="AG503" s="238"/>
      <c r="AH503" s="3"/>
      <c r="AI503" s="3"/>
      <c r="AJ503" s="3"/>
      <c r="AK503" s="3"/>
      <c r="AL503" s="3"/>
      <c r="AM503" s="238" t="s">
        <v>344</v>
      </c>
      <c r="AN503" s="3">
        <f>DET_CS_lbw_premature</f>
        <v>1</v>
      </c>
      <c r="AO503" s="3" t="s">
        <v>345</v>
      </c>
      <c r="AP503" s="3">
        <f>AN503*AJ504</f>
        <v>61.520870387921605</v>
      </c>
      <c r="AQ503" s="3" t="s">
        <v>346</v>
      </c>
      <c r="AR503" s="370">
        <f>AN503*AL504</f>
        <v>61.520870387921605</v>
      </c>
      <c r="AS503" s="238" t="s">
        <v>344</v>
      </c>
      <c r="AT503" s="3">
        <f>1-AT500</f>
        <v>0.92345133932778822</v>
      </c>
      <c r="AU503" s="3" t="s">
        <v>345</v>
      </c>
      <c r="AV503" s="3">
        <f>AT503*AP503</f>
        <v>56.811530156337469</v>
      </c>
      <c r="AW503" s="3" t="s">
        <v>346</v>
      </c>
      <c r="AX503" s="3">
        <f>AT503*AR503</f>
        <v>56.811530156337469</v>
      </c>
      <c r="AY503" s="3">
        <f>AY500+1</f>
        <v>126</v>
      </c>
      <c r="AZ503" s="3"/>
      <c r="BA503" s="1">
        <f>det_cost_experimental*AV503</f>
        <v>172.70705167526592</v>
      </c>
      <c r="BB503" s="3">
        <f>$AV503*(VLOOKUP($AY503,'Pregnancy costs and utilities'!$A$23:$H$158,3))</f>
        <v>244104.51818944421</v>
      </c>
      <c r="BC503" s="3">
        <f>SUM(BA503:BB503)</f>
        <v>244277.22524111948</v>
      </c>
      <c r="BD503" s="3"/>
      <c r="BE503" s="3">
        <f>$AV503*(VLOOKUP($AY503,'Pregnancy costs and utilities'!$A$23:$I$158,9))</f>
        <v>36.053471060752621</v>
      </c>
      <c r="BF503" s="3">
        <f>$AV503*(VLOOKUP($AY503,'Pregnancy costs and utilities'!$A$23:$H$158,7))</f>
        <v>34.984370238133927</v>
      </c>
      <c r="BG503" s="3"/>
      <c r="BH503" s="3">
        <f>$BA503</f>
        <v>172.70705167526592</v>
      </c>
      <c r="BI503" s="3">
        <f>$AX503*(VLOOKUP($AY503,'Pregnancy costs and utilities'!$A$23:$H$158,5))</f>
        <v>905266.12002420961</v>
      </c>
      <c r="BJ503" s="3">
        <f>SUM(BH503:BI503)</f>
        <v>905438.82707588491</v>
      </c>
      <c r="BK503" s="3"/>
      <c r="BL503" s="3">
        <f>BC503+BI503</f>
        <v>1149543.3452653291</v>
      </c>
      <c r="BN503" s="1" t="str">
        <f>IF(AV503=AX503,"Okay",IF(AV503&gt;AX503,"Lost infant","Gained infant"))</f>
        <v>Okay</v>
      </c>
    </row>
    <row r="504" spans="15:66" x14ac:dyDescent="0.25">
      <c r="O504" s="3"/>
      <c r="U504" s="238"/>
      <c r="V504" s="3"/>
      <c r="W504" s="3"/>
      <c r="X504" s="3"/>
      <c r="Y504" s="3"/>
      <c r="Z504" s="3"/>
      <c r="AA504" s="238"/>
      <c r="AB504" s="3"/>
      <c r="AC504" s="3"/>
      <c r="AD504" s="3"/>
      <c r="AE504" s="3"/>
      <c r="AF504" s="3"/>
      <c r="AG504" s="238" t="s">
        <v>344</v>
      </c>
      <c r="AH504" s="1">
        <f>1-AH491</f>
        <v>0.99993840571000003</v>
      </c>
      <c r="AI504" s="1" t="s">
        <v>345</v>
      </c>
      <c r="AJ504" s="1">
        <f>AH504*AD499</f>
        <v>61.520870387921605</v>
      </c>
      <c r="AK504" s="1" t="s">
        <v>346</v>
      </c>
      <c r="AL504" s="1">
        <f>AH504*AF499</f>
        <v>61.520870387921605</v>
      </c>
      <c r="AM504" s="238"/>
      <c r="AN504" s="3"/>
      <c r="AO504" s="3"/>
      <c r="AP504" s="3"/>
      <c r="AQ504" s="3"/>
      <c r="AR504" s="3"/>
      <c r="AS504" s="240" t="s">
        <v>537</v>
      </c>
      <c r="AT504" s="235"/>
      <c r="AU504" s="235"/>
      <c r="AV504" s="235"/>
      <c r="AW504" s="235"/>
      <c r="AX504" s="235"/>
      <c r="AY504" s="235"/>
      <c r="AZ504" s="235"/>
      <c r="BA504" s="235"/>
      <c r="BB504" s="235"/>
      <c r="BC504" s="235"/>
      <c r="BD504" s="235"/>
      <c r="BE504" s="235"/>
      <c r="BF504" s="235"/>
      <c r="BG504" s="235"/>
      <c r="BH504" s="235"/>
      <c r="BI504" s="235"/>
      <c r="BJ504" s="235"/>
      <c r="BK504" s="235"/>
      <c r="BL504" s="235"/>
      <c r="BM504" s="235"/>
      <c r="BN504" s="235"/>
    </row>
    <row r="505" spans="15:66" x14ac:dyDescent="0.25">
      <c r="O505" s="3"/>
      <c r="U505" s="238"/>
      <c r="V505" s="3"/>
      <c r="W505" s="3"/>
      <c r="X505" s="3"/>
      <c r="Y505" s="3"/>
      <c r="Z505" s="3"/>
      <c r="AA505" s="238"/>
      <c r="AB505" s="3"/>
      <c r="AC505" s="3"/>
      <c r="AD505" s="3"/>
      <c r="AE505" s="3"/>
      <c r="AF505" s="3"/>
      <c r="AG505" s="240" t="s">
        <v>516</v>
      </c>
      <c r="AH505" s="235"/>
      <c r="AI505" s="235"/>
      <c r="AJ505" s="235"/>
      <c r="AK505" s="235"/>
      <c r="AL505" s="239"/>
      <c r="AM505" s="238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</row>
    <row r="506" spans="15:66" x14ac:dyDescent="0.25">
      <c r="O506" s="3"/>
      <c r="U506" s="238"/>
      <c r="V506" s="3"/>
      <c r="W506" s="3"/>
      <c r="X506" s="3"/>
      <c r="Y506" s="3"/>
      <c r="Z506" s="3"/>
      <c r="AA506" s="238"/>
      <c r="AB506" s="3"/>
      <c r="AC506" s="3"/>
      <c r="AD506" s="3"/>
      <c r="AE506" s="3"/>
      <c r="AF506" s="3"/>
      <c r="AM506" s="238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</row>
    <row r="507" spans="15:66" x14ac:dyDescent="0.25">
      <c r="O507" s="3"/>
      <c r="U507" s="238"/>
      <c r="V507" s="3"/>
      <c r="W507" s="3"/>
      <c r="X507" s="3"/>
      <c r="Y507" s="3"/>
      <c r="Z507" s="3"/>
      <c r="AA507" s="238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238"/>
      <c r="AN507" s="3"/>
      <c r="AO507" s="3"/>
      <c r="AP507" s="3"/>
      <c r="AQ507" s="3"/>
      <c r="AR507" s="3"/>
      <c r="AS507" s="236" t="s">
        <v>536</v>
      </c>
      <c r="AT507" s="237"/>
      <c r="AU507" s="237"/>
      <c r="AV507" s="237"/>
      <c r="AW507" s="237"/>
      <c r="AX507" s="237"/>
      <c r="AY507" s="237"/>
      <c r="AZ507" s="237"/>
      <c r="BA507" s="237"/>
      <c r="BB507" s="237"/>
      <c r="BC507" s="237"/>
      <c r="BD507" s="237"/>
      <c r="BE507" s="237"/>
      <c r="BF507" s="237"/>
      <c r="BG507" s="237"/>
      <c r="BH507" s="237"/>
      <c r="BI507" s="237"/>
      <c r="BJ507" s="237"/>
      <c r="BK507" s="237"/>
      <c r="BL507" s="237"/>
      <c r="BM507" s="237"/>
      <c r="BN507" s="237"/>
    </row>
    <row r="508" spans="15:66" x14ac:dyDescent="0.25">
      <c r="O508" s="3"/>
      <c r="U508" s="238"/>
      <c r="V508" s="3"/>
      <c r="W508" s="3"/>
      <c r="X508" s="3"/>
      <c r="Y508" s="3"/>
      <c r="Z508" s="3"/>
      <c r="AA508" s="238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238" t="s">
        <v>344</v>
      </c>
      <c r="AN508" s="1">
        <f>1-AN503</f>
        <v>0</v>
      </c>
      <c r="AO508" s="1" t="s">
        <v>345</v>
      </c>
      <c r="AP508" s="1">
        <f>AN508*AJ504</f>
        <v>0</v>
      </c>
      <c r="AQ508" s="1" t="s">
        <v>346</v>
      </c>
      <c r="AR508" s="1">
        <f>AN508*AL504</f>
        <v>0</v>
      </c>
      <c r="AS508" s="238" t="s">
        <v>344</v>
      </c>
      <c r="AT508" s="3">
        <f>DET_CS_stillbirth_nbw_premature</f>
        <v>9.5923131756814883E-3</v>
      </c>
      <c r="AU508" s="3" t="s">
        <v>345</v>
      </c>
      <c r="AV508" s="3">
        <f>AT508*AP508</f>
        <v>0</v>
      </c>
      <c r="AW508" s="3" t="s">
        <v>346</v>
      </c>
      <c r="AX508" s="3">
        <f>AT508*AR508</f>
        <v>0</v>
      </c>
      <c r="AY508" s="3">
        <f>AY503+1</f>
        <v>127</v>
      </c>
      <c r="AZ508" s="3"/>
      <c r="BA508" s="1">
        <f>det_cost_experimental*AV508</f>
        <v>0</v>
      </c>
      <c r="BB508" s="3">
        <f>$AV508*(VLOOKUP($AY508,'Pregnancy costs and utilities'!$A$23:$H$158,3))</f>
        <v>0</v>
      </c>
      <c r="BC508" s="3">
        <f>SUM(BA508:BB508)</f>
        <v>0</v>
      </c>
      <c r="BD508" s="3"/>
      <c r="BE508" s="3">
        <f>$AV508*(VLOOKUP($AY508,'Pregnancy costs and utilities'!$A$23:$I$158,9))</f>
        <v>0</v>
      </c>
      <c r="BF508" s="3">
        <f>$AV508*(VLOOKUP($AY508,'Pregnancy costs and utilities'!$A$23:$H$158,7))</f>
        <v>0</v>
      </c>
      <c r="BG508" s="3"/>
      <c r="BH508" s="3">
        <f>$BA508</f>
        <v>0</v>
      </c>
      <c r="BI508" s="3">
        <f>$AX508*(VLOOKUP($AY508,'Pregnancy costs and utilities'!$A$23:$H$158,5))</f>
        <v>0</v>
      </c>
      <c r="BJ508" s="3">
        <f>SUM(BH508:BI508)</f>
        <v>0</v>
      </c>
      <c r="BK508" s="3"/>
      <c r="BL508" s="3">
        <f>BC508+BI508</f>
        <v>0</v>
      </c>
      <c r="BN508" s="1" t="str">
        <f>IF(AV508=AX508,"Okay",IF(AV508&gt;AX508,"Lost infant","Gained infant"))</f>
        <v>Okay</v>
      </c>
    </row>
    <row r="509" spans="15:66" x14ac:dyDescent="0.25">
      <c r="O509" s="3"/>
      <c r="U509" s="238"/>
      <c r="V509" s="3"/>
      <c r="W509" s="3"/>
      <c r="X509" s="3"/>
      <c r="Y509" s="3"/>
      <c r="Z509" s="3"/>
      <c r="AA509" s="238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240" t="s">
        <v>522</v>
      </c>
      <c r="AN509" s="235"/>
      <c r="AO509" s="235"/>
      <c r="AP509" s="235"/>
      <c r="AQ509" s="235"/>
      <c r="AR509" s="239"/>
      <c r="AS509" s="238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</row>
    <row r="510" spans="15:66" x14ac:dyDescent="0.25">
      <c r="O510" s="3"/>
      <c r="U510" s="238"/>
      <c r="V510" s="3"/>
      <c r="W510" s="3"/>
      <c r="X510" s="3"/>
      <c r="Y510" s="3"/>
      <c r="Z510" s="3"/>
      <c r="AA510" s="238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238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</row>
    <row r="511" spans="15:66" x14ac:dyDescent="0.25">
      <c r="O511" s="3"/>
      <c r="U511" s="238"/>
      <c r="V511" s="3"/>
      <c r="W511" s="3"/>
      <c r="X511" s="3"/>
      <c r="Y511" s="3"/>
      <c r="Z511" s="3"/>
      <c r="AA511" s="238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238" t="s">
        <v>344</v>
      </c>
      <c r="AT511" s="3">
        <f>1-AT508</f>
        <v>0.99040768682431857</v>
      </c>
      <c r="AU511" s="3" t="s">
        <v>345</v>
      </c>
      <c r="AV511" s="3">
        <f>AT511*AP508</f>
        <v>0</v>
      </c>
      <c r="AW511" s="3" t="s">
        <v>346</v>
      </c>
      <c r="AX511" s="3">
        <f>AT511*AR508</f>
        <v>0</v>
      </c>
      <c r="AY511" s="3">
        <f>AY508+1</f>
        <v>128</v>
      </c>
      <c r="AZ511" s="3"/>
      <c r="BA511" s="1">
        <f>det_cost_experimental*AV511</f>
        <v>0</v>
      </c>
      <c r="BB511" s="3">
        <f>$AV511*(VLOOKUP($AY511,'Pregnancy costs and utilities'!$A$23:$H$158,3))</f>
        <v>0</v>
      </c>
      <c r="BC511" s="3">
        <f>SUM(BA511:BB511)</f>
        <v>0</v>
      </c>
      <c r="BD511" s="3"/>
      <c r="BE511" s="3">
        <f>$AV511*(VLOOKUP($AY511,'Pregnancy costs and utilities'!$A$23:$I$158,9))</f>
        <v>0</v>
      </c>
      <c r="BF511" s="3">
        <f>$AV511*(VLOOKUP($AY511,'Pregnancy costs and utilities'!$A$23:$H$158,7))</f>
        <v>0</v>
      </c>
      <c r="BG511" s="3"/>
      <c r="BH511" s="3">
        <f>$BA511</f>
        <v>0</v>
      </c>
      <c r="BI511" s="3">
        <f>$AX511*(VLOOKUP($AY511,'Pregnancy costs and utilities'!$A$23:$H$158,5))</f>
        <v>0</v>
      </c>
      <c r="BJ511" s="3">
        <f>SUM(BH511:BI511)</f>
        <v>0</v>
      </c>
      <c r="BK511" s="3"/>
      <c r="BL511" s="3">
        <f>BC511+BI511</f>
        <v>0</v>
      </c>
      <c r="BN511" s="1" t="str">
        <f>IF(AV511=AX511,"Okay",IF(AV511&gt;AX511,"Lost infant","Gained infant"))</f>
        <v>Okay</v>
      </c>
    </row>
    <row r="512" spans="15:66" x14ac:dyDescent="0.25">
      <c r="O512" s="3"/>
      <c r="U512" s="238" t="s">
        <v>344</v>
      </c>
      <c r="V512" s="1">
        <f>1-V323-V387-V451</f>
        <v>0.97397090145671228</v>
      </c>
      <c r="W512" s="1" t="s">
        <v>345</v>
      </c>
      <c r="X512" s="1">
        <f>V512*R416</f>
        <v>832.2196045395782</v>
      </c>
      <c r="Y512" s="1" t="s">
        <v>346</v>
      </c>
      <c r="Z512" s="1">
        <f>V512*T416</f>
        <v>832.2196045395782</v>
      </c>
      <c r="AA512" s="238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240" t="s">
        <v>535</v>
      </c>
      <c r="AT512" s="235"/>
      <c r="AU512" s="235"/>
      <c r="AV512" s="235"/>
      <c r="AW512" s="235"/>
      <c r="AX512" s="235"/>
      <c r="AY512" s="235"/>
      <c r="AZ512" s="235"/>
      <c r="BA512" s="235"/>
      <c r="BB512" s="235"/>
      <c r="BC512" s="235"/>
      <c r="BD512" s="235"/>
      <c r="BE512" s="235"/>
      <c r="BF512" s="235"/>
      <c r="BG512" s="235"/>
      <c r="BH512" s="235"/>
      <c r="BI512" s="235"/>
      <c r="BJ512" s="235"/>
      <c r="BK512" s="235"/>
      <c r="BL512" s="235"/>
      <c r="BM512" s="235"/>
      <c r="BN512" s="235"/>
    </row>
    <row r="513" spans="15:66" x14ac:dyDescent="0.25">
      <c r="O513" s="3"/>
      <c r="U513" s="240" t="s">
        <v>389</v>
      </c>
      <c r="V513" s="235"/>
      <c r="W513" s="235"/>
      <c r="X513" s="235"/>
      <c r="Y513" s="235"/>
      <c r="Z513" s="235"/>
      <c r="AA513" s="238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</row>
    <row r="514" spans="15:66" x14ac:dyDescent="0.25">
      <c r="O514" s="3"/>
      <c r="U514" s="3"/>
      <c r="V514" s="3"/>
      <c r="W514" s="3"/>
      <c r="X514" s="3"/>
      <c r="Y514" s="3"/>
      <c r="Z514" s="3"/>
      <c r="AA514" s="238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</row>
    <row r="515" spans="15:66" x14ac:dyDescent="0.25">
      <c r="O515" s="3"/>
      <c r="U515" s="3"/>
      <c r="V515" s="3"/>
      <c r="W515" s="3"/>
      <c r="X515" s="3"/>
      <c r="Y515" s="3"/>
      <c r="Z515" s="3"/>
      <c r="AA515" s="238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236" t="s">
        <v>534</v>
      </c>
      <c r="AT515" s="237"/>
      <c r="AU515" s="237"/>
      <c r="AV515" s="237"/>
      <c r="AW515" s="237"/>
      <c r="AX515" s="237"/>
      <c r="AY515" s="237"/>
      <c r="AZ515" s="237"/>
      <c r="BA515" s="237"/>
      <c r="BB515" s="237"/>
      <c r="BC515" s="237"/>
      <c r="BD515" s="237"/>
      <c r="BE515" s="237"/>
      <c r="BF515" s="237"/>
      <c r="BG515" s="237"/>
      <c r="BH515" s="237"/>
      <c r="BI515" s="237"/>
      <c r="BJ515" s="237"/>
      <c r="BK515" s="237"/>
      <c r="BL515" s="237"/>
      <c r="BM515" s="237"/>
      <c r="BN515" s="237"/>
    </row>
    <row r="516" spans="15:66" x14ac:dyDescent="0.25">
      <c r="O516" s="3"/>
      <c r="U516" s="3"/>
      <c r="V516" s="3"/>
      <c r="W516" s="3"/>
      <c r="X516" s="3"/>
      <c r="Y516" s="3"/>
      <c r="Z516" s="3"/>
      <c r="AA516" s="238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238" t="s">
        <v>344</v>
      </c>
      <c r="AT516" s="1">
        <f>DET_CS_stillbirth_lbw_fullgest</f>
        <v>1.9354764795137105E-2</v>
      </c>
      <c r="AU516" s="1" t="s">
        <v>345</v>
      </c>
      <c r="AV516" s="1">
        <f>AT516*AP519</f>
        <v>4.5051717205645289E-5</v>
      </c>
      <c r="AW516" s="1" t="s">
        <v>346</v>
      </c>
      <c r="AX516" s="1">
        <f>AT516*AR519</f>
        <v>4.5051717205645289E-5</v>
      </c>
      <c r="AY516" s="1">
        <f>AY511+1</f>
        <v>129</v>
      </c>
      <c r="BA516" s="1">
        <f>det_cost_experimental*AV516</f>
        <v>1.3695722030516167E-4</v>
      </c>
      <c r="BB516" s="1">
        <f>$AV516*(VLOOKUP($AY516,'Pregnancy costs and utilities'!$A$23:$H$158,3))</f>
        <v>0.21691095400234631</v>
      </c>
      <c r="BC516" s="1">
        <f>SUM(BA516:BB516)</f>
        <v>0.21704791122265146</v>
      </c>
      <c r="BE516" s="1">
        <f>$AV516*(VLOOKUP($AY516,'Pregnancy costs and utilities'!$A$23:$I$158,9))</f>
        <v>0</v>
      </c>
      <c r="BF516" s="1">
        <f>$AV516*(VLOOKUP($AY516,'Pregnancy costs and utilities'!$A$23:$H$158,7))</f>
        <v>0</v>
      </c>
      <c r="BH516" s="1">
        <f>$BA516</f>
        <v>1.3695722030516167E-4</v>
      </c>
      <c r="BI516" s="1">
        <f>$AX516*(VLOOKUP($AY516,'Pregnancy costs and utilities'!$A$23:$H$158,5))</f>
        <v>4.7902440911323792E-2</v>
      </c>
      <c r="BJ516" s="3">
        <f>SUM(BH516:BI516)</f>
        <v>4.8039398131628955E-2</v>
      </c>
      <c r="BK516" s="3"/>
      <c r="BL516" s="3">
        <f>BC516+BI516</f>
        <v>0.26495035213397528</v>
      </c>
      <c r="BN516" s="1" t="str">
        <f>IF(AV516=AX516,"Okay",IF(AV516&gt;AX516,"Lost infant","Gained infant"))</f>
        <v>Okay</v>
      </c>
    </row>
    <row r="517" spans="15:66" x14ac:dyDescent="0.25">
      <c r="O517" s="3"/>
      <c r="U517" s="3"/>
      <c r="V517" s="3"/>
      <c r="W517" s="3"/>
      <c r="X517" s="3"/>
      <c r="Y517" s="3"/>
      <c r="Z517" s="3"/>
      <c r="AA517" s="238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238"/>
      <c r="BJ517" s="3"/>
      <c r="BK517" s="3"/>
      <c r="BL517" s="3"/>
    </row>
    <row r="518" spans="15:66" x14ac:dyDescent="0.25">
      <c r="O518" s="3"/>
      <c r="U518" s="3"/>
      <c r="V518" s="3"/>
      <c r="W518" s="3"/>
      <c r="X518" s="3"/>
      <c r="Y518" s="3"/>
      <c r="Z518" s="3"/>
      <c r="AA518" s="238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236" t="s">
        <v>523</v>
      </c>
      <c r="AN518" s="237"/>
      <c r="AO518" s="237"/>
      <c r="AP518" s="237"/>
      <c r="AQ518" s="237"/>
      <c r="AR518" s="371"/>
      <c r="AS518" s="238"/>
      <c r="BJ518" s="3"/>
      <c r="BK518" s="3"/>
      <c r="BL518" s="3"/>
    </row>
    <row r="519" spans="15:66" x14ac:dyDescent="0.25">
      <c r="O519" s="3"/>
      <c r="U519" s="3"/>
      <c r="V519" s="3"/>
      <c r="W519" s="3"/>
      <c r="X519" s="3"/>
      <c r="Y519" s="3"/>
      <c r="Z519" s="3"/>
      <c r="AA519" s="238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238" t="s">
        <v>344</v>
      </c>
      <c r="AN519" s="3">
        <f>DET_CS_lbw_fullgest</f>
        <v>4.9034357338086171E-2</v>
      </c>
      <c r="AO519" s="3" t="s">
        <v>345</v>
      </c>
      <c r="AP519" s="3">
        <f>AN519*AJ523</f>
        <v>2.3276809448474702E-3</v>
      </c>
      <c r="AQ519" s="3" t="s">
        <v>346</v>
      </c>
      <c r="AR519" s="370">
        <f>AN519*AL523</f>
        <v>2.3276809448474702E-3</v>
      </c>
      <c r="AS519" s="238" t="s">
        <v>344</v>
      </c>
      <c r="AT519" s="1">
        <f>1-AT516</f>
        <v>0.98064523520486291</v>
      </c>
      <c r="AU519" s="1" t="s">
        <v>345</v>
      </c>
      <c r="AV519" s="1">
        <f>AT519*AP519</f>
        <v>2.2826292276418251E-3</v>
      </c>
      <c r="AW519" s="1" t="s">
        <v>346</v>
      </c>
      <c r="AX519" s="1">
        <f>AT519*AR519</f>
        <v>2.2826292276418251E-3</v>
      </c>
      <c r="AY519" s="1">
        <f>AY516+1</f>
        <v>130</v>
      </c>
      <c r="BA519" s="1">
        <f>det_cost_experimental*AV519</f>
        <v>6.9391928520311482E-3</v>
      </c>
      <c r="BB519" s="1">
        <f>$AV519*(VLOOKUP($AY519,'Pregnancy costs and utilities'!$A$23:$H$158,3))</f>
        <v>10.990197801813963</v>
      </c>
      <c r="BC519" s="1">
        <f>SUM(BA519:BB519)</f>
        <v>10.997136994665993</v>
      </c>
      <c r="BE519" s="1">
        <f>$AV519*(VLOOKUP($AY519,'Pregnancy costs and utilities'!$A$23:$I$158,9))</f>
        <v>0</v>
      </c>
      <c r="BF519" s="1">
        <f>$AV519*(VLOOKUP($AY519,'Pregnancy costs and utilities'!$A$23:$H$158,7))</f>
        <v>0</v>
      </c>
      <c r="BH519" s="1">
        <f>$BA519</f>
        <v>6.9391928520311482E-3</v>
      </c>
      <c r="BI519" s="1">
        <f>$AX519*(VLOOKUP($AY519,'Pregnancy costs and utilities'!$A$23:$H$158,5))</f>
        <v>6.0395350006367483</v>
      </c>
      <c r="BJ519" s="3">
        <f>SUM(BH519:BI519)</f>
        <v>6.0464741934887796</v>
      </c>
      <c r="BK519" s="3"/>
      <c r="BL519" s="3">
        <f>BC519+BI519</f>
        <v>17.03667199530274</v>
      </c>
      <c r="BN519" s="1" t="str">
        <f>IF(AV519=AX519,"Okay",IF(AV519&gt;AX519,"Lost infant","Gained infant"))</f>
        <v>Okay</v>
      </c>
    </row>
    <row r="520" spans="15:66" x14ac:dyDescent="0.25">
      <c r="O520" s="3"/>
      <c r="U520" s="3"/>
      <c r="V520" s="3"/>
      <c r="W520" s="3"/>
      <c r="X520" s="3"/>
      <c r="Y520" s="3"/>
      <c r="Z520" s="3"/>
      <c r="AA520" s="238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238"/>
      <c r="AN520" s="3"/>
      <c r="AO520" s="3"/>
      <c r="AP520" s="3"/>
      <c r="AQ520" s="3"/>
      <c r="AR520" s="3"/>
      <c r="AS520" s="240" t="s">
        <v>533</v>
      </c>
      <c r="AT520" s="235"/>
      <c r="AU520" s="235"/>
      <c r="AV520" s="235"/>
      <c r="AW520" s="235"/>
      <c r="AX520" s="235"/>
      <c r="AY520" s="235"/>
      <c r="AZ520" s="235"/>
      <c r="BA520" s="235"/>
      <c r="BB520" s="235"/>
      <c r="BC520" s="235"/>
      <c r="BD520" s="235"/>
      <c r="BE520" s="235"/>
      <c r="BF520" s="235"/>
      <c r="BG520" s="235"/>
      <c r="BH520" s="235"/>
      <c r="BI520" s="235"/>
      <c r="BJ520" s="235"/>
      <c r="BK520" s="235"/>
      <c r="BL520" s="235"/>
      <c r="BM520" s="235"/>
      <c r="BN520" s="235"/>
    </row>
    <row r="521" spans="15:66" x14ac:dyDescent="0.25">
      <c r="O521" s="3"/>
      <c r="U521" s="3"/>
      <c r="V521" s="3"/>
      <c r="W521" s="3"/>
      <c r="X521" s="3"/>
      <c r="Y521" s="3"/>
      <c r="Z521" s="3"/>
      <c r="AA521" s="238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238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</row>
    <row r="522" spans="15:66" x14ac:dyDescent="0.25">
      <c r="O522" s="3"/>
      <c r="U522" s="3"/>
      <c r="V522" s="3"/>
      <c r="W522" s="3"/>
      <c r="X522" s="3"/>
      <c r="Y522" s="3"/>
      <c r="Z522" s="3"/>
      <c r="AA522" s="238"/>
      <c r="AB522" s="3"/>
      <c r="AC522" s="3"/>
      <c r="AD522" s="3"/>
      <c r="AE522" s="3"/>
      <c r="AF522" s="3"/>
      <c r="AG522" s="236" t="s">
        <v>517</v>
      </c>
      <c r="AH522" s="237"/>
      <c r="AI522" s="237"/>
      <c r="AJ522" s="237"/>
      <c r="AK522" s="237"/>
      <c r="AL522" s="371"/>
      <c r="AM522" s="238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</row>
    <row r="523" spans="15:66" x14ac:dyDescent="0.25">
      <c r="O523" s="3"/>
      <c r="U523" s="3"/>
      <c r="V523" s="3"/>
      <c r="W523" s="3"/>
      <c r="X523" s="3"/>
      <c r="Y523" s="3"/>
      <c r="Z523" s="3"/>
      <c r="AA523" s="238"/>
      <c r="AB523" s="3"/>
      <c r="AC523" s="3"/>
      <c r="AD523" s="3"/>
      <c r="AE523" s="3"/>
      <c r="AF523" s="3"/>
      <c r="AG523" s="238" t="s">
        <v>344</v>
      </c>
      <c r="AH523" s="3">
        <f>DET_MORT_no_complication</f>
        <v>6.1594290000000217E-5</v>
      </c>
      <c r="AI523" s="3" t="s">
        <v>345</v>
      </c>
      <c r="AJ523" s="3">
        <f>AH523*AD528</f>
        <v>4.7470407918235404E-2</v>
      </c>
      <c r="AK523" s="3" t="s">
        <v>346</v>
      </c>
      <c r="AL523" s="370">
        <f>AH523*AF528</f>
        <v>4.7470407918235404E-2</v>
      </c>
      <c r="AM523" s="238"/>
      <c r="AN523" s="3"/>
      <c r="AO523" s="3"/>
      <c r="AP523" s="3"/>
      <c r="AQ523" s="3"/>
      <c r="AR523" s="3"/>
      <c r="AS523" s="236" t="s">
        <v>532</v>
      </c>
      <c r="AT523" s="237"/>
      <c r="AU523" s="237"/>
      <c r="AV523" s="237"/>
      <c r="AW523" s="237"/>
      <c r="AX523" s="237"/>
      <c r="AY523" s="237"/>
      <c r="AZ523" s="237"/>
      <c r="BA523" s="237"/>
      <c r="BB523" s="237"/>
      <c r="BC523" s="237"/>
      <c r="BD523" s="237"/>
      <c r="BE523" s="237"/>
      <c r="BF523" s="237"/>
      <c r="BG523" s="237"/>
      <c r="BH523" s="237"/>
      <c r="BI523" s="237"/>
      <c r="BJ523" s="237"/>
      <c r="BK523" s="237"/>
      <c r="BL523" s="237"/>
      <c r="BM523" s="237"/>
      <c r="BN523" s="237"/>
    </row>
    <row r="524" spans="15:66" x14ac:dyDescent="0.25">
      <c r="O524" s="3"/>
      <c r="U524" s="3"/>
      <c r="V524" s="3"/>
      <c r="W524" s="3"/>
      <c r="X524" s="3"/>
      <c r="Y524" s="3"/>
      <c r="Z524" s="3"/>
      <c r="AA524" s="238"/>
      <c r="AB524" s="3"/>
      <c r="AC524" s="3"/>
      <c r="AD524" s="3"/>
      <c r="AE524" s="3"/>
      <c r="AF524" s="3"/>
      <c r="AG524" s="238"/>
      <c r="AH524" s="3"/>
      <c r="AI524" s="3"/>
      <c r="AJ524" s="3"/>
      <c r="AK524" s="3"/>
      <c r="AL524" s="3"/>
      <c r="AM524" s="238" t="s">
        <v>344</v>
      </c>
      <c r="AN524" s="1">
        <f>1-AN519</f>
        <v>0.95096564266191386</v>
      </c>
      <c r="AO524" s="1" t="s">
        <v>345</v>
      </c>
      <c r="AP524" s="1">
        <f>AN524*AJ523</f>
        <v>4.5142726973387934E-2</v>
      </c>
      <c r="AQ524" s="1" t="s">
        <v>346</v>
      </c>
      <c r="AR524" s="1">
        <f>AN524*AL523</f>
        <v>4.5142726973387934E-2</v>
      </c>
      <c r="AS524" s="238" t="s">
        <v>344</v>
      </c>
      <c r="AT524" s="3">
        <f>DET_CS_stillbirth_nbw_fullgest</f>
        <v>2.0298526728661924E-3</v>
      </c>
      <c r="AU524" s="3" t="s">
        <v>345</v>
      </c>
      <c r="AV524" s="3">
        <f>AT524*AP524</f>
        <v>9.1633085007400257E-5</v>
      </c>
      <c r="AW524" s="3" t="s">
        <v>346</v>
      </c>
      <c r="AX524" s="3">
        <f>AT524*AR524</f>
        <v>9.1633085007400257E-5</v>
      </c>
      <c r="AY524" s="3">
        <f>AY519+1</f>
        <v>131</v>
      </c>
      <c r="AZ524" s="3"/>
      <c r="BA524" s="1">
        <f>det_cost_experimental*AV524</f>
        <v>2.7856457842249677E-4</v>
      </c>
      <c r="BB524" s="3">
        <f>$AV524*(VLOOKUP($AY524,'Pregnancy costs and utilities'!$A$23:$H$158,3))</f>
        <v>0.44118673204853243</v>
      </c>
      <c r="BC524" s="3">
        <f>SUM(BA524:BB524)</f>
        <v>0.44146529662695494</v>
      </c>
      <c r="BD524" s="3"/>
      <c r="BE524" s="3">
        <f>$AV524*(VLOOKUP($AY524,'Pregnancy costs and utilities'!$A$23:$I$158,9))</f>
        <v>0</v>
      </c>
      <c r="BF524" s="3">
        <f>$AV524*(VLOOKUP($AY524,'Pregnancy costs and utilities'!$A$23:$H$158,7))</f>
        <v>0</v>
      </c>
      <c r="BG524" s="3"/>
      <c r="BH524" s="3">
        <f>$BA524</f>
        <v>2.7856457842249677E-4</v>
      </c>
      <c r="BI524" s="3">
        <f>$AX524*(VLOOKUP($AY524,'Pregnancy costs and utilities'!$A$23:$H$158,5))</f>
        <v>9.7431323650839063E-2</v>
      </c>
      <c r="BJ524" s="3">
        <f>SUM(BH524:BI524)</f>
        <v>9.7709888229261563E-2</v>
      </c>
      <c r="BK524" s="3"/>
      <c r="BL524" s="3">
        <f>BC524+BI524</f>
        <v>0.53889662027779406</v>
      </c>
      <c r="BN524" s="1" t="str">
        <f>IF(AV524=AX524,"Okay",IF(AV524&gt;AX524,"Lost infant","Gained infant"))</f>
        <v>Okay</v>
      </c>
    </row>
    <row r="525" spans="15:66" x14ac:dyDescent="0.25">
      <c r="O525" s="3"/>
      <c r="U525" s="3"/>
      <c r="V525" s="3"/>
      <c r="W525" s="3"/>
      <c r="X525" s="3"/>
      <c r="Y525" s="3"/>
      <c r="Z525" s="3"/>
      <c r="AA525" s="238"/>
      <c r="AB525" s="3"/>
      <c r="AC525" s="3"/>
      <c r="AD525" s="3"/>
      <c r="AE525" s="3"/>
      <c r="AF525" s="3"/>
      <c r="AG525" s="238"/>
      <c r="AH525" s="3"/>
      <c r="AI525" s="3"/>
      <c r="AJ525" s="3"/>
      <c r="AK525" s="3"/>
      <c r="AL525" s="3"/>
      <c r="AM525" s="240" t="s">
        <v>524</v>
      </c>
      <c r="AN525" s="235"/>
      <c r="AO525" s="235"/>
      <c r="AP525" s="235"/>
      <c r="AQ525" s="235"/>
      <c r="AR525" s="239"/>
      <c r="AS525" s="238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</row>
    <row r="526" spans="15:66" x14ac:dyDescent="0.25">
      <c r="O526" s="3"/>
      <c r="U526" s="3"/>
      <c r="V526" s="3"/>
      <c r="W526" s="3"/>
      <c r="X526" s="3"/>
      <c r="Y526" s="3"/>
      <c r="Z526" s="3"/>
      <c r="AA526" s="238"/>
      <c r="AB526" s="3"/>
      <c r="AC526" s="3"/>
      <c r="AD526" s="3"/>
      <c r="AE526" s="3"/>
      <c r="AF526" s="3"/>
      <c r="AG526" s="238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238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</row>
    <row r="527" spans="15:66" x14ac:dyDescent="0.25">
      <c r="O527" s="3"/>
      <c r="U527" s="3"/>
      <c r="V527" s="3"/>
      <c r="W527" s="3"/>
      <c r="X527" s="3"/>
      <c r="Y527" s="3"/>
      <c r="Z527" s="3"/>
      <c r="AA527" s="238"/>
      <c r="AB527" s="3"/>
      <c r="AC527" s="3"/>
      <c r="AD527" s="3"/>
      <c r="AE527" s="3"/>
      <c r="AF527" s="3"/>
      <c r="AG527" s="238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238" t="s">
        <v>344</v>
      </c>
      <c r="AT527" s="3">
        <f>1-AT524</f>
        <v>0.99797014732713385</v>
      </c>
      <c r="AU527" s="3" t="s">
        <v>345</v>
      </c>
      <c r="AV527" s="3">
        <f>AT527*AP524</f>
        <v>4.5051093888380536E-2</v>
      </c>
      <c r="AW527" s="3" t="s">
        <v>346</v>
      </c>
      <c r="AX527" s="3">
        <f>AT527*AR524</f>
        <v>4.5051093888380536E-2</v>
      </c>
      <c r="AY527" s="3">
        <f>AY524+1</f>
        <v>132</v>
      </c>
      <c r="AZ527" s="3"/>
      <c r="BA527" s="1">
        <f>det_cost_experimental*AV527</f>
        <v>0.13695532542067684</v>
      </c>
      <c r="BB527" s="3">
        <f>$AV527*(VLOOKUP($AY527,'Pregnancy costs and utilities'!$A$23:$H$158,3))</f>
        <v>216.90795291046945</v>
      </c>
      <c r="BC527" s="3">
        <f>SUM(BA527:BB527)</f>
        <v>217.04490823589012</v>
      </c>
      <c r="BD527" s="3"/>
      <c r="BE527" s="3">
        <f>$AV527*(VLOOKUP($AY527,'Pregnancy costs and utilities'!$A$23:$I$158,9))</f>
        <v>0</v>
      </c>
      <c r="BF527" s="3">
        <f>$AV527*(VLOOKUP($AY527,'Pregnancy costs and utilities'!$A$23:$H$158,7))</f>
        <v>0</v>
      </c>
      <c r="BG527" s="3"/>
      <c r="BH527" s="3">
        <f>$BA527</f>
        <v>0.13695532542067684</v>
      </c>
      <c r="BI527" s="3">
        <f>$AX527*(VLOOKUP($AY527,'Pregnancy costs and utilities'!$A$23:$H$158,5))</f>
        <v>119.19923527700519</v>
      </c>
      <c r="BJ527" s="3">
        <f>SUM(BH527:BI527)</f>
        <v>119.33619060242586</v>
      </c>
      <c r="BK527" s="3"/>
      <c r="BL527" s="3">
        <f>BC527+BI527</f>
        <v>336.24414351289533</v>
      </c>
      <c r="BN527" s="1" t="str">
        <f>IF(AV527=AX527,"Okay",IF(AV527&gt;AX527,"Lost infant","Gained infant"))</f>
        <v>Okay</v>
      </c>
    </row>
    <row r="528" spans="15:66" x14ac:dyDescent="0.25">
      <c r="O528" s="3"/>
      <c r="U528" s="3"/>
      <c r="V528" s="3"/>
      <c r="W528" s="3"/>
      <c r="X528" s="3"/>
      <c r="Y528" s="3"/>
      <c r="Z528" s="3"/>
      <c r="AA528" s="238" t="s">
        <v>344</v>
      </c>
      <c r="AB528" s="1">
        <f>1-AB499</f>
        <v>0.926071604634083</v>
      </c>
      <c r="AC528" s="1" t="s">
        <v>345</v>
      </c>
      <c r="AD528" s="1">
        <f>AB528*X512</f>
        <v>770.6949445839092</v>
      </c>
      <c r="AE528" s="1" t="s">
        <v>346</v>
      </c>
      <c r="AF528" s="1">
        <f>AB528*Z512</f>
        <v>770.6949445839092</v>
      </c>
      <c r="AG528" s="238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240" t="s">
        <v>531</v>
      </c>
      <c r="AT528" s="235"/>
      <c r="AU528" s="235"/>
      <c r="AV528" s="235"/>
      <c r="AW528" s="235"/>
      <c r="AX528" s="235"/>
      <c r="AY528" s="235"/>
      <c r="AZ528" s="235"/>
      <c r="BA528" s="235"/>
      <c r="BB528" s="235"/>
      <c r="BC528" s="235"/>
      <c r="BD528" s="235"/>
      <c r="BE528" s="235"/>
      <c r="BF528" s="235"/>
      <c r="BG528" s="235"/>
      <c r="BH528" s="235"/>
      <c r="BI528" s="235"/>
      <c r="BJ528" s="235"/>
      <c r="BK528" s="235"/>
      <c r="BL528" s="235"/>
      <c r="BM528" s="235"/>
      <c r="BN528" s="235"/>
    </row>
    <row r="529" spans="15:66" x14ac:dyDescent="0.25">
      <c r="O529" s="3"/>
      <c r="U529" s="3"/>
      <c r="V529" s="3"/>
      <c r="W529" s="3"/>
      <c r="X529" s="3"/>
      <c r="Y529" s="3"/>
      <c r="Z529" s="3"/>
      <c r="AA529" s="240" t="s">
        <v>514</v>
      </c>
      <c r="AB529" s="235"/>
      <c r="AC529" s="235"/>
      <c r="AD529" s="235"/>
      <c r="AE529" s="235"/>
      <c r="AF529" s="239"/>
      <c r="AG529" s="238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</row>
    <row r="530" spans="15:66" x14ac:dyDescent="0.25">
      <c r="O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238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</row>
    <row r="531" spans="15:66" x14ac:dyDescent="0.25">
      <c r="O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238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236" t="s">
        <v>530</v>
      </c>
      <c r="AT531" s="237"/>
      <c r="AU531" s="237"/>
      <c r="AV531" s="237"/>
      <c r="AW531" s="237"/>
      <c r="AX531" s="237"/>
      <c r="AY531" s="237"/>
      <c r="AZ531" s="237"/>
      <c r="BA531" s="237"/>
      <c r="BB531" s="237"/>
      <c r="BC531" s="237"/>
      <c r="BD531" s="237"/>
      <c r="BE531" s="237"/>
      <c r="BF531" s="237"/>
      <c r="BG531" s="237"/>
      <c r="BH531" s="237"/>
      <c r="BI531" s="237"/>
      <c r="BJ531" s="237"/>
      <c r="BK531" s="237"/>
      <c r="BL531" s="237"/>
      <c r="BM531" s="237"/>
      <c r="BN531" s="237"/>
    </row>
    <row r="532" spans="15:66" x14ac:dyDescent="0.25">
      <c r="O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238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238" t="s">
        <v>344</v>
      </c>
      <c r="AT532" s="3">
        <f>DET_CS_stillbirth_lbw_fullgest</f>
        <v>1.9354764795137105E-2</v>
      </c>
      <c r="AU532" s="3" t="s">
        <v>345</v>
      </c>
      <c r="AV532" s="3">
        <f>AT532*AP535</f>
        <v>0.73138179329789443</v>
      </c>
      <c r="AW532" s="3" t="s">
        <v>346</v>
      </c>
      <c r="AX532" s="3">
        <f>AT532*AR535</f>
        <v>0.73138179329789443</v>
      </c>
      <c r="AY532" s="3">
        <f>AY527+1</f>
        <v>133</v>
      </c>
      <c r="AZ532" s="3"/>
      <c r="BA532" s="1">
        <f>det_cost_experimental*AV532</f>
        <v>2.2234006516255991</v>
      </c>
      <c r="BB532" s="3">
        <f>$AV532*(VLOOKUP($AY532,'Pregnancy costs and utilities'!$A$23:$H$158,3))</f>
        <v>2328.5222559698755</v>
      </c>
      <c r="BC532" s="3">
        <f>SUM(BA532:BB532)</f>
        <v>2330.745656621501</v>
      </c>
      <c r="BD532" s="3"/>
      <c r="BE532" s="3">
        <f>$AV532*(VLOOKUP($AY532,'Pregnancy costs and utilities'!$A$23:$I$158,9))</f>
        <v>0.56260137945991884</v>
      </c>
      <c r="BF532" s="3">
        <f>$AV532*(VLOOKUP($AY532,'Pregnancy costs and utilities'!$A$23:$H$158,7))</f>
        <v>0.48965830974923003</v>
      </c>
      <c r="BG532" s="3"/>
      <c r="BH532" s="3">
        <f>$BA532</f>
        <v>2.2234006516255991</v>
      </c>
      <c r="BI532" s="3">
        <f>$AX532*(VLOOKUP($AY532,'Pregnancy costs and utilities'!$A$23:$H$158,5))</f>
        <v>777.66121493544972</v>
      </c>
      <c r="BJ532" s="3">
        <f>SUM(BH532:BI532)</f>
        <v>779.88461558707536</v>
      </c>
      <c r="BK532" s="3"/>
      <c r="BL532" s="3">
        <f>BC532+BI532</f>
        <v>3108.4068715569506</v>
      </c>
      <c r="BN532" s="1" t="str">
        <f>IF(AV532=AX532,"Okay",IF(AV532&gt;AX532,"Lost infant","Gained infant"))</f>
        <v>Okay</v>
      </c>
    </row>
    <row r="533" spans="15:66" x14ac:dyDescent="0.25">
      <c r="O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238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238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</row>
    <row r="534" spans="15:66" x14ac:dyDescent="0.25">
      <c r="O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238"/>
      <c r="AH534" s="3"/>
      <c r="AI534" s="3"/>
      <c r="AJ534" s="3"/>
      <c r="AK534" s="3"/>
      <c r="AL534" s="3"/>
      <c r="AM534" s="236" t="s">
        <v>525</v>
      </c>
      <c r="AN534" s="237"/>
      <c r="AO534" s="237"/>
      <c r="AP534" s="237"/>
      <c r="AQ534" s="237"/>
      <c r="AR534" s="371"/>
      <c r="AS534" s="238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</row>
    <row r="535" spans="15:66" x14ac:dyDescent="0.25">
      <c r="O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238"/>
      <c r="AH535" s="3"/>
      <c r="AI535" s="3"/>
      <c r="AJ535" s="3"/>
      <c r="AK535" s="3"/>
      <c r="AL535" s="3"/>
      <c r="AM535" s="238" t="s">
        <v>344</v>
      </c>
      <c r="AN535" s="3">
        <f>DET_CS_lbw_fullgest</f>
        <v>4.9034357338086171E-2</v>
      </c>
      <c r="AO535" s="3" t="s">
        <v>345</v>
      </c>
      <c r="AP535" s="3">
        <f>AN535*AJ536</f>
        <v>37.788203630439078</v>
      </c>
      <c r="AQ535" s="3" t="s">
        <v>346</v>
      </c>
      <c r="AR535" s="370">
        <f>AN535*AL536</f>
        <v>37.788203630439078</v>
      </c>
      <c r="AS535" s="238" t="s">
        <v>344</v>
      </c>
      <c r="AT535" s="3">
        <f>1-AT532</f>
        <v>0.98064523520486291</v>
      </c>
      <c r="AU535" s="3" t="s">
        <v>345</v>
      </c>
      <c r="AV535" s="3">
        <f>AT535*AP535</f>
        <v>37.056821837141186</v>
      </c>
      <c r="AW535" s="3" t="s">
        <v>346</v>
      </c>
      <c r="AX535" s="3">
        <f>AT535*AR535</f>
        <v>37.056821837141186</v>
      </c>
      <c r="AY535" s="3">
        <f>AY532+1</f>
        <v>134</v>
      </c>
      <c r="AZ535" s="3"/>
      <c r="BA535" s="1">
        <f>det_cost_experimental*AV535</f>
        <v>112.65273838490921</v>
      </c>
      <c r="BB535" s="3">
        <f>$AV535*(VLOOKUP($AY535,'Pregnancy costs and utilities'!$A$23:$H$158,3))</f>
        <v>117978.92041338862</v>
      </c>
      <c r="BC535" s="3">
        <f>SUM(BA535:BB535)</f>
        <v>118091.57315177353</v>
      </c>
      <c r="BD535" s="3"/>
      <c r="BE535" s="3">
        <f>$AV535*(VLOOKUP($AY535,'Pregnancy costs and utilities'!$A$23:$I$158,9))</f>
        <v>28.505247567031684</v>
      </c>
      <c r="BF535" s="3">
        <f>$AV535*(VLOOKUP($AY535,'Pregnancy costs and utilities'!$A$23:$H$158,7))</f>
        <v>27.659975732552539</v>
      </c>
      <c r="BG535" s="3"/>
      <c r="BH535" s="3">
        <f>$BA535</f>
        <v>112.65273838490921</v>
      </c>
      <c r="BI535" s="3">
        <f>$AX535*(VLOOKUP($AY535,'Pregnancy costs and utilities'!$A$23:$H$158,5))</f>
        <v>98047.448874992013</v>
      </c>
      <c r="BJ535" s="3">
        <f>SUM(BH535:BI535)</f>
        <v>98160.101613376915</v>
      </c>
      <c r="BK535" s="3"/>
      <c r="BL535" s="3">
        <f>BC535+BI535</f>
        <v>216139.02202676554</v>
      </c>
      <c r="BN535" s="1" t="str">
        <f>IF(AV535=AX535,"Okay",IF(AV535&gt;AX535,"Lost infant","Gained infant"))</f>
        <v>Okay</v>
      </c>
    </row>
    <row r="536" spans="15:66" x14ac:dyDescent="0.25">
      <c r="O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238" t="s">
        <v>344</v>
      </c>
      <c r="AH536" s="1">
        <f>1-AH523</f>
        <v>0.99993840571000003</v>
      </c>
      <c r="AI536" s="1" t="s">
        <v>345</v>
      </c>
      <c r="AJ536" s="1">
        <f>AH536*AD528</f>
        <v>770.64747417599096</v>
      </c>
      <c r="AK536" s="1" t="s">
        <v>346</v>
      </c>
      <c r="AL536" s="1">
        <f>AH536*AF528</f>
        <v>770.64747417599096</v>
      </c>
      <c r="AM536" s="238"/>
      <c r="AN536" s="3"/>
      <c r="AO536" s="3"/>
      <c r="AP536" s="3"/>
      <c r="AQ536" s="3"/>
      <c r="AR536" s="3"/>
      <c r="AS536" s="240" t="s">
        <v>529</v>
      </c>
      <c r="AT536" s="235"/>
      <c r="AU536" s="235"/>
      <c r="AV536" s="235"/>
      <c r="AW536" s="235"/>
      <c r="AX536" s="235"/>
      <c r="AY536" s="235"/>
      <c r="AZ536" s="235"/>
      <c r="BA536" s="235"/>
      <c r="BB536" s="235"/>
      <c r="BC536" s="235"/>
      <c r="BD536" s="235"/>
      <c r="BE536" s="235"/>
      <c r="BF536" s="235"/>
      <c r="BG536" s="235"/>
      <c r="BH536" s="235"/>
      <c r="BI536" s="235"/>
      <c r="BJ536" s="235"/>
      <c r="BK536" s="235"/>
      <c r="BL536" s="235"/>
      <c r="BM536" s="235"/>
      <c r="BN536" s="235"/>
    </row>
    <row r="537" spans="15:66" x14ac:dyDescent="0.25">
      <c r="O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240" t="s">
        <v>518</v>
      </c>
      <c r="AH537" s="235"/>
      <c r="AI537" s="235"/>
      <c r="AJ537" s="235"/>
      <c r="AK537" s="235"/>
      <c r="AL537" s="239"/>
      <c r="AM537" s="238"/>
      <c r="AN537" s="3"/>
      <c r="AO537" s="3"/>
      <c r="AP537" s="3"/>
      <c r="AQ537" s="3"/>
      <c r="AR537" s="3"/>
    </row>
    <row r="538" spans="15:66" x14ac:dyDescent="0.25"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238"/>
      <c r="AN538" s="3"/>
      <c r="AO538" s="3"/>
      <c r="AP538" s="3"/>
      <c r="AQ538" s="3"/>
      <c r="AR538" s="3"/>
    </row>
    <row r="539" spans="15:66" x14ac:dyDescent="0.25"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238"/>
      <c r="AN539" s="3"/>
      <c r="AO539" s="3"/>
      <c r="AP539" s="3"/>
      <c r="AQ539" s="3"/>
      <c r="AR539" s="3"/>
      <c r="AS539" s="236" t="s">
        <v>528</v>
      </c>
      <c r="AT539" s="237"/>
      <c r="AU539" s="237"/>
      <c r="AV539" s="237"/>
      <c r="AW539" s="237"/>
      <c r="AX539" s="237"/>
      <c r="AY539" s="237"/>
      <c r="AZ539" s="237"/>
      <c r="BA539" s="237"/>
      <c r="BB539" s="237"/>
      <c r="BC539" s="237"/>
      <c r="BD539" s="237"/>
      <c r="BE539" s="237"/>
      <c r="BF539" s="237"/>
      <c r="BG539" s="237"/>
      <c r="BH539" s="237"/>
      <c r="BI539" s="237"/>
      <c r="BJ539" s="237"/>
      <c r="BK539" s="237"/>
      <c r="BL539" s="237"/>
      <c r="BM539" s="237"/>
      <c r="BN539" s="237"/>
    </row>
    <row r="540" spans="15:66" x14ac:dyDescent="0.25"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238" t="s">
        <v>344</v>
      </c>
      <c r="AN540" s="1">
        <f>1-AN535</f>
        <v>0.95096564266191386</v>
      </c>
      <c r="AO540" s="1" t="s">
        <v>345</v>
      </c>
      <c r="AP540" s="1">
        <f>AN540*AJ536</f>
        <v>732.85927054555191</v>
      </c>
      <c r="AQ540" s="1" t="s">
        <v>346</v>
      </c>
      <c r="AR540" s="1">
        <f>AN540*AL536</f>
        <v>732.85927054555191</v>
      </c>
      <c r="AS540" s="238" t="s">
        <v>344</v>
      </c>
      <c r="AT540" s="3">
        <f>DET_CS_stillbirth_nbw_fullgest</f>
        <v>2.0298526728661924E-3</v>
      </c>
      <c r="AU540" s="3" t="s">
        <v>345</v>
      </c>
      <c r="AV540" s="3">
        <f>AT540*AP540</f>
        <v>1.4875963491516566</v>
      </c>
      <c r="AW540" s="3" t="s">
        <v>346</v>
      </c>
      <c r="AX540" s="3">
        <f>AT540*AR540</f>
        <v>1.4875963491516566</v>
      </c>
      <c r="AY540" s="3">
        <f>AY535+1</f>
        <v>135</v>
      </c>
      <c r="AZ540" s="3"/>
      <c r="BA540" s="1">
        <f>det_cost_experimental*AV540</f>
        <v>4.5222929014210358</v>
      </c>
      <c r="BB540" s="3">
        <f>$AV540*(VLOOKUP($AY540,'Pregnancy costs and utilities'!$A$23:$H$158,3))</f>
        <v>4736.1053264396842</v>
      </c>
      <c r="BC540" s="3">
        <f>SUM(BA540:BB540)</f>
        <v>4740.6276193411049</v>
      </c>
      <c r="BD540" s="3"/>
      <c r="BE540" s="3">
        <f>$AV540*(VLOOKUP($AY540,'Pregnancy costs and utilities'!$A$23:$I$158,9))</f>
        <v>1.1443048839628129</v>
      </c>
      <c r="BF540" s="3">
        <f>$AV540*(VLOOKUP($AY540,'Pregnancy costs and utilities'!$A$23:$H$158,7))</f>
        <v>0.99594209288450253</v>
      </c>
      <c r="BG540" s="3"/>
      <c r="BH540" s="3">
        <f>$BA540</f>
        <v>4.5222929014210358</v>
      </c>
      <c r="BI540" s="3">
        <f>$AX540*(VLOOKUP($AY540,'Pregnancy costs and utilities'!$A$23:$H$158,5))</f>
        <v>1581.7265275342029</v>
      </c>
      <c r="BJ540" s="3">
        <f>SUM(BH540:BI540)</f>
        <v>1586.2488204356239</v>
      </c>
      <c r="BK540" s="3"/>
      <c r="BL540" s="3">
        <f>BC540+BI540</f>
        <v>6322.3541468753083</v>
      </c>
      <c r="BN540" s="1" t="str">
        <f>IF(AV540=AX540,"Okay",IF(AV540&gt;AX540,"Lost infant","Gained infant"))</f>
        <v>Okay</v>
      </c>
    </row>
    <row r="541" spans="15:66" x14ac:dyDescent="0.25"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240" t="s">
        <v>526</v>
      </c>
      <c r="AN541" s="235"/>
      <c r="AO541" s="235"/>
      <c r="AP541" s="235"/>
      <c r="AQ541" s="235"/>
      <c r="AR541" s="239"/>
      <c r="AS541" s="238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</row>
    <row r="542" spans="15:66" x14ac:dyDescent="0.25"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238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</row>
    <row r="543" spans="15:66" x14ac:dyDescent="0.25"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238" t="s">
        <v>344</v>
      </c>
      <c r="AT543" s="3">
        <f>1-AT540</f>
        <v>0.99797014732713385</v>
      </c>
      <c r="AU543" s="3" t="s">
        <v>345</v>
      </c>
      <c r="AV543" s="3">
        <f>AT543*AP540</f>
        <v>731.37167419640025</v>
      </c>
      <c r="AW543" s="3" t="s">
        <v>346</v>
      </c>
      <c r="AX543" s="3">
        <f>AT543*AR540</f>
        <v>731.37167419640025</v>
      </c>
      <c r="AY543" s="3">
        <f>AY540+1</f>
        <v>136</v>
      </c>
      <c r="AZ543" s="3"/>
      <c r="BA543" s="1">
        <f>det_cost_experimental*AV543</f>
        <v>2223.3698895570569</v>
      </c>
      <c r="BB543" s="3">
        <f>$AV543*(VLOOKUP($AY543,'Pregnancy costs and utilities'!$A$23:$H$158,3))</f>
        <v>2328490.039481503</v>
      </c>
      <c r="BC543" s="3">
        <f>SUM(BA543:BB543)</f>
        <v>2330713.4093710599</v>
      </c>
      <c r="BD543" s="3"/>
      <c r="BE543" s="3">
        <f>$AV543*(VLOOKUP($AY543,'Pregnancy costs and utilities'!$A$23:$I$158,9))</f>
        <v>562.59359553569254</v>
      </c>
      <c r="BF543" s="3">
        <f>$AV543*(VLOOKUP($AY543,'Pregnancy costs and utilities'!$A$23:$H$158,7))</f>
        <v>545.9108945892649</v>
      </c>
      <c r="BG543" s="3"/>
      <c r="BH543" s="3">
        <f>$BA543</f>
        <v>2223.3698895570569</v>
      </c>
      <c r="BI543" s="3">
        <f>$AX543*(VLOOKUP($AY543,'Pregnancy costs and utilities'!$A$23:$H$158,5))</f>
        <v>1935112.7074399155</v>
      </c>
      <c r="BJ543" s="3">
        <f>SUM(BH543:BI543)</f>
        <v>1937336.0773294726</v>
      </c>
      <c r="BK543" s="3"/>
      <c r="BL543" s="3">
        <f>BC543+BI543</f>
        <v>4265826.1168109756</v>
      </c>
      <c r="BN543" s="1" t="str">
        <f>IF(AV543=AX543,"Okay",IF(AV543&gt;AX543,"Lost infant","Gained infant"))</f>
        <v>Okay</v>
      </c>
    </row>
    <row r="544" spans="15:66" x14ac:dyDescent="0.25"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240" t="s">
        <v>527</v>
      </c>
      <c r="AT544" s="235"/>
      <c r="AU544" s="235"/>
      <c r="AV544" s="235"/>
      <c r="AW544" s="235"/>
      <c r="AX544" s="235"/>
      <c r="AY544" s="235"/>
      <c r="AZ544" s="235"/>
      <c r="BA544" s="235"/>
      <c r="BB544" s="235"/>
      <c r="BC544" s="235"/>
      <c r="BD544" s="235"/>
      <c r="BE544" s="235"/>
      <c r="BF544" s="235"/>
      <c r="BG544" s="235"/>
      <c r="BH544" s="235"/>
      <c r="BI544" s="235"/>
      <c r="BJ544" s="235"/>
      <c r="BK544" s="235"/>
      <c r="BL544" s="235"/>
      <c r="BM544" s="235"/>
      <c r="BN544" s="235"/>
    </row>
    <row r="545" spans="1:94" x14ac:dyDescent="0.25"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</row>
    <row r="546" spans="1:94" x14ac:dyDescent="0.25"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 t="s">
        <v>1072</v>
      </c>
      <c r="AV546" s="3">
        <f>SUM(AV3:AV544)</f>
        <v>1000</v>
      </c>
      <c r="AW546" s="3" t="s">
        <v>1073</v>
      </c>
      <c r="AX546" s="3">
        <f>SUM(AX3:AX544)</f>
        <v>1000</v>
      </c>
      <c r="AY546" s="3"/>
      <c r="AZ546" s="3"/>
      <c r="BA546" s="3" t="s">
        <v>1075</v>
      </c>
      <c r="BB546" s="3" t="s">
        <v>1076</v>
      </c>
      <c r="BC546" s="3" t="s">
        <v>1077</v>
      </c>
      <c r="BD546" s="3"/>
      <c r="BE546" s="3" t="s">
        <v>1078</v>
      </c>
      <c r="BF546" s="3" t="s">
        <v>1079</v>
      </c>
      <c r="BG546" s="3"/>
      <c r="BH546" s="3" t="s">
        <v>1075</v>
      </c>
      <c r="BI546" s="3" t="s">
        <v>1080</v>
      </c>
      <c r="BJ546" s="3" t="s">
        <v>1081</v>
      </c>
      <c r="BL546" s="1" t="s">
        <v>1082</v>
      </c>
    </row>
    <row r="547" spans="1:94" x14ac:dyDescent="0.25"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 t="s">
        <v>1074</v>
      </c>
      <c r="AV547" s="3" t="str">
        <f>IF(AV546=AX546,"Yes",IF(AV546&lt;AX546,"Too few infants","Too many infants"))</f>
        <v>Yes</v>
      </c>
      <c r="AW547" s="3"/>
      <c r="AX547" s="3"/>
      <c r="AY547" s="3"/>
      <c r="AZ547" s="3"/>
      <c r="BA547" s="3">
        <f>SUM(BA3:BA544)</f>
        <v>3040.0000000000009</v>
      </c>
      <c r="BB547" s="3">
        <f>SUM(BB3:BB544)</f>
        <v>3102015.7239635391</v>
      </c>
      <c r="BC547" s="3">
        <f>SUM(BC3:BC544)</f>
        <v>3105055.7239635391</v>
      </c>
      <c r="BD547" s="3"/>
      <c r="BE547" s="3">
        <f>SUM(BE3:BE544)</f>
        <v>708.5466074873932</v>
      </c>
      <c r="BF547" s="3">
        <f>SUM(BF3:BF544)</f>
        <v>685.1544135109234</v>
      </c>
      <c r="BG547" s="3"/>
      <c r="BH547" s="3">
        <f>SUM(BH3:BH544)</f>
        <v>3040.0000000000009</v>
      </c>
      <c r="BI547" s="3">
        <f t="shared" ref="BI547:BJ547" si="0">SUM(BI3:BI544)</f>
        <v>3268901.1443126337</v>
      </c>
      <c r="BJ547" s="3">
        <f t="shared" si="0"/>
        <v>3271941.1443126341</v>
      </c>
      <c r="BL547" s="1">
        <f>SUM(BL3:BL544)</f>
        <v>6373956.8682761732</v>
      </c>
    </row>
    <row r="548" spans="1:94" x14ac:dyDescent="0.25"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</row>
    <row r="549" spans="1:94" x14ac:dyDescent="0.25"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</row>
    <row r="550" spans="1:94" ht="15.75" thickBot="1" x14ac:dyDescent="0.3"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</row>
    <row r="551" spans="1:94" s="263" customFormat="1" x14ac:dyDescent="0.25">
      <c r="A551" s="577" t="s">
        <v>835</v>
      </c>
      <c r="B551" s="578"/>
      <c r="C551" s="578"/>
      <c r="D551" s="578"/>
      <c r="E551" s="578"/>
      <c r="F551" s="578"/>
      <c r="G551" s="578"/>
      <c r="H551" s="578"/>
      <c r="I551" s="578"/>
      <c r="J551" s="578"/>
      <c r="K551" s="578"/>
      <c r="L551" s="578"/>
      <c r="M551" s="578"/>
      <c r="N551" s="578"/>
      <c r="O551" s="578"/>
      <c r="P551" s="578"/>
      <c r="Q551" s="578"/>
      <c r="R551" s="578"/>
      <c r="S551" s="578"/>
      <c r="T551" s="578"/>
      <c r="U551" s="578"/>
      <c r="V551" s="578"/>
      <c r="W551" s="578"/>
      <c r="X551" s="578"/>
      <c r="Y551" s="578"/>
      <c r="Z551" s="578"/>
      <c r="AA551" s="578"/>
      <c r="AB551" s="578"/>
      <c r="AC551" s="578"/>
      <c r="AD551" s="578"/>
      <c r="AE551" s="578"/>
      <c r="AF551" s="578"/>
      <c r="AG551" s="578"/>
      <c r="AH551" s="578"/>
      <c r="AI551" s="578"/>
      <c r="AJ551" s="578"/>
      <c r="AK551" s="578"/>
      <c r="AL551" s="578"/>
      <c r="AM551" s="578"/>
      <c r="AN551" s="578"/>
      <c r="AO551" s="578"/>
      <c r="AP551" s="578"/>
      <c r="AQ551" s="578"/>
      <c r="AR551" s="578"/>
      <c r="AS551" s="578"/>
      <c r="AT551" s="578"/>
      <c r="AU551" s="368"/>
      <c r="AV551" s="368"/>
      <c r="AW551" s="368"/>
      <c r="AX551" s="368"/>
      <c r="AY551" s="368"/>
      <c r="AZ551" s="368"/>
      <c r="BA551" s="368"/>
      <c r="BB551" s="368"/>
      <c r="BC551" s="368"/>
      <c r="BD551" s="368"/>
      <c r="BE551" s="368"/>
      <c r="BF551" s="368"/>
      <c r="BG551" s="368"/>
      <c r="BH551" s="368"/>
      <c r="BI551" s="368"/>
      <c r="BJ551" s="368"/>
      <c r="BK551" s="368"/>
      <c r="BL551" s="368"/>
      <c r="BM551" s="368"/>
      <c r="BN551" s="368"/>
      <c r="BO551" s="368"/>
      <c r="BP551" s="368"/>
      <c r="BQ551" s="368"/>
      <c r="BR551" s="368"/>
      <c r="BS551" s="368"/>
      <c r="BT551" s="368"/>
      <c r="BU551" s="368"/>
      <c r="BV551" s="368"/>
      <c r="BW551" s="368"/>
      <c r="BX551" s="368"/>
      <c r="BY551" s="368"/>
      <c r="BZ551" s="368"/>
      <c r="CA551" s="368"/>
      <c r="CB551" s="368"/>
      <c r="CC551" s="368"/>
      <c r="CD551" s="368"/>
      <c r="CE551" s="368"/>
      <c r="CF551" s="368"/>
      <c r="CG551" s="368"/>
      <c r="CH551" s="368"/>
      <c r="CI551" s="368"/>
      <c r="CJ551" s="368"/>
      <c r="CK551" s="368"/>
      <c r="CL551" s="368"/>
      <c r="CM551" s="368"/>
      <c r="CN551" s="368"/>
      <c r="CO551" s="369"/>
    </row>
    <row r="552" spans="1:94" s="263" customFormat="1" x14ac:dyDescent="0.25">
      <c r="A552" s="588" t="s">
        <v>107</v>
      </c>
      <c r="B552" s="580"/>
      <c r="C552" s="580"/>
      <c r="D552" s="580"/>
      <c r="E552" s="580"/>
      <c r="F552" s="580"/>
      <c r="G552" s="580"/>
      <c r="H552" s="580"/>
      <c r="I552" s="580"/>
      <c r="J552" s="580"/>
      <c r="K552" s="580"/>
      <c r="L552" s="580"/>
      <c r="M552" s="580"/>
      <c r="N552" s="580"/>
      <c r="O552" s="580"/>
      <c r="P552" s="580"/>
      <c r="Q552" s="580"/>
      <c r="R552" s="580"/>
      <c r="S552" s="580"/>
      <c r="T552" s="580"/>
      <c r="U552" s="580"/>
      <c r="V552" s="580"/>
      <c r="W552" s="580"/>
      <c r="X552" s="580"/>
      <c r="Y552" s="580"/>
      <c r="Z552" s="580"/>
      <c r="AA552" s="580"/>
      <c r="AB552" s="580"/>
      <c r="AC552" s="580"/>
      <c r="AD552" s="580"/>
      <c r="AE552" s="580"/>
      <c r="AF552" s="580"/>
      <c r="AG552" s="580"/>
      <c r="AH552" s="580"/>
      <c r="AI552" s="580"/>
      <c r="AJ552" s="580"/>
      <c r="AK552" s="580"/>
      <c r="AL552" s="580"/>
      <c r="AM552" s="580"/>
      <c r="AN552" s="580"/>
      <c r="AO552" s="580"/>
      <c r="AP552" s="580"/>
      <c r="AQ552" s="580"/>
      <c r="AR552" s="580"/>
      <c r="AS552" s="580"/>
      <c r="AT552" s="580"/>
      <c r="AU552" s="247"/>
      <c r="AV552" s="566" t="s">
        <v>1087</v>
      </c>
      <c r="AW552" s="566"/>
      <c r="AX552" s="566"/>
      <c r="AY552" s="333"/>
      <c r="AZ552" s="333"/>
      <c r="BA552" s="333"/>
      <c r="BB552" s="333"/>
      <c r="BC552" s="333"/>
      <c r="BD552" s="333"/>
      <c r="BE552" s="333"/>
      <c r="BF552" s="333"/>
      <c r="BG552" s="333"/>
      <c r="BH552" s="333"/>
      <c r="BI552" s="333"/>
      <c r="BJ552" s="333"/>
      <c r="BK552" s="333"/>
      <c r="BL552" s="333"/>
      <c r="BM552" s="333"/>
      <c r="BN552" s="333"/>
      <c r="BO552" s="333"/>
      <c r="BP552" s="333"/>
      <c r="BQ552" s="333"/>
      <c r="BR552" s="333"/>
      <c r="BS552" s="333"/>
      <c r="BT552" s="333"/>
      <c r="BU552" s="333"/>
      <c r="BV552" s="333"/>
      <c r="BW552" s="333"/>
      <c r="BX552" s="333"/>
      <c r="BY552" s="333"/>
      <c r="BZ552" s="333"/>
      <c r="CA552" s="333"/>
      <c r="CB552" s="333"/>
      <c r="CC552" s="333"/>
      <c r="CD552" s="333"/>
      <c r="CE552" s="333"/>
      <c r="CF552" s="333"/>
      <c r="CG552" s="333"/>
      <c r="CH552" s="333"/>
      <c r="CI552" s="333"/>
      <c r="CJ552" s="333"/>
      <c r="CK552" s="333"/>
      <c r="CL552" s="333"/>
      <c r="CM552" s="333"/>
      <c r="CN552" s="333"/>
      <c r="CO552" s="333"/>
    </row>
    <row r="553" spans="1:94" s="263" customFormat="1" x14ac:dyDescent="0.25">
      <c r="A553" s="264" t="s">
        <v>835</v>
      </c>
      <c r="B553" s="276"/>
      <c r="C553" s="579" t="s">
        <v>837</v>
      </c>
      <c r="D553" s="580"/>
      <c r="E553" s="580"/>
      <c r="F553" s="580"/>
      <c r="G553" s="580"/>
      <c r="H553" s="580"/>
      <c r="I553" s="580"/>
      <c r="J553" s="580"/>
      <c r="K553" s="580"/>
      <c r="L553" s="580"/>
      <c r="M553" s="580"/>
      <c r="N553" s="589"/>
      <c r="O553" s="277"/>
      <c r="P553" s="579" t="s">
        <v>836</v>
      </c>
      <c r="Q553" s="580"/>
      <c r="R553" s="580"/>
      <c r="S553" s="580"/>
      <c r="T553" s="589"/>
      <c r="U553" s="278"/>
      <c r="V553" s="276"/>
      <c r="W553" s="276"/>
      <c r="X553" s="579" t="s">
        <v>81</v>
      </c>
      <c r="Y553" s="580"/>
      <c r="Z553" s="580"/>
      <c r="AA553" s="580"/>
      <c r="AB553" s="580"/>
      <c r="AC553" s="589"/>
      <c r="AD553" s="277"/>
      <c r="AE553" s="579" t="s">
        <v>823</v>
      </c>
      <c r="AF553" s="580"/>
      <c r="AG553" s="580"/>
      <c r="AH553" s="278"/>
      <c r="AI553" s="579" t="s">
        <v>824</v>
      </c>
      <c r="AJ553" s="580"/>
      <c r="AK553" s="580"/>
      <c r="AL553" s="278"/>
      <c r="AM553" s="579" t="s">
        <v>825</v>
      </c>
      <c r="AN553" s="580"/>
      <c r="AO553" s="580"/>
      <c r="AP553" s="278"/>
      <c r="AQ553" s="579" t="s">
        <v>829</v>
      </c>
      <c r="AR553" s="580"/>
      <c r="AS553" s="580"/>
      <c r="AT553" s="580"/>
      <c r="AU553" s="247"/>
      <c r="AV553" s="579" t="s">
        <v>825</v>
      </c>
      <c r="AW553" s="580"/>
      <c r="AX553" s="580"/>
      <c r="AY553" s="333"/>
      <c r="AZ553" s="333"/>
      <c r="BA553" s="333"/>
      <c r="BB553" s="333"/>
      <c r="BC553" s="333"/>
      <c r="BD553" s="333"/>
      <c r="BE553" s="333"/>
      <c r="BF553" s="333"/>
      <c r="BG553" s="333"/>
      <c r="BH553" s="333"/>
      <c r="BI553" s="333"/>
      <c r="BJ553" s="321"/>
      <c r="BK553" s="566"/>
      <c r="BL553" s="566"/>
      <c r="BM553" s="566"/>
      <c r="BN553" s="566"/>
      <c r="BO553" s="566"/>
      <c r="BP553" s="321"/>
      <c r="BQ553" s="321"/>
      <c r="BR553" s="321"/>
      <c r="BS553" s="566"/>
      <c r="BT553" s="566"/>
      <c r="BU553" s="566"/>
      <c r="BV553" s="566"/>
      <c r="BW553" s="566"/>
      <c r="BX553" s="566"/>
      <c r="BY553" s="321"/>
      <c r="BZ553" s="566"/>
      <c r="CA553" s="566"/>
      <c r="CB553" s="566"/>
      <c r="CC553" s="321"/>
      <c r="CD553" s="566"/>
      <c r="CE553" s="566"/>
      <c r="CF553" s="566"/>
      <c r="CG553" s="321"/>
      <c r="CH553" s="566"/>
      <c r="CI553" s="566"/>
      <c r="CJ553" s="566"/>
      <c r="CK553" s="321"/>
      <c r="CL553" s="566"/>
      <c r="CM553" s="566"/>
      <c r="CN553" s="566"/>
      <c r="CO553" s="566"/>
      <c r="CP553" s="247"/>
    </row>
    <row r="554" spans="1:94" s="263" customFormat="1" ht="15.75" thickBot="1" x14ac:dyDescent="0.3">
      <c r="A554" s="279" t="s">
        <v>45</v>
      </c>
      <c r="B554" s="280" t="s">
        <v>48</v>
      </c>
      <c r="C554" s="291" t="s">
        <v>1014</v>
      </c>
      <c r="D554" s="292" t="s">
        <v>1015</v>
      </c>
      <c r="E554" s="292" t="s">
        <v>1016</v>
      </c>
      <c r="F554" s="292" t="s">
        <v>1017</v>
      </c>
      <c r="G554" s="292" t="s">
        <v>1018</v>
      </c>
      <c r="H554" s="292" t="s">
        <v>1019</v>
      </c>
      <c r="I554" s="292" t="s">
        <v>1020</v>
      </c>
      <c r="J554" s="292" t="s">
        <v>1021</v>
      </c>
      <c r="K554" s="292" t="s">
        <v>1022</v>
      </c>
      <c r="L554" s="292" t="s">
        <v>1023</v>
      </c>
      <c r="M554" s="292" t="s">
        <v>1024</v>
      </c>
      <c r="N554" s="292" t="s">
        <v>1025</v>
      </c>
      <c r="O554" s="291"/>
      <c r="P554" s="291" t="s">
        <v>746</v>
      </c>
      <c r="Q554" s="292" t="s">
        <v>747</v>
      </c>
      <c r="R554" s="292" t="s">
        <v>748</v>
      </c>
      <c r="S554" s="292" t="s">
        <v>749</v>
      </c>
      <c r="T554" s="292" t="s">
        <v>750</v>
      </c>
      <c r="U554" s="291" t="s">
        <v>71</v>
      </c>
      <c r="V554" s="292"/>
      <c r="W554" s="292"/>
      <c r="X554" s="291" t="s">
        <v>56</v>
      </c>
      <c r="Y554" s="292" t="s">
        <v>57</v>
      </c>
      <c r="Z554" s="292" t="s">
        <v>5</v>
      </c>
      <c r="AA554" s="292" t="s">
        <v>6</v>
      </c>
      <c r="AB554" s="292" t="s">
        <v>53</v>
      </c>
      <c r="AC554" s="292" t="s">
        <v>8</v>
      </c>
      <c r="AD554" s="291"/>
      <c r="AE554" s="291" t="s">
        <v>48</v>
      </c>
      <c r="AF554" s="292" t="s">
        <v>80</v>
      </c>
      <c r="AG554" s="292" t="s">
        <v>20</v>
      </c>
      <c r="AH554" s="291"/>
      <c r="AI554" s="291" t="s">
        <v>48</v>
      </c>
      <c r="AJ554" s="292" t="s">
        <v>80</v>
      </c>
      <c r="AK554" s="292" t="s">
        <v>20</v>
      </c>
      <c r="AL554" s="291"/>
      <c r="AM554" s="291" t="s">
        <v>48</v>
      </c>
      <c r="AN554" s="292" t="s">
        <v>80</v>
      </c>
      <c r="AO554" s="292" t="s">
        <v>20</v>
      </c>
      <c r="AP554" s="291"/>
      <c r="AQ554" s="291" t="s">
        <v>48</v>
      </c>
      <c r="AR554" s="292" t="s">
        <v>826</v>
      </c>
      <c r="AS554" s="292" t="s">
        <v>827</v>
      </c>
      <c r="AT554" s="292" t="s">
        <v>828</v>
      </c>
      <c r="AU554" s="293"/>
      <c r="AV554" s="291" t="s">
        <v>48</v>
      </c>
      <c r="AW554" s="292" t="s">
        <v>80</v>
      </c>
      <c r="AX554" s="292" t="s">
        <v>20</v>
      </c>
      <c r="AY554" s="367"/>
      <c r="AZ554" s="367"/>
      <c r="BA554" s="367"/>
      <c r="BB554" s="367"/>
      <c r="BC554" s="367"/>
      <c r="BD554" s="367"/>
      <c r="BE554" s="367"/>
      <c r="BF554" s="367"/>
      <c r="BG554" s="367"/>
      <c r="BH554" s="367"/>
      <c r="BI554" s="367"/>
      <c r="BJ554" s="367"/>
      <c r="BK554" s="367"/>
      <c r="BL554" s="367"/>
      <c r="BM554" s="367"/>
      <c r="BN554" s="367"/>
      <c r="BO554" s="367"/>
      <c r="BP554" s="367"/>
      <c r="BQ554" s="367"/>
      <c r="BR554" s="367"/>
      <c r="BS554" s="367"/>
      <c r="BT554" s="367"/>
      <c r="BU554" s="367"/>
      <c r="BV554" s="367"/>
      <c r="BW554" s="367"/>
      <c r="BX554" s="367"/>
      <c r="BY554" s="367"/>
      <c r="BZ554" s="367"/>
      <c r="CA554" s="367"/>
      <c r="CB554" s="367"/>
      <c r="CC554" s="367"/>
      <c r="CD554" s="367"/>
      <c r="CE554" s="367"/>
      <c r="CF554" s="367"/>
      <c r="CG554" s="367"/>
      <c r="CH554" s="367"/>
      <c r="CI554" s="367"/>
      <c r="CJ554" s="367"/>
      <c r="CK554" s="367"/>
      <c r="CL554" s="367"/>
      <c r="CM554" s="367"/>
      <c r="CN554" s="367"/>
      <c r="CO554" s="367"/>
      <c r="CP554" s="247"/>
    </row>
    <row r="555" spans="1:94" x14ac:dyDescent="0.25">
      <c r="A555" s="34">
        <v>0</v>
      </c>
      <c r="B555" s="33">
        <f>Age_of_mother</f>
        <v>27</v>
      </c>
      <c r="C555" s="294">
        <f>VLOOKUP($B555,'Mother mortality'!$A$23:$I$124,5)</f>
        <v>2.7550000000000003E-4</v>
      </c>
      <c r="D555" s="295">
        <f t="shared" ref="D555:D618" si="1">IF(A555=1,DET_P_01Q_CSP,DET_P_01Q_CS_FEMALE)</f>
        <v>0.27</v>
      </c>
      <c r="E555" s="295">
        <f>1-D555-C555</f>
        <v>0.7297245</v>
      </c>
      <c r="F555" s="295">
        <f>VLOOKUP($B555,'Mother mortality'!$A$23:$I$124,5)</f>
        <v>2.7550000000000003E-4</v>
      </c>
      <c r="G555" s="295">
        <f t="shared" ref="G555:G618" si="2">IF(A555=1,DET_P_12Q_QP,DET_P_12Q_01Q)</f>
        <v>0.14000000000000001</v>
      </c>
      <c r="H555" s="295">
        <f>1-G555-F555</f>
        <v>0.8597245</v>
      </c>
      <c r="I555" s="295">
        <f>VLOOKUP($B555,'Mother mortality'!$A$23:$I$124,4)</f>
        <v>2.7550000000000003E-4</v>
      </c>
      <c r="J555" s="295">
        <f>1-I555-K555</f>
        <v>0.42829592857142862</v>
      </c>
      <c r="K555" s="295">
        <f t="shared" ref="K555:K618" si="3">IF(A555=2,DET_P_LTQ_12Q_QP,DET_P_LTQ_12Q)</f>
        <v>0.5714285714285714</v>
      </c>
      <c r="L555" s="295">
        <f>VLOOKUP($B555,'Mother mortality'!$A$23:$I$124,4)</f>
        <v>2.7550000000000003E-4</v>
      </c>
      <c r="M555" s="295">
        <f t="shared" ref="M555:M618" si="4">DET_P_CS_LTQ</f>
        <v>8.6261668788331098E-3</v>
      </c>
      <c r="N555" s="295">
        <f>1-M555-L555</f>
        <v>0.99109833312116691</v>
      </c>
      <c r="O555" s="294"/>
      <c r="P555" s="296">
        <f>AV543+AV540+AV535+AV532+AV511+AV508+AV503+AV500+AV479+AV476+AV471+AV468+AV447+AV444+AV439+AV436+AV415+AV412+AV407+AV404+AV383+AV380+AV375+AV372+AV351+AV348+AV343+AV340+AV319+AV316+AV311+AV287+AV279+AV308</f>
        <v>947.94123863826667</v>
      </c>
      <c r="Q555" s="297">
        <f>AV7+AV15+AV36+AV39+AV44+AV47+AV68+AV71+AV76+AV79+AV100+AV103+AV108+AV111+AV132+AV135+AV140+AV143+AV164+AV167+AV172+AV175+AV196+AV199+AV204+AV207+AV228+AV231+AV236+AV239+AV260+AV263+AV268+AV271</f>
        <v>51.99673520312782</v>
      </c>
      <c r="R555" s="297"/>
      <c r="S555" s="297"/>
      <c r="T555" s="297">
        <f>AV4+AV12+AV20+AV23+AV28+AV31+AV52+AV55+AV60+AV63+AV84+AV87+AV92+AV95+AV116+AV119+AV124+AV127+AV148+AV151+AV156+AV159+AV180+AV183+AV188+AV191+AV212+AV215+AV220+AV223+AV244+AV247+AV252+AV255+AV276+AV284+AV292+AV295+AV300+AV303+AV324+AV327+AV332+AV335+AV356+AV359+AV364+AV367+AV388+AV391+AV396+AV399+AV420+AV423+AV428+AV431+AV452+AV455+AV460+AV463+AV484+AV487+AV492+AV495+AV516+AV519+AV524+AV527</f>
        <v>6.2026158605459514E-2</v>
      </c>
      <c r="U555" s="294">
        <f>SUM(P555:T555)</f>
        <v>1000</v>
      </c>
      <c r="V555" s="295" t="str">
        <f t="shared" ref="V555:V618" si="5">IF(U555=Cohort,"OKAY",IF(U555&gt;Cohort,"Too many","Too Few"))</f>
        <v>OKAY</v>
      </c>
      <c r="W555" s="295"/>
      <c r="X555" s="294"/>
      <c r="Y555" s="295"/>
      <c r="Z555" s="295"/>
      <c r="AA555" s="295"/>
      <c r="AB555" s="295"/>
      <c r="AC555" s="295"/>
      <c r="AD555" s="294"/>
      <c r="AE555" s="294">
        <f>B555</f>
        <v>27</v>
      </c>
      <c r="AF555" s="295">
        <f>$BE$547/((1+Discount_rate_QALYs)^A555)</f>
        <v>708.5466074873932</v>
      </c>
      <c r="AG555" s="295">
        <f>AF555</f>
        <v>708.5466074873932</v>
      </c>
      <c r="AH555" s="294"/>
      <c r="AI555" s="294">
        <f>B555</f>
        <v>27</v>
      </c>
      <c r="AJ555" s="295">
        <f>$BF$547/((1+Discount_rate_QALYs)^$A555)</f>
        <v>685.1544135109234</v>
      </c>
      <c r="AK555" s="295">
        <f>AJ555</f>
        <v>685.1544135109234</v>
      </c>
      <c r="AL555" s="294"/>
      <c r="AM555" s="294">
        <f>B555</f>
        <v>27</v>
      </c>
      <c r="AN555" s="299">
        <f>$BC$547/((1+Discount_rate_costs)^A555)</f>
        <v>3105055.7239635391</v>
      </c>
      <c r="AO555" s="299">
        <f>AN555</f>
        <v>3105055.7239635391</v>
      </c>
      <c r="AP555" s="294"/>
      <c r="AQ555" s="294">
        <f>B555</f>
        <v>27</v>
      </c>
      <c r="AR555" s="298">
        <f t="shared" ref="AR555:AR586" si="6">(SUM(P555:S555))/Cohort</f>
        <v>0.99993797384139449</v>
      </c>
      <c r="AS555" s="298">
        <f t="shared" ref="AS555:AS618" si="7">T555/Cohort</f>
        <v>6.2026158605459514E-5</v>
      </c>
      <c r="AT555" s="298">
        <f t="shared" ref="AT555:AT618" si="8">SUM(Z555:AC555)/Cohort</f>
        <v>0</v>
      </c>
      <c r="AU555" s="250"/>
      <c r="AV555" s="294">
        <f>B555</f>
        <v>27</v>
      </c>
      <c r="AW555" s="299">
        <f>$BB$547/((1+Discount_rate_costs)^A555)</f>
        <v>3102015.7239635391</v>
      </c>
      <c r="AX555" s="299">
        <f>AW555</f>
        <v>3102015.7239635391</v>
      </c>
      <c r="AY555" s="335"/>
      <c r="AZ555" s="335"/>
      <c r="BA555" s="335"/>
      <c r="BB555" s="335"/>
      <c r="BC555" s="335"/>
      <c r="BD555" s="335"/>
      <c r="BE555" s="335"/>
      <c r="BF555" s="335"/>
      <c r="BG555" s="335"/>
      <c r="BH555" s="335"/>
      <c r="BI555" s="335"/>
      <c r="BJ555" s="335"/>
      <c r="BK555" s="364"/>
      <c r="BL555" s="364"/>
      <c r="BM555" s="364"/>
      <c r="BN555" s="364"/>
      <c r="BO555" s="364"/>
      <c r="BP555" s="364"/>
      <c r="BQ555" s="335"/>
      <c r="BR555" s="335"/>
      <c r="BS555" s="335"/>
      <c r="BT555" s="335"/>
      <c r="BU555" s="335"/>
      <c r="BV555" s="335"/>
      <c r="BW555" s="335"/>
      <c r="BX555" s="335"/>
      <c r="BY555" s="335"/>
      <c r="BZ555" s="335"/>
      <c r="CA555" s="335"/>
      <c r="CB555" s="335"/>
      <c r="CC555" s="335"/>
      <c r="CD555" s="335"/>
      <c r="CE555" s="335"/>
      <c r="CF555" s="335"/>
      <c r="CG555" s="335"/>
      <c r="CH555" s="335"/>
      <c r="CI555" s="365"/>
      <c r="CJ555" s="365"/>
      <c r="CK555" s="335"/>
      <c r="CL555" s="335"/>
      <c r="CM555" s="366"/>
      <c r="CN555" s="366"/>
      <c r="CO555" s="366"/>
      <c r="CP555" s="3"/>
    </row>
    <row r="556" spans="1:94" x14ac:dyDescent="0.25">
      <c r="A556" s="34">
        <v>1</v>
      </c>
      <c r="B556" s="33">
        <f>B555+1</f>
        <v>28</v>
      </c>
      <c r="C556" s="294">
        <f>VLOOKUP($B556,'Mother mortality'!$A$23:$I$124,5)</f>
        <v>2.8499999999999999E-4</v>
      </c>
      <c r="D556" s="295">
        <f t="shared" si="1"/>
        <v>0.13</v>
      </c>
      <c r="E556" s="295">
        <f t="shared" ref="E556:E619" si="9">1-D556-C556</f>
        <v>0.86971500000000002</v>
      </c>
      <c r="F556" s="295">
        <f>VLOOKUP($B556,'Mother mortality'!$A$23:$I$124,5)</f>
        <v>2.8499999999999999E-4</v>
      </c>
      <c r="G556" s="295">
        <f t="shared" si="2"/>
        <v>0.53</v>
      </c>
      <c r="H556" s="295">
        <f t="shared" ref="H556:H619" si="10">1-G556-F556</f>
        <v>0.46971499999999999</v>
      </c>
      <c r="I556" s="295">
        <f>VLOOKUP($B556,'Mother mortality'!$A$23:$I$124,4)</f>
        <v>2.8499999999999999E-4</v>
      </c>
      <c r="J556" s="295">
        <f t="shared" ref="J556:J619" si="11">1-I556-K556</f>
        <v>0.42828642857142862</v>
      </c>
      <c r="K556" s="295">
        <f t="shared" si="3"/>
        <v>0.5714285714285714</v>
      </c>
      <c r="L556" s="295">
        <f>VLOOKUP($B556,'Mother mortality'!$A$23:$I$124,4)</f>
        <v>2.8499999999999999E-4</v>
      </c>
      <c r="M556" s="295">
        <f t="shared" si="4"/>
        <v>8.6261668788331098E-3</v>
      </c>
      <c r="N556" s="295">
        <f t="shared" ref="N556:N619" si="12">1-M556-L556</f>
        <v>0.99108883312116691</v>
      </c>
      <c r="O556" s="294"/>
      <c r="P556" s="296">
        <f>(P555*E556)+(Q555*H556)+(R555*J556)+(S555*M556)</f>
        <v>848.86236083821734</v>
      </c>
      <c r="Q556" s="297">
        <f>P555*D556</f>
        <v>123.23236102297467</v>
      </c>
      <c r="R556" s="297">
        <f>Q555*G556</f>
        <v>27.558269657657746</v>
      </c>
      <c r="S556" s="297">
        <f>(R555*K556)+(S555*N556)</f>
        <v>0</v>
      </c>
      <c r="T556" s="297">
        <f>T555+(P555*C556)+(Q555*F556)+(R555*I556)+(S555*L556)</f>
        <v>0.3470084811502569</v>
      </c>
      <c r="U556" s="294">
        <f t="shared" ref="U556:U619" si="13">SUM(P556:T556)</f>
        <v>1000.0000000000001</v>
      </c>
      <c r="V556" s="295" t="str">
        <f t="shared" si="5"/>
        <v>OKAY</v>
      </c>
      <c r="W556" s="295"/>
      <c r="X556" s="296">
        <f>SUM(P556:Q556)-(SUM(P556:Q556)*(VLOOKUP(B556,Lifetime_morbidity_array!$A$6:$Y$24,4)+VLOOKUP(B556,Lifetime_morbidity_array!$A$6:$Y$24,7)+VLOOKUP(B556,Lifetime_morbidity_array!$A$6:$Y$24,10)+VLOOKUP(B556,Lifetime_morbidity_array!$A$6:$Y$24,13)))</f>
        <v>969.93808522835002</v>
      </c>
      <c r="Y556" s="297">
        <f>SUM(R556:S556)-(SUM(R556:S556)*(VLOOKUP(B556,Lifetime_morbidity_array!$A$6:$Y$24,3)+VLOOKUP(B556,Lifetime_morbidity_array!$A$6:$Y$24,6)+VLOOKUP(B556,Lifetime_morbidity_array!$A$6:$Y$24,9)+VLOOKUP(B556,Lifetime_morbidity_array!$A$6:$Y$24,12)))</f>
        <v>27.497130375091071</v>
      </c>
      <c r="Z556" s="297">
        <f>(SUM(P556:Q556)*VLOOKUP(B556,Lifetime_morbidity_array!$A$6:$Y$24,4))+(SUM(R556:S556)*VLOOKUP(B556,Lifetime_morbidity_array!$A$6:$Y$24,3))</f>
        <v>1.0011046800603869</v>
      </c>
      <c r="AA556" s="297">
        <f>(SUM(P556:Q556)*VLOOKUP(B556,Lifetime_morbidity_array!$A$6:$Y$24,7))+(SUM(R556:S556)*VLOOKUP(B556,Lifetime_morbidity_array!$A$6:$Y$24,6))</f>
        <v>0.19612030529333149</v>
      </c>
      <c r="AB556" s="297">
        <f>(SUM(P556:Q556)*VLOOKUP(B556,Lifetime_morbidity_array!$A$6:$Y$24,10))+(SUM(R556:S556)*VLOOKUP(B556,Lifetime_morbidity_array!$A$6:$Y$24,9))</f>
        <v>2.0023986139987779E-2</v>
      </c>
      <c r="AC556" s="297">
        <f>(SUM(P556:Q556)*VLOOKUP(B556,Lifetime_morbidity_array!$A$6:$Y$24,13))+(SUM(R556:S556)*VLOOKUP(B556,Lifetime_morbidity_array!$A$6:$Y$24,12))</f>
        <v>1.0005269439150333</v>
      </c>
      <c r="AD556" s="294"/>
      <c r="AE556" s="294">
        <f>B556</f>
        <v>28</v>
      </c>
      <c r="AF556" s="297">
        <f>(SUM(P556:S556))/((1+Discount_rate_QALYs)^A556)</f>
        <v>965.84830098439602</v>
      </c>
      <c r="AG556" s="297">
        <f>AF556+AG555</f>
        <v>1674.3949084717892</v>
      </c>
      <c r="AH556" s="294"/>
      <c r="AI556" s="294">
        <f>B556</f>
        <v>28</v>
      </c>
      <c r="AJ556" s="295">
        <f>((VLOOKUP(B556,'Mahawesran Tariff'!$A$21:$M$120,7)*X556)+(VLOOKUP(B556,'Mahawesran Tariff'!$A$21:$M$120,6)*Y556)+(DET_UTIL_chd*Z556)+(DET_UTIL_copd*AA556)+(DET_UTIL_lc*AB556)+(DET_UTIL_stroke*AC556))/((1+Discount_rate_QALYs)^A556)</f>
        <v>937.12439967106604</v>
      </c>
      <c r="AK556" s="295">
        <f>AJ556+AK555</f>
        <v>1622.2788131819893</v>
      </c>
      <c r="AL556" s="294"/>
      <c r="AM556" s="294">
        <f t="shared" ref="AM556:AM619" si="14">B556</f>
        <v>28</v>
      </c>
      <c r="AN556" s="299">
        <f t="shared" ref="AN556:AN587" si="15">(($Z556*DET_COST_chd)+($AA556*DET_COST_copd)+($AB556*DET_cost_lc)+($AC556*DET_COST_stroke))/((1+Discount_rate_costs)^$A556)</f>
        <v>23124.417383658722</v>
      </c>
      <c r="AO556" s="299">
        <f>AN556+AO555</f>
        <v>3128180.1413471978</v>
      </c>
      <c r="AP556" s="294"/>
      <c r="AQ556" s="294">
        <f t="shared" ref="AQ556:AQ619" si="16">B556</f>
        <v>28</v>
      </c>
      <c r="AR556" s="298">
        <f t="shared" si="6"/>
        <v>0.99965299151884979</v>
      </c>
      <c r="AS556" s="298">
        <f t="shared" si="7"/>
        <v>3.4700848115025689E-4</v>
      </c>
      <c r="AT556" s="298">
        <f t="shared" si="8"/>
        <v>2.2177759154087397E-3</v>
      </c>
      <c r="AU556" s="250"/>
      <c r="AV556" s="294">
        <f t="shared" ref="AV556:AV619" si="17">B556</f>
        <v>28</v>
      </c>
      <c r="AW556" s="299">
        <f t="shared" ref="AW556:AW587" si="18">(($Z556*DET_COST_chd)+($AA556*DET_COST_copd)+($AB556*DET_cost_lc)+($AC556*DET_COST_stroke))/((1+Discount_rate_costs)^$A556)</f>
        <v>23124.417383658722</v>
      </c>
      <c r="AX556" s="299">
        <f>AW556+AX555</f>
        <v>3125140.1413471978</v>
      </c>
      <c r="AY556" s="335"/>
      <c r="AZ556" s="335"/>
      <c r="BA556" s="335"/>
      <c r="BB556" s="335"/>
      <c r="BC556" s="335"/>
      <c r="BD556" s="335"/>
      <c r="BE556" s="335"/>
      <c r="BF556" s="335"/>
      <c r="BG556" s="335"/>
      <c r="BH556" s="335"/>
      <c r="BI556" s="335"/>
      <c r="BJ556" s="335"/>
      <c r="BK556" s="364"/>
      <c r="BL556" s="364"/>
      <c r="BM556" s="364"/>
      <c r="BN556" s="364"/>
      <c r="BO556" s="364"/>
      <c r="BP556" s="364"/>
      <c r="BQ556" s="335"/>
      <c r="BR556" s="335"/>
      <c r="BS556" s="364"/>
      <c r="BT556" s="364"/>
      <c r="BU556" s="364"/>
      <c r="BV556" s="364"/>
      <c r="BW556" s="364"/>
      <c r="BX556" s="364"/>
      <c r="BY556" s="335"/>
      <c r="BZ556" s="335"/>
      <c r="CA556" s="364"/>
      <c r="CB556" s="364"/>
      <c r="CC556" s="335"/>
      <c r="CD556" s="335"/>
      <c r="CE556" s="335"/>
      <c r="CF556" s="335"/>
      <c r="CG556" s="335"/>
      <c r="CH556" s="335"/>
      <c r="CI556" s="365"/>
      <c r="CJ556" s="365"/>
      <c r="CK556" s="335"/>
      <c r="CL556" s="335"/>
      <c r="CM556" s="366"/>
      <c r="CN556" s="366"/>
      <c r="CO556" s="366"/>
      <c r="CP556" s="3"/>
    </row>
    <row r="557" spans="1:94" x14ac:dyDescent="0.25">
      <c r="A557" s="34">
        <v>2</v>
      </c>
      <c r="B557" s="33">
        <f t="shared" ref="B557:B620" si="19">B556+1</f>
        <v>29</v>
      </c>
      <c r="C557" s="294">
        <f>VLOOKUP($B557,'Mother mortality'!$A$23:$I$124,5)</f>
        <v>3.077E-4</v>
      </c>
      <c r="D557" s="295">
        <f t="shared" si="1"/>
        <v>0.27</v>
      </c>
      <c r="E557" s="295">
        <f t="shared" si="9"/>
        <v>0.72969229999999996</v>
      </c>
      <c r="F557" s="295">
        <f>VLOOKUP($B557,'Mother mortality'!$A$23:$I$124,5)</f>
        <v>3.077E-4</v>
      </c>
      <c r="G557" s="295">
        <f t="shared" si="2"/>
        <v>0.14000000000000001</v>
      </c>
      <c r="H557" s="295">
        <f t="shared" si="10"/>
        <v>0.85969229999999996</v>
      </c>
      <c r="I557" s="295">
        <f>VLOOKUP($B557,'Mother mortality'!$A$23:$I$124,4)</f>
        <v>3.077E-4</v>
      </c>
      <c r="J557" s="295">
        <f t="shared" si="11"/>
        <v>0.28969230000000001</v>
      </c>
      <c r="K557" s="295">
        <f t="shared" si="3"/>
        <v>0.71</v>
      </c>
      <c r="L557" s="295">
        <f>VLOOKUP($B557,'Mother mortality'!$A$23:$I$124,4)</f>
        <v>3.077E-4</v>
      </c>
      <c r="M557" s="295">
        <f t="shared" si="4"/>
        <v>8.6261668788331098E-3</v>
      </c>
      <c r="N557" s="295">
        <f t="shared" si="12"/>
        <v>0.99106613312116687</v>
      </c>
      <c r="O557" s="294"/>
      <c r="P557" s="296">
        <f t="shared" ref="P557:P620" si="20">(P556*E557)+(Q556*H557)+(R556*J557)+(S556*M557)</f>
        <v>733.33365886688728</v>
      </c>
      <c r="Q557" s="297">
        <f t="shared" ref="Q557:Q620" si="21">P556*D557</f>
        <v>229.1928374263187</v>
      </c>
      <c r="R557" s="297">
        <f t="shared" ref="R557:R620" si="22">Q556*G557</f>
        <v>17.252530543216455</v>
      </c>
      <c r="S557" s="297">
        <f t="shared" ref="S557:S620" si="23">(R556*K557)+(S556*N557)</f>
        <v>19.566371456936999</v>
      </c>
      <c r="T557" s="297">
        <f t="shared" ref="T557:T620" si="24">T556+(P556*C557)+(Q556*F557)+(R556*I557)+(S556*L557)</f>
        <v>0.65460170664060691</v>
      </c>
      <c r="U557" s="294">
        <f t="shared" si="13"/>
        <v>1000.0000000000001</v>
      </c>
      <c r="V557" s="295" t="str">
        <f t="shared" si="5"/>
        <v>OKAY</v>
      </c>
      <c r="W557" s="295"/>
      <c r="X557" s="296">
        <f>SUM($P557:$Q557)-(SUM($P557:$Q557)*(VLOOKUP($B557,Lifetime_morbidity_array!$A$6:$Y$24,4)+VLOOKUP($B557,Lifetime_morbidity_array!$A$6:$Y$24,7)+VLOOKUP($B557,Lifetime_morbidity_array!$A$6:$Y$24,10)+VLOOKUP($B557,Lifetime_morbidity_array!$A$6:$Y$24,13)))</f>
        <v>960.3910872067205</v>
      </c>
      <c r="Y557" s="297">
        <f>SUM($R557:$S557)-(SUM($R557:$S557)*(VLOOKUP($B557,Lifetime_morbidity_array!$A$6:$Y$24,3)+VLOOKUP($B557,Lifetime_morbidity_array!$A$6:$Y$24,6)+VLOOKUP($B557,Lifetime_morbidity_array!$A$6:$Y$24,9)+VLOOKUP($B557,Lifetime_morbidity_array!$A$6:$Y$24,12)))</f>
        <v>36.737217580879459</v>
      </c>
      <c r="Z557" s="297">
        <f>(SUM($P557:$Q557)*VLOOKUP($B557,Lifetime_morbidity_array!$A$6:$Y$24,4))+(SUM($R557:$S557)*VLOOKUP($B557,Lifetime_morbidity_array!$A$6:$Y$24,3))</f>
        <v>1.0007966401503325</v>
      </c>
      <c r="AA557" s="297">
        <f>(SUM($P557:$Q557)*VLOOKUP($B557,Lifetime_morbidity_array!$A$6:$Y$24,7))+(SUM($R557:$S557)*VLOOKUP($B557,Lifetime_morbidity_array!$A$6:$Y$24,6))</f>
        <v>0.19605995907539273</v>
      </c>
      <c r="AB557" s="297">
        <f>(SUM($P557:$Q557)*VLOOKUP($B557,Lifetime_morbidity_array!$A$6:$Y$24,10))+(SUM($R557:$S557)*VLOOKUP($B557,Lifetime_morbidity_array!$A$6:$Y$24,9))</f>
        <v>2.0017824759452504E-2</v>
      </c>
      <c r="AC557" s="297">
        <f>(SUM($P557:$Q557)*VLOOKUP($B557,Lifetime_morbidity_array!$A$6:$Y$24,13))+(SUM($R557:$S557)*VLOOKUP($B557,Lifetime_morbidity_array!$A$6:$Y$24,12))</f>
        <v>1.0002190817743908</v>
      </c>
      <c r="AD557" s="294"/>
      <c r="AE557" s="294">
        <f t="shared" ref="AE557:AE620" si="25">B557</f>
        <v>29</v>
      </c>
      <c r="AF557" s="297">
        <f t="shared" ref="AF557:AF620" si="26">(SUM(P557:S557))/((1+Discount_rate_QALYs)^$A557)</f>
        <v>932.89962266877603</v>
      </c>
      <c r="AG557" s="297">
        <f t="shared" ref="AG557:AG620" si="27">AF557+AG556</f>
        <v>2607.2945311405651</v>
      </c>
      <c r="AH557" s="294"/>
      <c r="AI557" s="294">
        <f t="shared" ref="AI557:AI620" si="28">B557</f>
        <v>29</v>
      </c>
      <c r="AJ557" s="295">
        <f>((VLOOKUP($B557,'Mahawesran Tariff'!$A$21:$M$120,7)*$X557)+(VLOOKUP($B557,'Mahawesran Tariff'!$A$21:$M$120,6)*$Y557)+(DET_UTIL_chd*$Z557)+(DET_UTIL_copd*$AA557)+(DET_UTIL_lc*$AB557)+(DET_UTIL_stroke*$AC557))/((1+Discount_rate_QALYs)^$A557)</f>
        <v>905.29937786196535</v>
      </c>
      <c r="AK557" s="295">
        <f t="shared" ref="AK557:AK620" si="29">AJ557+AK556</f>
        <v>2527.5781910439546</v>
      </c>
      <c r="AL557" s="294"/>
      <c r="AM557" s="294">
        <f t="shared" si="14"/>
        <v>29</v>
      </c>
      <c r="AN557" s="299">
        <f t="shared" si="15"/>
        <v>22335.557488337952</v>
      </c>
      <c r="AO557" s="299">
        <f t="shared" ref="AO557:AO620" si="30">AN557+AO556</f>
        <v>3150515.6988355359</v>
      </c>
      <c r="AP557" s="294"/>
      <c r="AQ557" s="294">
        <f t="shared" si="16"/>
        <v>29</v>
      </c>
      <c r="AR557" s="298">
        <f t="shared" si="6"/>
        <v>0.99934539829335944</v>
      </c>
      <c r="AS557" s="298">
        <f t="shared" si="7"/>
        <v>6.5460170664060691E-4</v>
      </c>
      <c r="AT557" s="298">
        <f t="shared" si="8"/>
        <v>2.2170935057595686E-3</v>
      </c>
      <c r="AU557" s="250"/>
      <c r="AV557" s="294">
        <f t="shared" si="17"/>
        <v>29</v>
      </c>
      <c r="AW557" s="299">
        <f t="shared" si="18"/>
        <v>22335.557488337952</v>
      </c>
      <c r="AX557" s="299">
        <f t="shared" ref="AX557:AX620" si="31">AW557+AX556</f>
        <v>3147475.6988355359</v>
      </c>
      <c r="AY557" s="335"/>
      <c r="AZ557" s="335"/>
      <c r="BA557" s="335"/>
      <c r="BB557" s="335"/>
      <c r="BC557" s="335"/>
      <c r="BD557" s="335"/>
      <c r="BE557" s="335"/>
      <c r="BF557" s="335"/>
      <c r="BG557" s="335"/>
      <c r="BH557" s="335"/>
      <c r="BI557" s="335"/>
      <c r="BJ557" s="335"/>
      <c r="BK557" s="364"/>
      <c r="BL557" s="364"/>
      <c r="BM557" s="364"/>
      <c r="BN557" s="364"/>
      <c r="BO557" s="364"/>
      <c r="BP557" s="364"/>
      <c r="BQ557" s="335"/>
      <c r="BR557" s="335"/>
      <c r="BS557" s="364"/>
      <c r="BT557" s="364"/>
      <c r="BU557" s="364"/>
      <c r="BV557" s="364"/>
      <c r="BW557" s="364"/>
      <c r="BX557" s="364"/>
      <c r="BY557" s="335"/>
      <c r="BZ557" s="335"/>
      <c r="CA557" s="364"/>
      <c r="CB557" s="364"/>
      <c r="CC557" s="335"/>
      <c r="CD557" s="335"/>
      <c r="CE557" s="335"/>
      <c r="CF557" s="335"/>
      <c r="CG557" s="335"/>
      <c r="CH557" s="335"/>
      <c r="CI557" s="365"/>
      <c r="CJ557" s="365"/>
      <c r="CK557" s="335"/>
      <c r="CL557" s="335"/>
      <c r="CM557" s="366"/>
      <c r="CN557" s="366"/>
      <c r="CO557" s="366"/>
      <c r="CP557" s="3"/>
    </row>
    <row r="558" spans="1:94" x14ac:dyDescent="0.25">
      <c r="A558" s="34">
        <v>3</v>
      </c>
      <c r="B558" s="33">
        <f t="shared" si="19"/>
        <v>30</v>
      </c>
      <c r="C558" s="294">
        <f>VLOOKUP($B558,'Mother mortality'!$A$23:$I$124,5)</f>
        <v>3.3479999999999995E-4</v>
      </c>
      <c r="D558" s="295">
        <f t="shared" si="1"/>
        <v>0.27</v>
      </c>
      <c r="E558" s="295">
        <f t="shared" si="9"/>
        <v>0.72966520000000001</v>
      </c>
      <c r="F558" s="295">
        <f>VLOOKUP($B558,'Mother mortality'!$A$23:$I$124,5)</f>
        <v>3.3479999999999995E-4</v>
      </c>
      <c r="G558" s="295">
        <f t="shared" si="2"/>
        <v>0.14000000000000001</v>
      </c>
      <c r="H558" s="295">
        <f t="shared" si="10"/>
        <v>0.85966520000000002</v>
      </c>
      <c r="I558" s="295">
        <f>VLOOKUP($B558,'Mother mortality'!$A$23:$I$124,4)</f>
        <v>3.3479999999999995E-4</v>
      </c>
      <c r="J558" s="295">
        <f t="shared" si="11"/>
        <v>0.42823662857142863</v>
      </c>
      <c r="K558" s="295">
        <f t="shared" si="3"/>
        <v>0.5714285714285714</v>
      </c>
      <c r="L558" s="295">
        <f>VLOOKUP($B558,'Mother mortality'!$A$23:$I$124,4)</f>
        <v>3.3479999999999995E-4</v>
      </c>
      <c r="M558" s="295">
        <f t="shared" si="4"/>
        <v>8.6261668788331098E-3</v>
      </c>
      <c r="N558" s="295">
        <f t="shared" si="12"/>
        <v>0.99103903312116692</v>
      </c>
      <c r="O558" s="294"/>
      <c r="P558" s="296">
        <f t="shared" si="20"/>
        <v>739.67410558805625</v>
      </c>
      <c r="Q558" s="297">
        <f t="shared" si="21"/>
        <v>198.00008789405959</v>
      </c>
      <c r="R558" s="297">
        <f t="shared" si="22"/>
        <v>32.086997239684621</v>
      </c>
      <c r="S558" s="297">
        <f t="shared" si="23"/>
        <v>29.249626732210416</v>
      </c>
      <c r="T558" s="297">
        <f t="shared" si="24"/>
        <v>0.98918254598922351</v>
      </c>
      <c r="U558" s="294">
        <f t="shared" si="13"/>
        <v>1000.0000000000001</v>
      </c>
      <c r="V558" s="295" t="str">
        <f t="shared" si="5"/>
        <v>OKAY</v>
      </c>
      <c r="W558" s="295"/>
      <c r="X558" s="296">
        <f>SUM($P558:$Q558)-(SUM($P558:$Q558)*(VLOOKUP($B558,Lifetime_morbidity_array!$A$6:$Y$24,4)+VLOOKUP($B558,Lifetime_morbidity_array!$A$6:$Y$24,7)+VLOOKUP($B558,Lifetime_morbidity_array!$A$6:$Y$24,10)+VLOOKUP($B558,Lifetime_morbidity_array!$A$6:$Y$24,13)))</f>
        <v>935.43909061114277</v>
      </c>
      <c r="Y558" s="297">
        <f>SUM($R558:$S558)-(SUM($R558:$S558)*(VLOOKUP($B558,Lifetime_morbidity_array!$A$6:$Y$24,3)+VLOOKUP($B558,Lifetime_morbidity_array!$A$6:$Y$24,6)+VLOOKUP($B558,Lifetime_morbidity_array!$A$6:$Y$24,9)+VLOOKUP($B558,Lifetime_morbidity_array!$A$6:$Y$24,12)))</f>
        <v>61.190417895959143</v>
      </c>
      <c r="Z558" s="297">
        <f>(SUM($P558:$Q558)*VLOOKUP($B558,Lifetime_morbidity_array!$A$6:$Y$24,4))+(SUM($R558:$S558)*VLOOKUP($B558,Lifetime_morbidity_array!$A$6:$Y$24,3))</f>
        <v>0.99563676752436447</v>
      </c>
      <c r="AA558" s="297">
        <f>(SUM($P558:$Q558)*VLOOKUP($B558,Lifetime_morbidity_array!$A$6:$Y$24,7))+(SUM($R558:$S558)*VLOOKUP($B558,Lifetime_morbidity_array!$A$6:$Y$24,6))</f>
        <v>0.36498619144410815</v>
      </c>
      <c r="AB558" s="297">
        <f>(SUM($P558:$Q558)*VLOOKUP($B558,Lifetime_morbidity_array!$A$6:$Y$24,10))+(SUM($R558:$S558)*VLOOKUP($B558,Lifetime_morbidity_array!$A$6:$Y$24,9))</f>
        <v>1.9972761967954448E-2</v>
      </c>
      <c r="AC558" s="297">
        <f>(SUM($P558:$Q558)*VLOOKUP($B558,Lifetime_morbidity_array!$A$6:$Y$24,13))+(SUM($R558:$S558)*VLOOKUP($B558,Lifetime_morbidity_array!$A$6:$Y$24,12))</f>
        <v>1.0007132259724663</v>
      </c>
      <c r="AD558" s="294"/>
      <c r="AE558" s="294">
        <f t="shared" si="25"/>
        <v>30</v>
      </c>
      <c r="AF558" s="297">
        <f t="shared" si="26"/>
        <v>901.05051968609337</v>
      </c>
      <c r="AG558" s="297">
        <f t="shared" si="27"/>
        <v>3508.3450508266587</v>
      </c>
      <c r="AH558" s="294"/>
      <c r="AI558" s="294">
        <f t="shared" si="28"/>
        <v>30</v>
      </c>
      <c r="AJ558" s="295">
        <f>((VLOOKUP($B558,'Mahawesran Tariff'!$A$21:$M$120,7)*$X558)+(VLOOKUP($B558,'Mahawesran Tariff'!$A$21:$M$120,6)*$Y558)+(DET_UTIL_chd*$Z558)+(DET_UTIL_copd*$AA558)+(DET_UTIL_lc*$AB558)+(DET_UTIL_stroke*$AC558))/((1+Discount_rate_QALYs)^$A558)</f>
        <v>874.7242573042497</v>
      </c>
      <c r="AK558" s="295">
        <f t="shared" si="29"/>
        <v>3402.3024483482041</v>
      </c>
      <c r="AL558" s="294"/>
      <c r="AM558" s="294">
        <f t="shared" si="14"/>
        <v>30</v>
      </c>
      <c r="AN558" s="299">
        <f t="shared" si="15"/>
        <v>21709.526326857456</v>
      </c>
      <c r="AO558" s="299">
        <f t="shared" si="30"/>
        <v>3172225.2251623934</v>
      </c>
      <c r="AP558" s="294"/>
      <c r="AQ558" s="294">
        <f t="shared" si="16"/>
        <v>30</v>
      </c>
      <c r="AR558" s="298">
        <f t="shared" si="6"/>
        <v>0.99901081745401088</v>
      </c>
      <c r="AS558" s="298">
        <f t="shared" si="7"/>
        <v>9.8918254598922358E-4</v>
      </c>
      <c r="AT558" s="298">
        <f t="shared" si="8"/>
        <v>2.3813089469088933E-3</v>
      </c>
      <c r="AU558" s="250"/>
      <c r="AV558" s="294">
        <f t="shared" si="17"/>
        <v>30</v>
      </c>
      <c r="AW558" s="299">
        <f t="shared" si="18"/>
        <v>21709.526326857456</v>
      </c>
      <c r="AX558" s="299">
        <f t="shared" si="31"/>
        <v>3169185.2251623934</v>
      </c>
      <c r="AY558" s="335"/>
      <c r="AZ558" s="335"/>
      <c r="BA558" s="335"/>
      <c r="BB558" s="335"/>
      <c r="BC558" s="335"/>
      <c r="BD558" s="335"/>
      <c r="BE558" s="335"/>
      <c r="BF558" s="335"/>
      <c r="BG558" s="335"/>
      <c r="BH558" s="335"/>
      <c r="BI558" s="335"/>
      <c r="BJ558" s="335"/>
      <c r="BK558" s="364"/>
      <c r="BL558" s="364"/>
      <c r="BM558" s="364"/>
      <c r="BN558" s="364"/>
      <c r="BO558" s="364"/>
      <c r="BP558" s="364"/>
      <c r="BQ558" s="335"/>
      <c r="BR558" s="335"/>
      <c r="BS558" s="364"/>
      <c r="BT558" s="364"/>
      <c r="BU558" s="364"/>
      <c r="BV558" s="364"/>
      <c r="BW558" s="364"/>
      <c r="BX558" s="364"/>
      <c r="BY558" s="335"/>
      <c r="BZ558" s="335"/>
      <c r="CA558" s="364"/>
      <c r="CB558" s="364"/>
      <c r="CC558" s="335"/>
      <c r="CD558" s="335"/>
      <c r="CE558" s="335"/>
      <c r="CF558" s="335"/>
      <c r="CG558" s="335"/>
      <c r="CH558" s="335"/>
      <c r="CI558" s="365"/>
      <c r="CJ558" s="365"/>
      <c r="CK558" s="335"/>
      <c r="CL558" s="335"/>
      <c r="CM558" s="366"/>
      <c r="CN558" s="366"/>
      <c r="CO558" s="366"/>
      <c r="CP558" s="3"/>
    </row>
    <row r="559" spans="1:94" x14ac:dyDescent="0.25">
      <c r="A559" s="34">
        <v>4</v>
      </c>
      <c r="B559" s="33">
        <f t="shared" si="19"/>
        <v>31</v>
      </c>
      <c r="C559" s="294">
        <f>VLOOKUP($B559,'Mother mortality'!$A$23:$I$124,5)</f>
        <v>3.6479999999999998E-4</v>
      </c>
      <c r="D559" s="295">
        <f t="shared" si="1"/>
        <v>0.27</v>
      </c>
      <c r="E559" s="295">
        <f t="shared" si="9"/>
        <v>0.72963519999999993</v>
      </c>
      <c r="F559" s="295">
        <f>VLOOKUP($B559,'Mother mortality'!$A$23:$I$124,5)</f>
        <v>3.6479999999999998E-4</v>
      </c>
      <c r="G559" s="295">
        <f t="shared" si="2"/>
        <v>0.14000000000000001</v>
      </c>
      <c r="H559" s="295">
        <f t="shared" si="10"/>
        <v>0.85963519999999993</v>
      </c>
      <c r="I559" s="295">
        <f>VLOOKUP($B559,'Mother mortality'!$A$23:$I$124,4)</f>
        <v>3.6479999999999998E-4</v>
      </c>
      <c r="J559" s="295">
        <f t="shared" si="11"/>
        <v>0.42820662857142855</v>
      </c>
      <c r="K559" s="295">
        <f t="shared" si="3"/>
        <v>0.5714285714285714</v>
      </c>
      <c r="L559" s="295">
        <f>VLOOKUP($B559,'Mother mortality'!$A$23:$I$124,4)</f>
        <v>3.6479999999999998E-4</v>
      </c>
      <c r="M559" s="295">
        <f t="shared" si="4"/>
        <v>8.6261668788331098E-3</v>
      </c>
      <c r="N559" s="295">
        <f t="shared" si="12"/>
        <v>0.99100903312116684</v>
      </c>
      <c r="O559" s="294"/>
      <c r="P559" s="296">
        <f t="shared" si="20"/>
        <v>723.89228619271171</v>
      </c>
      <c r="Q559" s="297">
        <f t="shared" si="21"/>
        <v>199.7120085087752</v>
      </c>
      <c r="R559" s="297">
        <f t="shared" si="22"/>
        <v>27.720012305168346</v>
      </c>
      <c r="S559" s="297">
        <f t="shared" si="23"/>
        <v>47.322071301148377</v>
      </c>
      <c r="T559" s="297">
        <f t="shared" si="24"/>
        <v>1.3536216921964466</v>
      </c>
      <c r="U559" s="294">
        <f t="shared" si="13"/>
        <v>1000.0000000000001</v>
      </c>
      <c r="V559" s="295" t="str">
        <f t="shared" si="5"/>
        <v>OKAY</v>
      </c>
      <c r="W559" s="295"/>
      <c r="X559" s="296">
        <f>SUM($P559:$Q559)-(SUM($P559:$Q559)*(VLOOKUP($B559,Lifetime_morbidity_array!$A$6:$Y$24,4)+VLOOKUP($B559,Lifetime_morbidity_array!$A$6:$Y$24,7)+VLOOKUP($B559,Lifetime_morbidity_array!$A$6:$Y$24,10)+VLOOKUP($B559,Lifetime_morbidity_array!$A$6:$Y$24,13)))</f>
        <v>921.40272978151802</v>
      </c>
      <c r="Y559" s="297">
        <f>SUM($R559:$S559)-(SUM($R559:$S559)*(VLOOKUP($B559,Lifetime_morbidity_array!$A$6:$Y$24,3)+VLOOKUP($B559,Lifetime_morbidity_array!$A$6:$Y$24,6)+VLOOKUP($B559,Lifetime_morbidity_array!$A$6:$Y$24,9)+VLOOKUP($B559,Lifetime_morbidity_array!$A$6:$Y$24,12)))</f>
        <v>74.863208280880485</v>
      </c>
      <c r="Z559" s="297">
        <f>(SUM($P559:$Q559)*VLOOKUP($B559,Lifetime_morbidity_array!$A$6:$Y$24,4))+(SUM($R559:$S559)*VLOOKUP($B559,Lifetime_morbidity_array!$A$6:$Y$24,3))</f>
        <v>0.99527355923157146</v>
      </c>
      <c r="AA559" s="297">
        <f>(SUM($P559:$Q559)*VLOOKUP($B559,Lifetime_morbidity_array!$A$6:$Y$24,7))+(SUM($R559:$S559)*VLOOKUP($B559,Lifetime_morbidity_array!$A$6:$Y$24,6))</f>
        <v>0.36485304448146932</v>
      </c>
      <c r="AB559" s="297">
        <f>(SUM($P559:$Q559)*VLOOKUP($B559,Lifetime_morbidity_array!$A$6:$Y$24,10))+(SUM($R559:$S559)*VLOOKUP($B559,Lifetime_morbidity_array!$A$6:$Y$24,9))</f>
        <v>1.996547590438854E-2</v>
      </c>
      <c r="AC559" s="297">
        <f>(SUM($P559:$Q559)*VLOOKUP($B559,Lifetime_morbidity_array!$A$6:$Y$24,13))+(SUM($R559:$S559)*VLOOKUP($B559,Lifetime_morbidity_array!$A$6:$Y$24,12))</f>
        <v>1.0003481657876316</v>
      </c>
      <c r="AD559" s="294"/>
      <c r="AE559" s="294">
        <f t="shared" si="25"/>
        <v>31</v>
      </c>
      <c r="AF559" s="297">
        <f t="shared" si="26"/>
        <v>870.26262459566362</v>
      </c>
      <c r="AG559" s="297">
        <f t="shared" si="27"/>
        <v>4378.6076754223222</v>
      </c>
      <c r="AH559" s="294"/>
      <c r="AI559" s="294">
        <f t="shared" si="28"/>
        <v>31</v>
      </c>
      <c r="AJ559" s="295">
        <f>((VLOOKUP($B559,'Mahawesran Tariff'!$A$21:$M$120,7)*$X559)+(VLOOKUP($B559,'Mahawesran Tariff'!$A$21:$M$120,6)*$Y559)+(DET_UTIL_chd*$Z559)+(DET_UTIL_copd*$AA559)+(DET_UTIL_lc*$AB559)+(DET_UTIL_stroke*$AC559))/((1+Discount_rate_QALYs)^$A559)</f>
        <v>845.03464896611445</v>
      </c>
      <c r="AK559" s="295">
        <f t="shared" si="29"/>
        <v>4247.3370973143183</v>
      </c>
      <c r="AL559" s="294"/>
      <c r="AM559" s="294">
        <f t="shared" si="14"/>
        <v>31</v>
      </c>
      <c r="AN559" s="299">
        <f t="shared" si="15"/>
        <v>20967.735933964654</v>
      </c>
      <c r="AO559" s="299">
        <f t="shared" si="30"/>
        <v>3193192.961096358</v>
      </c>
      <c r="AP559" s="294"/>
      <c r="AQ559" s="294">
        <f t="shared" si="16"/>
        <v>31</v>
      </c>
      <c r="AR559" s="298">
        <f t="shared" si="6"/>
        <v>0.99864637830780356</v>
      </c>
      <c r="AS559" s="298">
        <f t="shared" si="7"/>
        <v>1.3536216921964466E-3</v>
      </c>
      <c r="AT559" s="298">
        <f t="shared" si="8"/>
        <v>2.380440245405061E-3</v>
      </c>
      <c r="AU559" s="250"/>
      <c r="AV559" s="294">
        <f t="shared" si="17"/>
        <v>31</v>
      </c>
      <c r="AW559" s="299">
        <f t="shared" si="18"/>
        <v>20967.735933964654</v>
      </c>
      <c r="AX559" s="299">
        <f t="shared" si="31"/>
        <v>3190152.961096358</v>
      </c>
      <c r="AY559" s="335"/>
      <c r="AZ559" s="335"/>
      <c r="BA559" s="335"/>
      <c r="BB559" s="335"/>
      <c r="BC559" s="335"/>
      <c r="BD559" s="335"/>
      <c r="BE559" s="335"/>
      <c r="BF559" s="335"/>
      <c r="BG559" s="335"/>
      <c r="BH559" s="335"/>
      <c r="BI559" s="335"/>
      <c r="BJ559" s="335"/>
      <c r="BK559" s="364"/>
      <c r="BL559" s="364"/>
      <c r="BM559" s="364"/>
      <c r="BN559" s="364"/>
      <c r="BO559" s="364"/>
      <c r="BP559" s="364"/>
      <c r="BQ559" s="335"/>
      <c r="BR559" s="335"/>
      <c r="BS559" s="364"/>
      <c r="BT559" s="364"/>
      <c r="BU559" s="364"/>
      <c r="BV559" s="364"/>
      <c r="BW559" s="364"/>
      <c r="BX559" s="364"/>
      <c r="BY559" s="335"/>
      <c r="BZ559" s="335"/>
      <c r="CA559" s="364"/>
      <c r="CB559" s="364"/>
      <c r="CC559" s="335"/>
      <c r="CD559" s="335"/>
      <c r="CE559" s="335"/>
      <c r="CF559" s="335"/>
      <c r="CG559" s="335"/>
      <c r="CH559" s="335"/>
      <c r="CI559" s="365"/>
      <c r="CJ559" s="365"/>
      <c r="CK559" s="335"/>
      <c r="CL559" s="335"/>
      <c r="CM559" s="366"/>
      <c r="CN559" s="366"/>
      <c r="CO559" s="366"/>
      <c r="CP559" s="3"/>
    </row>
    <row r="560" spans="1:94" x14ac:dyDescent="0.25">
      <c r="A560" s="34">
        <v>5</v>
      </c>
      <c r="B560" s="33">
        <f t="shared" si="19"/>
        <v>32</v>
      </c>
      <c r="C560" s="294">
        <f>VLOOKUP($B560,'Mother mortality'!$A$23:$I$124,5)</f>
        <v>3.9549999999999996E-4</v>
      </c>
      <c r="D560" s="295">
        <f t="shared" si="1"/>
        <v>0.27</v>
      </c>
      <c r="E560" s="295">
        <f t="shared" si="9"/>
        <v>0.72960449999999999</v>
      </c>
      <c r="F560" s="295">
        <f>VLOOKUP($B560,'Mother mortality'!$A$23:$I$124,5)</f>
        <v>3.9549999999999996E-4</v>
      </c>
      <c r="G560" s="295">
        <f t="shared" si="2"/>
        <v>0.14000000000000001</v>
      </c>
      <c r="H560" s="295">
        <f t="shared" si="10"/>
        <v>0.85960449999999999</v>
      </c>
      <c r="I560" s="295">
        <f>VLOOKUP($B560,'Mother mortality'!$A$23:$I$124,4)</f>
        <v>3.9549999999999996E-4</v>
      </c>
      <c r="J560" s="295">
        <f t="shared" si="11"/>
        <v>0.42817592857142861</v>
      </c>
      <c r="K560" s="295">
        <f t="shared" si="3"/>
        <v>0.5714285714285714</v>
      </c>
      <c r="L560" s="295">
        <f>VLOOKUP($B560,'Mother mortality'!$A$23:$I$124,4)</f>
        <v>3.9549999999999996E-4</v>
      </c>
      <c r="M560" s="295">
        <f t="shared" si="4"/>
        <v>8.6261668788331098E-3</v>
      </c>
      <c r="N560" s="295">
        <f t="shared" si="12"/>
        <v>0.9909783331211669</v>
      </c>
      <c r="O560" s="294"/>
      <c r="P560" s="296">
        <f t="shared" si="20"/>
        <v>712.10566083254434</v>
      </c>
      <c r="Q560" s="297">
        <f t="shared" si="21"/>
        <v>195.45091727203217</v>
      </c>
      <c r="R560" s="297">
        <f t="shared" si="22"/>
        <v>27.95968119122853</v>
      </c>
      <c r="S560" s="297">
        <f t="shared" si="23"/>
        <v>62.735154369377796</v>
      </c>
      <c r="T560" s="297">
        <f t="shared" si="24"/>
        <v>1.7485863348171831</v>
      </c>
      <c r="U560" s="294">
        <f t="shared" si="13"/>
        <v>1000.0000000000001</v>
      </c>
      <c r="V560" s="295" t="str">
        <f t="shared" si="5"/>
        <v>OKAY</v>
      </c>
      <c r="W560" s="295"/>
      <c r="X560" s="296">
        <f>SUM($P560:$Q560)-(SUM($P560:$Q560)*(VLOOKUP($B560,Lifetime_morbidity_array!$A$6:$Y$24,4)+VLOOKUP($B560,Lifetime_morbidity_array!$A$6:$Y$24,7)+VLOOKUP($B560,Lifetime_morbidity_array!$A$6:$Y$24,10)+VLOOKUP($B560,Lifetime_morbidity_array!$A$6:$Y$24,13)))</f>
        <v>905.39326559433334</v>
      </c>
      <c r="Y560" s="297">
        <f>SUM($R560:$S560)-(SUM($R560:$S560)*(VLOOKUP($B560,Lifetime_morbidity_array!$A$6:$Y$24,3)+VLOOKUP($B560,Lifetime_morbidity_array!$A$6:$Y$24,6)+VLOOKUP($B560,Lifetime_morbidity_array!$A$6:$Y$24,9)+VLOOKUP($B560,Lifetime_morbidity_array!$A$6:$Y$24,12)))</f>
        <v>90.478649289561417</v>
      </c>
      <c r="Z560" s="297">
        <f>(SUM($P560:$Q560)*VLOOKUP($B560,Lifetime_morbidity_array!$A$6:$Y$24,4))+(SUM($R560:$S560)*VLOOKUP($B560,Lifetime_morbidity_array!$A$6:$Y$24,3))</f>
        <v>0.9948799285388954</v>
      </c>
      <c r="AA560" s="297">
        <f>(SUM($P560:$Q560)*VLOOKUP($B560,Lifetime_morbidity_array!$A$6:$Y$24,7))+(SUM($R560:$S560)*VLOOKUP($B560,Lifetime_morbidity_array!$A$6:$Y$24,6))</f>
        <v>0.36470874510237694</v>
      </c>
      <c r="AB560" s="297">
        <f>(SUM($P560:$Q560)*VLOOKUP($B560,Lifetime_morbidity_array!$A$6:$Y$24,10))+(SUM($R560:$S560)*VLOOKUP($B560,Lifetime_morbidity_array!$A$6:$Y$24,9))</f>
        <v>1.9957579558668354E-2</v>
      </c>
      <c r="AC560" s="297">
        <f>(SUM($P560:$Q560)*VLOOKUP($B560,Lifetime_morbidity_array!$A$6:$Y$24,13))+(SUM($R560:$S560)*VLOOKUP($B560,Lifetime_morbidity_array!$A$6:$Y$24,12))</f>
        <v>0.99995252808806245</v>
      </c>
      <c r="AD560" s="294"/>
      <c r="AE560" s="294">
        <f t="shared" si="25"/>
        <v>32</v>
      </c>
      <c r="AF560" s="297">
        <f t="shared" si="26"/>
        <v>840.5009040846727</v>
      </c>
      <c r="AG560" s="297">
        <f t="shared" si="27"/>
        <v>5219.1085795069948</v>
      </c>
      <c r="AH560" s="294"/>
      <c r="AI560" s="294">
        <f t="shared" si="28"/>
        <v>32</v>
      </c>
      <c r="AJ560" s="295">
        <f>((VLOOKUP($B560,'Mahawesran Tariff'!$A$21:$M$120,7)*$X560)+(VLOOKUP($B560,'Mahawesran Tariff'!$A$21:$M$120,6)*$Y560)+(DET_UTIL_chd*$Z560)+(DET_UTIL_copd*$AA560)+(DET_UTIL_lc*$AB560)+(DET_UTIL_stroke*$AC560))/((1+Discount_rate_QALYs)^$A560)</f>
        <v>816.3550564760676</v>
      </c>
      <c r="AK560" s="295">
        <f t="shared" si="29"/>
        <v>5063.6921537903854</v>
      </c>
      <c r="AL560" s="294"/>
      <c r="AM560" s="294">
        <f t="shared" si="14"/>
        <v>32</v>
      </c>
      <c r="AN560" s="299">
        <f t="shared" si="15"/>
        <v>20250.669753046157</v>
      </c>
      <c r="AO560" s="299">
        <f t="shared" si="30"/>
        <v>3213443.6308494043</v>
      </c>
      <c r="AP560" s="294"/>
      <c r="AQ560" s="294">
        <f t="shared" si="16"/>
        <v>32</v>
      </c>
      <c r="AR560" s="298">
        <f t="shared" si="6"/>
        <v>0.99825141366518289</v>
      </c>
      <c r="AS560" s="298">
        <f t="shared" si="7"/>
        <v>1.748586334817183E-3</v>
      </c>
      <c r="AT560" s="298">
        <f t="shared" si="8"/>
        <v>2.3794987812880029E-3</v>
      </c>
      <c r="AU560" s="250"/>
      <c r="AV560" s="294">
        <f t="shared" si="17"/>
        <v>32</v>
      </c>
      <c r="AW560" s="299">
        <f t="shared" si="18"/>
        <v>20250.669753046157</v>
      </c>
      <c r="AX560" s="299">
        <f t="shared" si="31"/>
        <v>3210403.6308494043</v>
      </c>
      <c r="AY560" s="335"/>
      <c r="AZ560" s="335"/>
      <c r="BA560" s="335"/>
      <c r="BB560" s="335"/>
      <c r="BC560" s="335"/>
      <c r="BD560" s="335"/>
      <c r="BE560" s="335"/>
      <c r="BF560" s="335"/>
      <c r="BG560" s="335"/>
      <c r="BH560" s="335"/>
      <c r="BI560" s="335"/>
      <c r="BJ560" s="335"/>
      <c r="BK560" s="364"/>
      <c r="BL560" s="364"/>
      <c r="BM560" s="364"/>
      <c r="BN560" s="364"/>
      <c r="BO560" s="364"/>
      <c r="BP560" s="364"/>
      <c r="BQ560" s="335"/>
      <c r="BR560" s="335"/>
      <c r="BS560" s="364"/>
      <c r="BT560" s="364"/>
      <c r="BU560" s="364"/>
      <c r="BV560" s="364"/>
      <c r="BW560" s="364"/>
      <c r="BX560" s="364"/>
      <c r="BY560" s="335"/>
      <c r="BZ560" s="335"/>
      <c r="CA560" s="364"/>
      <c r="CB560" s="364"/>
      <c r="CC560" s="335"/>
      <c r="CD560" s="335"/>
      <c r="CE560" s="335"/>
      <c r="CF560" s="335"/>
      <c r="CG560" s="335"/>
      <c r="CH560" s="335"/>
      <c r="CI560" s="365"/>
      <c r="CJ560" s="365"/>
      <c r="CK560" s="335"/>
      <c r="CL560" s="335"/>
      <c r="CM560" s="366"/>
      <c r="CN560" s="366"/>
      <c r="CO560" s="366"/>
      <c r="CP560" s="3"/>
    </row>
    <row r="561" spans="1:94" x14ac:dyDescent="0.25">
      <c r="A561" s="34">
        <v>6</v>
      </c>
      <c r="B561" s="33">
        <f t="shared" si="19"/>
        <v>33</v>
      </c>
      <c r="C561" s="294">
        <f>VLOOKUP($B561,'Mother mortality'!$A$23:$I$124,5)</f>
        <v>4.2680000000000002E-4</v>
      </c>
      <c r="D561" s="295">
        <f t="shared" si="1"/>
        <v>0.27</v>
      </c>
      <c r="E561" s="295">
        <f t="shared" si="9"/>
        <v>0.72957320000000003</v>
      </c>
      <c r="F561" s="295">
        <f>VLOOKUP($B561,'Mother mortality'!$A$23:$I$124,5)</f>
        <v>4.2680000000000002E-4</v>
      </c>
      <c r="G561" s="295">
        <f t="shared" si="2"/>
        <v>0.14000000000000001</v>
      </c>
      <c r="H561" s="295">
        <f t="shared" si="10"/>
        <v>0.85957320000000004</v>
      </c>
      <c r="I561" s="295">
        <f>VLOOKUP($B561,'Mother mortality'!$A$23:$I$124,4)</f>
        <v>4.2680000000000002E-4</v>
      </c>
      <c r="J561" s="295">
        <f t="shared" si="11"/>
        <v>0.42814462857142865</v>
      </c>
      <c r="K561" s="295">
        <f t="shared" si="3"/>
        <v>0.5714285714285714</v>
      </c>
      <c r="L561" s="295">
        <f>VLOOKUP($B561,'Mother mortality'!$A$23:$I$124,4)</f>
        <v>4.2680000000000002E-4</v>
      </c>
      <c r="M561" s="295">
        <f t="shared" si="4"/>
        <v>8.6261668788331098E-3</v>
      </c>
      <c r="N561" s="295">
        <f t="shared" si="12"/>
        <v>0.99094703312116694</v>
      </c>
      <c r="O561" s="294"/>
      <c r="P561" s="296">
        <f t="shared" si="20"/>
        <v>700.04952734352378</v>
      </c>
      <c r="Q561" s="297">
        <f t="shared" si="21"/>
        <v>192.26852842478698</v>
      </c>
      <c r="R561" s="297">
        <f t="shared" si="22"/>
        <v>27.363128418084507</v>
      </c>
      <c r="S561" s="297">
        <f t="shared" si="23"/>
        <v>78.144175775435357</v>
      </c>
      <c r="T561" s="297">
        <f t="shared" si="24"/>
        <v>2.1746400381694828</v>
      </c>
      <c r="U561" s="294">
        <f t="shared" si="13"/>
        <v>1000.0000000000001</v>
      </c>
      <c r="V561" s="295" t="str">
        <f t="shared" si="5"/>
        <v>OKAY</v>
      </c>
      <c r="W561" s="295"/>
      <c r="X561" s="296">
        <f>SUM($P561:$Q561)-(SUM($P561:$Q561)*(VLOOKUP($B561,Lifetime_morbidity_array!$A$6:$Y$24,4)+VLOOKUP($B561,Lifetime_morbidity_array!$A$6:$Y$24,7)+VLOOKUP($B561,Lifetime_morbidity_array!$A$6:$Y$24,10)+VLOOKUP($B561,Lifetime_morbidity_array!$A$6:$Y$24,13)))</f>
        <v>890.19106681827645</v>
      </c>
      <c r="Y561" s="297">
        <f>SUM($R561:$S561)-(SUM($R561:$S561)*(VLOOKUP($B561,Lifetime_morbidity_array!$A$6:$Y$24,3)+VLOOKUP($B561,Lifetime_morbidity_array!$A$6:$Y$24,6)+VLOOKUP($B561,Lifetime_morbidity_array!$A$6:$Y$24,9)+VLOOKUP($B561,Lifetime_morbidity_array!$A$6:$Y$24,12)))</f>
        <v>105.25580993234604</v>
      </c>
      <c r="Z561" s="297">
        <f>(SUM($P561:$Q561)*VLOOKUP($B561,Lifetime_morbidity_array!$A$6:$Y$24,4))+(SUM($R561:$S561)*VLOOKUP($B561,Lifetime_morbidity_array!$A$6:$Y$24,3))</f>
        <v>0.99445531378539498</v>
      </c>
      <c r="AA561" s="297">
        <f>(SUM($P561:$Q561)*VLOOKUP($B561,Lifetime_morbidity_array!$A$6:$Y$24,7))+(SUM($R561:$S561)*VLOOKUP($B561,Lifetime_morbidity_array!$A$6:$Y$24,6))</f>
        <v>0.36455308740996728</v>
      </c>
      <c r="AB561" s="297">
        <f>(SUM($P561:$Q561)*VLOOKUP($B561,Lifetime_morbidity_array!$A$6:$Y$24,10))+(SUM($R561:$S561)*VLOOKUP($B561,Lifetime_morbidity_array!$A$6:$Y$24,9))</f>
        <v>1.9949061663712714E-2</v>
      </c>
      <c r="AC561" s="297">
        <f>(SUM($P561:$Q561)*VLOOKUP($B561,Lifetime_morbidity_array!$A$6:$Y$24,13))+(SUM($R561:$S561)*VLOOKUP($B561,Lifetime_morbidity_array!$A$6:$Y$24,12))</f>
        <v>0.99952574834907448</v>
      </c>
      <c r="AD561" s="294"/>
      <c r="AE561" s="294">
        <f t="shared" si="25"/>
        <v>33</v>
      </c>
      <c r="AF561" s="297">
        <f t="shared" si="26"/>
        <v>811.7315732355645</v>
      </c>
      <c r="AG561" s="297">
        <f t="shared" si="27"/>
        <v>6030.8401527425594</v>
      </c>
      <c r="AH561" s="294"/>
      <c r="AI561" s="294">
        <f t="shared" si="28"/>
        <v>33</v>
      </c>
      <c r="AJ561" s="295">
        <f>((VLOOKUP($B561,'Mahawesran Tariff'!$A$21:$M$120,7)*$X561)+(VLOOKUP($B561,'Mahawesran Tariff'!$A$21:$M$120,6)*$Y561)+(DET_UTIL_chd*$Z561)+(DET_UTIL_copd*$AA561)+(DET_UTIL_lc*$AB561)+(DET_UTIL_stroke*$AC561))/((1+Discount_rate_QALYs)^$A561)</f>
        <v>788.61292393287556</v>
      </c>
      <c r="AK561" s="295">
        <f t="shared" si="29"/>
        <v>5852.3050777232611</v>
      </c>
      <c r="AL561" s="294"/>
      <c r="AM561" s="294">
        <f t="shared" si="14"/>
        <v>33</v>
      </c>
      <c r="AN561" s="299">
        <f t="shared" si="15"/>
        <v>19557.51378473001</v>
      </c>
      <c r="AO561" s="299">
        <f t="shared" si="30"/>
        <v>3233001.1446341341</v>
      </c>
      <c r="AP561" s="294"/>
      <c r="AQ561" s="294">
        <f t="shared" si="16"/>
        <v>33</v>
      </c>
      <c r="AR561" s="298">
        <f t="shared" si="6"/>
        <v>0.99782535996183064</v>
      </c>
      <c r="AS561" s="298">
        <f t="shared" si="7"/>
        <v>2.174640038169483E-3</v>
      </c>
      <c r="AT561" s="298">
        <f t="shared" si="8"/>
        <v>2.3784832112081497E-3</v>
      </c>
      <c r="AU561" s="250"/>
      <c r="AV561" s="294">
        <f t="shared" si="17"/>
        <v>33</v>
      </c>
      <c r="AW561" s="299">
        <f t="shared" si="18"/>
        <v>19557.51378473001</v>
      </c>
      <c r="AX561" s="299">
        <f t="shared" si="31"/>
        <v>3229961.1446341341</v>
      </c>
      <c r="AY561" s="335"/>
      <c r="AZ561" s="335"/>
      <c r="BA561" s="335"/>
      <c r="BB561" s="335"/>
      <c r="BC561" s="335"/>
      <c r="BD561" s="335"/>
      <c r="BE561" s="335"/>
      <c r="BF561" s="335"/>
      <c r="BG561" s="335"/>
      <c r="BH561" s="335"/>
      <c r="BI561" s="335"/>
      <c r="BJ561" s="335"/>
      <c r="BK561" s="364"/>
      <c r="BL561" s="364"/>
      <c r="BM561" s="364"/>
      <c r="BN561" s="364"/>
      <c r="BO561" s="364"/>
      <c r="BP561" s="364"/>
      <c r="BQ561" s="335"/>
      <c r="BR561" s="335"/>
      <c r="BS561" s="364"/>
      <c r="BT561" s="364"/>
      <c r="BU561" s="364"/>
      <c r="BV561" s="364"/>
      <c r="BW561" s="364"/>
      <c r="BX561" s="364"/>
      <c r="BY561" s="335"/>
      <c r="BZ561" s="335"/>
      <c r="CA561" s="364"/>
      <c r="CB561" s="364"/>
      <c r="CC561" s="335"/>
      <c r="CD561" s="335"/>
      <c r="CE561" s="335"/>
      <c r="CF561" s="335"/>
      <c r="CG561" s="335"/>
      <c r="CH561" s="335"/>
      <c r="CI561" s="365"/>
      <c r="CJ561" s="365"/>
      <c r="CK561" s="335"/>
      <c r="CL561" s="335"/>
      <c r="CM561" s="366"/>
      <c r="CN561" s="366"/>
      <c r="CO561" s="366"/>
      <c r="CP561" s="3"/>
    </row>
    <row r="562" spans="1:94" x14ac:dyDescent="0.25">
      <c r="A562" s="34">
        <v>7</v>
      </c>
      <c r="B562" s="33">
        <f t="shared" si="19"/>
        <v>34</v>
      </c>
      <c r="C562" s="294">
        <f>VLOOKUP($B562,'Mother mortality'!$A$23:$I$124,5)</f>
        <v>4.593E-4</v>
      </c>
      <c r="D562" s="295">
        <f t="shared" si="1"/>
        <v>0.27</v>
      </c>
      <c r="E562" s="295">
        <f t="shared" si="9"/>
        <v>0.72954069999999993</v>
      </c>
      <c r="F562" s="295">
        <f>VLOOKUP($B562,'Mother mortality'!$A$23:$I$124,5)</f>
        <v>4.593E-4</v>
      </c>
      <c r="G562" s="295">
        <f t="shared" si="2"/>
        <v>0.14000000000000001</v>
      </c>
      <c r="H562" s="295">
        <f t="shared" si="10"/>
        <v>0.85954069999999994</v>
      </c>
      <c r="I562" s="295">
        <f>VLOOKUP($B562,'Mother mortality'!$A$23:$I$124,4)</f>
        <v>4.593E-4</v>
      </c>
      <c r="J562" s="295">
        <f t="shared" si="11"/>
        <v>0.42811212857142855</v>
      </c>
      <c r="K562" s="295">
        <f t="shared" si="3"/>
        <v>0.5714285714285714</v>
      </c>
      <c r="L562" s="295">
        <f>VLOOKUP($B562,'Mother mortality'!$A$23:$I$124,4)</f>
        <v>4.593E-4</v>
      </c>
      <c r="M562" s="295">
        <f t="shared" si="4"/>
        <v>8.6261668788331098E-3</v>
      </c>
      <c r="N562" s="295">
        <f t="shared" si="12"/>
        <v>0.99091453312116684</v>
      </c>
      <c r="O562" s="294"/>
      <c r="P562" s="296">
        <f t="shared" si="20"/>
        <v>688.36581957536191</v>
      </c>
      <c r="Q562" s="297">
        <f t="shared" si="21"/>
        <v>189.01337238275144</v>
      </c>
      <c r="R562" s="297">
        <f t="shared" si="22"/>
        <v>26.91759397947018</v>
      </c>
      <c r="S562" s="297">
        <f t="shared" si="23"/>
        <v>93.070272836416493</v>
      </c>
      <c r="T562" s="297">
        <f t="shared" si="24"/>
        <v>2.6329412259999518</v>
      </c>
      <c r="U562" s="294">
        <f t="shared" si="13"/>
        <v>1000</v>
      </c>
      <c r="V562" s="295" t="str">
        <f t="shared" si="5"/>
        <v>OKAY</v>
      </c>
      <c r="W562" s="295"/>
      <c r="X562" s="296">
        <f>SUM($P562:$Q562)-(SUM($P562:$Q562)*(VLOOKUP($B562,Lifetime_morbidity_array!$A$6:$Y$24,4)+VLOOKUP($B562,Lifetime_morbidity_array!$A$6:$Y$24,7)+VLOOKUP($B562,Lifetime_morbidity_array!$A$6:$Y$24,10)+VLOOKUP($B562,Lifetime_morbidity_array!$A$6:$Y$24,13)))</f>
        <v>875.2878122821993</v>
      </c>
      <c r="Y562" s="297">
        <f>SUM($R562:$S562)-(SUM($R562:$S562)*(VLOOKUP($B562,Lifetime_morbidity_array!$A$6:$Y$24,3)+VLOOKUP($B562,Lifetime_morbidity_array!$A$6:$Y$24,6)+VLOOKUP($B562,Lifetime_morbidity_array!$A$6:$Y$24,9)+VLOOKUP($B562,Lifetime_morbidity_array!$A$6:$Y$24,12)))</f>
        <v>119.70185571793144</v>
      </c>
      <c r="Z562" s="297">
        <f>(SUM($P562:$Q562)*VLOOKUP($B562,Lifetime_morbidity_array!$A$6:$Y$24,4))+(SUM($R562:$S562)*VLOOKUP($B562,Lifetime_morbidity_array!$A$6:$Y$24,3))</f>
        <v>0.99399856045977331</v>
      </c>
      <c r="AA562" s="297">
        <f>(SUM($P562:$Q562)*VLOOKUP($B562,Lifetime_morbidity_array!$A$6:$Y$24,7))+(SUM($R562:$S562)*VLOOKUP($B562,Lifetime_morbidity_array!$A$6:$Y$24,6))</f>
        <v>0.36438564817691982</v>
      </c>
      <c r="AB562" s="297">
        <f>(SUM($P562:$Q562)*VLOOKUP($B562,Lifetime_morbidity_array!$A$6:$Y$24,10))+(SUM($R562:$S562)*VLOOKUP($B562,Lifetime_morbidity_array!$A$6:$Y$24,9))</f>
        <v>1.9939899059690569E-2</v>
      </c>
      <c r="AC562" s="297">
        <f>(SUM($P562:$Q562)*VLOOKUP($B562,Lifetime_morbidity_array!$A$6:$Y$24,13))+(SUM($R562:$S562)*VLOOKUP($B562,Lifetime_morbidity_array!$A$6:$Y$24,12))</f>
        <v>0.99906666617285778</v>
      </c>
      <c r="AD562" s="294"/>
      <c r="AE562" s="294">
        <f t="shared" si="25"/>
        <v>34</v>
      </c>
      <c r="AF562" s="297">
        <f t="shared" si="26"/>
        <v>783.92149268017147</v>
      </c>
      <c r="AG562" s="297">
        <f t="shared" si="27"/>
        <v>6814.7616454227309</v>
      </c>
      <c r="AH562" s="294"/>
      <c r="AI562" s="294">
        <f t="shared" si="28"/>
        <v>34</v>
      </c>
      <c r="AJ562" s="295">
        <f>((VLOOKUP($B562,'Mahawesran Tariff'!$A$21:$M$120,7)*$X562)+(VLOOKUP($B562,'Mahawesran Tariff'!$A$21:$M$120,6)*$Y562)+(DET_UTIL_chd*$Z562)+(DET_UTIL_copd*$AA562)+(DET_UTIL_lc*$AB562)+(DET_UTIL_stroke*$AC562))/((1+Discount_rate_QALYs)^$A562)</f>
        <v>761.78461368488229</v>
      </c>
      <c r="AK562" s="295">
        <f t="shared" si="29"/>
        <v>6614.0896914081432</v>
      </c>
      <c r="AL562" s="294"/>
      <c r="AM562" s="294">
        <f t="shared" si="14"/>
        <v>34</v>
      </c>
      <c r="AN562" s="299">
        <f t="shared" si="15"/>
        <v>18887.469583235441</v>
      </c>
      <c r="AO562" s="299">
        <f t="shared" si="30"/>
        <v>3251888.6142173694</v>
      </c>
      <c r="AP562" s="294"/>
      <c r="AQ562" s="294">
        <f t="shared" si="16"/>
        <v>34</v>
      </c>
      <c r="AR562" s="298">
        <f t="shared" si="6"/>
        <v>0.997367058774</v>
      </c>
      <c r="AS562" s="298">
        <f t="shared" si="7"/>
        <v>2.632941225999952E-3</v>
      </c>
      <c r="AT562" s="298">
        <f t="shared" si="8"/>
        <v>2.3773907738692418E-3</v>
      </c>
      <c r="AU562" s="250"/>
      <c r="AV562" s="294">
        <f t="shared" si="17"/>
        <v>34</v>
      </c>
      <c r="AW562" s="299">
        <f t="shared" si="18"/>
        <v>18887.469583235441</v>
      </c>
      <c r="AX562" s="299">
        <f t="shared" si="31"/>
        <v>3248848.6142173694</v>
      </c>
      <c r="AY562" s="335"/>
      <c r="AZ562" s="335"/>
      <c r="BA562" s="335"/>
      <c r="BB562" s="335"/>
      <c r="BC562" s="335"/>
      <c r="BD562" s="335"/>
      <c r="BE562" s="335"/>
      <c r="BF562" s="335"/>
      <c r="BG562" s="335"/>
      <c r="BH562" s="335"/>
      <c r="BI562" s="335"/>
      <c r="BJ562" s="335"/>
      <c r="BK562" s="364"/>
      <c r="BL562" s="364"/>
      <c r="BM562" s="364"/>
      <c r="BN562" s="364"/>
      <c r="BO562" s="364"/>
      <c r="BP562" s="364"/>
      <c r="BQ562" s="335"/>
      <c r="BR562" s="335"/>
      <c r="BS562" s="364"/>
      <c r="BT562" s="364"/>
      <c r="BU562" s="364"/>
      <c r="BV562" s="364"/>
      <c r="BW562" s="364"/>
      <c r="BX562" s="364"/>
      <c r="BY562" s="335"/>
      <c r="BZ562" s="335"/>
      <c r="CA562" s="364"/>
      <c r="CB562" s="364"/>
      <c r="CC562" s="335"/>
      <c r="CD562" s="335"/>
      <c r="CE562" s="335"/>
      <c r="CF562" s="335"/>
      <c r="CG562" s="335"/>
      <c r="CH562" s="335"/>
      <c r="CI562" s="365"/>
      <c r="CJ562" s="365"/>
      <c r="CK562" s="335"/>
      <c r="CL562" s="335"/>
      <c r="CM562" s="366"/>
      <c r="CN562" s="366"/>
      <c r="CO562" s="366"/>
      <c r="CP562" s="3"/>
    </row>
    <row r="563" spans="1:94" x14ac:dyDescent="0.25">
      <c r="A563" s="34">
        <v>8</v>
      </c>
      <c r="B563" s="33">
        <f t="shared" si="19"/>
        <v>35</v>
      </c>
      <c r="C563" s="294">
        <f>VLOOKUP($B563,'Mother mortality'!$A$23:$I$124,5)</f>
        <v>7.0370672097759665E-4</v>
      </c>
      <c r="D563" s="295">
        <f t="shared" si="1"/>
        <v>0.27</v>
      </c>
      <c r="E563" s="295">
        <f t="shared" si="9"/>
        <v>0.72929629327902235</v>
      </c>
      <c r="F563" s="295">
        <f>VLOOKUP($B563,'Mother mortality'!$A$23:$I$124,5)</f>
        <v>7.0370672097759665E-4</v>
      </c>
      <c r="G563" s="295">
        <f t="shared" si="2"/>
        <v>0.14000000000000001</v>
      </c>
      <c r="H563" s="295">
        <f t="shared" si="10"/>
        <v>0.85929629327902235</v>
      </c>
      <c r="I563" s="295">
        <f>VLOOKUP($B563,'Mother mortality'!$A$23:$I$124,4)</f>
        <v>5.0264765784114045E-4</v>
      </c>
      <c r="J563" s="295">
        <f t="shared" si="11"/>
        <v>0.42806878091358747</v>
      </c>
      <c r="K563" s="295">
        <f t="shared" si="3"/>
        <v>0.5714285714285714</v>
      </c>
      <c r="L563" s="295">
        <f>VLOOKUP($B563,'Mother mortality'!$A$23:$I$124,4)</f>
        <v>5.0264765784114045E-4</v>
      </c>
      <c r="M563" s="295">
        <f t="shared" si="4"/>
        <v>8.6261668788331098E-3</v>
      </c>
      <c r="N563" s="295">
        <f t="shared" si="12"/>
        <v>0.99087118546332575</v>
      </c>
      <c r="O563" s="294"/>
      <c r="P563" s="296">
        <f t="shared" si="20"/>
        <v>676.76655224981766</v>
      </c>
      <c r="Q563" s="297">
        <f t="shared" si="21"/>
        <v>185.85877128534773</v>
      </c>
      <c r="R563" s="297">
        <f t="shared" si="22"/>
        <v>26.461872133585203</v>
      </c>
      <c r="S563" s="297">
        <f t="shared" si="23"/>
        <v>107.60213385079813</v>
      </c>
      <c r="T563" s="297">
        <f t="shared" si="24"/>
        <v>3.3106704804511291</v>
      </c>
      <c r="U563" s="294">
        <f t="shared" si="13"/>
        <v>999.99999999999989</v>
      </c>
      <c r="V563" s="295" t="str">
        <f t="shared" si="5"/>
        <v>OKAY</v>
      </c>
      <c r="W563" s="295"/>
      <c r="X563" s="296">
        <f>SUM($P563:$Q563)-(SUM($P563:$Q563)*(VLOOKUP($B563,Lifetime_morbidity_array!$A$6:$Y$24,4)+VLOOKUP($B563,Lifetime_morbidity_array!$A$6:$Y$24,7)+VLOOKUP($B563,Lifetime_morbidity_array!$A$6:$Y$24,10)+VLOOKUP($B563,Lifetime_morbidity_array!$A$6:$Y$24,13)))</f>
        <v>847.5080155211848</v>
      </c>
      <c r="Y563" s="297">
        <f>SUM($R563:$S563)-(SUM($R563:$S563)*(VLOOKUP($B563,Lifetime_morbidity_array!$A$6:$Y$24,3)+VLOOKUP($B563,Lifetime_morbidity_array!$A$6:$Y$24,6)+VLOOKUP($B563,Lifetime_morbidity_array!$A$6:$Y$24,9)+VLOOKUP($B563,Lifetime_morbidity_array!$A$6:$Y$24,12)))</f>
        <v>133.10588177944848</v>
      </c>
      <c r="Z563" s="297">
        <f>(SUM($P563:$Q563)*VLOOKUP($B563,Lifetime_morbidity_array!$A$6:$Y$24,4))+(SUM($R563:$S563)*VLOOKUP($B563,Lifetime_morbidity_array!$A$6:$Y$24,3))</f>
        <v>6.8165025893504643</v>
      </c>
      <c r="AA563" s="297">
        <f>(SUM($P563:$Q563)*VLOOKUP($B563,Lifetime_morbidity_array!$A$6:$Y$24,7))+(SUM($R563:$S563)*VLOOKUP($B563,Lifetime_morbidity_array!$A$6:$Y$24,6))</f>
        <v>2.2201814276607084</v>
      </c>
      <c r="AB563" s="297">
        <f>(SUM($P563:$Q563)*VLOOKUP($B563,Lifetime_morbidity_array!$A$6:$Y$24,10))+(SUM($R563:$S563)*VLOOKUP($B563,Lifetime_morbidity_array!$A$6:$Y$24,9))</f>
        <v>6.3383236361869211E-2</v>
      </c>
      <c r="AC563" s="297">
        <f>(SUM($P563:$Q563)*VLOOKUP($B563,Lifetime_morbidity_array!$A$6:$Y$24,13))+(SUM($R563:$S563)*VLOOKUP($B563,Lifetime_morbidity_array!$A$6:$Y$24,12))</f>
        <v>6.975364965542445</v>
      </c>
      <c r="AD563" s="294"/>
      <c r="AE563" s="294">
        <f t="shared" si="25"/>
        <v>35</v>
      </c>
      <c r="AF563" s="297">
        <f t="shared" si="26"/>
        <v>756.89739479457194</v>
      </c>
      <c r="AG563" s="297">
        <f t="shared" si="27"/>
        <v>7571.6590402173024</v>
      </c>
      <c r="AH563" s="294"/>
      <c r="AI563" s="294">
        <f t="shared" si="28"/>
        <v>35</v>
      </c>
      <c r="AJ563" s="295">
        <f>((VLOOKUP($B563,'Mahawesran Tariff'!$A$21:$M$120,7)*$X563)+(VLOOKUP($B563,'Mahawesran Tariff'!$A$21:$M$120,6)*$Y563)+(DET_UTIL_chd*$Z563)+(DET_UTIL_copd*$AA563)+(DET_UTIL_lc*$AB563)+(DET_UTIL_stroke*$AC563))/((1+Discount_rate_QALYs)^$A563)</f>
        <v>723.46535967522107</v>
      </c>
      <c r="AK563" s="295">
        <f t="shared" si="29"/>
        <v>7337.5550510833646</v>
      </c>
      <c r="AL563" s="294"/>
      <c r="AM563" s="294">
        <f t="shared" si="14"/>
        <v>35</v>
      </c>
      <c r="AN563" s="299">
        <f t="shared" si="15"/>
        <v>126480.494707288</v>
      </c>
      <c r="AO563" s="299">
        <f t="shared" si="30"/>
        <v>3378369.1089246576</v>
      </c>
      <c r="AP563" s="294"/>
      <c r="AQ563" s="294">
        <f t="shared" si="16"/>
        <v>35</v>
      </c>
      <c r="AR563" s="298">
        <f t="shared" si="6"/>
        <v>0.99668932951954881</v>
      </c>
      <c r="AS563" s="298">
        <f t="shared" si="7"/>
        <v>3.3106704804511289E-3</v>
      </c>
      <c r="AT563" s="298">
        <f t="shared" si="8"/>
        <v>1.6075432218915487E-2</v>
      </c>
      <c r="AU563" s="250"/>
      <c r="AV563" s="294">
        <f t="shared" si="17"/>
        <v>35</v>
      </c>
      <c r="AW563" s="299">
        <f t="shared" si="18"/>
        <v>126480.494707288</v>
      </c>
      <c r="AX563" s="299">
        <f t="shared" si="31"/>
        <v>3375329.1089246576</v>
      </c>
      <c r="AY563" s="335"/>
      <c r="AZ563" s="335"/>
      <c r="BA563" s="335"/>
      <c r="BB563" s="335"/>
      <c r="BC563" s="335"/>
      <c r="BD563" s="335"/>
      <c r="BE563" s="335"/>
      <c r="BF563" s="335"/>
      <c r="BG563" s="335"/>
      <c r="BH563" s="335"/>
      <c r="BI563" s="335"/>
      <c r="BJ563" s="335"/>
      <c r="BK563" s="364"/>
      <c r="BL563" s="364"/>
      <c r="BM563" s="364"/>
      <c r="BN563" s="364"/>
      <c r="BO563" s="364"/>
      <c r="BP563" s="364"/>
      <c r="BQ563" s="335"/>
      <c r="BR563" s="335"/>
      <c r="BS563" s="364"/>
      <c r="BT563" s="364"/>
      <c r="BU563" s="364"/>
      <c r="BV563" s="364"/>
      <c r="BW563" s="364"/>
      <c r="BX563" s="364"/>
      <c r="BY563" s="335"/>
      <c r="BZ563" s="335"/>
      <c r="CA563" s="364"/>
      <c r="CB563" s="364"/>
      <c r="CC563" s="335"/>
      <c r="CD563" s="335"/>
      <c r="CE563" s="335"/>
      <c r="CF563" s="335"/>
      <c r="CG563" s="335"/>
      <c r="CH563" s="335"/>
      <c r="CI563" s="365"/>
      <c r="CJ563" s="365"/>
      <c r="CK563" s="335"/>
      <c r="CL563" s="335"/>
      <c r="CM563" s="366"/>
      <c r="CN563" s="366"/>
      <c r="CO563" s="366"/>
      <c r="CP563" s="3"/>
    </row>
    <row r="564" spans="1:94" x14ac:dyDescent="0.25">
      <c r="A564" s="34">
        <v>9</v>
      </c>
      <c r="B564" s="33">
        <f t="shared" si="19"/>
        <v>36</v>
      </c>
      <c r="C564" s="294">
        <f>VLOOKUP($B564,'Mother mortality'!$A$23:$I$124,5)</f>
        <v>7.6187372708757617E-4</v>
      </c>
      <c r="D564" s="295">
        <f t="shared" si="1"/>
        <v>0.27</v>
      </c>
      <c r="E564" s="295">
        <f t="shared" si="9"/>
        <v>0.7292381262729124</v>
      </c>
      <c r="F564" s="295">
        <f>VLOOKUP($B564,'Mother mortality'!$A$23:$I$124,5)</f>
        <v>7.6187372708757617E-4</v>
      </c>
      <c r="G564" s="295">
        <f t="shared" si="2"/>
        <v>0.14000000000000001</v>
      </c>
      <c r="H564" s="295">
        <f t="shared" si="10"/>
        <v>0.85923812627291241</v>
      </c>
      <c r="I564" s="295">
        <f>VLOOKUP($B564,'Mother mortality'!$A$23:$I$124,4)</f>
        <v>5.4419551934826874E-4</v>
      </c>
      <c r="J564" s="295">
        <f t="shared" si="11"/>
        <v>0.42802723305208035</v>
      </c>
      <c r="K564" s="295">
        <f t="shared" si="3"/>
        <v>0.5714285714285714</v>
      </c>
      <c r="L564" s="295">
        <f>VLOOKUP($B564,'Mother mortality'!$A$23:$I$124,4)</f>
        <v>5.4419551934826874E-4</v>
      </c>
      <c r="M564" s="295">
        <f t="shared" si="4"/>
        <v>8.6261668788331098E-3</v>
      </c>
      <c r="N564" s="295">
        <f t="shared" si="12"/>
        <v>0.99082963760181864</v>
      </c>
      <c r="O564" s="294"/>
      <c r="P564" s="296">
        <f t="shared" si="20"/>
        <v>665.47551075127603</v>
      </c>
      <c r="Q564" s="297">
        <f t="shared" si="21"/>
        <v>182.72696910745077</v>
      </c>
      <c r="R564" s="297">
        <f t="shared" si="22"/>
        <v>26.020227979948686</v>
      </c>
      <c r="S564" s="297">
        <f t="shared" si="23"/>
        <v>121.73645307918881</v>
      </c>
      <c r="T564" s="297">
        <f t="shared" si="24"/>
        <v>4.0408390821355722</v>
      </c>
      <c r="U564" s="294">
        <f t="shared" si="13"/>
        <v>999.99999999999977</v>
      </c>
      <c r="V564" s="295" t="str">
        <f t="shared" si="5"/>
        <v>OKAY</v>
      </c>
      <c r="W564" s="295"/>
      <c r="X564" s="296">
        <f>SUM($P564:$Q564)-(SUM($P564:$Q564)*(VLOOKUP($B564,Lifetime_morbidity_array!$A$6:$Y$24,4)+VLOOKUP($B564,Lifetime_morbidity_array!$A$6:$Y$24,7)+VLOOKUP($B564,Lifetime_morbidity_array!$A$6:$Y$24,10)+VLOOKUP($B564,Lifetime_morbidity_array!$A$6:$Y$24,13)))</f>
        <v>833.33792882317641</v>
      </c>
      <c r="Y564" s="297">
        <f>SUM($R564:$S564)-(SUM($R564:$S564)*(VLOOKUP($B564,Lifetime_morbidity_array!$A$6:$Y$24,3)+VLOOKUP($B564,Lifetime_morbidity_array!$A$6:$Y$24,6)+VLOOKUP($B564,Lifetime_morbidity_array!$A$6:$Y$24,9)+VLOOKUP($B564,Lifetime_morbidity_array!$A$6:$Y$24,12)))</f>
        <v>146.70069849674792</v>
      </c>
      <c r="Z564" s="297">
        <f>(SUM($P564:$Q564)*VLOOKUP($B564,Lifetime_morbidity_array!$A$6:$Y$24,4))+(SUM($R564:$S564)*VLOOKUP($B564,Lifetime_morbidity_array!$A$6:$Y$24,3))</f>
        <v>6.7552466899681365</v>
      </c>
      <c r="AA564" s="297">
        <f>(SUM($P564:$Q564)*VLOOKUP($B564,Lifetime_morbidity_array!$A$6:$Y$24,7))+(SUM($R564:$S564)*VLOOKUP($B564,Lifetime_morbidity_array!$A$6:$Y$24,6))</f>
        <v>2.1943549384590222</v>
      </c>
      <c r="AB564" s="297">
        <f>(SUM($P564:$Q564)*VLOOKUP($B564,Lifetime_morbidity_array!$A$6:$Y$24,10))+(SUM($R564:$S564)*VLOOKUP($B564,Lifetime_morbidity_array!$A$6:$Y$24,9))</f>
        <v>6.2548931462317575E-2</v>
      </c>
      <c r="AC564" s="297">
        <f>(SUM($P564:$Q564)*VLOOKUP($B564,Lifetime_morbidity_array!$A$6:$Y$24,13))+(SUM($R564:$S564)*VLOOKUP($B564,Lifetime_morbidity_array!$A$6:$Y$24,12))</f>
        <v>6.9083830380504105</v>
      </c>
      <c r="AD564" s="294"/>
      <c r="AE564" s="294">
        <f t="shared" si="25"/>
        <v>36</v>
      </c>
      <c r="AF564" s="297">
        <f t="shared" si="26"/>
        <v>730.76608340141684</v>
      </c>
      <c r="AG564" s="297">
        <f t="shared" si="27"/>
        <v>8302.4251236187192</v>
      </c>
      <c r="AH564" s="294"/>
      <c r="AI564" s="294">
        <f t="shared" si="28"/>
        <v>36</v>
      </c>
      <c r="AJ564" s="295">
        <f>((VLOOKUP($B564,'Mahawesran Tariff'!$A$21:$M$120,7)*$X564)+(VLOOKUP($B564,'Mahawesran Tariff'!$A$21:$M$120,6)*$Y564)+(DET_UTIL_chd*$Z564)+(DET_UTIL_copd*$AA564)+(DET_UTIL_lc*$AB564)+(DET_UTIL_stroke*$AC564))/((1+Discount_rate_QALYs)^$A564)</f>
        <v>698.67993323125381</v>
      </c>
      <c r="AK564" s="295">
        <f t="shared" si="29"/>
        <v>8036.2349843146185</v>
      </c>
      <c r="AL564" s="294"/>
      <c r="AM564" s="294">
        <f t="shared" si="14"/>
        <v>36</v>
      </c>
      <c r="AN564" s="299">
        <f t="shared" si="15"/>
        <v>121031.19622933926</v>
      </c>
      <c r="AO564" s="299">
        <f t="shared" si="30"/>
        <v>3499400.3051539967</v>
      </c>
      <c r="AP564" s="294"/>
      <c r="AQ564" s="294">
        <f t="shared" si="16"/>
        <v>36</v>
      </c>
      <c r="AR564" s="298">
        <f t="shared" si="6"/>
        <v>0.99595916091786418</v>
      </c>
      <c r="AS564" s="298">
        <f t="shared" si="7"/>
        <v>4.0408390821355718E-3</v>
      </c>
      <c r="AT564" s="298">
        <f t="shared" si="8"/>
        <v>1.5920533597939886E-2</v>
      </c>
      <c r="AU564" s="250"/>
      <c r="AV564" s="294">
        <f t="shared" si="17"/>
        <v>36</v>
      </c>
      <c r="AW564" s="299">
        <f t="shared" si="18"/>
        <v>121031.19622933926</v>
      </c>
      <c r="AX564" s="299">
        <f t="shared" si="31"/>
        <v>3496360.3051539967</v>
      </c>
      <c r="AY564" s="335"/>
      <c r="AZ564" s="335"/>
      <c r="BA564" s="335"/>
      <c r="BB564" s="335"/>
      <c r="BC564" s="335"/>
      <c r="BD564" s="335"/>
      <c r="BE564" s="335"/>
      <c r="BF564" s="335"/>
      <c r="BG564" s="335"/>
      <c r="BH564" s="335"/>
      <c r="BI564" s="335"/>
      <c r="BJ564" s="335"/>
      <c r="BK564" s="364"/>
      <c r="BL564" s="364"/>
      <c r="BM564" s="364"/>
      <c r="BN564" s="364"/>
      <c r="BO564" s="364"/>
      <c r="BP564" s="364"/>
      <c r="BQ564" s="335"/>
      <c r="BR564" s="335"/>
      <c r="BS564" s="364"/>
      <c r="BT564" s="364"/>
      <c r="BU564" s="364"/>
      <c r="BV564" s="364"/>
      <c r="BW564" s="364"/>
      <c r="BX564" s="364"/>
      <c r="BY564" s="335"/>
      <c r="BZ564" s="335"/>
      <c r="CA564" s="364"/>
      <c r="CB564" s="364"/>
      <c r="CC564" s="335"/>
      <c r="CD564" s="335"/>
      <c r="CE564" s="335"/>
      <c r="CF564" s="335"/>
      <c r="CG564" s="335"/>
      <c r="CH564" s="335"/>
      <c r="CI564" s="365"/>
      <c r="CJ564" s="365"/>
      <c r="CK564" s="335"/>
      <c r="CL564" s="335"/>
      <c r="CM564" s="366"/>
      <c r="CN564" s="366"/>
      <c r="CO564" s="366"/>
      <c r="CP564" s="3"/>
    </row>
    <row r="565" spans="1:94" x14ac:dyDescent="0.25">
      <c r="A565" s="34">
        <v>10</v>
      </c>
      <c r="B565" s="33">
        <f t="shared" si="19"/>
        <v>37</v>
      </c>
      <c r="C565" s="294">
        <f>VLOOKUP($B565,'Mother mortality'!$A$23:$I$124,5)</f>
        <v>8.2916496945010154E-4</v>
      </c>
      <c r="D565" s="295">
        <f t="shared" si="1"/>
        <v>0.27</v>
      </c>
      <c r="E565" s="295">
        <f t="shared" si="9"/>
        <v>0.72917083503054991</v>
      </c>
      <c r="F565" s="295">
        <f>VLOOKUP($B565,'Mother mortality'!$A$23:$I$124,5)</f>
        <v>8.2916496945010154E-4</v>
      </c>
      <c r="G565" s="295">
        <f t="shared" si="2"/>
        <v>0.14000000000000001</v>
      </c>
      <c r="H565" s="295">
        <f t="shared" si="10"/>
        <v>0.85917083503054992</v>
      </c>
      <c r="I565" s="295">
        <f>VLOOKUP($B565,'Mother mortality'!$A$23:$I$124,4)</f>
        <v>5.9226069246435837E-4</v>
      </c>
      <c r="J565" s="295">
        <f t="shared" si="11"/>
        <v>0.42797916787896428</v>
      </c>
      <c r="K565" s="295">
        <f t="shared" si="3"/>
        <v>0.5714285714285714</v>
      </c>
      <c r="L565" s="295">
        <f>VLOOKUP($B565,'Mother mortality'!$A$23:$I$124,4)</f>
        <v>5.9226069246435837E-4</v>
      </c>
      <c r="M565" s="295">
        <f t="shared" si="4"/>
        <v>8.6261668788331098E-3</v>
      </c>
      <c r="N565" s="295">
        <f t="shared" si="12"/>
        <v>0.99078157242870257</v>
      </c>
      <c r="O565" s="294"/>
      <c r="P565" s="296">
        <f t="shared" si="20"/>
        <v>654.42525097591727</v>
      </c>
      <c r="Q565" s="297">
        <f t="shared" si="21"/>
        <v>179.67838790284455</v>
      </c>
      <c r="R565" s="297">
        <f t="shared" si="22"/>
        <v>25.581775675043112</v>
      </c>
      <c r="S565" s="297">
        <f t="shared" si="23"/>
        <v>135.48293610651947</v>
      </c>
      <c r="T565" s="297">
        <f t="shared" si="24"/>
        <v>4.8316493396754536</v>
      </c>
      <c r="U565" s="294">
        <f t="shared" si="13"/>
        <v>999.99999999999977</v>
      </c>
      <c r="V565" s="295" t="str">
        <f t="shared" si="5"/>
        <v>OKAY</v>
      </c>
      <c r="W565" s="295"/>
      <c r="X565" s="296">
        <f>SUM($P565:$Q565)-(SUM($P565:$Q565)*(VLOOKUP($B565,Lifetime_morbidity_array!$A$6:$Y$24,4)+VLOOKUP($B565,Lifetime_morbidity_array!$A$6:$Y$24,7)+VLOOKUP($B565,Lifetime_morbidity_array!$A$6:$Y$24,10)+VLOOKUP($B565,Lifetime_morbidity_array!$A$6:$Y$24,13)))</f>
        <v>819.48616674979951</v>
      </c>
      <c r="Y565" s="297">
        <f>SUM($R565:$S565)-(SUM($R565:$S565)*(VLOOKUP($B565,Lifetime_morbidity_array!$A$6:$Y$24,3)+VLOOKUP($B565,Lifetime_morbidity_array!$A$6:$Y$24,6)+VLOOKUP($B565,Lifetime_morbidity_array!$A$6:$Y$24,9)+VLOOKUP($B565,Lifetime_morbidity_array!$A$6:$Y$24,12)))</f>
        <v>159.91361982525666</v>
      </c>
      <c r="Z565" s="297">
        <f>(SUM($P565:$Q565)*VLOOKUP($B565,Lifetime_morbidity_array!$A$6:$Y$24,4))+(SUM($R565:$S565)*VLOOKUP($B565,Lifetime_morbidity_array!$A$6:$Y$24,3))</f>
        <v>6.6951119952767604</v>
      </c>
      <c r="AA565" s="297">
        <f>(SUM($P565:$Q565)*VLOOKUP($B565,Lifetime_morbidity_array!$A$6:$Y$24,7))+(SUM($R565:$S565)*VLOOKUP($B565,Lifetime_morbidity_array!$A$6:$Y$24,6))</f>
        <v>2.1690540198317056</v>
      </c>
      <c r="AB565" s="297">
        <f>(SUM($P565:$Q565)*VLOOKUP($B565,Lifetime_morbidity_array!$A$6:$Y$24,10))+(SUM($R565:$S565)*VLOOKUP($B565,Lifetime_morbidity_array!$A$6:$Y$24,9))</f>
        <v>6.1732278784572249E-2</v>
      </c>
      <c r="AC565" s="297">
        <f>(SUM($P565:$Q565)*VLOOKUP($B565,Lifetime_morbidity_array!$A$6:$Y$24,13))+(SUM($R565:$S565)*VLOOKUP($B565,Lifetime_morbidity_array!$A$6:$Y$24,12))</f>
        <v>6.8426657913751097</v>
      </c>
      <c r="AD565" s="294"/>
      <c r="AE565" s="294">
        <f t="shared" si="25"/>
        <v>37</v>
      </c>
      <c r="AF565" s="297">
        <f t="shared" si="26"/>
        <v>705.49356659162765</v>
      </c>
      <c r="AG565" s="297">
        <f t="shared" si="27"/>
        <v>9007.9186902103465</v>
      </c>
      <c r="AH565" s="294"/>
      <c r="AI565" s="294">
        <f t="shared" si="28"/>
        <v>37</v>
      </c>
      <c r="AJ565" s="295">
        <f>((VLOOKUP($B565,'Mahawesran Tariff'!$A$21:$M$120,7)*$X565)+(VLOOKUP($B565,'Mahawesran Tariff'!$A$21:$M$120,6)*$Y565)+(DET_UTIL_chd*$Z565)+(DET_UTIL_copd*$AA565)+(DET_UTIL_lc*$AB565)+(DET_UTIL_stroke*$AC565))/((1+Discount_rate_QALYs)^$A565)</f>
        <v>674.69734985091259</v>
      </c>
      <c r="AK565" s="295">
        <f t="shared" si="29"/>
        <v>8710.9323341655308</v>
      </c>
      <c r="AL565" s="294"/>
      <c r="AM565" s="294">
        <f t="shared" si="14"/>
        <v>37</v>
      </c>
      <c r="AN565" s="299">
        <f t="shared" si="15"/>
        <v>115827.18538937387</v>
      </c>
      <c r="AO565" s="299">
        <f t="shared" si="30"/>
        <v>3615227.4905433706</v>
      </c>
      <c r="AP565" s="294"/>
      <c r="AQ565" s="294">
        <f t="shared" si="16"/>
        <v>37</v>
      </c>
      <c r="AR565" s="298">
        <f t="shared" si="6"/>
        <v>0.99516835066032439</v>
      </c>
      <c r="AS565" s="298">
        <f t="shared" si="7"/>
        <v>4.8316493396754539E-3</v>
      </c>
      <c r="AT565" s="298">
        <f t="shared" si="8"/>
        <v>1.5768564085268149E-2</v>
      </c>
      <c r="AU565" s="250"/>
      <c r="AV565" s="294">
        <f t="shared" si="17"/>
        <v>37</v>
      </c>
      <c r="AW565" s="299">
        <f t="shared" si="18"/>
        <v>115827.18538937387</v>
      </c>
      <c r="AX565" s="299">
        <f t="shared" si="31"/>
        <v>3612187.4905433706</v>
      </c>
      <c r="AY565" s="335"/>
      <c r="AZ565" s="335"/>
      <c r="BA565" s="335"/>
      <c r="BB565" s="335"/>
      <c r="BC565" s="335"/>
      <c r="BD565" s="335"/>
      <c r="BE565" s="335"/>
      <c r="BF565" s="335"/>
      <c r="BG565" s="335"/>
      <c r="BH565" s="335"/>
      <c r="BI565" s="335"/>
      <c r="BJ565" s="335"/>
      <c r="BK565" s="364"/>
      <c r="BL565" s="364"/>
      <c r="BM565" s="364"/>
      <c r="BN565" s="364"/>
      <c r="BO565" s="364"/>
      <c r="BP565" s="364"/>
      <c r="BQ565" s="335"/>
      <c r="BR565" s="335"/>
      <c r="BS565" s="364"/>
      <c r="BT565" s="364"/>
      <c r="BU565" s="364"/>
      <c r="BV565" s="364"/>
      <c r="BW565" s="364"/>
      <c r="BX565" s="364"/>
      <c r="BY565" s="335"/>
      <c r="BZ565" s="335"/>
      <c r="CA565" s="364"/>
      <c r="CB565" s="364"/>
      <c r="CC565" s="335"/>
      <c r="CD565" s="335"/>
      <c r="CE565" s="335"/>
      <c r="CF565" s="335"/>
      <c r="CG565" s="335"/>
      <c r="CH565" s="335"/>
      <c r="CI565" s="365"/>
      <c r="CJ565" s="365"/>
      <c r="CK565" s="335"/>
      <c r="CL565" s="335"/>
      <c r="CM565" s="366"/>
      <c r="CN565" s="366"/>
      <c r="CO565" s="366"/>
      <c r="CP565" s="3"/>
    </row>
    <row r="566" spans="1:94" x14ac:dyDescent="0.25">
      <c r="A566" s="34">
        <v>11</v>
      </c>
      <c r="B566" s="33">
        <f t="shared" si="19"/>
        <v>38</v>
      </c>
      <c r="C566" s="294">
        <f>VLOOKUP($B566,'Mother mortality'!$A$23:$I$124,5)</f>
        <v>9.0230142566191445E-4</v>
      </c>
      <c r="D566" s="295">
        <f t="shared" si="1"/>
        <v>0.27</v>
      </c>
      <c r="E566" s="295">
        <f t="shared" si="9"/>
        <v>0.72909769857433804</v>
      </c>
      <c r="F566" s="295">
        <f>VLOOKUP($B566,'Mother mortality'!$A$23:$I$124,5)</f>
        <v>9.0230142566191445E-4</v>
      </c>
      <c r="G566" s="295">
        <f t="shared" si="2"/>
        <v>0.14000000000000001</v>
      </c>
      <c r="H566" s="295">
        <f t="shared" si="10"/>
        <v>0.85909769857433804</v>
      </c>
      <c r="I566" s="295">
        <f>VLOOKUP($B566,'Mother mortality'!$A$23:$I$124,4)</f>
        <v>6.4450101832993893E-4</v>
      </c>
      <c r="J566" s="295">
        <f t="shared" si="11"/>
        <v>0.42792692755309869</v>
      </c>
      <c r="K566" s="295">
        <f t="shared" si="3"/>
        <v>0.5714285714285714</v>
      </c>
      <c r="L566" s="295">
        <f>VLOOKUP($B566,'Mother mortality'!$A$23:$I$124,4)</f>
        <v>6.4450101832993893E-4</v>
      </c>
      <c r="M566" s="295">
        <f t="shared" si="4"/>
        <v>8.6261668788331098E-3</v>
      </c>
      <c r="N566" s="295">
        <f t="shared" si="12"/>
        <v>0.99072933210283698</v>
      </c>
      <c r="O566" s="294"/>
      <c r="P566" s="296">
        <f t="shared" si="20"/>
        <v>643.61706298841864</v>
      </c>
      <c r="Q566" s="297">
        <f t="shared" si="21"/>
        <v>176.69481776349767</v>
      </c>
      <c r="R566" s="297">
        <f t="shared" si="22"/>
        <v>25.154974306398238</v>
      </c>
      <c r="S566" s="297">
        <f t="shared" si="23"/>
        <v>148.84507632873945</v>
      </c>
      <c r="T566" s="297">
        <f t="shared" si="24"/>
        <v>5.6880686129457869</v>
      </c>
      <c r="U566" s="294">
        <f t="shared" si="13"/>
        <v>999.99999999999977</v>
      </c>
      <c r="V566" s="295" t="str">
        <f t="shared" si="5"/>
        <v>OKAY</v>
      </c>
      <c r="W566" s="295"/>
      <c r="X566" s="296">
        <f>SUM($P566:$Q566)-(SUM($P566:$Q566)*(VLOOKUP($B566,Lifetime_morbidity_array!$A$6:$Y$24,4)+VLOOKUP($B566,Lifetime_morbidity_array!$A$6:$Y$24,7)+VLOOKUP($B566,Lifetime_morbidity_array!$A$6:$Y$24,10)+VLOOKUP($B566,Lifetime_morbidity_array!$A$6:$Y$24,13)))</f>
        <v>805.93610597401653</v>
      </c>
      <c r="Y566" s="297">
        <f>SUM($R566:$S566)-(SUM($R566:$S566)*(VLOOKUP($B566,Lifetime_morbidity_array!$A$6:$Y$24,3)+VLOOKUP($B566,Lifetime_morbidity_array!$A$6:$Y$24,6)+VLOOKUP($B566,Lifetime_morbidity_array!$A$6:$Y$24,9)+VLOOKUP($B566,Lifetime_morbidity_array!$A$6:$Y$24,12)))</f>
        <v>172.75651282684009</v>
      </c>
      <c r="Z566" s="297">
        <f>(SUM($P566:$Q566)*VLOOKUP($B566,Lifetime_morbidity_array!$A$6:$Y$24,4))+(SUM($R566:$S566)*VLOOKUP($B566,Lifetime_morbidity_array!$A$6:$Y$24,3))</f>
        <v>6.636013044836667</v>
      </c>
      <c r="AA566" s="297">
        <f>(SUM($P566:$Q566)*VLOOKUP($B566,Lifetime_morbidity_array!$A$6:$Y$24,7))+(SUM($R566:$S566)*VLOOKUP($B566,Lifetime_morbidity_array!$A$6:$Y$24,6))</f>
        <v>2.1442454602409593</v>
      </c>
      <c r="AB566" s="297">
        <f>(SUM($P566:$Q566)*VLOOKUP($B566,Lifetime_morbidity_array!$A$6:$Y$24,10))+(SUM($R566:$S566)*VLOOKUP($B566,Lifetime_morbidity_array!$A$6:$Y$24,9))</f>
        <v>6.0932241420885422E-2</v>
      </c>
      <c r="AC566" s="297">
        <f>(SUM($P566:$Q566)*VLOOKUP($B566,Lifetime_morbidity_array!$A$6:$Y$24,13))+(SUM($R566:$S566)*VLOOKUP($B566,Lifetime_morbidity_array!$A$6:$Y$24,12))</f>
        <v>6.7781218396988638</v>
      </c>
      <c r="AD566" s="294"/>
      <c r="AE566" s="294">
        <f t="shared" si="25"/>
        <v>38</v>
      </c>
      <c r="AF566" s="297">
        <f t="shared" si="26"/>
        <v>681.04969551341321</v>
      </c>
      <c r="AG566" s="297">
        <f t="shared" si="27"/>
        <v>9688.9683857237596</v>
      </c>
      <c r="AH566" s="294"/>
      <c r="AI566" s="294">
        <f t="shared" si="28"/>
        <v>38</v>
      </c>
      <c r="AJ566" s="295">
        <f>((VLOOKUP($B566,'Mahawesran Tariff'!$A$21:$M$120,7)*$X566)+(VLOOKUP($B566,'Mahawesran Tariff'!$A$21:$M$120,6)*$Y566)+(DET_UTIL_chd*$Z566)+(DET_UTIL_copd*$AA566)+(DET_UTIL_lc*$AB566)+(DET_UTIL_stroke*$AC566))/((1+Discount_rate_QALYs)^$A566)</f>
        <v>651.49012652862962</v>
      </c>
      <c r="AK566" s="295">
        <f t="shared" si="29"/>
        <v>9362.4224606941607</v>
      </c>
      <c r="AL566" s="294"/>
      <c r="AM566" s="294">
        <f t="shared" si="14"/>
        <v>38</v>
      </c>
      <c r="AN566" s="299">
        <f t="shared" si="15"/>
        <v>110855.88802164627</v>
      </c>
      <c r="AO566" s="299">
        <f t="shared" si="30"/>
        <v>3726083.3785650167</v>
      </c>
      <c r="AP566" s="294"/>
      <c r="AQ566" s="294">
        <f t="shared" si="16"/>
        <v>38</v>
      </c>
      <c r="AR566" s="298">
        <f t="shared" si="6"/>
        <v>0.99431193138705398</v>
      </c>
      <c r="AS566" s="298">
        <f t="shared" si="7"/>
        <v>5.6880686129457871E-3</v>
      </c>
      <c r="AT566" s="298">
        <f t="shared" si="8"/>
        <v>1.5619312586197375E-2</v>
      </c>
      <c r="AU566" s="250"/>
      <c r="AV566" s="294">
        <f t="shared" si="17"/>
        <v>38</v>
      </c>
      <c r="AW566" s="299">
        <f t="shared" si="18"/>
        <v>110855.88802164627</v>
      </c>
      <c r="AX566" s="299">
        <f t="shared" si="31"/>
        <v>3723043.3785650167</v>
      </c>
      <c r="AY566" s="335"/>
      <c r="AZ566" s="335"/>
      <c r="BA566" s="335"/>
      <c r="BB566" s="335"/>
      <c r="BC566" s="335"/>
      <c r="BD566" s="335"/>
      <c r="BE566" s="335"/>
      <c r="BF566" s="335"/>
      <c r="BG566" s="335"/>
      <c r="BH566" s="335"/>
      <c r="BI566" s="335"/>
      <c r="BJ566" s="335"/>
      <c r="BK566" s="364"/>
      <c r="BL566" s="364"/>
      <c r="BM566" s="364"/>
      <c r="BN566" s="364"/>
      <c r="BO566" s="364"/>
      <c r="BP566" s="364"/>
      <c r="BQ566" s="335"/>
      <c r="BR566" s="335"/>
      <c r="BS566" s="364"/>
      <c r="BT566" s="364"/>
      <c r="BU566" s="364"/>
      <c r="BV566" s="364"/>
      <c r="BW566" s="364"/>
      <c r="BX566" s="364"/>
      <c r="BY566" s="335"/>
      <c r="BZ566" s="335"/>
      <c r="CA566" s="364"/>
      <c r="CB566" s="364"/>
      <c r="CC566" s="335"/>
      <c r="CD566" s="335"/>
      <c r="CE566" s="335"/>
      <c r="CF566" s="335"/>
      <c r="CG566" s="335"/>
      <c r="CH566" s="335"/>
      <c r="CI566" s="365"/>
      <c r="CJ566" s="365"/>
      <c r="CK566" s="335"/>
      <c r="CL566" s="335"/>
      <c r="CM566" s="366"/>
      <c r="CN566" s="366"/>
      <c r="CO566" s="366"/>
      <c r="CP566" s="3"/>
    </row>
    <row r="567" spans="1:94" x14ac:dyDescent="0.25">
      <c r="A567" s="34">
        <v>12</v>
      </c>
      <c r="B567" s="33">
        <f t="shared" si="19"/>
        <v>39</v>
      </c>
      <c r="C567" s="294">
        <f>VLOOKUP($B567,'Mother mortality'!$A$23:$I$124,5)</f>
        <v>9.7714867617107936E-4</v>
      </c>
      <c r="D567" s="295">
        <f t="shared" si="1"/>
        <v>0.27</v>
      </c>
      <c r="E567" s="295">
        <f t="shared" si="9"/>
        <v>0.72902285132382894</v>
      </c>
      <c r="F567" s="295">
        <f>VLOOKUP($B567,'Mother mortality'!$A$23:$I$124,5)</f>
        <v>9.7714867617107936E-4</v>
      </c>
      <c r="G567" s="295">
        <f t="shared" si="2"/>
        <v>0.14000000000000001</v>
      </c>
      <c r="H567" s="295">
        <f t="shared" si="10"/>
        <v>0.85902285132382894</v>
      </c>
      <c r="I567" s="295">
        <f>VLOOKUP($B567,'Mother mortality'!$A$23:$I$124,4)</f>
        <v>6.9796334012219962E-4</v>
      </c>
      <c r="J567" s="295">
        <f t="shared" si="11"/>
        <v>0.42787346523130643</v>
      </c>
      <c r="K567" s="295">
        <f t="shared" si="3"/>
        <v>0.5714285714285714</v>
      </c>
      <c r="L567" s="295">
        <f>VLOOKUP($B567,'Mother mortality'!$A$23:$I$124,4)</f>
        <v>6.9796334012219962E-4</v>
      </c>
      <c r="M567" s="295">
        <f t="shared" si="4"/>
        <v>8.6261668788331098E-3</v>
      </c>
      <c r="N567" s="295">
        <f t="shared" si="12"/>
        <v>0.99067586978104472</v>
      </c>
      <c r="O567" s="294"/>
      <c r="P567" s="296">
        <f t="shared" si="20"/>
        <v>633.04354108161692</v>
      </c>
      <c r="Q567" s="297">
        <f t="shared" si="21"/>
        <v>173.77660700687304</v>
      </c>
      <c r="R567" s="297">
        <f t="shared" si="22"/>
        <v>24.737274486889675</v>
      </c>
      <c r="S567" s="297">
        <f t="shared" si="23"/>
        <v>161.83149648682752</v>
      </c>
      <c r="T567" s="297">
        <f t="shared" si="24"/>
        <v>6.6110809377926634</v>
      </c>
      <c r="U567" s="294">
        <f t="shared" si="13"/>
        <v>999.99999999999977</v>
      </c>
      <c r="V567" s="295" t="str">
        <f t="shared" si="5"/>
        <v>OKAY</v>
      </c>
      <c r="W567" s="295"/>
      <c r="X567" s="296">
        <f>SUM($P567:$Q567)-(SUM($P567:$Q567)*(VLOOKUP($B567,Lifetime_morbidity_array!$A$6:$Y$24,4)+VLOOKUP($B567,Lifetime_morbidity_array!$A$6:$Y$24,7)+VLOOKUP($B567,Lifetime_morbidity_array!$A$6:$Y$24,10)+VLOOKUP($B567,Lifetime_morbidity_array!$A$6:$Y$24,13)))</f>
        <v>792.68081278523891</v>
      </c>
      <c r="Y567" s="297">
        <f>SUM($R567:$S567)-(SUM($R567:$S567)*(VLOOKUP($B567,Lifetime_morbidity_array!$A$6:$Y$24,3)+VLOOKUP($B567,Lifetime_morbidity_array!$A$6:$Y$24,6)+VLOOKUP($B567,Lifetime_morbidity_array!$A$6:$Y$24,9)+VLOOKUP($B567,Lifetime_morbidity_array!$A$6:$Y$24,12)))</f>
        <v>185.23540745050806</v>
      </c>
      <c r="Z567" s="297">
        <f>(SUM($P567:$Q567)*VLOOKUP($B567,Lifetime_morbidity_array!$A$6:$Y$24,4))+(SUM($R567:$S567)*VLOOKUP($B567,Lifetime_morbidity_array!$A$6:$Y$24,3))</f>
        <v>6.5779177914599956</v>
      </c>
      <c r="AA567" s="297">
        <f>(SUM($P567:$Q567)*VLOOKUP($B567,Lifetime_morbidity_array!$A$6:$Y$24,7))+(SUM($R567:$S567)*VLOOKUP($B567,Lifetime_morbidity_array!$A$6:$Y$24,6))</f>
        <v>2.1199161780164286</v>
      </c>
      <c r="AB567" s="297">
        <f>(SUM($P567:$Q567)*VLOOKUP($B567,Lifetime_morbidity_array!$A$6:$Y$24,10))+(SUM($R567:$S567)*VLOOKUP($B567,Lifetime_morbidity_array!$A$6:$Y$24,9))</f>
        <v>6.0148402261416226E-2</v>
      </c>
      <c r="AC567" s="297">
        <f>(SUM($P567:$Q567)*VLOOKUP($B567,Lifetime_morbidity_array!$A$6:$Y$24,13))+(SUM($R567:$S567)*VLOOKUP($B567,Lifetime_morbidity_array!$A$6:$Y$24,12))</f>
        <v>6.7147164547223825</v>
      </c>
      <c r="AD567" s="294"/>
      <c r="AE567" s="294">
        <f t="shared" si="25"/>
        <v>39</v>
      </c>
      <c r="AF567" s="297">
        <f t="shared" si="26"/>
        <v>657.40819534086006</v>
      </c>
      <c r="AG567" s="297">
        <f t="shared" si="27"/>
        <v>10346.37658106462</v>
      </c>
      <c r="AH567" s="294"/>
      <c r="AI567" s="294">
        <f t="shared" si="28"/>
        <v>39</v>
      </c>
      <c r="AJ567" s="295">
        <f>((VLOOKUP($B567,'Mahawesran Tariff'!$A$21:$M$120,7)*$X567)+(VLOOKUP($B567,'Mahawesran Tariff'!$A$21:$M$120,6)*$Y567)+(DET_UTIL_chd*$Z567)+(DET_UTIL_copd*$AA567)+(DET_UTIL_lc*$AB567)+(DET_UTIL_stroke*$AC567))/((1+Discount_rate_QALYs)^$A567)</f>
        <v>629.03431627134739</v>
      </c>
      <c r="AK567" s="295">
        <f t="shared" si="29"/>
        <v>9991.4567769655077</v>
      </c>
      <c r="AL567" s="294"/>
      <c r="AM567" s="294">
        <f t="shared" si="14"/>
        <v>39</v>
      </c>
      <c r="AN567" s="299">
        <f t="shared" si="15"/>
        <v>106106.3200601483</v>
      </c>
      <c r="AO567" s="299">
        <f t="shared" si="30"/>
        <v>3832189.698625165</v>
      </c>
      <c r="AP567" s="294"/>
      <c r="AQ567" s="294">
        <f t="shared" si="16"/>
        <v>39</v>
      </c>
      <c r="AR567" s="298">
        <f t="shared" si="6"/>
        <v>0.99338891906220717</v>
      </c>
      <c r="AS567" s="298">
        <f t="shared" si="7"/>
        <v>6.6110809377926631E-3</v>
      </c>
      <c r="AT567" s="298">
        <f t="shared" si="8"/>
        <v>1.5472698826460225E-2</v>
      </c>
      <c r="AU567" s="250"/>
      <c r="AV567" s="294">
        <f t="shared" si="17"/>
        <v>39</v>
      </c>
      <c r="AW567" s="299">
        <f t="shared" si="18"/>
        <v>106106.3200601483</v>
      </c>
      <c r="AX567" s="299">
        <f t="shared" si="31"/>
        <v>3829149.698625165</v>
      </c>
      <c r="AY567" s="335"/>
      <c r="AZ567" s="335"/>
      <c r="BA567" s="335"/>
      <c r="BB567" s="335"/>
      <c r="BC567" s="335"/>
      <c r="BD567" s="335"/>
      <c r="BE567" s="335"/>
      <c r="BF567" s="335"/>
      <c r="BG567" s="335"/>
      <c r="BH567" s="335"/>
      <c r="BI567" s="335"/>
      <c r="BJ567" s="335"/>
      <c r="BK567" s="364"/>
      <c r="BL567" s="364"/>
      <c r="BM567" s="364"/>
      <c r="BN567" s="364"/>
      <c r="BO567" s="364"/>
      <c r="BP567" s="364"/>
      <c r="BQ567" s="335"/>
      <c r="BR567" s="335"/>
      <c r="BS567" s="364"/>
      <c r="BT567" s="364"/>
      <c r="BU567" s="364"/>
      <c r="BV567" s="364"/>
      <c r="BW567" s="364"/>
      <c r="BX567" s="364"/>
      <c r="BY567" s="335"/>
      <c r="BZ567" s="335"/>
      <c r="CA567" s="364"/>
      <c r="CB567" s="364"/>
      <c r="CC567" s="335"/>
      <c r="CD567" s="335"/>
      <c r="CE567" s="335"/>
      <c r="CF567" s="335"/>
      <c r="CG567" s="335"/>
      <c r="CH567" s="335"/>
      <c r="CI567" s="365"/>
      <c r="CJ567" s="365"/>
      <c r="CK567" s="335"/>
      <c r="CL567" s="335"/>
      <c r="CM567" s="366"/>
      <c r="CN567" s="366"/>
      <c r="CO567" s="366"/>
      <c r="CP567" s="3"/>
    </row>
    <row r="568" spans="1:94" x14ac:dyDescent="0.25">
      <c r="A568" s="34">
        <v>13</v>
      </c>
      <c r="B568" s="33">
        <f t="shared" si="19"/>
        <v>40</v>
      </c>
      <c r="C568" s="294">
        <f>VLOOKUP($B568,'Mother mortality'!$A$23:$I$124,5)</f>
        <v>1.0535641547861506E-3</v>
      </c>
      <c r="D568" s="295">
        <f t="shared" si="1"/>
        <v>0.27</v>
      </c>
      <c r="E568" s="295">
        <f t="shared" si="9"/>
        <v>0.72894643584521379</v>
      </c>
      <c r="F568" s="295">
        <f>VLOOKUP($B568,'Mother mortality'!$A$23:$I$124,5)</f>
        <v>1.0535641547861506E-3</v>
      </c>
      <c r="G568" s="295">
        <f t="shared" si="2"/>
        <v>0.14000000000000001</v>
      </c>
      <c r="H568" s="295">
        <f t="shared" si="10"/>
        <v>0.8589464358452138</v>
      </c>
      <c r="I568" s="295">
        <f>VLOOKUP($B568,'Mother mortality'!$A$23:$I$124,4)</f>
        <v>7.5254582484725048E-4</v>
      </c>
      <c r="J568" s="295">
        <f t="shared" si="11"/>
        <v>0.42781888274658131</v>
      </c>
      <c r="K568" s="295">
        <f t="shared" si="3"/>
        <v>0.5714285714285714</v>
      </c>
      <c r="L568" s="295">
        <f>VLOOKUP($B568,'Mother mortality'!$A$23:$I$124,4)</f>
        <v>7.5254582484725048E-4</v>
      </c>
      <c r="M568" s="295">
        <f t="shared" si="4"/>
        <v>8.6261668788331098E-3</v>
      </c>
      <c r="N568" s="295">
        <f t="shared" si="12"/>
        <v>0.9906212872963196</v>
      </c>
      <c r="O568" s="294"/>
      <c r="P568" s="296">
        <f t="shared" si="20"/>
        <v>622.69868885622918</v>
      </c>
      <c r="Q568" s="297">
        <f t="shared" si="21"/>
        <v>170.92175609203659</v>
      </c>
      <c r="R568" s="297">
        <f t="shared" si="22"/>
        <v>24.328724980962228</v>
      </c>
      <c r="S568" s="297">
        <f t="shared" si="23"/>
        <v>174.44931079595071</v>
      </c>
      <c r="T568" s="297">
        <f t="shared" si="24"/>
        <v>7.6015192748211042</v>
      </c>
      <c r="U568" s="294">
        <f t="shared" si="13"/>
        <v>999.99999999999989</v>
      </c>
      <c r="V568" s="295" t="str">
        <f t="shared" si="5"/>
        <v>OKAY</v>
      </c>
      <c r="W568" s="295"/>
      <c r="X568" s="296">
        <f>SUM($P568:$Q568)-(SUM($P568:$Q568)*(VLOOKUP($B568,Lifetime_morbidity_array!$A$6:$Y$24,4)+VLOOKUP($B568,Lifetime_morbidity_array!$A$6:$Y$24,7)+VLOOKUP($B568,Lifetime_morbidity_array!$A$6:$Y$24,10)+VLOOKUP($B568,Lifetime_morbidity_array!$A$6:$Y$24,13)))</f>
        <v>776.49645998955225</v>
      </c>
      <c r="Y568" s="297">
        <f>SUM($R568:$S568)-(SUM($R568:$S568)*(VLOOKUP($B568,Lifetime_morbidity_array!$A$6:$Y$24,3)+VLOOKUP($B568,Lifetime_morbidity_array!$A$6:$Y$24,6)+VLOOKUP($B568,Lifetime_morbidity_array!$A$6:$Y$24,9)+VLOOKUP($B568,Lifetime_morbidity_array!$A$6:$Y$24,12)))</f>
        <v>197.12557008543155</v>
      </c>
      <c r="Z568" s="297">
        <f>(SUM($P568:$Q568)*VLOOKUP($B568,Lifetime_morbidity_array!$A$6:$Y$24,4))+(SUM($R568:$S568)*VLOOKUP($B568,Lifetime_morbidity_array!$A$6:$Y$24,3))</f>
        <v>6.5243733648248314</v>
      </c>
      <c r="AA568" s="297">
        <f>(SUM($P568:$Q568)*VLOOKUP($B568,Lifetime_morbidity_array!$A$6:$Y$24,7))+(SUM($R568:$S568)*VLOOKUP($B568,Lifetime_morbidity_array!$A$6:$Y$24,6))</f>
        <v>5.5416352064107866</v>
      </c>
      <c r="AB568" s="297">
        <f>(SUM($P568:$Q568)*VLOOKUP($B568,Lifetime_morbidity_array!$A$6:$Y$24,10))+(SUM($R568:$S568)*VLOOKUP($B568,Lifetime_morbidity_array!$A$6:$Y$24,9))</f>
        <v>5.9400366044844569E-2</v>
      </c>
      <c r="AC568" s="297">
        <f>(SUM($P568:$Q568)*VLOOKUP($B568,Lifetime_morbidity_array!$A$6:$Y$24,13))+(SUM($R568:$S568)*VLOOKUP($B568,Lifetime_morbidity_array!$A$6:$Y$24,12))</f>
        <v>6.6510417129144876</v>
      </c>
      <c r="AD568" s="294"/>
      <c r="AE568" s="294">
        <f t="shared" si="25"/>
        <v>40</v>
      </c>
      <c r="AF568" s="297">
        <f t="shared" si="26"/>
        <v>634.54370994341014</v>
      </c>
      <c r="AG568" s="297">
        <f t="shared" si="27"/>
        <v>10980.920291008029</v>
      </c>
      <c r="AH568" s="294"/>
      <c r="AI568" s="294">
        <f t="shared" si="28"/>
        <v>40</v>
      </c>
      <c r="AJ568" s="295">
        <f>((VLOOKUP($B568,'Mahawesran Tariff'!$A$21:$M$120,7)*$X568)+(VLOOKUP($B568,'Mahawesran Tariff'!$A$21:$M$120,6)*$Y568)+(DET_UTIL_chd*$Z568)+(DET_UTIL_copd*$AA568)+(DET_UTIL_lc*$AB568)+(DET_UTIL_stroke*$AC568))/((1+Discount_rate_QALYs)^$A568)</f>
        <v>606.8031348798005</v>
      </c>
      <c r="AK568" s="295">
        <f t="shared" si="29"/>
        <v>10598.259911845309</v>
      </c>
      <c r="AL568" s="294"/>
      <c r="AM568" s="294">
        <f t="shared" si="14"/>
        <v>40</v>
      </c>
      <c r="AN568" s="299">
        <f t="shared" si="15"/>
        <v>103411.95165624749</v>
      </c>
      <c r="AO568" s="299">
        <f t="shared" si="30"/>
        <v>3935601.6502814125</v>
      </c>
      <c r="AP568" s="294"/>
      <c r="AQ568" s="294">
        <f t="shared" si="16"/>
        <v>40</v>
      </c>
      <c r="AR568" s="298">
        <f t="shared" si="6"/>
        <v>0.99239848072517878</v>
      </c>
      <c r="AS568" s="298">
        <f t="shared" si="7"/>
        <v>7.6015192748211044E-3</v>
      </c>
      <c r="AT568" s="298">
        <f t="shared" si="8"/>
        <v>1.877645065019495E-2</v>
      </c>
      <c r="AU568" s="250"/>
      <c r="AV568" s="294">
        <f t="shared" si="17"/>
        <v>40</v>
      </c>
      <c r="AW568" s="299">
        <f t="shared" si="18"/>
        <v>103411.95165624749</v>
      </c>
      <c r="AX568" s="299">
        <f t="shared" si="31"/>
        <v>3932561.6502814125</v>
      </c>
      <c r="AY568" s="335"/>
      <c r="AZ568" s="335"/>
      <c r="BA568" s="335"/>
      <c r="BB568" s="335"/>
      <c r="BC568" s="335"/>
      <c r="BD568" s="335"/>
      <c r="BE568" s="335"/>
      <c r="BF568" s="335"/>
      <c r="BG568" s="335"/>
      <c r="BH568" s="335"/>
      <c r="BI568" s="335"/>
      <c r="BJ568" s="335"/>
      <c r="BK568" s="364"/>
      <c r="BL568" s="364"/>
      <c r="BM568" s="364"/>
      <c r="BN568" s="364"/>
      <c r="BO568" s="364"/>
      <c r="BP568" s="364"/>
      <c r="BQ568" s="335"/>
      <c r="BR568" s="335"/>
      <c r="BS568" s="364"/>
      <c r="BT568" s="364"/>
      <c r="BU568" s="364"/>
      <c r="BV568" s="364"/>
      <c r="BW568" s="364"/>
      <c r="BX568" s="364"/>
      <c r="BY568" s="335"/>
      <c r="BZ568" s="335"/>
      <c r="CA568" s="364"/>
      <c r="CB568" s="364"/>
      <c r="CC568" s="335"/>
      <c r="CD568" s="335"/>
      <c r="CE568" s="335"/>
      <c r="CF568" s="335"/>
      <c r="CG568" s="335"/>
      <c r="CH568" s="335"/>
      <c r="CI568" s="365"/>
      <c r="CJ568" s="365"/>
      <c r="CK568" s="335"/>
      <c r="CL568" s="335"/>
      <c r="CM568" s="366"/>
      <c r="CN568" s="366"/>
      <c r="CO568" s="366"/>
      <c r="CP568" s="3"/>
    </row>
    <row r="569" spans="1:94" x14ac:dyDescent="0.25">
      <c r="A569" s="34">
        <v>14</v>
      </c>
      <c r="B569" s="33">
        <f t="shared" si="19"/>
        <v>41</v>
      </c>
      <c r="C569" s="294">
        <f>VLOOKUP($B569,'Mother mortality'!$A$23:$I$124,5)</f>
        <v>1.1221384928716902E-3</v>
      </c>
      <c r="D569" s="295">
        <f t="shared" si="1"/>
        <v>0.27</v>
      </c>
      <c r="E569" s="295">
        <f t="shared" si="9"/>
        <v>0.7288778615071283</v>
      </c>
      <c r="F569" s="295">
        <f>VLOOKUP($B569,'Mother mortality'!$A$23:$I$124,5)</f>
        <v>1.1221384928716902E-3</v>
      </c>
      <c r="G569" s="295">
        <f t="shared" si="2"/>
        <v>0.14000000000000001</v>
      </c>
      <c r="H569" s="295">
        <f t="shared" si="10"/>
        <v>0.8588778615071283</v>
      </c>
      <c r="I569" s="295">
        <f>VLOOKUP($B569,'Mother mortality'!$A$23:$I$124,4)</f>
        <v>8.0152749490835021E-4</v>
      </c>
      <c r="J569" s="295">
        <f t="shared" si="11"/>
        <v>0.42776990107652024</v>
      </c>
      <c r="K569" s="295">
        <f t="shared" si="3"/>
        <v>0.5714285714285714</v>
      </c>
      <c r="L569" s="295">
        <f>VLOOKUP($B569,'Mother mortality'!$A$23:$I$124,4)</f>
        <v>8.0152749490835021E-4</v>
      </c>
      <c r="M569" s="295">
        <f t="shared" si="4"/>
        <v>8.6261668788331098E-3</v>
      </c>
      <c r="N569" s="295">
        <f t="shared" si="12"/>
        <v>0.99057230562625853</v>
      </c>
      <c r="O569" s="294"/>
      <c r="P569" s="296">
        <f t="shared" si="20"/>
        <v>612.58412619943977</v>
      </c>
      <c r="Q569" s="297">
        <f t="shared" si="21"/>
        <v>168.12864599118188</v>
      </c>
      <c r="R569" s="297">
        <f t="shared" si="22"/>
        <v>23.929045852885125</v>
      </c>
      <c r="S569" s="297">
        <f t="shared" si="23"/>
        <v>186.70678457060649</v>
      </c>
      <c r="T569" s="297">
        <f t="shared" si="24"/>
        <v>8.6513973858865825</v>
      </c>
      <c r="U569" s="294">
        <f t="shared" si="13"/>
        <v>999.99999999999977</v>
      </c>
      <c r="V569" s="295" t="str">
        <f t="shared" si="5"/>
        <v>OKAY</v>
      </c>
      <c r="W569" s="295"/>
      <c r="X569" s="296">
        <f>SUM($P569:$Q569)-(SUM($P569:$Q569)*(VLOOKUP($B569,Lifetime_morbidity_array!$A$6:$Y$24,4)+VLOOKUP($B569,Lifetime_morbidity_array!$A$6:$Y$24,7)+VLOOKUP($B569,Lifetime_morbidity_array!$A$6:$Y$24,10)+VLOOKUP($B569,Lifetime_morbidity_array!$A$6:$Y$24,13)))</f>
        <v>763.86729668256658</v>
      </c>
      <c r="Y569" s="297">
        <f>SUM($R569:$S569)-(SUM($R569:$S569)*(VLOOKUP($B569,Lifetime_morbidity_array!$A$6:$Y$24,3)+VLOOKUP($B569,Lifetime_morbidity_array!$A$6:$Y$24,6)+VLOOKUP($B569,Lifetime_morbidity_array!$A$6:$Y$24,9)+VLOOKUP($B569,Lifetime_morbidity_array!$A$6:$Y$24,12)))</f>
        <v>208.8847894605849</v>
      </c>
      <c r="Z569" s="297">
        <f>(SUM($P569:$Q569)*VLOOKUP($B569,Lifetime_morbidity_array!$A$6:$Y$24,4))+(SUM($R569:$S569)*VLOOKUP($B569,Lifetime_morbidity_array!$A$6:$Y$24,3))</f>
        <v>6.46821033782326</v>
      </c>
      <c r="AA569" s="297">
        <f>(SUM($P569:$Q569)*VLOOKUP($B569,Lifetime_morbidity_array!$A$6:$Y$24,7))+(SUM($R569:$S569)*VLOOKUP($B569,Lifetime_morbidity_array!$A$6:$Y$24,6))</f>
        <v>5.4797842835960395</v>
      </c>
      <c r="AB569" s="297">
        <f>(SUM($P569:$Q569)*VLOOKUP($B569,Lifetime_morbidity_array!$A$6:$Y$24,10))+(SUM($R569:$S569)*VLOOKUP($B569,Lifetime_morbidity_array!$A$6:$Y$24,9))</f>
        <v>5.8647844851250103E-2</v>
      </c>
      <c r="AC569" s="297">
        <f>(SUM($P569:$Q569)*VLOOKUP($B569,Lifetime_morbidity_array!$A$6:$Y$24,13))+(SUM($R569:$S569)*VLOOKUP($B569,Lifetime_morbidity_array!$A$6:$Y$24,12))</f>
        <v>6.5898740046912287</v>
      </c>
      <c r="AD569" s="294"/>
      <c r="AE569" s="294">
        <f t="shared" si="25"/>
        <v>41</v>
      </c>
      <c r="AF569" s="297">
        <f t="shared" si="26"/>
        <v>612.43711451122499</v>
      </c>
      <c r="AG569" s="297">
        <f t="shared" si="27"/>
        <v>11593.357405519255</v>
      </c>
      <c r="AH569" s="294"/>
      <c r="AI569" s="294">
        <f t="shared" si="28"/>
        <v>41</v>
      </c>
      <c r="AJ569" s="295">
        <f>((VLOOKUP($B569,'Mahawesran Tariff'!$A$21:$M$120,7)*$X569)+(VLOOKUP($B569,'Mahawesran Tariff'!$A$21:$M$120,6)*$Y569)+(DET_UTIL_chd*$Z569)+(DET_UTIL_copd*$AA569)+(DET_UTIL_lc*$AB569)+(DET_UTIL_stroke*$AC569))/((1+Discount_rate_QALYs)^$A569)</f>
        <v>585.80894823480037</v>
      </c>
      <c r="AK569" s="295">
        <f t="shared" si="29"/>
        <v>11184.06886008011</v>
      </c>
      <c r="AL569" s="294"/>
      <c r="AM569" s="294">
        <f t="shared" si="14"/>
        <v>41</v>
      </c>
      <c r="AN569" s="299">
        <f t="shared" si="15"/>
        <v>98993.510738531753</v>
      </c>
      <c r="AO569" s="299">
        <f t="shared" si="30"/>
        <v>4034595.1610199441</v>
      </c>
      <c r="AP569" s="294"/>
      <c r="AQ569" s="294">
        <f t="shared" si="16"/>
        <v>41</v>
      </c>
      <c r="AR569" s="298">
        <f t="shared" si="6"/>
        <v>0.99134860261411328</v>
      </c>
      <c r="AS569" s="298">
        <f t="shared" si="7"/>
        <v>8.651397385886583E-3</v>
      </c>
      <c r="AT569" s="298">
        <f t="shared" si="8"/>
        <v>1.859651647096178E-2</v>
      </c>
      <c r="AU569" s="250"/>
      <c r="AV569" s="294">
        <f t="shared" si="17"/>
        <v>41</v>
      </c>
      <c r="AW569" s="299">
        <f t="shared" si="18"/>
        <v>98993.510738531753</v>
      </c>
      <c r="AX569" s="299">
        <f t="shared" si="31"/>
        <v>4031555.1610199441</v>
      </c>
      <c r="AY569" s="335"/>
      <c r="AZ569" s="335"/>
      <c r="BA569" s="335"/>
      <c r="BB569" s="335"/>
      <c r="BC569" s="335"/>
      <c r="BD569" s="335"/>
      <c r="BE569" s="335"/>
      <c r="BF569" s="335"/>
      <c r="BG569" s="335"/>
      <c r="BH569" s="335"/>
      <c r="BI569" s="335"/>
      <c r="BJ569" s="335"/>
      <c r="BK569" s="364"/>
      <c r="BL569" s="364"/>
      <c r="BM569" s="364"/>
      <c r="BN569" s="364"/>
      <c r="BO569" s="364"/>
      <c r="BP569" s="364"/>
      <c r="BQ569" s="335"/>
      <c r="BR569" s="335"/>
      <c r="BS569" s="364"/>
      <c r="BT569" s="364"/>
      <c r="BU569" s="364"/>
      <c r="BV569" s="364"/>
      <c r="BW569" s="364"/>
      <c r="BX569" s="364"/>
      <c r="BY569" s="335"/>
      <c r="BZ569" s="335"/>
      <c r="CA569" s="364"/>
      <c r="CB569" s="364"/>
      <c r="CC569" s="335"/>
      <c r="CD569" s="335"/>
      <c r="CE569" s="335"/>
      <c r="CF569" s="335"/>
      <c r="CG569" s="335"/>
      <c r="CH569" s="335"/>
      <c r="CI569" s="365"/>
      <c r="CJ569" s="365"/>
      <c r="CK569" s="335"/>
      <c r="CL569" s="335"/>
      <c r="CM569" s="366"/>
      <c r="CN569" s="366"/>
      <c r="CO569" s="366"/>
      <c r="CP569" s="3"/>
    </row>
    <row r="570" spans="1:94" x14ac:dyDescent="0.25">
      <c r="A570" s="34">
        <v>15</v>
      </c>
      <c r="B570" s="33">
        <f t="shared" si="19"/>
        <v>42</v>
      </c>
      <c r="C570" s="294">
        <f>VLOOKUP($B570,'Mother mortality'!$A$23:$I$124,5)</f>
        <v>1.1838696537678206E-3</v>
      </c>
      <c r="D570" s="295">
        <f t="shared" si="1"/>
        <v>0.27</v>
      </c>
      <c r="E570" s="295">
        <f t="shared" si="9"/>
        <v>0.72881613034623216</v>
      </c>
      <c r="F570" s="295">
        <f>VLOOKUP($B570,'Mother mortality'!$A$23:$I$124,5)</f>
        <v>1.1838696537678206E-3</v>
      </c>
      <c r="G570" s="295">
        <f t="shared" si="2"/>
        <v>0.14000000000000001</v>
      </c>
      <c r="H570" s="295">
        <f t="shared" si="10"/>
        <v>0.85881613034623216</v>
      </c>
      <c r="I570" s="295">
        <f>VLOOKUP($B570,'Mother mortality'!$A$23:$I$124,4)</f>
        <v>8.4562118126272918E-4</v>
      </c>
      <c r="J570" s="295">
        <f t="shared" si="11"/>
        <v>0.42772580739016586</v>
      </c>
      <c r="K570" s="295">
        <f t="shared" si="3"/>
        <v>0.5714285714285714</v>
      </c>
      <c r="L570" s="295">
        <f>VLOOKUP($B570,'Mother mortality'!$A$23:$I$124,4)</f>
        <v>8.4562118126272918E-4</v>
      </c>
      <c r="M570" s="295">
        <f t="shared" si="4"/>
        <v>8.6261668788331098E-3</v>
      </c>
      <c r="N570" s="295">
        <f t="shared" si="12"/>
        <v>0.99052821193990415</v>
      </c>
      <c r="O570" s="294"/>
      <c r="P570" s="296">
        <f t="shared" si="20"/>
        <v>602.69841985732</v>
      </c>
      <c r="Q570" s="297">
        <f t="shared" si="21"/>
        <v>165.39771407384876</v>
      </c>
      <c r="R570" s="297">
        <f t="shared" si="22"/>
        <v>23.538010438765465</v>
      </c>
      <c r="S570" s="297">
        <f t="shared" si="23"/>
        <v>198.61207796513466</v>
      </c>
      <c r="T570" s="297">
        <f t="shared" si="24"/>
        <v>9.7537776649309773</v>
      </c>
      <c r="U570" s="294">
        <f t="shared" si="13"/>
        <v>999.99999999999989</v>
      </c>
      <c r="V570" s="295" t="str">
        <f t="shared" si="5"/>
        <v>OKAY</v>
      </c>
      <c r="W570" s="295"/>
      <c r="X570" s="296">
        <f>SUM($P570:$Q570)-(SUM($P570:$Q570)*(VLOOKUP($B570,Lifetime_morbidity_array!$A$6:$Y$24,4)+VLOOKUP($B570,Lifetime_morbidity_array!$A$6:$Y$24,7)+VLOOKUP($B570,Lifetime_morbidity_array!$A$6:$Y$24,10)+VLOOKUP($B570,Lifetime_morbidity_array!$A$6:$Y$24,13)))</f>
        <v>751.52288820897627</v>
      </c>
      <c r="Y570" s="297">
        <f>SUM($R570:$S570)-(SUM($R570:$S570)*(VLOOKUP($B570,Lifetime_morbidity_array!$A$6:$Y$24,3)+VLOOKUP($B570,Lifetime_morbidity_array!$A$6:$Y$24,6)+VLOOKUP($B570,Lifetime_morbidity_array!$A$6:$Y$24,9)+VLOOKUP($B570,Lifetime_morbidity_array!$A$6:$Y$24,12)))</f>
        <v>220.3033280311445</v>
      </c>
      <c r="Z570" s="297">
        <f>(SUM($P570:$Q570)*VLOOKUP($B570,Lifetime_morbidity_array!$A$6:$Y$24,4))+(SUM($R570:$S570)*VLOOKUP($B570,Lifetime_morbidity_array!$A$6:$Y$24,3))</f>
        <v>6.4130615006280953</v>
      </c>
      <c r="AA570" s="297">
        <f>(SUM($P570:$Q570)*VLOOKUP($B570,Lifetime_morbidity_array!$A$6:$Y$24,7))+(SUM($R570:$S570)*VLOOKUP($B570,Lifetime_morbidity_array!$A$6:$Y$24,6))</f>
        <v>5.419185189440193</v>
      </c>
      <c r="AB570" s="297">
        <f>(SUM($P570:$Q570)*VLOOKUP($B570,Lifetime_morbidity_array!$A$6:$Y$24,10))+(SUM($R570:$S570)*VLOOKUP($B570,Lifetime_morbidity_array!$A$6:$Y$24,9))</f>
        <v>5.7911212943774243E-2</v>
      </c>
      <c r="AC570" s="297">
        <f>(SUM($P570:$Q570)*VLOOKUP($B570,Lifetime_morbidity_array!$A$6:$Y$24,13))+(SUM($R570:$S570)*VLOOKUP($B570,Lifetime_morbidity_array!$A$6:$Y$24,12))</f>
        <v>6.5298481919360816</v>
      </c>
      <c r="AD570" s="294"/>
      <c r="AE570" s="294">
        <f t="shared" si="25"/>
        <v>42</v>
      </c>
      <c r="AF570" s="297">
        <f t="shared" si="26"/>
        <v>591.06868024045536</v>
      </c>
      <c r="AG570" s="297">
        <f t="shared" si="27"/>
        <v>12184.426085759711</v>
      </c>
      <c r="AH570" s="294"/>
      <c r="AI570" s="294">
        <f t="shared" si="28"/>
        <v>42</v>
      </c>
      <c r="AJ570" s="295">
        <f>((VLOOKUP($B570,'Mahawesran Tariff'!$A$21:$M$120,7)*$X570)+(VLOOKUP($B570,'Mahawesran Tariff'!$A$21:$M$120,6)*$Y570)+(DET_UTIL_chd*$Z570)+(DET_UTIL_copd*$AA570)+(DET_UTIL_lc*$AB570)+(DET_UTIL_stroke*$AC570))/((1+Discount_rate_QALYs)^$A570)</f>
        <v>565.50688838027179</v>
      </c>
      <c r="AK570" s="295">
        <f t="shared" si="29"/>
        <v>11749.575748460382</v>
      </c>
      <c r="AL570" s="294"/>
      <c r="AM570" s="294">
        <f t="shared" si="14"/>
        <v>42</v>
      </c>
      <c r="AN570" s="299">
        <f t="shared" si="15"/>
        <v>94772.286195868539</v>
      </c>
      <c r="AO570" s="299">
        <f t="shared" si="30"/>
        <v>4129367.4472158127</v>
      </c>
      <c r="AP570" s="294"/>
      <c r="AQ570" s="294">
        <f t="shared" si="16"/>
        <v>42</v>
      </c>
      <c r="AR570" s="298">
        <f t="shared" si="6"/>
        <v>0.99024622233506887</v>
      </c>
      <c r="AS570" s="298">
        <f t="shared" si="7"/>
        <v>9.7537776649309765E-3</v>
      </c>
      <c r="AT570" s="298">
        <f t="shared" si="8"/>
        <v>1.8420006094948142E-2</v>
      </c>
      <c r="AU570" s="250"/>
      <c r="AV570" s="294">
        <f t="shared" si="17"/>
        <v>42</v>
      </c>
      <c r="AW570" s="299">
        <f t="shared" si="18"/>
        <v>94772.286195868539</v>
      </c>
      <c r="AX570" s="299">
        <f t="shared" si="31"/>
        <v>4126327.4472158127</v>
      </c>
      <c r="AY570" s="335"/>
      <c r="AZ570" s="335"/>
      <c r="BA570" s="335"/>
      <c r="BB570" s="335"/>
      <c r="BC570" s="335"/>
      <c r="BD570" s="335"/>
      <c r="BE570" s="335"/>
      <c r="BF570" s="335"/>
      <c r="BG570" s="335"/>
      <c r="BH570" s="335"/>
      <c r="BI570" s="335"/>
      <c r="BJ570" s="335"/>
      <c r="BK570" s="364"/>
      <c r="BL570" s="364"/>
      <c r="BM570" s="364"/>
      <c r="BN570" s="364"/>
      <c r="BO570" s="364"/>
      <c r="BP570" s="364"/>
      <c r="BQ570" s="335"/>
      <c r="BR570" s="335"/>
      <c r="BS570" s="364"/>
      <c r="BT570" s="364"/>
      <c r="BU570" s="364"/>
      <c r="BV570" s="364"/>
      <c r="BW570" s="364"/>
      <c r="BX570" s="364"/>
      <c r="BY570" s="335"/>
      <c r="BZ570" s="335"/>
      <c r="CA570" s="364"/>
      <c r="CB570" s="364"/>
      <c r="CC570" s="335"/>
      <c r="CD570" s="335"/>
      <c r="CE570" s="335"/>
      <c r="CF570" s="335"/>
      <c r="CG570" s="335"/>
      <c r="CH570" s="335"/>
      <c r="CI570" s="365"/>
      <c r="CJ570" s="365"/>
      <c r="CK570" s="335"/>
      <c r="CL570" s="335"/>
      <c r="CM570" s="366"/>
      <c r="CN570" s="366"/>
      <c r="CO570" s="366"/>
      <c r="CP570" s="3"/>
    </row>
    <row r="571" spans="1:94" x14ac:dyDescent="0.25">
      <c r="A571" s="34">
        <v>16</v>
      </c>
      <c r="B571" s="33">
        <f t="shared" si="19"/>
        <v>43</v>
      </c>
      <c r="C571" s="294">
        <f>VLOOKUP($B571,'Mother mortality'!$A$23:$I$124,5)</f>
        <v>1.2351934826883909E-3</v>
      </c>
      <c r="D571" s="295">
        <f t="shared" si="1"/>
        <v>0.27</v>
      </c>
      <c r="E571" s="295">
        <f t="shared" si="9"/>
        <v>0.72876480651731157</v>
      </c>
      <c r="F571" s="295">
        <f>VLOOKUP($B571,'Mother mortality'!$A$23:$I$124,5)</f>
        <v>1.2351934826883909E-3</v>
      </c>
      <c r="G571" s="295">
        <f t="shared" si="2"/>
        <v>0.14000000000000001</v>
      </c>
      <c r="H571" s="295">
        <f t="shared" si="10"/>
        <v>0.85876480651731157</v>
      </c>
      <c r="I571" s="295">
        <f>VLOOKUP($B571,'Mother mortality'!$A$23:$I$124,4)</f>
        <v>8.8228105906313649E-4</v>
      </c>
      <c r="J571" s="295">
        <f t="shared" si="11"/>
        <v>0.42768914751236542</v>
      </c>
      <c r="K571" s="295">
        <f t="shared" si="3"/>
        <v>0.5714285714285714</v>
      </c>
      <c r="L571" s="295">
        <f>VLOOKUP($B571,'Mother mortality'!$A$23:$I$124,4)</f>
        <v>8.8228105906313649E-4</v>
      </c>
      <c r="M571" s="295">
        <f t="shared" si="4"/>
        <v>8.6261668788331098E-3</v>
      </c>
      <c r="N571" s="295">
        <f t="shared" si="12"/>
        <v>0.99049155206210371</v>
      </c>
      <c r="O571" s="294"/>
      <c r="P571" s="296">
        <f t="shared" si="20"/>
        <v>593.04334580801549</v>
      </c>
      <c r="Q571" s="297">
        <f t="shared" si="21"/>
        <v>162.72857336147641</v>
      </c>
      <c r="R571" s="297">
        <f t="shared" si="22"/>
        <v>23.155679970338827</v>
      </c>
      <c r="S571" s="297">
        <f t="shared" si="23"/>
        <v>210.17387704126031</v>
      </c>
      <c r="T571" s="297">
        <f t="shared" si="24"/>
        <v>10.898523818908869</v>
      </c>
      <c r="U571" s="294">
        <f t="shared" si="13"/>
        <v>999.99999999999989</v>
      </c>
      <c r="V571" s="295" t="str">
        <f t="shared" si="5"/>
        <v>OKAY</v>
      </c>
      <c r="W571" s="295"/>
      <c r="X571" s="296">
        <f>SUM($P571:$Q571)-(SUM($P571:$Q571)*(VLOOKUP($B571,Lifetime_morbidity_array!$A$6:$Y$24,4)+VLOOKUP($B571,Lifetime_morbidity_array!$A$6:$Y$24,7)+VLOOKUP($B571,Lifetime_morbidity_array!$A$6:$Y$24,10)+VLOOKUP($B571,Lifetime_morbidity_array!$A$6:$Y$24,13)))</f>
        <v>739.46459359785774</v>
      </c>
      <c r="Y571" s="297">
        <f>SUM($R571:$S571)-(SUM($R571:$S571)*(VLOOKUP($B571,Lifetime_morbidity_array!$A$6:$Y$24,3)+VLOOKUP($B571,Lifetime_morbidity_array!$A$6:$Y$24,6)+VLOOKUP($B571,Lifetime_morbidity_array!$A$6:$Y$24,9)+VLOOKUP($B571,Lifetime_morbidity_array!$A$6:$Y$24,12)))</f>
        <v>231.38986037326967</v>
      </c>
      <c r="Z571" s="297">
        <f>(SUM($P571:$Q571)*VLOOKUP($B571,Lifetime_morbidity_array!$A$6:$Y$24,4))+(SUM($R571:$S571)*VLOOKUP($B571,Lifetime_morbidity_array!$A$6:$Y$24,3))</f>
        <v>6.3589660746657168</v>
      </c>
      <c r="AA571" s="297">
        <f>(SUM($P571:$Q571)*VLOOKUP($B571,Lifetime_morbidity_array!$A$6:$Y$24,7))+(SUM($R571:$S571)*VLOOKUP($B571,Lifetime_morbidity_array!$A$6:$Y$24,6))</f>
        <v>5.3598633632506303</v>
      </c>
      <c r="AB571" s="297">
        <f>(SUM($P571:$Q571)*VLOOKUP($B571,Lifetime_morbidity_array!$A$6:$Y$24,10))+(SUM($R571:$S571)*VLOOKUP($B571,Lifetime_morbidity_array!$A$6:$Y$24,9))</f>
        <v>5.7190693164000363E-2</v>
      </c>
      <c r="AC571" s="297">
        <f>(SUM($P571:$Q571)*VLOOKUP($B571,Lifetime_morbidity_array!$A$6:$Y$24,13))+(SUM($R571:$S571)*VLOOKUP($B571,Lifetime_morbidity_array!$A$6:$Y$24,12))</f>
        <v>6.4710020788832123</v>
      </c>
      <c r="AD571" s="294"/>
      <c r="AE571" s="294">
        <f t="shared" si="25"/>
        <v>43</v>
      </c>
      <c r="AF571" s="297">
        <f t="shared" si="26"/>
        <v>570.42066859945828</v>
      </c>
      <c r="AG571" s="297">
        <f t="shared" si="27"/>
        <v>12754.846754359169</v>
      </c>
      <c r="AH571" s="294"/>
      <c r="AI571" s="294">
        <f t="shared" si="28"/>
        <v>43</v>
      </c>
      <c r="AJ571" s="295">
        <f>((VLOOKUP($B571,'Mahawesran Tariff'!$A$21:$M$120,7)*$X571)+(VLOOKUP($B571,'Mahawesran Tariff'!$A$21:$M$120,6)*$Y571)+(DET_UTIL_chd*$Z571)+(DET_UTIL_copd*$AA571)+(DET_UTIL_lc*$AB571)+(DET_UTIL_stroke*$AC571))/((1+Discount_rate_QALYs)^$A571)</f>
        <v>545.88096368611082</v>
      </c>
      <c r="AK571" s="295">
        <f t="shared" si="29"/>
        <v>12295.456712146493</v>
      </c>
      <c r="AL571" s="294"/>
      <c r="AM571" s="294">
        <f t="shared" si="14"/>
        <v>43</v>
      </c>
      <c r="AN571" s="299">
        <f t="shared" si="15"/>
        <v>90739.958517772335</v>
      </c>
      <c r="AO571" s="299">
        <f t="shared" si="30"/>
        <v>4220107.4057335854</v>
      </c>
      <c r="AP571" s="294"/>
      <c r="AQ571" s="294">
        <f t="shared" si="16"/>
        <v>43</v>
      </c>
      <c r="AR571" s="298">
        <f t="shared" si="6"/>
        <v>0.98910147618109101</v>
      </c>
      <c r="AS571" s="298">
        <f t="shared" si="7"/>
        <v>1.0898523818908868E-2</v>
      </c>
      <c r="AT571" s="298">
        <f t="shared" si="8"/>
        <v>1.8247022209963562E-2</v>
      </c>
      <c r="AU571" s="250"/>
      <c r="AV571" s="294">
        <f t="shared" si="17"/>
        <v>43</v>
      </c>
      <c r="AW571" s="299">
        <f t="shared" si="18"/>
        <v>90739.958517772335</v>
      </c>
      <c r="AX571" s="299">
        <f t="shared" si="31"/>
        <v>4217067.4057335854</v>
      </c>
      <c r="AY571" s="335"/>
      <c r="AZ571" s="335"/>
      <c r="BA571" s="335"/>
      <c r="BB571" s="335"/>
      <c r="BC571" s="335"/>
      <c r="BD571" s="335"/>
      <c r="BE571" s="335"/>
      <c r="BF571" s="335"/>
      <c r="BG571" s="335"/>
      <c r="BH571" s="335"/>
      <c r="BI571" s="335"/>
      <c r="BJ571" s="335"/>
      <c r="BK571" s="364"/>
      <c r="BL571" s="364"/>
      <c r="BM571" s="364"/>
      <c r="BN571" s="364"/>
      <c r="BO571" s="364"/>
      <c r="BP571" s="364"/>
      <c r="BQ571" s="335"/>
      <c r="BR571" s="335"/>
      <c r="BS571" s="364"/>
      <c r="BT571" s="364"/>
      <c r="BU571" s="364"/>
      <c r="BV571" s="364"/>
      <c r="BW571" s="364"/>
      <c r="BX571" s="364"/>
      <c r="BY571" s="335"/>
      <c r="BZ571" s="335"/>
      <c r="CA571" s="364"/>
      <c r="CB571" s="364"/>
      <c r="CC571" s="335"/>
      <c r="CD571" s="335"/>
      <c r="CE571" s="335"/>
      <c r="CF571" s="335"/>
      <c r="CG571" s="335"/>
      <c r="CH571" s="335"/>
      <c r="CI571" s="365"/>
      <c r="CJ571" s="365"/>
      <c r="CK571" s="335"/>
      <c r="CL571" s="335"/>
      <c r="CM571" s="366"/>
      <c r="CN571" s="366"/>
      <c r="CO571" s="366"/>
      <c r="CP571" s="3"/>
    </row>
    <row r="572" spans="1:94" x14ac:dyDescent="0.25">
      <c r="A572" s="34">
        <v>17</v>
      </c>
      <c r="B572" s="33">
        <f t="shared" si="19"/>
        <v>44</v>
      </c>
      <c r="C572" s="294">
        <f>VLOOKUP($B572,'Mother mortality'!$A$23:$I$124,5)</f>
        <v>1.2819551934826882E-3</v>
      </c>
      <c r="D572" s="295">
        <f t="shared" si="1"/>
        <v>0.27</v>
      </c>
      <c r="E572" s="295">
        <f t="shared" si="9"/>
        <v>0.72871804480651725</v>
      </c>
      <c r="F572" s="295">
        <f>VLOOKUP($B572,'Mother mortality'!$A$23:$I$124,5)</f>
        <v>1.2819551934826882E-3</v>
      </c>
      <c r="G572" s="295">
        <f t="shared" si="2"/>
        <v>0.14000000000000001</v>
      </c>
      <c r="H572" s="295">
        <f t="shared" si="10"/>
        <v>0.85871804480651726</v>
      </c>
      <c r="I572" s="295">
        <f>VLOOKUP($B572,'Mother mortality'!$A$23:$I$124,4)</f>
        <v>9.156822810590632E-4</v>
      </c>
      <c r="J572" s="295">
        <f t="shared" si="11"/>
        <v>0.42765574629036951</v>
      </c>
      <c r="K572" s="295">
        <f t="shared" si="3"/>
        <v>0.5714285714285714</v>
      </c>
      <c r="L572" s="295">
        <f>VLOOKUP($B572,'Mother mortality'!$A$23:$I$124,4)</f>
        <v>9.156822810590632E-4</v>
      </c>
      <c r="M572" s="295">
        <f t="shared" si="4"/>
        <v>8.6261668788331098E-3</v>
      </c>
      <c r="N572" s="295">
        <f t="shared" si="12"/>
        <v>0.9904581508401078</v>
      </c>
      <c r="O572" s="294"/>
      <c r="P572" s="296">
        <f t="shared" si="20"/>
        <v>583.61500432935873</v>
      </c>
      <c r="Q572" s="297">
        <f t="shared" si="21"/>
        <v>160.12170336816419</v>
      </c>
      <c r="R572" s="297">
        <f t="shared" si="22"/>
        <v>22.782000270606698</v>
      </c>
      <c r="S572" s="297">
        <f t="shared" si="23"/>
        <v>221.40024673509078</v>
      </c>
      <c r="T572" s="297">
        <f t="shared" si="24"/>
        <v>12.081045296779459</v>
      </c>
      <c r="U572" s="294">
        <f t="shared" si="13"/>
        <v>999.99999999999989</v>
      </c>
      <c r="V572" s="295" t="str">
        <f t="shared" si="5"/>
        <v>OKAY</v>
      </c>
      <c r="W572" s="295"/>
      <c r="X572" s="296">
        <f>SUM($P572:$Q572)-(SUM($P572:$Q572)*(VLOOKUP($B572,Lifetime_morbidity_array!$A$6:$Y$24,4)+VLOOKUP($B572,Lifetime_morbidity_array!$A$6:$Y$24,7)+VLOOKUP($B572,Lifetime_morbidity_array!$A$6:$Y$24,10)+VLOOKUP($B572,Lifetime_morbidity_array!$A$6:$Y$24,13)))</f>
        <v>727.68906643913044</v>
      </c>
      <c r="Y572" s="297">
        <f>SUM($R572:$S572)-(SUM($R572:$S572)*(VLOOKUP($B572,Lifetime_morbidity_array!$A$6:$Y$24,3)+VLOOKUP($B572,Lifetime_morbidity_array!$A$6:$Y$24,6)+VLOOKUP($B572,Lifetime_morbidity_array!$A$6:$Y$24,9)+VLOOKUP($B572,Lifetime_morbidity_array!$A$6:$Y$24,12)))</f>
        <v>242.15233065166629</v>
      </c>
      <c r="Z572" s="297">
        <f>(SUM($P572:$Q572)*VLOOKUP($B572,Lifetime_morbidity_array!$A$6:$Y$24,4))+(SUM($R572:$S572)*VLOOKUP($B572,Lifetime_morbidity_array!$A$6:$Y$24,3))</f>
        <v>6.3059252939425194</v>
      </c>
      <c r="AA572" s="297">
        <f>(SUM($P572:$Q572)*VLOOKUP($B572,Lifetime_morbidity_array!$A$6:$Y$24,7))+(SUM($R572:$S572)*VLOOKUP($B572,Lifetime_morbidity_array!$A$6:$Y$24,6))</f>
        <v>5.3018115400234764</v>
      </c>
      <c r="AB572" s="297">
        <f>(SUM($P572:$Q572)*VLOOKUP($B572,Lifetime_morbidity_array!$A$6:$Y$24,10))+(SUM($R572:$S572)*VLOOKUP($B572,Lifetime_morbidity_array!$A$6:$Y$24,9))</f>
        <v>5.6486155021301013E-2</v>
      </c>
      <c r="AC572" s="297">
        <f>(SUM($P572:$Q572)*VLOOKUP($B572,Lifetime_morbidity_array!$A$6:$Y$24,13))+(SUM($R572:$S572)*VLOOKUP($B572,Lifetime_morbidity_array!$A$6:$Y$24,12))</f>
        <v>6.4133346234362758</v>
      </c>
      <c r="AD572" s="294"/>
      <c r="AE572" s="294">
        <f t="shared" si="25"/>
        <v>44</v>
      </c>
      <c r="AF572" s="297">
        <f t="shared" si="26"/>
        <v>550.47217533569142</v>
      </c>
      <c r="AG572" s="297">
        <f t="shared" si="27"/>
        <v>13305.31892969486</v>
      </c>
      <c r="AH572" s="294"/>
      <c r="AI572" s="294">
        <f t="shared" si="28"/>
        <v>44</v>
      </c>
      <c r="AJ572" s="295">
        <f>((VLOOKUP($B572,'Mahawesran Tariff'!$A$21:$M$120,7)*$X572)+(VLOOKUP($B572,'Mahawesran Tariff'!$A$21:$M$120,6)*$Y572)+(DET_UTIL_chd*$Z572)+(DET_UTIL_copd*$AA572)+(DET_UTIL_lc*$AB572)+(DET_UTIL_stroke*$AC572))/((1+Discount_rate_QALYs)^$A572)</f>
        <v>526.91209974140452</v>
      </c>
      <c r="AK572" s="295">
        <f t="shared" si="29"/>
        <v>12822.368811887898</v>
      </c>
      <c r="AL572" s="294"/>
      <c r="AM572" s="294">
        <f t="shared" si="14"/>
        <v>44</v>
      </c>
      <c r="AN572" s="299">
        <f t="shared" si="15"/>
        <v>86888.002187819264</v>
      </c>
      <c r="AO572" s="299">
        <f t="shared" si="30"/>
        <v>4306995.4079214046</v>
      </c>
      <c r="AP572" s="294"/>
      <c r="AQ572" s="294">
        <f t="shared" si="16"/>
        <v>44</v>
      </c>
      <c r="AR572" s="298">
        <f t="shared" si="6"/>
        <v>0.98791895470322033</v>
      </c>
      <c r="AS572" s="298">
        <f t="shared" si="7"/>
        <v>1.2081045296779459E-2</v>
      </c>
      <c r="AT572" s="298">
        <f t="shared" si="8"/>
        <v>1.8077557612423571E-2</v>
      </c>
      <c r="AU572" s="250"/>
      <c r="AV572" s="294">
        <f t="shared" si="17"/>
        <v>44</v>
      </c>
      <c r="AW572" s="299">
        <f t="shared" si="18"/>
        <v>86888.002187819264</v>
      </c>
      <c r="AX572" s="299">
        <f t="shared" si="31"/>
        <v>4303955.4079214046</v>
      </c>
      <c r="AY572" s="335"/>
      <c r="AZ572" s="335"/>
      <c r="BA572" s="335"/>
      <c r="BB572" s="335"/>
      <c r="BC572" s="335"/>
      <c r="BD572" s="335"/>
      <c r="BE572" s="335"/>
      <c r="BF572" s="335"/>
      <c r="BG572" s="335"/>
      <c r="BH572" s="335"/>
      <c r="BI572" s="335"/>
      <c r="BJ572" s="335"/>
      <c r="BK572" s="364"/>
      <c r="BL572" s="364"/>
      <c r="BM572" s="364"/>
      <c r="BN572" s="364"/>
      <c r="BO572" s="364"/>
      <c r="BP572" s="364"/>
      <c r="BQ572" s="335"/>
      <c r="BR572" s="335"/>
      <c r="BS572" s="364"/>
      <c r="BT572" s="364"/>
      <c r="BU572" s="364"/>
      <c r="BV572" s="364"/>
      <c r="BW572" s="364"/>
      <c r="BX572" s="364"/>
      <c r="BY572" s="335"/>
      <c r="BZ572" s="335"/>
      <c r="CA572" s="364"/>
      <c r="CB572" s="364"/>
      <c r="CC572" s="335"/>
      <c r="CD572" s="335"/>
      <c r="CE572" s="335"/>
      <c r="CF572" s="335"/>
      <c r="CG572" s="335"/>
      <c r="CH572" s="335"/>
      <c r="CI572" s="365"/>
      <c r="CJ572" s="365"/>
      <c r="CK572" s="335"/>
      <c r="CL572" s="335"/>
      <c r="CM572" s="366"/>
      <c r="CN572" s="366"/>
      <c r="CO572" s="366"/>
      <c r="CP572" s="3"/>
    </row>
    <row r="573" spans="1:94" x14ac:dyDescent="0.25">
      <c r="A573" s="34">
        <v>18</v>
      </c>
      <c r="B573" s="33">
        <f t="shared" si="19"/>
        <v>45</v>
      </c>
      <c r="C573" s="294">
        <f>VLOOKUP($B573,'Mother mortality'!$A$23:$I$124,5)</f>
        <v>1.4701633923361213E-3</v>
      </c>
      <c r="D573" s="295">
        <f t="shared" si="1"/>
        <v>0.27</v>
      </c>
      <c r="E573" s="295">
        <f t="shared" si="9"/>
        <v>0.72852983660766391</v>
      </c>
      <c r="F573" s="295">
        <f>VLOOKUP($B573,'Mother mortality'!$A$23:$I$124,5)</f>
        <v>1.4701633923361213E-3</v>
      </c>
      <c r="G573" s="295">
        <f t="shared" si="2"/>
        <v>0.14000000000000001</v>
      </c>
      <c r="H573" s="295">
        <f t="shared" si="10"/>
        <v>0.85852983660766391</v>
      </c>
      <c r="I573" s="295">
        <f>VLOOKUP($B573,'Mother mortality'!$A$23:$I$124,4)</f>
        <v>8.8935810153666615E-4</v>
      </c>
      <c r="J573" s="295">
        <f t="shared" si="11"/>
        <v>0.42768207046989193</v>
      </c>
      <c r="K573" s="295">
        <f t="shared" si="3"/>
        <v>0.5714285714285714</v>
      </c>
      <c r="L573" s="295">
        <f>VLOOKUP($B573,'Mother mortality'!$A$23:$I$124,4)</f>
        <v>8.8935810153666615E-4</v>
      </c>
      <c r="M573" s="295">
        <f t="shared" si="4"/>
        <v>8.6261668788331098E-3</v>
      </c>
      <c r="N573" s="295">
        <f t="shared" si="12"/>
        <v>0.99048447501963022</v>
      </c>
      <c r="O573" s="294"/>
      <c r="P573" s="296">
        <f t="shared" si="20"/>
        <v>574.30349209639007</v>
      </c>
      <c r="Q573" s="297">
        <f t="shared" si="21"/>
        <v>157.57605116892685</v>
      </c>
      <c r="R573" s="297">
        <f t="shared" si="22"/>
        <v>22.417038471542988</v>
      </c>
      <c r="S573" s="297">
        <f t="shared" si="23"/>
        <v>232.31179302554108</v>
      </c>
      <c r="T573" s="297">
        <f t="shared" si="24"/>
        <v>13.391625237598891</v>
      </c>
      <c r="U573" s="294">
        <f t="shared" si="13"/>
        <v>999.99999999999989</v>
      </c>
      <c r="V573" s="295" t="str">
        <f t="shared" si="5"/>
        <v>OKAY</v>
      </c>
      <c r="W573" s="295"/>
      <c r="X573" s="296">
        <f>SUM($P573:$Q573)-(SUM($P573:$Q573)*(VLOOKUP($B573,Lifetime_morbidity_array!$A$6:$Y$24,4)+VLOOKUP($B573,Lifetime_morbidity_array!$A$6:$Y$24,7)+VLOOKUP($B573,Lifetime_morbidity_array!$A$6:$Y$24,10)+VLOOKUP($B573,Lifetime_morbidity_array!$A$6:$Y$24,13)))</f>
        <v>682.97784621191408</v>
      </c>
      <c r="Y573" s="297">
        <f>SUM($R573:$S573)-(SUM($R573:$S573)*(VLOOKUP($B573,Lifetime_morbidity_array!$A$6:$Y$24,3)+VLOOKUP($B573,Lifetime_morbidity_array!$A$6:$Y$24,6)+VLOOKUP($B573,Lifetime_morbidity_array!$A$6:$Y$24,9)+VLOOKUP($B573,Lifetime_morbidity_array!$A$6:$Y$24,12)))</f>
        <v>248.0493392526983</v>
      </c>
      <c r="Z573" s="297">
        <f>(SUM($P573:$Q573)*VLOOKUP($B573,Lifetime_morbidity_array!$A$6:$Y$24,4))+(SUM($R573:$S573)*VLOOKUP($B573,Lifetime_morbidity_array!$A$6:$Y$24,3))</f>
        <v>27.099599400985948</v>
      </c>
      <c r="AA573" s="297">
        <f>(SUM($P573:$Q573)*VLOOKUP($B573,Lifetime_morbidity_array!$A$6:$Y$24,7))+(SUM($R573:$S573)*VLOOKUP($B573,Lifetime_morbidity_array!$A$6:$Y$24,6))</f>
        <v>12.242017467121965</v>
      </c>
      <c r="AB573" s="297">
        <f>(SUM($P573:$Q573)*VLOOKUP($B573,Lifetime_morbidity_array!$A$6:$Y$24,10))+(SUM($R573:$S573)*VLOOKUP($B573,Lifetime_morbidity_array!$A$6:$Y$24,9))</f>
        <v>1.9288072978850983</v>
      </c>
      <c r="AC573" s="297">
        <f>(SUM($P573:$Q573)*VLOOKUP($B573,Lifetime_morbidity_array!$A$6:$Y$24,13))+(SUM($R573:$S573)*VLOOKUP($B573,Lifetime_morbidity_array!$A$6:$Y$24,12))</f>
        <v>14.310765131795627</v>
      </c>
      <c r="AD573" s="294"/>
      <c r="AE573" s="294">
        <f t="shared" si="25"/>
        <v>45</v>
      </c>
      <c r="AF573" s="297">
        <f t="shared" si="26"/>
        <v>531.15160892697168</v>
      </c>
      <c r="AG573" s="297">
        <f t="shared" si="27"/>
        <v>13836.470538621832</v>
      </c>
      <c r="AH573" s="294"/>
      <c r="AI573" s="294">
        <f t="shared" si="28"/>
        <v>45</v>
      </c>
      <c r="AJ573" s="295">
        <f>((VLOOKUP($B573,'Mahawesran Tariff'!$A$21:$M$120,7)*$X573)+(VLOOKUP($B573,'Mahawesran Tariff'!$A$21:$M$120,6)*$Y573)+(DET_UTIL_chd*$Z573)+(DET_UTIL_copd*$AA573)+(DET_UTIL_lc*$AB573)+(DET_UTIL_stroke*$AC573))/((1+Discount_rate_QALYs)^$A573)</f>
        <v>486.73619275664663</v>
      </c>
      <c r="AK573" s="295">
        <f t="shared" si="29"/>
        <v>13309.105004644545</v>
      </c>
      <c r="AL573" s="294"/>
      <c r="AM573" s="294">
        <f t="shared" si="14"/>
        <v>45</v>
      </c>
      <c r="AN573" s="299">
        <f t="shared" si="15"/>
        <v>209682.71323221482</v>
      </c>
      <c r="AO573" s="299">
        <f t="shared" si="30"/>
        <v>4516678.1211536191</v>
      </c>
      <c r="AP573" s="294"/>
      <c r="AQ573" s="294">
        <f t="shared" si="16"/>
        <v>45</v>
      </c>
      <c r="AR573" s="298">
        <f t="shared" si="6"/>
        <v>0.98660837476240104</v>
      </c>
      <c r="AS573" s="298">
        <f t="shared" si="7"/>
        <v>1.3391625237598891E-2</v>
      </c>
      <c r="AT573" s="298">
        <f t="shared" si="8"/>
        <v>5.5581189297788637E-2</v>
      </c>
      <c r="AU573" s="250"/>
      <c r="AV573" s="294">
        <f t="shared" si="17"/>
        <v>45</v>
      </c>
      <c r="AW573" s="299">
        <f t="shared" si="18"/>
        <v>209682.71323221482</v>
      </c>
      <c r="AX573" s="299">
        <f t="shared" si="31"/>
        <v>4513638.1211536191</v>
      </c>
      <c r="AY573" s="335"/>
      <c r="AZ573" s="335"/>
      <c r="BA573" s="335"/>
      <c r="BB573" s="335"/>
      <c r="BC573" s="335"/>
      <c r="BD573" s="335"/>
      <c r="BE573" s="335"/>
      <c r="BF573" s="335"/>
      <c r="BG573" s="335"/>
      <c r="BH573" s="335"/>
      <c r="BI573" s="335"/>
      <c r="BJ573" s="335"/>
      <c r="BK573" s="364"/>
      <c r="BL573" s="364"/>
      <c r="BM573" s="364"/>
      <c r="BN573" s="364"/>
      <c r="BO573" s="364"/>
      <c r="BP573" s="364"/>
      <c r="BQ573" s="335"/>
      <c r="BR573" s="335"/>
      <c r="BS573" s="364"/>
      <c r="BT573" s="364"/>
      <c r="BU573" s="364"/>
      <c r="BV573" s="364"/>
      <c r="BW573" s="364"/>
      <c r="BX573" s="364"/>
      <c r="BY573" s="335"/>
      <c r="BZ573" s="335"/>
      <c r="CA573" s="364"/>
      <c r="CB573" s="364"/>
      <c r="CC573" s="335"/>
      <c r="CD573" s="335"/>
      <c r="CE573" s="335"/>
      <c r="CF573" s="335"/>
      <c r="CG573" s="335"/>
      <c r="CH573" s="335"/>
      <c r="CI573" s="365"/>
      <c r="CJ573" s="365"/>
      <c r="CK573" s="335"/>
      <c r="CL573" s="335"/>
      <c r="CM573" s="366"/>
      <c r="CN573" s="366"/>
      <c r="CO573" s="366"/>
      <c r="CP573" s="3"/>
    </row>
    <row r="574" spans="1:94" x14ac:dyDescent="0.25">
      <c r="A574" s="34">
        <v>19</v>
      </c>
      <c r="B574" s="33">
        <f t="shared" si="19"/>
        <v>46</v>
      </c>
      <c r="C574" s="294">
        <f>VLOOKUP($B574,'Mother mortality'!$A$23:$I$124,5)</f>
        <v>1.5360221746741876E-3</v>
      </c>
      <c r="D574" s="295">
        <f t="shared" si="1"/>
        <v>0.27</v>
      </c>
      <c r="E574" s="295">
        <f t="shared" si="9"/>
        <v>0.72846397782532579</v>
      </c>
      <c r="F574" s="295">
        <f>VLOOKUP($B574,'Mother mortality'!$A$23:$I$124,5)</f>
        <v>1.5360221746741876E-3</v>
      </c>
      <c r="G574" s="295">
        <f t="shared" si="2"/>
        <v>0.14000000000000001</v>
      </c>
      <c r="H574" s="295">
        <f t="shared" si="10"/>
        <v>0.8584639778253258</v>
      </c>
      <c r="I574" s="295">
        <f>VLOOKUP($B574,'Mother mortality'!$A$23:$I$124,4)</f>
        <v>9.2919859949426174E-4</v>
      </c>
      <c r="J574" s="295">
        <f t="shared" si="11"/>
        <v>0.42764222997193435</v>
      </c>
      <c r="K574" s="295">
        <f t="shared" si="3"/>
        <v>0.5714285714285714</v>
      </c>
      <c r="L574" s="295">
        <f>VLOOKUP($B574,'Mother mortality'!$A$23:$I$124,4)</f>
        <v>9.2919859949426174E-4</v>
      </c>
      <c r="M574" s="295">
        <f t="shared" si="4"/>
        <v>8.6261668788331098E-3</v>
      </c>
      <c r="N574" s="295">
        <f t="shared" si="12"/>
        <v>0.99044463452167264</v>
      </c>
      <c r="O574" s="294"/>
      <c r="P574" s="296">
        <f t="shared" si="20"/>
        <v>565.22320264389248</v>
      </c>
      <c r="Q574" s="297">
        <f t="shared" si="21"/>
        <v>155.06194286602533</v>
      </c>
      <c r="R574" s="297">
        <f t="shared" si="22"/>
        <v>22.060647163649762</v>
      </c>
      <c r="S574" s="297">
        <f t="shared" si="23"/>
        <v>242.90170520770963</v>
      </c>
      <c r="T574" s="297">
        <f t="shared" si="24"/>
        <v>14.752502118722735</v>
      </c>
      <c r="U574" s="294">
        <f t="shared" si="13"/>
        <v>999.99999999999989</v>
      </c>
      <c r="V574" s="295" t="str">
        <f t="shared" si="5"/>
        <v>OKAY</v>
      </c>
      <c r="W574" s="295"/>
      <c r="X574" s="296">
        <f>SUM($P574:$Q574)-(SUM($P574:$Q574)*(VLOOKUP($B574,Lifetime_morbidity_array!$A$6:$Y$24,4)+VLOOKUP($B574,Lifetime_morbidity_array!$A$6:$Y$24,7)+VLOOKUP($B574,Lifetime_morbidity_array!$A$6:$Y$24,10)+VLOOKUP($B574,Lifetime_morbidity_array!$A$6:$Y$24,13)))</f>
        <v>672.15814660427509</v>
      </c>
      <c r="Y574" s="297">
        <f>SUM($R574:$S574)-(SUM($R574:$S574)*(VLOOKUP($B574,Lifetime_morbidity_array!$A$6:$Y$24,3)+VLOOKUP($B574,Lifetime_morbidity_array!$A$6:$Y$24,6)+VLOOKUP($B574,Lifetime_morbidity_array!$A$6:$Y$24,9)+VLOOKUP($B574,Lifetime_morbidity_array!$A$6:$Y$24,12)))</f>
        <v>258.01451703086332</v>
      </c>
      <c r="Z574" s="297">
        <f>(SUM($P574:$Q574)*VLOOKUP($B574,Lifetime_morbidity_array!$A$6:$Y$24,4))+(SUM($R574:$S574)*VLOOKUP($B574,Lifetime_morbidity_array!$A$6:$Y$24,3))</f>
        <v>26.874974648037206</v>
      </c>
      <c r="AA574" s="297">
        <f>(SUM($P574:$Q574)*VLOOKUP($B574,Lifetime_morbidity_array!$A$6:$Y$24,7))+(SUM($R574:$S574)*VLOOKUP($B574,Lifetime_morbidity_array!$A$6:$Y$24,6))</f>
        <v>12.110499247874946</v>
      </c>
      <c r="AB574" s="297">
        <f>(SUM($P574:$Q574)*VLOOKUP($B574,Lifetime_morbidity_array!$A$6:$Y$24,10))+(SUM($R574:$S574)*VLOOKUP($B574,Lifetime_morbidity_array!$A$6:$Y$24,9))</f>
        <v>1.9052332350188292</v>
      </c>
      <c r="AC574" s="297">
        <f>(SUM($P574:$Q574)*VLOOKUP($B574,Lifetime_morbidity_array!$A$6:$Y$24,13))+(SUM($R574:$S574)*VLOOKUP($B574,Lifetime_morbidity_array!$A$6:$Y$24,12))</f>
        <v>14.184127115207795</v>
      </c>
      <c r="AD574" s="294"/>
      <c r="AE574" s="294">
        <f t="shared" si="25"/>
        <v>46</v>
      </c>
      <c r="AF574" s="297">
        <f t="shared" si="26"/>
        <v>512.48209246228237</v>
      </c>
      <c r="AG574" s="297">
        <f t="shared" si="27"/>
        <v>14348.952631084114</v>
      </c>
      <c r="AH574" s="294"/>
      <c r="AI574" s="294">
        <f t="shared" si="28"/>
        <v>46</v>
      </c>
      <c r="AJ574" s="295">
        <f>((VLOOKUP($B574,'Mahawesran Tariff'!$A$21:$M$120,7)*$X574)+(VLOOKUP($B574,'Mahawesran Tariff'!$A$21:$M$120,6)*$Y574)+(DET_UTIL_chd*$Z574)+(DET_UTIL_copd*$AA574)+(DET_UTIL_lc*$AB574)+(DET_UTIL_stroke*$AC574))/((1+Discount_rate_QALYs)^$A574)</f>
        <v>469.76154695232208</v>
      </c>
      <c r="AK574" s="295">
        <f t="shared" si="29"/>
        <v>13778.866551596868</v>
      </c>
      <c r="AL574" s="294"/>
      <c r="AM574" s="294">
        <f t="shared" si="14"/>
        <v>46</v>
      </c>
      <c r="AN574" s="299">
        <f t="shared" si="15"/>
        <v>200771.23960978916</v>
      </c>
      <c r="AO574" s="299">
        <f t="shared" si="30"/>
        <v>4717449.3607634082</v>
      </c>
      <c r="AP574" s="294"/>
      <c r="AQ574" s="294">
        <f t="shared" si="16"/>
        <v>46</v>
      </c>
      <c r="AR574" s="298">
        <f t="shared" si="6"/>
        <v>0.98524749788127708</v>
      </c>
      <c r="AS574" s="298">
        <f t="shared" si="7"/>
        <v>1.4752502118722734E-2</v>
      </c>
      <c r="AT574" s="298">
        <f t="shared" si="8"/>
        <v>5.5074834246138772E-2</v>
      </c>
      <c r="AU574" s="250"/>
      <c r="AV574" s="294">
        <f t="shared" si="17"/>
        <v>46</v>
      </c>
      <c r="AW574" s="299">
        <f t="shared" si="18"/>
        <v>200771.23960978916</v>
      </c>
      <c r="AX574" s="299">
        <f t="shared" si="31"/>
        <v>4714409.3607634082</v>
      </c>
      <c r="AY574" s="335"/>
      <c r="AZ574" s="335"/>
      <c r="BA574" s="335"/>
      <c r="BB574" s="335"/>
      <c r="BC574" s="335"/>
      <c r="BD574" s="335"/>
      <c r="BE574" s="335"/>
      <c r="BF574" s="335"/>
      <c r="BG574" s="335"/>
      <c r="BH574" s="335"/>
      <c r="BI574" s="335"/>
      <c r="BJ574" s="335"/>
      <c r="BK574" s="364"/>
      <c r="BL574" s="364"/>
      <c r="BM574" s="364"/>
      <c r="BN574" s="364"/>
      <c r="BO574" s="364"/>
      <c r="BP574" s="364"/>
      <c r="BQ574" s="335"/>
      <c r="BR574" s="335"/>
      <c r="BS574" s="364"/>
      <c r="BT574" s="364"/>
      <c r="BU574" s="364"/>
      <c r="BV574" s="364"/>
      <c r="BW574" s="364"/>
      <c r="BX574" s="364"/>
      <c r="BY574" s="335"/>
      <c r="BZ574" s="335"/>
      <c r="CA574" s="364"/>
      <c r="CB574" s="364"/>
      <c r="CC574" s="335"/>
      <c r="CD574" s="335"/>
      <c r="CE574" s="335"/>
      <c r="CF574" s="335"/>
      <c r="CG574" s="335"/>
      <c r="CH574" s="335"/>
      <c r="CI574" s="365"/>
      <c r="CJ574" s="365"/>
      <c r="CK574" s="335"/>
      <c r="CL574" s="335"/>
      <c r="CM574" s="366"/>
      <c r="CN574" s="366"/>
      <c r="CO574" s="366"/>
      <c r="CP574" s="3"/>
    </row>
    <row r="575" spans="1:94" x14ac:dyDescent="0.25">
      <c r="A575" s="34">
        <v>20</v>
      </c>
      <c r="B575" s="33">
        <f t="shared" si="19"/>
        <v>47</v>
      </c>
      <c r="C575" s="294">
        <f>VLOOKUP($B575,'Mother mortality'!$A$23:$I$124,5)</f>
        <v>1.6225209103287296E-3</v>
      </c>
      <c r="D575" s="295">
        <f t="shared" si="1"/>
        <v>0.27</v>
      </c>
      <c r="E575" s="295">
        <f t="shared" si="9"/>
        <v>0.72837747908967121</v>
      </c>
      <c r="F575" s="295">
        <f>VLOOKUP($B575,'Mother mortality'!$A$23:$I$124,5)</f>
        <v>1.6225209103287296E-3</v>
      </c>
      <c r="G575" s="295">
        <f t="shared" si="2"/>
        <v>0.14000000000000001</v>
      </c>
      <c r="H575" s="295">
        <f t="shared" si="10"/>
        <v>0.85837747908967121</v>
      </c>
      <c r="I575" s="295">
        <f>VLOOKUP($B575,'Mother mortality'!$A$23:$I$124,4)</f>
        <v>9.8152499513713275E-4</v>
      </c>
      <c r="J575" s="295">
        <f t="shared" si="11"/>
        <v>0.42758990357629145</v>
      </c>
      <c r="K575" s="295">
        <f t="shared" si="3"/>
        <v>0.5714285714285714</v>
      </c>
      <c r="L575" s="295">
        <f>VLOOKUP($B575,'Mother mortality'!$A$23:$I$124,4)</f>
        <v>9.8152499513713275E-4</v>
      </c>
      <c r="M575" s="295">
        <f t="shared" si="4"/>
        <v>8.6261668788331098E-3</v>
      </c>
      <c r="N575" s="295">
        <f t="shared" si="12"/>
        <v>0.99039230812602974</v>
      </c>
      <c r="O575" s="294"/>
      <c r="P575" s="296">
        <f t="shared" si="20"/>
        <v>556.32575172264455</v>
      </c>
      <c r="Q575" s="297">
        <f t="shared" si="21"/>
        <v>152.61026471385097</v>
      </c>
      <c r="R575" s="297">
        <f t="shared" si="22"/>
        <v>21.708672001243549</v>
      </c>
      <c r="S575" s="297">
        <f t="shared" si="23"/>
        <v>253.17406456192614</v>
      </c>
      <c r="T575" s="297">
        <f t="shared" si="24"/>
        <v>16.181247000334569</v>
      </c>
      <c r="U575" s="294">
        <f t="shared" si="13"/>
        <v>999.99999999999977</v>
      </c>
      <c r="V575" s="295" t="str">
        <f t="shared" si="5"/>
        <v>OKAY</v>
      </c>
      <c r="W575" s="295"/>
      <c r="X575" s="296">
        <f>SUM($P575:$Q575)-(SUM($P575:$Q575)*(VLOOKUP($B575,Lifetime_morbidity_array!$A$6:$Y$24,4)+VLOOKUP($B575,Lifetime_morbidity_array!$A$6:$Y$24,7)+VLOOKUP($B575,Lifetime_morbidity_array!$A$6:$Y$24,10)+VLOOKUP($B575,Lifetime_morbidity_array!$A$6:$Y$24,13)))</f>
        <v>661.56732766108587</v>
      </c>
      <c r="Y575" s="297">
        <f>SUM($R575:$S575)-(SUM($R575:$S575)*(VLOOKUP($B575,Lifetime_morbidity_array!$A$6:$Y$24,3)+VLOOKUP($B575,Lifetime_morbidity_array!$A$6:$Y$24,6)+VLOOKUP($B575,Lifetime_morbidity_array!$A$6:$Y$24,9)+VLOOKUP($B575,Lifetime_morbidity_array!$A$6:$Y$24,12)))</f>
        <v>267.67476918783063</v>
      </c>
      <c r="Z575" s="297">
        <f>(SUM($P575:$Q575)*VLOOKUP($B575,Lifetime_morbidity_array!$A$6:$Y$24,4))+(SUM($R575:$S575)*VLOOKUP($B575,Lifetime_morbidity_array!$A$6:$Y$24,3))</f>
        <v>26.653715104412843</v>
      </c>
      <c r="AA575" s="297">
        <f>(SUM($P575:$Q575)*VLOOKUP($B575,Lifetime_morbidity_array!$A$6:$Y$24,7))+(SUM($R575:$S575)*VLOOKUP($B575,Lifetime_morbidity_array!$A$6:$Y$24,6))</f>
        <v>11.981340353421784</v>
      </c>
      <c r="AB575" s="297">
        <f>(SUM($P575:$Q575)*VLOOKUP($B575,Lifetime_morbidity_array!$A$6:$Y$24,10))+(SUM($R575:$S575)*VLOOKUP($B575,Lifetime_morbidity_array!$A$6:$Y$24,9))</f>
        <v>1.8821105641846523</v>
      </c>
      <c r="AC575" s="297">
        <f>(SUM($P575:$Q575)*VLOOKUP($B575,Lifetime_morbidity_array!$A$6:$Y$24,13))+(SUM($R575:$S575)*VLOOKUP($B575,Lifetime_morbidity_array!$A$6:$Y$24,12))</f>
        <v>14.059490128729431</v>
      </c>
      <c r="AD575" s="294"/>
      <c r="AE575" s="294">
        <f t="shared" si="25"/>
        <v>47</v>
      </c>
      <c r="AF575" s="297">
        <f t="shared" si="26"/>
        <v>494.43374172174009</v>
      </c>
      <c r="AG575" s="297">
        <f t="shared" si="27"/>
        <v>14843.386372805853</v>
      </c>
      <c r="AH575" s="294"/>
      <c r="AI575" s="294">
        <f t="shared" si="28"/>
        <v>47</v>
      </c>
      <c r="AJ575" s="295">
        <f>((VLOOKUP($B575,'Mahawesran Tariff'!$A$21:$M$120,7)*$X575)+(VLOOKUP($B575,'Mahawesran Tariff'!$A$21:$M$120,6)*$Y575)+(DET_UTIL_chd*$Z575)+(DET_UTIL_copd*$AA575)+(DET_UTIL_lc*$AB575)+(DET_UTIL_stroke*$AC575))/((1+Discount_rate_QALYs)^$A575)</f>
        <v>453.34347347110207</v>
      </c>
      <c r="AK575" s="295">
        <f t="shared" si="29"/>
        <v>14232.21002506797</v>
      </c>
      <c r="AL575" s="294"/>
      <c r="AM575" s="294">
        <f t="shared" si="14"/>
        <v>47</v>
      </c>
      <c r="AN575" s="299">
        <f t="shared" si="15"/>
        <v>192250.81664217237</v>
      </c>
      <c r="AO575" s="299">
        <f t="shared" si="30"/>
        <v>4909700.1774055809</v>
      </c>
      <c r="AP575" s="294"/>
      <c r="AQ575" s="294">
        <f t="shared" si="16"/>
        <v>47</v>
      </c>
      <c r="AR575" s="298">
        <f t="shared" si="6"/>
        <v>0.98381875299966526</v>
      </c>
      <c r="AS575" s="298">
        <f t="shared" si="7"/>
        <v>1.6181247000334568E-2</v>
      </c>
      <c r="AT575" s="298">
        <f t="shared" si="8"/>
        <v>5.4576656150748706E-2</v>
      </c>
      <c r="AU575" s="250"/>
      <c r="AV575" s="294">
        <f t="shared" si="17"/>
        <v>47</v>
      </c>
      <c r="AW575" s="299">
        <f t="shared" si="18"/>
        <v>192250.81664217237</v>
      </c>
      <c r="AX575" s="299">
        <f t="shared" si="31"/>
        <v>4906660.1774055809</v>
      </c>
      <c r="AY575" s="335"/>
      <c r="AZ575" s="335"/>
      <c r="BA575" s="335"/>
      <c r="BB575" s="335"/>
      <c r="BC575" s="335"/>
      <c r="BD575" s="335"/>
      <c r="BE575" s="335"/>
      <c r="BF575" s="335"/>
      <c r="BG575" s="335"/>
      <c r="BH575" s="335"/>
      <c r="BI575" s="335"/>
      <c r="BJ575" s="335"/>
      <c r="BK575" s="364"/>
      <c r="BL575" s="364"/>
      <c r="BM575" s="364"/>
      <c r="BN575" s="364"/>
      <c r="BO575" s="364"/>
      <c r="BP575" s="364"/>
      <c r="BQ575" s="335"/>
      <c r="BR575" s="335"/>
      <c r="BS575" s="364"/>
      <c r="BT575" s="364"/>
      <c r="BU575" s="364"/>
      <c r="BV575" s="364"/>
      <c r="BW575" s="364"/>
      <c r="BX575" s="364"/>
      <c r="BY575" s="335"/>
      <c r="BZ575" s="335"/>
      <c r="CA575" s="364"/>
      <c r="CB575" s="364"/>
      <c r="CC575" s="335"/>
      <c r="CD575" s="335"/>
      <c r="CE575" s="335"/>
      <c r="CF575" s="335"/>
      <c r="CG575" s="335"/>
      <c r="CH575" s="335"/>
      <c r="CI575" s="365"/>
      <c r="CJ575" s="365"/>
      <c r="CK575" s="335"/>
      <c r="CL575" s="335"/>
      <c r="CM575" s="366"/>
      <c r="CN575" s="366"/>
      <c r="CO575" s="366"/>
      <c r="CP575" s="3"/>
    </row>
    <row r="576" spans="1:94" x14ac:dyDescent="0.25">
      <c r="A576" s="34">
        <v>21</v>
      </c>
      <c r="B576" s="33">
        <f t="shared" si="19"/>
        <v>48</v>
      </c>
      <c r="C576" s="294">
        <f>VLOOKUP($B576,'Mother mortality'!$A$23:$I$124,5)</f>
        <v>1.7296595992997469E-3</v>
      </c>
      <c r="D576" s="295">
        <f t="shared" si="1"/>
        <v>0.27</v>
      </c>
      <c r="E576" s="295">
        <f t="shared" si="9"/>
        <v>0.72827034040070027</v>
      </c>
      <c r="F576" s="295">
        <f>VLOOKUP($B576,'Mother mortality'!$A$23:$I$124,5)</f>
        <v>1.7296595992997469E-3</v>
      </c>
      <c r="G576" s="295">
        <f t="shared" si="2"/>
        <v>0.14000000000000001</v>
      </c>
      <c r="H576" s="295">
        <f t="shared" si="10"/>
        <v>0.85827034040070027</v>
      </c>
      <c r="I576" s="295">
        <f>VLOOKUP($B576,'Mother mortality'!$A$23:$I$124,4)</f>
        <v>1.0463372884652793E-3</v>
      </c>
      <c r="J576" s="295">
        <f t="shared" si="11"/>
        <v>0.42752509128296334</v>
      </c>
      <c r="K576" s="295">
        <f t="shared" si="3"/>
        <v>0.5714285714285714</v>
      </c>
      <c r="L576" s="295">
        <f>VLOOKUP($B576,'Mother mortality'!$A$23:$I$124,4)</f>
        <v>1.0463372884652793E-3</v>
      </c>
      <c r="M576" s="295">
        <f t="shared" si="4"/>
        <v>8.6261668788331098E-3</v>
      </c>
      <c r="N576" s="295">
        <f t="shared" si="12"/>
        <v>0.99032749583270163</v>
      </c>
      <c r="O576" s="294"/>
      <c r="P576" s="296">
        <f t="shared" si="20"/>
        <v>547.60133213459085</v>
      </c>
      <c r="Q576" s="297">
        <f t="shared" si="21"/>
        <v>150.20795296511403</v>
      </c>
      <c r="R576" s="297">
        <f t="shared" si="22"/>
        <v>21.365437059939136</v>
      </c>
      <c r="S576" s="297">
        <f t="shared" si="23"/>
        <v>263.13019279668106</v>
      </c>
      <c r="T576" s="297">
        <f t="shared" si="24"/>
        <v>17.695085043674702</v>
      </c>
      <c r="U576" s="294">
        <f t="shared" si="13"/>
        <v>999.99999999999977</v>
      </c>
      <c r="V576" s="295" t="str">
        <f t="shared" si="5"/>
        <v>OKAY</v>
      </c>
      <c r="W576" s="295"/>
      <c r="X576" s="296">
        <f>SUM($P576:$Q576)-(SUM($P576:$Q576)*(VLOOKUP($B576,Lifetime_morbidity_array!$A$6:$Y$24,4)+VLOOKUP($B576,Lifetime_morbidity_array!$A$6:$Y$24,7)+VLOOKUP($B576,Lifetime_morbidity_array!$A$6:$Y$24,10)+VLOOKUP($B576,Lifetime_morbidity_array!$A$6:$Y$24,13)))</f>
        <v>651.18404659563191</v>
      </c>
      <c r="Y576" s="297">
        <f>SUM($R576:$S576)-(SUM($R576:$S576)*(VLOOKUP($B576,Lifetime_morbidity_array!$A$6:$Y$24,3)+VLOOKUP($B576,Lifetime_morbidity_array!$A$6:$Y$24,6)+VLOOKUP($B576,Lifetime_morbidity_array!$A$6:$Y$24,9)+VLOOKUP($B576,Lifetime_morbidity_array!$A$6:$Y$24,12)))</f>
        <v>277.03559346411356</v>
      </c>
      <c r="Z576" s="297">
        <f>(SUM($P576:$Q576)*VLOOKUP($B576,Lifetime_morbidity_array!$A$6:$Y$24,4))+(SUM($R576:$S576)*VLOOKUP($B576,Lifetime_morbidity_array!$A$6:$Y$24,3))</f>
        <v>26.435169093969762</v>
      </c>
      <c r="AA576" s="297">
        <f>(SUM($P576:$Q576)*VLOOKUP($B576,Lifetime_morbidity_array!$A$6:$Y$24,7))+(SUM($R576:$S576)*VLOOKUP($B576,Lifetime_morbidity_array!$A$6:$Y$24,6))</f>
        <v>11.854217744639318</v>
      </c>
      <c r="AB576" s="297">
        <f>(SUM($P576:$Q576)*VLOOKUP($B576,Lifetime_morbidity_array!$A$6:$Y$24,10))+(SUM($R576:$S576)*VLOOKUP($B576,Lifetime_morbidity_array!$A$6:$Y$24,9))</f>
        <v>1.8593856685242098</v>
      </c>
      <c r="AC576" s="297">
        <f>(SUM($P576:$Q576)*VLOOKUP($B576,Lifetime_morbidity_array!$A$6:$Y$24,13))+(SUM($R576:$S576)*VLOOKUP($B576,Lifetime_morbidity_array!$A$6:$Y$24,12))</f>
        <v>13.936502389446334</v>
      </c>
      <c r="AD576" s="294"/>
      <c r="AE576" s="294">
        <f t="shared" si="25"/>
        <v>48</v>
      </c>
      <c r="AF576" s="297">
        <f t="shared" si="26"/>
        <v>476.97868441217645</v>
      </c>
      <c r="AG576" s="297">
        <f t="shared" si="27"/>
        <v>15320.36505721803</v>
      </c>
      <c r="AH576" s="294"/>
      <c r="AI576" s="294">
        <f t="shared" si="28"/>
        <v>48</v>
      </c>
      <c r="AJ576" s="295">
        <f>((VLOOKUP($B576,'Mahawesran Tariff'!$A$21:$M$120,7)*$X576)+(VLOOKUP($B576,'Mahawesran Tariff'!$A$21:$M$120,6)*$Y576)+(DET_UTIL_chd*$Z576)+(DET_UTIL_copd*$AA576)+(DET_UTIL_lc*$AB576)+(DET_UTIL_stroke*$AC576))/((1+Discount_rate_QALYs)^$A576)</f>
        <v>437.45737446884448</v>
      </c>
      <c r="AK576" s="295">
        <f t="shared" si="29"/>
        <v>14669.667399536815</v>
      </c>
      <c r="AL576" s="294"/>
      <c r="AM576" s="294">
        <f t="shared" si="14"/>
        <v>48</v>
      </c>
      <c r="AN576" s="299">
        <f t="shared" si="15"/>
        <v>184099.56224186227</v>
      </c>
      <c r="AO576" s="299">
        <f t="shared" si="30"/>
        <v>5093799.7396474434</v>
      </c>
      <c r="AP576" s="294"/>
      <c r="AQ576" s="294">
        <f t="shared" si="16"/>
        <v>48</v>
      </c>
      <c r="AR576" s="298">
        <f t="shared" si="6"/>
        <v>0.9823049149563251</v>
      </c>
      <c r="AS576" s="298">
        <f t="shared" si="7"/>
        <v>1.7695085043674702E-2</v>
      </c>
      <c r="AT576" s="298">
        <f t="shared" si="8"/>
        <v>5.4085274896579619E-2</v>
      </c>
      <c r="AU576" s="250"/>
      <c r="AV576" s="294">
        <f t="shared" si="17"/>
        <v>48</v>
      </c>
      <c r="AW576" s="299">
        <f t="shared" si="18"/>
        <v>184099.56224186227</v>
      </c>
      <c r="AX576" s="299">
        <f t="shared" si="31"/>
        <v>5090759.7396474434</v>
      </c>
      <c r="AY576" s="335"/>
      <c r="AZ576" s="335"/>
      <c r="BA576" s="335"/>
      <c r="BB576" s="335"/>
      <c r="BC576" s="335"/>
      <c r="BD576" s="335"/>
      <c r="BE576" s="335"/>
      <c r="BF576" s="335"/>
      <c r="BG576" s="335"/>
      <c r="BH576" s="335"/>
      <c r="BI576" s="335"/>
      <c r="BJ576" s="335"/>
      <c r="BK576" s="364"/>
      <c r="BL576" s="364"/>
      <c r="BM576" s="364"/>
      <c r="BN576" s="364"/>
      <c r="BO576" s="364"/>
      <c r="BP576" s="364"/>
      <c r="BQ576" s="335"/>
      <c r="BR576" s="335"/>
      <c r="BS576" s="364"/>
      <c r="BT576" s="364"/>
      <c r="BU576" s="364"/>
      <c r="BV576" s="364"/>
      <c r="BW576" s="364"/>
      <c r="BX576" s="364"/>
      <c r="BY576" s="335"/>
      <c r="BZ576" s="335"/>
      <c r="CA576" s="364"/>
      <c r="CB576" s="364"/>
      <c r="CC576" s="335"/>
      <c r="CD576" s="335"/>
      <c r="CE576" s="335"/>
      <c r="CF576" s="335"/>
      <c r="CG576" s="335"/>
      <c r="CH576" s="335"/>
      <c r="CI576" s="365"/>
      <c r="CJ576" s="365"/>
      <c r="CK576" s="335"/>
      <c r="CL576" s="335"/>
      <c r="CM576" s="366"/>
      <c r="CN576" s="366"/>
      <c r="CO576" s="366"/>
      <c r="CP576" s="3"/>
    </row>
    <row r="577" spans="1:94" x14ac:dyDescent="0.25">
      <c r="A577" s="34">
        <v>22</v>
      </c>
      <c r="B577" s="33">
        <f t="shared" si="19"/>
        <v>49</v>
      </c>
      <c r="C577" s="294">
        <f>VLOOKUP($B577,'Mother mortality'!$A$23:$I$124,5)</f>
        <v>1.8664189846333396E-3</v>
      </c>
      <c r="D577" s="295">
        <f t="shared" si="1"/>
        <v>0.27</v>
      </c>
      <c r="E577" s="295">
        <f t="shared" si="9"/>
        <v>0.72813358101536663</v>
      </c>
      <c r="F577" s="295">
        <f>VLOOKUP($B577,'Mother mortality'!$A$23:$I$124,5)</f>
        <v>1.8664189846333396E-3</v>
      </c>
      <c r="G577" s="295">
        <f t="shared" si="2"/>
        <v>0.14000000000000001</v>
      </c>
      <c r="H577" s="295">
        <f t="shared" si="10"/>
        <v>0.85813358101536663</v>
      </c>
      <c r="I577" s="295">
        <f>VLOOKUP($B577,'Mother mortality'!$A$23:$I$124,4)</f>
        <v>1.1290682746547365E-3</v>
      </c>
      <c r="J577" s="295">
        <f t="shared" si="11"/>
        <v>0.42744236029677385</v>
      </c>
      <c r="K577" s="295">
        <f t="shared" si="3"/>
        <v>0.5714285714285714</v>
      </c>
      <c r="L577" s="295">
        <f>VLOOKUP($B577,'Mother mortality'!$A$23:$I$124,4)</f>
        <v>1.1290682746547365E-3</v>
      </c>
      <c r="M577" s="295">
        <f t="shared" si="4"/>
        <v>8.6261668788331098E-3</v>
      </c>
      <c r="N577" s="295">
        <f t="shared" si="12"/>
        <v>0.99024476484651214</v>
      </c>
      <c r="O577" s="294"/>
      <c r="P577" s="296">
        <f t="shared" si="20"/>
        <v>539.02770531048213</v>
      </c>
      <c r="Q577" s="297">
        <f t="shared" si="21"/>
        <v>147.85235967633955</v>
      </c>
      <c r="R577" s="297">
        <f t="shared" si="22"/>
        <v>21.029113415115965</v>
      </c>
      <c r="S577" s="297">
        <f t="shared" si="23"/>
        <v>272.77211706707487</v>
      </c>
      <c r="T577" s="297">
        <f t="shared" si="24"/>
        <v>19.318704530987237</v>
      </c>
      <c r="U577" s="294">
        <f t="shared" si="13"/>
        <v>999.99999999999977</v>
      </c>
      <c r="V577" s="295" t="str">
        <f t="shared" si="5"/>
        <v>OKAY</v>
      </c>
      <c r="W577" s="295"/>
      <c r="X577" s="296">
        <f>SUM($P577:$Q577)-(SUM($P577:$Q577)*(VLOOKUP($B577,Lifetime_morbidity_array!$A$6:$Y$24,4)+VLOOKUP($B577,Lifetime_morbidity_array!$A$6:$Y$24,7)+VLOOKUP($B577,Lifetime_morbidity_array!$A$6:$Y$24,10)+VLOOKUP($B577,Lifetime_morbidity_array!$A$6:$Y$24,13)))</f>
        <v>640.98507972716334</v>
      </c>
      <c r="Y577" s="297">
        <f>SUM($R577:$S577)-(SUM($R577:$S577)*(VLOOKUP($B577,Lifetime_morbidity_array!$A$6:$Y$24,3)+VLOOKUP($B577,Lifetime_morbidity_array!$A$6:$Y$24,6)+VLOOKUP($B577,Lifetime_morbidity_array!$A$6:$Y$24,9)+VLOOKUP($B577,Lifetime_morbidity_array!$A$6:$Y$24,12)))</f>
        <v>286.09718289219802</v>
      </c>
      <c r="Z577" s="297">
        <f>(SUM($P577:$Q577)*VLOOKUP($B577,Lifetime_morbidity_array!$A$6:$Y$24,4))+(SUM($R577:$S577)*VLOOKUP($B577,Lifetime_morbidity_array!$A$6:$Y$24,3))</f>
        <v>26.21854222804836</v>
      </c>
      <c r="AA577" s="297">
        <f>(SUM($P577:$Q577)*VLOOKUP($B577,Lifetime_morbidity_array!$A$6:$Y$24,7))+(SUM($R577:$S577)*VLOOKUP($B577,Lifetime_morbidity_array!$A$6:$Y$24,6))</f>
        <v>11.728753906887874</v>
      </c>
      <c r="AB577" s="297">
        <f>(SUM($P577:$Q577)*VLOOKUP($B577,Lifetime_morbidity_array!$A$6:$Y$24,10))+(SUM($R577:$S577)*VLOOKUP($B577,Lifetime_morbidity_array!$A$6:$Y$24,9))</f>
        <v>1.83699729700957</v>
      </c>
      <c r="AC577" s="297">
        <f>(SUM($P577:$Q577)*VLOOKUP($B577,Lifetime_morbidity_array!$A$6:$Y$24,13))+(SUM($R577:$S577)*VLOOKUP($B577,Lifetime_morbidity_array!$A$6:$Y$24,12))</f>
        <v>13.814739417705368</v>
      </c>
      <c r="AD577" s="294"/>
      <c r="AE577" s="294">
        <f t="shared" si="25"/>
        <v>49</v>
      </c>
      <c r="AF577" s="297">
        <f t="shared" si="26"/>
        <v>460.08724833996672</v>
      </c>
      <c r="AG577" s="297">
        <f t="shared" si="27"/>
        <v>15780.452305557998</v>
      </c>
      <c r="AH577" s="294"/>
      <c r="AI577" s="294">
        <f t="shared" si="28"/>
        <v>49</v>
      </c>
      <c r="AJ577" s="295">
        <f>((VLOOKUP($B577,'Mahawesran Tariff'!$A$21:$M$120,7)*$X577)+(VLOOKUP($B577,'Mahawesran Tariff'!$A$21:$M$120,6)*$Y577)+(DET_UTIL_chd*$Z577)+(DET_UTIL_copd*$AA577)+(DET_UTIL_lc*$AB577)+(DET_UTIL_stroke*$AC577))/((1+Discount_rate_QALYs)^$A577)</f>
        <v>422.07690106207679</v>
      </c>
      <c r="AK577" s="295">
        <f t="shared" si="29"/>
        <v>15091.744300598892</v>
      </c>
      <c r="AL577" s="294"/>
      <c r="AM577" s="294">
        <f t="shared" si="14"/>
        <v>49</v>
      </c>
      <c r="AN577" s="299">
        <f t="shared" si="15"/>
        <v>176296.05552255979</v>
      </c>
      <c r="AO577" s="299">
        <f t="shared" si="30"/>
        <v>5270095.7951700035</v>
      </c>
      <c r="AP577" s="294"/>
      <c r="AQ577" s="294">
        <f t="shared" si="16"/>
        <v>49</v>
      </c>
      <c r="AR577" s="298">
        <f t="shared" si="6"/>
        <v>0.9806812954690125</v>
      </c>
      <c r="AS577" s="298">
        <f t="shared" si="7"/>
        <v>1.9318704530987236E-2</v>
      </c>
      <c r="AT577" s="298">
        <f t="shared" si="8"/>
        <v>5.3599032849651174E-2</v>
      </c>
      <c r="AU577" s="250"/>
      <c r="AV577" s="294">
        <f t="shared" si="17"/>
        <v>49</v>
      </c>
      <c r="AW577" s="299">
        <f t="shared" si="18"/>
        <v>176296.05552255979</v>
      </c>
      <c r="AX577" s="299">
        <f t="shared" si="31"/>
        <v>5267055.7951700035</v>
      </c>
      <c r="AY577" s="335"/>
      <c r="AZ577" s="335"/>
      <c r="BA577" s="335"/>
      <c r="BB577" s="335"/>
      <c r="BC577" s="335"/>
      <c r="BD577" s="335"/>
      <c r="BE577" s="335"/>
      <c r="BF577" s="335"/>
      <c r="BG577" s="335"/>
      <c r="BH577" s="335"/>
      <c r="BI577" s="335"/>
      <c r="BJ577" s="335"/>
      <c r="BK577" s="364"/>
      <c r="BL577" s="364"/>
      <c r="BM577" s="364"/>
      <c r="BN577" s="364"/>
      <c r="BO577" s="364"/>
      <c r="BP577" s="364"/>
      <c r="BQ577" s="335"/>
      <c r="BR577" s="335"/>
      <c r="BS577" s="364"/>
      <c r="BT577" s="364"/>
      <c r="BU577" s="364"/>
      <c r="BV577" s="364"/>
      <c r="BW577" s="364"/>
      <c r="BX577" s="364"/>
      <c r="BY577" s="335"/>
      <c r="BZ577" s="335"/>
      <c r="CA577" s="364"/>
      <c r="CB577" s="364"/>
      <c r="CC577" s="335"/>
      <c r="CD577" s="335"/>
      <c r="CE577" s="335"/>
      <c r="CF577" s="335"/>
      <c r="CG577" s="335"/>
      <c r="CH577" s="335"/>
      <c r="CI577" s="365"/>
      <c r="CJ577" s="365"/>
      <c r="CK577" s="335"/>
      <c r="CL577" s="335"/>
      <c r="CM577" s="366"/>
      <c r="CN577" s="366"/>
      <c r="CO577" s="366"/>
      <c r="CP577" s="3"/>
    </row>
    <row r="578" spans="1:94" x14ac:dyDescent="0.25">
      <c r="A578" s="34">
        <v>23</v>
      </c>
      <c r="B578" s="33">
        <f t="shared" si="19"/>
        <v>50</v>
      </c>
      <c r="C578" s="294">
        <f>VLOOKUP($B578,'Mother mortality'!$A$23:$I$124,5)</f>
        <v>2.1116572466693584E-3</v>
      </c>
      <c r="D578" s="295">
        <f t="shared" si="1"/>
        <v>0.27</v>
      </c>
      <c r="E578" s="295">
        <f t="shared" si="9"/>
        <v>0.72788834275333059</v>
      </c>
      <c r="F578" s="295">
        <f>VLOOKUP($B578,'Mother mortality'!$A$23:$I$124,5)</f>
        <v>2.1116572466693584E-3</v>
      </c>
      <c r="G578" s="295">
        <f t="shared" si="2"/>
        <v>0.14000000000000001</v>
      </c>
      <c r="H578" s="295">
        <f t="shared" si="10"/>
        <v>0.85788834275333059</v>
      </c>
      <c r="I578" s="295">
        <f>VLOOKUP($B578,'Mother mortality'!$A$23:$I$124,4)</f>
        <v>1.2774222850222045E-3</v>
      </c>
      <c r="J578" s="295">
        <f t="shared" si="11"/>
        <v>0.42729400628640635</v>
      </c>
      <c r="K578" s="295">
        <f t="shared" si="3"/>
        <v>0.5714285714285714</v>
      </c>
      <c r="L578" s="295">
        <f>VLOOKUP($B578,'Mother mortality'!$A$23:$I$124,4)</f>
        <v>1.2774222850222045E-3</v>
      </c>
      <c r="M578" s="295">
        <f t="shared" si="4"/>
        <v>8.6261668788331098E-3</v>
      </c>
      <c r="N578" s="295">
        <f t="shared" si="12"/>
        <v>0.99009641083614464</v>
      </c>
      <c r="O578" s="294"/>
      <c r="P578" s="296">
        <f t="shared" si="20"/>
        <v>530.53139085299108</v>
      </c>
      <c r="Q578" s="297">
        <f t="shared" si="21"/>
        <v>145.53748043383018</v>
      </c>
      <c r="R578" s="297">
        <f t="shared" si="22"/>
        <v>20.69933035468754</v>
      </c>
      <c r="S578" s="297">
        <f t="shared" si="23"/>
        <v>282.08733032149661</v>
      </c>
      <c r="T578" s="297">
        <f t="shared" si="24"/>
        <v>21.144468036994272</v>
      </c>
      <c r="U578" s="294">
        <f t="shared" si="13"/>
        <v>999.99999999999966</v>
      </c>
      <c r="V578" s="295" t="str">
        <f t="shared" si="5"/>
        <v>OKAY</v>
      </c>
      <c r="W578" s="295"/>
      <c r="X578" s="296">
        <f>SUM($P578:$Q578)-(SUM($P578:$Q578)*(VLOOKUP($B578,Lifetime_morbidity_array!$A$6:$Y$24,4)+VLOOKUP($B578,Lifetime_morbidity_array!$A$6:$Y$24,7)+VLOOKUP($B578,Lifetime_morbidity_array!$A$6:$Y$24,10)+VLOOKUP($B578,Lifetime_morbidity_array!$A$6:$Y$24,13)))</f>
        <v>617.53854039284352</v>
      </c>
      <c r="Y578" s="297">
        <f>SUM($R578:$S578)-(SUM($R578:$S578)*(VLOOKUP($B578,Lifetime_morbidity_array!$A$6:$Y$24,3)+VLOOKUP($B578,Lifetime_morbidity_array!$A$6:$Y$24,6)+VLOOKUP($B578,Lifetime_morbidity_array!$A$6:$Y$24,9)+VLOOKUP($B578,Lifetime_morbidity_array!$A$6:$Y$24,12)))</f>
        <v>293.07733817426816</v>
      </c>
      <c r="Z578" s="297">
        <f>(SUM($P578:$Q578)*VLOOKUP($B578,Lifetime_morbidity_array!$A$6:$Y$24,4))+(SUM($R578:$S578)*VLOOKUP($B578,Lifetime_morbidity_array!$A$6:$Y$24,3))</f>
        <v>26.661207986463609</v>
      </c>
      <c r="AA578" s="297">
        <f>(SUM($P578:$Q578)*VLOOKUP($B578,Lifetime_morbidity_array!$A$6:$Y$24,7))+(SUM($R578:$S578)*VLOOKUP($B578,Lifetime_morbidity_array!$A$6:$Y$24,6))</f>
        <v>25.721174001423343</v>
      </c>
      <c r="AB578" s="297">
        <f>(SUM($P578:$Q578)*VLOOKUP($B578,Lifetime_morbidity_array!$A$6:$Y$24,10))+(SUM($R578:$S578)*VLOOKUP($B578,Lifetime_morbidity_array!$A$6:$Y$24,9))</f>
        <v>1.9010193764601224</v>
      </c>
      <c r="AC578" s="297">
        <f>(SUM($P578:$Q578)*VLOOKUP($B578,Lifetime_morbidity_array!$A$6:$Y$24,13))+(SUM($R578:$S578)*VLOOKUP($B578,Lifetime_morbidity_array!$A$6:$Y$24,12))</f>
        <v>13.956252031546692</v>
      </c>
      <c r="AD578" s="294"/>
      <c r="AE578" s="294">
        <f t="shared" si="25"/>
        <v>50</v>
      </c>
      <c r="AF578" s="297">
        <f t="shared" si="26"/>
        <v>443.70114998986679</v>
      </c>
      <c r="AG578" s="297">
        <f t="shared" si="27"/>
        <v>16224.153455547865</v>
      </c>
      <c r="AH578" s="294"/>
      <c r="AI578" s="294">
        <f t="shared" si="28"/>
        <v>50</v>
      </c>
      <c r="AJ578" s="295">
        <f>((VLOOKUP($B578,'Mahawesran Tariff'!$A$21:$M$120,7)*$X578)+(VLOOKUP($B578,'Mahawesran Tariff'!$A$21:$M$120,6)*$Y578)+(DET_UTIL_chd*$Z578)+(DET_UTIL_copd*$AA578)+(DET_UTIL_lc*$AB578)+(DET_UTIL_stroke*$AC578))/((1+Discount_rate_QALYs)^$A578)</f>
        <v>405.80679909857872</v>
      </c>
      <c r="AK578" s="295">
        <f t="shared" si="29"/>
        <v>15497.55109969747</v>
      </c>
      <c r="AL578" s="294"/>
      <c r="AM578" s="294">
        <f t="shared" si="14"/>
        <v>50</v>
      </c>
      <c r="AN578" s="299">
        <f t="shared" si="15"/>
        <v>177725.03308559486</v>
      </c>
      <c r="AO578" s="299">
        <f t="shared" si="30"/>
        <v>5447820.8282555984</v>
      </c>
      <c r="AP578" s="294"/>
      <c r="AQ578" s="294">
        <f t="shared" si="16"/>
        <v>50</v>
      </c>
      <c r="AR578" s="298">
        <f t="shared" si="6"/>
        <v>0.97885553196300545</v>
      </c>
      <c r="AS578" s="298">
        <f t="shared" si="7"/>
        <v>2.1144468036994272E-2</v>
      </c>
      <c r="AT578" s="298">
        <f t="shared" si="8"/>
        <v>6.8239653395893773E-2</v>
      </c>
      <c r="AU578" s="250"/>
      <c r="AV578" s="294">
        <f t="shared" si="17"/>
        <v>50</v>
      </c>
      <c r="AW578" s="299">
        <f t="shared" si="18"/>
        <v>177725.03308559486</v>
      </c>
      <c r="AX578" s="299">
        <f t="shared" si="31"/>
        <v>5444780.8282555984</v>
      </c>
      <c r="AY578" s="335"/>
      <c r="AZ578" s="335"/>
      <c r="BA578" s="335"/>
      <c r="BB578" s="335"/>
      <c r="BC578" s="335"/>
      <c r="BD578" s="335"/>
      <c r="BE578" s="335"/>
      <c r="BF578" s="335"/>
      <c r="BG578" s="335"/>
      <c r="BH578" s="335"/>
      <c r="BI578" s="335"/>
      <c r="BJ578" s="335"/>
      <c r="BK578" s="364"/>
      <c r="BL578" s="364"/>
      <c r="BM578" s="364"/>
      <c r="BN578" s="364"/>
      <c r="BO578" s="364"/>
      <c r="BP578" s="364"/>
      <c r="BQ578" s="335"/>
      <c r="BR578" s="335"/>
      <c r="BS578" s="364"/>
      <c r="BT578" s="364"/>
      <c r="BU578" s="364"/>
      <c r="BV578" s="364"/>
      <c r="BW578" s="364"/>
      <c r="BX578" s="364"/>
      <c r="BY578" s="335"/>
      <c r="BZ578" s="335"/>
      <c r="CA578" s="364"/>
      <c r="CB578" s="364"/>
      <c r="CC578" s="335"/>
      <c r="CD578" s="335"/>
      <c r="CE578" s="335"/>
      <c r="CF578" s="335"/>
      <c r="CG578" s="335"/>
      <c r="CH578" s="335"/>
      <c r="CI578" s="365"/>
      <c r="CJ578" s="365"/>
      <c r="CK578" s="335"/>
      <c r="CL578" s="335"/>
      <c r="CM578" s="366"/>
      <c r="CN578" s="366"/>
      <c r="CO578" s="366"/>
      <c r="CP578" s="3"/>
    </row>
    <row r="579" spans="1:94" x14ac:dyDescent="0.25">
      <c r="A579" s="34">
        <v>24</v>
      </c>
      <c r="B579" s="33">
        <f t="shared" si="19"/>
        <v>51</v>
      </c>
      <c r="C579" s="294">
        <f>VLOOKUP($B579,'Mother mortality'!$A$23:$I$124,5)</f>
        <v>2.3070448122729107E-3</v>
      </c>
      <c r="D579" s="295">
        <f t="shared" si="1"/>
        <v>0.27</v>
      </c>
      <c r="E579" s="295">
        <f t="shared" si="9"/>
        <v>0.72769295518772703</v>
      </c>
      <c r="F579" s="295">
        <f>VLOOKUP($B579,'Mother mortality'!$A$23:$I$124,5)</f>
        <v>2.3070448122729107E-3</v>
      </c>
      <c r="G579" s="295">
        <f t="shared" si="2"/>
        <v>0.14000000000000001</v>
      </c>
      <c r="H579" s="295">
        <f t="shared" si="10"/>
        <v>0.85769295518772704</v>
      </c>
      <c r="I579" s="295">
        <f>VLOOKUP($B579,'Mother mortality'!$A$23:$I$124,4)</f>
        <v>1.395619701251514E-3</v>
      </c>
      <c r="J579" s="295">
        <f t="shared" si="11"/>
        <v>0.42717580887017714</v>
      </c>
      <c r="K579" s="295">
        <f t="shared" si="3"/>
        <v>0.5714285714285714</v>
      </c>
      <c r="L579" s="295">
        <f>VLOOKUP($B579,'Mother mortality'!$A$23:$I$124,4)</f>
        <v>1.395619701251514E-3</v>
      </c>
      <c r="M579" s="295">
        <f t="shared" si="4"/>
        <v>8.6261668788331098E-3</v>
      </c>
      <c r="N579" s="295">
        <f t="shared" si="12"/>
        <v>0.98997821341991543</v>
      </c>
      <c r="O579" s="294"/>
      <c r="P579" s="296">
        <f t="shared" si="20"/>
        <v>522.16601288662832</v>
      </c>
      <c r="Q579" s="297">
        <f t="shared" si="21"/>
        <v>143.24347553030759</v>
      </c>
      <c r="R579" s="297">
        <f t="shared" si="22"/>
        <v>20.375247260736227</v>
      </c>
      <c r="S579" s="297">
        <f t="shared" si="23"/>
        <v>291.0885000741759</v>
      </c>
      <c r="T579" s="297">
        <f t="shared" si="24"/>
        <v>23.126764248151574</v>
      </c>
      <c r="U579" s="294">
        <f t="shared" si="13"/>
        <v>999.99999999999977</v>
      </c>
      <c r="V579" s="295" t="str">
        <f t="shared" si="5"/>
        <v>OKAY</v>
      </c>
      <c r="W579" s="295"/>
      <c r="X579" s="296">
        <f>SUM($P579:$Q579)-(SUM($P579:$Q579)*(VLOOKUP($B579,Lifetime_morbidity_array!$A$6:$Y$24,4)+VLOOKUP($B579,Lifetime_morbidity_array!$A$6:$Y$24,7)+VLOOKUP($B579,Lifetime_morbidity_array!$A$6:$Y$24,10)+VLOOKUP($B579,Lifetime_morbidity_array!$A$6:$Y$24,13)))</f>
        <v>607.80198836608292</v>
      </c>
      <c r="Y579" s="297">
        <f>SUM($R579:$S579)-(SUM($R579:$S579)*(VLOOKUP($B579,Lifetime_morbidity_array!$A$6:$Y$24,3)+VLOOKUP($B579,Lifetime_morbidity_array!$A$6:$Y$24,6)+VLOOKUP($B579,Lifetime_morbidity_array!$A$6:$Y$24,9)+VLOOKUP($B579,Lifetime_morbidity_array!$A$6:$Y$24,12)))</f>
        <v>301.47618063109326</v>
      </c>
      <c r="Z579" s="297">
        <f>(SUM($P579:$Q579)*VLOOKUP($B579,Lifetime_morbidity_array!$A$6:$Y$24,4))+(SUM($R579:$S579)*VLOOKUP($B579,Lifetime_morbidity_array!$A$6:$Y$24,3))</f>
        <v>26.438700267879621</v>
      </c>
      <c r="AA579" s="297">
        <f>(SUM($P579:$Q579)*VLOOKUP($B579,Lifetime_morbidity_array!$A$6:$Y$24,7))+(SUM($R579:$S579)*VLOOKUP($B579,Lifetime_morbidity_array!$A$6:$Y$24,6))</f>
        <v>25.446065700516829</v>
      </c>
      <c r="AB579" s="297">
        <f>(SUM($P579:$Q579)*VLOOKUP($B579,Lifetime_morbidity_array!$A$6:$Y$24,10))+(SUM($R579:$S579)*VLOOKUP($B579,Lifetime_morbidity_array!$A$6:$Y$24,9))</f>
        <v>1.8779412614148769</v>
      </c>
      <c r="AC579" s="297">
        <f>(SUM($P579:$Q579)*VLOOKUP($B579,Lifetime_morbidity_array!$A$6:$Y$24,13))+(SUM($R579:$S579)*VLOOKUP($B579,Lifetime_morbidity_array!$A$6:$Y$24,12))</f>
        <v>13.832359524860543</v>
      </c>
      <c r="AD579" s="294"/>
      <c r="AE579" s="294">
        <f t="shared" si="25"/>
        <v>51</v>
      </c>
      <c r="AF579" s="297">
        <f t="shared" si="26"/>
        <v>427.82860250806544</v>
      </c>
      <c r="AG579" s="297">
        <f t="shared" si="27"/>
        <v>16651.982058055932</v>
      </c>
      <c r="AH579" s="294"/>
      <c r="AI579" s="294">
        <f t="shared" si="28"/>
        <v>51</v>
      </c>
      <c r="AJ579" s="295">
        <f>((VLOOKUP($B579,'Mahawesran Tariff'!$A$21:$M$120,7)*$X579)+(VLOOKUP($B579,'Mahawesran Tariff'!$A$21:$M$120,6)*$Y579)+(DET_UTIL_chd*$Z579)+(DET_UTIL_copd*$AA579)+(DET_UTIL_lc*$AB579)+(DET_UTIL_stroke*$AC579))/((1+Discount_rate_QALYs)^$A579)</f>
        <v>391.39923750185875</v>
      </c>
      <c r="AK579" s="295">
        <f t="shared" si="29"/>
        <v>15888.950337199329</v>
      </c>
      <c r="AL579" s="294"/>
      <c r="AM579" s="294">
        <f t="shared" si="14"/>
        <v>51</v>
      </c>
      <c r="AN579" s="299">
        <f t="shared" si="15"/>
        <v>170158.83028724181</v>
      </c>
      <c r="AO579" s="299">
        <f t="shared" si="30"/>
        <v>5617979.6585428398</v>
      </c>
      <c r="AP579" s="294"/>
      <c r="AQ579" s="294">
        <f t="shared" si="16"/>
        <v>51</v>
      </c>
      <c r="AR579" s="298">
        <f t="shared" si="6"/>
        <v>0.97687323575184815</v>
      </c>
      <c r="AS579" s="298">
        <f t="shared" si="7"/>
        <v>2.3126764248151573E-2</v>
      </c>
      <c r="AT579" s="298">
        <f t="shared" si="8"/>
        <v>6.7595066754671876E-2</v>
      </c>
      <c r="AU579" s="250"/>
      <c r="AV579" s="294">
        <f t="shared" si="17"/>
        <v>51</v>
      </c>
      <c r="AW579" s="299">
        <f t="shared" si="18"/>
        <v>170158.83028724181</v>
      </c>
      <c r="AX579" s="299">
        <f t="shared" si="31"/>
        <v>5614939.6585428398</v>
      </c>
      <c r="AY579" s="335"/>
      <c r="AZ579" s="335"/>
      <c r="BA579" s="335"/>
      <c r="BB579" s="335"/>
      <c r="BC579" s="335"/>
      <c r="BD579" s="335"/>
      <c r="BE579" s="335"/>
      <c r="BF579" s="335"/>
      <c r="BG579" s="335"/>
      <c r="BH579" s="335"/>
      <c r="BI579" s="335"/>
      <c r="BJ579" s="335"/>
      <c r="BK579" s="364"/>
      <c r="BL579" s="364"/>
      <c r="BM579" s="364"/>
      <c r="BN579" s="364"/>
      <c r="BO579" s="364"/>
      <c r="BP579" s="364"/>
      <c r="BQ579" s="335"/>
      <c r="BR579" s="335"/>
      <c r="BS579" s="364"/>
      <c r="BT579" s="364"/>
      <c r="BU579" s="364"/>
      <c r="BV579" s="364"/>
      <c r="BW579" s="364"/>
      <c r="BX579" s="364"/>
      <c r="BY579" s="335"/>
      <c r="BZ579" s="335"/>
      <c r="CA579" s="364"/>
      <c r="CB579" s="364"/>
      <c r="CC579" s="335"/>
      <c r="CD579" s="335"/>
      <c r="CE579" s="335"/>
      <c r="CF579" s="335"/>
      <c r="CG579" s="335"/>
      <c r="CH579" s="335"/>
      <c r="CI579" s="365"/>
      <c r="CJ579" s="365"/>
      <c r="CK579" s="335"/>
      <c r="CL579" s="335"/>
      <c r="CM579" s="366"/>
      <c r="CN579" s="366"/>
      <c r="CO579" s="366"/>
      <c r="CP579" s="3"/>
    </row>
    <row r="580" spans="1:94" x14ac:dyDescent="0.25">
      <c r="A580" s="34">
        <v>25</v>
      </c>
      <c r="B580" s="33">
        <f t="shared" si="19"/>
        <v>52</v>
      </c>
      <c r="C580" s="294">
        <f>VLOOKUP($B580,'Mother mortality'!$A$23:$I$124,5)</f>
        <v>2.5178017763423494E-3</v>
      </c>
      <c r="D580" s="295">
        <f t="shared" si="1"/>
        <v>0.27</v>
      </c>
      <c r="E580" s="295">
        <f t="shared" si="9"/>
        <v>0.72748219822365767</v>
      </c>
      <c r="F580" s="295">
        <f>VLOOKUP($B580,'Mother mortality'!$A$23:$I$124,5)</f>
        <v>2.5178017763423494E-3</v>
      </c>
      <c r="G580" s="295">
        <f t="shared" si="2"/>
        <v>0.14000000000000001</v>
      </c>
      <c r="H580" s="295">
        <f t="shared" si="10"/>
        <v>0.85748219822365768</v>
      </c>
      <c r="I580" s="295">
        <f>VLOOKUP($B580,'Mother mortality'!$A$23:$I$124,4)</f>
        <v>1.5231146548243845E-3</v>
      </c>
      <c r="J580" s="295">
        <f t="shared" si="11"/>
        <v>0.42704831391660425</v>
      </c>
      <c r="K580" s="295">
        <f t="shared" si="3"/>
        <v>0.5714285714285714</v>
      </c>
      <c r="L580" s="295">
        <f>VLOOKUP($B580,'Mother mortality'!$A$23:$I$124,4)</f>
        <v>1.5231146548243845E-3</v>
      </c>
      <c r="M580" s="295">
        <f t="shared" si="4"/>
        <v>8.6261668788331098E-3</v>
      </c>
      <c r="N580" s="295">
        <f t="shared" si="12"/>
        <v>0.98985071846634254</v>
      </c>
      <c r="O580" s="294"/>
      <c r="P580" s="296">
        <f t="shared" si="20"/>
        <v>513.90740213785239</v>
      </c>
      <c r="Q580" s="297">
        <f t="shared" si="21"/>
        <v>140.98482347938966</v>
      </c>
      <c r="R580" s="297">
        <f t="shared" si="22"/>
        <v>20.054086574243065</v>
      </c>
      <c r="S580" s="297">
        <f t="shared" si="23"/>
        <v>299.77715937041944</v>
      </c>
      <c r="T580" s="297">
        <f t="shared" si="24"/>
        <v>25.276528438095117</v>
      </c>
      <c r="U580" s="294">
        <f t="shared" si="13"/>
        <v>999.99999999999977</v>
      </c>
      <c r="V580" s="295" t="str">
        <f t="shared" si="5"/>
        <v>OKAY</v>
      </c>
      <c r="W580" s="295"/>
      <c r="X580" s="296">
        <f>SUM($P580:$Q580)-(SUM($P580:$Q580)*(VLOOKUP($B580,Lifetime_morbidity_array!$A$6:$Y$24,4)+VLOOKUP($B580,Lifetime_morbidity_array!$A$6:$Y$24,7)+VLOOKUP($B580,Lifetime_morbidity_array!$A$6:$Y$24,10)+VLOOKUP($B580,Lifetime_morbidity_array!$A$6:$Y$24,13)))</f>
        <v>598.19525243415228</v>
      </c>
      <c r="Y580" s="297">
        <f>SUM($R580:$S580)-(SUM($R580:$S580)*(VLOOKUP($B580,Lifetime_morbidity_array!$A$6:$Y$24,3)+VLOOKUP($B580,Lifetime_morbidity_array!$A$6:$Y$24,6)+VLOOKUP($B580,Lifetime_morbidity_array!$A$6:$Y$24,9)+VLOOKUP($B580,Lifetime_morbidity_array!$A$6:$Y$24,12)))</f>
        <v>309.57536245847626</v>
      </c>
      <c r="Z580" s="297">
        <f>(SUM($P580:$Q580)*VLOOKUP($B580,Lifetime_morbidity_array!$A$6:$Y$24,4))+(SUM($R580:$S580)*VLOOKUP($B580,Lifetime_morbidity_array!$A$6:$Y$24,3))</f>
        <v>26.216307165052235</v>
      </c>
      <c r="AA580" s="297">
        <f>(SUM($P580:$Q580)*VLOOKUP($B580,Lifetime_morbidity_array!$A$6:$Y$24,7))+(SUM($R580:$S580)*VLOOKUP($B580,Lifetime_morbidity_array!$A$6:$Y$24,6))</f>
        <v>25.172745222098563</v>
      </c>
      <c r="AB580" s="297">
        <f>(SUM($P580:$Q580)*VLOOKUP($B580,Lifetime_morbidity_array!$A$6:$Y$24,10))+(SUM($R580:$S580)*VLOOKUP($B580,Lifetime_morbidity_array!$A$6:$Y$24,9))</f>
        <v>1.8550714559431261</v>
      </c>
      <c r="AC580" s="297">
        <f>(SUM($P580:$Q580)*VLOOKUP($B580,Lifetime_morbidity_array!$A$6:$Y$24,13))+(SUM($R580:$S580)*VLOOKUP($B580,Lifetime_morbidity_array!$A$6:$Y$24,12))</f>
        <v>13.708732826182114</v>
      </c>
      <c r="AD580" s="294"/>
      <c r="AE580" s="294">
        <f t="shared" si="25"/>
        <v>52</v>
      </c>
      <c r="AF580" s="297">
        <f t="shared" si="26"/>
        <v>412.45130236221149</v>
      </c>
      <c r="AG580" s="297">
        <f t="shared" si="27"/>
        <v>17064.433360418145</v>
      </c>
      <c r="AH580" s="294"/>
      <c r="AI580" s="294">
        <f t="shared" si="28"/>
        <v>52</v>
      </c>
      <c r="AJ580" s="295">
        <f>((VLOOKUP($B580,'Mahawesran Tariff'!$A$21:$M$120,7)*$X580)+(VLOOKUP($B580,'Mahawesran Tariff'!$A$21:$M$120,6)*$Y580)+(DET_UTIL_chd*$Z580)+(DET_UTIL_copd*$AA580)+(DET_UTIL_lc*$AB580)+(DET_UTIL_stroke*$AC580))/((1+Discount_rate_QALYs)^$A580)</f>
        <v>377.4342956142637</v>
      </c>
      <c r="AK580" s="295">
        <f t="shared" si="29"/>
        <v>16266.384632813593</v>
      </c>
      <c r="AL580" s="294"/>
      <c r="AM580" s="294">
        <f t="shared" si="14"/>
        <v>52</v>
      </c>
      <c r="AN580" s="299">
        <f t="shared" si="15"/>
        <v>162905.1269374472</v>
      </c>
      <c r="AO580" s="299">
        <f t="shared" si="30"/>
        <v>5780884.7854802869</v>
      </c>
      <c r="AP580" s="294"/>
      <c r="AQ580" s="294">
        <f t="shared" si="16"/>
        <v>52</v>
      </c>
      <c r="AR580" s="298">
        <f t="shared" si="6"/>
        <v>0.97472347156190464</v>
      </c>
      <c r="AS580" s="298">
        <f t="shared" si="7"/>
        <v>2.5276528438095115E-2</v>
      </c>
      <c r="AT580" s="298">
        <f t="shared" si="8"/>
        <v>6.6952856669276029E-2</v>
      </c>
      <c r="AU580" s="250"/>
      <c r="AV580" s="294">
        <f t="shared" si="17"/>
        <v>52</v>
      </c>
      <c r="AW580" s="299">
        <f t="shared" si="18"/>
        <v>162905.1269374472</v>
      </c>
      <c r="AX580" s="299">
        <f t="shared" si="31"/>
        <v>5777844.7854802869</v>
      </c>
      <c r="AY580" s="335"/>
      <c r="AZ580" s="335"/>
      <c r="BA580" s="335"/>
      <c r="BB580" s="335"/>
      <c r="BC580" s="335"/>
      <c r="BD580" s="335"/>
      <c r="BE580" s="335"/>
      <c r="BF580" s="335"/>
      <c r="BG580" s="335"/>
      <c r="BH580" s="335"/>
      <c r="BI580" s="335"/>
      <c r="BJ580" s="335"/>
      <c r="BK580" s="364"/>
      <c r="BL580" s="364"/>
      <c r="BM580" s="364"/>
      <c r="BN580" s="364"/>
      <c r="BO580" s="364"/>
      <c r="BP580" s="364"/>
      <c r="BQ580" s="335"/>
      <c r="BR580" s="335"/>
      <c r="BS580" s="364"/>
      <c r="BT580" s="364"/>
      <c r="BU580" s="364"/>
      <c r="BV580" s="364"/>
      <c r="BW580" s="364"/>
      <c r="BX580" s="364"/>
      <c r="BY580" s="335"/>
      <c r="BZ580" s="335"/>
      <c r="CA580" s="364"/>
      <c r="CB580" s="364"/>
      <c r="CC580" s="335"/>
      <c r="CD580" s="335"/>
      <c r="CE580" s="335"/>
      <c r="CF580" s="335"/>
      <c r="CG580" s="335"/>
      <c r="CH580" s="335"/>
      <c r="CI580" s="365"/>
      <c r="CJ580" s="365"/>
      <c r="CK580" s="335"/>
      <c r="CL580" s="335"/>
      <c r="CM580" s="366"/>
      <c r="CN580" s="366"/>
      <c r="CO580" s="366"/>
      <c r="CP580" s="3"/>
    </row>
    <row r="581" spans="1:94" x14ac:dyDescent="0.25">
      <c r="A581" s="34">
        <v>26</v>
      </c>
      <c r="B581" s="33">
        <f t="shared" si="19"/>
        <v>53</v>
      </c>
      <c r="C581" s="294">
        <f>VLOOKUP($B581,'Mother mortality'!$A$23:$I$124,5)</f>
        <v>2.7506318126766247E-3</v>
      </c>
      <c r="D581" s="295">
        <f t="shared" si="1"/>
        <v>0.27</v>
      </c>
      <c r="E581" s="295">
        <f t="shared" si="9"/>
        <v>0.72724936818732333</v>
      </c>
      <c r="F581" s="295">
        <f>VLOOKUP($B581,'Mother mortality'!$A$23:$I$124,5)</f>
        <v>2.7506318126766247E-3</v>
      </c>
      <c r="G581" s="295">
        <f t="shared" si="2"/>
        <v>0.14000000000000001</v>
      </c>
      <c r="H581" s="295">
        <f t="shared" si="10"/>
        <v>0.85724936818732334</v>
      </c>
      <c r="I581" s="295">
        <f>VLOOKUP($B581,'Mother mortality'!$A$23:$I$124,4)</f>
        <v>1.6639624545821557E-3</v>
      </c>
      <c r="J581" s="295">
        <f t="shared" si="11"/>
        <v>0.42690746611684649</v>
      </c>
      <c r="K581" s="295">
        <f t="shared" si="3"/>
        <v>0.5714285714285714</v>
      </c>
      <c r="L581" s="295">
        <f>VLOOKUP($B581,'Mother mortality'!$A$23:$I$124,4)</f>
        <v>1.6639624545821557E-3</v>
      </c>
      <c r="M581" s="295">
        <f t="shared" si="4"/>
        <v>8.6261668788331098E-3</v>
      </c>
      <c r="N581" s="295">
        <f t="shared" si="12"/>
        <v>0.98970987066658478</v>
      </c>
      <c r="O581" s="294"/>
      <c r="P581" s="296">
        <f t="shared" si="20"/>
        <v>505.74515145113969</v>
      </c>
      <c r="Q581" s="297">
        <f t="shared" si="21"/>
        <v>138.75499857722016</v>
      </c>
      <c r="R581" s="297">
        <f t="shared" si="22"/>
        <v>19.737875287114555</v>
      </c>
      <c r="S581" s="297">
        <f t="shared" si="23"/>
        <v>308.1518916717186</v>
      </c>
      <c r="T581" s="297">
        <f t="shared" si="24"/>
        <v>27.610083012806648</v>
      </c>
      <c r="U581" s="294">
        <f t="shared" si="13"/>
        <v>999.99999999999955</v>
      </c>
      <c r="V581" s="295" t="str">
        <f t="shared" si="5"/>
        <v>OKAY</v>
      </c>
      <c r="W581" s="295"/>
      <c r="X581" s="296">
        <f>SUM($P581:$Q581)-(SUM($P581:$Q581)*(VLOOKUP($B581,Lifetime_morbidity_array!$A$6:$Y$24,4)+VLOOKUP($B581,Lifetime_morbidity_array!$A$6:$Y$24,7)+VLOOKUP($B581,Lifetime_morbidity_array!$A$6:$Y$24,10)+VLOOKUP($B581,Lifetime_morbidity_array!$A$6:$Y$24,13)))</f>
        <v>588.70286569166637</v>
      </c>
      <c r="Y581" s="297">
        <f>SUM($R581:$S581)-(SUM($R581:$S581)*(VLOOKUP($B581,Lifetime_morbidity_array!$A$6:$Y$24,3)+VLOOKUP($B581,Lifetime_morbidity_array!$A$6:$Y$24,6)+VLOOKUP($B581,Lifetime_morbidity_array!$A$6:$Y$24,9)+VLOOKUP($B581,Lifetime_morbidity_array!$A$6:$Y$24,12)))</f>
        <v>317.37547453468272</v>
      </c>
      <c r="Z581" s="297">
        <f>(SUM($P581:$Q581)*VLOOKUP($B581,Lifetime_morbidity_array!$A$6:$Y$24,4))+(SUM($R581:$S581)*VLOOKUP($B581,Lifetime_morbidity_array!$A$6:$Y$24,3))</f>
        <v>25.993481446698304</v>
      </c>
      <c r="AA581" s="297">
        <f>(SUM($P581:$Q581)*VLOOKUP($B581,Lifetime_morbidity_array!$A$6:$Y$24,7))+(SUM($R581:$S581)*VLOOKUP($B581,Lifetime_morbidity_array!$A$6:$Y$24,6))</f>
        <v>24.900647807187713</v>
      </c>
      <c r="AB581" s="297">
        <f>(SUM($P581:$Q581)*VLOOKUP($B581,Lifetime_morbidity_array!$A$6:$Y$24,10))+(SUM($R581:$S581)*VLOOKUP($B581,Lifetime_morbidity_array!$A$6:$Y$24,9))</f>
        <v>1.8323665471053392</v>
      </c>
      <c r="AC581" s="297">
        <f>(SUM($P581:$Q581)*VLOOKUP($B581,Lifetime_morbidity_array!$A$6:$Y$24,13))+(SUM($R581:$S581)*VLOOKUP($B581,Lifetime_morbidity_array!$A$6:$Y$24,12))</f>
        <v>13.585080959852531</v>
      </c>
      <c r="AD581" s="294"/>
      <c r="AE581" s="294">
        <f t="shared" si="25"/>
        <v>53</v>
      </c>
      <c r="AF581" s="297">
        <f t="shared" si="26"/>
        <v>397.54962876292274</v>
      </c>
      <c r="AG581" s="297">
        <f t="shared" si="27"/>
        <v>17461.982989181066</v>
      </c>
      <c r="AH581" s="294"/>
      <c r="AI581" s="294">
        <f t="shared" si="28"/>
        <v>53</v>
      </c>
      <c r="AJ581" s="295">
        <f>((VLOOKUP($B581,'Mahawesran Tariff'!$A$21:$M$120,7)*$X581)+(VLOOKUP($B581,'Mahawesran Tariff'!$A$21:$M$120,6)*$Y581)+(DET_UTIL_chd*$Z581)+(DET_UTIL_copd*$AA581)+(DET_UTIL_lc*$AB581)+(DET_UTIL_stroke*$AC581))/((1+Discount_rate_QALYs)^$A581)</f>
        <v>363.89476336246963</v>
      </c>
      <c r="AK581" s="295">
        <f t="shared" si="29"/>
        <v>16630.279396176062</v>
      </c>
      <c r="AL581" s="294"/>
      <c r="AM581" s="294">
        <f t="shared" si="14"/>
        <v>53</v>
      </c>
      <c r="AN581" s="299">
        <f t="shared" si="15"/>
        <v>155947.94426410855</v>
      </c>
      <c r="AO581" s="299">
        <f t="shared" si="30"/>
        <v>5936832.7297443952</v>
      </c>
      <c r="AP581" s="294"/>
      <c r="AQ581" s="294">
        <f t="shared" si="16"/>
        <v>53</v>
      </c>
      <c r="AR581" s="298">
        <f t="shared" si="6"/>
        <v>0.9723899169871929</v>
      </c>
      <c r="AS581" s="298">
        <f t="shared" si="7"/>
        <v>2.7610083012806649E-2</v>
      </c>
      <c r="AT581" s="298">
        <f t="shared" si="8"/>
        <v>6.6311576760843885E-2</v>
      </c>
      <c r="AU581" s="250"/>
      <c r="AV581" s="294">
        <f t="shared" si="17"/>
        <v>53</v>
      </c>
      <c r="AW581" s="299">
        <f t="shared" si="18"/>
        <v>155947.94426410855</v>
      </c>
      <c r="AX581" s="299">
        <f t="shared" si="31"/>
        <v>5933792.7297443952</v>
      </c>
      <c r="AY581" s="335"/>
      <c r="AZ581" s="335"/>
      <c r="BA581" s="335"/>
      <c r="BB581" s="335"/>
      <c r="BC581" s="335"/>
      <c r="BD581" s="335"/>
      <c r="BE581" s="335"/>
      <c r="BF581" s="335"/>
      <c r="BG581" s="335"/>
      <c r="BH581" s="335"/>
      <c r="BI581" s="335"/>
      <c r="BJ581" s="335"/>
      <c r="BK581" s="364"/>
      <c r="BL581" s="364"/>
      <c r="BM581" s="364"/>
      <c r="BN581" s="364"/>
      <c r="BO581" s="364"/>
      <c r="BP581" s="364"/>
      <c r="BQ581" s="335"/>
      <c r="BR581" s="335"/>
      <c r="BS581" s="364"/>
      <c r="BT581" s="364"/>
      <c r="BU581" s="364"/>
      <c r="BV581" s="364"/>
      <c r="BW581" s="364"/>
      <c r="BX581" s="364"/>
      <c r="BY581" s="335"/>
      <c r="BZ581" s="335"/>
      <c r="CA581" s="364"/>
      <c r="CB581" s="364"/>
      <c r="CC581" s="335"/>
      <c r="CD581" s="335"/>
      <c r="CE581" s="335"/>
      <c r="CF581" s="335"/>
      <c r="CG581" s="335"/>
      <c r="CH581" s="335"/>
      <c r="CI581" s="365"/>
      <c r="CJ581" s="365"/>
      <c r="CK581" s="335"/>
      <c r="CL581" s="335"/>
      <c r="CM581" s="366"/>
      <c r="CN581" s="366"/>
      <c r="CO581" s="366"/>
      <c r="CP581" s="3"/>
    </row>
    <row r="582" spans="1:94" x14ac:dyDescent="0.25">
      <c r="A582" s="34">
        <v>27</v>
      </c>
      <c r="B582" s="33">
        <f t="shared" si="19"/>
        <v>54</v>
      </c>
      <c r="C582" s="294">
        <f>VLOOKUP($B582,'Mother mortality'!$A$23:$I$124,5)</f>
        <v>3.0021013322567625E-3</v>
      </c>
      <c r="D582" s="295">
        <f t="shared" si="1"/>
        <v>0.27</v>
      </c>
      <c r="E582" s="295">
        <f t="shared" si="9"/>
        <v>0.72699789866774323</v>
      </c>
      <c r="F582" s="295">
        <f>VLOOKUP($B582,'Mother mortality'!$A$23:$I$124,5)</f>
        <v>3.0021013322567625E-3</v>
      </c>
      <c r="G582" s="295">
        <f t="shared" si="2"/>
        <v>0.14000000000000001</v>
      </c>
      <c r="H582" s="295">
        <f t="shared" si="10"/>
        <v>0.85699789866774323</v>
      </c>
      <c r="I582" s="295">
        <f>VLOOKUP($B582,'Mother mortality'!$A$23:$I$124,4)</f>
        <v>1.8160859911182888E-3</v>
      </c>
      <c r="J582" s="295">
        <f t="shared" si="11"/>
        <v>0.42675534258031034</v>
      </c>
      <c r="K582" s="295">
        <f t="shared" si="3"/>
        <v>0.5714285714285714</v>
      </c>
      <c r="L582" s="295">
        <f>VLOOKUP($B582,'Mother mortality'!$A$23:$I$124,4)</f>
        <v>1.8160859911182888E-3</v>
      </c>
      <c r="M582" s="295">
        <f t="shared" si="4"/>
        <v>8.6261668788331098E-3</v>
      </c>
      <c r="N582" s="295">
        <f t="shared" si="12"/>
        <v>0.98955774713004863</v>
      </c>
      <c r="O582" s="294"/>
      <c r="P582" s="296">
        <f t="shared" si="20"/>
        <v>497.66981794824983</v>
      </c>
      <c r="Q582" s="297">
        <f t="shared" si="21"/>
        <v>136.55119089180772</v>
      </c>
      <c r="R582" s="297">
        <f t="shared" si="22"/>
        <v>19.425699800810825</v>
      </c>
      <c r="S582" s="297">
        <f t="shared" si="23"/>
        <v>316.21287757487983</v>
      </c>
      <c r="T582" s="297">
        <f t="shared" si="24"/>
        <v>30.140413784251447</v>
      </c>
      <c r="U582" s="294">
        <f t="shared" si="13"/>
        <v>999.99999999999955</v>
      </c>
      <c r="V582" s="295" t="str">
        <f t="shared" si="5"/>
        <v>OKAY</v>
      </c>
      <c r="W582" s="295"/>
      <c r="X582" s="296">
        <f>SUM($P582:$Q582)-(SUM($P582:$Q582)*(VLOOKUP($B582,Lifetime_morbidity_array!$A$6:$Y$24,4)+VLOOKUP($B582,Lifetime_morbidity_array!$A$6:$Y$24,7)+VLOOKUP($B582,Lifetime_morbidity_array!$A$6:$Y$24,10)+VLOOKUP($B582,Lifetime_morbidity_array!$A$6:$Y$24,13)))</f>
        <v>579.31363610942878</v>
      </c>
      <c r="Y582" s="297">
        <f>SUM($R582:$S582)-(SUM($R582:$S582)*(VLOOKUP($B582,Lifetime_morbidity_array!$A$6:$Y$24,3)+VLOOKUP($B582,Lifetime_morbidity_array!$A$6:$Y$24,6)+VLOOKUP($B582,Lifetime_morbidity_array!$A$6:$Y$24,9)+VLOOKUP($B582,Lifetime_morbidity_array!$A$6:$Y$24,12)))</f>
        <v>324.87580736281342</v>
      </c>
      <c r="Z582" s="297">
        <f>(SUM($P582:$Q582)*VLOOKUP($B582,Lifetime_morbidity_array!$A$6:$Y$24,4))+(SUM($R582:$S582)*VLOOKUP($B582,Lifetime_morbidity_array!$A$6:$Y$24,3))</f>
        <v>25.769809850824771</v>
      </c>
      <c r="AA582" s="297">
        <f>(SUM($P582:$Q582)*VLOOKUP($B582,Lifetime_morbidity_array!$A$6:$Y$24,7))+(SUM($R582:$S582)*VLOOKUP($B582,Lifetime_morbidity_array!$A$6:$Y$24,6))</f>
        <v>24.629353398766774</v>
      </c>
      <c r="AB582" s="297">
        <f>(SUM($P582:$Q582)*VLOOKUP($B582,Lifetime_morbidity_array!$A$6:$Y$24,10))+(SUM($R582:$S582)*VLOOKUP($B582,Lifetime_morbidity_array!$A$6:$Y$24,9))</f>
        <v>1.8097945186606845</v>
      </c>
      <c r="AC582" s="297">
        <f>(SUM($P582:$Q582)*VLOOKUP($B582,Lifetime_morbidity_array!$A$6:$Y$24,13))+(SUM($R582:$S582)*VLOOKUP($B582,Lifetime_morbidity_array!$A$6:$Y$24,12))</f>
        <v>13.461184975253744</v>
      </c>
      <c r="AD582" s="294"/>
      <c r="AE582" s="294">
        <f t="shared" si="25"/>
        <v>54</v>
      </c>
      <c r="AF582" s="297">
        <f t="shared" si="26"/>
        <v>383.10640987825241</v>
      </c>
      <c r="AG582" s="297">
        <f t="shared" si="27"/>
        <v>17845.089399059318</v>
      </c>
      <c r="AH582" s="294"/>
      <c r="AI582" s="294">
        <f t="shared" si="28"/>
        <v>54</v>
      </c>
      <c r="AJ582" s="295">
        <f>((VLOOKUP($B582,'Mahawesran Tariff'!$A$21:$M$120,7)*$X582)+(VLOOKUP($B582,'Mahawesran Tariff'!$A$21:$M$120,6)*$Y582)+(DET_UTIL_chd*$Z582)+(DET_UTIL_copd*$AA582)+(DET_UTIL_lc*$AB582)+(DET_UTIL_stroke*$AC582))/((1+Discount_rate_QALYs)^$A582)</f>
        <v>350.76559979163801</v>
      </c>
      <c r="AK582" s="295">
        <f t="shared" si="29"/>
        <v>16981.044995967699</v>
      </c>
      <c r="AL582" s="294"/>
      <c r="AM582" s="294">
        <f t="shared" si="14"/>
        <v>54</v>
      </c>
      <c r="AN582" s="299">
        <f t="shared" si="15"/>
        <v>149273.06529914745</v>
      </c>
      <c r="AO582" s="299">
        <f t="shared" si="30"/>
        <v>6086105.795043543</v>
      </c>
      <c r="AP582" s="294"/>
      <c r="AQ582" s="294">
        <f t="shared" si="16"/>
        <v>54</v>
      </c>
      <c r="AR582" s="298">
        <f t="shared" si="6"/>
        <v>0.96985958621574808</v>
      </c>
      <c r="AS582" s="298">
        <f t="shared" si="7"/>
        <v>3.0140413784251446E-2</v>
      </c>
      <c r="AT582" s="298">
        <f t="shared" si="8"/>
        <v>6.567014274350598E-2</v>
      </c>
      <c r="AU582" s="250"/>
      <c r="AV582" s="294">
        <f t="shared" si="17"/>
        <v>54</v>
      </c>
      <c r="AW582" s="299">
        <f t="shared" si="18"/>
        <v>149273.06529914745</v>
      </c>
      <c r="AX582" s="299">
        <f t="shared" si="31"/>
        <v>6083065.795043543</v>
      </c>
      <c r="AY582" s="335"/>
      <c r="AZ582" s="335"/>
      <c r="BA582" s="335"/>
      <c r="BB582" s="335"/>
      <c r="BC582" s="335"/>
      <c r="BD582" s="335"/>
      <c r="BE582" s="335"/>
      <c r="BF582" s="335"/>
      <c r="BG582" s="335"/>
      <c r="BH582" s="335"/>
      <c r="BI582" s="335"/>
      <c r="BJ582" s="335"/>
      <c r="BK582" s="364"/>
      <c r="BL582" s="364"/>
      <c r="BM582" s="364"/>
      <c r="BN582" s="364"/>
      <c r="BO582" s="364"/>
      <c r="BP582" s="364"/>
      <c r="BQ582" s="335"/>
      <c r="BR582" s="335"/>
      <c r="BS582" s="364"/>
      <c r="BT582" s="364"/>
      <c r="BU582" s="364"/>
      <c r="BV582" s="364"/>
      <c r="BW582" s="364"/>
      <c r="BX582" s="364"/>
      <c r="BY582" s="335"/>
      <c r="BZ582" s="335"/>
      <c r="CA582" s="364"/>
      <c r="CB582" s="364"/>
      <c r="CC582" s="335"/>
      <c r="CD582" s="335"/>
      <c r="CE582" s="335"/>
      <c r="CF582" s="335"/>
      <c r="CG582" s="335"/>
      <c r="CH582" s="335"/>
      <c r="CI582" s="365"/>
      <c r="CJ582" s="365"/>
      <c r="CK582" s="335"/>
      <c r="CL582" s="335"/>
      <c r="CM582" s="366"/>
      <c r="CN582" s="366"/>
      <c r="CO582" s="366"/>
      <c r="CP582" s="3"/>
    </row>
    <row r="583" spans="1:94" x14ac:dyDescent="0.25">
      <c r="A583" s="34">
        <v>28</v>
      </c>
      <c r="B583" s="33">
        <f t="shared" si="19"/>
        <v>55</v>
      </c>
      <c r="C583" s="294">
        <f>VLOOKUP($B583,'Mother mortality'!$A$23:$I$124,5)</f>
        <v>3.2724321486268175E-3</v>
      </c>
      <c r="D583" s="295">
        <f t="shared" si="1"/>
        <v>0.27</v>
      </c>
      <c r="E583" s="295">
        <f t="shared" si="9"/>
        <v>0.72672756785137316</v>
      </c>
      <c r="F583" s="295">
        <f>VLOOKUP($B583,'Mother mortality'!$A$23:$I$124,5)</f>
        <v>3.2724321486268175E-3</v>
      </c>
      <c r="G583" s="295">
        <f t="shared" si="2"/>
        <v>0.14000000000000001</v>
      </c>
      <c r="H583" s="295">
        <f t="shared" si="10"/>
        <v>0.85672756785137316</v>
      </c>
      <c r="I583" s="295">
        <f>VLOOKUP($B583,'Mother mortality'!$A$23:$I$124,4)</f>
        <v>2.1601276252019388E-3</v>
      </c>
      <c r="J583" s="295">
        <f t="shared" si="11"/>
        <v>0.4264113009462267</v>
      </c>
      <c r="K583" s="295">
        <f t="shared" si="3"/>
        <v>0.5714285714285714</v>
      </c>
      <c r="L583" s="295">
        <f>VLOOKUP($B583,'Mother mortality'!$A$23:$I$124,4)</f>
        <v>2.1601276252019388E-3</v>
      </c>
      <c r="M583" s="295">
        <f t="shared" si="4"/>
        <v>8.6261668788331098E-3</v>
      </c>
      <c r="N583" s="295">
        <f t="shared" si="12"/>
        <v>0.98921370549596499</v>
      </c>
      <c r="O583" s="294"/>
      <c r="P583" s="296">
        <f t="shared" si="20"/>
        <v>489.66858902556584</v>
      </c>
      <c r="Q583" s="297">
        <f t="shared" si="21"/>
        <v>134.37085084602745</v>
      </c>
      <c r="R583" s="297">
        <f t="shared" si="22"/>
        <v>19.117166724853082</v>
      </c>
      <c r="S583" s="297">
        <f t="shared" si="23"/>
        <v>323.90251223756644</v>
      </c>
      <c r="T583" s="297">
        <f t="shared" si="24"/>
        <v>32.940881165986895</v>
      </c>
      <c r="U583" s="294">
        <f t="shared" si="13"/>
        <v>999.99999999999955</v>
      </c>
      <c r="V583" s="295" t="str">
        <f t="shared" si="5"/>
        <v>OKAY</v>
      </c>
      <c r="W583" s="295"/>
      <c r="X583" s="296">
        <f>SUM($P583:$Q583)-(SUM($P583:$Q583)*(VLOOKUP($B583,Lifetime_morbidity_array!$A$6:$Y$24,4)+VLOOKUP($B583,Lifetime_morbidity_array!$A$6:$Y$24,7)+VLOOKUP($B583,Lifetime_morbidity_array!$A$6:$Y$24,10)+VLOOKUP($B583,Lifetime_morbidity_array!$A$6:$Y$24,13)))</f>
        <v>515.34821461960132</v>
      </c>
      <c r="Y583" s="297">
        <f>SUM($R583:$S583)-(SUM($R583:$S583)*(VLOOKUP($B583,Lifetime_morbidity_array!$A$6:$Y$24,3)+VLOOKUP($B583,Lifetime_morbidity_array!$A$6:$Y$24,6)+VLOOKUP($B583,Lifetime_morbidity_array!$A$6:$Y$24,9)+VLOOKUP($B583,Lifetime_morbidity_array!$A$6:$Y$24,12)))</f>
        <v>315.34797584150931</v>
      </c>
      <c r="Z583" s="297">
        <f>(SUM($P583:$Q583)*VLOOKUP($B583,Lifetime_morbidity_array!$A$6:$Y$24,4))+(SUM($R583:$S583)*VLOOKUP($B583,Lifetime_morbidity_array!$A$6:$Y$24,3))</f>
        <v>58.890647584770306</v>
      </c>
      <c r="AA583" s="297">
        <f>(SUM($P583:$Q583)*VLOOKUP($B583,Lifetime_morbidity_array!$A$6:$Y$24,7))+(SUM($R583:$S583)*VLOOKUP($B583,Lifetime_morbidity_array!$A$6:$Y$24,6))</f>
        <v>44.700233987704699</v>
      </c>
      <c r="AB583" s="297">
        <f>(SUM($P583:$Q583)*VLOOKUP($B583,Lifetime_morbidity_array!$A$6:$Y$24,10))+(SUM($R583:$S583)*VLOOKUP($B583,Lifetime_morbidity_array!$A$6:$Y$24,9))</f>
        <v>1.8470777109590832</v>
      </c>
      <c r="AC583" s="297">
        <f>(SUM($P583:$Q583)*VLOOKUP($B583,Lifetime_morbidity_array!$A$6:$Y$24,13))+(SUM($R583:$S583)*VLOOKUP($B583,Lifetime_morbidity_array!$A$6:$Y$24,12))</f>
        <v>30.924969089467982</v>
      </c>
      <c r="AD583" s="294"/>
      <c r="AE583" s="294">
        <f t="shared" si="25"/>
        <v>55</v>
      </c>
      <c r="AF583" s="297">
        <f t="shared" si="26"/>
        <v>369.08231012393554</v>
      </c>
      <c r="AG583" s="297">
        <f t="shared" si="27"/>
        <v>18214.171709183254</v>
      </c>
      <c r="AH583" s="294"/>
      <c r="AI583" s="294">
        <f t="shared" si="28"/>
        <v>55</v>
      </c>
      <c r="AJ583" s="295">
        <f>((VLOOKUP($B583,'Mahawesran Tariff'!$A$21:$M$120,7)*$X583)+(VLOOKUP($B583,'Mahawesran Tariff'!$A$21:$M$120,6)*$Y583)+(DET_UTIL_chd*$Z583)+(DET_UTIL_copd*$AA583)+(DET_UTIL_lc*$AB583)+(DET_UTIL_stroke*$AC583))/((1+Discount_rate_QALYs)^$A583)</f>
        <v>326.23170357108637</v>
      </c>
      <c r="AK583" s="295">
        <f t="shared" si="29"/>
        <v>17307.276699538786</v>
      </c>
      <c r="AL583" s="294"/>
      <c r="AM583" s="294">
        <f t="shared" si="14"/>
        <v>55</v>
      </c>
      <c r="AN583" s="299">
        <f t="shared" si="15"/>
        <v>318864.29219578527</v>
      </c>
      <c r="AO583" s="299">
        <f t="shared" si="30"/>
        <v>6404970.0872393278</v>
      </c>
      <c r="AP583" s="294"/>
      <c r="AQ583" s="294">
        <f t="shared" si="16"/>
        <v>55</v>
      </c>
      <c r="AR583" s="298">
        <f t="shared" si="6"/>
        <v>0.96705911883401263</v>
      </c>
      <c r="AS583" s="298">
        <f t="shared" si="7"/>
        <v>3.2940881165986896E-2</v>
      </c>
      <c r="AT583" s="298">
        <f t="shared" si="8"/>
        <v>0.13636292837290206</v>
      </c>
      <c r="AU583" s="250"/>
      <c r="AV583" s="294">
        <f t="shared" si="17"/>
        <v>55</v>
      </c>
      <c r="AW583" s="299">
        <f t="shared" si="18"/>
        <v>318864.29219578527</v>
      </c>
      <c r="AX583" s="299">
        <f t="shared" si="31"/>
        <v>6401930.0872393278</v>
      </c>
      <c r="AY583" s="335"/>
      <c r="AZ583" s="335"/>
      <c r="BA583" s="335"/>
      <c r="BB583" s="335"/>
      <c r="BC583" s="335"/>
      <c r="BD583" s="335"/>
      <c r="BE583" s="335"/>
      <c r="BF583" s="335"/>
      <c r="BG583" s="335"/>
      <c r="BH583" s="335"/>
      <c r="BI583" s="335"/>
      <c r="BJ583" s="335"/>
      <c r="BK583" s="364"/>
      <c r="BL583" s="364"/>
      <c r="BM583" s="364"/>
      <c r="BN583" s="364"/>
      <c r="BO583" s="364"/>
      <c r="BP583" s="364"/>
      <c r="BQ583" s="335"/>
      <c r="BR583" s="335"/>
      <c r="BS583" s="364"/>
      <c r="BT583" s="364"/>
      <c r="BU583" s="364"/>
      <c r="BV583" s="364"/>
      <c r="BW583" s="364"/>
      <c r="BX583" s="364"/>
      <c r="BY583" s="335"/>
      <c r="BZ583" s="335"/>
      <c r="CA583" s="364"/>
      <c r="CB583" s="364"/>
      <c r="CC583" s="335"/>
      <c r="CD583" s="335"/>
      <c r="CE583" s="335"/>
      <c r="CF583" s="335"/>
      <c r="CG583" s="335"/>
      <c r="CH583" s="335"/>
      <c r="CI583" s="365"/>
      <c r="CJ583" s="365"/>
      <c r="CK583" s="335"/>
      <c r="CL583" s="335"/>
      <c r="CM583" s="366"/>
      <c r="CN583" s="366"/>
      <c r="CO583" s="366"/>
      <c r="CP583" s="3"/>
    </row>
    <row r="584" spans="1:94" x14ac:dyDescent="0.25">
      <c r="A584" s="34">
        <v>29</v>
      </c>
      <c r="B584" s="33">
        <f t="shared" si="19"/>
        <v>56</v>
      </c>
      <c r="C584" s="294">
        <f>VLOOKUP($B584,'Mother mortality'!$A$23:$I$124,5)</f>
        <v>3.5480726978998384E-3</v>
      </c>
      <c r="D584" s="295">
        <f t="shared" si="1"/>
        <v>0.27</v>
      </c>
      <c r="E584" s="295">
        <f t="shared" si="9"/>
        <v>0.72645192730210018</v>
      </c>
      <c r="F584" s="295">
        <f>VLOOKUP($B584,'Mother mortality'!$A$23:$I$124,5)</f>
        <v>3.5480726978998384E-3</v>
      </c>
      <c r="G584" s="295">
        <f t="shared" si="2"/>
        <v>0.14000000000000001</v>
      </c>
      <c r="H584" s="295">
        <f t="shared" si="10"/>
        <v>0.85645192730210018</v>
      </c>
      <c r="I584" s="295">
        <f>VLOOKUP($B584,'Mother mortality'!$A$23:$I$124,4)</f>
        <v>2.342077544426494E-3</v>
      </c>
      <c r="J584" s="295">
        <f t="shared" si="11"/>
        <v>0.4262293510270021</v>
      </c>
      <c r="K584" s="295">
        <f t="shared" si="3"/>
        <v>0.5714285714285714</v>
      </c>
      <c r="L584" s="295">
        <f>VLOOKUP($B584,'Mother mortality'!$A$23:$I$124,4)</f>
        <v>2.342077544426494E-3</v>
      </c>
      <c r="M584" s="295">
        <f t="shared" si="4"/>
        <v>8.6261668788331098E-3</v>
      </c>
      <c r="N584" s="295">
        <f t="shared" si="12"/>
        <v>0.98903175557674039</v>
      </c>
      <c r="O584" s="294"/>
      <c r="P584" s="296">
        <f t="shared" si="20"/>
        <v>481.74519910686922</v>
      </c>
      <c r="Q584" s="297">
        <f t="shared" si="21"/>
        <v>132.21051903690278</v>
      </c>
      <c r="R584" s="297">
        <f t="shared" si="22"/>
        <v>18.811919118443846</v>
      </c>
      <c r="S584" s="297">
        <f t="shared" si="23"/>
        <v>331.27396558538163</v>
      </c>
      <c r="T584" s="297">
        <f t="shared" si="24"/>
        <v>35.95839715240227</v>
      </c>
      <c r="U584" s="294">
        <f t="shared" si="13"/>
        <v>999.99999999999977</v>
      </c>
      <c r="V584" s="295" t="str">
        <f t="shared" si="5"/>
        <v>OKAY</v>
      </c>
      <c r="W584" s="295"/>
      <c r="X584" s="296">
        <f>SUM($P584:$Q584)-(SUM($P584:$Q584)*(VLOOKUP($B584,Lifetime_morbidity_array!$A$6:$Y$24,4)+VLOOKUP($B584,Lifetime_morbidity_array!$A$6:$Y$24,7)+VLOOKUP($B584,Lifetime_morbidity_array!$A$6:$Y$24,10)+VLOOKUP($B584,Lifetime_morbidity_array!$A$6:$Y$24,13)))</f>
        <v>507.0208114826732</v>
      </c>
      <c r="Y584" s="297">
        <f>SUM($R584:$S584)-(SUM($R584:$S584)*(VLOOKUP($B584,Lifetime_morbidity_array!$A$6:$Y$24,3)+VLOOKUP($B584,Lifetime_morbidity_array!$A$6:$Y$24,6)+VLOOKUP($B584,Lifetime_morbidity_array!$A$6:$Y$24,9)+VLOOKUP($B584,Lifetime_morbidity_array!$A$6:$Y$24,12)))</f>
        <v>321.8441444700041</v>
      </c>
      <c r="Z584" s="297">
        <f>(SUM($P584:$Q584)*VLOOKUP($B584,Lifetime_morbidity_array!$A$6:$Y$24,4))+(SUM($R584:$S584)*VLOOKUP($B584,Lifetime_morbidity_array!$A$6:$Y$24,3))</f>
        <v>58.306798945631968</v>
      </c>
      <c r="AA584" s="297">
        <f>(SUM($P584:$Q584)*VLOOKUP($B584,Lifetime_morbidity_array!$A$6:$Y$24,7))+(SUM($R584:$S584)*VLOOKUP($B584,Lifetime_morbidity_array!$A$6:$Y$24,6))</f>
        <v>44.352826495870623</v>
      </c>
      <c r="AB584" s="297">
        <f>(SUM($P584:$Q584)*VLOOKUP($B584,Lifetime_morbidity_array!$A$6:$Y$24,10))+(SUM($R584:$S584)*VLOOKUP($B584,Lifetime_morbidity_array!$A$6:$Y$24,9))</f>
        <v>1.825831123946446</v>
      </c>
      <c r="AC584" s="297">
        <f>(SUM($P584:$Q584)*VLOOKUP($B584,Lifetime_morbidity_array!$A$6:$Y$24,13))+(SUM($R584:$S584)*VLOOKUP($B584,Lifetime_morbidity_array!$A$6:$Y$24,12))</f>
        <v>30.691190329471063</v>
      </c>
      <c r="AD584" s="294"/>
      <c r="AE584" s="294">
        <f t="shared" si="25"/>
        <v>56</v>
      </c>
      <c r="AF584" s="297">
        <f t="shared" si="26"/>
        <v>355.48856236763436</v>
      </c>
      <c r="AG584" s="297">
        <f t="shared" si="27"/>
        <v>18569.660271550889</v>
      </c>
      <c r="AH584" s="294"/>
      <c r="AI584" s="294">
        <f t="shared" si="28"/>
        <v>56</v>
      </c>
      <c r="AJ584" s="295">
        <f>((VLOOKUP($B584,'Mahawesran Tariff'!$A$21:$M$120,7)*$X584)+(VLOOKUP($B584,'Mahawesran Tariff'!$A$21:$M$120,6)*$Y584)+(DET_UTIL_chd*$Z584)+(DET_UTIL_copd*$AA584)+(DET_UTIL_lc*$AB584)+(DET_UTIL_stroke*$AC584))/((1+Discount_rate_QALYs)^$A584)</f>
        <v>314.31160920867273</v>
      </c>
      <c r="AK584" s="295">
        <f t="shared" si="29"/>
        <v>17621.588308747458</v>
      </c>
      <c r="AL584" s="294"/>
      <c r="AM584" s="294">
        <f t="shared" si="14"/>
        <v>56</v>
      </c>
      <c r="AN584" s="299">
        <f t="shared" si="15"/>
        <v>305629.85809661291</v>
      </c>
      <c r="AO584" s="299">
        <f t="shared" si="30"/>
        <v>6710599.9453359405</v>
      </c>
      <c r="AP584" s="294"/>
      <c r="AQ584" s="294">
        <f t="shared" si="16"/>
        <v>56</v>
      </c>
      <c r="AR584" s="298">
        <f t="shared" si="6"/>
        <v>0.96404160284759743</v>
      </c>
      <c r="AS584" s="298">
        <f t="shared" si="7"/>
        <v>3.5958397152402267E-2</v>
      </c>
      <c r="AT584" s="298">
        <f t="shared" si="8"/>
        <v>0.13517664689492009</v>
      </c>
      <c r="AU584" s="250"/>
      <c r="AV584" s="294">
        <f t="shared" si="17"/>
        <v>56</v>
      </c>
      <c r="AW584" s="299">
        <f t="shared" si="18"/>
        <v>305629.85809661291</v>
      </c>
      <c r="AX584" s="299">
        <f t="shared" si="31"/>
        <v>6707559.9453359405</v>
      </c>
      <c r="AY584" s="335"/>
      <c r="AZ584" s="335"/>
      <c r="BA584" s="335"/>
      <c r="BB584" s="335"/>
      <c r="BC584" s="335"/>
      <c r="BD584" s="335"/>
      <c r="BE584" s="335"/>
      <c r="BF584" s="335"/>
      <c r="BG584" s="335"/>
      <c r="BH584" s="335"/>
      <c r="BI584" s="335"/>
      <c r="BJ584" s="335"/>
      <c r="BK584" s="364"/>
      <c r="BL584" s="364"/>
      <c r="BM584" s="364"/>
      <c r="BN584" s="364"/>
      <c r="BO584" s="364"/>
      <c r="BP584" s="364"/>
      <c r="BQ584" s="335"/>
      <c r="BR584" s="335"/>
      <c r="BS584" s="364"/>
      <c r="BT584" s="364"/>
      <c r="BU584" s="364"/>
      <c r="BV584" s="364"/>
      <c r="BW584" s="364"/>
      <c r="BX584" s="364"/>
      <c r="BY584" s="335"/>
      <c r="BZ584" s="335"/>
      <c r="CA584" s="364"/>
      <c r="CB584" s="364"/>
      <c r="CC584" s="335"/>
      <c r="CD584" s="335"/>
      <c r="CE584" s="335"/>
      <c r="CF584" s="335"/>
      <c r="CG584" s="335"/>
      <c r="CH584" s="335"/>
      <c r="CI584" s="365"/>
      <c r="CJ584" s="365"/>
      <c r="CK584" s="335"/>
      <c r="CL584" s="335"/>
      <c r="CM584" s="366"/>
      <c r="CN584" s="366"/>
      <c r="CO584" s="366"/>
      <c r="CP584" s="3"/>
    </row>
    <row r="585" spans="1:94" x14ac:dyDescent="0.25">
      <c r="A585" s="34">
        <v>30</v>
      </c>
      <c r="B585" s="33">
        <f t="shared" si="19"/>
        <v>57</v>
      </c>
      <c r="C585" s="294">
        <f>VLOOKUP($B585,'Mother mortality'!$A$23:$I$124,5)</f>
        <v>3.8415864297253635E-3</v>
      </c>
      <c r="D585" s="295">
        <f t="shared" si="1"/>
        <v>0.27</v>
      </c>
      <c r="E585" s="295">
        <f t="shared" si="9"/>
        <v>0.72615841357027466</v>
      </c>
      <c r="F585" s="295">
        <f>VLOOKUP($B585,'Mother mortality'!$A$23:$I$124,5)</f>
        <v>3.8415864297253635E-3</v>
      </c>
      <c r="G585" s="295">
        <f t="shared" si="2"/>
        <v>0.14000000000000001</v>
      </c>
      <c r="H585" s="295">
        <f t="shared" si="10"/>
        <v>0.85615841357027467</v>
      </c>
      <c r="I585" s="295">
        <f>VLOOKUP($B585,'Mother mortality'!$A$23:$I$124,4)</f>
        <v>2.5358255250403877E-3</v>
      </c>
      <c r="J585" s="295">
        <f t="shared" si="11"/>
        <v>0.42603560304638821</v>
      </c>
      <c r="K585" s="295">
        <f t="shared" si="3"/>
        <v>0.5714285714285714</v>
      </c>
      <c r="L585" s="295">
        <f>VLOOKUP($B585,'Mother mortality'!$A$23:$I$124,4)</f>
        <v>2.5358255250403877E-3</v>
      </c>
      <c r="M585" s="295">
        <f t="shared" si="4"/>
        <v>8.6261668788331098E-3</v>
      </c>
      <c r="N585" s="295">
        <f t="shared" si="12"/>
        <v>0.9888380075961265</v>
      </c>
      <c r="O585" s="294"/>
      <c r="P585" s="296">
        <f t="shared" si="20"/>
        <v>473.88864958031593</v>
      </c>
      <c r="Q585" s="297">
        <f t="shared" si="21"/>
        <v>130.07120375885469</v>
      </c>
      <c r="R585" s="297">
        <f t="shared" si="22"/>
        <v>18.509472665166392</v>
      </c>
      <c r="S585" s="297">
        <f t="shared" si="23"/>
        <v>338.32595616559877</v>
      </c>
      <c r="T585" s="297">
        <f t="shared" si="24"/>
        <v>39.204717830063977</v>
      </c>
      <c r="U585" s="294">
        <f t="shared" si="13"/>
        <v>999.99999999999977</v>
      </c>
      <c r="V585" s="295" t="str">
        <f t="shared" si="5"/>
        <v>OKAY</v>
      </c>
      <c r="W585" s="295"/>
      <c r="X585" s="296">
        <f>SUM($P585:$Q585)-(SUM($P585:$Q585)*(VLOOKUP($B585,Lifetime_morbidity_array!$A$6:$Y$24,4)+VLOOKUP($B585,Lifetime_morbidity_array!$A$6:$Y$24,7)+VLOOKUP($B585,Lifetime_morbidity_array!$A$6:$Y$24,10)+VLOOKUP($B585,Lifetime_morbidity_array!$A$6:$Y$24,13)))</f>
        <v>498.76596290821425</v>
      </c>
      <c r="Y585" s="297">
        <f>SUM($R585:$S585)-(SUM($R585:$S585)*(VLOOKUP($B585,Lifetime_morbidity_array!$A$6:$Y$24,3)+VLOOKUP($B585,Lifetime_morbidity_array!$A$6:$Y$24,6)+VLOOKUP($B585,Lifetime_morbidity_array!$A$6:$Y$24,9)+VLOOKUP($B585,Lifetime_morbidity_array!$A$6:$Y$24,12)))</f>
        <v>328.04919685860648</v>
      </c>
      <c r="Z585" s="297">
        <f>(SUM($P585:$Q585)*VLOOKUP($B585,Lifetime_morbidity_array!$A$6:$Y$24,4))+(SUM($R585:$S585)*VLOOKUP($B585,Lifetime_morbidity_array!$A$6:$Y$24,3))</f>
        <v>57.720597132616213</v>
      </c>
      <c r="AA585" s="297">
        <f>(SUM($P585:$Q585)*VLOOKUP($B585,Lifetime_morbidity_array!$A$6:$Y$24,7))+(SUM($R585:$S585)*VLOOKUP($B585,Lifetime_morbidity_array!$A$6:$Y$24,6))</f>
        <v>44.000861301791772</v>
      </c>
      <c r="AB585" s="297">
        <f>(SUM($P585:$Q585)*VLOOKUP($B585,Lifetime_morbidity_array!$A$6:$Y$24,10))+(SUM($R585:$S585)*VLOOKUP($B585,Lifetime_morbidity_array!$A$6:$Y$24,9))</f>
        <v>1.8045956653358253</v>
      </c>
      <c r="AC585" s="297">
        <f>(SUM($P585:$Q585)*VLOOKUP($B585,Lifetime_morbidity_array!$A$6:$Y$24,13))+(SUM($R585:$S585)*VLOOKUP($B585,Lifetime_morbidity_array!$A$6:$Y$24,12))</f>
        <v>30.454068303371276</v>
      </c>
      <c r="AD585" s="294"/>
      <c r="AE585" s="294">
        <f t="shared" si="25"/>
        <v>57</v>
      </c>
      <c r="AF585" s="297">
        <f t="shared" si="26"/>
        <v>342.31061604569533</v>
      </c>
      <c r="AG585" s="297">
        <f t="shared" si="27"/>
        <v>18911.970887596584</v>
      </c>
      <c r="AH585" s="294"/>
      <c r="AI585" s="294">
        <f t="shared" si="28"/>
        <v>57</v>
      </c>
      <c r="AJ585" s="295">
        <f>((VLOOKUP($B585,'Mahawesran Tariff'!$A$21:$M$120,7)*$X585)+(VLOOKUP($B585,'Mahawesran Tariff'!$A$21:$M$120,6)*$Y585)+(DET_UTIL_chd*$Z585)+(DET_UTIL_copd*$AA585)+(DET_UTIL_lc*$AB585)+(DET_UTIL_stroke*$AC585))/((1+Discount_rate_QALYs)^$A585)</f>
        <v>302.74992019593998</v>
      </c>
      <c r="AK585" s="295">
        <f t="shared" si="29"/>
        <v>17924.338228943398</v>
      </c>
      <c r="AL585" s="294"/>
      <c r="AM585" s="294">
        <f t="shared" si="14"/>
        <v>57</v>
      </c>
      <c r="AN585" s="299">
        <f t="shared" si="15"/>
        <v>292897.11828419758</v>
      </c>
      <c r="AO585" s="299">
        <f t="shared" si="30"/>
        <v>7003497.063620138</v>
      </c>
      <c r="AP585" s="294"/>
      <c r="AQ585" s="294">
        <f t="shared" si="16"/>
        <v>57</v>
      </c>
      <c r="AR585" s="298">
        <f t="shared" si="6"/>
        <v>0.96079528216993582</v>
      </c>
      <c r="AS585" s="298">
        <f t="shared" si="7"/>
        <v>3.9204717830063976E-2</v>
      </c>
      <c r="AT585" s="298">
        <f t="shared" si="8"/>
        <v>0.1339801224031151</v>
      </c>
      <c r="AU585" s="250"/>
      <c r="AV585" s="294">
        <f t="shared" si="17"/>
        <v>57</v>
      </c>
      <c r="AW585" s="299">
        <f t="shared" si="18"/>
        <v>292897.11828419758</v>
      </c>
      <c r="AX585" s="299">
        <f t="shared" si="31"/>
        <v>7000457.063620138</v>
      </c>
      <c r="AY585" s="335"/>
      <c r="AZ585" s="335"/>
      <c r="BA585" s="335"/>
      <c r="BB585" s="335"/>
      <c r="BC585" s="335"/>
      <c r="BD585" s="335"/>
      <c r="BE585" s="335"/>
      <c r="BF585" s="335"/>
      <c r="BG585" s="335"/>
      <c r="BH585" s="335"/>
      <c r="BI585" s="335"/>
      <c r="BJ585" s="335"/>
      <c r="BK585" s="364"/>
      <c r="BL585" s="364"/>
      <c r="BM585" s="364"/>
      <c r="BN585" s="364"/>
      <c r="BO585" s="364"/>
      <c r="BP585" s="364"/>
      <c r="BQ585" s="335"/>
      <c r="BR585" s="335"/>
      <c r="BS585" s="364"/>
      <c r="BT585" s="364"/>
      <c r="BU585" s="364"/>
      <c r="BV585" s="364"/>
      <c r="BW585" s="364"/>
      <c r="BX585" s="364"/>
      <c r="BY585" s="335"/>
      <c r="BZ585" s="335"/>
      <c r="CA585" s="364"/>
      <c r="CB585" s="364"/>
      <c r="CC585" s="335"/>
      <c r="CD585" s="335"/>
      <c r="CE585" s="335"/>
      <c r="CF585" s="335"/>
      <c r="CG585" s="335"/>
      <c r="CH585" s="335"/>
      <c r="CI585" s="365"/>
      <c r="CJ585" s="365"/>
      <c r="CK585" s="335"/>
      <c r="CL585" s="335"/>
      <c r="CM585" s="366"/>
      <c r="CN585" s="366"/>
      <c r="CO585" s="366"/>
      <c r="CP585" s="3"/>
    </row>
    <row r="586" spans="1:94" x14ac:dyDescent="0.25">
      <c r="A586" s="34">
        <v>31</v>
      </c>
      <c r="B586" s="33">
        <f t="shared" si="19"/>
        <v>58</v>
      </c>
      <c r="C586" s="294">
        <f>VLOOKUP($B586,'Mother mortality'!$A$23:$I$124,5)</f>
        <v>4.1541211631663973E-3</v>
      </c>
      <c r="D586" s="295">
        <f t="shared" si="1"/>
        <v>0.27</v>
      </c>
      <c r="E586" s="295">
        <f t="shared" si="9"/>
        <v>0.7258458788368336</v>
      </c>
      <c r="F586" s="295">
        <f>VLOOKUP($B586,'Mother mortality'!$A$23:$I$124,5)</f>
        <v>4.1541211631663973E-3</v>
      </c>
      <c r="G586" s="295">
        <f t="shared" si="2"/>
        <v>0.14000000000000001</v>
      </c>
      <c r="H586" s="295">
        <f t="shared" si="10"/>
        <v>0.85584587883683361</v>
      </c>
      <c r="I586" s="295">
        <f>VLOOKUP($B586,'Mother mortality'!$A$23:$I$124,4)</f>
        <v>2.7421292407108235E-3</v>
      </c>
      <c r="J586" s="295">
        <f t="shared" si="11"/>
        <v>0.42582929933071778</v>
      </c>
      <c r="K586" s="295">
        <f t="shared" si="3"/>
        <v>0.5714285714285714</v>
      </c>
      <c r="L586" s="295">
        <f>VLOOKUP($B586,'Mother mortality'!$A$23:$I$124,4)</f>
        <v>2.7421292407108235E-3</v>
      </c>
      <c r="M586" s="295">
        <f t="shared" si="4"/>
        <v>8.6261668788331098E-3</v>
      </c>
      <c r="N586" s="295">
        <f t="shared" si="12"/>
        <v>0.98863170388045607</v>
      </c>
      <c r="O586" s="294"/>
      <c r="P586" s="296">
        <f t="shared" si="20"/>
        <v>466.09135895110069</v>
      </c>
      <c r="Q586" s="297">
        <f t="shared" si="21"/>
        <v>127.94993538668531</v>
      </c>
      <c r="R586" s="297">
        <f t="shared" si="22"/>
        <v>18.20996852623966</v>
      </c>
      <c r="S586" s="297">
        <f t="shared" si="23"/>
        <v>345.05660803393266</v>
      </c>
      <c r="T586" s="297">
        <f t="shared" si="24"/>
        <v>42.692129102041527</v>
      </c>
      <c r="U586" s="294">
        <f t="shared" si="13"/>
        <v>999.99999999999989</v>
      </c>
      <c r="V586" s="295" t="str">
        <f t="shared" si="5"/>
        <v>OKAY</v>
      </c>
      <c r="W586" s="295"/>
      <c r="X586" s="296">
        <f>SUM($P586:$Q586)-(SUM($P586:$Q586)*(VLOOKUP($B586,Lifetime_morbidity_array!$A$6:$Y$24,4)+VLOOKUP($B586,Lifetime_morbidity_array!$A$6:$Y$24,7)+VLOOKUP($B586,Lifetime_morbidity_array!$A$6:$Y$24,10)+VLOOKUP($B586,Lifetime_morbidity_array!$A$6:$Y$24,13)))</f>
        <v>490.57495550327434</v>
      </c>
      <c r="Y586" s="297">
        <f>SUM($R586:$S586)-(SUM($R586:$S586)*(VLOOKUP($B586,Lifetime_morbidity_array!$A$6:$Y$24,3)+VLOOKUP($B586,Lifetime_morbidity_array!$A$6:$Y$24,6)+VLOOKUP($B586,Lifetime_morbidity_array!$A$6:$Y$24,9)+VLOOKUP($B586,Lifetime_morbidity_array!$A$6:$Y$24,12)))</f>
        <v>333.96153817074577</v>
      </c>
      <c r="Z586" s="297">
        <f>(SUM($P586:$Q586)*VLOOKUP($B586,Lifetime_morbidity_array!$A$6:$Y$24,4))+(SUM($R586:$S586)*VLOOKUP($B586,Lifetime_morbidity_array!$A$6:$Y$24,3))</f>
        <v>57.131164992865713</v>
      </c>
      <c r="AA586" s="297">
        <f>(SUM($P586:$Q586)*VLOOKUP($B586,Lifetime_morbidity_array!$A$6:$Y$24,7))+(SUM($R586:$S586)*VLOOKUP($B586,Lifetime_morbidity_array!$A$6:$Y$24,6))</f>
        <v>43.643703483179479</v>
      </c>
      <c r="AB586" s="297">
        <f>(SUM($P586:$Q586)*VLOOKUP($B586,Lifetime_morbidity_array!$A$6:$Y$24,10))+(SUM($R586:$S586)*VLOOKUP($B586,Lifetime_morbidity_array!$A$6:$Y$24,9))</f>
        <v>1.7833428776224549</v>
      </c>
      <c r="AC586" s="297">
        <f>(SUM($P586:$Q586)*VLOOKUP($B586,Lifetime_morbidity_array!$A$6:$Y$24,13))+(SUM($R586:$S586)*VLOOKUP($B586,Lifetime_morbidity_array!$A$6:$Y$24,12))</f>
        <v>30.213165870270544</v>
      </c>
      <c r="AD586" s="294"/>
      <c r="AE586" s="294">
        <f t="shared" si="25"/>
        <v>58</v>
      </c>
      <c r="AF586" s="297">
        <f t="shared" si="26"/>
        <v>329.53442193294558</v>
      </c>
      <c r="AG586" s="297">
        <f t="shared" si="27"/>
        <v>19241.50530952953</v>
      </c>
      <c r="AH586" s="294"/>
      <c r="AI586" s="294">
        <f t="shared" si="28"/>
        <v>58</v>
      </c>
      <c r="AJ586" s="295">
        <f>((VLOOKUP($B586,'Mahawesran Tariff'!$A$21:$M$120,7)*$X586)+(VLOOKUP($B586,'Mahawesran Tariff'!$A$21:$M$120,6)*$Y586)+(DET_UTIL_chd*$Z586)+(DET_UTIL_copd*$AA586)+(DET_UTIL_lc*$AB586)+(DET_UTIL_stroke*$AC586))/((1+Discount_rate_QALYs)^$A586)</f>
        <v>291.5348451679348</v>
      </c>
      <c r="AK586" s="295">
        <f t="shared" si="29"/>
        <v>18215.873074111332</v>
      </c>
      <c r="AL586" s="294"/>
      <c r="AM586" s="294">
        <f t="shared" si="14"/>
        <v>58</v>
      </c>
      <c r="AN586" s="299">
        <f t="shared" si="15"/>
        <v>280644.14599131217</v>
      </c>
      <c r="AO586" s="299">
        <f t="shared" si="30"/>
        <v>7284141.2096114503</v>
      </c>
      <c r="AP586" s="294"/>
      <c r="AQ586" s="294">
        <f t="shared" si="16"/>
        <v>58</v>
      </c>
      <c r="AR586" s="298">
        <f t="shared" si="6"/>
        <v>0.95730787089795832</v>
      </c>
      <c r="AS586" s="298">
        <f t="shared" si="7"/>
        <v>4.2692129102041523E-2</v>
      </c>
      <c r="AT586" s="298">
        <f t="shared" si="8"/>
        <v>0.1327713772239382</v>
      </c>
      <c r="AU586" s="250"/>
      <c r="AV586" s="294">
        <f t="shared" si="17"/>
        <v>58</v>
      </c>
      <c r="AW586" s="299">
        <f t="shared" si="18"/>
        <v>280644.14599131217</v>
      </c>
      <c r="AX586" s="299">
        <f t="shared" si="31"/>
        <v>7281101.2096114503</v>
      </c>
      <c r="AY586" s="335"/>
      <c r="AZ586" s="335"/>
      <c r="BA586" s="335"/>
      <c r="BB586" s="335"/>
      <c r="BC586" s="335"/>
      <c r="BD586" s="335"/>
      <c r="BE586" s="335"/>
      <c r="BF586" s="335"/>
      <c r="BG586" s="335"/>
      <c r="BH586" s="335"/>
      <c r="BI586" s="335"/>
      <c r="BJ586" s="335"/>
      <c r="BK586" s="364"/>
      <c r="BL586" s="364"/>
      <c r="BM586" s="364"/>
      <c r="BN586" s="364"/>
      <c r="BO586" s="364"/>
      <c r="BP586" s="364"/>
      <c r="BQ586" s="335"/>
      <c r="BR586" s="335"/>
      <c r="BS586" s="364"/>
      <c r="BT586" s="364"/>
      <c r="BU586" s="364"/>
      <c r="BV586" s="364"/>
      <c r="BW586" s="364"/>
      <c r="BX586" s="364"/>
      <c r="BY586" s="335"/>
      <c r="BZ586" s="335"/>
      <c r="CA586" s="364"/>
      <c r="CB586" s="364"/>
      <c r="CC586" s="335"/>
      <c r="CD586" s="335"/>
      <c r="CE586" s="335"/>
      <c r="CF586" s="335"/>
      <c r="CG586" s="335"/>
      <c r="CH586" s="335"/>
      <c r="CI586" s="365"/>
      <c r="CJ586" s="365"/>
      <c r="CK586" s="335"/>
      <c r="CL586" s="335"/>
      <c r="CM586" s="366"/>
      <c r="CN586" s="366"/>
      <c r="CO586" s="366"/>
      <c r="CP586" s="3"/>
    </row>
    <row r="587" spans="1:94" x14ac:dyDescent="0.25">
      <c r="A587" s="34">
        <v>32</v>
      </c>
      <c r="B587" s="33">
        <f t="shared" si="19"/>
        <v>59</v>
      </c>
      <c r="C587" s="294">
        <f>VLOOKUP($B587,'Mother mortality'!$A$23:$I$124,5)</f>
        <v>4.4855129240710823E-3</v>
      </c>
      <c r="D587" s="295">
        <f t="shared" si="1"/>
        <v>0.27</v>
      </c>
      <c r="E587" s="295">
        <f t="shared" si="9"/>
        <v>0.72551448707592892</v>
      </c>
      <c r="F587" s="295">
        <f>VLOOKUP($B587,'Mother mortality'!$A$23:$I$124,5)</f>
        <v>4.4855129240710823E-3</v>
      </c>
      <c r="G587" s="295">
        <f t="shared" si="2"/>
        <v>0.14000000000000001</v>
      </c>
      <c r="H587" s="295">
        <f t="shared" si="10"/>
        <v>0.85551448707592892</v>
      </c>
      <c r="I587" s="295">
        <f>VLOOKUP($B587,'Mother mortality'!$A$23:$I$124,4)</f>
        <v>2.9608804523424876E-3</v>
      </c>
      <c r="J587" s="295">
        <f t="shared" si="11"/>
        <v>0.42561054811908616</v>
      </c>
      <c r="K587" s="295">
        <f t="shared" si="3"/>
        <v>0.5714285714285714</v>
      </c>
      <c r="L587" s="295">
        <f>VLOOKUP($B587,'Mother mortality'!$A$23:$I$124,4)</f>
        <v>2.9608804523424876E-3</v>
      </c>
      <c r="M587" s="295">
        <f t="shared" si="4"/>
        <v>8.6261668788331098E-3</v>
      </c>
      <c r="N587" s="295">
        <f t="shared" si="12"/>
        <v>0.98841295266882445</v>
      </c>
      <c r="O587" s="294"/>
      <c r="P587" s="296">
        <f t="shared" si="20"/>
        <v>458.34592713289777</v>
      </c>
      <c r="Q587" s="297">
        <f t="shared" si="21"/>
        <v>125.84466691679719</v>
      </c>
      <c r="R587" s="297">
        <f t="shared" si="22"/>
        <v>17.912990954135946</v>
      </c>
      <c r="S587" s="297">
        <f t="shared" si="23"/>
        <v>351.46411708541694</v>
      </c>
      <c r="T587" s="297">
        <f t="shared" si="24"/>
        <v>46.432297910751963</v>
      </c>
      <c r="U587" s="294">
        <f t="shared" si="13"/>
        <v>999.99999999999977</v>
      </c>
      <c r="V587" s="295" t="str">
        <f t="shared" si="5"/>
        <v>OKAY</v>
      </c>
      <c r="W587" s="295"/>
      <c r="X587" s="296">
        <f>SUM($P587:$Q587)-(SUM($P587:$Q587)*(VLOOKUP($B587,Lifetime_morbidity_array!$A$6:$Y$24,4)+VLOOKUP($B587,Lifetime_morbidity_array!$A$6:$Y$24,7)+VLOOKUP($B587,Lifetime_morbidity_array!$A$6:$Y$24,10)+VLOOKUP($B587,Lifetime_morbidity_array!$A$6:$Y$24,13)))</f>
        <v>482.43998761203801</v>
      </c>
      <c r="Y587" s="297">
        <f>SUM($R587:$S587)-(SUM($R587:$S587)*(VLOOKUP($B587,Lifetime_morbidity_array!$A$6:$Y$24,3)+VLOOKUP($B587,Lifetime_morbidity_array!$A$6:$Y$24,6)+VLOOKUP($B587,Lifetime_morbidity_array!$A$6:$Y$24,9)+VLOOKUP($B587,Lifetime_morbidity_array!$A$6:$Y$24,12)))</f>
        <v>339.57912763140638</v>
      </c>
      <c r="Z587" s="297">
        <f>(SUM($P587:$Q587)*VLOOKUP($B587,Lifetime_morbidity_array!$A$6:$Y$24,4))+(SUM($R587:$S587)*VLOOKUP($B587,Lifetime_morbidity_array!$A$6:$Y$24,3))</f>
        <v>56.537697713806267</v>
      </c>
      <c r="AA587" s="297">
        <f>(SUM($P587:$Q587)*VLOOKUP($B587,Lifetime_morbidity_array!$A$6:$Y$24,7))+(SUM($R587:$S587)*VLOOKUP($B587,Lifetime_morbidity_array!$A$6:$Y$24,6))</f>
        <v>43.280764734388185</v>
      </c>
      <c r="AB587" s="297">
        <f>(SUM($P587:$Q587)*VLOOKUP($B587,Lifetime_morbidity_array!$A$6:$Y$24,10))+(SUM($R587:$S587)*VLOOKUP($B587,Lifetime_morbidity_array!$A$6:$Y$24,9))</f>
        <v>1.7620468263416185</v>
      </c>
      <c r="AC587" s="297">
        <f>(SUM($P587:$Q587)*VLOOKUP($B587,Lifetime_morbidity_array!$A$6:$Y$24,13))+(SUM($R587:$S587)*VLOOKUP($B587,Lifetime_morbidity_array!$A$6:$Y$24,12))</f>
        <v>29.968077571267319</v>
      </c>
      <c r="AD587" s="294"/>
      <c r="AE587" s="294">
        <f t="shared" si="25"/>
        <v>59</v>
      </c>
      <c r="AF587" s="297">
        <f t="shared" si="26"/>
        <v>317.14680417470385</v>
      </c>
      <c r="AG587" s="297">
        <f t="shared" si="27"/>
        <v>19558.652113704233</v>
      </c>
      <c r="AH587" s="294"/>
      <c r="AI587" s="294">
        <f t="shared" si="28"/>
        <v>59</v>
      </c>
      <c r="AJ587" s="295">
        <f>((VLOOKUP($B587,'Mahawesran Tariff'!$A$21:$M$120,7)*$X587)+(VLOOKUP($B587,'Mahawesran Tariff'!$A$21:$M$120,6)*$Y587)+(DET_UTIL_chd*$Z587)+(DET_UTIL_copd*$AA587)+(DET_UTIL_lc*$AB587)+(DET_UTIL_stroke*$AC587))/((1+Discount_rate_QALYs)^$A587)</f>
        <v>280.65532032822244</v>
      </c>
      <c r="AK587" s="295">
        <f t="shared" si="29"/>
        <v>18496.528394439556</v>
      </c>
      <c r="AL587" s="294"/>
      <c r="AM587" s="294">
        <f t="shared" si="14"/>
        <v>59</v>
      </c>
      <c r="AN587" s="299">
        <f t="shared" si="15"/>
        <v>268850.46252840606</v>
      </c>
      <c r="AO587" s="299">
        <f t="shared" si="30"/>
        <v>7552991.672139856</v>
      </c>
      <c r="AP587" s="294"/>
      <c r="AQ587" s="294">
        <f t="shared" si="16"/>
        <v>59</v>
      </c>
      <c r="AR587" s="298">
        <f t="shared" ref="AR587:AR650" si="32">(SUM(P587:S587))/Cohort</f>
        <v>0.9535677020892479</v>
      </c>
      <c r="AS587" s="298">
        <f t="shared" si="7"/>
        <v>4.6432297910751964E-2</v>
      </c>
      <c r="AT587" s="298">
        <f t="shared" si="8"/>
        <v>0.13154858684580339</v>
      </c>
      <c r="AU587" s="250"/>
      <c r="AV587" s="294">
        <f t="shared" si="17"/>
        <v>59</v>
      </c>
      <c r="AW587" s="299">
        <f t="shared" si="18"/>
        <v>268850.46252840606</v>
      </c>
      <c r="AX587" s="299">
        <f t="shared" si="31"/>
        <v>7549951.672139856</v>
      </c>
      <c r="AY587" s="335"/>
      <c r="AZ587" s="335"/>
      <c r="BA587" s="335"/>
      <c r="BB587" s="335"/>
      <c r="BC587" s="335"/>
      <c r="BD587" s="335"/>
      <c r="BE587" s="335"/>
      <c r="BF587" s="335"/>
      <c r="BG587" s="335"/>
      <c r="BH587" s="335"/>
      <c r="BI587" s="335"/>
      <c r="BJ587" s="335"/>
      <c r="BK587" s="364"/>
      <c r="BL587" s="364"/>
      <c r="BM587" s="364"/>
      <c r="BN587" s="364"/>
      <c r="BO587" s="364"/>
      <c r="BP587" s="364"/>
      <c r="BQ587" s="335"/>
      <c r="BR587" s="335"/>
      <c r="BS587" s="364"/>
      <c r="BT587" s="364"/>
      <c r="BU587" s="364"/>
      <c r="BV587" s="364"/>
      <c r="BW587" s="364"/>
      <c r="BX587" s="364"/>
      <c r="BY587" s="335"/>
      <c r="BZ587" s="335"/>
      <c r="CA587" s="364"/>
      <c r="CB587" s="364"/>
      <c r="CC587" s="335"/>
      <c r="CD587" s="335"/>
      <c r="CE587" s="335"/>
      <c r="CF587" s="335"/>
      <c r="CG587" s="335"/>
      <c r="CH587" s="335"/>
      <c r="CI587" s="365"/>
      <c r="CJ587" s="365"/>
      <c r="CK587" s="335"/>
      <c r="CL587" s="335"/>
      <c r="CM587" s="366"/>
      <c r="CN587" s="366"/>
      <c r="CO587" s="366"/>
      <c r="CP587" s="3"/>
    </row>
    <row r="588" spans="1:94" x14ac:dyDescent="0.25">
      <c r="A588" s="34">
        <v>33</v>
      </c>
      <c r="B588" s="33">
        <f t="shared" si="19"/>
        <v>60</v>
      </c>
      <c r="C588" s="294">
        <f>VLOOKUP($B588,'Mother mortality'!$A$23:$I$124,5)</f>
        <v>5.0037481196724054E-3</v>
      </c>
      <c r="D588" s="295">
        <f t="shared" si="1"/>
        <v>0.27</v>
      </c>
      <c r="E588" s="295">
        <f t="shared" si="9"/>
        <v>0.72499625188032757</v>
      </c>
      <c r="F588" s="295">
        <f>VLOOKUP($B588,'Mother mortality'!$A$23:$I$124,5)</f>
        <v>5.0037481196724054E-3</v>
      </c>
      <c r="G588" s="295">
        <f t="shared" si="2"/>
        <v>0.14000000000000001</v>
      </c>
      <c r="H588" s="295">
        <f t="shared" si="10"/>
        <v>0.85499625188032757</v>
      </c>
      <c r="I588" s="295">
        <f>VLOOKUP($B588,'Mother mortality'!$A$23:$I$124,4)</f>
        <v>3.3029667390941002E-3</v>
      </c>
      <c r="J588" s="295">
        <f t="shared" si="11"/>
        <v>0.42526846183233447</v>
      </c>
      <c r="K588" s="295">
        <f t="shared" si="3"/>
        <v>0.5714285714285714</v>
      </c>
      <c r="L588" s="295">
        <f>VLOOKUP($B588,'Mother mortality'!$A$23:$I$124,4)</f>
        <v>3.3029667390941002E-3</v>
      </c>
      <c r="M588" s="295">
        <f t="shared" si="4"/>
        <v>8.6261668788331098E-3</v>
      </c>
      <c r="N588" s="295">
        <f t="shared" si="12"/>
        <v>0.98807086638207275</v>
      </c>
      <c r="O588" s="294"/>
      <c r="P588" s="296">
        <f t="shared" si="20"/>
        <v>450.54541600473698</v>
      </c>
      <c r="Q588" s="297">
        <f t="shared" si="21"/>
        <v>123.75340032588241</v>
      </c>
      <c r="R588" s="297">
        <f t="shared" si="22"/>
        <v>17.61825336835161</v>
      </c>
      <c r="S588" s="297">
        <f t="shared" si="23"/>
        <v>357.50744950173299</v>
      </c>
      <c r="T588" s="297">
        <f t="shared" si="24"/>
        <v>50.575480799295839</v>
      </c>
      <c r="U588" s="294">
        <f t="shared" si="13"/>
        <v>999.99999999999989</v>
      </c>
      <c r="V588" s="295" t="str">
        <f t="shared" si="5"/>
        <v>OKAY</v>
      </c>
      <c r="W588" s="295"/>
      <c r="X588" s="296">
        <f>SUM($P588:$Q588)-(SUM($P588:$Q588)*(VLOOKUP($B588,Lifetime_morbidity_array!$A$6:$Y$24,4)+VLOOKUP($B588,Lifetime_morbidity_array!$A$6:$Y$24,7)+VLOOKUP($B588,Lifetime_morbidity_array!$A$6:$Y$24,10)+VLOOKUP($B588,Lifetime_morbidity_array!$A$6:$Y$24,13)))</f>
        <v>429.96132812408041</v>
      </c>
      <c r="Y588" s="297">
        <f>SUM($R588:$S588)-(SUM($R588:$S588)*(VLOOKUP($B588,Lifetime_morbidity_array!$A$6:$Y$24,3)+VLOOKUP($B588,Lifetime_morbidity_array!$A$6:$Y$24,6)+VLOOKUP($B588,Lifetime_morbidity_array!$A$6:$Y$24,9)+VLOOKUP($B588,Lifetime_morbidity_array!$A$6:$Y$24,12)))</f>
        <v>330.67739985782231</v>
      </c>
      <c r="Z588" s="297">
        <f>(SUM($P588:$Q588)*VLOOKUP($B588,Lifetime_morbidity_array!$A$6:$Y$24,4))+(SUM($R588:$S588)*VLOOKUP($B588,Lifetime_morbidity_array!$A$6:$Y$24,3))</f>
        <v>69.92490870633533</v>
      </c>
      <c r="AA588" s="297">
        <f>(SUM($P588:$Q588)*VLOOKUP($B588,Lifetime_morbidity_array!$A$6:$Y$24,7))+(SUM($R588:$S588)*VLOOKUP($B588,Lifetime_morbidity_array!$A$6:$Y$24,6))</f>
        <v>82.674044814326464</v>
      </c>
      <c r="AB588" s="297">
        <f>(SUM($P588:$Q588)*VLOOKUP($B588,Lifetime_morbidity_array!$A$6:$Y$24,10))+(SUM($R588:$S588)*VLOOKUP($B588,Lifetime_morbidity_array!$A$6:$Y$24,9))</f>
        <v>2.9925795250752039</v>
      </c>
      <c r="AC588" s="297">
        <f>(SUM($P588:$Q588)*VLOOKUP($B588,Lifetime_morbidity_array!$A$6:$Y$24,13))+(SUM($R588:$S588)*VLOOKUP($B588,Lifetime_morbidity_array!$A$6:$Y$24,12))</f>
        <v>33.194258173064206</v>
      </c>
      <c r="AD588" s="294"/>
      <c r="AE588" s="294">
        <f t="shared" si="25"/>
        <v>60</v>
      </c>
      <c r="AF588" s="297">
        <f t="shared" si="26"/>
        <v>305.09065138656854</v>
      </c>
      <c r="AG588" s="297">
        <f t="shared" si="27"/>
        <v>19863.742765090803</v>
      </c>
      <c r="AH588" s="294"/>
      <c r="AI588" s="294">
        <f t="shared" si="28"/>
        <v>60</v>
      </c>
      <c r="AJ588" s="295">
        <f>((VLOOKUP($B588,'Mahawesran Tariff'!$A$21:$M$120,7)*$X588)+(VLOOKUP($B588,'Mahawesran Tariff'!$A$21:$M$120,6)*$Y588)+(DET_UTIL_chd*$Z588)+(DET_UTIL_copd*$AA588)+(DET_UTIL_lc*$AB588)+(DET_UTIL_stroke*$AC588))/((1+Discount_rate_QALYs)^$A588)</f>
        <v>266.69180651342117</v>
      </c>
      <c r="AK588" s="295">
        <f t="shared" si="29"/>
        <v>18763.220200952976</v>
      </c>
      <c r="AL588" s="294"/>
      <c r="AM588" s="294">
        <f t="shared" si="14"/>
        <v>60</v>
      </c>
      <c r="AN588" s="299">
        <f t="shared" ref="AN588:AN619" si="33">(($Z588*DET_COST_chd)+($AA588*DET_COST_copd)+($AB588*DET_cost_lc)+($AC588*DET_COST_stroke))/((1+Discount_rate_costs)^$A588)</f>
        <v>304648.65510026761</v>
      </c>
      <c r="AO588" s="299">
        <f t="shared" si="30"/>
        <v>7857640.3272401234</v>
      </c>
      <c r="AP588" s="294"/>
      <c r="AQ588" s="294">
        <f t="shared" si="16"/>
        <v>60</v>
      </c>
      <c r="AR588" s="298">
        <f t="shared" si="32"/>
        <v>0.94942451920070403</v>
      </c>
      <c r="AS588" s="298">
        <f t="shared" si="7"/>
        <v>5.0575480799295837E-2</v>
      </c>
      <c r="AT588" s="298">
        <f t="shared" si="8"/>
        <v>0.18878579121880118</v>
      </c>
      <c r="AU588" s="250"/>
      <c r="AV588" s="294">
        <f t="shared" si="17"/>
        <v>60</v>
      </c>
      <c r="AW588" s="299">
        <f t="shared" ref="AW588:AW619" si="34">(($Z588*DET_COST_chd)+($AA588*DET_COST_copd)+($AB588*DET_cost_lc)+($AC588*DET_COST_stroke))/((1+Discount_rate_costs)^$A588)</f>
        <v>304648.65510026761</v>
      </c>
      <c r="AX588" s="299">
        <f t="shared" si="31"/>
        <v>7854600.3272401234</v>
      </c>
      <c r="AY588" s="335"/>
      <c r="AZ588" s="335"/>
      <c r="BA588" s="335"/>
      <c r="BB588" s="335"/>
      <c r="BC588" s="335"/>
      <c r="BD588" s="335"/>
      <c r="BE588" s="335"/>
      <c r="BF588" s="335"/>
      <c r="BG588" s="335"/>
      <c r="BH588" s="335"/>
      <c r="BI588" s="335"/>
      <c r="BJ588" s="335"/>
      <c r="BK588" s="364"/>
      <c r="BL588" s="364"/>
      <c r="BM588" s="364"/>
      <c r="BN588" s="364"/>
      <c r="BO588" s="364"/>
      <c r="BP588" s="364"/>
      <c r="BQ588" s="335"/>
      <c r="BR588" s="335"/>
      <c r="BS588" s="364"/>
      <c r="BT588" s="364"/>
      <c r="BU588" s="364"/>
      <c r="BV588" s="364"/>
      <c r="BW588" s="364"/>
      <c r="BX588" s="364"/>
      <c r="BY588" s="335"/>
      <c r="BZ588" s="335"/>
      <c r="CA588" s="364"/>
      <c r="CB588" s="364"/>
      <c r="CC588" s="335"/>
      <c r="CD588" s="335"/>
      <c r="CE588" s="335"/>
      <c r="CF588" s="335"/>
      <c r="CG588" s="335"/>
      <c r="CH588" s="335"/>
      <c r="CI588" s="365"/>
      <c r="CJ588" s="365"/>
      <c r="CK588" s="335"/>
      <c r="CL588" s="335"/>
      <c r="CM588" s="366"/>
      <c r="CN588" s="366"/>
      <c r="CO588" s="366"/>
      <c r="CP588" s="3"/>
    </row>
    <row r="589" spans="1:94" x14ac:dyDescent="0.25">
      <c r="A589" s="34">
        <v>34</v>
      </c>
      <c r="B589" s="33">
        <f t="shared" si="19"/>
        <v>61</v>
      </c>
      <c r="C589" s="294">
        <f>VLOOKUP($B589,'Mother mortality'!$A$23:$I$124,5)</f>
        <v>5.3971602874811975E-3</v>
      </c>
      <c r="D589" s="295">
        <f t="shared" si="1"/>
        <v>0.27</v>
      </c>
      <c r="E589" s="295">
        <f t="shared" si="9"/>
        <v>0.72460283971251882</v>
      </c>
      <c r="F589" s="295">
        <f>VLOOKUP($B589,'Mother mortality'!$A$23:$I$124,5)</f>
        <v>5.3971602874811975E-3</v>
      </c>
      <c r="G589" s="295">
        <f t="shared" si="2"/>
        <v>0.14000000000000001</v>
      </c>
      <c r="H589" s="295">
        <f t="shared" si="10"/>
        <v>0.85460283971251882</v>
      </c>
      <c r="I589" s="295">
        <f>VLOOKUP($B589,'Mother mortality'!$A$23:$I$124,4)</f>
        <v>3.562657529667391E-3</v>
      </c>
      <c r="J589" s="295">
        <f t="shared" si="11"/>
        <v>0.42500877104176116</v>
      </c>
      <c r="K589" s="295">
        <f t="shared" si="3"/>
        <v>0.5714285714285714</v>
      </c>
      <c r="L589" s="295">
        <f>VLOOKUP($B589,'Mother mortality'!$A$23:$I$124,4)</f>
        <v>3.562657529667391E-3</v>
      </c>
      <c r="M589" s="295">
        <f t="shared" si="4"/>
        <v>8.6261668788331098E-3</v>
      </c>
      <c r="N589" s="295">
        <f t="shared" si="12"/>
        <v>0.98781117559149945</v>
      </c>
      <c r="O589" s="294"/>
      <c r="P589" s="296">
        <f t="shared" si="20"/>
        <v>442.79832633088319</v>
      </c>
      <c r="Q589" s="297">
        <f t="shared" si="21"/>
        <v>121.64726232127899</v>
      </c>
      <c r="R589" s="297">
        <f t="shared" si="22"/>
        <v>17.325476045623539</v>
      </c>
      <c r="S589" s="297">
        <f t="shared" si="23"/>
        <v>363.2174273283693</v>
      </c>
      <c r="T589" s="297">
        <f t="shared" si="24"/>
        <v>55.011507973844793</v>
      </c>
      <c r="U589" s="294">
        <f t="shared" si="13"/>
        <v>999.99999999999977</v>
      </c>
      <c r="V589" s="295" t="str">
        <f t="shared" si="5"/>
        <v>OKAY</v>
      </c>
      <c r="W589" s="295"/>
      <c r="X589" s="296">
        <f>SUM($P589:$Q589)-(SUM($P589:$Q589)*(VLOOKUP($B589,Lifetime_morbidity_array!$A$6:$Y$24,4)+VLOOKUP($B589,Lifetime_morbidity_array!$A$6:$Y$24,7)+VLOOKUP($B589,Lifetime_morbidity_array!$A$6:$Y$24,10)+VLOOKUP($B589,Lifetime_morbidity_array!$A$6:$Y$24,13)))</f>
        <v>422.58449442972108</v>
      </c>
      <c r="Y589" s="297">
        <f>SUM($R589:$S589)-(SUM($R589:$S589)*(VLOOKUP($B589,Lifetime_morbidity_array!$A$6:$Y$24,3)+VLOOKUP($B589,Lifetime_morbidity_array!$A$6:$Y$24,6)+VLOOKUP($B589,Lifetime_morbidity_array!$A$6:$Y$24,9)+VLOOKUP($B589,Lifetime_morbidity_array!$A$6:$Y$24,12)))</f>
        <v>335.45272120593381</v>
      </c>
      <c r="Z589" s="297">
        <f>(SUM($P589:$Q589)*VLOOKUP($B589,Lifetime_morbidity_array!$A$6:$Y$24,4))+(SUM($R589:$S589)*VLOOKUP($B589,Lifetime_morbidity_array!$A$6:$Y$24,3))</f>
        <v>69.157420125323057</v>
      </c>
      <c r="AA589" s="297">
        <f>(SUM($P589:$Q589)*VLOOKUP($B589,Lifetime_morbidity_array!$A$6:$Y$24,7))+(SUM($R589:$S589)*VLOOKUP($B589,Lifetime_morbidity_array!$A$6:$Y$24,6))</f>
        <v>81.934700018359891</v>
      </c>
      <c r="AB589" s="297">
        <f>(SUM($P589:$Q589)*VLOOKUP($B589,Lifetime_morbidity_array!$A$6:$Y$24,10))+(SUM($R589:$S589)*VLOOKUP($B589,Lifetime_morbidity_array!$A$6:$Y$24,9))</f>
        <v>2.9551370337642169</v>
      </c>
      <c r="AC589" s="297">
        <f>(SUM($P589:$Q589)*VLOOKUP($B589,Lifetime_morbidity_array!$A$6:$Y$24,13))+(SUM($R589:$S589)*VLOOKUP($B589,Lifetime_morbidity_array!$A$6:$Y$24,12))</f>
        <v>32.904019213052905</v>
      </c>
      <c r="AD589" s="294"/>
      <c r="AE589" s="294">
        <f t="shared" si="25"/>
        <v>61</v>
      </c>
      <c r="AF589" s="297">
        <f t="shared" si="26"/>
        <v>293.39629601600353</v>
      </c>
      <c r="AG589" s="297">
        <f t="shared" si="27"/>
        <v>20157.139061106805</v>
      </c>
      <c r="AH589" s="294"/>
      <c r="AI589" s="294">
        <f t="shared" si="28"/>
        <v>61</v>
      </c>
      <c r="AJ589" s="295">
        <f>((VLOOKUP($B589,'Mahawesran Tariff'!$A$21:$M$120,7)*$X589)+(VLOOKUP($B589,'Mahawesran Tariff'!$A$21:$M$120,6)*$Y589)+(DET_UTIL_chd*$Z589)+(DET_UTIL_copd*$AA589)+(DET_UTIL_lc*$AB589)+(DET_UTIL_stroke*$AC589))/((1+Discount_rate_QALYs)^$A589)</f>
        <v>256.55410402779819</v>
      </c>
      <c r="AK589" s="295">
        <f t="shared" si="29"/>
        <v>19019.774304980772</v>
      </c>
      <c r="AL589" s="294"/>
      <c r="AM589" s="294">
        <f t="shared" si="14"/>
        <v>61</v>
      </c>
      <c r="AN589" s="299">
        <f t="shared" si="33"/>
        <v>291645.99310291756</v>
      </c>
      <c r="AO589" s="299">
        <f t="shared" si="30"/>
        <v>8149286.3203430409</v>
      </c>
      <c r="AP589" s="294"/>
      <c r="AQ589" s="294">
        <f t="shared" si="16"/>
        <v>61</v>
      </c>
      <c r="AR589" s="298">
        <f t="shared" si="32"/>
        <v>0.94498849202615498</v>
      </c>
      <c r="AS589" s="298">
        <f t="shared" si="7"/>
        <v>5.5011507973844791E-2</v>
      </c>
      <c r="AT589" s="298">
        <f t="shared" si="8"/>
        <v>0.18695127639050008</v>
      </c>
      <c r="AU589" s="250"/>
      <c r="AV589" s="294">
        <f t="shared" si="17"/>
        <v>61</v>
      </c>
      <c r="AW589" s="299">
        <f t="shared" si="34"/>
        <v>291645.99310291756</v>
      </c>
      <c r="AX589" s="299">
        <f t="shared" si="31"/>
        <v>8146246.3203430409</v>
      </c>
      <c r="AY589" s="335"/>
      <c r="AZ589" s="335"/>
      <c r="BA589" s="335"/>
      <c r="BB589" s="335"/>
      <c r="BC589" s="335"/>
      <c r="BD589" s="335"/>
      <c r="BE589" s="335"/>
      <c r="BF589" s="335"/>
      <c r="BG589" s="335"/>
      <c r="BH589" s="335"/>
      <c r="BI589" s="335"/>
      <c r="BJ589" s="335"/>
      <c r="BK589" s="364"/>
      <c r="BL589" s="364"/>
      <c r="BM589" s="364"/>
      <c r="BN589" s="364"/>
      <c r="BO589" s="364"/>
      <c r="BP589" s="364"/>
      <c r="BQ589" s="335"/>
      <c r="BR589" s="335"/>
      <c r="BS589" s="364"/>
      <c r="BT589" s="364"/>
      <c r="BU589" s="364"/>
      <c r="BV589" s="364"/>
      <c r="BW589" s="364"/>
      <c r="BX589" s="364"/>
      <c r="BY589" s="335"/>
      <c r="BZ589" s="335"/>
      <c r="CA589" s="364"/>
      <c r="CB589" s="364"/>
      <c r="CC589" s="335"/>
      <c r="CD589" s="335"/>
      <c r="CE589" s="335"/>
      <c r="CF589" s="335"/>
      <c r="CG589" s="335"/>
      <c r="CH589" s="335"/>
      <c r="CI589" s="365"/>
      <c r="CJ589" s="365"/>
      <c r="CK589" s="335"/>
      <c r="CL589" s="335"/>
      <c r="CM589" s="366"/>
      <c r="CN589" s="366"/>
      <c r="CO589" s="366"/>
      <c r="CP589" s="3"/>
    </row>
    <row r="590" spans="1:94" x14ac:dyDescent="0.25">
      <c r="A590" s="34">
        <v>35</v>
      </c>
      <c r="B590" s="33">
        <f t="shared" si="19"/>
        <v>62</v>
      </c>
      <c r="C590" s="294">
        <f>VLOOKUP($B590,'Mother mortality'!$A$23:$I$124,5)</f>
        <v>5.8190732074210267E-3</v>
      </c>
      <c r="D590" s="295">
        <f t="shared" si="1"/>
        <v>0.27</v>
      </c>
      <c r="E590" s="295">
        <f t="shared" si="9"/>
        <v>0.72418092679257895</v>
      </c>
      <c r="F590" s="295">
        <f>VLOOKUP($B590,'Mother mortality'!$A$23:$I$124,5)</f>
        <v>5.8190732074210267E-3</v>
      </c>
      <c r="G590" s="295">
        <f t="shared" si="2"/>
        <v>0.14000000000000001</v>
      </c>
      <c r="H590" s="295">
        <f t="shared" si="10"/>
        <v>0.85418092679257895</v>
      </c>
      <c r="I590" s="295">
        <f>VLOOKUP($B590,'Mother mortality'!$A$23:$I$124,4)</f>
        <v>3.8411616246030421E-3</v>
      </c>
      <c r="J590" s="295">
        <f t="shared" si="11"/>
        <v>0.42473026694682559</v>
      </c>
      <c r="K590" s="295">
        <f t="shared" si="3"/>
        <v>0.5714285714285714</v>
      </c>
      <c r="L590" s="295">
        <f>VLOOKUP($B590,'Mother mortality'!$A$23:$I$124,4)</f>
        <v>3.8411616246030421E-3</v>
      </c>
      <c r="M590" s="295">
        <f t="shared" si="4"/>
        <v>8.6261668788331098E-3</v>
      </c>
      <c r="N590" s="295">
        <f t="shared" si="12"/>
        <v>0.98753267149656387</v>
      </c>
      <c r="O590" s="294"/>
      <c r="P590" s="296">
        <f t="shared" si="20"/>
        <v>435.06670182314531</v>
      </c>
      <c r="Q590" s="297">
        <f t="shared" si="21"/>
        <v>119.55554810933847</v>
      </c>
      <c r="R590" s="297">
        <f t="shared" si="22"/>
        <v>17.030616724979058</v>
      </c>
      <c r="S590" s="297">
        <f t="shared" si="23"/>
        <v>368.58934836976414</v>
      </c>
      <c r="T590" s="297">
        <f t="shared" si="24"/>
        <v>59.757784972772789</v>
      </c>
      <c r="U590" s="294">
        <f t="shared" si="13"/>
        <v>999.99999999999977</v>
      </c>
      <c r="V590" s="295" t="str">
        <f t="shared" si="5"/>
        <v>OKAY</v>
      </c>
      <c r="W590" s="295"/>
      <c r="X590" s="296">
        <f>SUM($P590:$Q590)-(SUM($P590:$Q590)*(VLOOKUP($B590,Lifetime_morbidity_array!$A$6:$Y$24,4)+VLOOKUP($B590,Lifetime_morbidity_array!$A$6:$Y$24,7)+VLOOKUP($B590,Lifetime_morbidity_array!$A$6:$Y$24,10)+VLOOKUP($B590,Lifetime_morbidity_array!$A$6:$Y$24,13)))</f>
        <v>415.23003775590809</v>
      </c>
      <c r="Y590" s="297">
        <f>SUM($R590:$S590)-(SUM($R590:$S590)*(VLOOKUP($B590,Lifetime_morbidity_array!$A$6:$Y$24,3)+VLOOKUP($B590,Lifetime_morbidity_array!$A$6:$Y$24,6)+VLOOKUP($B590,Lifetime_morbidity_array!$A$6:$Y$24,9)+VLOOKUP($B590,Lifetime_morbidity_array!$A$6:$Y$24,12)))</f>
        <v>339.92820650563573</v>
      </c>
      <c r="Z590" s="297">
        <f>(SUM($P590:$Q590)*VLOOKUP($B590,Lifetime_morbidity_array!$A$6:$Y$24,4))+(SUM($R590:$S590)*VLOOKUP($B590,Lifetime_morbidity_array!$A$6:$Y$24,3))</f>
        <v>68.380456169643608</v>
      </c>
      <c r="AA590" s="297">
        <f>(SUM($P590:$Q590)*VLOOKUP($B590,Lifetime_morbidity_array!$A$6:$Y$24,7))+(SUM($R590:$S590)*VLOOKUP($B590,Lifetime_morbidity_array!$A$6:$Y$24,6))</f>
        <v>81.179052284688524</v>
      </c>
      <c r="AB590" s="297">
        <f>(SUM($P590:$Q590)*VLOOKUP($B590,Lifetime_morbidity_array!$A$6:$Y$24,10))+(SUM($R590:$S590)*VLOOKUP($B590,Lifetime_morbidity_array!$A$6:$Y$24,9))</f>
        <v>2.9174284882010362</v>
      </c>
      <c r="AC590" s="297">
        <f>(SUM($P590:$Q590)*VLOOKUP($B590,Lifetime_morbidity_array!$A$6:$Y$24,13))+(SUM($R590:$S590)*VLOOKUP($B590,Lifetime_morbidity_array!$A$6:$Y$24,12))</f>
        <v>32.607033823149941</v>
      </c>
      <c r="AD590" s="294"/>
      <c r="AE590" s="294">
        <f t="shared" si="25"/>
        <v>62</v>
      </c>
      <c r="AF590" s="297">
        <f t="shared" si="26"/>
        <v>282.05090886236763</v>
      </c>
      <c r="AG590" s="297">
        <f t="shared" si="27"/>
        <v>20439.189969969175</v>
      </c>
      <c r="AH590" s="294"/>
      <c r="AI590" s="294">
        <f t="shared" si="28"/>
        <v>62</v>
      </c>
      <c r="AJ590" s="295">
        <f>((VLOOKUP($B590,'Mahawesran Tariff'!$A$21:$M$120,7)*$X590)+(VLOOKUP($B590,'Mahawesran Tariff'!$A$21:$M$120,6)*$Y590)+(DET_UTIL_chd*$Z590)+(DET_UTIL_copd*$AA590)+(DET_UTIL_lc*$AB590)+(DET_UTIL_stroke*$AC590))/((1+Discount_rate_QALYs)^$A590)</f>
        <v>246.71322750304589</v>
      </c>
      <c r="AK590" s="295">
        <f t="shared" si="29"/>
        <v>19266.487532483818</v>
      </c>
      <c r="AL590" s="294"/>
      <c r="AM590" s="294">
        <f t="shared" si="14"/>
        <v>62</v>
      </c>
      <c r="AN590" s="299">
        <f t="shared" si="33"/>
        <v>279120.27625941241</v>
      </c>
      <c r="AO590" s="299">
        <f t="shared" si="30"/>
        <v>8428406.5966024529</v>
      </c>
      <c r="AP590" s="294"/>
      <c r="AQ590" s="294">
        <f t="shared" si="16"/>
        <v>62</v>
      </c>
      <c r="AR590" s="298">
        <f t="shared" si="32"/>
        <v>0.94024221502722694</v>
      </c>
      <c r="AS590" s="298">
        <f t="shared" si="7"/>
        <v>5.9757784972772787E-2</v>
      </c>
      <c r="AT590" s="298">
        <f t="shared" si="8"/>
        <v>0.18508397076568311</v>
      </c>
      <c r="AU590" s="250"/>
      <c r="AV590" s="294">
        <f t="shared" si="17"/>
        <v>62</v>
      </c>
      <c r="AW590" s="299">
        <f t="shared" si="34"/>
        <v>279120.27625941241</v>
      </c>
      <c r="AX590" s="299">
        <f t="shared" si="31"/>
        <v>8425366.5966024529</v>
      </c>
      <c r="AY590" s="335"/>
      <c r="AZ590" s="335"/>
      <c r="BA590" s="335"/>
      <c r="BB590" s="335"/>
      <c r="BC590" s="335"/>
      <c r="BD590" s="335"/>
      <c r="BE590" s="335"/>
      <c r="BF590" s="335"/>
      <c r="BG590" s="335"/>
      <c r="BH590" s="335"/>
      <c r="BI590" s="335"/>
      <c r="BJ590" s="335"/>
      <c r="BK590" s="364"/>
      <c r="BL590" s="364"/>
      <c r="BM590" s="364"/>
      <c r="BN590" s="364"/>
      <c r="BO590" s="364"/>
      <c r="BP590" s="364"/>
      <c r="BQ590" s="335"/>
      <c r="BR590" s="335"/>
      <c r="BS590" s="364"/>
      <c r="BT590" s="364"/>
      <c r="BU590" s="364"/>
      <c r="BV590" s="364"/>
      <c r="BW590" s="364"/>
      <c r="BX590" s="364"/>
      <c r="BY590" s="335"/>
      <c r="BZ590" s="335"/>
      <c r="CA590" s="364"/>
      <c r="CB590" s="364"/>
      <c r="CC590" s="335"/>
      <c r="CD590" s="335"/>
      <c r="CE590" s="335"/>
      <c r="CF590" s="335"/>
      <c r="CG590" s="335"/>
      <c r="CH590" s="335"/>
      <c r="CI590" s="365"/>
      <c r="CJ590" s="365"/>
      <c r="CK590" s="335"/>
      <c r="CL590" s="335"/>
      <c r="CM590" s="366"/>
      <c r="CN590" s="366"/>
      <c r="CO590" s="366"/>
      <c r="CP590" s="3"/>
    </row>
    <row r="591" spans="1:94" x14ac:dyDescent="0.25">
      <c r="A591" s="34">
        <v>36</v>
      </c>
      <c r="B591" s="33">
        <f t="shared" si="19"/>
        <v>63</v>
      </c>
      <c r="C591" s="294">
        <f>VLOOKUP($B591,'Mother mortality'!$A$23:$I$124,5)</f>
        <v>6.2740673575129536E-3</v>
      </c>
      <c r="D591" s="295">
        <f t="shared" si="1"/>
        <v>0.27</v>
      </c>
      <c r="E591" s="295">
        <f t="shared" si="9"/>
        <v>0.72372593264248708</v>
      </c>
      <c r="F591" s="295">
        <f>VLOOKUP($B591,'Mother mortality'!$A$23:$I$124,5)</f>
        <v>6.2740673575129536E-3</v>
      </c>
      <c r="G591" s="295">
        <f t="shared" si="2"/>
        <v>0.14000000000000001</v>
      </c>
      <c r="H591" s="295">
        <f t="shared" si="10"/>
        <v>0.85372593264248708</v>
      </c>
      <c r="I591" s="295">
        <f>VLOOKUP($B591,'Mother mortality'!$A$23:$I$124,4)</f>
        <v>4.1415025906735752E-3</v>
      </c>
      <c r="J591" s="295">
        <f t="shared" si="11"/>
        <v>0.42442992598075502</v>
      </c>
      <c r="K591" s="295">
        <f t="shared" si="3"/>
        <v>0.5714285714285714</v>
      </c>
      <c r="L591" s="295">
        <f>VLOOKUP($B591,'Mother mortality'!$A$23:$I$124,4)</f>
        <v>4.1415025906735752E-3</v>
      </c>
      <c r="M591" s="295">
        <f t="shared" si="4"/>
        <v>8.6261668788331098E-3</v>
      </c>
      <c r="N591" s="295">
        <f t="shared" si="12"/>
        <v>0.98723233053049331</v>
      </c>
      <c r="O591" s="294"/>
      <c r="P591" s="296">
        <f t="shared" si="20"/>
        <v>427.34454297566276</v>
      </c>
      <c r="Q591" s="297">
        <f t="shared" si="21"/>
        <v>117.46800949224924</v>
      </c>
      <c r="R591" s="297">
        <f t="shared" si="22"/>
        <v>16.737776735307389</v>
      </c>
      <c r="S591" s="297">
        <f t="shared" si="23"/>
        <v>373.61510238550045</v>
      </c>
      <c r="T591" s="297">
        <f t="shared" si="24"/>
        <v>64.834568411279918</v>
      </c>
      <c r="U591" s="294">
        <f t="shared" si="13"/>
        <v>999.99999999999977</v>
      </c>
      <c r="V591" s="295" t="str">
        <f t="shared" si="5"/>
        <v>OKAY</v>
      </c>
      <c r="W591" s="295"/>
      <c r="X591" s="296">
        <f>SUM($P591:$Q591)-(SUM($P591:$Q591)*(VLOOKUP($B591,Lifetime_morbidity_array!$A$6:$Y$24,4)+VLOOKUP($B591,Lifetime_morbidity_array!$A$6:$Y$24,7)+VLOOKUP($B591,Lifetime_morbidity_array!$A$6:$Y$24,10)+VLOOKUP($B591,Lifetime_morbidity_array!$A$6:$Y$24,13)))</f>
        <v>407.88579390509972</v>
      </c>
      <c r="Y591" s="297">
        <f>SUM($R591:$S591)-(SUM($R591:$S591)*(VLOOKUP($B591,Lifetime_morbidity_array!$A$6:$Y$24,3)+VLOOKUP($B591,Lifetime_morbidity_array!$A$6:$Y$24,6)+VLOOKUP($B591,Lifetime_morbidity_array!$A$6:$Y$24,9)+VLOOKUP($B591,Lifetime_morbidity_array!$A$6:$Y$24,12)))</f>
        <v>344.10032185767733</v>
      </c>
      <c r="Z591" s="297">
        <f>(SUM($P591:$Q591)*VLOOKUP($B591,Lifetime_morbidity_array!$A$6:$Y$24,4))+(SUM($R591:$S591)*VLOOKUP($B591,Lifetime_morbidity_array!$A$6:$Y$24,3))</f>
        <v>67.592279369717232</v>
      </c>
      <c r="AA591" s="297">
        <f>(SUM($P591:$Q591)*VLOOKUP($B591,Lifetime_morbidity_array!$A$6:$Y$24,7))+(SUM($R591:$S591)*VLOOKUP($B591,Lifetime_morbidity_array!$A$6:$Y$24,6))</f>
        <v>80.405141000189417</v>
      </c>
      <c r="AB591" s="297">
        <f>(SUM($P591:$Q591)*VLOOKUP($B591,Lifetime_morbidity_array!$A$6:$Y$24,10))+(SUM($R591:$S591)*VLOOKUP($B591,Lifetime_morbidity_array!$A$6:$Y$24,9))</f>
        <v>2.87937696906436</v>
      </c>
      <c r="AC591" s="297">
        <f>(SUM($P591:$Q591)*VLOOKUP($B591,Lifetime_morbidity_array!$A$6:$Y$24,13))+(SUM($R591:$S591)*VLOOKUP($B591,Lifetime_morbidity_array!$A$6:$Y$24,12))</f>
        <v>32.302518486971813</v>
      </c>
      <c r="AD591" s="294"/>
      <c r="AE591" s="294">
        <f t="shared" si="25"/>
        <v>63</v>
      </c>
      <c r="AF591" s="297">
        <f t="shared" si="26"/>
        <v>271.04153748711713</v>
      </c>
      <c r="AG591" s="297">
        <f t="shared" si="27"/>
        <v>20710.23150745629</v>
      </c>
      <c r="AH591" s="294"/>
      <c r="AI591" s="294">
        <f t="shared" si="28"/>
        <v>63</v>
      </c>
      <c r="AJ591" s="295">
        <f>((VLOOKUP($B591,'Mahawesran Tariff'!$A$21:$M$120,7)*$X591)+(VLOOKUP($B591,'Mahawesran Tariff'!$A$21:$M$120,6)*$Y591)+(DET_UTIL_chd*$Z591)+(DET_UTIL_copd*$AA591)+(DET_UTIL_lc*$AB591)+(DET_UTIL_stroke*$AC591))/((1+Discount_rate_QALYs)^$A591)</f>
        <v>237.15844190706122</v>
      </c>
      <c r="AK591" s="295">
        <f t="shared" si="29"/>
        <v>19503.645974390878</v>
      </c>
      <c r="AL591" s="294"/>
      <c r="AM591" s="294">
        <f t="shared" si="14"/>
        <v>63</v>
      </c>
      <c r="AN591" s="299">
        <f t="shared" si="33"/>
        <v>267049.39364865271</v>
      </c>
      <c r="AO591" s="299">
        <f t="shared" si="30"/>
        <v>8695455.9902511053</v>
      </c>
      <c r="AP591" s="294"/>
      <c r="AQ591" s="294">
        <f t="shared" si="16"/>
        <v>63</v>
      </c>
      <c r="AR591" s="298">
        <f t="shared" si="32"/>
        <v>0.9351654315887199</v>
      </c>
      <c r="AS591" s="298">
        <f t="shared" si="7"/>
        <v>6.4834568411279922E-2</v>
      </c>
      <c r="AT591" s="298">
        <f t="shared" si="8"/>
        <v>0.18317931582594282</v>
      </c>
      <c r="AU591" s="250"/>
      <c r="AV591" s="294">
        <f t="shared" si="17"/>
        <v>63</v>
      </c>
      <c r="AW591" s="299">
        <f t="shared" si="34"/>
        <v>267049.39364865271</v>
      </c>
      <c r="AX591" s="299">
        <f t="shared" si="31"/>
        <v>8692415.9902511053</v>
      </c>
      <c r="AY591" s="335"/>
      <c r="AZ591" s="335"/>
      <c r="BA591" s="335"/>
      <c r="BB591" s="335"/>
      <c r="BC591" s="335"/>
      <c r="BD591" s="335"/>
      <c r="BE591" s="335"/>
      <c r="BF591" s="335"/>
      <c r="BG591" s="335"/>
      <c r="BH591" s="335"/>
      <c r="BI591" s="335"/>
      <c r="BJ591" s="335"/>
      <c r="BK591" s="364"/>
      <c r="BL591" s="364"/>
      <c r="BM591" s="364"/>
      <c r="BN591" s="364"/>
      <c r="BO591" s="364"/>
      <c r="BP591" s="364"/>
      <c r="BQ591" s="335"/>
      <c r="BR591" s="335"/>
      <c r="BS591" s="364"/>
      <c r="BT591" s="364"/>
      <c r="BU591" s="364"/>
      <c r="BV591" s="364"/>
      <c r="BW591" s="364"/>
      <c r="BX591" s="364"/>
      <c r="BY591" s="335"/>
      <c r="BZ591" s="335"/>
      <c r="CA591" s="364"/>
      <c r="CB591" s="364"/>
      <c r="CC591" s="335"/>
      <c r="CD591" s="335"/>
      <c r="CE591" s="335"/>
      <c r="CF591" s="335"/>
      <c r="CG591" s="335"/>
      <c r="CH591" s="335"/>
      <c r="CI591" s="365"/>
      <c r="CJ591" s="365"/>
      <c r="CK591" s="335"/>
      <c r="CL591" s="335"/>
      <c r="CM591" s="366"/>
      <c r="CN591" s="366"/>
      <c r="CO591" s="366"/>
      <c r="CP591" s="3"/>
    </row>
    <row r="592" spans="1:94" x14ac:dyDescent="0.25">
      <c r="A592" s="34">
        <v>37</v>
      </c>
      <c r="B592" s="33">
        <f t="shared" si="19"/>
        <v>64</v>
      </c>
      <c r="C592" s="294">
        <f>VLOOKUP($B592,'Mother mortality'!$A$23:$I$124,5)</f>
        <v>6.7594283804111657E-3</v>
      </c>
      <c r="D592" s="295">
        <f t="shared" si="1"/>
        <v>0.27</v>
      </c>
      <c r="E592" s="295">
        <f t="shared" si="9"/>
        <v>0.72324057161958877</v>
      </c>
      <c r="F592" s="295">
        <f>VLOOKUP($B592,'Mother mortality'!$A$23:$I$124,5)</f>
        <v>6.7594283804111657E-3</v>
      </c>
      <c r="G592" s="295">
        <f t="shared" si="2"/>
        <v>0.14000000000000001</v>
      </c>
      <c r="H592" s="295">
        <f t="shared" si="10"/>
        <v>0.85324057161958877</v>
      </c>
      <c r="I592" s="295">
        <f>VLOOKUP($B592,'Mother mortality'!$A$23:$I$124,4)</f>
        <v>4.4618886846063853E-3</v>
      </c>
      <c r="J592" s="295">
        <f t="shared" si="11"/>
        <v>0.42410953988682221</v>
      </c>
      <c r="K592" s="295">
        <f t="shared" si="3"/>
        <v>0.5714285714285714</v>
      </c>
      <c r="L592" s="295">
        <f>VLOOKUP($B592,'Mother mortality'!$A$23:$I$124,4)</f>
        <v>4.4618886846063853E-3</v>
      </c>
      <c r="M592" s="295">
        <f t="shared" si="4"/>
        <v>8.6261668788331098E-3</v>
      </c>
      <c r="N592" s="295">
        <f t="shared" si="12"/>
        <v>0.9869119444365605</v>
      </c>
      <c r="O592" s="294"/>
      <c r="P592" s="296">
        <f t="shared" si="20"/>
        <v>419.62290011798154</v>
      </c>
      <c r="Q592" s="297">
        <f t="shared" si="21"/>
        <v>115.38302660342896</v>
      </c>
      <c r="R592" s="297">
        <f t="shared" si="22"/>
        <v>16.445521328914896</v>
      </c>
      <c r="S592" s="297">
        <f t="shared" si="23"/>
        <v>378.28965101488598</v>
      </c>
      <c r="T592" s="297">
        <f t="shared" si="24"/>
        <v>70.258900934788429</v>
      </c>
      <c r="U592" s="294">
        <f t="shared" si="13"/>
        <v>999.99999999999989</v>
      </c>
      <c r="V592" s="295" t="str">
        <f t="shared" si="5"/>
        <v>OKAY</v>
      </c>
      <c r="W592" s="295"/>
      <c r="X592" s="296">
        <f>SUM($P592:$Q592)-(SUM($P592:$Q592)*(VLOOKUP($B592,Lifetime_morbidity_array!$A$6:$Y$24,4)+VLOOKUP($B592,Lifetime_morbidity_array!$A$6:$Y$24,7)+VLOOKUP($B592,Lifetime_morbidity_array!$A$6:$Y$24,10)+VLOOKUP($B592,Lifetime_morbidity_array!$A$6:$Y$24,13)))</f>
        <v>400.5438497629857</v>
      </c>
      <c r="Y592" s="297">
        <f>SUM($R592:$S592)-(SUM($R592:$S592)*(VLOOKUP($B592,Lifetime_morbidity_array!$A$6:$Y$24,3)+VLOOKUP($B592,Lifetime_morbidity_array!$A$6:$Y$24,6)+VLOOKUP($B592,Lifetime_morbidity_array!$A$6:$Y$24,9)+VLOOKUP($B592,Lifetime_morbidity_array!$A$6:$Y$24,12)))</f>
        <v>347.96336114639212</v>
      </c>
      <c r="Z592" s="297">
        <f>(SUM($P592:$Q592)*VLOOKUP($B592,Lifetime_morbidity_array!$A$6:$Y$24,4))+(SUM($R592:$S592)*VLOOKUP($B592,Lifetime_morbidity_array!$A$6:$Y$24,3))</f>
        <v>66.791618518706287</v>
      </c>
      <c r="AA592" s="297">
        <f>(SUM($P592:$Q592)*VLOOKUP($B592,Lifetime_morbidity_array!$A$6:$Y$24,7))+(SUM($R592:$S592)*VLOOKUP($B592,Lifetime_morbidity_array!$A$6:$Y$24,6))</f>
        <v>79.611469292484145</v>
      </c>
      <c r="AB592" s="297">
        <f>(SUM($P592:$Q592)*VLOOKUP($B592,Lifetime_morbidity_array!$A$6:$Y$24,10))+(SUM($R592:$S592)*VLOOKUP($B592,Lifetime_morbidity_array!$A$6:$Y$24,9))</f>
        <v>2.8409279054092553</v>
      </c>
      <c r="AC592" s="297">
        <f>(SUM($P592:$Q592)*VLOOKUP($B592,Lifetime_morbidity_array!$A$6:$Y$24,13))+(SUM($R592:$S592)*VLOOKUP($B592,Lifetime_morbidity_array!$A$6:$Y$24,12))</f>
        <v>31.989872439233864</v>
      </c>
      <c r="AD592" s="294"/>
      <c r="AE592" s="294">
        <f t="shared" si="25"/>
        <v>64</v>
      </c>
      <c r="AF592" s="297">
        <f t="shared" si="26"/>
        <v>260.356897059137</v>
      </c>
      <c r="AG592" s="297">
        <f t="shared" si="27"/>
        <v>20970.588404515427</v>
      </c>
      <c r="AH592" s="294"/>
      <c r="AI592" s="294">
        <f t="shared" si="28"/>
        <v>64</v>
      </c>
      <c r="AJ592" s="295">
        <f>((VLOOKUP($B592,'Mahawesran Tariff'!$A$21:$M$120,7)*$X592)+(VLOOKUP($B592,'Mahawesran Tariff'!$A$21:$M$120,6)*$Y592)+(DET_UTIL_chd*$Z592)+(DET_UTIL_copd*$AA592)+(DET_UTIL_lc*$AB592)+(DET_UTIL_stroke*$AC592))/((1+Discount_rate_QALYs)^$A592)</f>
        <v>227.88039395925344</v>
      </c>
      <c r="AK592" s="295">
        <f t="shared" si="29"/>
        <v>19731.526368350133</v>
      </c>
      <c r="AL592" s="294"/>
      <c r="AM592" s="294">
        <f t="shared" si="14"/>
        <v>64</v>
      </c>
      <c r="AN592" s="299">
        <f t="shared" si="33"/>
        <v>255414.08685096807</v>
      </c>
      <c r="AO592" s="299">
        <f t="shared" si="30"/>
        <v>8950870.0771020725</v>
      </c>
      <c r="AP592" s="294"/>
      <c r="AQ592" s="294">
        <f t="shared" si="16"/>
        <v>64</v>
      </c>
      <c r="AR592" s="298">
        <f t="shared" si="32"/>
        <v>0.92974109906521141</v>
      </c>
      <c r="AS592" s="298">
        <f t="shared" si="7"/>
        <v>7.0258900934788426E-2</v>
      </c>
      <c r="AT592" s="298">
        <f t="shared" si="8"/>
        <v>0.18123388815583355</v>
      </c>
      <c r="AU592" s="250"/>
      <c r="AV592" s="294">
        <f t="shared" si="17"/>
        <v>64</v>
      </c>
      <c r="AW592" s="299">
        <f t="shared" si="34"/>
        <v>255414.08685096807</v>
      </c>
      <c r="AX592" s="299">
        <f t="shared" si="31"/>
        <v>8947830.0771020725</v>
      </c>
      <c r="AY592" s="335"/>
      <c r="AZ592" s="335"/>
      <c r="BA592" s="335"/>
      <c r="BB592" s="335"/>
      <c r="BC592" s="335"/>
      <c r="BD592" s="335"/>
      <c r="BE592" s="335"/>
      <c r="BF592" s="335"/>
      <c r="BG592" s="335"/>
      <c r="BH592" s="335"/>
      <c r="BI592" s="335"/>
      <c r="BJ592" s="335"/>
      <c r="BK592" s="364"/>
      <c r="BL592" s="364"/>
      <c r="BM592" s="364"/>
      <c r="BN592" s="364"/>
      <c r="BO592" s="364"/>
      <c r="BP592" s="364"/>
      <c r="BQ592" s="335"/>
      <c r="BR592" s="335"/>
      <c r="BS592" s="364"/>
      <c r="BT592" s="364"/>
      <c r="BU592" s="364"/>
      <c r="BV592" s="364"/>
      <c r="BW592" s="364"/>
      <c r="BX592" s="364"/>
      <c r="BY592" s="335"/>
      <c r="BZ592" s="335"/>
      <c r="CA592" s="364"/>
      <c r="CB592" s="364"/>
      <c r="CC592" s="335"/>
      <c r="CD592" s="335"/>
      <c r="CE592" s="335"/>
      <c r="CF592" s="335"/>
      <c r="CG592" s="335"/>
      <c r="CH592" s="335"/>
      <c r="CI592" s="365"/>
      <c r="CJ592" s="365"/>
      <c r="CK592" s="335"/>
      <c r="CL592" s="335"/>
      <c r="CM592" s="366"/>
      <c r="CN592" s="366"/>
      <c r="CO592" s="366"/>
      <c r="CP592" s="3"/>
    </row>
    <row r="593" spans="1:94" x14ac:dyDescent="0.25">
      <c r="A593" s="34">
        <v>38</v>
      </c>
      <c r="B593" s="33">
        <f t="shared" si="19"/>
        <v>65</v>
      </c>
      <c r="C593" s="294">
        <f>VLOOKUP($B593,'Mother mortality'!$A$23:$I$124,5)</f>
        <v>6.991058684958083E-3</v>
      </c>
      <c r="D593" s="295">
        <f t="shared" si="1"/>
        <v>0.27</v>
      </c>
      <c r="E593" s="295">
        <f t="shared" si="9"/>
        <v>0.7230089413150419</v>
      </c>
      <c r="F593" s="295">
        <f>VLOOKUP($B593,'Mother mortality'!$A$23:$I$124,5)</f>
        <v>6.991058684958083E-3</v>
      </c>
      <c r="G593" s="295">
        <f t="shared" si="2"/>
        <v>0.14000000000000001</v>
      </c>
      <c r="H593" s="295">
        <f t="shared" si="10"/>
        <v>0.8530089413150419</v>
      </c>
      <c r="I593" s="295">
        <f>VLOOKUP($B593,'Mother mortality'!$A$23:$I$124,4)</f>
        <v>4.7003713711633076E-3</v>
      </c>
      <c r="J593" s="295">
        <f t="shared" si="11"/>
        <v>0.4238710572002653</v>
      </c>
      <c r="K593" s="295">
        <f t="shared" si="3"/>
        <v>0.5714285714285714</v>
      </c>
      <c r="L593" s="295">
        <f>VLOOKUP($B593,'Mother mortality'!$A$23:$I$124,4)</f>
        <v>4.7003713711633076E-3</v>
      </c>
      <c r="M593" s="295">
        <f t="shared" si="4"/>
        <v>8.6261668788331098E-3</v>
      </c>
      <c r="N593" s="295">
        <f t="shared" si="12"/>
        <v>0.98667346175000359</v>
      </c>
      <c r="O593" s="294"/>
      <c r="P593" s="296">
        <f t="shared" si="20"/>
        <v>412.04783230465233</v>
      </c>
      <c r="Q593" s="297">
        <f t="shared" si="21"/>
        <v>113.29818303185502</v>
      </c>
      <c r="R593" s="297">
        <f t="shared" si="22"/>
        <v>16.153623724480056</v>
      </c>
      <c r="S593" s="297">
        <f t="shared" si="23"/>
        <v>382.64580027043826</v>
      </c>
      <c r="T593" s="297">
        <f t="shared" si="24"/>
        <v>75.854560668574209</v>
      </c>
      <c r="U593" s="294">
        <f t="shared" si="13"/>
        <v>999.99999999999989</v>
      </c>
      <c r="V593" s="295" t="str">
        <f t="shared" si="5"/>
        <v>OKAY</v>
      </c>
      <c r="W593" s="295"/>
      <c r="X593" s="296">
        <f>SUM($P593:$Q593)-(SUM($P593:$Q593)*(VLOOKUP($B593,Lifetime_morbidity_array!$A$6:$Y$24,4)+VLOOKUP($B593,Lifetime_morbidity_array!$A$6:$Y$24,7)+VLOOKUP($B593,Lifetime_morbidity_array!$A$6:$Y$24,10)+VLOOKUP($B593,Lifetime_morbidity_array!$A$6:$Y$24,13)))</f>
        <v>210.40566185189419</v>
      </c>
      <c r="Y593" s="297">
        <f>SUM($R593:$S593)-(SUM($R593:$S593)*(VLOOKUP($B593,Lifetime_morbidity_array!$A$6:$Y$24,3)+VLOOKUP($B593,Lifetime_morbidity_array!$A$6:$Y$24,6)+VLOOKUP($B593,Lifetime_morbidity_array!$A$6:$Y$24,9)+VLOOKUP($B593,Lifetime_morbidity_array!$A$6:$Y$24,12)))</f>
        <v>290.9431185992762</v>
      </c>
      <c r="Z593" s="297">
        <f>(SUM($P593:$Q593)*VLOOKUP($B593,Lifetime_morbidity_array!$A$6:$Y$24,4))+(SUM($R593:$S593)*VLOOKUP($B593,Lifetime_morbidity_array!$A$6:$Y$24,3))</f>
        <v>182.77334149984824</v>
      </c>
      <c r="AA593" s="297">
        <f>(SUM($P593:$Q593)*VLOOKUP($B593,Lifetime_morbidity_array!$A$6:$Y$24,7))+(SUM($R593:$S593)*VLOOKUP($B593,Lifetime_morbidity_array!$A$6:$Y$24,6))</f>
        <v>168.63426350217748</v>
      </c>
      <c r="AB593" s="297">
        <f>(SUM($P593:$Q593)*VLOOKUP($B593,Lifetime_morbidity_array!$A$6:$Y$24,10))+(SUM($R593:$S593)*VLOOKUP($B593,Lifetime_morbidity_array!$A$6:$Y$24,9))</f>
        <v>9.131809061716254</v>
      </c>
      <c r="AC593" s="297">
        <f>(SUM($P593:$Q593)*VLOOKUP($B593,Lifetime_morbidity_array!$A$6:$Y$24,13))+(SUM($R593:$S593)*VLOOKUP($B593,Lifetime_morbidity_array!$A$6:$Y$24,12))</f>
        <v>62.257244816513271</v>
      </c>
      <c r="AD593" s="294"/>
      <c r="AE593" s="294">
        <f t="shared" si="25"/>
        <v>65</v>
      </c>
      <c r="AF593" s="297">
        <f t="shared" si="26"/>
        <v>250.03858497936287</v>
      </c>
      <c r="AG593" s="297">
        <f t="shared" si="27"/>
        <v>21220.626989494791</v>
      </c>
      <c r="AH593" s="294"/>
      <c r="AI593" s="294">
        <f t="shared" si="28"/>
        <v>65</v>
      </c>
      <c r="AJ593" s="295">
        <f>((VLOOKUP($B593,'Mahawesran Tariff'!$A$21:$M$120,7)*$X593)+(VLOOKUP($B593,'Mahawesran Tariff'!$A$21:$M$120,6)*$Y593)+(DET_UTIL_chd*$Z593)+(DET_UTIL_copd*$AA593)+(DET_UTIL_lc*$AB593)+(DET_UTIL_stroke*$AC593))/((1+Discount_rate_QALYs)^$A593)</f>
        <v>206.08664958121909</v>
      </c>
      <c r="AK593" s="295">
        <f t="shared" si="29"/>
        <v>19937.613017931351</v>
      </c>
      <c r="AL593" s="294"/>
      <c r="AM593" s="294">
        <f t="shared" si="14"/>
        <v>65</v>
      </c>
      <c r="AN593" s="299">
        <f t="shared" si="33"/>
        <v>518966.34662069951</v>
      </c>
      <c r="AO593" s="299">
        <f t="shared" si="30"/>
        <v>9469836.4237227719</v>
      </c>
      <c r="AP593" s="294"/>
      <c r="AQ593" s="294">
        <f t="shared" si="16"/>
        <v>65</v>
      </c>
      <c r="AR593" s="298">
        <f t="shared" si="32"/>
        <v>0.92414543933142568</v>
      </c>
      <c r="AS593" s="298">
        <f t="shared" si="7"/>
        <v>7.5854560668574211E-2</v>
      </c>
      <c r="AT593" s="298">
        <f t="shared" si="8"/>
        <v>0.42279665888025525</v>
      </c>
      <c r="AU593" s="250"/>
      <c r="AV593" s="294">
        <f t="shared" si="17"/>
        <v>65</v>
      </c>
      <c r="AW593" s="299">
        <f t="shared" si="34"/>
        <v>518966.34662069951</v>
      </c>
      <c r="AX593" s="299">
        <f t="shared" si="31"/>
        <v>9466796.4237227719</v>
      </c>
      <c r="AY593" s="335"/>
      <c r="AZ593" s="335"/>
      <c r="BA593" s="335"/>
      <c r="BB593" s="335"/>
      <c r="BC593" s="335"/>
      <c r="BD593" s="335"/>
      <c r="BE593" s="335"/>
      <c r="BF593" s="335"/>
      <c r="BG593" s="335"/>
      <c r="BH593" s="335"/>
      <c r="BI593" s="335"/>
      <c r="BJ593" s="335"/>
      <c r="BK593" s="364"/>
      <c r="BL593" s="364"/>
      <c r="BM593" s="364"/>
      <c r="BN593" s="364"/>
      <c r="BO593" s="364"/>
      <c r="BP593" s="364"/>
      <c r="BQ593" s="335"/>
      <c r="BR593" s="335"/>
      <c r="BS593" s="364"/>
      <c r="BT593" s="364"/>
      <c r="BU593" s="364"/>
      <c r="BV593" s="364"/>
      <c r="BW593" s="364"/>
      <c r="BX593" s="364"/>
      <c r="BY593" s="335"/>
      <c r="BZ593" s="335"/>
      <c r="CA593" s="364"/>
      <c r="CB593" s="364"/>
      <c r="CC593" s="335"/>
      <c r="CD593" s="335"/>
      <c r="CE593" s="335"/>
      <c r="CF593" s="335"/>
      <c r="CG593" s="335"/>
      <c r="CH593" s="335"/>
      <c r="CI593" s="365"/>
      <c r="CJ593" s="365"/>
      <c r="CK593" s="335"/>
      <c r="CL593" s="335"/>
      <c r="CM593" s="366"/>
      <c r="CN593" s="366"/>
      <c r="CO593" s="366"/>
      <c r="CP593" s="3"/>
    </row>
    <row r="594" spans="1:94" x14ac:dyDescent="0.25">
      <c r="A594" s="34">
        <v>39</v>
      </c>
      <c r="B594" s="33">
        <f t="shared" si="19"/>
        <v>66</v>
      </c>
      <c r="C594" s="294">
        <f>VLOOKUP($B594,'Mother mortality'!$A$23:$I$124,5)</f>
        <v>7.543511397491859E-3</v>
      </c>
      <c r="D594" s="295">
        <f t="shared" si="1"/>
        <v>0.27</v>
      </c>
      <c r="E594" s="295">
        <f t="shared" si="9"/>
        <v>0.72245648860250811</v>
      </c>
      <c r="F594" s="295">
        <f>VLOOKUP($B594,'Mother mortality'!$A$23:$I$124,5)</f>
        <v>7.543511397491859E-3</v>
      </c>
      <c r="G594" s="295">
        <f t="shared" si="2"/>
        <v>0.14000000000000001</v>
      </c>
      <c r="H594" s="295">
        <f t="shared" si="10"/>
        <v>0.85245648860250811</v>
      </c>
      <c r="I594" s="295">
        <f>VLOOKUP($B594,'Mother mortality'!$A$23:$I$124,4)</f>
        <v>5.0718076629945276E-3</v>
      </c>
      <c r="J594" s="295">
        <f t="shared" si="11"/>
        <v>0.42349962090843407</v>
      </c>
      <c r="K594" s="295">
        <f t="shared" si="3"/>
        <v>0.5714285714285714</v>
      </c>
      <c r="L594" s="295">
        <f>VLOOKUP($B594,'Mother mortality'!$A$23:$I$124,4)</f>
        <v>5.0718076629945276E-3</v>
      </c>
      <c r="M594" s="295">
        <f t="shared" si="4"/>
        <v>8.6261668788331098E-3</v>
      </c>
      <c r="N594" s="295">
        <f t="shared" si="12"/>
        <v>0.98630202545817236</v>
      </c>
      <c r="O594" s="294"/>
      <c r="P594" s="296">
        <f t="shared" si="20"/>
        <v>404.41022138770586</v>
      </c>
      <c r="Q594" s="297">
        <f t="shared" si="21"/>
        <v>111.25291472225614</v>
      </c>
      <c r="R594" s="297">
        <f t="shared" si="22"/>
        <v>15.861745624459704</v>
      </c>
      <c r="S594" s="297">
        <f t="shared" si="23"/>
        <v>386.63496996807083</v>
      </c>
      <c r="T594" s="297">
        <f t="shared" si="24"/>
        <v>81.840148297507312</v>
      </c>
      <c r="U594" s="294">
        <f t="shared" si="13"/>
        <v>999.99999999999977</v>
      </c>
      <c r="V594" s="295" t="str">
        <f t="shared" si="5"/>
        <v>OKAY</v>
      </c>
      <c r="W594" s="295"/>
      <c r="X594" s="296">
        <f>SUM($P594:$Q594)-(SUM($P594:$Q594)*(VLOOKUP($B594,Lifetime_morbidity_array!$A$6:$Y$24,4)+VLOOKUP($B594,Lifetime_morbidity_array!$A$6:$Y$24,7)+VLOOKUP($B594,Lifetime_morbidity_array!$A$6:$Y$24,10)+VLOOKUP($B594,Lifetime_morbidity_array!$A$6:$Y$24,13)))</f>
        <v>206.52758425576314</v>
      </c>
      <c r="Y594" s="297">
        <f>SUM($R594:$S594)-(SUM($R594:$S594)*(VLOOKUP($B594,Lifetime_morbidity_array!$A$6:$Y$24,3)+VLOOKUP($B594,Lifetime_morbidity_array!$A$6:$Y$24,6)+VLOOKUP($B594,Lifetime_morbidity_array!$A$6:$Y$24,9)+VLOOKUP($B594,Lifetime_morbidity_array!$A$6:$Y$24,12)))</f>
        <v>293.64046840235392</v>
      </c>
      <c r="Z594" s="297">
        <f>(SUM($P594:$Q594)*VLOOKUP($B594,Lifetime_morbidity_array!$A$6:$Y$24,4))+(SUM($R594:$S594)*VLOOKUP($B594,Lifetime_morbidity_array!$A$6:$Y$24,3))</f>
        <v>180.74469925662285</v>
      </c>
      <c r="AA594" s="297">
        <f>(SUM($P594:$Q594)*VLOOKUP($B594,Lifetime_morbidity_array!$A$6:$Y$24,7))+(SUM($R594:$S594)*VLOOKUP($B594,Lifetime_morbidity_array!$A$6:$Y$24,6))</f>
        <v>166.62298262959578</v>
      </c>
      <c r="AB594" s="297">
        <f>(SUM($P594:$Q594)*VLOOKUP($B594,Lifetime_morbidity_array!$A$6:$Y$24,10))+(SUM($R594:$S594)*VLOOKUP($B594,Lifetime_morbidity_array!$A$6:$Y$24,9))</f>
        <v>9.0088199053994114</v>
      </c>
      <c r="AC594" s="297">
        <f>(SUM($P594:$Q594)*VLOOKUP($B594,Lifetime_morbidity_array!$A$6:$Y$24,13))+(SUM($R594:$S594)*VLOOKUP($B594,Lifetime_morbidity_array!$A$6:$Y$24,12))</f>
        <v>61.6152972527575</v>
      </c>
      <c r="AD594" s="294"/>
      <c r="AE594" s="294">
        <f t="shared" si="25"/>
        <v>66</v>
      </c>
      <c r="AF594" s="297">
        <f t="shared" si="26"/>
        <v>240.01846643963339</v>
      </c>
      <c r="AG594" s="297">
        <f t="shared" si="27"/>
        <v>21460.645455934424</v>
      </c>
      <c r="AH594" s="294"/>
      <c r="AI594" s="294">
        <f t="shared" si="28"/>
        <v>66</v>
      </c>
      <c r="AJ594" s="295">
        <f>((VLOOKUP($B594,'Mahawesran Tariff'!$A$21:$M$120,7)*$X594)+(VLOOKUP($B594,'Mahawesran Tariff'!$A$21:$M$120,6)*$Y594)+(DET_UTIL_chd*$Z594)+(DET_UTIL_copd*$AA594)+(DET_UTIL_lc*$AB594)+(DET_UTIL_stroke*$AC594))/((1+Discount_rate_QALYs)^$A594)</f>
        <v>197.93930498726465</v>
      </c>
      <c r="AK594" s="295">
        <f t="shared" si="29"/>
        <v>20135.552322918615</v>
      </c>
      <c r="AL594" s="294"/>
      <c r="AM594" s="294">
        <f t="shared" si="14"/>
        <v>66</v>
      </c>
      <c r="AN594" s="299">
        <f t="shared" si="33"/>
        <v>496045.22358717315</v>
      </c>
      <c r="AO594" s="299">
        <f t="shared" si="30"/>
        <v>9965881.6473099459</v>
      </c>
      <c r="AP594" s="294"/>
      <c r="AQ594" s="294">
        <f t="shared" si="16"/>
        <v>66</v>
      </c>
      <c r="AR594" s="298">
        <f t="shared" si="32"/>
        <v>0.91815985170249248</v>
      </c>
      <c r="AS594" s="298">
        <f t="shared" si="7"/>
        <v>8.1840148297507312E-2</v>
      </c>
      <c r="AT594" s="298">
        <f t="shared" si="8"/>
        <v>0.41799179904437556</v>
      </c>
      <c r="AU594" s="250"/>
      <c r="AV594" s="294">
        <f t="shared" si="17"/>
        <v>66</v>
      </c>
      <c r="AW594" s="299">
        <f t="shared" si="34"/>
        <v>496045.22358717315</v>
      </c>
      <c r="AX594" s="299">
        <f t="shared" si="31"/>
        <v>9962841.6473099459</v>
      </c>
      <c r="AY594" s="335"/>
      <c r="AZ594" s="335"/>
      <c r="BA594" s="335"/>
      <c r="BB594" s="335"/>
      <c r="BC594" s="335"/>
      <c r="BD594" s="335"/>
      <c r="BE594" s="335"/>
      <c r="BF594" s="335"/>
      <c r="BG594" s="335"/>
      <c r="BH594" s="335"/>
      <c r="BI594" s="335"/>
      <c r="BJ594" s="335"/>
      <c r="BK594" s="364"/>
      <c r="BL594" s="364"/>
      <c r="BM594" s="364"/>
      <c r="BN594" s="364"/>
      <c r="BO594" s="364"/>
      <c r="BP594" s="364"/>
      <c r="BQ594" s="335"/>
      <c r="BR594" s="335"/>
      <c r="BS594" s="364"/>
      <c r="BT594" s="364"/>
      <c r="BU594" s="364"/>
      <c r="BV594" s="364"/>
      <c r="BW594" s="364"/>
      <c r="BX594" s="364"/>
      <c r="BY594" s="335"/>
      <c r="BZ594" s="335"/>
      <c r="CA594" s="364"/>
      <c r="CB594" s="364"/>
      <c r="CC594" s="335"/>
      <c r="CD594" s="335"/>
      <c r="CE594" s="335"/>
      <c r="CF594" s="335"/>
      <c r="CG594" s="335"/>
      <c r="CH594" s="335"/>
      <c r="CI594" s="365"/>
      <c r="CJ594" s="365"/>
      <c r="CK594" s="335"/>
      <c r="CL594" s="335"/>
      <c r="CM594" s="366"/>
      <c r="CN594" s="366"/>
      <c r="CO594" s="366"/>
      <c r="CP594" s="3"/>
    </row>
    <row r="595" spans="1:94" x14ac:dyDescent="0.25">
      <c r="A595" s="34">
        <v>40</v>
      </c>
      <c r="B595" s="33">
        <f t="shared" si="19"/>
        <v>67</v>
      </c>
      <c r="C595" s="294">
        <f>VLOOKUP($B595,'Mother mortality'!$A$23:$I$124,5)</f>
        <v>8.146438716829487E-3</v>
      </c>
      <c r="D595" s="295">
        <f t="shared" si="1"/>
        <v>0.27</v>
      </c>
      <c r="E595" s="295">
        <f t="shared" si="9"/>
        <v>0.72185356128317046</v>
      </c>
      <c r="F595" s="295">
        <f>VLOOKUP($B595,'Mother mortality'!$A$23:$I$124,5)</f>
        <v>8.146438716829487E-3</v>
      </c>
      <c r="G595" s="295">
        <f t="shared" si="2"/>
        <v>0.14000000000000001</v>
      </c>
      <c r="H595" s="295">
        <f t="shared" si="10"/>
        <v>0.85185356128317047</v>
      </c>
      <c r="I595" s="295">
        <f>VLOOKUP($B595,'Mother mortality'!$A$23:$I$124,4)</f>
        <v>5.4771800734428047E-3</v>
      </c>
      <c r="J595" s="295">
        <f t="shared" si="11"/>
        <v>0.42309424849798583</v>
      </c>
      <c r="K595" s="295">
        <f t="shared" si="3"/>
        <v>0.5714285714285714</v>
      </c>
      <c r="L595" s="295">
        <f>VLOOKUP($B595,'Mother mortality'!$A$23:$I$124,4)</f>
        <v>5.4771800734428047E-3</v>
      </c>
      <c r="M595" s="295">
        <f t="shared" si="4"/>
        <v>8.6261668788331098E-3</v>
      </c>
      <c r="N595" s="295">
        <f t="shared" si="12"/>
        <v>0.98589665304772411</v>
      </c>
      <c r="O595" s="294"/>
      <c r="P595" s="296">
        <f t="shared" si="20"/>
        <v>396.74234125430183</v>
      </c>
      <c r="Q595" s="297">
        <f t="shared" si="21"/>
        <v>109.19075977468059</v>
      </c>
      <c r="R595" s="297">
        <f t="shared" si="22"/>
        <v>15.57540806111586</v>
      </c>
      <c r="S595" s="297">
        <f t="shared" si="23"/>
        <v>390.24597748527674</v>
      </c>
      <c r="T595" s="297">
        <f t="shared" si="24"/>
        <v>88.245513424624789</v>
      </c>
      <c r="U595" s="294">
        <f t="shared" si="13"/>
        <v>999.99999999999977</v>
      </c>
      <c r="V595" s="295" t="str">
        <f t="shared" si="5"/>
        <v>OKAY</v>
      </c>
      <c r="W595" s="295"/>
      <c r="X595" s="296">
        <f>SUM($P595:$Q595)-(SUM($P595:$Q595)*(VLOOKUP($B595,Lifetime_morbidity_array!$A$6:$Y$24,4)+VLOOKUP($B595,Lifetime_morbidity_array!$A$6:$Y$24,7)+VLOOKUP($B595,Lifetime_morbidity_array!$A$6:$Y$24,10)+VLOOKUP($B595,Lifetime_morbidity_array!$A$6:$Y$24,13)))</f>
        <v>202.63062032858022</v>
      </c>
      <c r="Y595" s="297">
        <f>SUM($R595:$S595)-(SUM($R595:$S595)*(VLOOKUP($B595,Lifetime_morbidity_array!$A$6:$Y$24,3)+VLOOKUP($B595,Lifetime_morbidity_array!$A$6:$Y$24,6)+VLOOKUP($B595,Lifetime_morbidity_array!$A$6:$Y$24,9)+VLOOKUP($B595,Lifetime_morbidity_array!$A$6:$Y$24,12)))</f>
        <v>296.06597302069122</v>
      </c>
      <c r="Z595" s="297">
        <f>(SUM($P595:$Q595)*VLOOKUP($B595,Lifetime_morbidity_array!$A$6:$Y$24,4))+(SUM($R595:$S595)*VLOOKUP($B595,Lifetime_morbidity_array!$A$6:$Y$24,3))</f>
        <v>178.65879287967445</v>
      </c>
      <c r="AA595" s="297">
        <f>(SUM($P595:$Q595)*VLOOKUP($B595,Lifetime_morbidity_array!$A$6:$Y$24,7))+(SUM($R595:$S595)*VLOOKUP($B595,Lifetime_morbidity_array!$A$6:$Y$24,6))</f>
        <v>164.56312276437242</v>
      </c>
      <c r="AB595" s="297">
        <f>(SUM($P595:$Q595)*VLOOKUP($B595,Lifetime_morbidity_array!$A$6:$Y$24,10))+(SUM($R595:$S595)*VLOOKUP($B595,Lifetime_morbidity_array!$A$6:$Y$24,9))</f>
        <v>8.8836292457239558</v>
      </c>
      <c r="AC595" s="297">
        <f>(SUM($P595:$Q595)*VLOOKUP($B595,Lifetime_morbidity_array!$A$6:$Y$24,13))+(SUM($R595:$S595)*VLOOKUP($B595,Lifetime_morbidity_array!$A$6:$Y$24,12))</f>
        <v>60.952348336332761</v>
      </c>
      <c r="AD595" s="294"/>
      <c r="AE595" s="294">
        <f t="shared" si="25"/>
        <v>67</v>
      </c>
      <c r="AF595" s="297">
        <f t="shared" si="26"/>
        <v>230.28408106183124</v>
      </c>
      <c r="AG595" s="297">
        <f t="shared" si="27"/>
        <v>21690.929536996257</v>
      </c>
      <c r="AH595" s="294"/>
      <c r="AI595" s="294">
        <f t="shared" si="28"/>
        <v>67</v>
      </c>
      <c r="AJ595" s="295">
        <f>((VLOOKUP($B595,'Mahawesran Tariff'!$A$21:$M$120,7)*$X595)+(VLOOKUP($B595,'Mahawesran Tariff'!$A$21:$M$120,6)*$Y595)+(DET_UTIL_chd*$Z595)+(DET_UTIL_copd*$AA595)+(DET_UTIL_lc*$AB595)+(DET_UTIL_stroke*$AC595))/((1+Discount_rate_QALYs)^$A595)</f>
        <v>190.0166483347827</v>
      </c>
      <c r="AK595" s="295">
        <f t="shared" si="29"/>
        <v>20325.568971253397</v>
      </c>
      <c r="AL595" s="294"/>
      <c r="AM595" s="294">
        <f t="shared" si="14"/>
        <v>67</v>
      </c>
      <c r="AN595" s="299">
        <f t="shared" si="33"/>
        <v>473923.36352858943</v>
      </c>
      <c r="AO595" s="299">
        <f t="shared" si="30"/>
        <v>10439805.010838535</v>
      </c>
      <c r="AP595" s="294"/>
      <c r="AQ595" s="294">
        <f t="shared" si="16"/>
        <v>67</v>
      </c>
      <c r="AR595" s="298">
        <f t="shared" si="32"/>
        <v>0.91175448657537506</v>
      </c>
      <c r="AS595" s="298">
        <f t="shared" si="7"/>
        <v>8.8245513424624791E-2</v>
      </c>
      <c r="AT595" s="298">
        <f t="shared" si="8"/>
        <v>0.41305789322610359</v>
      </c>
      <c r="AU595" s="250"/>
      <c r="AV595" s="294">
        <f t="shared" si="17"/>
        <v>67</v>
      </c>
      <c r="AW595" s="299">
        <f t="shared" si="34"/>
        <v>473923.36352858943</v>
      </c>
      <c r="AX595" s="299">
        <f t="shared" si="31"/>
        <v>10436765.010838535</v>
      </c>
      <c r="AY595" s="335"/>
      <c r="AZ595" s="335"/>
      <c r="BA595" s="335"/>
      <c r="BB595" s="335"/>
      <c r="BC595" s="335"/>
      <c r="BD595" s="335"/>
      <c r="BE595" s="335"/>
      <c r="BF595" s="335"/>
      <c r="BG595" s="335"/>
      <c r="BH595" s="335"/>
      <c r="BI595" s="335"/>
      <c r="BJ595" s="335"/>
      <c r="BK595" s="364"/>
      <c r="BL595" s="364"/>
      <c r="BM595" s="364"/>
      <c r="BN595" s="364"/>
      <c r="BO595" s="364"/>
      <c r="BP595" s="364"/>
      <c r="BQ595" s="335"/>
      <c r="BR595" s="335"/>
      <c r="BS595" s="364"/>
      <c r="BT595" s="364"/>
      <c r="BU595" s="364"/>
      <c r="BV595" s="364"/>
      <c r="BW595" s="364"/>
      <c r="BX595" s="364"/>
      <c r="BY595" s="335"/>
      <c r="BZ595" s="335"/>
      <c r="CA595" s="364"/>
      <c r="CB595" s="364"/>
      <c r="CC595" s="335"/>
      <c r="CD595" s="335"/>
      <c r="CE595" s="335"/>
      <c r="CF595" s="335"/>
      <c r="CG595" s="335"/>
      <c r="CH595" s="335"/>
      <c r="CI595" s="365"/>
      <c r="CJ595" s="365"/>
      <c r="CK595" s="335"/>
      <c r="CL595" s="335"/>
      <c r="CM595" s="366"/>
      <c r="CN595" s="366"/>
      <c r="CO595" s="366"/>
      <c r="CP595" s="3"/>
    </row>
    <row r="596" spans="1:94" x14ac:dyDescent="0.25">
      <c r="A596" s="34">
        <v>41</v>
      </c>
      <c r="B596" s="33">
        <f t="shared" si="19"/>
        <v>68</v>
      </c>
      <c r="C596" s="294">
        <f>VLOOKUP($B596,'Mother mortality'!$A$23:$I$124,5)</f>
        <v>8.8475472874662252E-3</v>
      </c>
      <c r="D596" s="295">
        <f t="shared" si="1"/>
        <v>0.27</v>
      </c>
      <c r="E596" s="295">
        <f t="shared" si="9"/>
        <v>0.72115245271253381</v>
      </c>
      <c r="F596" s="295">
        <f>VLOOKUP($B596,'Mother mortality'!$A$23:$I$124,5)</f>
        <v>8.8475472874662252E-3</v>
      </c>
      <c r="G596" s="295">
        <f t="shared" si="2"/>
        <v>0.14000000000000001</v>
      </c>
      <c r="H596" s="295">
        <f t="shared" si="10"/>
        <v>0.85115245271253381</v>
      </c>
      <c r="I596" s="295">
        <f>VLOOKUP($B596,'Mother mortality'!$A$23:$I$124,4)</f>
        <v>5.9485637081687819E-3</v>
      </c>
      <c r="J596" s="295">
        <f t="shared" si="11"/>
        <v>0.42262286486325984</v>
      </c>
      <c r="K596" s="295">
        <f t="shared" si="3"/>
        <v>0.5714285714285714</v>
      </c>
      <c r="L596" s="295">
        <f>VLOOKUP($B596,'Mother mortality'!$A$23:$I$124,4)</f>
        <v>5.9485637081687819E-3</v>
      </c>
      <c r="M596" s="295">
        <f t="shared" si="4"/>
        <v>8.6261668788331098E-3</v>
      </c>
      <c r="N596" s="295">
        <f t="shared" si="12"/>
        <v>0.98542526941299813</v>
      </c>
      <c r="O596" s="294"/>
      <c r="P596" s="296">
        <f t="shared" si="20"/>
        <v>388.99854598800175</v>
      </c>
      <c r="Q596" s="297">
        <f t="shared" si="21"/>
        <v>107.1204321386615</v>
      </c>
      <c r="R596" s="297">
        <f t="shared" si="22"/>
        <v>15.286706368455283</v>
      </c>
      <c r="S596" s="297">
        <f t="shared" si="23"/>
        <v>393.45848067854809</v>
      </c>
      <c r="T596" s="297">
        <f t="shared" si="24"/>
        <v>95.135834826333195</v>
      </c>
      <c r="U596" s="294">
        <f t="shared" si="13"/>
        <v>999.99999999999977</v>
      </c>
      <c r="V596" s="295" t="str">
        <f t="shared" si="5"/>
        <v>OKAY</v>
      </c>
      <c r="W596" s="295"/>
      <c r="X596" s="296">
        <f>SUM($P596:$Q596)-(SUM($P596:$Q596)*(VLOOKUP($B596,Lifetime_morbidity_array!$A$6:$Y$24,4)+VLOOKUP($B596,Lifetime_morbidity_array!$A$6:$Y$24,7)+VLOOKUP($B596,Lifetime_morbidity_array!$A$6:$Y$24,10)+VLOOKUP($B596,Lifetime_morbidity_array!$A$6:$Y$24,13)))</f>
        <v>198.6999784954341</v>
      </c>
      <c r="Y596" s="297">
        <f>SUM($R596:$S596)-(SUM($R596:$S596)*(VLOOKUP($B596,Lifetime_morbidity_array!$A$6:$Y$24,3)+VLOOKUP($B596,Lifetime_morbidity_array!$A$6:$Y$24,6)+VLOOKUP($B596,Lifetime_morbidity_array!$A$6:$Y$24,9)+VLOOKUP($B596,Lifetime_morbidity_array!$A$6:$Y$24,12)))</f>
        <v>298.19902506532952</v>
      </c>
      <c r="Z596" s="297">
        <f>(SUM($P596:$Q596)*VLOOKUP($B596,Lifetime_morbidity_array!$A$6:$Y$24,4))+(SUM($R596:$S596)*VLOOKUP($B596,Lifetime_morbidity_array!$A$6:$Y$24,3))</f>
        <v>176.50274774619083</v>
      </c>
      <c r="AA596" s="297">
        <f>(SUM($P596:$Q596)*VLOOKUP($B596,Lifetime_morbidity_array!$A$6:$Y$24,7))+(SUM($R596:$S596)*VLOOKUP($B596,Lifetime_morbidity_array!$A$6:$Y$24,6))</f>
        <v>162.44280791261545</v>
      </c>
      <c r="AB596" s="297">
        <f>(SUM($P596:$Q596)*VLOOKUP($B596,Lifetime_morbidity_array!$A$6:$Y$24,10))+(SUM($R596:$S596)*VLOOKUP($B596,Lifetime_morbidity_array!$A$6:$Y$24,9))</f>
        <v>8.7555942480007722</v>
      </c>
      <c r="AC596" s="297">
        <f>(SUM($P596:$Q596)*VLOOKUP($B596,Lifetime_morbidity_array!$A$6:$Y$24,13))+(SUM($R596:$S596)*VLOOKUP($B596,Lifetime_morbidity_array!$A$6:$Y$24,12))</f>
        <v>60.26401170609595</v>
      </c>
      <c r="AD596" s="294"/>
      <c r="AE596" s="294">
        <f t="shared" si="25"/>
        <v>68</v>
      </c>
      <c r="AF596" s="297">
        <f t="shared" si="26"/>
        <v>220.81524210507033</v>
      </c>
      <c r="AG596" s="297">
        <f t="shared" si="27"/>
        <v>21911.744779101326</v>
      </c>
      <c r="AH596" s="294"/>
      <c r="AI596" s="294">
        <f t="shared" si="28"/>
        <v>68</v>
      </c>
      <c r="AJ596" s="295">
        <f>((VLOOKUP($B596,'Mahawesran Tariff'!$A$21:$M$120,7)*$X596)+(VLOOKUP($B596,'Mahawesran Tariff'!$A$21:$M$120,6)*$Y596)+(DET_UTIL_chd*$Z596)+(DET_UTIL_copd*$AA596)+(DET_UTIL_lc*$AB596)+(DET_UTIL_stroke*$AC596))/((1+Discount_rate_QALYs)^$A596)</f>
        <v>182.30275461717144</v>
      </c>
      <c r="AK596" s="295">
        <f t="shared" si="29"/>
        <v>20507.871725870569</v>
      </c>
      <c r="AL596" s="294"/>
      <c r="AM596" s="294">
        <f t="shared" si="14"/>
        <v>68</v>
      </c>
      <c r="AN596" s="299">
        <f t="shared" si="33"/>
        <v>452545.27230665996</v>
      </c>
      <c r="AO596" s="299">
        <f t="shared" si="30"/>
        <v>10892350.283145195</v>
      </c>
      <c r="AP596" s="294"/>
      <c r="AQ596" s="294">
        <f t="shared" si="16"/>
        <v>68</v>
      </c>
      <c r="AR596" s="298">
        <f t="shared" si="32"/>
        <v>0.90486416517366663</v>
      </c>
      <c r="AS596" s="298">
        <f t="shared" si="7"/>
        <v>9.5135834826333199E-2</v>
      </c>
      <c r="AT596" s="298">
        <f t="shared" si="8"/>
        <v>0.40796516161290297</v>
      </c>
      <c r="AU596" s="250"/>
      <c r="AV596" s="294">
        <f t="shared" si="17"/>
        <v>68</v>
      </c>
      <c r="AW596" s="299">
        <f t="shared" si="34"/>
        <v>452545.27230665996</v>
      </c>
      <c r="AX596" s="299">
        <f t="shared" si="31"/>
        <v>10889310.283145195</v>
      </c>
      <c r="AY596" s="335"/>
      <c r="AZ596" s="335"/>
      <c r="BA596" s="335"/>
      <c r="BB596" s="335"/>
      <c r="BC596" s="335"/>
      <c r="BD596" s="335"/>
      <c r="BE596" s="335"/>
      <c r="BF596" s="335"/>
      <c r="BG596" s="335"/>
      <c r="BH596" s="335"/>
      <c r="BI596" s="335"/>
      <c r="BJ596" s="335"/>
      <c r="BK596" s="364"/>
      <c r="BL596" s="364"/>
      <c r="BM596" s="364"/>
      <c r="BN596" s="364"/>
      <c r="BO596" s="364"/>
      <c r="BP596" s="364"/>
      <c r="BQ596" s="335"/>
      <c r="BR596" s="335"/>
      <c r="BS596" s="364"/>
      <c r="BT596" s="364"/>
      <c r="BU596" s="364"/>
      <c r="BV596" s="364"/>
      <c r="BW596" s="364"/>
      <c r="BX596" s="364"/>
      <c r="BY596" s="335"/>
      <c r="BZ596" s="335"/>
      <c r="CA596" s="364"/>
      <c r="CB596" s="364"/>
      <c r="CC596" s="335"/>
      <c r="CD596" s="335"/>
      <c r="CE596" s="335"/>
      <c r="CF596" s="335"/>
      <c r="CG596" s="335"/>
      <c r="CH596" s="335"/>
      <c r="CI596" s="365"/>
      <c r="CJ596" s="365"/>
      <c r="CK596" s="335"/>
      <c r="CL596" s="335"/>
      <c r="CM596" s="366"/>
      <c r="CN596" s="366"/>
      <c r="CO596" s="366"/>
      <c r="CP596" s="3"/>
    </row>
    <row r="597" spans="1:94" x14ac:dyDescent="0.25">
      <c r="A597" s="34">
        <v>42</v>
      </c>
      <c r="B597" s="33">
        <f t="shared" si="19"/>
        <v>69</v>
      </c>
      <c r="C597" s="294">
        <f>VLOOKUP($B597,'Mother mortality'!$A$23:$I$124,5)</f>
        <v>9.6556294602646725E-3</v>
      </c>
      <c r="D597" s="295">
        <f t="shared" si="1"/>
        <v>0.27</v>
      </c>
      <c r="E597" s="295">
        <f t="shared" si="9"/>
        <v>0.72034437053973532</v>
      </c>
      <c r="F597" s="295">
        <f>VLOOKUP($B597,'Mother mortality'!$A$23:$I$124,5)</f>
        <v>9.6556294602646725E-3</v>
      </c>
      <c r="G597" s="295">
        <f t="shared" si="2"/>
        <v>0.14000000000000001</v>
      </c>
      <c r="H597" s="295">
        <f t="shared" si="10"/>
        <v>0.85034437053973533</v>
      </c>
      <c r="I597" s="295">
        <f>VLOOKUP($B597,'Mother mortality'!$A$23:$I$124,4)</f>
        <v>6.4918700200928435E-3</v>
      </c>
      <c r="J597" s="295">
        <f t="shared" si="11"/>
        <v>0.42207955855133572</v>
      </c>
      <c r="K597" s="295">
        <f t="shared" si="3"/>
        <v>0.5714285714285714</v>
      </c>
      <c r="L597" s="295">
        <f>VLOOKUP($B597,'Mother mortality'!$A$23:$I$124,4)</f>
        <v>6.4918700200928435E-3</v>
      </c>
      <c r="M597" s="295">
        <f t="shared" si="4"/>
        <v>8.6261668788331098E-3</v>
      </c>
      <c r="N597" s="295">
        <f t="shared" si="12"/>
        <v>0.98488196310107401</v>
      </c>
      <c r="O597" s="294"/>
      <c r="P597" s="296">
        <f t="shared" si="20"/>
        <v>381.14841397942075</v>
      </c>
      <c r="Q597" s="297">
        <f t="shared" si="21"/>
        <v>105.02960741676048</v>
      </c>
      <c r="R597" s="297">
        <f t="shared" si="22"/>
        <v>14.996860499412611</v>
      </c>
      <c r="S597" s="297">
        <f t="shared" si="23"/>
        <v>396.24542163142888</v>
      </c>
      <c r="T597" s="297">
        <f t="shared" si="24"/>
        <v>102.57969647297709</v>
      </c>
      <c r="U597" s="294">
        <f t="shared" si="13"/>
        <v>999.99999999999977</v>
      </c>
      <c r="V597" s="295" t="str">
        <f t="shared" si="5"/>
        <v>OKAY</v>
      </c>
      <c r="W597" s="295"/>
      <c r="X597" s="296">
        <f>SUM($P597:$Q597)-(SUM($P597:$Q597)*(VLOOKUP($B597,Lifetime_morbidity_array!$A$6:$Y$24,4)+VLOOKUP($B597,Lifetime_morbidity_array!$A$6:$Y$24,7)+VLOOKUP($B597,Lifetime_morbidity_array!$A$6:$Y$24,10)+VLOOKUP($B597,Lifetime_morbidity_array!$A$6:$Y$24,13)))</f>
        <v>194.71853860770921</v>
      </c>
      <c r="Y597" s="297">
        <f>SUM($R597:$S597)-(SUM($R597:$S597)*(VLOOKUP($B597,Lifetime_morbidity_array!$A$6:$Y$24,3)+VLOOKUP($B597,Lifetime_morbidity_array!$A$6:$Y$24,6)+VLOOKUP($B597,Lifetime_morbidity_array!$A$6:$Y$24,9)+VLOOKUP($B597,Lifetime_morbidity_array!$A$6:$Y$24,12)))</f>
        <v>300.0207745148474</v>
      </c>
      <c r="Z597" s="297">
        <f>(SUM($P597:$Q597)*VLOOKUP($B597,Lifetime_morbidity_array!$A$6:$Y$24,4))+(SUM($R597:$S597)*VLOOKUP($B597,Lifetime_morbidity_array!$A$6:$Y$24,3))</f>
        <v>174.26249404964656</v>
      </c>
      <c r="AA597" s="297">
        <f>(SUM($P597:$Q597)*VLOOKUP($B597,Lifetime_morbidity_array!$A$6:$Y$24,7))+(SUM($R597:$S597)*VLOOKUP($B597,Lifetime_morbidity_array!$A$6:$Y$24,6))</f>
        <v>160.24897316385801</v>
      </c>
      <c r="AB597" s="297">
        <f>(SUM($P597:$Q597)*VLOOKUP($B597,Lifetime_morbidity_array!$A$6:$Y$24,10))+(SUM($R597:$S597)*VLOOKUP($B597,Lifetime_morbidity_array!$A$6:$Y$24,9))</f>
        <v>8.6239990039213374</v>
      </c>
      <c r="AC597" s="297">
        <f>(SUM($P597:$Q597)*VLOOKUP($B597,Lifetime_morbidity_array!$A$6:$Y$24,13))+(SUM($R597:$S597)*VLOOKUP($B597,Lifetime_morbidity_array!$A$6:$Y$24,12))</f>
        <v>59.545524187040229</v>
      </c>
      <c r="AD597" s="294"/>
      <c r="AE597" s="294">
        <f t="shared" si="25"/>
        <v>69</v>
      </c>
      <c r="AF597" s="297">
        <f t="shared" si="26"/>
        <v>211.59295299284082</v>
      </c>
      <c r="AG597" s="297">
        <f t="shared" si="27"/>
        <v>22123.337732094165</v>
      </c>
      <c r="AH597" s="294"/>
      <c r="AI597" s="294">
        <f t="shared" si="28"/>
        <v>69</v>
      </c>
      <c r="AJ597" s="295">
        <f>((VLOOKUP($B597,'Mahawesran Tariff'!$A$21:$M$120,7)*$X597)+(VLOOKUP($B597,'Mahawesran Tariff'!$A$21:$M$120,6)*$Y597)+(DET_UTIL_chd*$Z597)+(DET_UTIL_copd*$AA597)+(DET_UTIL_lc*$AB597)+(DET_UTIL_stroke*$AC597))/((1+Discount_rate_QALYs)^$A597)</f>
        <v>174.78270236019944</v>
      </c>
      <c r="AK597" s="295">
        <f t="shared" si="29"/>
        <v>20682.65442823077</v>
      </c>
      <c r="AL597" s="294"/>
      <c r="AM597" s="294">
        <f t="shared" si="14"/>
        <v>69</v>
      </c>
      <c r="AN597" s="299">
        <f t="shared" si="33"/>
        <v>431857.49572101975</v>
      </c>
      <c r="AO597" s="299">
        <f t="shared" si="30"/>
        <v>11324207.778866215</v>
      </c>
      <c r="AP597" s="294"/>
      <c r="AQ597" s="294">
        <f t="shared" si="16"/>
        <v>69</v>
      </c>
      <c r="AR597" s="298">
        <f t="shared" si="32"/>
        <v>0.89742030352702273</v>
      </c>
      <c r="AS597" s="298">
        <f t="shared" si="7"/>
        <v>0.10257969647297709</v>
      </c>
      <c r="AT597" s="298">
        <f t="shared" si="8"/>
        <v>0.40268099040446609</v>
      </c>
      <c r="AU597" s="250"/>
      <c r="AV597" s="294">
        <f t="shared" si="17"/>
        <v>69</v>
      </c>
      <c r="AW597" s="299">
        <f t="shared" si="34"/>
        <v>431857.49572101975</v>
      </c>
      <c r="AX597" s="299">
        <f t="shared" si="31"/>
        <v>11321167.778866215</v>
      </c>
      <c r="AY597" s="335"/>
      <c r="AZ597" s="335"/>
      <c r="BA597" s="335"/>
      <c r="BB597" s="335"/>
      <c r="BC597" s="335"/>
      <c r="BD597" s="335"/>
      <c r="BE597" s="335"/>
      <c r="BF597" s="335"/>
      <c r="BG597" s="335"/>
      <c r="BH597" s="335"/>
      <c r="BI597" s="335"/>
      <c r="BJ597" s="335"/>
      <c r="BK597" s="364"/>
      <c r="BL597" s="364"/>
      <c r="BM597" s="364"/>
      <c r="BN597" s="364"/>
      <c r="BO597" s="364"/>
      <c r="BP597" s="364"/>
      <c r="BQ597" s="335"/>
      <c r="BR597" s="335"/>
      <c r="BS597" s="364"/>
      <c r="BT597" s="364"/>
      <c r="BU597" s="364"/>
      <c r="BV597" s="364"/>
      <c r="BW597" s="364"/>
      <c r="BX597" s="364"/>
      <c r="BY597" s="335"/>
      <c r="BZ597" s="335"/>
      <c r="CA597" s="364"/>
      <c r="CB597" s="364"/>
      <c r="CC597" s="335"/>
      <c r="CD597" s="335"/>
      <c r="CE597" s="335"/>
      <c r="CF597" s="335"/>
      <c r="CG597" s="335"/>
      <c r="CH597" s="335"/>
      <c r="CI597" s="365"/>
      <c r="CJ597" s="365"/>
      <c r="CK597" s="335"/>
      <c r="CL597" s="335"/>
      <c r="CM597" s="366"/>
      <c r="CN597" s="366"/>
      <c r="CO597" s="366"/>
      <c r="CP597" s="3"/>
    </row>
    <row r="598" spans="1:94" x14ac:dyDescent="0.25">
      <c r="A598" s="34">
        <v>43</v>
      </c>
      <c r="B598" s="33">
        <f t="shared" si="19"/>
        <v>70</v>
      </c>
      <c r="C598" s="294">
        <f>VLOOKUP($B598,'Mother mortality'!$A$23:$I$124,5)</f>
        <v>1.0508487493937506E-2</v>
      </c>
      <c r="D598" s="295">
        <f t="shared" si="1"/>
        <v>0.27</v>
      </c>
      <c r="E598" s="295">
        <f t="shared" si="9"/>
        <v>0.71949151250606247</v>
      </c>
      <c r="F598" s="295">
        <f>VLOOKUP($B598,'Mother mortality'!$A$23:$I$124,5)</f>
        <v>1.0508487493937506E-2</v>
      </c>
      <c r="G598" s="295">
        <f t="shared" si="2"/>
        <v>0.14000000000000001</v>
      </c>
      <c r="H598" s="295">
        <f t="shared" si="10"/>
        <v>0.84949151250606247</v>
      </c>
      <c r="I598" s="295">
        <f>VLOOKUP($B598,'Mother mortality'!$A$23:$I$124,4)</f>
        <v>7.0652809533707488E-3</v>
      </c>
      <c r="J598" s="295">
        <f t="shared" si="11"/>
        <v>0.42150614761805782</v>
      </c>
      <c r="K598" s="295">
        <f t="shared" si="3"/>
        <v>0.5714285714285714</v>
      </c>
      <c r="L598" s="295">
        <f>VLOOKUP($B598,'Mother mortality'!$A$23:$I$124,4)</f>
        <v>7.0652809533707488E-3</v>
      </c>
      <c r="M598" s="295">
        <f t="shared" si="4"/>
        <v>8.6261668788331098E-3</v>
      </c>
      <c r="N598" s="295">
        <f t="shared" si="12"/>
        <v>0.98430855216779611</v>
      </c>
      <c r="O598" s="294"/>
      <c r="P598" s="296">
        <f t="shared" si="20"/>
        <v>373.19415695316121</v>
      </c>
      <c r="Q598" s="297">
        <f t="shared" si="21"/>
        <v>102.91007177444361</v>
      </c>
      <c r="R598" s="297">
        <f t="shared" si="22"/>
        <v>14.70414503834647</v>
      </c>
      <c r="S598" s="297">
        <f t="shared" si="23"/>
        <v>398.59739184024261</v>
      </c>
      <c r="T598" s="297">
        <f t="shared" si="24"/>
        <v>110.59423439380591</v>
      </c>
      <c r="U598" s="294">
        <f t="shared" si="13"/>
        <v>999.99999999999977</v>
      </c>
      <c r="V598" s="295" t="str">
        <f t="shared" si="5"/>
        <v>OKAY</v>
      </c>
      <c r="W598" s="295"/>
      <c r="X598" s="296">
        <f>SUM($P598:$Q598)-(SUM($P598:$Q598)*(VLOOKUP($B598,Lifetime_morbidity_array!$A$6:$Y$24,4)+VLOOKUP($B598,Lifetime_morbidity_array!$A$6:$Y$24,7)+VLOOKUP($B598,Lifetime_morbidity_array!$A$6:$Y$24,10)+VLOOKUP($B598,Lifetime_morbidity_array!$A$6:$Y$24,13)))</f>
        <v>165.47289122427588</v>
      </c>
      <c r="Y598" s="297">
        <f>SUM($R598:$S598)-(SUM($R598:$S598)*(VLOOKUP($B598,Lifetime_morbidity_array!$A$6:$Y$24,3)+VLOOKUP($B598,Lifetime_morbidity_array!$A$6:$Y$24,6)+VLOOKUP($B598,Lifetime_morbidity_array!$A$6:$Y$24,9)+VLOOKUP($B598,Lifetime_morbidity_array!$A$6:$Y$24,12)))</f>
        <v>292.69327265220886</v>
      </c>
      <c r="Z598" s="297">
        <f>(SUM($P598:$Q598)*VLOOKUP($B598,Lifetime_morbidity_array!$A$6:$Y$24,4))+(SUM($R598:$S598)*VLOOKUP($B598,Lifetime_morbidity_array!$A$6:$Y$24,3))</f>
        <v>171.5830945221249</v>
      </c>
      <c r="AA598" s="297">
        <f>(SUM($P598:$Q598)*VLOOKUP($B598,Lifetime_morbidity_array!$A$6:$Y$24,7))+(SUM($R598:$S598)*VLOOKUP($B598,Lifetime_morbidity_array!$A$6:$Y$24,6))</f>
        <v>192.40911499091786</v>
      </c>
      <c r="AB598" s="297">
        <f>(SUM($P598:$Q598)*VLOOKUP($B598,Lifetime_morbidity_array!$A$6:$Y$24,10))+(SUM($R598:$S598)*VLOOKUP($B598,Lifetime_morbidity_array!$A$6:$Y$24,9))</f>
        <v>8.4789031752416584</v>
      </c>
      <c r="AC598" s="297">
        <f>(SUM($P598:$Q598)*VLOOKUP($B598,Lifetime_morbidity_array!$A$6:$Y$24,13))+(SUM($R598:$S598)*VLOOKUP($B598,Lifetime_morbidity_array!$A$6:$Y$24,12))</f>
        <v>58.768489041424843</v>
      </c>
      <c r="AD598" s="294"/>
      <c r="AE598" s="294">
        <f t="shared" si="25"/>
        <v>70</v>
      </c>
      <c r="AF598" s="297">
        <f t="shared" si="26"/>
        <v>202.61187675507895</v>
      </c>
      <c r="AG598" s="297">
        <f t="shared" si="27"/>
        <v>22325.949608849245</v>
      </c>
      <c r="AH598" s="294"/>
      <c r="AI598" s="294">
        <f t="shared" si="28"/>
        <v>70</v>
      </c>
      <c r="AJ598" s="295">
        <f>((VLOOKUP($B598,'Mahawesran Tariff'!$A$21:$M$120,7)*$X598)+(VLOOKUP($B598,'Mahawesran Tariff'!$A$21:$M$120,6)*$Y598)+(DET_UTIL_chd*$Z598)+(DET_UTIL_copd*$AA598)+(DET_UTIL_lc*$AB598)+(DET_UTIL_stroke*$AC598))/((1+Discount_rate_QALYs)^$A598)</f>
        <v>166.12939566243665</v>
      </c>
      <c r="AK598" s="295">
        <f t="shared" si="29"/>
        <v>20848.783823893205</v>
      </c>
      <c r="AL598" s="294"/>
      <c r="AM598" s="294">
        <f t="shared" si="14"/>
        <v>70</v>
      </c>
      <c r="AN598" s="299">
        <f t="shared" si="33"/>
        <v>418150.7491549172</v>
      </c>
      <c r="AO598" s="299">
        <f t="shared" si="30"/>
        <v>11742358.528021133</v>
      </c>
      <c r="AP598" s="294"/>
      <c r="AQ598" s="294">
        <f t="shared" si="16"/>
        <v>70</v>
      </c>
      <c r="AR598" s="298">
        <f t="shared" si="32"/>
        <v>0.88940576560619389</v>
      </c>
      <c r="AS598" s="298">
        <f t="shared" si="7"/>
        <v>0.1105942343938059</v>
      </c>
      <c r="AT598" s="298">
        <f t="shared" si="8"/>
        <v>0.43123960172970932</v>
      </c>
      <c r="AU598" s="250"/>
      <c r="AV598" s="294">
        <f t="shared" si="17"/>
        <v>70</v>
      </c>
      <c r="AW598" s="299">
        <f t="shared" si="34"/>
        <v>418150.7491549172</v>
      </c>
      <c r="AX598" s="299">
        <f t="shared" si="31"/>
        <v>11739318.528021133</v>
      </c>
      <c r="AY598" s="335"/>
      <c r="AZ598" s="335"/>
      <c r="BA598" s="335"/>
      <c r="BB598" s="335"/>
      <c r="BC598" s="335"/>
      <c r="BD598" s="335"/>
      <c r="BE598" s="335"/>
      <c r="BF598" s="335"/>
      <c r="BG598" s="335"/>
      <c r="BH598" s="335"/>
      <c r="BI598" s="335"/>
      <c r="BJ598" s="335"/>
      <c r="BK598" s="364"/>
      <c r="BL598" s="364"/>
      <c r="BM598" s="364"/>
      <c r="BN598" s="364"/>
      <c r="BO598" s="364"/>
      <c r="BP598" s="364"/>
      <c r="BQ598" s="335"/>
      <c r="BR598" s="335"/>
      <c r="BS598" s="364"/>
      <c r="BT598" s="364"/>
      <c r="BU598" s="364"/>
      <c r="BV598" s="364"/>
      <c r="BW598" s="364"/>
      <c r="BX598" s="364"/>
      <c r="BY598" s="335"/>
      <c r="BZ598" s="335"/>
      <c r="CA598" s="364"/>
      <c r="CB598" s="364"/>
      <c r="CC598" s="335"/>
      <c r="CD598" s="335"/>
      <c r="CE598" s="335"/>
      <c r="CF598" s="335"/>
      <c r="CG598" s="335"/>
      <c r="CH598" s="335"/>
      <c r="CI598" s="365"/>
      <c r="CJ598" s="365"/>
      <c r="CK598" s="335"/>
      <c r="CL598" s="335"/>
      <c r="CM598" s="366"/>
      <c r="CN598" s="366"/>
      <c r="CO598" s="366"/>
      <c r="CP598" s="3"/>
    </row>
    <row r="599" spans="1:94" x14ac:dyDescent="0.25">
      <c r="A599" s="34">
        <v>44</v>
      </c>
      <c r="B599" s="33">
        <f t="shared" si="19"/>
        <v>71</v>
      </c>
      <c r="C599" s="294">
        <f>VLOOKUP($B599,'Mother mortality'!$A$23:$I$124,5)</f>
        <v>1.138218665558096E-2</v>
      </c>
      <c r="D599" s="295">
        <f t="shared" si="1"/>
        <v>0.27</v>
      </c>
      <c r="E599" s="295">
        <f t="shared" si="9"/>
        <v>0.71861781334441899</v>
      </c>
      <c r="F599" s="295">
        <f>VLOOKUP($B599,'Mother mortality'!$A$23:$I$124,5)</f>
        <v>1.138218665558096E-2</v>
      </c>
      <c r="G599" s="295">
        <f t="shared" si="2"/>
        <v>0.14000000000000001</v>
      </c>
      <c r="H599" s="295">
        <f t="shared" si="10"/>
        <v>0.84861781334441899</v>
      </c>
      <c r="I599" s="295">
        <f>VLOOKUP($B599,'Mother mortality'!$A$23:$I$124,4)</f>
        <v>7.6527042194969872E-3</v>
      </c>
      <c r="J599" s="295">
        <f t="shared" si="11"/>
        <v>0.42091872435193156</v>
      </c>
      <c r="K599" s="295">
        <f t="shared" si="3"/>
        <v>0.5714285714285714</v>
      </c>
      <c r="L599" s="295">
        <f>VLOOKUP($B599,'Mother mortality'!$A$23:$I$124,4)</f>
        <v>7.6527042194969872E-3</v>
      </c>
      <c r="M599" s="295">
        <f t="shared" si="4"/>
        <v>8.6261668788331098E-3</v>
      </c>
      <c r="N599" s="295">
        <f t="shared" si="12"/>
        <v>0.98372112890166985</v>
      </c>
      <c r="O599" s="294"/>
      <c r="P599" s="296">
        <f t="shared" si="20"/>
        <v>365.14290669464833</v>
      </c>
      <c r="Q599" s="297">
        <f t="shared" si="21"/>
        <v>100.76242237735353</v>
      </c>
      <c r="R599" s="297">
        <f t="shared" si="22"/>
        <v>14.407410048422106</v>
      </c>
      <c r="S599" s="297">
        <f t="shared" si="23"/>
        <v>400.51104487168556</v>
      </c>
      <c r="T599" s="297">
        <f t="shared" si="24"/>
        <v>119.17621600789029</v>
      </c>
      <c r="U599" s="294">
        <f t="shared" si="13"/>
        <v>999.99999999999977</v>
      </c>
      <c r="V599" s="295" t="str">
        <f t="shared" si="5"/>
        <v>OKAY</v>
      </c>
      <c r="W599" s="295"/>
      <c r="X599" s="296">
        <f>SUM($P599:$Q599)-(SUM($P599:$Q599)*(VLOOKUP($B599,Lifetime_morbidity_array!$A$6:$Y$24,4)+VLOOKUP($B599,Lifetime_morbidity_array!$A$6:$Y$24,7)+VLOOKUP($B599,Lifetime_morbidity_array!$A$6:$Y$24,10)+VLOOKUP($B599,Lifetime_morbidity_array!$A$6:$Y$24,13)))</f>
        <v>161.92820224340051</v>
      </c>
      <c r="Y599" s="297">
        <f>SUM($R599:$S599)-(SUM($R599:$S599)*(VLOOKUP($B599,Lifetime_morbidity_array!$A$6:$Y$24,3)+VLOOKUP($B599,Lifetime_morbidity_array!$A$6:$Y$24,6)+VLOOKUP($B599,Lifetime_morbidity_array!$A$6:$Y$24,9)+VLOOKUP($B599,Lifetime_morbidity_array!$A$6:$Y$24,12)))</f>
        <v>293.83834710984746</v>
      </c>
      <c r="Z599" s="297">
        <f>(SUM($P599:$Q599)*VLOOKUP($B599,Lifetime_morbidity_array!$A$6:$Y$24,4))+(SUM($R599:$S599)*VLOOKUP($B599,Lifetime_morbidity_array!$A$6:$Y$24,3))</f>
        <v>169.17502420888144</v>
      </c>
      <c r="AA599" s="297">
        <f>(SUM($P599:$Q599)*VLOOKUP($B599,Lifetime_morbidity_array!$A$6:$Y$24,7))+(SUM($R599:$S599)*VLOOKUP($B599,Lifetime_morbidity_array!$A$6:$Y$24,6))</f>
        <v>189.55355296155597</v>
      </c>
      <c r="AB599" s="297">
        <f>(SUM($P599:$Q599)*VLOOKUP($B599,Lifetime_morbidity_array!$A$6:$Y$24,10))+(SUM($R599:$S599)*VLOOKUP($B599,Lifetime_morbidity_array!$A$6:$Y$24,9))</f>
        <v>8.3401771268847789</v>
      </c>
      <c r="AC599" s="297">
        <f>(SUM($P599:$Q599)*VLOOKUP($B599,Lifetime_morbidity_array!$A$6:$Y$24,13))+(SUM($R599:$S599)*VLOOKUP($B599,Lifetime_morbidity_array!$A$6:$Y$24,12))</f>
        <v>57.988480341539287</v>
      </c>
      <c r="AD599" s="294"/>
      <c r="AE599" s="294">
        <f t="shared" si="25"/>
        <v>71</v>
      </c>
      <c r="AF599" s="297">
        <f t="shared" si="26"/>
        <v>193.87135338133842</v>
      </c>
      <c r="AG599" s="297">
        <f t="shared" si="27"/>
        <v>22519.820962230584</v>
      </c>
      <c r="AH599" s="294"/>
      <c r="AI599" s="294">
        <f t="shared" si="28"/>
        <v>71</v>
      </c>
      <c r="AJ599" s="295">
        <f>((VLOOKUP($B599,'Mahawesran Tariff'!$A$21:$M$120,7)*$X599)+(VLOOKUP($B599,'Mahawesran Tariff'!$A$21:$M$120,6)*$Y599)+(DET_UTIL_chd*$Z599)+(DET_UTIL_copd*$AA599)+(DET_UTIL_lc*$AB599)+(DET_UTIL_stroke*$AC599))/((1+Discount_rate_QALYs)^$A599)</f>
        <v>159.0524743371179</v>
      </c>
      <c r="AK599" s="295">
        <f t="shared" si="29"/>
        <v>21007.836298230322</v>
      </c>
      <c r="AL599" s="294"/>
      <c r="AM599" s="294">
        <f t="shared" si="14"/>
        <v>71</v>
      </c>
      <c r="AN599" s="299">
        <f t="shared" si="33"/>
        <v>398484.11062258965</v>
      </c>
      <c r="AO599" s="299">
        <f t="shared" si="30"/>
        <v>12140842.638643723</v>
      </c>
      <c r="AP599" s="294"/>
      <c r="AQ599" s="294">
        <f t="shared" si="16"/>
        <v>71</v>
      </c>
      <c r="AR599" s="298">
        <f t="shared" si="32"/>
        <v>0.88082378399210948</v>
      </c>
      <c r="AS599" s="298">
        <f t="shared" si="7"/>
        <v>0.11917621600789029</v>
      </c>
      <c r="AT599" s="298">
        <f t="shared" si="8"/>
        <v>0.42505723463886147</v>
      </c>
      <c r="AU599" s="250"/>
      <c r="AV599" s="294">
        <f t="shared" si="17"/>
        <v>71</v>
      </c>
      <c r="AW599" s="299">
        <f t="shared" si="34"/>
        <v>398484.11062258965</v>
      </c>
      <c r="AX599" s="299">
        <f t="shared" si="31"/>
        <v>12137802.638643723</v>
      </c>
      <c r="AY599" s="335"/>
      <c r="AZ599" s="335"/>
      <c r="BA599" s="335"/>
      <c r="BB599" s="335"/>
      <c r="BC599" s="335"/>
      <c r="BD599" s="335"/>
      <c r="BE599" s="335"/>
      <c r="BF599" s="335"/>
      <c r="BG599" s="335"/>
      <c r="BH599" s="335"/>
      <c r="BI599" s="335"/>
      <c r="BJ599" s="335"/>
      <c r="BK599" s="364"/>
      <c r="BL599" s="364"/>
      <c r="BM599" s="364"/>
      <c r="BN599" s="364"/>
      <c r="BO599" s="364"/>
      <c r="BP599" s="364"/>
      <c r="BQ599" s="335"/>
      <c r="BR599" s="335"/>
      <c r="BS599" s="364"/>
      <c r="BT599" s="364"/>
      <c r="BU599" s="364"/>
      <c r="BV599" s="364"/>
      <c r="BW599" s="364"/>
      <c r="BX599" s="364"/>
      <c r="BY599" s="335"/>
      <c r="BZ599" s="335"/>
      <c r="CA599" s="364"/>
      <c r="CB599" s="364"/>
      <c r="CC599" s="335"/>
      <c r="CD599" s="335"/>
      <c r="CE599" s="335"/>
      <c r="CF599" s="335"/>
      <c r="CG599" s="335"/>
      <c r="CH599" s="335"/>
      <c r="CI599" s="365"/>
      <c r="CJ599" s="365"/>
      <c r="CK599" s="335"/>
      <c r="CL599" s="335"/>
      <c r="CM599" s="366"/>
      <c r="CN599" s="366"/>
      <c r="CO599" s="366"/>
      <c r="CP599" s="3"/>
    </row>
    <row r="600" spans="1:94" x14ac:dyDescent="0.25">
      <c r="A600" s="34">
        <v>45</v>
      </c>
      <c r="B600" s="33">
        <f t="shared" si="19"/>
        <v>72</v>
      </c>
      <c r="C600" s="294">
        <f>VLOOKUP($B600,'Mother mortality'!$A$23:$I$124,5)</f>
        <v>1.2306034781403729E-2</v>
      </c>
      <c r="D600" s="295">
        <f t="shared" si="1"/>
        <v>0.27</v>
      </c>
      <c r="E600" s="295">
        <f t="shared" si="9"/>
        <v>0.7176939652185963</v>
      </c>
      <c r="F600" s="295">
        <f>VLOOKUP($B600,'Mother mortality'!$A$23:$I$124,5)</f>
        <v>1.2306034781403729E-2</v>
      </c>
      <c r="G600" s="295">
        <f t="shared" si="2"/>
        <v>0.14000000000000001</v>
      </c>
      <c r="H600" s="295">
        <f t="shared" si="10"/>
        <v>0.8476939652185963</v>
      </c>
      <c r="I600" s="295">
        <f>VLOOKUP($B600,'Mother mortality'!$A$23:$I$124,4)</f>
        <v>8.2738446615395287E-3</v>
      </c>
      <c r="J600" s="295">
        <f t="shared" si="11"/>
        <v>0.42029758390988903</v>
      </c>
      <c r="K600" s="295">
        <f t="shared" si="3"/>
        <v>0.5714285714285714</v>
      </c>
      <c r="L600" s="295">
        <f>VLOOKUP($B600,'Mother mortality'!$A$23:$I$124,4)</f>
        <v>8.2738446615395287E-3</v>
      </c>
      <c r="M600" s="295">
        <f t="shared" si="4"/>
        <v>8.6261668788331098E-3</v>
      </c>
      <c r="N600" s="295">
        <f t="shared" si="12"/>
        <v>0.98309998845962732</v>
      </c>
      <c r="O600" s="294"/>
      <c r="P600" s="296">
        <f t="shared" si="20"/>
        <v>356.9868326908458</v>
      </c>
      <c r="Q600" s="297">
        <f t="shared" si="21"/>
        <v>98.588584807555051</v>
      </c>
      <c r="R600" s="297">
        <f t="shared" si="22"/>
        <v>14.106739132829496</v>
      </c>
      <c r="S600" s="297">
        <f t="shared" si="23"/>
        <v>401.9752093332628</v>
      </c>
      <c r="T600" s="297">
        <f t="shared" si="24"/>
        <v>128.34263403550668</v>
      </c>
      <c r="U600" s="294">
        <f t="shared" si="13"/>
        <v>999.99999999999977</v>
      </c>
      <c r="V600" s="295" t="str">
        <f t="shared" si="5"/>
        <v>OKAY</v>
      </c>
      <c r="W600" s="295"/>
      <c r="X600" s="296">
        <f>SUM($P600:$Q600)-(SUM($P600:$Q600)*(VLOOKUP($B600,Lifetime_morbidity_array!$A$6:$Y$24,4)+VLOOKUP($B600,Lifetime_morbidity_array!$A$6:$Y$24,7)+VLOOKUP($B600,Lifetime_morbidity_array!$A$6:$Y$24,10)+VLOOKUP($B600,Lifetime_morbidity_array!$A$6:$Y$24,13)))</f>
        <v>158.33797928162795</v>
      </c>
      <c r="Y600" s="297">
        <f>SUM($R600:$S600)-(SUM($R600:$S600)*(VLOOKUP($B600,Lifetime_morbidity_array!$A$6:$Y$24,3)+VLOOKUP($B600,Lifetime_morbidity_array!$A$6:$Y$24,6)+VLOOKUP($B600,Lifetime_morbidity_array!$A$6:$Y$24,9)+VLOOKUP($B600,Lifetime_morbidity_array!$A$6:$Y$24,12)))</f>
        <v>294.66231388300758</v>
      </c>
      <c r="Z600" s="297">
        <f>(SUM($P600:$Q600)*VLOOKUP($B600,Lifetime_morbidity_array!$A$6:$Y$24,4))+(SUM($R600:$S600)*VLOOKUP($B600,Lifetime_morbidity_array!$A$6:$Y$24,3))</f>
        <v>166.67861671097853</v>
      </c>
      <c r="AA600" s="297">
        <f>(SUM($P600:$Q600)*VLOOKUP($B600,Lifetime_morbidity_array!$A$6:$Y$24,7))+(SUM($R600:$S600)*VLOOKUP($B600,Lifetime_morbidity_array!$A$6:$Y$24,6))</f>
        <v>186.60396725687059</v>
      </c>
      <c r="AB600" s="297">
        <f>(SUM($P600:$Q600)*VLOOKUP($B600,Lifetime_morbidity_array!$A$6:$Y$24,10))+(SUM($R600:$S600)*VLOOKUP($B600,Lifetime_morbidity_array!$A$6:$Y$24,9))</f>
        <v>8.1977259174129777</v>
      </c>
      <c r="AC600" s="297">
        <f>(SUM($P600:$Q600)*VLOOKUP($B600,Lifetime_morbidity_array!$A$6:$Y$24,13))+(SUM($R600:$S600)*VLOOKUP($B600,Lifetime_morbidity_array!$A$6:$Y$24,12))</f>
        <v>57.176762914595471</v>
      </c>
      <c r="AD600" s="294"/>
      <c r="AE600" s="294">
        <f t="shared" si="25"/>
        <v>72</v>
      </c>
      <c r="AF600" s="297">
        <f t="shared" si="26"/>
        <v>185.36599377706571</v>
      </c>
      <c r="AG600" s="297">
        <f t="shared" si="27"/>
        <v>22705.186956007648</v>
      </c>
      <c r="AH600" s="294"/>
      <c r="AI600" s="294">
        <f t="shared" si="28"/>
        <v>72</v>
      </c>
      <c r="AJ600" s="295">
        <f>((VLOOKUP($B600,'Mahawesran Tariff'!$A$21:$M$120,7)*$X600)+(VLOOKUP($B600,'Mahawesran Tariff'!$A$21:$M$120,6)*$Y600)+(DET_UTIL_chd*$Z600)+(DET_UTIL_copd*$AA600)+(DET_UTIL_lc*$AB600)+(DET_UTIL_stroke*$AC600))/((1+Discount_rate_QALYs)^$A600)</f>
        <v>152.15948712106831</v>
      </c>
      <c r="AK600" s="295">
        <f t="shared" si="29"/>
        <v>21159.995785351392</v>
      </c>
      <c r="AL600" s="294"/>
      <c r="AM600" s="294">
        <f t="shared" si="14"/>
        <v>72</v>
      </c>
      <c r="AN600" s="299">
        <f t="shared" si="33"/>
        <v>379463.93410510197</v>
      </c>
      <c r="AO600" s="299">
        <f t="shared" si="30"/>
        <v>12520306.572748825</v>
      </c>
      <c r="AP600" s="294"/>
      <c r="AQ600" s="294">
        <f t="shared" si="16"/>
        <v>72</v>
      </c>
      <c r="AR600" s="298">
        <f t="shared" si="32"/>
        <v>0.87165736596449317</v>
      </c>
      <c r="AS600" s="298">
        <f t="shared" si="7"/>
        <v>0.12834263403550666</v>
      </c>
      <c r="AT600" s="298">
        <f t="shared" si="8"/>
        <v>0.41865707279985759</v>
      </c>
      <c r="AU600" s="250"/>
      <c r="AV600" s="294">
        <f t="shared" si="17"/>
        <v>72</v>
      </c>
      <c r="AW600" s="299">
        <f t="shared" si="34"/>
        <v>379463.93410510197</v>
      </c>
      <c r="AX600" s="299">
        <f t="shared" si="31"/>
        <v>12517266.572748825</v>
      </c>
      <c r="AY600" s="335"/>
      <c r="AZ600" s="335"/>
      <c r="BA600" s="335"/>
      <c r="BB600" s="335"/>
      <c r="BC600" s="335"/>
      <c r="BD600" s="335"/>
      <c r="BE600" s="335"/>
      <c r="BF600" s="335"/>
      <c r="BG600" s="335"/>
      <c r="BH600" s="335"/>
      <c r="BI600" s="335"/>
      <c r="BJ600" s="335"/>
      <c r="BK600" s="364"/>
      <c r="BL600" s="364"/>
      <c r="BM600" s="364"/>
      <c r="BN600" s="364"/>
      <c r="BO600" s="364"/>
      <c r="BP600" s="364"/>
      <c r="BQ600" s="335"/>
      <c r="BR600" s="335"/>
      <c r="BS600" s="364"/>
      <c r="BT600" s="364"/>
      <c r="BU600" s="364"/>
      <c r="BV600" s="364"/>
      <c r="BW600" s="364"/>
      <c r="BX600" s="364"/>
      <c r="BY600" s="335"/>
      <c r="BZ600" s="335"/>
      <c r="CA600" s="364"/>
      <c r="CB600" s="364"/>
      <c r="CC600" s="335"/>
      <c r="CD600" s="335"/>
      <c r="CE600" s="335"/>
      <c r="CF600" s="335"/>
      <c r="CG600" s="335"/>
      <c r="CH600" s="335"/>
      <c r="CI600" s="365"/>
      <c r="CJ600" s="365"/>
      <c r="CK600" s="335"/>
      <c r="CL600" s="335"/>
      <c r="CM600" s="366"/>
      <c r="CN600" s="366"/>
      <c r="CO600" s="366"/>
      <c r="CP600" s="3"/>
    </row>
    <row r="601" spans="1:94" x14ac:dyDescent="0.25">
      <c r="A601" s="34">
        <v>46</v>
      </c>
      <c r="B601" s="33">
        <f t="shared" si="19"/>
        <v>73</v>
      </c>
      <c r="C601" s="294">
        <f>VLOOKUP($B601,'Mother mortality'!$A$23:$I$124,5)</f>
        <v>1.3352975819302986E-2</v>
      </c>
      <c r="D601" s="295">
        <f t="shared" si="1"/>
        <v>0.27</v>
      </c>
      <c r="E601" s="295">
        <f t="shared" si="9"/>
        <v>0.71664702418069703</v>
      </c>
      <c r="F601" s="295">
        <f>VLOOKUP($B601,'Mother mortality'!$A$23:$I$124,5)</f>
        <v>1.3352975819302986E-2</v>
      </c>
      <c r="G601" s="295">
        <f t="shared" si="2"/>
        <v>0.14000000000000001</v>
      </c>
      <c r="H601" s="295">
        <f t="shared" si="10"/>
        <v>0.84664702418069704</v>
      </c>
      <c r="I601" s="295">
        <f>VLOOKUP($B601,'Mother mortality'!$A$23:$I$124,4)</f>
        <v>8.9777454444675414E-3</v>
      </c>
      <c r="J601" s="295">
        <f t="shared" si="11"/>
        <v>0.4195936831269611</v>
      </c>
      <c r="K601" s="295">
        <f t="shared" si="3"/>
        <v>0.5714285714285714</v>
      </c>
      <c r="L601" s="295">
        <f>VLOOKUP($B601,'Mother mortality'!$A$23:$I$124,4)</f>
        <v>8.9777454444675414E-3</v>
      </c>
      <c r="M601" s="295">
        <f t="shared" si="4"/>
        <v>8.6261668788331098E-3</v>
      </c>
      <c r="N601" s="295">
        <f t="shared" si="12"/>
        <v>0.98239608767669939</v>
      </c>
      <c r="O601" s="294"/>
      <c r="P601" s="296">
        <f t="shared" si="20"/>
        <v>348.68988713160758</v>
      </c>
      <c r="Q601" s="297">
        <f t="shared" si="21"/>
        <v>96.386444826528376</v>
      </c>
      <c r="R601" s="297">
        <f t="shared" si="22"/>
        <v>13.802401873057708</v>
      </c>
      <c r="S601" s="297">
        <f t="shared" si="23"/>
        <v>402.95986678220788</v>
      </c>
      <c r="T601" s="297">
        <f t="shared" si="24"/>
        <v>138.16139938659833</v>
      </c>
      <c r="U601" s="294">
        <f t="shared" si="13"/>
        <v>999.99999999999977</v>
      </c>
      <c r="V601" s="295" t="str">
        <f t="shared" si="5"/>
        <v>OKAY</v>
      </c>
      <c r="W601" s="295"/>
      <c r="X601" s="296">
        <f>SUM($P601:$Q601)-(SUM($P601:$Q601)*(VLOOKUP($B601,Lifetime_morbidity_array!$A$6:$Y$24,4)+VLOOKUP($B601,Lifetime_morbidity_array!$A$6:$Y$24,7)+VLOOKUP($B601,Lifetime_morbidity_array!$A$6:$Y$24,10)+VLOOKUP($B601,Lifetime_morbidity_array!$A$6:$Y$24,13)))</f>
        <v>154.68895888917814</v>
      </c>
      <c r="Y601" s="297">
        <f>SUM($R601:$S601)-(SUM($R601:$S601)*(VLOOKUP($B601,Lifetime_morbidity_array!$A$6:$Y$24,3)+VLOOKUP($B601,Lifetime_morbidity_array!$A$6:$Y$24,6)+VLOOKUP($B601,Lifetime_morbidity_array!$A$6:$Y$24,9)+VLOOKUP($B601,Lifetime_morbidity_array!$A$6:$Y$24,12)))</f>
        <v>295.14410532304038</v>
      </c>
      <c r="Z601" s="297">
        <f>(SUM($P601:$Q601)*VLOOKUP($B601,Lifetime_morbidity_array!$A$6:$Y$24,4))+(SUM($R601:$S601)*VLOOKUP($B601,Lifetime_morbidity_array!$A$6:$Y$24,3))</f>
        <v>164.08052789272404</v>
      </c>
      <c r="AA601" s="297">
        <f>(SUM($P601:$Q601)*VLOOKUP($B601,Lifetime_morbidity_array!$A$6:$Y$24,7))+(SUM($R601:$S601)*VLOOKUP($B601,Lifetime_morbidity_array!$A$6:$Y$24,6))</f>
        <v>183.54534399449187</v>
      </c>
      <c r="AB601" s="297">
        <f>(SUM($P601:$Q601)*VLOOKUP($B601,Lifetime_morbidity_array!$A$6:$Y$24,10))+(SUM($R601:$S601)*VLOOKUP($B601,Lifetime_morbidity_array!$A$6:$Y$24,9))</f>
        <v>8.0508837691648942</v>
      </c>
      <c r="AC601" s="297">
        <f>(SUM($P601:$Q601)*VLOOKUP($B601,Lifetime_morbidity_array!$A$6:$Y$24,13))+(SUM($R601:$S601)*VLOOKUP($B601,Lifetime_morbidity_array!$A$6:$Y$24,12))</f>
        <v>56.328780744802216</v>
      </c>
      <c r="AD601" s="294"/>
      <c r="AE601" s="294">
        <f t="shared" si="25"/>
        <v>73</v>
      </c>
      <c r="AF601" s="297">
        <f t="shared" si="26"/>
        <v>177.08013776894484</v>
      </c>
      <c r="AG601" s="297">
        <f t="shared" si="27"/>
        <v>22882.267093776594</v>
      </c>
      <c r="AH601" s="294"/>
      <c r="AI601" s="294">
        <f t="shared" si="28"/>
        <v>73</v>
      </c>
      <c r="AJ601" s="295">
        <f>((VLOOKUP($B601,'Mahawesran Tariff'!$A$21:$M$120,7)*$X601)+(VLOOKUP($B601,'Mahawesran Tariff'!$A$21:$M$120,6)*$Y601)+(DET_UTIL_chd*$Z601)+(DET_UTIL_copd*$AA601)+(DET_UTIL_lc*$AB601)+(DET_UTIL_stroke*$AC601))/((1+Discount_rate_QALYs)^$A601)</f>
        <v>145.4382141494437</v>
      </c>
      <c r="AK601" s="295">
        <f t="shared" si="29"/>
        <v>21305.433999500834</v>
      </c>
      <c r="AL601" s="294"/>
      <c r="AM601" s="294">
        <f t="shared" si="14"/>
        <v>73</v>
      </c>
      <c r="AN601" s="299">
        <f t="shared" si="33"/>
        <v>361046.64792386245</v>
      </c>
      <c r="AO601" s="299">
        <f t="shared" si="30"/>
        <v>12881353.220672688</v>
      </c>
      <c r="AP601" s="294"/>
      <c r="AQ601" s="294">
        <f t="shared" si="16"/>
        <v>73</v>
      </c>
      <c r="AR601" s="298">
        <f t="shared" si="32"/>
        <v>0.86183860061340145</v>
      </c>
      <c r="AS601" s="298">
        <f t="shared" si="7"/>
        <v>0.13816139938659833</v>
      </c>
      <c r="AT601" s="298">
        <f t="shared" si="8"/>
        <v>0.41200553640118298</v>
      </c>
      <c r="AU601" s="250"/>
      <c r="AV601" s="294">
        <f t="shared" si="17"/>
        <v>73</v>
      </c>
      <c r="AW601" s="299">
        <f t="shared" si="34"/>
        <v>361046.64792386245</v>
      </c>
      <c r="AX601" s="299">
        <f t="shared" si="31"/>
        <v>12878313.220672688</v>
      </c>
      <c r="AY601" s="335"/>
      <c r="AZ601" s="335"/>
      <c r="BA601" s="335"/>
      <c r="BB601" s="335"/>
      <c r="BC601" s="335"/>
      <c r="BD601" s="335"/>
      <c r="BE601" s="335"/>
      <c r="BF601" s="335"/>
      <c r="BG601" s="335"/>
      <c r="BH601" s="335"/>
      <c r="BI601" s="335"/>
      <c r="BJ601" s="335"/>
      <c r="BK601" s="364"/>
      <c r="BL601" s="364"/>
      <c r="BM601" s="364"/>
      <c r="BN601" s="364"/>
      <c r="BO601" s="364"/>
      <c r="BP601" s="364"/>
      <c r="BQ601" s="335"/>
      <c r="BR601" s="335"/>
      <c r="BS601" s="364"/>
      <c r="BT601" s="364"/>
      <c r="BU601" s="364"/>
      <c r="BV601" s="364"/>
      <c r="BW601" s="364"/>
      <c r="BX601" s="364"/>
      <c r="BY601" s="335"/>
      <c r="BZ601" s="335"/>
      <c r="CA601" s="364"/>
      <c r="CB601" s="364"/>
      <c r="CC601" s="335"/>
      <c r="CD601" s="335"/>
      <c r="CE601" s="335"/>
      <c r="CF601" s="335"/>
      <c r="CG601" s="335"/>
      <c r="CH601" s="335"/>
      <c r="CI601" s="365"/>
      <c r="CJ601" s="365"/>
      <c r="CK601" s="335"/>
      <c r="CL601" s="335"/>
      <c r="CM601" s="366"/>
      <c r="CN601" s="366"/>
      <c r="CO601" s="366"/>
      <c r="CP601" s="3"/>
    </row>
    <row r="602" spans="1:94" x14ac:dyDescent="0.25">
      <c r="A602" s="34">
        <v>47</v>
      </c>
      <c r="B602" s="33">
        <f t="shared" si="19"/>
        <v>74</v>
      </c>
      <c r="C602" s="294">
        <f>VLOOKUP($B602,'Mother mortality'!$A$23:$I$124,5)</f>
        <v>1.4538314972632162E-2</v>
      </c>
      <c r="D602" s="295">
        <f t="shared" si="1"/>
        <v>0.27</v>
      </c>
      <c r="E602" s="295">
        <f t="shared" si="9"/>
        <v>0.71546168502736784</v>
      </c>
      <c r="F602" s="295">
        <f>VLOOKUP($B602,'Mother mortality'!$A$23:$I$124,5)</f>
        <v>1.4538314972632162E-2</v>
      </c>
      <c r="G602" s="295">
        <f t="shared" si="2"/>
        <v>0.14000000000000001</v>
      </c>
      <c r="H602" s="295">
        <f t="shared" si="10"/>
        <v>0.84546168502736785</v>
      </c>
      <c r="I602" s="295">
        <f>VLOOKUP($B602,'Mother mortality'!$A$23:$I$124,4)</f>
        <v>9.7746968752165184E-3</v>
      </c>
      <c r="J602" s="295">
        <f t="shared" si="11"/>
        <v>0.41879673169621212</v>
      </c>
      <c r="K602" s="295">
        <f t="shared" si="3"/>
        <v>0.5714285714285714</v>
      </c>
      <c r="L602" s="295">
        <f>VLOOKUP($B602,'Mother mortality'!$A$23:$I$124,4)</f>
        <v>9.7746968752165184E-3</v>
      </c>
      <c r="M602" s="295">
        <f t="shared" si="4"/>
        <v>8.6261668788331098E-3</v>
      </c>
      <c r="N602" s="295">
        <f t="shared" si="12"/>
        <v>0.98159913624595041</v>
      </c>
      <c r="O602" s="294"/>
      <c r="P602" s="296">
        <f t="shared" si="20"/>
        <v>340.22170010634676</v>
      </c>
      <c r="Q602" s="297">
        <f t="shared" si="21"/>
        <v>94.146269525534052</v>
      </c>
      <c r="R602" s="297">
        <f t="shared" si="22"/>
        <v>13.494102275713974</v>
      </c>
      <c r="S602" s="297">
        <f t="shared" si="23"/>
        <v>403.43214395980289</v>
      </c>
      <c r="T602" s="297">
        <f t="shared" si="24"/>
        <v>148.70578413260228</v>
      </c>
      <c r="U602" s="294">
        <f t="shared" si="13"/>
        <v>1000</v>
      </c>
      <c r="V602" s="295" t="str">
        <f t="shared" si="5"/>
        <v>OKAY</v>
      </c>
      <c r="W602" s="295"/>
      <c r="X602" s="296">
        <f>SUM($P602:$Q602)-(SUM($P602:$Q602)*(VLOOKUP($B602,Lifetime_morbidity_array!$A$6:$Y$24,4)+VLOOKUP($B602,Lifetime_morbidity_array!$A$6:$Y$24,7)+VLOOKUP($B602,Lifetime_morbidity_array!$A$6:$Y$24,10)+VLOOKUP($B602,Lifetime_morbidity_array!$A$6:$Y$24,13)))</f>
        <v>150.96720308974301</v>
      </c>
      <c r="Y602" s="297">
        <f>SUM($R602:$S602)-(SUM($R602:$S602)*(VLOOKUP($B602,Lifetime_morbidity_array!$A$6:$Y$24,3)+VLOOKUP($B602,Lifetime_morbidity_array!$A$6:$Y$24,6)+VLOOKUP($B602,Lifetime_morbidity_array!$A$6:$Y$24,9)+VLOOKUP($B602,Lifetime_morbidity_array!$A$6:$Y$24,12)))</f>
        <v>295.26023151741128</v>
      </c>
      <c r="Z602" s="297">
        <f>(SUM($P602:$Q602)*VLOOKUP($B602,Lifetime_morbidity_array!$A$6:$Y$24,4))+(SUM($R602:$S602)*VLOOKUP($B602,Lifetime_morbidity_array!$A$6:$Y$24,3))</f>
        <v>161.36650407758799</v>
      </c>
      <c r="AA602" s="297">
        <f>(SUM($P602:$Q602)*VLOOKUP($B602,Lifetime_morbidity_array!$A$6:$Y$24,7))+(SUM($R602:$S602)*VLOOKUP($B602,Lifetime_morbidity_array!$A$6:$Y$24,6))</f>
        <v>180.36167508330396</v>
      </c>
      <c r="AB602" s="297">
        <f>(SUM($P602:$Q602)*VLOOKUP($B602,Lifetime_morbidity_array!$A$6:$Y$24,10))+(SUM($R602:$S602)*VLOOKUP($B602,Lifetime_morbidity_array!$A$6:$Y$24,9))</f>
        <v>7.8989432292941277</v>
      </c>
      <c r="AC602" s="297">
        <f>(SUM($P602:$Q602)*VLOOKUP($B602,Lifetime_morbidity_array!$A$6:$Y$24,13))+(SUM($R602:$S602)*VLOOKUP($B602,Lifetime_morbidity_array!$A$6:$Y$24,12))</f>
        <v>55.439658870057343</v>
      </c>
      <c r="AD602" s="294"/>
      <c r="AE602" s="294">
        <f t="shared" si="25"/>
        <v>74</v>
      </c>
      <c r="AF602" s="297">
        <f t="shared" si="26"/>
        <v>168.99865269662368</v>
      </c>
      <c r="AG602" s="297">
        <f t="shared" si="27"/>
        <v>23051.265746473218</v>
      </c>
      <c r="AH602" s="294"/>
      <c r="AI602" s="294">
        <f t="shared" si="28"/>
        <v>74</v>
      </c>
      <c r="AJ602" s="295">
        <f>((VLOOKUP($B602,'Mahawesran Tariff'!$A$21:$M$120,7)*$X602)+(VLOOKUP($B602,'Mahawesran Tariff'!$A$21:$M$120,6)*$Y602)+(DET_UTIL_chd*$Z602)+(DET_UTIL_copd*$AA602)+(DET_UTIL_lc*$AB602)+(DET_UTIL_stroke*$AC602))/((1+Discount_rate_QALYs)^$A602)</f>
        <v>138.87681780993984</v>
      </c>
      <c r="AK602" s="295">
        <f t="shared" si="29"/>
        <v>21444.310817310772</v>
      </c>
      <c r="AL602" s="294"/>
      <c r="AM602" s="294">
        <f t="shared" si="14"/>
        <v>74</v>
      </c>
      <c r="AN602" s="299">
        <f t="shared" si="33"/>
        <v>343190.68075556081</v>
      </c>
      <c r="AO602" s="299">
        <f t="shared" si="30"/>
        <v>13224543.901428249</v>
      </c>
      <c r="AP602" s="294"/>
      <c r="AQ602" s="294">
        <f t="shared" si="16"/>
        <v>74</v>
      </c>
      <c r="AR602" s="298">
        <f t="shared" si="32"/>
        <v>0.85129421586739773</v>
      </c>
      <c r="AS602" s="298">
        <f t="shared" si="7"/>
        <v>0.14870578413260227</v>
      </c>
      <c r="AT602" s="298">
        <f t="shared" si="8"/>
        <v>0.40506678126024337</v>
      </c>
      <c r="AU602" s="250"/>
      <c r="AV602" s="294">
        <f t="shared" si="17"/>
        <v>74</v>
      </c>
      <c r="AW602" s="299">
        <f t="shared" si="34"/>
        <v>343190.68075556081</v>
      </c>
      <c r="AX602" s="299">
        <f t="shared" si="31"/>
        <v>13221503.901428249</v>
      </c>
      <c r="AY602" s="335"/>
      <c r="AZ602" s="335"/>
      <c r="BA602" s="335"/>
      <c r="BB602" s="335"/>
      <c r="BC602" s="335"/>
      <c r="BD602" s="335"/>
      <c r="BE602" s="335"/>
      <c r="BF602" s="335"/>
      <c r="BG602" s="335"/>
      <c r="BH602" s="335"/>
      <c r="BI602" s="335"/>
      <c r="BJ602" s="335"/>
      <c r="BK602" s="364"/>
      <c r="BL602" s="364"/>
      <c r="BM602" s="364"/>
      <c r="BN602" s="364"/>
      <c r="BO602" s="364"/>
      <c r="BP602" s="364"/>
      <c r="BQ602" s="335"/>
      <c r="BR602" s="335"/>
      <c r="BS602" s="364"/>
      <c r="BT602" s="364"/>
      <c r="BU602" s="364"/>
      <c r="BV602" s="364"/>
      <c r="BW602" s="364"/>
      <c r="BX602" s="364"/>
      <c r="BY602" s="335"/>
      <c r="BZ602" s="335"/>
      <c r="CA602" s="364"/>
      <c r="CB602" s="364"/>
      <c r="CC602" s="335"/>
      <c r="CD602" s="335"/>
      <c r="CE602" s="335"/>
      <c r="CF602" s="335"/>
      <c r="CG602" s="335"/>
      <c r="CH602" s="335"/>
      <c r="CI602" s="365"/>
      <c r="CJ602" s="365"/>
      <c r="CK602" s="335"/>
      <c r="CL602" s="335"/>
      <c r="CM602" s="366"/>
      <c r="CN602" s="366"/>
      <c r="CO602" s="366"/>
      <c r="CP602" s="3"/>
    </row>
    <row r="603" spans="1:94" x14ac:dyDescent="0.25">
      <c r="A603" s="34">
        <v>48</v>
      </c>
      <c r="B603" s="33">
        <f t="shared" si="19"/>
        <v>75</v>
      </c>
      <c r="C603" s="294">
        <f>VLOOKUP($B603,'Mother mortality'!$A$23:$I$124,5)</f>
        <v>1.3759563744966802E-2</v>
      </c>
      <c r="D603" s="295">
        <f t="shared" si="1"/>
        <v>0.27</v>
      </c>
      <c r="E603" s="295">
        <f t="shared" si="9"/>
        <v>0.7162404362550332</v>
      </c>
      <c r="F603" s="295">
        <f>VLOOKUP($B603,'Mother mortality'!$A$23:$I$124,5)</f>
        <v>1.3759563744966802E-2</v>
      </c>
      <c r="G603" s="295">
        <f t="shared" si="2"/>
        <v>0.14000000000000001</v>
      </c>
      <c r="H603" s="295">
        <f t="shared" si="10"/>
        <v>0.8462404362550332</v>
      </c>
      <c r="I603" s="295">
        <f>VLOOKUP($B603,'Mother mortality'!$A$23:$I$124,4)</f>
        <v>1.003409695741447E-2</v>
      </c>
      <c r="J603" s="295">
        <f t="shared" si="11"/>
        <v>0.41853733161401419</v>
      </c>
      <c r="K603" s="295">
        <f t="shared" si="3"/>
        <v>0.5714285714285714</v>
      </c>
      <c r="L603" s="295">
        <f>VLOOKUP($B603,'Mother mortality'!$A$23:$I$124,4)</f>
        <v>1.003409695741447E-2</v>
      </c>
      <c r="M603" s="295">
        <f t="shared" si="4"/>
        <v>8.6261668788331098E-3</v>
      </c>
      <c r="N603" s="295">
        <f t="shared" si="12"/>
        <v>0.98133973616375247</v>
      </c>
      <c r="O603" s="294"/>
      <c r="P603" s="296">
        <f t="shared" si="20"/>
        <v>332.47877765975733</v>
      </c>
      <c r="Q603" s="297">
        <f t="shared" si="21"/>
        <v>91.859859028713629</v>
      </c>
      <c r="R603" s="297">
        <f t="shared" si="22"/>
        <v>13.180477733574769</v>
      </c>
      <c r="S603" s="297">
        <f t="shared" si="23"/>
        <v>403.61490929961224</v>
      </c>
      <c r="T603" s="297">
        <f t="shared" si="24"/>
        <v>158.86597627834198</v>
      </c>
      <c r="U603" s="294">
        <f t="shared" si="13"/>
        <v>1000</v>
      </c>
      <c r="V603" s="295" t="str">
        <f t="shared" si="5"/>
        <v>OKAY</v>
      </c>
      <c r="W603" s="295"/>
      <c r="X603" s="296">
        <f>SUM($P603:$Q603)-(SUM($P603:$Q603)*(VLOOKUP($B603,Lifetime_morbidity_array!$A$6:$Y$24,4)+VLOOKUP($B603,Lifetime_morbidity_array!$A$6:$Y$24,7)+VLOOKUP($B603,Lifetime_morbidity_array!$A$6:$Y$24,10)+VLOOKUP($B603,Lifetime_morbidity_array!$A$6:$Y$24,13)))</f>
        <v>31.457688317661734</v>
      </c>
      <c r="Y603" s="297">
        <f>SUM($R603:$S603)-(SUM($R603:$S603)*(VLOOKUP($B603,Lifetime_morbidity_array!$A$6:$Y$24,3)+VLOOKUP($B603,Lifetime_morbidity_array!$A$6:$Y$24,6)+VLOOKUP($B603,Lifetime_morbidity_array!$A$6:$Y$24,9)+VLOOKUP($B603,Lifetime_morbidity_array!$A$6:$Y$24,12)))</f>
        <v>230.72286561772569</v>
      </c>
      <c r="Z603" s="297">
        <f>(SUM($P603:$Q603)*VLOOKUP($B603,Lifetime_morbidity_array!$A$6:$Y$24,4))+(SUM($R603:$S603)*VLOOKUP($B603,Lifetime_morbidity_array!$A$6:$Y$24,3))</f>
        <v>239.38723584465302</v>
      </c>
      <c r="AA603" s="297">
        <f>(SUM($P603:$Q603)*VLOOKUP($B603,Lifetime_morbidity_array!$A$6:$Y$24,7))+(SUM($R603:$S603)*VLOOKUP($B603,Lifetime_morbidity_array!$A$6:$Y$24,6))</f>
        <v>213.46517469869389</v>
      </c>
      <c r="AB603" s="297">
        <f>(SUM($P603:$Q603)*VLOOKUP($B603,Lifetime_morbidity_array!$A$6:$Y$24,10))+(SUM($R603:$S603)*VLOOKUP($B603,Lifetime_morbidity_array!$A$6:$Y$24,9))</f>
        <v>7.8703571896309912</v>
      </c>
      <c r="AC603" s="297">
        <f>(SUM($P603:$Q603)*VLOOKUP($B603,Lifetime_morbidity_array!$A$6:$Y$24,13))+(SUM($R603:$S603)*VLOOKUP($B603,Lifetime_morbidity_array!$A$6:$Y$24,12))</f>
        <v>118.23070205329265</v>
      </c>
      <c r="AD603" s="294"/>
      <c r="AE603" s="294">
        <f t="shared" si="25"/>
        <v>75</v>
      </c>
      <c r="AF603" s="297">
        <f t="shared" si="26"/>
        <v>161.33493201393341</v>
      </c>
      <c r="AG603" s="297">
        <f t="shared" si="27"/>
        <v>23212.600678487153</v>
      </c>
      <c r="AH603" s="294"/>
      <c r="AI603" s="294">
        <f t="shared" si="28"/>
        <v>75</v>
      </c>
      <c r="AJ603" s="295">
        <f>((VLOOKUP($B603,'Mahawesran Tariff'!$A$21:$M$120,7)*$X603)+(VLOOKUP($B603,'Mahawesran Tariff'!$A$21:$M$120,6)*$Y603)+(DET_UTIL_chd*$Z603)+(DET_UTIL_copd*$AA603)+(DET_UTIL_lc*$AB603)+(DET_UTIL_stroke*$AC603))/((1+Discount_rate_QALYs)^$A603)</f>
        <v>125.9559038573131</v>
      </c>
      <c r="AK603" s="295">
        <f t="shared" si="29"/>
        <v>21570.266721168085</v>
      </c>
      <c r="AL603" s="294"/>
      <c r="AM603" s="294">
        <f t="shared" si="14"/>
        <v>75</v>
      </c>
      <c r="AN603" s="299">
        <f t="shared" si="33"/>
        <v>626052.89422191086</v>
      </c>
      <c r="AO603" s="299">
        <f t="shared" si="30"/>
        <v>13850596.79565016</v>
      </c>
      <c r="AP603" s="294"/>
      <c r="AQ603" s="294">
        <f t="shared" si="16"/>
        <v>75</v>
      </c>
      <c r="AR603" s="298">
        <f t="shared" si="32"/>
        <v>0.84113402372165802</v>
      </c>
      <c r="AS603" s="298">
        <f t="shared" si="7"/>
        <v>0.15886597627834198</v>
      </c>
      <c r="AT603" s="298">
        <f t="shared" si="8"/>
        <v>0.57895346978627049</v>
      </c>
      <c r="AU603" s="250"/>
      <c r="AV603" s="294">
        <f t="shared" si="17"/>
        <v>75</v>
      </c>
      <c r="AW603" s="299">
        <f t="shared" si="34"/>
        <v>626052.89422191086</v>
      </c>
      <c r="AX603" s="299">
        <f t="shared" si="31"/>
        <v>13847556.79565016</v>
      </c>
      <c r="AY603" s="335"/>
      <c r="AZ603" s="335"/>
      <c r="BA603" s="335"/>
      <c r="BB603" s="335"/>
      <c r="BC603" s="335"/>
      <c r="BD603" s="335"/>
      <c r="BE603" s="335"/>
      <c r="BF603" s="335"/>
      <c r="BG603" s="335"/>
      <c r="BH603" s="335"/>
      <c r="BI603" s="335"/>
      <c r="BJ603" s="335"/>
      <c r="BK603" s="364"/>
      <c r="BL603" s="364"/>
      <c r="BM603" s="364"/>
      <c r="BN603" s="364"/>
      <c r="BO603" s="364"/>
      <c r="BP603" s="364"/>
      <c r="BQ603" s="335"/>
      <c r="BR603" s="335"/>
      <c r="BS603" s="364"/>
      <c r="BT603" s="364"/>
      <c r="BU603" s="364"/>
      <c r="BV603" s="364"/>
      <c r="BW603" s="364"/>
      <c r="BX603" s="364"/>
      <c r="BY603" s="335"/>
      <c r="BZ603" s="335"/>
      <c r="CA603" s="364"/>
      <c r="CB603" s="364"/>
      <c r="CC603" s="335"/>
      <c r="CD603" s="335"/>
      <c r="CE603" s="335"/>
      <c r="CF603" s="335"/>
      <c r="CG603" s="335"/>
      <c r="CH603" s="335"/>
      <c r="CI603" s="365"/>
      <c r="CJ603" s="365"/>
      <c r="CK603" s="335"/>
      <c r="CL603" s="335"/>
      <c r="CM603" s="366"/>
      <c r="CN603" s="366"/>
      <c r="CO603" s="366"/>
      <c r="CP603" s="3"/>
    </row>
    <row r="604" spans="1:94" x14ac:dyDescent="0.25">
      <c r="A604" s="34">
        <v>49</v>
      </c>
      <c r="B604" s="33">
        <f t="shared" si="19"/>
        <v>76</v>
      </c>
      <c r="C604" s="294">
        <f>VLOOKUP($B604,'Mother mortality'!$A$23:$I$124,5)</f>
        <v>1.5040574918002186E-2</v>
      </c>
      <c r="D604" s="295">
        <f t="shared" si="1"/>
        <v>0.27</v>
      </c>
      <c r="E604" s="295">
        <f t="shared" si="9"/>
        <v>0.71495942508199783</v>
      </c>
      <c r="F604" s="295">
        <f>VLOOKUP($B604,'Mother mortality'!$A$23:$I$124,5)</f>
        <v>1.5040574918002186E-2</v>
      </c>
      <c r="G604" s="295">
        <f t="shared" si="2"/>
        <v>0.14000000000000001</v>
      </c>
      <c r="H604" s="295">
        <f t="shared" si="10"/>
        <v>0.84495942508199784</v>
      </c>
      <c r="I604" s="295">
        <f>VLOOKUP($B604,'Mother mortality'!$A$23:$I$124,4)</f>
        <v>1.0968268312844991E-2</v>
      </c>
      <c r="J604" s="295">
        <f t="shared" si="11"/>
        <v>0.41760316025858357</v>
      </c>
      <c r="K604" s="295">
        <f t="shared" si="3"/>
        <v>0.5714285714285714</v>
      </c>
      <c r="L604" s="295">
        <f>VLOOKUP($B604,'Mother mortality'!$A$23:$I$124,4)</f>
        <v>1.0968268312844991E-2</v>
      </c>
      <c r="M604" s="295">
        <f t="shared" si="4"/>
        <v>8.6261668788331098E-3</v>
      </c>
      <c r="N604" s="295">
        <f t="shared" si="12"/>
        <v>0.98040556480832186</v>
      </c>
      <c r="O604" s="294"/>
      <c r="P604" s="296">
        <f t="shared" si="20"/>
        <v>324.31254811826301</v>
      </c>
      <c r="Q604" s="297">
        <f t="shared" si="21"/>
        <v>89.769269968134481</v>
      </c>
      <c r="R604" s="297">
        <f t="shared" si="22"/>
        <v>12.860380264019909</v>
      </c>
      <c r="S604" s="297">
        <f t="shared" si="23"/>
        <v>403.23800467898866</v>
      </c>
      <c r="T604" s="297">
        <f t="shared" si="24"/>
        <v>169.8197969705939</v>
      </c>
      <c r="U604" s="294">
        <f t="shared" si="13"/>
        <v>1000</v>
      </c>
      <c r="V604" s="295" t="str">
        <f t="shared" si="5"/>
        <v>OKAY</v>
      </c>
      <c r="W604" s="295"/>
      <c r="X604" s="296">
        <f>SUM($P604:$Q604)-(SUM($P604:$Q604)*(VLOOKUP($B604,Lifetime_morbidity_array!$A$6:$Y$24,4)+VLOOKUP($B604,Lifetime_morbidity_array!$A$6:$Y$24,7)+VLOOKUP($B604,Lifetime_morbidity_array!$A$6:$Y$24,10)+VLOOKUP($B604,Lifetime_morbidity_array!$A$6:$Y$24,13)))</f>
        <v>30.697314939378714</v>
      </c>
      <c r="Y604" s="297">
        <f>SUM($R604:$S604)-(SUM($R604:$S604)*(VLOOKUP($B604,Lifetime_morbidity_array!$A$6:$Y$24,3)+VLOOKUP($B604,Lifetime_morbidity_array!$A$6:$Y$24,6)+VLOOKUP($B604,Lifetime_morbidity_array!$A$6:$Y$24,9)+VLOOKUP($B604,Lifetime_morbidity_array!$A$6:$Y$24,12)))</f>
        <v>230.33703044634288</v>
      </c>
      <c r="Z604" s="297">
        <f>(SUM($P604:$Q604)*VLOOKUP($B604,Lifetime_morbidity_array!$A$6:$Y$24,4))+(SUM($R604:$S604)*VLOOKUP($B604,Lifetime_morbidity_array!$A$6:$Y$24,3))</f>
        <v>235.52194696279111</v>
      </c>
      <c r="AA604" s="297">
        <f>(SUM($P604:$Q604)*VLOOKUP($B604,Lifetime_morbidity_array!$A$6:$Y$24,7))+(SUM($R604:$S604)*VLOOKUP($B604,Lifetime_morbidity_array!$A$6:$Y$24,6))</f>
        <v>209.49939535127976</v>
      </c>
      <c r="AB604" s="297">
        <f>(SUM($P604:$Q604)*VLOOKUP($B604,Lifetime_morbidity_array!$A$6:$Y$24,10))+(SUM($R604:$S604)*VLOOKUP($B604,Lifetime_morbidity_array!$A$6:$Y$24,9))</f>
        <v>7.7179325380120476</v>
      </c>
      <c r="AC604" s="297">
        <f>(SUM($P604:$Q604)*VLOOKUP($B604,Lifetime_morbidity_array!$A$6:$Y$24,13))+(SUM($R604:$S604)*VLOOKUP($B604,Lifetime_morbidity_array!$A$6:$Y$24,12))</f>
        <v>116.40658279160155</v>
      </c>
      <c r="AD604" s="294"/>
      <c r="AE604" s="294">
        <f t="shared" si="25"/>
        <v>76</v>
      </c>
      <c r="AF604" s="297">
        <f t="shared" si="26"/>
        <v>153.84919665763175</v>
      </c>
      <c r="AG604" s="297">
        <f t="shared" si="27"/>
        <v>23366.449875144786</v>
      </c>
      <c r="AH604" s="294"/>
      <c r="AI604" s="294">
        <f t="shared" si="28"/>
        <v>76</v>
      </c>
      <c r="AJ604" s="295">
        <f>((VLOOKUP($B604,'Mahawesran Tariff'!$A$21:$M$120,7)*$X604)+(VLOOKUP($B604,'Mahawesran Tariff'!$A$21:$M$120,6)*$Y604)+(DET_UTIL_chd*$Z604)+(DET_UTIL_copd*$AA604)+(DET_UTIL_lc*$AB604)+(DET_UTIL_stroke*$AC604))/((1+Discount_rate_QALYs)^$A604)</f>
        <v>120.18575010339146</v>
      </c>
      <c r="AK604" s="295">
        <f t="shared" si="29"/>
        <v>21690.452471271477</v>
      </c>
      <c r="AL604" s="294"/>
      <c r="AM604" s="294">
        <f t="shared" si="14"/>
        <v>76</v>
      </c>
      <c r="AN604" s="299">
        <f t="shared" si="33"/>
        <v>595331.03730155411</v>
      </c>
      <c r="AO604" s="299">
        <f t="shared" si="30"/>
        <v>14445927.832951713</v>
      </c>
      <c r="AP604" s="294"/>
      <c r="AQ604" s="294">
        <f t="shared" si="16"/>
        <v>76</v>
      </c>
      <c r="AR604" s="298">
        <f t="shared" si="32"/>
        <v>0.83018020302940609</v>
      </c>
      <c r="AS604" s="298">
        <f t="shared" si="7"/>
        <v>0.16981979697059391</v>
      </c>
      <c r="AT604" s="298">
        <f t="shared" si="8"/>
        <v>0.56914585764368453</v>
      </c>
      <c r="AU604" s="250"/>
      <c r="AV604" s="294">
        <f t="shared" si="17"/>
        <v>76</v>
      </c>
      <c r="AW604" s="299">
        <f t="shared" si="34"/>
        <v>595331.03730155411</v>
      </c>
      <c r="AX604" s="299">
        <f t="shared" si="31"/>
        <v>14442887.832951713</v>
      </c>
      <c r="AY604" s="335"/>
      <c r="AZ604" s="335"/>
      <c r="BA604" s="335"/>
      <c r="BB604" s="335"/>
      <c r="BC604" s="335"/>
      <c r="BD604" s="335"/>
      <c r="BE604" s="335"/>
      <c r="BF604" s="335"/>
      <c r="BG604" s="335"/>
      <c r="BH604" s="335"/>
      <c r="BI604" s="335"/>
      <c r="BJ604" s="335"/>
      <c r="BK604" s="364"/>
      <c r="BL604" s="364"/>
      <c r="BM604" s="364"/>
      <c r="BN604" s="364"/>
      <c r="BO604" s="364"/>
      <c r="BP604" s="364"/>
      <c r="BQ604" s="335"/>
      <c r="BR604" s="335"/>
      <c r="BS604" s="364"/>
      <c r="BT604" s="364"/>
      <c r="BU604" s="364"/>
      <c r="BV604" s="364"/>
      <c r="BW604" s="364"/>
      <c r="BX604" s="364"/>
      <c r="BY604" s="335"/>
      <c r="BZ604" s="335"/>
      <c r="CA604" s="364"/>
      <c r="CB604" s="364"/>
      <c r="CC604" s="335"/>
      <c r="CD604" s="335"/>
      <c r="CE604" s="335"/>
      <c r="CF604" s="335"/>
      <c r="CG604" s="335"/>
      <c r="CH604" s="335"/>
      <c r="CI604" s="365"/>
      <c r="CJ604" s="365"/>
      <c r="CK604" s="335"/>
      <c r="CL604" s="335"/>
      <c r="CM604" s="366"/>
      <c r="CN604" s="366"/>
      <c r="CO604" s="366"/>
      <c r="CP604" s="3"/>
    </row>
    <row r="605" spans="1:94" x14ac:dyDescent="0.25">
      <c r="A605" s="34">
        <v>50</v>
      </c>
      <c r="B605" s="33">
        <f t="shared" si="19"/>
        <v>77</v>
      </c>
      <c r="C605" s="294">
        <f>VLOOKUP($B605,'Mother mortality'!$A$23:$I$124,5)</f>
        <v>1.6491605557185141E-2</v>
      </c>
      <c r="D605" s="295">
        <f t="shared" si="1"/>
        <v>0.27</v>
      </c>
      <c r="E605" s="295">
        <f t="shared" si="9"/>
        <v>0.71350839444281489</v>
      </c>
      <c r="F605" s="295">
        <f>VLOOKUP($B605,'Mother mortality'!$A$23:$I$124,5)</f>
        <v>1.6491605557185141E-2</v>
      </c>
      <c r="G605" s="295">
        <f t="shared" si="2"/>
        <v>0.14000000000000001</v>
      </c>
      <c r="H605" s="295">
        <f t="shared" si="10"/>
        <v>0.84350839444281489</v>
      </c>
      <c r="I605" s="295">
        <f>VLOOKUP($B605,'Mother mortality'!$A$23:$I$124,4)</f>
        <v>1.2026425561985014E-2</v>
      </c>
      <c r="J605" s="295">
        <f t="shared" si="11"/>
        <v>0.41654500300944364</v>
      </c>
      <c r="K605" s="295">
        <f t="shared" si="3"/>
        <v>0.5714285714285714</v>
      </c>
      <c r="L605" s="295">
        <f>VLOOKUP($B605,'Mother mortality'!$A$23:$I$124,4)</f>
        <v>1.2026425561985014E-2</v>
      </c>
      <c r="M605" s="295">
        <f t="shared" si="4"/>
        <v>8.6261668788331098E-3</v>
      </c>
      <c r="N605" s="295">
        <f t="shared" si="12"/>
        <v>0.97934740755918193</v>
      </c>
      <c r="O605" s="294"/>
      <c r="P605" s="296">
        <f t="shared" si="20"/>
        <v>315.95618374267212</v>
      </c>
      <c r="Q605" s="297">
        <f t="shared" si="21"/>
        <v>87.564387991931014</v>
      </c>
      <c r="R605" s="297">
        <f t="shared" si="22"/>
        <v>12.567697795538828</v>
      </c>
      <c r="S605" s="297">
        <f t="shared" si="23"/>
        <v>402.25888323400193</v>
      </c>
      <c r="T605" s="297">
        <f t="shared" si="24"/>
        <v>181.65284723585614</v>
      </c>
      <c r="U605" s="294">
        <f t="shared" si="13"/>
        <v>1000</v>
      </c>
      <c r="V605" s="295" t="str">
        <f t="shared" si="5"/>
        <v>OKAY</v>
      </c>
      <c r="W605" s="295"/>
      <c r="X605" s="296">
        <f>SUM($P605:$Q605)-(SUM($P605:$Q605)*(VLOOKUP($B605,Lifetime_morbidity_array!$A$6:$Y$24,4)+VLOOKUP($B605,Lifetime_morbidity_array!$A$6:$Y$24,7)+VLOOKUP($B605,Lifetime_morbidity_array!$A$6:$Y$24,10)+VLOOKUP($B605,Lifetime_morbidity_array!$A$6:$Y$24,13)))</f>
        <v>29.914373280863913</v>
      </c>
      <c r="Y605" s="297">
        <f>SUM($R605:$S605)-(SUM($R605:$S605)*(VLOOKUP($B605,Lifetime_morbidity_array!$A$6:$Y$24,3)+VLOOKUP($B605,Lifetime_morbidity_array!$A$6:$Y$24,6)+VLOOKUP($B605,Lifetime_morbidity_array!$A$6:$Y$24,9)+VLOOKUP($B605,Lifetime_morbidity_array!$A$6:$Y$24,12)))</f>
        <v>229.6330057556959</v>
      </c>
      <c r="Z605" s="297">
        <f>(SUM($P605:$Q605)*VLOOKUP($B605,Lifetime_morbidity_array!$A$6:$Y$24,4))+(SUM($R605:$S605)*VLOOKUP($B605,Lifetime_morbidity_array!$A$6:$Y$24,3))</f>
        <v>231.42842187559319</v>
      </c>
      <c r="AA605" s="297">
        <f>(SUM($P605:$Q605)*VLOOKUP($B605,Lifetime_morbidity_array!$A$6:$Y$24,7))+(SUM($R605:$S605)*VLOOKUP($B605,Lifetime_morbidity_array!$A$6:$Y$24,6))</f>
        <v>205.3453590990456</v>
      </c>
      <c r="AB605" s="297">
        <f>(SUM($P605:$Q605)*VLOOKUP($B605,Lifetime_morbidity_array!$A$6:$Y$24,10))+(SUM($R605:$S605)*VLOOKUP($B605,Lifetime_morbidity_array!$A$6:$Y$24,9))</f>
        <v>7.5587495277596082</v>
      </c>
      <c r="AC605" s="297">
        <f>(SUM($P605:$Q605)*VLOOKUP($B605,Lifetime_morbidity_array!$A$6:$Y$24,13))+(SUM($R605:$S605)*VLOOKUP($B605,Lifetime_morbidity_array!$A$6:$Y$24,12))</f>
        <v>114.46724322518574</v>
      </c>
      <c r="AD605" s="294"/>
      <c r="AE605" s="294">
        <f t="shared" si="25"/>
        <v>77</v>
      </c>
      <c r="AF605" s="297">
        <f t="shared" si="26"/>
        <v>146.52781923801018</v>
      </c>
      <c r="AG605" s="297">
        <f t="shared" si="27"/>
        <v>23512.977694382796</v>
      </c>
      <c r="AH605" s="294"/>
      <c r="AI605" s="294">
        <f t="shared" si="28"/>
        <v>77</v>
      </c>
      <c r="AJ605" s="295">
        <f>((VLOOKUP($B605,'Mahawesran Tariff'!$A$21:$M$120,7)*$X605)+(VLOOKUP($B605,'Mahawesran Tariff'!$A$21:$M$120,6)*$Y605)+(DET_UTIL_chd*$Z605)+(DET_UTIL_copd*$AA605)+(DET_UTIL_lc*$AB605)+(DET_UTIL_stroke*$AC605))/((1+Discount_rate_QALYs)^$A605)</f>
        <v>114.53680099869248</v>
      </c>
      <c r="AK605" s="295">
        <f t="shared" si="29"/>
        <v>21804.98927227017</v>
      </c>
      <c r="AL605" s="294"/>
      <c r="AM605" s="294">
        <f t="shared" si="14"/>
        <v>77</v>
      </c>
      <c r="AN605" s="299">
        <f t="shared" si="33"/>
        <v>565407.72851035174</v>
      </c>
      <c r="AO605" s="299">
        <f t="shared" si="30"/>
        <v>15011335.561462065</v>
      </c>
      <c r="AP605" s="294"/>
      <c r="AQ605" s="294">
        <f t="shared" si="16"/>
        <v>77</v>
      </c>
      <c r="AR605" s="298">
        <f t="shared" si="32"/>
        <v>0.81834715276414383</v>
      </c>
      <c r="AS605" s="298">
        <f t="shared" si="7"/>
        <v>0.18165284723585615</v>
      </c>
      <c r="AT605" s="298">
        <f t="shared" si="8"/>
        <v>0.55879977372758416</v>
      </c>
      <c r="AU605" s="250"/>
      <c r="AV605" s="294">
        <f t="shared" si="17"/>
        <v>77</v>
      </c>
      <c r="AW605" s="299">
        <f t="shared" si="34"/>
        <v>565407.72851035174</v>
      </c>
      <c r="AX605" s="299">
        <f t="shared" si="31"/>
        <v>15008295.561462065</v>
      </c>
      <c r="AY605" s="335"/>
      <c r="AZ605" s="335"/>
      <c r="BA605" s="335"/>
      <c r="BB605" s="335"/>
      <c r="BC605" s="335"/>
      <c r="BD605" s="335"/>
      <c r="BE605" s="335"/>
      <c r="BF605" s="335"/>
      <c r="BG605" s="335"/>
      <c r="BH605" s="335"/>
      <c r="BI605" s="335"/>
      <c r="BJ605" s="335"/>
      <c r="BK605" s="364"/>
      <c r="BL605" s="364"/>
      <c r="BM605" s="364"/>
      <c r="BN605" s="364"/>
      <c r="BO605" s="364"/>
      <c r="BP605" s="364"/>
      <c r="BQ605" s="335"/>
      <c r="BR605" s="335"/>
      <c r="BS605" s="364"/>
      <c r="BT605" s="364"/>
      <c r="BU605" s="364"/>
      <c r="BV605" s="364"/>
      <c r="BW605" s="364"/>
      <c r="BX605" s="364"/>
      <c r="BY605" s="335"/>
      <c r="BZ605" s="335"/>
      <c r="CA605" s="364"/>
      <c r="CB605" s="364"/>
      <c r="CC605" s="335"/>
      <c r="CD605" s="335"/>
      <c r="CE605" s="335"/>
      <c r="CF605" s="335"/>
      <c r="CG605" s="335"/>
      <c r="CH605" s="335"/>
      <c r="CI605" s="365"/>
      <c r="CJ605" s="365"/>
      <c r="CK605" s="335"/>
      <c r="CL605" s="335"/>
      <c r="CM605" s="366"/>
      <c r="CN605" s="366"/>
      <c r="CO605" s="366"/>
      <c r="CP605" s="3"/>
    </row>
    <row r="606" spans="1:94" x14ac:dyDescent="0.25">
      <c r="A606" s="34">
        <v>51</v>
      </c>
      <c r="B606" s="33">
        <f t="shared" si="19"/>
        <v>78</v>
      </c>
      <c r="C606" s="294">
        <f>VLOOKUP($B606,'Mother mortality'!$A$23:$I$124,5)</f>
        <v>1.814304151889283E-2</v>
      </c>
      <c r="D606" s="295">
        <f t="shared" si="1"/>
        <v>0.27</v>
      </c>
      <c r="E606" s="295">
        <f t="shared" si="9"/>
        <v>0.71185695848110719</v>
      </c>
      <c r="F606" s="295">
        <f>VLOOKUP($B606,'Mother mortality'!$A$23:$I$124,5)</f>
        <v>1.814304151889283E-2</v>
      </c>
      <c r="G606" s="295">
        <f t="shared" si="2"/>
        <v>0.14000000000000001</v>
      </c>
      <c r="H606" s="295">
        <f t="shared" si="10"/>
        <v>0.8418569584811072</v>
      </c>
      <c r="I606" s="295">
        <f>VLOOKUP($B606,'Mother mortality'!$A$23:$I$124,4)</f>
        <v>1.3230727447268073E-2</v>
      </c>
      <c r="J606" s="295">
        <f t="shared" si="11"/>
        <v>0.41534070112416055</v>
      </c>
      <c r="K606" s="295">
        <f t="shared" si="3"/>
        <v>0.5714285714285714</v>
      </c>
      <c r="L606" s="295">
        <f>VLOOKUP($B606,'Mother mortality'!$A$23:$I$124,4)</f>
        <v>1.3230727447268073E-2</v>
      </c>
      <c r="M606" s="295">
        <f t="shared" si="4"/>
        <v>8.6261668788331098E-3</v>
      </c>
      <c r="N606" s="295">
        <f t="shared" si="12"/>
        <v>0.97814310567389884</v>
      </c>
      <c r="O606" s="294"/>
      <c r="P606" s="296">
        <f t="shared" si="20"/>
        <v>307.32212598768825</v>
      </c>
      <c r="Q606" s="297">
        <f t="shared" si="21"/>
        <v>85.308169610521475</v>
      </c>
      <c r="R606" s="297">
        <f t="shared" si="22"/>
        <v>12.259014318870342</v>
      </c>
      <c r="S606" s="297">
        <f t="shared" si="23"/>
        <v>400.64829492887162</v>
      </c>
      <c r="T606" s="297">
        <f t="shared" si="24"/>
        <v>194.46239515404835</v>
      </c>
      <c r="U606" s="294">
        <f t="shared" si="13"/>
        <v>1000</v>
      </c>
      <c r="V606" s="295" t="str">
        <f t="shared" si="5"/>
        <v>OKAY</v>
      </c>
      <c r="W606" s="295"/>
      <c r="X606" s="296">
        <f>SUM($P606:$Q606)-(SUM($P606:$Q606)*(VLOOKUP($B606,Lifetime_morbidity_array!$A$6:$Y$24,4)+VLOOKUP($B606,Lifetime_morbidity_array!$A$6:$Y$24,7)+VLOOKUP($B606,Lifetime_morbidity_array!$A$6:$Y$24,10)+VLOOKUP($B606,Lifetime_morbidity_array!$A$6:$Y$24,13)))</f>
        <v>29.107039508324476</v>
      </c>
      <c r="Y606" s="297">
        <f>SUM($R606:$S606)-(SUM($R606:$S606)*(VLOOKUP($B606,Lifetime_morbidity_array!$A$6:$Y$24,3)+VLOOKUP($B606,Lifetime_morbidity_array!$A$6:$Y$24,6)+VLOOKUP($B606,Lifetime_morbidity_array!$A$6:$Y$24,9)+VLOOKUP($B606,Lifetime_morbidity_array!$A$6:$Y$24,12)))</f>
        <v>228.57056624899235</v>
      </c>
      <c r="Z606" s="297">
        <f>(SUM($P606:$Q606)*VLOOKUP($B606,Lifetime_morbidity_array!$A$6:$Y$24,4))+(SUM($R606:$S606)*VLOOKUP($B606,Lifetime_morbidity_array!$A$6:$Y$24,3))</f>
        <v>227.08284586077815</v>
      </c>
      <c r="AA606" s="297">
        <f>(SUM($P606:$Q606)*VLOOKUP($B606,Lifetime_morbidity_array!$A$6:$Y$24,7))+(SUM($R606:$S606)*VLOOKUP($B606,Lifetime_morbidity_array!$A$6:$Y$24,6))</f>
        <v>200.98451454605478</v>
      </c>
      <c r="AB606" s="297">
        <f>(SUM($P606:$Q606)*VLOOKUP($B606,Lifetime_morbidity_array!$A$6:$Y$24,10))+(SUM($R606:$S606)*VLOOKUP($B606,Lifetime_morbidity_array!$A$6:$Y$24,9))</f>
        <v>7.3921562878853724</v>
      </c>
      <c r="AC606" s="297">
        <f>(SUM($P606:$Q606)*VLOOKUP($B606,Lifetime_morbidity_array!$A$6:$Y$24,13))+(SUM($R606:$S606)*VLOOKUP($B606,Lifetime_morbidity_array!$A$6:$Y$24,12))</f>
        <v>112.40048239391655</v>
      </c>
      <c r="AD606" s="294"/>
      <c r="AE606" s="294">
        <f t="shared" si="25"/>
        <v>78</v>
      </c>
      <c r="AF606" s="297">
        <f t="shared" si="26"/>
        <v>139.35674053823817</v>
      </c>
      <c r="AG606" s="297">
        <f t="shared" si="27"/>
        <v>23652.334434921035</v>
      </c>
      <c r="AH606" s="294"/>
      <c r="AI606" s="294">
        <f t="shared" si="28"/>
        <v>78</v>
      </c>
      <c r="AJ606" s="295">
        <f>((VLOOKUP($B606,'Mahawesran Tariff'!$A$21:$M$120,7)*$X606)+(VLOOKUP($B606,'Mahawesran Tariff'!$A$21:$M$120,6)*$Y606)+(DET_UTIL_chd*$Z606)+(DET_UTIL_copd*$AA606)+(DET_UTIL_lc*$AB606)+(DET_UTIL_stroke*$AC606))/((1+Discount_rate_QALYs)^$A606)</f>
        <v>108.99819031895024</v>
      </c>
      <c r="AK606" s="295">
        <f t="shared" si="29"/>
        <v>21913.987462589121</v>
      </c>
      <c r="AL606" s="294"/>
      <c r="AM606" s="294">
        <f t="shared" si="14"/>
        <v>78</v>
      </c>
      <c r="AN606" s="299">
        <f t="shared" si="33"/>
        <v>536225.92593467527</v>
      </c>
      <c r="AO606" s="299">
        <f t="shared" si="30"/>
        <v>15547561.487396741</v>
      </c>
      <c r="AP606" s="294"/>
      <c r="AQ606" s="294">
        <f t="shared" si="16"/>
        <v>78</v>
      </c>
      <c r="AR606" s="298">
        <f t="shared" si="32"/>
        <v>0.80553760484595172</v>
      </c>
      <c r="AS606" s="298">
        <f t="shared" si="7"/>
        <v>0.19446239515404834</v>
      </c>
      <c r="AT606" s="298">
        <f t="shared" si="8"/>
        <v>0.54785999908863481</v>
      </c>
      <c r="AU606" s="250"/>
      <c r="AV606" s="294">
        <f t="shared" si="17"/>
        <v>78</v>
      </c>
      <c r="AW606" s="299">
        <f t="shared" si="34"/>
        <v>536225.92593467527</v>
      </c>
      <c r="AX606" s="299">
        <f t="shared" si="31"/>
        <v>15544521.487396741</v>
      </c>
      <c r="AY606" s="335"/>
      <c r="AZ606" s="335"/>
      <c r="BA606" s="335"/>
      <c r="BB606" s="335"/>
      <c r="BC606" s="335"/>
      <c r="BD606" s="335"/>
      <c r="BE606" s="335"/>
      <c r="BF606" s="335"/>
      <c r="BG606" s="335"/>
      <c r="BH606" s="335"/>
      <c r="BI606" s="335"/>
      <c r="BJ606" s="335"/>
      <c r="BK606" s="364"/>
      <c r="BL606" s="364"/>
      <c r="BM606" s="364"/>
      <c r="BN606" s="364"/>
      <c r="BO606" s="364"/>
      <c r="BP606" s="364"/>
      <c r="BQ606" s="335"/>
      <c r="BR606" s="335"/>
      <c r="BS606" s="364"/>
      <c r="BT606" s="364"/>
      <c r="BU606" s="364"/>
      <c r="BV606" s="364"/>
      <c r="BW606" s="364"/>
      <c r="BX606" s="364"/>
      <c r="BY606" s="335"/>
      <c r="BZ606" s="335"/>
      <c r="CA606" s="364"/>
      <c r="CB606" s="364"/>
      <c r="CC606" s="335"/>
      <c r="CD606" s="335"/>
      <c r="CE606" s="335"/>
      <c r="CF606" s="335"/>
      <c r="CG606" s="335"/>
      <c r="CH606" s="335"/>
      <c r="CI606" s="365"/>
      <c r="CJ606" s="365"/>
      <c r="CK606" s="335"/>
      <c r="CL606" s="335"/>
      <c r="CM606" s="366"/>
      <c r="CN606" s="366"/>
      <c r="CO606" s="366"/>
      <c r="CP606" s="3"/>
    </row>
    <row r="607" spans="1:94" x14ac:dyDescent="0.25">
      <c r="A607" s="34">
        <v>52</v>
      </c>
      <c r="B607" s="33">
        <f t="shared" si="19"/>
        <v>79</v>
      </c>
      <c r="C607" s="294">
        <f>VLOOKUP($B607,'Mother mortality'!$A$23:$I$124,5)</f>
        <v>2.0013255646516091E-2</v>
      </c>
      <c r="D607" s="295">
        <f t="shared" si="1"/>
        <v>0.27</v>
      </c>
      <c r="E607" s="295">
        <f t="shared" si="9"/>
        <v>0.70998674435348386</v>
      </c>
      <c r="F607" s="295">
        <f>VLOOKUP($B607,'Mother mortality'!$A$23:$I$124,5)</f>
        <v>2.0013255646516091E-2</v>
      </c>
      <c r="G607" s="295">
        <f t="shared" si="2"/>
        <v>0.14000000000000001</v>
      </c>
      <c r="H607" s="295">
        <f t="shared" si="10"/>
        <v>0.83998674435348386</v>
      </c>
      <c r="I607" s="295">
        <f>VLOOKUP($B607,'Mother mortality'!$A$23:$I$124,4)</f>
        <v>1.4594572278072584E-2</v>
      </c>
      <c r="J607" s="295">
        <f t="shared" si="11"/>
        <v>0.41397685629335601</v>
      </c>
      <c r="K607" s="295">
        <f t="shared" si="3"/>
        <v>0.5714285714285714</v>
      </c>
      <c r="L607" s="295">
        <f>VLOOKUP($B607,'Mother mortality'!$A$23:$I$124,4)</f>
        <v>1.4594572278072584E-2</v>
      </c>
      <c r="M607" s="295">
        <f t="shared" si="4"/>
        <v>8.6261668788331098E-3</v>
      </c>
      <c r="N607" s="295">
        <f t="shared" si="12"/>
        <v>0.9767792608430943</v>
      </c>
      <c r="O607" s="294"/>
      <c r="P607" s="296">
        <f t="shared" si="20"/>
        <v>298.38337461644431</v>
      </c>
      <c r="Q607" s="297">
        <f t="shared" si="21"/>
        <v>82.97697401667584</v>
      </c>
      <c r="R607" s="297">
        <f t="shared" si="22"/>
        <v>11.943143745473007</v>
      </c>
      <c r="S607" s="297">
        <f t="shared" si="23"/>
        <v>398.35009641802372</v>
      </c>
      <c r="T607" s="297">
        <f t="shared" si="24"/>
        <v>208.34641120338316</v>
      </c>
      <c r="U607" s="294">
        <f t="shared" si="13"/>
        <v>1000</v>
      </c>
      <c r="V607" s="295" t="str">
        <f t="shared" si="5"/>
        <v>OKAY</v>
      </c>
      <c r="W607" s="295"/>
      <c r="X607" s="296">
        <f>SUM($P607:$Q607)-(SUM($P607:$Q607)*(VLOOKUP($B607,Lifetime_morbidity_array!$A$6:$Y$24,4)+VLOOKUP($B607,Lifetime_morbidity_array!$A$6:$Y$24,7)+VLOOKUP($B607,Lifetime_morbidity_array!$A$6:$Y$24,10)+VLOOKUP($B607,Lifetime_morbidity_array!$A$6:$Y$24,13)))</f>
        <v>28.271559426305373</v>
      </c>
      <c r="Y607" s="297">
        <f>SUM($R607:$S607)-(SUM($R607:$S607)*(VLOOKUP($B607,Lifetime_morbidity_array!$A$6:$Y$24,3)+VLOOKUP($B607,Lifetime_morbidity_array!$A$6:$Y$24,6)+VLOOKUP($B607,Lifetime_morbidity_array!$A$6:$Y$24,9)+VLOOKUP($B607,Lifetime_morbidity_array!$A$6:$Y$24,12)))</f>
        <v>227.12351206172576</v>
      </c>
      <c r="Z607" s="297">
        <f>(SUM($P607:$Q607)*VLOOKUP($B607,Lifetime_morbidity_array!$A$6:$Y$24,4))+(SUM($R607:$S607)*VLOOKUP($B607,Lifetime_morbidity_array!$A$6:$Y$24,3))</f>
        <v>222.45714416206266</v>
      </c>
      <c r="AA607" s="297">
        <f>(SUM($P607:$Q607)*VLOOKUP($B607,Lifetime_morbidity_array!$A$6:$Y$24,7))+(SUM($R607:$S607)*VLOOKUP($B607,Lifetime_morbidity_array!$A$6:$Y$24,6))</f>
        <v>196.39169354233334</v>
      </c>
      <c r="AB607" s="297">
        <f>(SUM($P607:$Q607)*VLOOKUP($B607,Lifetime_morbidity_array!$A$6:$Y$24,10))+(SUM($R607:$S607)*VLOOKUP($B607,Lifetime_morbidity_array!$A$6:$Y$24,9))</f>
        <v>7.2172232844952369</v>
      </c>
      <c r="AC607" s="297">
        <f>(SUM($P607:$Q607)*VLOOKUP($B607,Lifetime_morbidity_array!$A$6:$Y$24,13))+(SUM($R607:$S607)*VLOOKUP($B607,Lifetime_morbidity_array!$A$6:$Y$24,12))</f>
        <v>110.19245631969449</v>
      </c>
      <c r="AD607" s="294"/>
      <c r="AE607" s="294">
        <f t="shared" si="25"/>
        <v>79</v>
      </c>
      <c r="AF607" s="297">
        <f t="shared" si="26"/>
        <v>132.32350489527283</v>
      </c>
      <c r="AG607" s="297">
        <f t="shared" si="27"/>
        <v>23784.657939816308</v>
      </c>
      <c r="AH607" s="294"/>
      <c r="AI607" s="294">
        <f t="shared" si="28"/>
        <v>79</v>
      </c>
      <c r="AJ607" s="295">
        <f>((VLOOKUP($B607,'Mahawesran Tariff'!$A$21:$M$120,7)*$X607)+(VLOOKUP($B607,'Mahawesran Tariff'!$A$21:$M$120,6)*$Y607)+(DET_UTIL_chd*$Z607)+(DET_UTIL_copd*$AA607)+(DET_UTIL_lc*$AB607)+(DET_UTIL_stroke*$AC607))/((1+Discount_rate_QALYs)^$A607)</f>
        <v>103.56068878192676</v>
      </c>
      <c r="AK607" s="295">
        <f t="shared" si="29"/>
        <v>22017.548151371047</v>
      </c>
      <c r="AL607" s="294"/>
      <c r="AM607" s="294">
        <f t="shared" si="14"/>
        <v>79</v>
      </c>
      <c r="AN607" s="299">
        <f t="shared" si="33"/>
        <v>507726.10588222148</v>
      </c>
      <c r="AO607" s="299">
        <f t="shared" si="30"/>
        <v>16055287.593278963</v>
      </c>
      <c r="AP607" s="294"/>
      <c r="AQ607" s="294">
        <f t="shared" si="16"/>
        <v>79</v>
      </c>
      <c r="AR607" s="298">
        <f t="shared" si="32"/>
        <v>0.79165358879661685</v>
      </c>
      <c r="AS607" s="298">
        <f t="shared" si="7"/>
        <v>0.20834641120338315</v>
      </c>
      <c r="AT607" s="298">
        <f t="shared" si="8"/>
        <v>0.53625851730858576</v>
      </c>
      <c r="AU607" s="250"/>
      <c r="AV607" s="294">
        <f t="shared" si="17"/>
        <v>79</v>
      </c>
      <c r="AW607" s="299">
        <f t="shared" si="34"/>
        <v>507726.10588222148</v>
      </c>
      <c r="AX607" s="299">
        <f t="shared" si="31"/>
        <v>16052247.593278963</v>
      </c>
      <c r="AY607" s="335"/>
      <c r="AZ607" s="335"/>
      <c r="BA607" s="335"/>
      <c r="BB607" s="335"/>
      <c r="BC607" s="335"/>
      <c r="BD607" s="335"/>
      <c r="BE607" s="335"/>
      <c r="BF607" s="335"/>
      <c r="BG607" s="335"/>
      <c r="BH607" s="335"/>
      <c r="BI607" s="335"/>
      <c r="BJ607" s="335"/>
      <c r="BK607" s="364"/>
      <c r="BL607" s="364"/>
      <c r="BM607" s="364"/>
      <c r="BN607" s="364"/>
      <c r="BO607" s="364"/>
      <c r="BP607" s="364"/>
      <c r="BQ607" s="335"/>
      <c r="BR607" s="335"/>
      <c r="BS607" s="364"/>
      <c r="BT607" s="364"/>
      <c r="BU607" s="364"/>
      <c r="BV607" s="364"/>
      <c r="BW607" s="364"/>
      <c r="BX607" s="364"/>
      <c r="BY607" s="335"/>
      <c r="BZ607" s="335"/>
      <c r="CA607" s="364"/>
      <c r="CB607" s="364"/>
      <c r="CC607" s="335"/>
      <c r="CD607" s="335"/>
      <c r="CE607" s="335"/>
      <c r="CF607" s="335"/>
      <c r="CG607" s="335"/>
      <c r="CH607" s="335"/>
      <c r="CI607" s="365"/>
      <c r="CJ607" s="365"/>
      <c r="CK607" s="335"/>
      <c r="CL607" s="335"/>
      <c r="CM607" s="366"/>
      <c r="CN607" s="366"/>
      <c r="CO607" s="366"/>
      <c r="CP607" s="3"/>
    </row>
    <row r="608" spans="1:94" x14ac:dyDescent="0.25">
      <c r="A608" s="34">
        <v>53</v>
      </c>
      <c r="B608" s="33">
        <f t="shared" si="19"/>
        <v>80</v>
      </c>
      <c r="C608" s="294">
        <f>VLOOKUP($B608,'Mother mortality'!$A$23:$I$124,5)</f>
        <v>2.2115391589557606E-2</v>
      </c>
      <c r="D608" s="295">
        <f t="shared" si="1"/>
        <v>0.27</v>
      </c>
      <c r="E608" s="295">
        <f t="shared" si="9"/>
        <v>0.70788460841044243</v>
      </c>
      <c r="F608" s="295">
        <f>VLOOKUP($B608,'Mother mortality'!$A$23:$I$124,5)</f>
        <v>2.2115391589557606E-2</v>
      </c>
      <c r="G608" s="295">
        <f t="shared" si="2"/>
        <v>0.14000000000000001</v>
      </c>
      <c r="H608" s="295">
        <f t="shared" si="10"/>
        <v>0.83788460841044243</v>
      </c>
      <c r="I608" s="295">
        <f>VLOOKUP($B608,'Mother mortality'!$A$23:$I$124,4)</f>
        <v>1.6127544998800029E-2</v>
      </c>
      <c r="J608" s="295">
        <f t="shared" si="11"/>
        <v>0.41244388357262862</v>
      </c>
      <c r="K608" s="295">
        <f t="shared" si="3"/>
        <v>0.5714285714285714</v>
      </c>
      <c r="L608" s="295">
        <f>VLOOKUP($B608,'Mother mortality'!$A$23:$I$124,4)</f>
        <v>1.6127544998800029E-2</v>
      </c>
      <c r="M608" s="295">
        <f t="shared" si="4"/>
        <v>8.6261668788331098E-3</v>
      </c>
      <c r="N608" s="295">
        <f t="shared" si="12"/>
        <v>0.97524628812236691</v>
      </c>
      <c r="O608" s="294"/>
      <c r="P608" s="296">
        <f t="shared" si="20"/>
        <v>289.10823867394407</v>
      </c>
      <c r="Q608" s="297">
        <f t="shared" si="21"/>
        <v>80.563511146439964</v>
      </c>
      <c r="R608" s="297">
        <f t="shared" si="22"/>
        <v>11.616776362334619</v>
      </c>
      <c r="S608" s="297">
        <f t="shared" si="23"/>
        <v>395.31410647370632</v>
      </c>
      <c r="T608" s="297">
        <f t="shared" si="24"/>
        <v>223.39736734357504</v>
      </c>
      <c r="U608" s="294">
        <f t="shared" si="13"/>
        <v>1000</v>
      </c>
      <c r="V608" s="295" t="str">
        <f t="shared" si="5"/>
        <v>OKAY</v>
      </c>
      <c r="W608" s="295"/>
      <c r="X608" s="296">
        <f>SUM($P608:$Q608)-(SUM($P608:$Q608)*(VLOOKUP($B608,Lifetime_morbidity_array!$A$6:$Y$24,4)+VLOOKUP($B608,Lifetime_morbidity_array!$A$6:$Y$24,7)+VLOOKUP($B608,Lifetime_morbidity_array!$A$6:$Y$24,10)+VLOOKUP($B608,Lifetime_morbidity_array!$A$6:$Y$24,13)))</f>
        <v>28.154222126163063</v>
      </c>
      <c r="Y608" s="297">
        <f>SUM($R608:$S608)-(SUM($R608:$S608)*(VLOOKUP($B608,Lifetime_morbidity_array!$A$6:$Y$24,3)+VLOOKUP($B608,Lifetime_morbidity_array!$A$6:$Y$24,6)+VLOOKUP($B608,Lifetime_morbidity_array!$A$6:$Y$24,9)+VLOOKUP($B608,Lifetime_morbidity_array!$A$6:$Y$24,12)))</f>
        <v>225.53831635057793</v>
      </c>
      <c r="Z608" s="297">
        <f>(SUM($P608:$Q608)*VLOOKUP($B608,Lifetime_morbidity_array!$A$6:$Y$24,4))+(SUM($R608:$S608)*VLOOKUP($B608,Lifetime_morbidity_array!$A$6:$Y$24,3))</f>
        <v>217.18255451689697</v>
      </c>
      <c r="AA608" s="297">
        <f>(SUM($P608:$Q608)*VLOOKUP($B608,Lifetime_morbidity_array!$A$6:$Y$24,7))+(SUM($R608:$S608)*VLOOKUP($B608,Lifetime_morbidity_array!$A$6:$Y$24,6))</f>
        <v>190.59064418044244</v>
      </c>
      <c r="AB608" s="297">
        <f>(SUM($P608:$Q608)*VLOOKUP($B608,Lifetime_morbidity_array!$A$6:$Y$24,10))+(SUM($R608:$S608)*VLOOKUP($B608,Lifetime_morbidity_array!$A$6:$Y$24,9))</f>
        <v>7.031817058062769</v>
      </c>
      <c r="AC608" s="297">
        <f>(SUM($P608:$Q608)*VLOOKUP($B608,Lifetime_morbidity_array!$A$6:$Y$24,13))+(SUM($R608:$S608)*VLOOKUP($B608,Lifetime_morbidity_array!$A$6:$Y$24,12))</f>
        <v>108.10507842428183</v>
      </c>
      <c r="AD608" s="294"/>
      <c r="AE608" s="294">
        <f t="shared" si="25"/>
        <v>80</v>
      </c>
      <c r="AF608" s="297">
        <f t="shared" si="26"/>
        <v>125.41812951708796</v>
      </c>
      <c r="AG608" s="297">
        <f t="shared" si="27"/>
        <v>23910.076069333398</v>
      </c>
      <c r="AH608" s="294"/>
      <c r="AI608" s="294">
        <f t="shared" si="28"/>
        <v>80</v>
      </c>
      <c r="AJ608" s="295">
        <f>((VLOOKUP($B608,'Mahawesran Tariff'!$A$21:$M$120,7)*$X608)+(VLOOKUP($B608,'Mahawesran Tariff'!$A$21:$M$120,6)*$Y608)+(DET_UTIL_chd*$Z608)+(DET_UTIL_copd*$AA608)+(DET_UTIL_lc*$AB608)+(DET_UTIL_stroke*$AC608))/((1+Discount_rate_QALYs)^$A608)</f>
        <v>98.242715576291275</v>
      </c>
      <c r="AK608" s="295">
        <f t="shared" si="29"/>
        <v>22115.79086694734</v>
      </c>
      <c r="AL608" s="294"/>
      <c r="AM608" s="294">
        <f t="shared" si="14"/>
        <v>80</v>
      </c>
      <c r="AN608" s="299">
        <f t="shared" si="33"/>
        <v>480590.44804711564</v>
      </c>
      <c r="AO608" s="299">
        <f t="shared" si="30"/>
        <v>16535878.04132608</v>
      </c>
      <c r="AP608" s="294"/>
      <c r="AQ608" s="294">
        <f t="shared" si="16"/>
        <v>80</v>
      </c>
      <c r="AR608" s="298">
        <f t="shared" si="32"/>
        <v>0.77660263265642493</v>
      </c>
      <c r="AS608" s="298">
        <f t="shared" si="7"/>
        <v>0.22339736734357504</v>
      </c>
      <c r="AT608" s="298">
        <f t="shared" si="8"/>
        <v>0.52291009417968393</v>
      </c>
      <c r="AU608" s="250"/>
      <c r="AV608" s="294">
        <f t="shared" si="17"/>
        <v>80</v>
      </c>
      <c r="AW608" s="299">
        <f t="shared" si="34"/>
        <v>480590.44804711564</v>
      </c>
      <c r="AX608" s="299">
        <f t="shared" si="31"/>
        <v>16532838.04132608</v>
      </c>
      <c r="AY608" s="335"/>
      <c r="AZ608" s="335"/>
      <c r="BA608" s="335"/>
      <c r="BB608" s="335"/>
      <c r="BC608" s="335"/>
      <c r="BD608" s="335"/>
      <c r="BE608" s="335"/>
      <c r="BF608" s="335"/>
      <c r="BG608" s="335"/>
      <c r="BH608" s="335"/>
      <c r="BI608" s="335"/>
      <c r="BJ608" s="335"/>
      <c r="BK608" s="364"/>
      <c r="BL608" s="364"/>
      <c r="BM608" s="364"/>
      <c r="BN608" s="364"/>
      <c r="BO608" s="364"/>
      <c r="BP608" s="364"/>
      <c r="BQ608" s="335"/>
      <c r="BR608" s="335"/>
      <c r="BS608" s="364"/>
      <c r="BT608" s="364"/>
      <c r="BU608" s="364"/>
      <c r="BV608" s="364"/>
      <c r="BW608" s="364"/>
      <c r="BX608" s="364"/>
      <c r="BY608" s="335"/>
      <c r="BZ608" s="335"/>
      <c r="CA608" s="364"/>
      <c r="CB608" s="364"/>
      <c r="CC608" s="335"/>
      <c r="CD608" s="335"/>
      <c r="CE608" s="335"/>
      <c r="CF608" s="335"/>
      <c r="CG608" s="335"/>
      <c r="CH608" s="335"/>
      <c r="CI608" s="365"/>
      <c r="CJ608" s="365"/>
      <c r="CK608" s="335"/>
      <c r="CL608" s="335"/>
      <c r="CM608" s="366"/>
      <c r="CN608" s="366"/>
      <c r="CO608" s="366"/>
      <c r="CP608" s="3"/>
    </row>
    <row r="609" spans="1:94" x14ac:dyDescent="0.25">
      <c r="A609" s="34">
        <v>54</v>
      </c>
      <c r="B609" s="33">
        <f t="shared" si="19"/>
        <v>81</v>
      </c>
      <c r="C609" s="294">
        <f>VLOOKUP($B609,'Mother mortality'!$A$23:$I$124,5)</f>
        <v>2.4461462361003702E-2</v>
      </c>
      <c r="D609" s="295">
        <f t="shared" si="1"/>
        <v>0.27</v>
      </c>
      <c r="E609" s="295">
        <f t="shared" si="9"/>
        <v>0.70553853763899632</v>
      </c>
      <c r="F609" s="295">
        <f>VLOOKUP($B609,'Mother mortality'!$A$23:$I$124,5)</f>
        <v>2.4461462361003702E-2</v>
      </c>
      <c r="G609" s="295">
        <f t="shared" si="2"/>
        <v>0.14000000000000001</v>
      </c>
      <c r="H609" s="295">
        <f t="shared" si="10"/>
        <v>0.83553853763899633</v>
      </c>
      <c r="I609" s="295">
        <f>VLOOKUP($B609,'Mother mortality'!$A$23:$I$124,4)</f>
        <v>1.7838406042505531E-2</v>
      </c>
      <c r="J609" s="295">
        <f t="shared" si="11"/>
        <v>0.41073302252892308</v>
      </c>
      <c r="K609" s="295">
        <f t="shared" si="3"/>
        <v>0.5714285714285714</v>
      </c>
      <c r="L609" s="295">
        <f>VLOOKUP($B609,'Mother mortality'!$A$23:$I$124,4)</f>
        <v>1.7838406042505531E-2</v>
      </c>
      <c r="M609" s="295">
        <f t="shared" si="4"/>
        <v>8.6261668788331098E-3</v>
      </c>
      <c r="N609" s="295">
        <f t="shared" si="12"/>
        <v>0.97353542707866136</v>
      </c>
      <c r="O609" s="294"/>
      <c r="P609" s="296">
        <f t="shared" si="20"/>
        <v>279.47236134310305</v>
      </c>
      <c r="Q609" s="297">
        <f t="shared" si="21"/>
        <v>78.059224441964901</v>
      </c>
      <c r="R609" s="297">
        <f t="shared" si="22"/>
        <v>11.278891560501597</v>
      </c>
      <c r="S609" s="297">
        <f t="shared" si="23"/>
        <v>391.49044539743318</v>
      </c>
      <c r="T609" s="297">
        <f t="shared" si="24"/>
        <v>239.69907725699727</v>
      </c>
      <c r="U609" s="294">
        <f t="shared" si="13"/>
        <v>1000</v>
      </c>
      <c r="V609" s="295" t="str">
        <f t="shared" si="5"/>
        <v>OKAY</v>
      </c>
      <c r="W609" s="295"/>
      <c r="X609" s="296">
        <f>SUM($P609:$Q609)-(SUM($P609:$Q609)*(VLOOKUP($B609,Lifetime_morbidity_array!$A$6:$Y$24,4)+VLOOKUP($B609,Lifetime_morbidity_array!$A$6:$Y$24,7)+VLOOKUP($B609,Lifetime_morbidity_array!$A$6:$Y$24,10)+VLOOKUP($B609,Lifetime_morbidity_array!$A$6:$Y$24,13)))</f>
        <v>27.229626521915691</v>
      </c>
      <c r="Y609" s="297">
        <f>SUM($R609:$S609)-(SUM($R609:$S609)*(VLOOKUP($B609,Lifetime_morbidity_array!$A$6:$Y$24,3)+VLOOKUP($B609,Lifetime_morbidity_array!$A$6:$Y$24,6)+VLOOKUP($B609,Lifetime_morbidity_array!$A$6:$Y$24,9)+VLOOKUP($B609,Lifetime_morbidity_array!$A$6:$Y$24,12)))</f>
        <v>223.23181151068374</v>
      </c>
      <c r="Z609" s="297">
        <f>(SUM($P609:$Q609)*VLOOKUP($B609,Lifetime_morbidity_array!$A$6:$Y$24,4))+(SUM($R609:$S609)*VLOOKUP($B609,Lifetime_morbidity_array!$A$6:$Y$24,3))</f>
        <v>211.93232635773023</v>
      </c>
      <c r="AA609" s="297">
        <f>(SUM($P609:$Q609)*VLOOKUP($B609,Lifetime_morbidity_array!$A$6:$Y$24,7))+(SUM($R609:$S609)*VLOOKUP($B609,Lifetime_morbidity_array!$A$6:$Y$24,6))</f>
        <v>185.49737129423556</v>
      </c>
      <c r="AB609" s="297">
        <f>(SUM($P609:$Q609)*VLOOKUP($B609,Lifetime_morbidity_array!$A$6:$Y$24,10))+(SUM($R609:$S609)*VLOOKUP($B609,Lifetime_morbidity_array!$A$6:$Y$24,9))</f>
        <v>6.8379877823164872</v>
      </c>
      <c r="AC609" s="297">
        <f>(SUM($P609:$Q609)*VLOOKUP($B609,Lifetime_morbidity_array!$A$6:$Y$24,13))+(SUM($R609:$S609)*VLOOKUP($B609,Lifetime_morbidity_array!$A$6:$Y$24,12))</f>
        <v>105.57179927612097</v>
      </c>
      <c r="AD609" s="294"/>
      <c r="AE609" s="294">
        <f t="shared" si="25"/>
        <v>81</v>
      </c>
      <c r="AF609" s="297">
        <f t="shared" si="26"/>
        <v>118.63330477902034</v>
      </c>
      <c r="AG609" s="297">
        <f t="shared" si="27"/>
        <v>24028.709374112419</v>
      </c>
      <c r="AH609" s="294"/>
      <c r="AI609" s="294">
        <f t="shared" si="28"/>
        <v>81</v>
      </c>
      <c r="AJ609" s="295">
        <f>((VLOOKUP($B609,'Mahawesran Tariff'!$A$21:$M$120,7)*$X609)+(VLOOKUP($B609,'Mahawesran Tariff'!$A$21:$M$120,6)*$Y609)+(DET_UTIL_chd*$Z609)+(DET_UTIL_copd*$AA609)+(DET_UTIL_lc*$AB609)+(DET_UTIL_stroke*$AC609))/((1+Discount_rate_QALYs)^$A609)</f>
        <v>92.985604803136113</v>
      </c>
      <c r="AK609" s="295">
        <f t="shared" si="29"/>
        <v>22208.776471750476</v>
      </c>
      <c r="AL609" s="294"/>
      <c r="AM609" s="294">
        <f t="shared" si="14"/>
        <v>81</v>
      </c>
      <c r="AN609" s="299">
        <f t="shared" si="33"/>
        <v>453285.51179151371</v>
      </c>
      <c r="AO609" s="299">
        <f t="shared" si="30"/>
        <v>16989163.553117592</v>
      </c>
      <c r="AP609" s="294"/>
      <c r="AQ609" s="294">
        <f t="shared" si="16"/>
        <v>81</v>
      </c>
      <c r="AR609" s="298">
        <f t="shared" si="32"/>
        <v>0.76030092274300276</v>
      </c>
      <c r="AS609" s="298">
        <f t="shared" si="7"/>
        <v>0.23969907725699727</v>
      </c>
      <c r="AT609" s="298">
        <f t="shared" si="8"/>
        <v>0.50983948471040319</v>
      </c>
      <c r="AU609" s="250"/>
      <c r="AV609" s="294">
        <f t="shared" si="17"/>
        <v>81</v>
      </c>
      <c r="AW609" s="299">
        <f t="shared" si="34"/>
        <v>453285.51179151371</v>
      </c>
      <c r="AX609" s="299">
        <f t="shared" si="31"/>
        <v>16986123.553117592</v>
      </c>
      <c r="AY609" s="335"/>
      <c r="AZ609" s="335"/>
      <c r="BA609" s="335"/>
      <c r="BB609" s="335"/>
      <c r="BC609" s="335"/>
      <c r="BD609" s="335"/>
      <c r="BE609" s="335"/>
      <c r="BF609" s="335"/>
      <c r="BG609" s="335"/>
      <c r="BH609" s="335"/>
      <c r="BI609" s="335"/>
      <c r="BJ609" s="335"/>
      <c r="BK609" s="364"/>
      <c r="BL609" s="364"/>
      <c r="BM609" s="364"/>
      <c r="BN609" s="364"/>
      <c r="BO609" s="364"/>
      <c r="BP609" s="364"/>
      <c r="BQ609" s="335"/>
      <c r="BR609" s="335"/>
      <c r="BS609" s="364"/>
      <c r="BT609" s="364"/>
      <c r="BU609" s="364"/>
      <c r="BV609" s="364"/>
      <c r="BW609" s="364"/>
      <c r="BX609" s="364"/>
      <c r="BY609" s="335"/>
      <c r="BZ609" s="335"/>
      <c r="CA609" s="364"/>
      <c r="CB609" s="364"/>
      <c r="CC609" s="335"/>
      <c r="CD609" s="335"/>
      <c r="CE609" s="335"/>
      <c r="CF609" s="335"/>
      <c r="CG609" s="335"/>
      <c r="CH609" s="335"/>
      <c r="CI609" s="365"/>
      <c r="CJ609" s="365"/>
      <c r="CK609" s="335"/>
      <c r="CL609" s="335"/>
      <c r="CM609" s="366"/>
      <c r="CN609" s="366"/>
      <c r="CO609" s="366"/>
      <c r="CP609" s="3"/>
    </row>
    <row r="610" spans="1:94" x14ac:dyDescent="0.25">
      <c r="A610" s="34">
        <v>55</v>
      </c>
      <c r="B610" s="33">
        <f t="shared" si="19"/>
        <v>82</v>
      </c>
      <c r="C610" s="294">
        <f>VLOOKUP($B610,'Mother mortality'!$A$23:$I$124,5)</f>
        <v>2.7081429828537902E-2</v>
      </c>
      <c r="D610" s="295">
        <f t="shared" si="1"/>
        <v>0.27</v>
      </c>
      <c r="E610" s="295">
        <f t="shared" si="9"/>
        <v>0.70291857017146209</v>
      </c>
      <c r="F610" s="295">
        <f>VLOOKUP($B610,'Mother mortality'!$A$23:$I$124,5)</f>
        <v>2.7081429828537902E-2</v>
      </c>
      <c r="G610" s="295">
        <f t="shared" si="2"/>
        <v>0.14000000000000001</v>
      </c>
      <c r="H610" s="295">
        <f t="shared" si="10"/>
        <v>0.83291857017146209</v>
      </c>
      <c r="I610" s="295">
        <f>VLOOKUP($B610,'Mother mortality'!$A$23:$I$124,4)</f>
        <v>1.9749004959867734E-2</v>
      </c>
      <c r="J610" s="295">
        <f t="shared" si="11"/>
        <v>0.40882242361156085</v>
      </c>
      <c r="K610" s="295">
        <f t="shared" si="3"/>
        <v>0.5714285714285714</v>
      </c>
      <c r="L610" s="295">
        <f>VLOOKUP($B610,'Mother mortality'!$A$23:$I$124,4)</f>
        <v>1.9749004959867734E-2</v>
      </c>
      <c r="M610" s="295">
        <f t="shared" si="4"/>
        <v>8.6261668788331098E-3</v>
      </c>
      <c r="N610" s="295">
        <f t="shared" si="12"/>
        <v>0.97162482816129914</v>
      </c>
      <c r="O610" s="294"/>
      <c r="P610" s="296">
        <f t="shared" si="20"/>
        <v>269.45141594551404</v>
      </c>
      <c r="Q610" s="297">
        <f t="shared" si="21"/>
        <v>75.457537562637825</v>
      </c>
      <c r="R610" s="297">
        <f t="shared" si="22"/>
        <v>10.928291421875088</v>
      </c>
      <c r="S610" s="297">
        <f t="shared" si="23"/>
        <v>386.82691762778666</v>
      </c>
      <c r="T610" s="297">
        <f t="shared" si="24"/>
        <v>257.33583744218635</v>
      </c>
      <c r="U610" s="294">
        <f t="shared" si="13"/>
        <v>1000</v>
      </c>
      <c r="V610" s="295" t="str">
        <f t="shared" si="5"/>
        <v>OKAY</v>
      </c>
      <c r="W610" s="295"/>
      <c r="X610" s="296">
        <f>SUM($P610:$Q610)-(SUM($P610:$Q610)*(VLOOKUP($B610,Lifetime_morbidity_array!$A$6:$Y$24,4)+VLOOKUP($B610,Lifetime_morbidity_array!$A$6:$Y$24,7)+VLOOKUP($B610,Lifetime_morbidity_array!$A$6:$Y$24,10)+VLOOKUP($B610,Lifetime_morbidity_array!$A$6:$Y$24,13)))</f>
        <v>26.268286108119298</v>
      </c>
      <c r="Y610" s="297">
        <f>SUM($R610:$S610)-(SUM($R610:$S610)*(VLOOKUP($B610,Lifetime_morbidity_array!$A$6:$Y$24,3)+VLOOKUP($B610,Lifetime_morbidity_array!$A$6:$Y$24,6)+VLOOKUP($B610,Lifetime_morbidity_array!$A$6:$Y$24,9)+VLOOKUP($B610,Lifetime_morbidity_array!$A$6:$Y$24,12)))</f>
        <v>220.45276962888585</v>
      </c>
      <c r="Z610" s="297">
        <f>(SUM($P610:$Q610)*VLOOKUP($B610,Lifetime_morbidity_array!$A$6:$Y$24,4))+(SUM($R610:$S610)*VLOOKUP($B610,Lifetime_morbidity_array!$A$6:$Y$24,3))</f>
        <v>206.33289403850048</v>
      </c>
      <c r="AA610" s="297">
        <f>(SUM($P610:$Q610)*VLOOKUP($B610,Lifetime_morbidity_array!$A$6:$Y$24,7))+(SUM($R610:$S610)*VLOOKUP($B610,Lifetime_morbidity_array!$A$6:$Y$24,6))</f>
        <v>180.1146256397376</v>
      </c>
      <c r="AB610" s="297">
        <f>(SUM($P610:$Q610)*VLOOKUP($B610,Lifetime_morbidity_array!$A$6:$Y$24,10))+(SUM($R610:$S610)*VLOOKUP($B610,Lifetime_morbidity_array!$A$6:$Y$24,9))</f>
        <v>6.6336850432349452</v>
      </c>
      <c r="AC610" s="297">
        <f>(SUM($P610:$Q610)*VLOOKUP($B610,Lifetime_morbidity_array!$A$6:$Y$24,13))+(SUM($R610:$S610)*VLOOKUP($B610,Lifetime_morbidity_array!$A$6:$Y$24,12))</f>
        <v>102.8619020993354</v>
      </c>
      <c r="AD610" s="294"/>
      <c r="AE610" s="294">
        <f t="shared" si="25"/>
        <v>82</v>
      </c>
      <c r="AF610" s="297">
        <f t="shared" si="26"/>
        <v>111.96266540663025</v>
      </c>
      <c r="AG610" s="297">
        <f t="shared" si="27"/>
        <v>24140.67203951905</v>
      </c>
      <c r="AH610" s="294"/>
      <c r="AI610" s="294">
        <f t="shared" si="28"/>
        <v>82</v>
      </c>
      <c r="AJ610" s="295">
        <f>((VLOOKUP($B610,'Mahawesran Tariff'!$A$21:$M$120,7)*$X610)+(VLOOKUP($B610,'Mahawesran Tariff'!$A$21:$M$120,6)*$Y610)+(DET_UTIL_chd*$Z610)+(DET_UTIL_copd*$AA610)+(DET_UTIL_lc*$AB610)+(DET_UTIL_stroke*$AC610))/((1+Discount_rate_QALYs)^$A610)</f>
        <v>87.812099175556938</v>
      </c>
      <c r="AK610" s="295">
        <f t="shared" si="29"/>
        <v>22296.588570926033</v>
      </c>
      <c r="AL610" s="294"/>
      <c r="AM610" s="294">
        <f t="shared" si="14"/>
        <v>82</v>
      </c>
      <c r="AN610" s="299">
        <f t="shared" si="33"/>
        <v>426550.54761620454</v>
      </c>
      <c r="AO610" s="299">
        <f t="shared" si="30"/>
        <v>17415714.100733798</v>
      </c>
      <c r="AP610" s="294"/>
      <c r="AQ610" s="294">
        <f t="shared" si="16"/>
        <v>82</v>
      </c>
      <c r="AR610" s="298">
        <f t="shared" si="32"/>
        <v>0.74266416255781365</v>
      </c>
      <c r="AS610" s="298">
        <f t="shared" si="7"/>
        <v>0.25733583744218635</v>
      </c>
      <c r="AT610" s="298">
        <f t="shared" si="8"/>
        <v>0.49594310682080844</v>
      </c>
      <c r="AU610" s="250"/>
      <c r="AV610" s="294">
        <f t="shared" si="17"/>
        <v>82</v>
      </c>
      <c r="AW610" s="299">
        <f t="shared" si="34"/>
        <v>426550.54761620454</v>
      </c>
      <c r="AX610" s="299">
        <f t="shared" si="31"/>
        <v>17412674.100733798</v>
      </c>
      <c r="AY610" s="335"/>
      <c r="AZ610" s="335"/>
      <c r="BA610" s="335"/>
      <c r="BB610" s="335"/>
      <c r="BC610" s="335"/>
      <c r="BD610" s="335"/>
      <c r="BE610" s="335"/>
      <c r="BF610" s="335"/>
      <c r="BG610" s="335"/>
      <c r="BH610" s="335"/>
      <c r="BI610" s="335"/>
      <c r="BJ610" s="335"/>
      <c r="BK610" s="364"/>
      <c r="BL610" s="364"/>
      <c r="BM610" s="364"/>
      <c r="BN610" s="364"/>
      <c r="BO610" s="364"/>
      <c r="BP610" s="364"/>
      <c r="BQ610" s="335"/>
      <c r="BR610" s="335"/>
      <c r="BS610" s="364"/>
      <c r="BT610" s="364"/>
      <c r="BU610" s="364"/>
      <c r="BV610" s="364"/>
      <c r="BW610" s="364"/>
      <c r="BX610" s="364"/>
      <c r="BY610" s="335"/>
      <c r="BZ610" s="335"/>
      <c r="CA610" s="364"/>
      <c r="CB610" s="364"/>
      <c r="CC610" s="335"/>
      <c r="CD610" s="335"/>
      <c r="CE610" s="335"/>
      <c r="CF610" s="335"/>
      <c r="CG610" s="335"/>
      <c r="CH610" s="335"/>
      <c r="CI610" s="365"/>
      <c r="CJ610" s="365"/>
      <c r="CK610" s="335"/>
      <c r="CL610" s="335"/>
      <c r="CM610" s="366"/>
      <c r="CN610" s="366"/>
      <c r="CO610" s="366"/>
      <c r="CP610" s="3"/>
    </row>
    <row r="611" spans="1:94" x14ac:dyDescent="0.25">
      <c r="A611" s="34">
        <v>56</v>
      </c>
      <c r="B611" s="33">
        <f t="shared" si="19"/>
        <v>83</v>
      </c>
      <c r="C611" s="294">
        <f>VLOOKUP($B611,'Mother mortality'!$A$23:$I$124,5)</f>
        <v>2.9997482733793764E-2</v>
      </c>
      <c r="D611" s="295">
        <f t="shared" si="1"/>
        <v>0.27</v>
      </c>
      <c r="E611" s="295">
        <f t="shared" si="9"/>
        <v>0.70000251726620621</v>
      </c>
      <c r="F611" s="295">
        <f>VLOOKUP($B611,'Mother mortality'!$A$23:$I$124,5)</f>
        <v>2.9997482733793764E-2</v>
      </c>
      <c r="G611" s="295">
        <f t="shared" si="2"/>
        <v>0.14000000000000001</v>
      </c>
      <c r="H611" s="295">
        <f t="shared" si="10"/>
        <v>0.83000251726620622</v>
      </c>
      <c r="I611" s="295">
        <f>VLOOKUP($B611,'Mother mortality'!$A$23:$I$124,4)</f>
        <v>2.1875522786059039E-2</v>
      </c>
      <c r="J611" s="295">
        <f t="shared" si="11"/>
        <v>0.40669590578536952</v>
      </c>
      <c r="K611" s="295">
        <f t="shared" si="3"/>
        <v>0.5714285714285714</v>
      </c>
      <c r="L611" s="295">
        <f>VLOOKUP($B611,'Mother mortality'!$A$23:$I$124,4)</f>
        <v>2.1875522786059039E-2</v>
      </c>
      <c r="M611" s="295">
        <f t="shared" si="4"/>
        <v>8.6261668788331098E-3</v>
      </c>
      <c r="N611" s="295">
        <f t="shared" si="12"/>
        <v>0.9694983103351078</v>
      </c>
      <c r="O611" s="294"/>
      <c r="P611" s="296">
        <f t="shared" si="20"/>
        <v>259.02794048969002</v>
      </c>
      <c r="Q611" s="297">
        <f t="shared" si="21"/>
        <v>72.751882305288802</v>
      </c>
      <c r="R611" s="297">
        <f t="shared" si="22"/>
        <v>10.564055258769297</v>
      </c>
      <c r="S611" s="297">
        <f t="shared" si="23"/>
        <v>381.27278098763429</v>
      </c>
      <c r="T611" s="297">
        <f t="shared" si="24"/>
        <v>276.38334095861751</v>
      </c>
      <c r="U611" s="294">
        <f t="shared" si="13"/>
        <v>1000</v>
      </c>
      <c r="V611" s="295" t="str">
        <f t="shared" si="5"/>
        <v>OKAY</v>
      </c>
      <c r="W611" s="295"/>
      <c r="X611" s="296">
        <f>SUM($P611:$Q611)-(SUM($P611:$Q611)*(VLOOKUP($B611,Lifetime_morbidity_array!$A$6:$Y$24,4)+VLOOKUP($B611,Lifetime_morbidity_array!$A$6:$Y$24,7)+VLOOKUP($B611,Lifetime_morbidity_array!$A$6:$Y$24,10)+VLOOKUP($B611,Lifetime_morbidity_array!$A$6:$Y$24,13)))</f>
        <v>25.268370743740775</v>
      </c>
      <c r="Y611" s="297">
        <f>SUM($R611:$S611)-(SUM($R611:$S611)*(VLOOKUP($B611,Lifetime_morbidity_array!$A$6:$Y$24,3)+VLOOKUP($B611,Lifetime_morbidity_array!$A$6:$Y$24,6)+VLOOKUP($B611,Lifetime_morbidity_array!$A$6:$Y$24,9)+VLOOKUP($B611,Lifetime_morbidity_array!$A$6:$Y$24,12)))</f>
        <v>217.17255695915904</v>
      </c>
      <c r="Z611" s="297">
        <f>(SUM($P611:$Q611)*VLOOKUP($B611,Lifetime_morbidity_array!$A$6:$Y$24,4))+(SUM($R611:$S611)*VLOOKUP($B611,Lifetime_morbidity_array!$A$6:$Y$24,3))</f>
        <v>200.36498345273122</v>
      </c>
      <c r="AA611" s="297">
        <f>(SUM($P611:$Q611)*VLOOKUP($B611,Lifetime_morbidity_array!$A$6:$Y$24,7))+(SUM($R611:$S611)*VLOOKUP($B611,Lifetime_morbidity_array!$A$6:$Y$24,6))</f>
        <v>174.42682418225581</v>
      </c>
      <c r="AB611" s="297">
        <f>(SUM($P611:$Q611)*VLOOKUP($B611,Lifetime_morbidity_array!$A$6:$Y$24,10))+(SUM($R611:$S611)*VLOOKUP($B611,Lifetime_morbidity_array!$A$6:$Y$24,9))</f>
        <v>6.4183501079390766</v>
      </c>
      <c r="AC611" s="297">
        <f>(SUM($P611:$Q611)*VLOOKUP($B611,Lifetime_morbidity_array!$A$6:$Y$24,13))+(SUM($R611:$S611)*VLOOKUP($B611,Lifetime_morbidity_array!$A$6:$Y$24,12))</f>
        <v>99.965573595556492</v>
      </c>
      <c r="AD611" s="294"/>
      <c r="AE611" s="294">
        <f t="shared" si="25"/>
        <v>83</v>
      </c>
      <c r="AF611" s="297">
        <f t="shared" si="26"/>
        <v>105.40202827635292</v>
      </c>
      <c r="AG611" s="297">
        <f t="shared" si="27"/>
        <v>24246.074067795402</v>
      </c>
      <c r="AH611" s="294"/>
      <c r="AI611" s="294">
        <f t="shared" si="28"/>
        <v>83</v>
      </c>
      <c r="AJ611" s="295">
        <f>((VLOOKUP($B611,'Mahawesran Tariff'!$A$21:$M$120,7)*$X611)+(VLOOKUP($B611,'Mahawesran Tariff'!$A$21:$M$120,6)*$Y611)+(DET_UTIL_chd*$Z611)+(DET_UTIL_copd*$AA611)+(DET_UTIL_lc*$AB611)+(DET_UTIL_stroke*$AC611))/((1+Discount_rate_QALYs)^$A611)</f>
        <v>82.719169449909373</v>
      </c>
      <c r="AK611" s="295">
        <f t="shared" si="29"/>
        <v>22379.307740375942</v>
      </c>
      <c r="AL611" s="294"/>
      <c r="AM611" s="294">
        <f t="shared" si="14"/>
        <v>83</v>
      </c>
      <c r="AN611" s="299">
        <f t="shared" si="33"/>
        <v>400363.91306819255</v>
      </c>
      <c r="AO611" s="299">
        <f t="shared" si="30"/>
        <v>17816078.013801992</v>
      </c>
      <c r="AP611" s="294"/>
      <c r="AQ611" s="294">
        <f t="shared" si="16"/>
        <v>83</v>
      </c>
      <c r="AR611" s="298">
        <f t="shared" si="32"/>
        <v>0.7236166590413825</v>
      </c>
      <c r="AS611" s="298">
        <f t="shared" si="7"/>
        <v>0.2763833409586175</v>
      </c>
      <c r="AT611" s="298">
        <f t="shared" si="8"/>
        <v>0.48117573133848257</v>
      </c>
      <c r="AU611" s="250"/>
      <c r="AV611" s="294">
        <f t="shared" si="17"/>
        <v>83</v>
      </c>
      <c r="AW611" s="299">
        <f t="shared" si="34"/>
        <v>400363.91306819255</v>
      </c>
      <c r="AX611" s="299">
        <f t="shared" si="31"/>
        <v>17813038.013801992</v>
      </c>
      <c r="AY611" s="335"/>
      <c r="AZ611" s="335"/>
      <c r="BA611" s="335"/>
      <c r="BB611" s="335"/>
      <c r="BC611" s="335"/>
      <c r="BD611" s="335"/>
      <c r="BE611" s="335"/>
      <c r="BF611" s="335"/>
      <c r="BG611" s="335"/>
      <c r="BH611" s="335"/>
      <c r="BI611" s="335"/>
      <c r="BJ611" s="335"/>
      <c r="BK611" s="364"/>
      <c r="BL611" s="364"/>
      <c r="BM611" s="364"/>
      <c r="BN611" s="364"/>
      <c r="BO611" s="364"/>
      <c r="BP611" s="364"/>
      <c r="BQ611" s="335"/>
      <c r="BR611" s="335"/>
      <c r="BS611" s="364"/>
      <c r="BT611" s="364"/>
      <c r="BU611" s="364"/>
      <c r="BV611" s="364"/>
      <c r="BW611" s="364"/>
      <c r="BX611" s="364"/>
      <c r="BY611" s="335"/>
      <c r="BZ611" s="335"/>
      <c r="CA611" s="364"/>
      <c r="CB611" s="364"/>
      <c r="CC611" s="335"/>
      <c r="CD611" s="335"/>
      <c r="CE611" s="335"/>
      <c r="CF611" s="335"/>
      <c r="CG611" s="335"/>
      <c r="CH611" s="335"/>
      <c r="CI611" s="365"/>
      <c r="CJ611" s="365"/>
      <c r="CK611" s="335"/>
      <c r="CL611" s="335"/>
      <c r="CM611" s="366"/>
      <c r="CN611" s="366"/>
      <c r="CO611" s="366"/>
      <c r="CP611" s="3"/>
    </row>
    <row r="612" spans="1:94" x14ac:dyDescent="0.25">
      <c r="A612" s="34">
        <v>57</v>
      </c>
      <c r="B612" s="33">
        <f t="shared" si="19"/>
        <v>84</v>
      </c>
      <c r="C612" s="294">
        <f>VLOOKUP($B612,'Mother mortality'!$A$23:$I$124,5)</f>
        <v>3.3260641049572007E-2</v>
      </c>
      <c r="D612" s="295">
        <f t="shared" si="1"/>
        <v>0.27</v>
      </c>
      <c r="E612" s="295">
        <f t="shared" si="9"/>
        <v>0.69673935895042793</v>
      </c>
      <c r="F612" s="295">
        <f>VLOOKUP($B612,'Mother mortality'!$A$23:$I$124,5)</f>
        <v>3.3260641049572007E-2</v>
      </c>
      <c r="G612" s="295">
        <f t="shared" si="2"/>
        <v>0.14000000000000001</v>
      </c>
      <c r="H612" s="295">
        <f t="shared" si="10"/>
        <v>0.82673935895042794</v>
      </c>
      <c r="I612" s="295">
        <f>VLOOKUP($B612,'Mother mortality'!$A$23:$I$124,4)</f>
        <v>2.4255165595584115E-2</v>
      </c>
      <c r="J612" s="295">
        <f t="shared" si="11"/>
        <v>0.40431626297584444</v>
      </c>
      <c r="K612" s="295">
        <f t="shared" si="3"/>
        <v>0.5714285714285714</v>
      </c>
      <c r="L612" s="295">
        <f>VLOOKUP($B612,'Mother mortality'!$A$23:$I$124,4)</f>
        <v>2.4255165595584115E-2</v>
      </c>
      <c r="M612" s="295">
        <f t="shared" si="4"/>
        <v>8.6261668788331098E-3</v>
      </c>
      <c r="N612" s="295">
        <f t="shared" si="12"/>
        <v>0.96711866752558273</v>
      </c>
      <c r="O612" s="294"/>
      <c r="P612" s="296">
        <f t="shared" si="20"/>
        <v>248.18194772579972</v>
      </c>
      <c r="Q612" s="297">
        <f t="shared" si="21"/>
        <v>69.937543932216315</v>
      </c>
      <c r="R612" s="297">
        <f t="shared" si="22"/>
        <v>10.185263522740433</v>
      </c>
      <c r="S612" s="297">
        <f t="shared" si="23"/>
        <v>374.77262691754527</v>
      </c>
      <c r="T612" s="297">
        <f t="shared" si="24"/>
        <v>296.92261790169817</v>
      </c>
      <c r="U612" s="294">
        <f t="shared" si="13"/>
        <v>1000</v>
      </c>
      <c r="V612" s="295" t="str">
        <f t="shared" si="5"/>
        <v>OKAY</v>
      </c>
      <c r="W612" s="295"/>
      <c r="X612" s="296">
        <f>SUM($P612:$Q612)-(SUM($P612:$Q612)*(VLOOKUP($B612,Lifetime_morbidity_array!$A$6:$Y$24,4)+VLOOKUP($B612,Lifetime_morbidity_array!$A$6:$Y$24,7)+VLOOKUP($B612,Lifetime_morbidity_array!$A$6:$Y$24,10)+VLOOKUP($B612,Lifetime_morbidity_array!$A$6:$Y$24,13)))</f>
        <v>24.227999123962263</v>
      </c>
      <c r="Y612" s="297">
        <f>SUM($R612:$S612)-(SUM($R612:$S612)*(VLOOKUP($B612,Lifetime_morbidity_array!$A$6:$Y$24,3)+VLOOKUP($B612,Lifetime_morbidity_array!$A$6:$Y$24,6)+VLOOKUP($B612,Lifetime_morbidity_array!$A$6:$Y$24,9)+VLOOKUP($B612,Lifetime_morbidity_array!$A$6:$Y$24,12)))</f>
        <v>213.35995408034583</v>
      </c>
      <c r="Z612" s="297">
        <f>(SUM($P612:$Q612)*VLOOKUP($B612,Lifetime_morbidity_array!$A$6:$Y$24,4))+(SUM($R612:$S612)*VLOOKUP($B612,Lifetime_morbidity_array!$A$6:$Y$24,3))</f>
        <v>194.0081228828858</v>
      </c>
      <c r="AA612" s="297">
        <f>(SUM($P612:$Q612)*VLOOKUP($B612,Lifetime_morbidity_array!$A$6:$Y$24,7))+(SUM($R612:$S612)*VLOOKUP($B612,Lifetime_morbidity_array!$A$6:$Y$24,6))</f>
        <v>168.41754019413051</v>
      </c>
      <c r="AB612" s="297">
        <f>(SUM($P612:$Q612)*VLOOKUP($B612,Lifetime_morbidity_array!$A$6:$Y$24,10))+(SUM($R612:$S612)*VLOOKUP($B612,Lifetime_morbidity_array!$A$6:$Y$24,9))</f>
        <v>6.1913956384101603</v>
      </c>
      <c r="AC612" s="297">
        <f>(SUM($P612:$Q612)*VLOOKUP($B612,Lifetime_morbidity_array!$A$6:$Y$24,13))+(SUM($R612:$S612)*VLOOKUP($B612,Lifetime_morbidity_array!$A$6:$Y$24,12))</f>
        <v>96.872370178567223</v>
      </c>
      <c r="AD612" s="294"/>
      <c r="AE612" s="294">
        <f t="shared" si="25"/>
        <v>84</v>
      </c>
      <c r="AF612" s="297">
        <f t="shared" si="26"/>
        <v>98.947127021035115</v>
      </c>
      <c r="AG612" s="297">
        <f t="shared" si="27"/>
        <v>24345.021194816436</v>
      </c>
      <c r="AH612" s="294"/>
      <c r="AI612" s="294">
        <f t="shared" si="28"/>
        <v>84</v>
      </c>
      <c r="AJ612" s="295">
        <f>((VLOOKUP($B612,'Mahawesran Tariff'!$A$21:$M$120,7)*$X612)+(VLOOKUP($B612,'Mahawesran Tariff'!$A$21:$M$120,6)*$Y612)+(DET_UTIL_chd*$Z612)+(DET_UTIL_copd*$AA612)+(DET_UTIL_lc*$AB612)+(DET_UTIL_stroke*$AC612))/((1+Discount_rate_QALYs)^$A612)</f>
        <v>77.703696694206556</v>
      </c>
      <c r="AK612" s="295">
        <f t="shared" si="29"/>
        <v>22457.011437070149</v>
      </c>
      <c r="AL612" s="294"/>
      <c r="AM612" s="294">
        <f t="shared" si="14"/>
        <v>84</v>
      </c>
      <c r="AN612" s="299">
        <f t="shared" si="33"/>
        <v>374704.20197260572</v>
      </c>
      <c r="AO612" s="299">
        <f t="shared" si="30"/>
        <v>18190782.215774599</v>
      </c>
      <c r="AP612" s="294"/>
      <c r="AQ612" s="294">
        <f t="shared" si="16"/>
        <v>84</v>
      </c>
      <c r="AR612" s="298">
        <f t="shared" si="32"/>
        <v>0.70307738209830173</v>
      </c>
      <c r="AS612" s="298">
        <f t="shared" si="7"/>
        <v>0.29692261790169816</v>
      </c>
      <c r="AT612" s="298">
        <f t="shared" si="8"/>
        <v>0.4654894288939937</v>
      </c>
      <c r="AU612" s="250"/>
      <c r="AV612" s="294">
        <f t="shared" si="17"/>
        <v>84</v>
      </c>
      <c r="AW612" s="299">
        <f t="shared" si="34"/>
        <v>374704.20197260572</v>
      </c>
      <c r="AX612" s="299">
        <f t="shared" si="31"/>
        <v>18187742.215774599</v>
      </c>
      <c r="AY612" s="335"/>
      <c r="AZ612" s="335"/>
      <c r="BA612" s="335"/>
      <c r="BB612" s="335"/>
      <c r="BC612" s="335"/>
      <c r="BD612" s="335"/>
      <c r="BE612" s="335"/>
      <c r="BF612" s="335"/>
      <c r="BG612" s="335"/>
      <c r="BH612" s="335"/>
      <c r="BI612" s="335"/>
      <c r="BJ612" s="335"/>
      <c r="BK612" s="364"/>
      <c r="BL612" s="364"/>
      <c r="BM612" s="364"/>
      <c r="BN612" s="364"/>
      <c r="BO612" s="364"/>
      <c r="BP612" s="364"/>
      <c r="BQ612" s="335"/>
      <c r="BR612" s="335"/>
      <c r="BS612" s="364"/>
      <c r="BT612" s="364"/>
      <c r="BU612" s="364"/>
      <c r="BV612" s="364"/>
      <c r="BW612" s="364"/>
      <c r="BX612" s="364"/>
      <c r="BY612" s="335"/>
      <c r="BZ612" s="335"/>
      <c r="CA612" s="364"/>
      <c r="CB612" s="364"/>
      <c r="CC612" s="335"/>
      <c r="CD612" s="335"/>
      <c r="CE612" s="335"/>
      <c r="CF612" s="335"/>
      <c r="CG612" s="335"/>
      <c r="CH612" s="335"/>
      <c r="CI612" s="365"/>
      <c r="CJ612" s="365"/>
      <c r="CK612" s="335"/>
      <c r="CL612" s="335"/>
      <c r="CM612" s="366"/>
      <c r="CN612" s="366"/>
      <c r="CO612" s="366"/>
      <c r="CP612" s="3"/>
    </row>
    <row r="613" spans="1:94" x14ac:dyDescent="0.25">
      <c r="A613" s="34">
        <v>58</v>
      </c>
      <c r="B613" s="33">
        <f t="shared" si="19"/>
        <v>85</v>
      </c>
      <c r="C613" s="294">
        <f>VLOOKUP($B613,'Mother mortality'!$A$23:$I$124,5)</f>
        <v>3.2106038034865295E-2</v>
      </c>
      <c r="D613" s="295">
        <f t="shared" si="1"/>
        <v>0.27</v>
      </c>
      <c r="E613" s="295">
        <f t="shared" si="9"/>
        <v>0.69789396196513465</v>
      </c>
      <c r="F613" s="295">
        <f>VLOOKUP($B613,'Mother mortality'!$A$23:$I$124,5)</f>
        <v>3.2106038034865295E-2</v>
      </c>
      <c r="G613" s="295">
        <f t="shared" si="2"/>
        <v>0.14000000000000001</v>
      </c>
      <c r="H613" s="295">
        <f t="shared" si="10"/>
        <v>0.82789396196513465</v>
      </c>
      <c r="I613" s="295">
        <f>VLOOKUP($B613,'Mother mortality'!$A$23:$I$124,4)</f>
        <v>2.6380681458003173E-2</v>
      </c>
      <c r="J613" s="295">
        <f t="shared" si="11"/>
        <v>0.4021907471134254</v>
      </c>
      <c r="K613" s="295">
        <f t="shared" si="3"/>
        <v>0.5714285714285714</v>
      </c>
      <c r="L613" s="295">
        <f>VLOOKUP($B613,'Mother mortality'!$A$23:$I$124,4)</f>
        <v>2.6380681458003173E-2</v>
      </c>
      <c r="M613" s="295">
        <f t="shared" si="4"/>
        <v>8.6261668788331098E-3</v>
      </c>
      <c r="N613" s="295">
        <f t="shared" si="12"/>
        <v>0.96499315166316368</v>
      </c>
      <c r="O613" s="294"/>
      <c r="P613" s="296">
        <f t="shared" si="20"/>
        <v>238.43482308990303</v>
      </c>
      <c r="Q613" s="297">
        <f t="shared" si="21"/>
        <v>67.009125885965929</v>
      </c>
      <c r="R613" s="297">
        <f t="shared" si="22"/>
        <v>9.7912561505102857</v>
      </c>
      <c r="S613" s="297">
        <f t="shared" si="23"/>
        <v>367.47316899066811</v>
      </c>
      <c r="T613" s="297">
        <f t="shared" si="24"/>
        <v>317.29162588295253</v>
      </c>
      <c r="U613" s="294">
        <f t="shared" si="13"/>
        <v>999.99999999999989</v>
      </c>
      <c r="V613" s="295" t="str">
        <f t="shared" si="5"/>
        <v>OKAY</v>
      </c>
      <c r="W613" s="295"/>
      <c r="X613" s="296">
        <f>SUM($P613:$Q613)-(SUM($P613:$Q613)*(VLOOKUP($B613,Lifetime_morbidity_array!$A$6:$Y$24,4)+VLOOKUP($B613,Lifetime_morbidity_array!$A$6:$Y$24,7)+VLOOKUP($B613,Lifetime_morbidity_array!$A$6:$Y$24,10)+VLOOKUP($B613,Lifetime_morbidity_array!$A$6:$Y$24,13)))</f>
        <v>48.426464239614802</v>
      </c>
      <c r="Y613" s="297">
        <f>SUM($R613:$S613)-(SUM($R613:$S613)*(VLOOKUP($B613,Lifetime_morbidity_array!$A$6:$Y$24,3)+VLOOKUP($B613,Lifetime_morbidity_array!$A$6:$Y$24,6)+VLOOKUP($B613,Lifetime_morbidity_array!$A$6:$Y$24,9)+VLOOKUP($B613,Lifetime_morbidity_array!$A$6:$Y$24,12)))</f>
        <v>219.56138847145505</v>
      </c>
      <c r="Z613" s="297">
        <f>(SUM($P613:$Q613)*VLOOKUP($B613,Lifetime_morbidity_array!$A$6:$Y$24,4))+(SUM($R613:$S613)*VLOOKUP($B613,Lifetime_morbidity_array!$A$6:$Y$24,3))</f>
        <v>187.94283095370088</v>
      </c>
      <c r="AA613" s="297">
        <f>(SUM($P613:$Q613)*VLOOKUP($B613,Lifetime_morbidity_array!$A$6:$Y$24,7))+(SUM($R613:$S613)*VLOOKUP($B613,Lifetime_morbidity_array!$A$6:$Y$24,6))</f>
        <v>127.00350496147203</v>
      </c>
      <c r="AB613" s="297">
        <f>(SUM($P613:$Q613)*VLOOKUP($B613,Lifetime_morbidity_array!$A$6:$Y$24,10))+(SUM($R613:$S613)*VLOOKUP($B613,Lifetime_morbidity_array!$A$6:$Y$24,9))</f>
        <v>5.9784232208555581</v>
      </c>
      <c r="AC613" s="297">
        <f>(SUM($P613:$Q613)*VLOOKUP($B613,Lifetime_morbidity_array!$A$6:$Y$24,13))+(SUM($R613:$S613)*VLOOKUP($B613,Lifetime_morbidity_array!$A$6:$Y$24,12))</f>
        <v>93.795762269949051</v>
      </c>
      <c r="AD613" s="294"/>
      <c r="AE613" s="294">
        <f t="shared" si="25"/>
        <v>85</v>
      </c>
      <c r="AF613" s="297">
        <f t="shared" si="26"/>
        <v>92.831408938571684</v>
      </c>
      <c r="AG613" s="297">
        <f t="shared" si="27"/>
        <v>24437.852603755007</v>
      </c>
      <c r="AH613" s="294"/>
      <c r="AI613" s="294">
        <f t="shared" si="28"/>
        <v>85</v>
      </c>
      <c r="AJ613" s="295">
        <f>((VLOOKUP($B613,'Mahawesran Tariff'!$A$21:$M$120,7)*$X613)+(VLOOKUP($B613,'Mahawesran Tariff'!$A$21:$M$120,6)*$Y613)+(DET_UTIL_chd*$Z613)+(DET_UTIL_copd*$AA613)+(DET_UTIL_lc*$AB613)+(DET_UTIL_stroke*$AC613))/((1+Discount_rate_QALYs)^$A613)</f>
        <v>73.712145643497095</v>
      </c>
      <c r="AK613" s="295">
        <f t="shared" si="29"/>
        <v>22530.723582713646</v>
      </c>
      <c r="AL613" s="294"/>
      <c r="AM613" s="294">
        <f t="shared" si="14"/>
        <v>85</v>
      </c>
      <c r="AN613" s="299">
        <f t="shared" si="33"/>
        <v>346400.70152724296</v>
      </c>
      <c r="AO613" s="299">
        <f t="shared" si="30"/>
        <v>18537182.917301841</v>
      </c>
      <c r="AP613" s="294"/>
      <c r="AQ613" s="294">
        <f t="shared" si="16"/>
        <v>85</v>
      </c>
      <c r="AR613" s="298">
        <f t="shared" si="32"/>
        <v>0.68270837411704732</v>
      </c>
      <c r="AS613" s="298">
        <f t="shared" si="7"/>
        <v>0.31729162588295251</v>
      </c>
      <c r="AT613" s="298">
        <f t="shared" si="8"/>
        <v>0.41472052140597748</v>
      </c>
      <c r="AU613" s="250"/>
      <c r="AV613" s="294">
        <f t="shared" si="17"/>
        <v>85</v>
      </c>
      <c r="AW613" s="299">
        <f t="shared" si="34"/>
        <v>346400.70152724296</v>
      </c>
      <c r="AX613" s="299">
        <f t="shared" si="31"/>
        <v>18534142.917301841</v>
      </c>
      <c r="AY613" s="335"/>
      <c r="AZ613" s="335"/>
      <c r="BA613" s="335"/>
      <c r="BB613" s="335"/>
      <c r="BC613" s="335"/>
      <c r="BD613" s="335"/>
      <c r="BE613" s="335"/>
      <c r="BF613" s="335"/>
      <c r="BG613" s="335"/>
      <c r="BH613" s="335"/>
      <c r="BI613" s="335"/>
      <c r="BJ613" s="335"/>
      <c r="BK613" s="364"/>
      <c r="BL613" s="364"/>
      <c r="BM613" s="364"/>
      <c r="BN613" s="364"/>
      <c r="BO613" s="364"/>
      <c r="BP613" s="364"/>
      <c r="BQ613" s="335"/>
      <c r="BR613" s="335"/>
      <c r="BS613" s="364"/>
      <c r="BT613" s="364"/>
      <c r="BU613" s="364"/>
      <c r="BV613" s="364"/>
      <c r="BW613" s="364"/>
      <c r="BX613" s="364"/>
      <c r="BY613" s="335"/>
      <c r="BZ613" s="335"/>
      <c r="CA613" s="364"/>
      <c r="CB613" s="364"/>
      <c r="CC613" s="335"/>
      <c r="CD613" s="335"/>
      <c r="CE613" s="335"/>
      <c r="CF613" s="335"/>
      <c r="CG613" s="335"/>
      <c r="CH613" s="335"/>
      <c r="CI613" s="365"/>
      <c r="CJ613" s="365"/>
      <c r="CK613" s="335"/>
      <c r="CL613" s="335"/>
      <c r="CM613" s="366"/>
      <c r="CN613" s="366"/>
      <c r="CO613" s="366"/>
      <c r="CP613" s="3"/>
    </row>
    <row r="614" spans="1:94" x14ac:dyDescent="0.25">
      <c r="A614" s="34">
        <v>59</v>
      </c>
      <c r="B614" s="33">
        <f t="shared" si="19"/>
        <v>86</v>
      </c>
      <c r="C614" s="294">
        <f>VLOOKUP($B614,'Mother mortality'!$A$23:$I$124,5)</f>
        <v>3.5650378662710321E-2</v>
      </c>
      <c r="D614" s="295">
        <f t="shared" si="1"/>
        <v>0.27</v>
      </c>
      <c r="E614" s="295">
        <f t="shared" si="9"/>
        <v>0.69434962133728961</v>
      </c>
      <c r="F614" s="295">
        <f>VLOOKUP($B614,'Mother mortality'!$A$23:$I$124,5)</f>
        <v>3.5650378662710321E-2</v>
      </c>
      <c r="G614" s="295">
        <f t="shared" si="2"/>
        <v>0.14000000000000001</v>
      </c>
      <c r="H614" s="295">
        <f t="shared" si="10"/>
        <v>0.82434962133728962</v>
      </c>
      <c r="I614" s="295">
        <f>VLOOKUP($B614,'Mother mortality'!$A$23:$I$124,4)</f>
        <v>2.929297231682234E-2</v>
      </c>
      <c r="J614" s="295">
        <f t="shared" si="11"/>
        <v>0.39927845625460623</v>
      </c>
      <c r="K614" s="295">
        <f t="shared" si="3"/>
        <v>0.5714285714285714</v>
      </c>
      <c r="L614" s="295">
        <f>VLOOKUP($B614,'Mother mortality'!$A$23:$I$124,4)</f>
        <v>2.929297231682234E-2</v>
      </c>
      <c r="M614" s="295">
        <f t="shared" si="4"/>
        <v>8.6261668788331098E-3</v>
      </c>
      <c r="N614" s="295">
        <f t="shared" si="12"/>
        <v>0.96208086080434452</v>
      </c>
      <c r="O614" s="294"/>
      <c r="P614" s="296">
        <f t="shared" si="20"/>
        <v>227.87539919611288</v>
      </c>
      <c r="Q614" s="297">
        <f t="shared" si="21"/>
        <v>64.377402234273816</v>
      </c>
      <c r="R614" s="297">
        <f t="shared" si="22"/>
        <v>9.3812776240352314</v>
      </c>
      <c r="S614" s="297">
        <f t="shared" si="23"/>
        <v>359.13390625961961</v>
      </c>
      <c r="T614" s="297">
        <f t="shared" si="24"/>
        <v>339.23201468595829</v>
      </c>
      <c r="U614" s="294">
        <f t="shared" si="13"/>
        <v>999.99999999999977</v>
      </c>
      <c r="V614" s="295" t="str">
        <f t="shared" si="5"/>
        <v>OKAY</v>
      </c>
      <c r="W614" s="295"/>
      <c r="X614" s="296">
        <f>SUM($P614:$Q614)-(SUM($P614:$Q614)*(VLOOKUP($B614,Lifetime_morbidity_array!$A$6:$Y$24,4)+VLOOKUP($B614,Lifetime_morbidity_array!$A$6:$Y$24,7)+VLOOKUP($B614,Lifetime_morbidity_array!$A$6:$Y$24,10)+VLOOKUP($B614,Lifetime_morbidity_array!$A$6:$Y$24,13)))</f>
        <v>46.335080085393912</v>
      </c>
      <c r="Y614" s="297">
        <f>SUM($R614:$S614)-(SUM($R614:$S614)*(VLOOKUP($B614,Lifetime_morbidity_array!$A$6:$Y$24,3)+VLOOKUP($B614,Lifetime_morbidity_array!$A$6:$Y$24,6)+VLOOKUP($B614,Lifetime_morbidity_array!$A$6:$Y$24,9)+VLOOKUP($B614,Lifetime_morbidity_array!$A$6:$Y$24,12)))</f>
        <v>214.46948096426101</v>
      </c>
      <c r="Z614" s="297">
        <f>(SUM($P614:$Q614)*VLOOKUP($B614,Lifetime_morbidity_array!$A$6:$Y$24,4))+(SUM($R614:$S614)*VLOOKUP($B614,Lifetime_morbidity_array!$A$6:$Y$24,3))</f>
        <v>181.36990700157844</v>
      </c>
      <c r="AA614" s="297">
        <f>(SUM($P614:$Q614)*VLOOKUP($B614,Lifetime_morbidity_array!$A$6:$Y$24,7))+(SUM($R614:$S614)*VLOOKUP($B614,Lifetime_morbidity_array!$A$6:$Y$24,6))</f>
        <v>122.26474000401943</v>
      </c>
      <c r="AB614" s="297">
        <f>(SUM($P614:$Q614)*VLOOKUP($B614,Lifetime_morbidity_array!$A$6:$Y$24,10))+(SUM($R614:$S614)*VLOOKUP($B614,Lifetime_morbidity_array!$A$6:$Y$24,9))</f>
        <v>5.7506606983427524</v>
      </c>
      <c r="AC614" s="297">
        <f>(SUM($P614:$Q614)*VLOOKUP($B614,Lifetime_morbidity_array!$A$6:$Y$24,13))+(SUM($R614:$S614)*VLOOKUP($B614,Lifetime_morbidity_array!$A$6:$Y$24,12))</f>
        <v>90.578116560445977</v>
      </c>
      <c r="AD614" s="294"/>
      <c r="AE614" s="294">
        <f t="shared" si="25"/>
        <v>86</v>
      </c>
      <c r="AF614" s="297">
        <f t="shared" si="26"/>
        <v>86.809719945501698</v>
      </c>
      <c r="AG614" s="297">
        <f t="shared" si="27"/>
        <v>24524.662323700508</v>
      </c>
      <c r="AH614" s="294"/>
      <c r="AI614" s="294">
        <f t="shared" si="28"/>
        <v>86</v>
      </c>
      <c r="AJ614" s="295">
        <f>((VLOOKUP($B614,'Mahawesran Tariff'!$A$21:$M$120,7)*$X614)+(VLOOKUP($B614,'Mahawesran Tariff'!$A$21:$M$120,6)*$Y614)+(DET_UTIL_chd*$Z614)+(DET_UTIL_copd*$AA614)+(DET_UTIL_lc*$AB614)+(DET_UTIL_stroke*$AC614))/((1+Discount_rate_QALYs)^$A614)</f>
        <v>68.964488921324445</v>
      </c>
      <c r="AK614" s="295">
        <f t="shared" si="29"/>
        <v>22599.68807163497</v>
      </c>
      <c r="AL614" s="294"/>
      <c r="AM614" s="294">
        <f t="shared" si="14"/>
        <v>86</v>
      </c>
      <c r="AN614" s="299">
        <f t="shared" si="33"/>
        <v>323104.17671060353</v>
      </c>
      <c r="AO614" s="299">
        <f t="shared" si="30"/>
        <v>18860287.094012443</v>
      </c>
      <c r="AP614" s="294"/>
      <c r="AQ614" s="294">
        <f t="shared" si="16"/>
        <v>86</v>
      </c>
      <c r="AR614" s="298">
        <f t="shared" si="32"/>
        <v>0.66076798531404157</v>
      </c>
      <c r="AS614" s="298">
        <f t="shared" si="7"/>
        <v>0.33923201468595832</v>
      </c>
      <c r="AT614" s="298">
        <f t="shared" si="8"/>
        <v>0.39996342426438664</v>
      </c>
      <c r="AU614" s="250"/>
      <c r="AV614" s="294">
        <f t="shared" si="17"/>
        <v>86</v>
      </c>
      <c r="AW614" s="299">
        <f t="shared" si="34"/>
        <v>323104.17671060353</v>
      </c>
      <c r="AX614" s="299">
        <f t="shared" si="31"/>
        <v>18857247.094012443</v>
      </c>
      <c r="AY614" s="335"/>
      <c r="AZ614" s="335"/>
      <c r="BA614" s="335"/>
      <c r="BB614" s="335"/>
      <c r="BC614" s="335"/>
      <c r="BD614" s="335"/>
      <c r="BE614" s="335"/>
      <c r="BF614" s="335"/>
      <c r="BG614" s="335"/>
      <c r="BH614" s="335"/>
      <c r="BI614" s="335"/>
      <c r="BJ614" s="335"/>
      <c r="BK614" s="364"/>
      <c r="BL614" s="364"/>
      <c r="BM614" s="364"/>
      <c r="BN614" s="364"/>
      <c r="BO614" s="364"/>
      <c r="BP614" s="364"/>
      <c r="BQ614" s="335"/>
      <c r="BR614" s="335"/>
      <c r="BS614" s="364"/>
      <c r="BT614" s="364"/>
      <c r="BU614" s="364"/>
      <c r="BV614" s="364"/>
      <c r="BW614" s="364"/>
      <c r="BX614" s="364"/>
      <c r="BY614" s="335"/>
      <c r="BZ614" s="335"/>
      <c r="CA614" s="364"/>
      <c r="CB614" s="364"/>
      <c r="CC614" s="335"/>
      <c r="CD614" s="335"/>
      <c r="CE614" s="335"/>
      <c r="CF614" s="335"/>
      <c r="CG614" s="335"/>
      <c r="CH614" s="335"/>
      <c r="CI614" s="365"/>
      <c r="CJ614" s="365"/>
      <c r="CK614" s="335"/>
      <c r="CL614" s="335"/>
      <c r="CM614" s="366"/>
      <c r="CN614" s="366"/>
      <c r="CO614" s="366"/>
      <c r="CP614" s="3"/>
    </row>
    <row r="615" spans="1:94" x14ac:dyDescent="0.25">
      <c r="A615" s="34">
        <v>60</v>
      </c>
      <c r="B615" s="33">
        <f t="shared" si="19"/>
        <v>87</v>
      </c>
      <c r="C615" s="294">
        <f>VLOOKUP($B615,'Mother mortality'!$A$23:$I$124,5)</f>
        <v>3.9588384698384868E-2</v>
      </c>
      <c r="D615" s="295">
        <f t="shared" si="1"/>
        <v>0.27</v>
      </c>
      <c r="E615" s="295">
        <f t="shared" si="9"/>
        <v>0.6904116153016151</v>
      </c>
      <c r="F615" s="295">
        <f>VLOOKUP($B615,'Mother mortality'!$A$23:$I$124,5)</f>
        <v>3.9588384698384868E-2</v>
      </c>
      <c r="G615" s="295">
        <f t="shared" si="2"/>
        <v>0.14000000000000001</v>
      </c>
      <c r="H615" s="295">
        <f t="shared" si="10"/>
        <v>0.8204116153016151</v>
      </c>
      <c r="I615" s="295">
        <f>VLOOKUP($B615,'Mother mortality'!$A$23:$I$124,4)</f>
        <v>3.2528727619111852E-2</v>
      </c>
      <c r="J615" s="295">
        <f t="shared" si="11"/>
        <v>0.39604270095231675</v>
      </c>
      <c r="K615" s="295">
        <f t="shared" si="3"/>
        <v>0.5714285714285714</v>
      </c>
      <c r="L615" s="295">
        <f>VLOOKUP($B615,'Mother mortality'!$A$23:$I$124,4)</f>
        <v>3.2528727619111852E-2</v>
      </c>
      <c r="M615" s="295">
        <f t="shared" si="4"/>
        <v>8.6261668788331098E-3</v>
      </c>
      <c r="N615" s="295">
        <f t="shared" si="12"/>
        <v>0.95884510550205504</v>
      </c>
      <c r="O615" s="294"/>
      <c r="P615" s="296">
        <f t="shared" si="20"/>
        <v>216.95712653828016</v>
      </c>
      <c r="Q615" s="297">
        <f t="shared" si="21"/>
        <v>61.526357782950484</v>
      </c>
      <c r="R615" s="297">
        <f t="shared" si="22"/>
        <v>9.0128363127983349</v>
      </c>
      <c r="S615" s="297">
        <f t="shared" si="23"/>
        <v>349.71451830774737</v>
      </c>
      <c r="T615" s="297">
        <f t="shared" si="24"/>
        <v>362.7891610582235</v>
      </c>
      <c r="U615" s="294">
        <f t="shared" si="13"/>
        <v>999.99999999999989</v>
      </c>
      <c r="V615" s="295" t="str">
        <f t="shared" si="5"/>
        <v>OKAY</v>
      </c>
      <c r="W615" s="295"/>
      <c r="X615" s="296">
        <f>SUM($P615:$Q615)-(SUM($P615:$Q615)*(VLOOKUP($B615,Lifetime_morbidity_array!$A$6:$Y$24,4)+VLOOKUP($B615,Lifetime_morbidity_array!$A$6:$Y$24,7)+VLOOKUP($B615,Lifetime_morbidity_array!$A$6:$Y$24,10)+VLOOKUP($B615,Lifetime_morbidity_array!$A$6:$Y$24,13)))</f>
        <v>44.152030315293075</v>
      </c>
      <c r="Y615" s="297">
        <f>SUM($R615:$S615)-(SUM($R615:$S615)*(VLOOKUP($B615,Lifetime_morbidity_array!$A$6:$Y$24,3)+VLOOKUP($B615,Lifetime_morbidity_array!$A$6:$Y$24,6)+VLOOKUP($B615,Lifetime_morbidity_array!$A$6:$Y$24,9)+VLOOKUP($B615,Lifetime_morbidity_array!$A$6:$Y$24,12)))</f>
        <v>208.77313315111755</v>
      </c>
      <c r="Z615" s="297">
        <f>(SUM($P615:$Q615)*VLOOKUP($B615,Lifetime_morbidity_array!$A$6:$Y$24,4))+(SUM($R615:$S615)*VLOOKUP($B615,Lifetime_morbidity_array!$A$6:$Y$24,3))</f>
        <v>174.37482950054124</v>
      </c>
      <c r="AA615" s="297">
        <f>(SUM($P615:$Q615)*VLOOKUP($B615,Lifetime_morbidity_array!$A$6:$Y$24,7))+(SUM($R615:$S615)*VLOOKUP($B615,Lifetime_morbidity_array!$A$6:$Y$24,6))</f>
        <v>117.25348009270633</v>
      </c>
      <c r="AB615" s="297">
        <f>(SUM($P615:$Q615)*VLOOKUP($B615,Lifetime_morbidity_array!$A$6:$Y$24,10))+(SUM($R615:$S615)*VLOOKUP($B615,Lifetime_morbidity_array!$A$6:$Y$24,9))</f>
        <v>5.5102729978640266</v>
      </c>
      <c r="AC615" s="297">
        <f>(SUM($P615:$Q615)*VLOOKUP($B615,Lifetime_morbidity_array!$A$6:$Y$24,13))+(SUM($R615:$S615)*VLOOKUP($B615,Lifetime_morbidity_array!$A$6:$Y$24,12))</f>
        <v>87.147092884254135</v>
      </c>
      <c r="AD615" s="294"/>
      <c r="AE615" s="294">
        <f t="shared" si="25"/>
        <v>87</v>
      </c>
      <c r="AF615" s="297">
        <f t="shared" si="26"/>
        <v>80.883915528372782</v>
      </c>
      <c r="AG615" s="297">
        <f t="shared" si="27"/>
        <v>24605.546239228879</v>
      </c>
      <c r="AH615" s="294"/>
      <c r="AI615" s="294">
        <f t="shared" si="28"/>
        <v>87</v>
      </c>
      <c r="AJ615" s="295">
        <f>((VLOOKUP($B615,'Mahawesran Tariff'!$A$21:$M$120,7)*$X615)+(VLOOKUP($B615,'Mahawesran Tariff'!$A$21:$M$120,6)*$Y615)+(DET_UTIL_chd*$Z615)+(DET_UTIL_copd*$AA615)+(DET_UTIL_lc*$AB615)+(DET_UTIL_stroke*$AC615))/((1+Discount_rate_QALYs)^$A615)</f>
        <v>64.289275386403375</v>
      </c>
      <c r="AK615" s="295">
        <f t="shared" si="29"/>
        <v>22663.977347021373</v>
      </c>
      <c r="AL615" s="294"/>
      <c r="AM615" s="294">
        <f t="shared" si="14"/>
        <v>87</v>
      </c>
      <c r="AN615" s="299">
        <f t="shared" si="33"/>
        <v>300255.69983282866</v>
      </c>
      <c r="AO615" s="299">
        <f t="shared" si="30"/>
        <v>19160542.79384527</v>
      </c>
      <c r="AP615" s="294"/>
      <c r="AQ615" s="294">
        <f t="shared" si="16"/>
        <v>87</v>
      </c>
      <c r="AR615" s="298">
        <f t="shared" si="32"/>
        <v>0.63721083894177644</v>
      </c>
      <c r="AS615" s="298">
        <f t="shared" si="7"/>
        <v>0.36278916105822351</v>
      </c>
      <c r="AT615" s="298">
        <f t="shared" si="8"/>
        <v>0.38428567547536568</v>
      </c>
      <c r="AU615" s="250"/>
      <c r="AV615" s="294">
        <f t="shared" si="17"/>
        <v>87</v>
      </c>
      <c r="AW615" s="299">
        <f t="shared" si="34"/>
        <v>300255.69983282866</v>
      </c>
      <c r="AX615" s="299">
        <f t="shared" si="31"/>
        <v>19157502.79384527</v>
      </c>
      <c r="AY615" s="335"/>
      <c r="AZ615" s="335"/>
      <c r="BA615" s="335"/>
      <c r="BB615" s="335"/>
      <c r="BC615" s="335"/>
      <c r="BD615" s="335"/>
      <c r="BE615" s="335"/>
      <c r="BF615" s="335"/>
      <c r="BG615" s="335"/>
      <c r="BH615" s="335"/>
      <c r="BI615" s="335"/>
      <c r="BJ615" s="335"/>
      <c r="BK615" s="364"/>
      <c r="BL615" s="364"/>
      <c r="BM615" s="364"/>
      <c r="BN615" s="364"/>
      <c r="BO615" s="364"/>
      <c r="BP615" s="364"/>
      <c r="BQ615" s="335"/>
      <c r="BR615" s="335"/>
      <c r="BS615" s="364"/>
      <c r="BT615" s="364"/>
      <c r="BU615" s="364"/>
      <c r="BV615" s="364"/>
      <c r="BW615" s="364"/>
      <c r="BX615" s="364"/>
      <c r="BY615" s="335"/>
      <c r="BZ615" s="335"/>
      <c r="CA615" s="364"/>
      <c r="CB615" s="364"/>
      <c r="CC615" s="335"/>
      <c r="CD615" s="335"/>
      <c r="CE615" s="335"/>
      <c r="CF615" s="335"/>
      <c r="CG615" s="335"/>
      <c r="CH615" s="335"/>
      <c r="CI615" s="365"/>
      <c r="CJ615" s="365"/>
      <c r="CK615" s="335"/>
      <c r="CL615" s="335"/>
      <c r="CM615" s="366"/>
      <c r="CN615" s="366"/>
      <c r="CO615" s="366"/>
      <c r="CP615" s="3"/>
    </row>
    <row r="616" spans="1:94" x14ac:dyDescent="0.25">
      <c r="A616" s="34">
        <v>61</v>
      </c>
      <c r="B616" s="33">
        <f t="shared" si="19"/>
        <v>88</v>
      </c>
      <c r="C616" s="294">
        <f>VLOOKUP($B616,'Mother mortality'!$A$23:$I$124,5)</f>
        <v>4.395029082510031E-2</v>
      </c>
      <c r="D616" s="295">
        <f t="shared" si="1"/>
        <v>0.27</v>
      </c>
      <c r="E616" s="295">
        <f t="shared" si="9"/>
        <v>0.68604970917489971</v>
      </c>
      <c r="F616" s="295">
        <f>VLOOKUP($B616,'Mother mortality'!$A$23:$I$124,5)</f>
        <v>4.395029082510031E-2</v>
      </c>
      <c r="G616" s="295">
        <f t="shared" si="2"/>
        <v>0.14000000000000001</v>
      </c>
      <c r="H616" s="295">
        <f t="shared" si="10"/>
        <v>0.81604970917489972</v>
      </c>
      <c r="I616" s="295">
        <f>VLOOKUP($B616,'Mother mortality'!$A$23:$I$124,4)</f>
        <v>3.6112790403614661E-2</v>
      </c>
      <c r="J616" s="295">
        <f t="shared" si="11"/>
        <v>0.3924586381678139</v>
      </c>
      <c r="K616" s="295">
        <f t="shared" si="3"/>
        <v>0.5714285714285714</v>
      </c>
      <c r="L616" s="295">
        <f>VLOOKUP($B616,'Mother mortality'!$A$23:$I$124,4)</f>
        <v>3.6112790403614661E-2</v>
      </c>
      <c r="M616" s="295">
        <f t="shared" si="4"/>
        <v>8.6261668788331098E-3</v>
      </c>
      <c r="N616" s="295">
        <f t="shared" si="12"/>
        <v>0.95526104271755219</v>
      </c>
      <c r="O616" s="294"/>
      <c r="P616" s="296">
        <f t="shared" si="20"/>
        <v>205.60580120060021</v>
      </c>
      <c r="Q616" s="297">
        <f t="shared" si="21"/>
        <v>58.578424165335647</v>
      </c>
      <c r="R616" s="297">
        <f t="shared" si="22"/>
        <v>8.613690089613069</v>
      </c>
      <c r="S616" s="297">
        <f t="shared" si="23"/>
        <v>339.21884759086714</v>
      </c>
      <c r="T616" s="297">
        <f t="shared" si="24"/>
        <v>387.9832369535838</v>
      </c>
      <c r="U616" s="294">
        <f t="shared" si="13"/>
        <v>999.99999999999977</v>
      </c>
      <c r="V616" s="295" t="str">
        <f t="shared" si="5"/>
        <v>OKAY</v>
      </c>
      <c r="W616" s="295"/>
      <c r="X616" s="296">
        <f>SUM($P616:$Q616)-(SUM($P616:$Q616)*(VLOOKUP($B616,Lifetime_morbidity_array!$A$6:$Y$24,4)+VLOOKUP($B616,Lifetime_morbidity_array!$A$6:$Y$24,7)+VLOOKUP($B616,Lifetime_morbidity_array!$A$6:$Y$24,10)+VLOOKUP($B616,Lifetime_morbidity_array!$A$6:$Y$24,13)))</f>
        <v>41.884961169633613</v>
      </c>
      <c r="Y616" s="297">
        <f>SUM($R616:$S616)-(SUM($R616:$S616)*(VLOOKUP($B616,Lifetime_morbidity_array!$A$6:$Y$24,3)+VLOOKUP($B616,Lifetime_morbidity_array!$A$6:$Y$24,6)+VLOOKUP($B616,Lifetime_morbidity_array!$A$6:$Y$24,9)+VLOOKUP($B616,Lifetime_morbidity_array!$A$6:$Y$24,12)))</f>
        <v>202.43253760302693</v>
      </c>
      <c r="Z616" s="297">
        <f>(SUM($P616:$Q616)*VLOOKUP($B616,Lifetime_morbidity_array!$A$6:$Y$24,4))+(SUM($R616:$S616)*VLOOKUP($B616,Lifetime_morbidity_array!$A$6:$Y$24,3))</f>
        <v>166.96108616474442</v>
      </c>
      <c r="AA616" s="297">
        <f>(SUM($P616:$Q616)*VLOOKUP($B616,Lifetime_morbidity_array!$A$6:$Y$24,7))+(SUM($R616:$S616)*VLOOKUP($B616,Lifetime_morbidity_array!$A$6:$Y$24,6))</f>
        <v>111.97712150820324</v>
      </c>
      <c r="AB616" s="297">
        <f>(SUM($P616:$Q616)*VLOOKUP($B616,Lifetime_morbidity_array!$A$6:$Y$24,10))+(SUM($R616:$S616)*VLOOKUP($B616,Lifetime_morbidity_array!$A$6:$Y$24,9))</f>
        <v>5.2576879303246251</v>
      </c>
      <c r="AC616" s="297">
        <f>(SUM($P616:$Q616)*VLOOKUP($B616,Lifetime_morbidity_array!$A$6:$Y$24,13))+(SUM($R616:$S616)*VLOOKUP($B616,Lifetime_morbidity_array!$A$6:$Y$24,12))</f>
        <v>83.503368670483169</v>
      </c>
      <c r="AD616" s="294"/>
      <c r="AE616" s="294">
        <f t="shared" si="25"/>
        <v>88</v>
      </c>
      <c r="AF616" s="297">
        <f t="shared" si="26"/>
        <v>75.058862794954848</v>
      </c>
      <c r="AG616" s="297">
        <f t="shared" si="27"/>
        <v>24680.605102023834</v>
      </c>
      <c r="AH616" s="294"/>
      <c r="AI616" s="294">
        <f t="shared" si="28"/>
        <v>88</v>
      </c>
      <c r="AJ616" s="295">
        <f>((VLOOKUP($B616,'Mahawesran Tariff'!$A$21:$M$120,7)*$X616)+(VLOOKUP($B616,'Mahawesran Tariff'!$A$21:$M$120,6)*$Y616)+(DET_UTIL_chd*$Z616)+(DET_UTIL_copd*$AA616)+(DET_UTIL_lc*$AB616)+(DET_UTIL_stroke*$AC616))/((1+Discount_rate_QALYs)^$A616)</f>
        <v>59.690092742300394</v>
      </c>
      <c r="AK616" s="295">
        <f t="shared" si="29"/>
        <v>22723.667439763674</v>
      </c>
      <c r="AL616" s="294"/>
      <c r="AM616" s="294">
        <f t="shared" si="14"/>
        <v>88</v>
      </c>
      <c r="AN616" s="299">
        <f t="shared" si="33"/>
        <v>277880.20140739897</v>
      </c>
      <c r="AO616" s="299">
        <f t="shared" si="30"/>
        <v>19438422.995252669</v>
      </c>
      <c r="AP616" s="294"/>
      <c r="AQ616" s="294">
        <f t="shared" si="16"/>
        <v>88</v>
      </c>
      <c r="AR616" s="298">
        <f t="shared" si="32"/>
        <v>0.61201676304641606</v>
      </c>
      <c r="AS616" s="298">
        <f t="shared" si="7"/>
        <v>0.38798323695358378</v>
      </c>
      <c r="AT616" s="298">
        <f t="shared" si="8"/>
        <v>0.36769926427375543</v>
      </c>
      <c r="AU616" s="250"/>
      <c r="AV616" s="294">
        <f t="shared" si="17"/>
        <v>88</v>
      </c>
      <c r="AW616" s="299">
        <f t="shared" si="34"/>
        <v>277880.20140739897</v>
      </c>
      <c r="AX616" s="299">
        <f t="shared" si="31"/>
        <v>19435382.995252669</v>
      </c>
      <c r="AY616" s="335"/>
      <c r="AZ616" s="335"/>
      <c r="BA616" s="335"/>
      <c r="BB616" s="335"/>
      <c r="BC616" s="335"/>
      <c r="BD616" s="335"/>
      <c r="BE616" s="335"/>
      <c r="BF616" s="335"/>
      <c r="BG616" s="335"/>
      <c r="BH616" s="335"/>
      <c r="BI616" s="335"/>
      <c r="BJ616" s="335"/>
      <c r="BK616" s="364"/>
      <c r="BL616" s="364"/>
      <c r="BM616" s="364"/>
      <c r="BN616" s="364"/>
      <c r="BO616" s="364"/>
      <c r="BP616" s="364"/>
      <c r="BQ616" s="335"/>
      <c r="BR616" s="335"/>
      <c r="BS616" s="364"/>
      <c r="BT616" s="364"/>
      <c r="BU616" s="364"/>
      <c r="BV616" s="364"/>
      <c r="BW616" s="364"/>
      <c r="BX616" s="364"/>
      <c r="BY616" s="335"/>
      <c r="BZ616" s="335"/>
      <c r="CA616" s="364"/>
      <c r="CB616" s="364"/>
      <c r="CC616" s="335"/>
      <c r="CD616" s="335"/>
      <c r="CE616" s="335"/>
      <c r="CF616" s="335"/>
      <c r="CG616" s="335"/>
      <c r="CH616" s="335"/>
      <c r="CI616" s="365"/>
      <c r="CJ616" s="365"/>
      <c r="CK616" s="335"/>
      <c r="CL616" s="335"/>
      <c r="CM616" s="366"/>
      <c r="CN616" s="366"/>
      <c r="CO616" s="366"/>
      <c r="CP616" s="3"/>
    </row>
    <row r="617" spans="1:94" x14ac:dyDescent="0.25">
      <c r="A617" s="34">
        <v>62</v>
      </c>
      <c r="B617" s="33">
        <f t="shared" si="19"/>
        <v>89</v>
      </c>
      <c r="C617" s="294">
        <f>VLOOKUP($B617,'Mother mortality'!$A$23:$I$124,5)</f>
        <v>4.8770510503422466E-2</v>
      </c>
      <c r="D617" s="295">
        <f t="shared" si="1"/>
        <v>0.27</v>
      </c>
      <c r="E617" s="295">
        <f t="shared" si="9"/>
        <v>0.68122948949657747</v>
      </c>
      <c r="F617" s="295">
        <f>VLOOKUP($B617,'Mother mortality'!$A$23:$I$124,5)</f>
        <v>4.8770510503422466E-2</v>
      </c>
      <c r="G617" s="295">
        <f t="shared" si="2"/>
        <v>0.14000000000000001</v>
      </c>
      <c r="H617" s="295">
        <f t="shared" si="10"/>
        <v>0.81122948949657747</v>
      </c>
      <c r="I617" s="295">
        <f>VLOOKUP($B617,'Mother mortality'!$A$23:$I$124,4)</f>
        <v>4.0073437299794318E-2</v>
      </c>
      <c r="J617" s="295">
        <f t="shared" si="11"/>
        <v>0.38849799127163431</v>
      </c>
      <c r="K617" s="295">
        <f t="shared" si="3"/>
        <v>0.5714285714285714</v>
      </c>
      <c r="L617" s="295">
        <f>VLOOKUP($B617,'Mother mortality'!$A$23:$I$124,4)</f>
        <v>4.0073437299794318E-2</v>
      </c>
      <c r="M617" s="295">
        <f t="shared" si="4"/>
        <v>8.6261668788331098E-3</v>
      </c>
      <c r="N617" s="295">
        <f t="shared" si="12"/>
        <v>0.9513003958213726</v>
      </c>
      <c r="O617" s="294"/>
      <c r="P617" s="296">
        <f t="shared" si="20"/>
        <v>193.85783980559424</v>
      </c>
      <c r="Q617" s="297">
        <f t="shared" si="21"/>
        <v>55.513566324162063</v>
      </c>
      <c r="R617" s="297">
        <f t="shared" si="22"/>
        <v>8.2009793831469917</v>
      </c>
      <c r="S617" s="297">
        <f t="shared" si="23"/>
        <v>327.6211326058978</v>
      </c>
      <c r="T617" s="297">
        <f t="shared" si="24"/>
        <v>414.80648188119875</v>
      </c>
      <c r="U617" s="294">
        <f t="shared" si="13"/>
        <v>999.99999999999977</v>
      </c>
      <c r="V617" s="295" t="str">
        <f t="shared" si="5"/>
        <v>OKAY</v>
      </c>
      <c r="W617" s="295"/>
      <c r="X617" s="296">
        <f>SUM($P617:$Q617)-(SUM($P617:$Q617)*(VLOOKUP($B617,Lifetime_morbidity_array!$A$6:$Y$24,4)+VLOOKUP($B617,Lifetime_morbidity_array!$A$6:$Y$24,7)+VLOOKUP($B617,Lifetime_morbidity_array!$A$6:$Y$24,10)+VLOOKUP($B617,Lifetime_morbidity_array!$A$6:$Y$24,13)))</f>
        <v>39.53646985581355</v>
      </c>
      <c r="Y617" s="297">
        <f>SUM($R617:$S617)-(SUM($R617:$S617)*(VLOOKUP($B617,Lifetime_morbidity_array!$A$6:$Y$24,3)+VLOOKUP($B617,Lifetime_morbidity_array!$A$6:$Y$24,6)+VLOOKUP($B617,Lifetime_morbidity_array!$A$6:$Y$24,9)+VLOOKUP($B617,Lifetime_morbidity_array!$A$6:$Y$24,12)))</f>
        <v>195.44267700337465</v>
      </c>
      <c r="Z617" s="297">
        <f>(SUM($P617:$Q617)*VLOOKUP($B617,Lifetime_morbidity_array!$A$6:$Y$24,4))+(SUM($R617:$S617)*VLOOKUP($B617,Lifetime_morbidity_array!$A$6:$Y$24,3))</f>
        <v>159.13285194167099</v>
      </c>
      <c r="AA617" s="297">
        <f>(SUM($P617:$Q617)*VLOOKUP($B617,Lifetime_morbidity_array!$A$6:$Y$24,7))+(SUM($R617:$S617)*VLOOKUP($B617,Lifetime_morbidity_array!$A$6:$Y$24,6))</f>
        <v>106.43962180546291</v>
      </c>
      <c r="AB617" s="297">
        <f>(SUM($P617:$Q617)*VLOOKUP($B617,Lifetime_morbidity_array!$A$6:$Y$24,10))+(SUM($R617:$S617)*VLOOKUP($B617,Lifetime_morbidity_array!$A$6:$Y$24,9))</f>
        <v>4.9931097482748736</v>
      </c>
      <c r="AC617" s="297">
        <f>(SUM($P617:$Q617)*VLOOKUP($B617,Lifetime_morbidity_array!$A$6:$Y$24,13))+(SUM($R617:$S617)*VLOOKUP($B617,Lifetime_morbidity_array!$A$6:$Y$24,12))</f>
        <v>79.648787764204087</v>
      </c>
      <c r="AD617" s="294"/>
      <c r="AE617" s="294">
        <f t="shared" si="25"/>
        <v>89</v>
      </c>
      <c r="AF617" s="297">
        <f t="shared" si="26"/>
        <v>69.342232506657098</v>
      </c>
      <c r="AG617" s="297">
        <f t="shared" si="27"/>
        <v>24749.94733453049</v>
      </c>
      <c r="AH617" s="294"/>
      <c r="AI617" s="294">
        <f t="shared" si="28"/>
        <v>89</v>
      </c>
      <c r="AJ617" s="295">
        <f>((VLOOKUP($B617,'Mahawesran Tariff'!$A$21:$M$120,7)*$X617)+(VLOOKUP($B617,'Mahawesran Tariff'!$A$21:$M$120,6)*$Y617)+(DET_UTIL_chd*$Z617)+(DET_UTIL_copd*$AA617)+(DET_UTIL_lc*$AB617)+(DET_UTIL_stroke*$AC617))/((1+Discount_rate_QALYs)^$A617)</f>
        <v>55.173213319105784</v>
      </c>
      <c r="AK617" s="295">
        <f t="shared" si="29"/>
        <v>22778.840653082782</v>
      </c>
      <c r="AL617" s="294"/>
      <c r="AM617" s="294">
        <f t="shared" si="14"/>
        <v>89</v>
      </c>
      <c r="AN617" s="299">
        <f t="shared" si="33"/>
        <v>256001.87162934858</v>
      </c>
      <c r="AO617" s="299">
        <f t="shared" si="30"/>
        <v>19694424.866882019</v>
      </c>
      <c r="AP617" s="294"/>
      <c r="AQ617" s="294">
        <f t="shared" si="16"/>
        <v>89</v>
      </c>
      <c r="AR617" s="298">
        <f t="shared" si="32"/>
        <v>0.58519351811880105</v>
      </c>
      <c r="AS617" s="298">
        <f t="shared" si="7"/>
        <v>0.41480648188119873</v>
      </c>
      <c r="AT617" s="298">
        <f t="shared" si="8"/>
        <v>0.35021437125961291</v>
      </c>
      <c r="AU617" s="250"/>
      <c r="AV617" s="294">
        <f t="shared" si="17"/>
        <v>89</v>
      </c>
      <c r="AW617" s="299">
        <f t="shared" si="34"/>
        <v>256001.87162934858</v>
      </c>
      <c r="AX617" s="299">
        <f t="shared" si="31"/>
        <v>19691384.866882019</v>
      </c>
      <c r="AY617" s="335"/>
      <c r="AZ617" s="335"/>
      <c r="BA617" s="335"/>
      <c r="BB617" s="335"/>
      <c r="BC617" s="335"/>
      <c r="BD617" s="335"/>
      <c r="BE617" s="335"/>
      <c r="BF617" s="335"/>
      <c r="BG617" s="335"/>
      <c r="BH617" s="335"/>
      <c r="BI617" s="335"/>
      <c r="BJ617" s="335"/>
      <c r="BK617" s="364"/>
      <c r="BL617" s="364"/>
      <c r="BM617" s="364"/>
      <c r="BN617" s="364"/>
      <c r="BO617" s="364"/>
      <c r="BP617" s="364"/>
      <c r="BQ617" s="335"/>
      <c r="BR617" s="335"/>
      <c r="BS617" s="364"/>
      <c r="BT617" s="364"/>
      <c r="BU617" s="364"/>
      <c r="BV617" s="364"/>
      <c r="BW617" s="364"/>
      <c r="BX617" s="364"/>
      <c r="BY617" s="335"/>
      <c r="BZ617" s="335"/>
      <c r="CA617" s="364"/>
      <c r="CB617" s="364"/>
      <c r="CC617" s="335"/>
      <c r="CD617" s="335"/>
      <c r="CE617" s="335"/>
      <c r="CF617" s="335"/>
      <c r="CG617" s="335"/>
      <c r="CH617" s="335"/>
      <c r="CI617" s="365"/>
      <c r="CJ617" s="365"/>
      <c r="CK617" s="335"/>
      <c r="CL617" s="335"/>
      <c r="CM617" s="366"/>
      <c r="CN617" s="366"/>
      <c r="CO617" s="366"/>
      <c r="CP617" s="3"/>
    </row>
    <row r="618" spans="1:94" x14ac:dyDescent="0.25">
      <c r="A618" s="34">
        <v>63</v>
      </c>
      <c r="B618" s="33">
        <f t="shared" si="19"/>
        <v>90</v>
      </c>
      <c r="C618" s="294">
        <f>VLOOKUP($B618,'Mother mortality'!$A$23:$I$124,5)</f>
        <v>5.407866389048116E-2</v>
      </c>
      <c r="D618" s="295">
        <f t="shared" si="1"/>
        <v>0.27</v>
      </c>
      <c r="E618" s="295">
        <f t="shared" si="9"/>
        <v>0.67592133610951888</v>
      </c>
      <c r="F618" s="295">
        <f>VLOOKUP($B618,'Mother mortality'!$A$23:$I$124,5)</f>
        <v>5.407866389048116E-2</v>
      </c>
      <c r="G618" s="295">
        <f t="shared" si="2"/>
        <v>0.14000000000000001</v>
      </c>
      <c r="H618" s="295">
        <f t="shared" si="10"/>
        <v>0.80592133610951877</v>
      </c>
      <c r="I618" s="295">
        <f>VLOOKUP($B618,'Mother mortality'!$A$23:$I$124,4)</f>
        <v>4.443500640658192E-2</v>
      </c>
      <c r="J618" s="295">
        <f t="shared" si="11"/>
        <v>0.38413642216484667</v>
      </c>
      <c r="K618" s="295">
        <f t="shared" si="3"/>
        <v>0.5714285714285714</v>
      </c>
      <c r="L618" s="295">
        <f>VLOOKUP($B618,'Mother mortality'!$A$23:$I$124,4)</f>
        <v>4.443500640658192E-2</v>
      </c>
      <c r="M618" s="295">
        <f t="shared" si="4"/>
        <v>8.6261668788331098E-3</v>
      </c>
      <c r="N618" s="295">
        <f t="shared" si="12"/>
        <v>0.94693882671458496</v>
      </c>
      <c r="O618" s="294"/>
      <c r="P618" s="296">
        <f t="shared" si="20"/>
        <v>181.74862708225592</v>
      </c>
      <c r="Q618" s="297">
        <f t="shared" si="21"/>
        <v>52.34161674751045</v>
      </c>
      <c r="R618" s="297">
        <f t="shared" si="22"/>
        <v>7.7718992853826894</v>
      </c>
      <c r="S618" s="297">
        <f t="shared" si="23"/>
        <v>314.9234448499592</v>
      </c>
      <c r="T618" s="297">
        <f t="shared" si="24"/>
        <v>443.21441203489155</v>
      </c>
      <c r="U618" s="294">
        <f t="shared" si="13"/>
        <v>999.99999999999977</v>
      </c>
      <c r="V618" s="295" t="str">
        <f t="shared" si="5"/>
        <v>OKAY</v>
      </c>
      <c r="W618" s="295"/>
      <c r="X618" s="296">
        <f>SUM($P618:$Q618)-(SUM($P618:$Q618)*(VLOOKUP($B618,Lifetime_morbidity_array!$A$6:$Y$24,4)+VLOOKUP($B618,Lifetime_morbidity_array!$A$6:$Y$24,7)+VLOOKUP($B618,Lifetime_morbidity_array!$A$6:$Y$24,10)+VLOOKUP($B618,Lifetime_morbidity_array!$A$6:$Y$24,13)))</f>
        <v>37.113725315804118</v>
      </c>
      <c r="Y618" s="297">
        <f>SUM($R618:$S618)-(SUM($R618:$S618)*(VLOOKUP($B618,Lifetime_morbidity_array!$A$6:$Y$24,3)+VLOOKUP($B618,Lifetime_morbidity_array!$A$6:$Y$24,6)+VLOOKUP($B618,Lifetime_morbidity_array!$A$6:$Y$24,9)+VLOOKUP($B618,Lifetime_morbidity_array!$A$6:$Y$24,12)))</f>
        <v>187.80312451966793</v>
      </c>
      <c r="Z618" s="297">
        <f>(SUM($P618:$Q618)*VLOOKUP($B618,Lifetime_morbidity_array!$A$6:$Y$24,4))+(SUM($R618:$S618)*VLOOKUP($B618,Lifetime_morbidity_array!$A$6:$Y$24,3))</f>
        <v>150.9063703339412</v>
      </c>
      <c r="AA618" s="297">
        <f>(SUM($P618:$Q618)*VLOOKUP($B618,Lifetime_morbidity_array!$A$6:$Y$24,7))+(SUM($R618:$S618)*VLOOKUP($B618,Lifetime_morbidity_array!$A$6:$Y$24,6))</f>
        <v>100.65418589455913</v>
      </c>
      <c r="AB618" s="297">
        <f>(SUM($P618:$Q618)*VLOOKUP($B618,Lifetime_morbidity_array!$A$6:$Y$24,10))+(SUM($R618:$S618)*VLOOKUP($B618,Lifetime_morbidity_array!$A$6:$Y$24,9))</f>
        <v>4.7171952620640365</v>
      </c>
      <c r="AC618" s="297">
        <f>(SUM($P618:$Q618)*VLOOKUP($B618,Lifetime_morbidity_array!$A$6:$Y$24,13))+(SUM($R618:$S618)*VLOOKUP($B618,Lifetime_morbidity_array!$A$6:$Y$24,12))</f>
        <v>75.590986639071787</v>
      </c>
      <c r="AD618" s="294"/>
      <c r="AE618" s="294">
        <f t="shared" si="25"/>
        <v>90</v>
      </c>
      <c r="AF618" s="297">
        <f t="shared" si="26"/>
        <v>63.744974006059358</v>
      </c>
      <c r="AG618" s="297">
        <f t="shared" si="27"/>
        <v>24813.692308536549</v>
      </c>
      <c r="AH618" s="294"/>
      <c r="AI618" s="294">
        <f t="shared" si="28"/>
        <v>90</v>
      </c>
      <c r="AJ618" s="295">
        <f>((VLOOKUP($B618,'Mahawesran Tariff'!$A$21:$M$120,7)*$X618)+(VLOOKUP($B618,'Mahawesran Tariff'!$A$21:$M$120,6)*$Y618)+(DET_UTIL_chd*$Z618)+(DET_UTIL_copd*$AA618)+(DET_UTIL_lc*$AB618)+(DET_UTIL_stroke*$AC618))/((1+Discount_rate_QALYs)^$A618)</f>
        <v>50.747402433730414</v>
      </c>
      <c r="AK618" s="295">
        <f t="shared" si="29"/>
        <v>22829.588055516513</v>
      </c>
      <c r="AL618" s="294"/>
      <c r="AM618" s="294">
        <f t="shared" si="14"/>
        <v>90</v>
      </c>
      <c r="AN618" s="299">
        <f t="shared" si="33"/>
        <v>234659.83133877174</v>
      </c>
      <c r="AO618" s="299">
        <f t="shared" si="30"/>
        <v>19929084.698220789</v>
      </c>
      <c r="AP618" s="294"/>
      <c r="AQ618" s="294">
        <f t="shared" si="16"/>
        <v>90</v>
      </c>
      <c r="AR618" s="298">
        <f t="shared" si="32"/>
        <v>0.55678558796510824</v>
      </c>
      <c r="AS618" s="298">
        <f t="shared" si="7"/>
        <v>0.44321441203489154</v>
      </c>
      <c r="AT618" s="298">
        <f t="shared" si="8"/>
        <v>0.33186873812963613</v>
      </c>
      <c r="AU618" s="250"/>
      <c r="AV618" s="294">
        <f t="shared" si="17"/>
        <v>90</v>
      </c>
      <c r="AW618" s="299">
        <f t="shared" si="34"/>
        <v>234659.83133877174</v>
      </c>
      <c r="AX618" s="299">
        <f t="shared" si="31"/>
        <v>19926044.698220789</v>
      </c>
      <c r="AY618" s="335"/>
      <c r="AZ618" s="335"/>
      <c r="BA618" s="335"/>
      <c r="BB618" s="335"/>
      <c r="BC618" s="335"/>
      <c r="BD618" s="335"/>
      <c r="BE618" s="335"/>
      <c r="BF618" s="335"/>
      <c r="BG618" s="335"/>
      <c r="BH618" s="335"/>
      <c r="BI618" s="335"/>
      <c r="BJ618" s="335"/>
      <c r="BK618" s="364"/>
      <c r="BL618" s="364"/>
      <c r="BM618" s="364"/>
      <c r="BN618" s="364"/>
      <c r="BO618" s="364"/>
      <c r="BP618" s="364"/>
      <c r="BQ618" s="335"/>
      <c r="BR618" s="335"/>
      <c r="BS618" s="364"/>
      <c r="BT618" s="364"/>
      <c r="BU618" s="364"/>
      <c r="BV618" s="364"/>
      <c r="BW618" s="364"/>
      <c r="BX618" s="364"/>
      <c r="BY618" s="335"/>
      <c r="BZ618" s="335"/>
      <c r="CA618" s="364"/>
      <c r="CB618" s="364"/>
      <c r="CC618" s="335"/>
      <c r="CD618" s="335"/>
      <c r="CE618" s="335"/>
      <c r="CF618" s="335"/>
      <c r="CG618" s="335"/>
      <c r="CH618" s="335"/>
      <c r="CI618" s="365"/>
      <c r="CJ618" s="365"/>
      <c r="CK618" s="335"/>
      <c r="CL618" s="335"/>
      <c r="CM618" s="366"/>
      <c r="CN618" s="366"/>
      <c r="CO618" s="366"/>
      <c r="CP618" s="3"/>
    </row>
    <row r="619" spans="1:94" x14ac:dyDescent="0.25">
      <c r="A619" s="34">
        <v>64</v>
      </c>
      <c r="B619" s="33">
        <f t="shared" si="19"/>
        <v>91</v>
      </c>
      <c r="C619" s="294">
        <f>VLOOKUP($B619,'Mother mortality'!$A$23:$I$124,5)</f>
        <v>5.9920963347607645E-2</v>
      </c>
      <c r="D619" s="295">
        <f t="shared" ref="D619:D655" si="35">IF(A619=1,DET_P_01Q_CSP,DET_P_01Q_CS_FEMALE)</f>
        <v>0.27</v>
      </c>
      <c r="E619" s="295">
        <f t="shared" si="9"/>
        <v>0.67007903665239232</v>
      </c>
      <c r="F619" s="295">
        <f>VLOOKUP($B619,'Mother mortality'!$A$23:$I$124,5)</f>
        <v>5.9920963347607645E-2</v>
      </c>
      <c r="G619" s="295">
        <f t="shared" ref="G619:G655" si="36">IF(A619=1,DET_P_12Q_QP,DET_P_12Q_01Q)</f>
        <v>0.14000000000000001</v>
      </c>
      <c r="H619" s="295">
        <f t="shared" si="10"/>
        <v>0.80007903665239233</v>
      </c>
      <c r="I619" s="295">
        <f>VLOOKUP($B619,'Mother mortality'!$A$23:$I$124,4)</f>
        <v>4.9235469197828514E-2</v>
      </c>
      <c r="J619" s="295">
        <f t="shared" si="11"/>
        <v>0.3793359593736001</v>
      </c>
      <c r="K619" s="295">
        <f t="shared" ref="K619:K655" si="37">IF(A619=2,DET_P_LTQ_12Q_QP,DET_P_LTQ_12Q)</f>
        <v>0.5714285714285714</v>
      </c>
      <c r="L619" s="295">
        <f>VLOOKUP($B619,'Mother mortality'!$A$23:$I$124,4)</f>
        <v>4.9235469197828514E-2</v>
      </c>
      <c r="M619" s="295">
        <f t="shared" ref="M619:M655" si="38">DET_P_CS_LTQ</f>
        <v>8.6261668788331098E-3</v>
      </c>
      <c r="N619" s="295">
        <f t="shared" si="12"/>
        <v>0.94213836392333838</v>
      </c>
      <c r="O619" s="294"/>
      <c r="P619" s="296">
        <f t="shared" si="20"/>
        <v>169.32811831325824</v>
      </c>
      <c r="Q619" s="297">
        <f t="shared" si="21"/>
        <v>49.0721293122091</v>
      </c>
      <c r="R619" s="297">
        <f t="shared" si="22"/>
        <v>7.3278263446514638</v>
      </c>
      <c r="S619" s="297">
        <f t="shared" si="23"/>
        <v>301.1425443979752</v>
      </c>
      <c r="T619" s="297">
        <f t="shared" si="24"/>
        <v>473.1293816319058</v>
      </c>
      <c r="U619" s="294">
        <f t="shared" si="13"/>
        <v>999.99999999999977</v>
      </c>
      <c r="V619" s="295" t="str">
        <f t="shared" ref="V619:V650" si="39">IF(U619=Cohort,"OKAY",IF(U619&gt;Cohort,"Too many","Too Few"))</f>
        <v>OKAY</v>
      </c>
      <c r="W619" s="295"/>
      <c r="X619" s="296">
        <f>SUM($P619:$Q619)-(SUM($P619:$Q619)*(VLOOKUP($B619,Lifetime_morbidity_array!$A$6:$Y$24,4)+VLOOKUP($B619,Lifetime_morbidity_array!$A$6:$Y$24,7)+VLOOKUP($B619,Lifetime_morbidity_array!$A$6:$Y$24,10)+VLOOKUP($B619,Lifetime_morbidity_array!$A$6:$Y$24,13)))</f>
        <v>34.626162400726656</v>
      </c>
      <c r="Y619" s="297">
        <f>SUM($R619:$S619)-(SUM($R619:$S619)*(VLOOKUP($B619,Lifetime_morbidity_array!$A$6:$Y$24,3)+VLOOKUP($B619,Lifetime_morbidity_array!$A$6:$Y$24,6)+VLOOKUP($B619,Lifetime_morbidity_array!$A$6:$Y$24,9)+VLOOKUP($B619,Lifetime_morbidity_array!$A$6:$Y$24,12)))</f>
        <v>179.52443535382548</v>
      </c>
      <c r="Z619" s="297">
        <f>(SUM($P619:$Q619)*VLOOKUP($B619,Lifetime_morbidity_array!$A$6:$Y$24,4))+(SUM($R619:$S619)*VLOOKUP($B619,Lifetime_morbidity_array!$A$6:$Y$24,3))</f>
        <v>142.30692798659271</v>
      </c>
      <c r="AA619" s="297">
        <f>(SUM($P619:$Q619)*VLOOKUP($B619,Lifetime_morbidity_array!$A$6:$Y$24,7))+(SUM($R619:$S619)*VLOOKUP($B619,Lifetime_morbidity_array!$A$6:$Y$24,6))</f>
        <v>94.640081695484625</v>
      </c>
      <c r="AB619" s="297">
        <f>(SUM($P619:$Q619)*VLOOKUP($B619,Lifetime_morbidity_array!$A$6:$Y$24,10))+(SUM($R619:$S619)*VLOOKUP($B619,Lifetime_morbidity_array!$A$6:$Y$24,9))</f>
        <v>4.4308859276920902</v>
      </c>
      <c r="AC619" s="297">
        <f>(SUM($P619:$Q619)*VLOOKUP($B619,Lifetime_morbidity_array!$A$6:$Y$24,13))+(SUM($R619:$S619)*VLOOKUP($B619,Lifetime_morbidity_array!$A$6:$Y$24,12))</f>
        <v>71.342125003772423</v>
      </c>
      <c r="AD619" s="294"/>
      <c r="AE619" s="294">
        <f t="shared" si="25"/>
        <v>91</v>
      </c>
      <c r="AF619" s="297">
        <f t="shared" si="26"/>
        <v>58.280275153390598</v>
      </c>
      <c r="AG619" s="297">
        <f t="shared" si="27"/>
        <v>24871.972583689938</v>
      </c>
      <c r="AH619" s="294"/>
      <c r="AI619" s="294">
        <f t="shared" si="28"/>
        <v>91</v>
      </c>
      <c r="AJ619" s="295">
        <f>((VLOOKUP($B619,'Mahawesran Tariff'!$A$21:$M$120,7)*$X619)+(VLOOKUP($B619,'Mahawesran Tariff'!$A$21:$M$120,6)*$Y619)+(DET_UTIL_chd*$Z619)+(DET_UTIL_copd*$AA619)+(DET_UTIL_lc*$AB619)+(DET_UTIL_stroke*$AC619))/((1+Discount_rate_QALYs)^$A619)</f>
        <v>46.423219732914781</v>
      </c>
      <c r="AK619" s="295">
        <f t="shared" si="29"/>
        <v>22876.011275249428</v>
      </c>
      <c r="AL619" s="294"/>
      <c r="AM619" s="294">
        <f t="shared" si="14"/>
        <v>91</v>
      </c>
      <c r="AN619" s="299">
        <f t="shared" si="33"/>
        <v>213901.14263863119</v>
      </c>
      <c r="AO619" s="299">
        <f t="shared" si="30"/>
        <v>20142985.840859421</v>
      </c>
      <c r="AP619" s="294"/>
      <c r="AQ619" s="294">
        <f t="shared" si="16"/>
        <v>91</v>
      </c>
      <c r="AR619" s="298">
        <f t="shared" si="32"/>
        <v>0.52687061836809401</v>
      </c>
      <c r="AS619" s="298">
        <f t="shared" ref="AS619:AS655" si="40">T619/Cohort</f>
        <v>0.47312938163190582</v>
      </c>
      <c r="AT619" s="298">
        <f t="shared" ref="AT619:AT655" si="41">SUM(Z619:AC619)/Cohort</f>
        <v>0.31272002061354187</v>
      </c>
      <c r="AU619" s="250"/>
      <c r="AV619" s="294">
        <f t="shared" si="17"/>
        <v>91</v>
      </c>
      <c r="AW619" s="299">
        <f t="shared" si="34"/>
        <v>213901.14263863119</v>
      </c>
      <c r="AX619" s="299">
        <f t="shared" si="31"/>
        <v>20139945.840859421</v>
      </c>
      <c r="AY619" s="335"/>
      <c r="AZ619" s="335"/>
      <c r="BA619" s="335"/>
      <c r="BB619" s="335"/>
      <c r="BC619" s="335"/>
      <c r="BD619" s="335"/>
      <c r="BE619" s="335"/>
      <c r="BF619" s="335"/>
      <c r="BG619" s="335"/>
      <c r="BH619" s="335"/>
      <c r="BI619" s="335"/>
      <c r="BJ619" s="335"/>
      <c r="BK619" s="364"/>
      <c r="BL619" s="364"/>
      <c r="BM619" s="364"/>
      <c r="BN619" s="364"/>
      <c r="BO619" s="364"/>
      <c r="BP619" s="364"/>
      <c r="BQ619" s="335"/>
      <c r="BR619" s="335"/>
      <c r="BS619" s="364"/>
      <c r="BT619" s="364"/>
      <c r="BU619" s="364"/>
      <c r="BV619" s="364"/>
      <c r="BW619" s="364"/>
      <c r="BX619" s="364"/>
      <c r="BY619" s="335"/>
      <c r="BZ619" s="335"/>
      <c r="CA619" s="364"/>
      <c r="CB619" s="364"/>
      <c r="CC619" s="335"/>
      <c r="CD619" s="335"/>
      <c r="CE619" s="335"/>
      <c r="CF619" s="335"/>
      <c r="CG619" s="335"/>
      <c r="CH619" s="335"/>
      <c r="CI619" s="365"/>
      <c r="CJ619" s="365"/>
      <c r="CK619" s="335"/>
      <c r="CL619" s="335"/>
      <c r="CM619" s="366"/>
      <c r="CN619" s="366"/>
      <c r="CO619" s="366"/>
      <c r="CP619" s="3"/>
    </row>
    <row r="620" spans="1:94" x14ac:dyDescent="0.25">
      <c r="A620" s="34">
        <v>65</v>
      </c>
      <c r="B620" s="33">
        <f t="shared" si="19"/>
        <v>92</v>
      </c>
      <c r="C620" s="294">
        <f>VLOOKUP($B620,'Mother mortality'!$A$23:$I$124,5)</f>
        <v>6.636574417506827E-2</v>
      </c>
      <c r="D620" s="295">
        <f t="shared" si="35"/>
        <v>0.27</v>
      </c>
      <c r="E620" s="295">
        <f t="shared" ref="E620:E655" si="42">1-D620-C620</f>
        <v>0.66363425582493174</v>
      </c>
      <c r="F620" s="295">
        <f>VLOOKUP($B620,'Mother mortality'!$A$23:$I$124,5)</f>
        <v>6.636574417506827E-2</v>
      </c>
      <c r="G620" s="295">
        <f t="shared" si="36"/>
        <v>0.14000000000000001</v>
      </c>
      <c r="H620" s="295">
        <f t="shared" ref="H620:H655" si="43">1-G620-F620</f>
        <v>0.79363425582493174</v>
      </c>
      <c r="I620" s="295">
        <f>VLOOKUP($B620,'Mother mortality'!$A$23:$I$124,4)</f>
        <v>5.4530974980611664E-2</v>
      </c>
      <c r="J620" s="295">
        <f t="shared" ref="J620:J655" si="44">1-I620-K620</f>
        <v>0.37404045359081695</v>
      </c>
      <c r="K620" s="295">
        <f t="shared" si="37"/>
        <v>0.5714285714285714</v>
      </c>
      <c r="L620" s="295">
        <f>VLOOKUP($B620,'Mother mortality'!$A$23:$I$124,4)</f>
        <v>5.4530974980611664E-2</v>
      </c>
      <c r="M620" s="295">
        <f t="shared" si="38"/>
        <v>8.6261668788331098E-3</v>
      </c>
      <c r="N620" s="295">
        <f t="shared" ref="N620:N655" si="45">1-M620-L620</f>
        <v>0.93684285814055523</v>
      </c>
      <c r="O620" s="294"/>
      <c r="P620" s="296">
        <f t="shared" si="20"/>
        <v>156.65587194757654</v>
      </c>
      <c r="Q620" s="297">
        <f t="shared" si="21"/>
        <v>45.718591944579728</v>
      </c>
      <c r="R620" s="297">
        <f t="shared" si="22"/>
        <v>6.8700981037092745</v>
      </c>
      <c r="S620" s="297">
        <f t="shared" si="23"/>
        <v>286.31057134131896</v>
      </c>
      <c r="T620" s="297">
        <f t="shared" si="24"/>
        <v>504.44486666281529</v>
      </c>
      <c r="U620" s="294">
        <f t="shared" ref="U620:U655" si="46">SUM(P620:T620)</f>
        <v>999.99999999999977</v>
      </c>
      <c r="V620" s="295" t="str">
        <f t="shared" si="39"/>
        <v>OKAY</v>
      </c>
      <c r="W620" s="295"/>
      <c r="X620" s="296">
        <f>SUM($P620:$Q620)-(SUM($P620:$Q620)*(VLOOKUP($B620,Lifetime_morbidity_array!$A$6:$Y$24,4)+VLOOKUP($B620,Lifetime_morbidity_array!$A$6:$Y$24,7)+VLOOKUP($B620,Lifetime_morbidity_array!$A$6:$Y$24,10)+VLOOKUP($B620,Lifetime_morbidity_array!$A$6:$Y$24,13)))</f>
        <v>32.085362213081424</v>
      </c>
      <c r="Y620" s="297">
        <f>SUM($R620:$S620)-(SUM($R620:$S620)*(VLOOKUP($B620,Lifetime_morbidity_array!$A$6:$Y$24,3)+VLOOKUP($B620,Lifetime_morbidity_array!$A$6:$Y$24,6)+VLOOKUP($B620,Lifetime_morbidity_array!$A$6:$Y$24,9)+VLOOKUP($B620,Lifetime_morbidity_array!$A$6:$Y$24,12)))</f>
        <v>170.6260929114967</v>
      </c>
      <c r="Z620" s="297">
        <f>(SUM($P620:$Q620)*VLOOKUP($B620,Lifetime_morbidity_array!$A$6:$Y$24,4))+(SUM($R620:$S620)*VLOOKUP($B620,Lifetime_morbidity_array!$A$6:$Y$24,3))</f>
        <v>133.36785887874049</v>
      </c>
      <c r="AA620" s="297">
        <f>(SUM($P620:$Q620)*VLOOKUP($B620,Lifetime_morbidity_array!$A$6:$Y$24,7))+(SUM($R620:$S620)*VLOOKUP($B620,Lifetime_morbidity_array!$A$6:$Y$24,6))</f>
        <v>88.422069479607103</v>
      </c>
      <c r="AB620" s="297">
        <f>(SUM($P620:$Q620)*VLOOKUP($B620,Lifetime_morbidity_array!$A$6:$Y$24,10))+(SUM($R620:$S620)*VLOOKUP($B620,Lifetime_morbidity_array!$A$6:$Y$24,9))</f>
        <v>4.135382600519347</v>
      </c>
      <c r="AC620" s="297">
        <f>(SUM($P620:$Q620)*VLOOKUP($B620,Lifetime_morbidity_array!$A$6:$Y$24,13))+(SUM($R620:$S620)*VLOOKUP($B620,Lifetime_morbidity_array!$A$6:$Y$24,12))</f>
        <v>66.91836725373939</v>
      </c>
      <c r="AD620" s="294"/>
      <c r="AE620" s="294">
        <f t="shared" si="25"/>
        <v>92</v>
      </c>
      <c r="AF620" s="297">
        <f t="shared" si="26"/>
        <v>52.962593377634946</v>
      </c>
      <c r="AG620" s="297">
        <f t="shared" si="27"/>
        <v>24924.935177067571</v>
      </c>
      <c r="AH620" s="294"/>
      <c r="AI620" s="294">
        <f t="shared" si="28"/>
        <v>92</v>
      </c>
      <c r="AJ620" s="295">
        <f>((VLOOKUP($B620,'Mahawesran Tariff'!$A$21:$M$120,7)*$X620)+(VLOOKUP($B620,'Mahawesran Tariff'!$A$21:$M$120,6)*$Y620)+(DET_UTIL_chd*$Z620)+(DET_UTIL_copd*$AA620)+(DET_UTIL_lc*$AB620)+(DET_UTIL_stroke*$AC620))/((1+Discount_rate_QALYs)^$A620)</f>
        <v>42.212237963332342</v>
      </c>
      <c r="AK620" s="295">
        <f t="shared" si="29"/>
        <v>22918.223513212761</v>
      </c>
      <c r="AL620" s="294"/>
      <c r="AM620" s="294">
        <f t="shared" ref="AM620:AM655" si="47">B620</f>
        <v>92</v>
      </c>
      <c r="AN620" s="299">
        <f t="shared" ref="AN620:AN655" si="48">(($Z620*DET_COST_chd)+($AA620*DET_COST_copd)+($AB620*DET_cost_lc)+($AC620*DET_COST_stroke))/((1+Discount_rate_costs)^$A620)</f>
        <v>193777.48266106576</v>
      </c>
      <c r="AO620" s="299">
        <f t="shared" si="30"/>
        <v>20336763.323520485</v>
      </c>
      <c r="AP620" s="294"/>
      <c r="AQ620" s="294">
        <f t="shared" ref="AQ620:AQ655" si="49">B620</f>
        <v>92</v>
      </c>
      <c r="AR620" s="298">
        <f t="shared" si="32"/>
        <v>0.49555513333718448</v>
      </c>
      <c r="AS620" s="298">
        <f t="shared" si="40"/>
        <v>0.50444486666281529</v>
      </c>
      <c r="AT620" s="298">
        <f t="shared" si="41"/>
        <v>0.29284367821260632</v>
      </c>
      <c r="AU620" s="250"/>
      <c r="AV620" s="294">
        <f t="shared" ref="AV620:AV655" si="50">B620</f>
        <v>92</v>
      </c>
      <c r="AW620" s="299">
        <f t="shared" ref="AW620:AW655" si="51">(($Z620*DET_COST_chd)+($AA620*DET_COST_copd)+($AB620*DET_cost_lc)+($AC620*DET_COST_stroke))/((1+Discount_rate_costs)^$A620)</f>
        <v>193777.48266106576</v>
      </c>
      <c r="AX620" s="299">
        <f t="shared" si="31"/>
        <v>20333723.323520485</v>
      </c>
      <c r="AY620" s="335"/>
      <c r="AZ620" s="335"/>
      <c r="BA620" s="335"/>
      <c r="BB620" s="335"/>
      <c r="BC620" s="335"/>
      <c r="BD620" s="335"/>
      <c r="BE620" s="335"/>
      <c r="BF620" s="335"/>
      <c r="BG620" s="335"/>
      <c r="BH620" s="335"/>
      <c r="BI620" s="335"/>
      <c r="BJ620" s="335"/>
      <c r="BK620" s="364"/>
      <c r="BL620" s="364"/>
      <c r="BM620" s="364"/>
      <c r="BN620" s="364"/>
      <c r="BO620" s="364"/>
      <c r="BP620" s="364"/>
      <c r="BQ620" s="335"/>
      <c r="BR620" s="335"/>
      <c r="BS620" s="364"/>
      <c r="BT620" s="364"/>
      <c r="BU620" s="364"/>
      <c r="BV620" s="364"/>
      <c r="BW620" s="364"/>
      <c r="BX620" s="364"/>
      <c r="BY620" s="335"/>
      <c r="BZ620" s="335"/>
      <c r="CA620" s="364"/>
      <c r="CB620" s="364"/>
      <c r="CC620" s="335"/>
      <c r="CD620" s="335"/>
      <c r="CE620" s="335"/>
      <c r="CF620" s="335"/>
      <c r="CG620" s="335"/>
      <c r="CH620" s="335"/>
      <c r="CI620" s="365"/>
      <c r="CJ620" s="365"/>
      <c r="CK620" s="335"/>
      <c r="CL620" s="335"/>
      <c r="CM620" s="366"/>
      <c r="CN620" s="366"/>
      <c r="CO620" s="366"/>
      <c r="CP620" s="3"/>
    </row>
    <row r="621" spans="1:94" x14ac:dyDescent="0.25">
      <c r="A621" s="34">
        <v>66</v>
      </c>
      <c r="B621" s="33">
        <f t="shared" ref="B621:B655" si="52">B620+1</f>
        <v>93</v>
      </c>
      <c r="C621" s="294">
        <f>VLOOKUP($B621,'Mother mortality'!$A$23:$I$124,5)</f>
        <v>7.3463397511548706E-2</v>
      </c>
      <c r="D621" s="295">
        <f t="shared" si="35"/>
        <v>0.27</v>
      </c>
      <c r="E621" s="295">
        <f t="shared" si="42"/>
        <v>0.65653660248845125</v>
      </c>
      <c r="F621" s="295">
        <f>VLOOKUP($B621,'Mother mortality'!$A$23:$I$124,5)</f>
        <v>7.3463397511548706E-2</v>
      </c>
      <c r="G621" s="295">
        <f t="shared" si="36"/>
        <v>0.14000000000000001</v>
      </c>
      <c r="H621" s="295">
        <f t="shared" si="43"/>
        <v>0.78653660248845125</v>
      </c>
      <c r="I621" s="295">
        <f>VLOOKUP($B621,'Mother mortality'!$A$23:$I$124,4)</f>
        <v>6.0362928819502989E-2</v>
      </c>
      <c r="J621" s="295">
        <f t="shared" si="44"/>
        <v>0.3682084997519256</v>
      </c>
      <c r="K621" s="295">
        <f t="shared" si="37"/>
        <v>0.5714285714285714</v>
      </c>
      <c r="L621" s="295">
        <f>VLOOKUP($B621,'Mother mortality'!$A$23:$I$124,4)</f>
        <v>6.0362928819502989E-2</v>
      </c>
      <c r="M621" s="295">
        <f t="shared" si="38"/>
        <v>8.6261668788331098E-3</v>
      </c>
      <c r="N621" s="295">
        <f t="shared" si="45"/>
        <v>0.93101090430166389</v>
      </c>
      <c r="O621" s="294"/>
      <c r="P621" s="296">
        <f t="shared" ref="P621:P655" si="53">(P620*E621)+(Q620*H621)+(R620*J621)+(S620*M621)</f>
        <v>143.809051190453</v>
      </c>
      <c r="Q621" s="297">
        <f t="shared" ref="Q621:Q655" si="54">P620*D621</f>
        <v>42.297085425845673</v>
      </c>
      <c r="R621" s="297">
        <f t="shared" ref="R621:R655" si="55">Q620*G621</f>
        <v>6.400602872241163</v>
      </c>
      <c r="S621" s="297">
        <f t="shared" ref="S621:S655" si="56">(R620*K621)+(S620*N621)</f>
        <v>270.48403428058418</v>
      </c>
      <c r="T621" s="297">
        <f t="shared" ref="T621:T655" si="57">T620+(P620*C621)+(Q620*F621)+(R620*I621)+(S620*L621)</f>
        <v>537.0092262308757</v>
      </c>
      <c r="U621" s="294">
        <f t="shared" si="46"/>
        <v>999.99999999999977</v>
      </c>
      <c r="V621" s="295" t="str">
        <f t="shared" si="39"/>
        <v>OKAY</v>
      </c>
      <c r="W621" s="295"/>
      <c r="X621" s="296">
        <f>SUM($P621:$Q621)-(SUM($P621:$Q621)*(VLOOKUP($B621,Lifetime_morbidity_array!$A$6:$Y$24,4)+VLOOKUP($B621,Lifetime_morbidity_array!$A$6:$Y$24,7)+VLOOKUP($B621,Lifetime_morbidity_array!$A$6:$Y$24,10)+VLOOKUP($B621,Lifetime_morbidity_array!$A$6:$Y$24,13)))</f>
        <v>29.50610807593398</v>
      </c>
      <c r="Y621" s="297">
        <f>SUM($R621:$S621)-(SUM($R621:$S621)*(VLOOKUP($B621,Lifetime_morbidity_array!$A$6:$Y$24,3)+VLOOKUP($B621,Lifetime_morbidity_array!$A$6:$Y$24,6)+VLOOKUP($B621,Lifetime_morbidity_array!$A$6:$Y$24,9)+VLOOKUP($B621,Lifetime_morbidity_array!$A$6:$Y$24,12)))</f>
        <v>161.14208318724877</v>
      </c>
      <c r="Z621" s="297">
        <f>(SUM($P621:$Q621)*VLOOKUP($B621,Lifetime_morbidity_array!$A$6:$Y$24,4))+(SUM($R621:$S621)*VLOOKUP($B621,Lifetime_morbidity_array!$A$6:$Y$24,3))</f>
        <v>124.13491916271036</v>
      </c>
      <c r="AA621" s="297">
        <f>(SUM($P621:$Q621)*VLOOKUP($B621,Lifetime_morbidity_array!$A$6:$Y$24,7))+(SUM($R621:$S621)*VLOOKUP($B621,Lifetime_morbidity_array!$A$6:$Y$24,6))</f>
        <v>82.033304959742281</v>
      </c>
      <c r="AB621" s="297">
        <f>(SUM($P621:$Q621)*VLOOKUP($B621,Lifetime_morbidity_array!$A$6:$Y$24,10))+(SUM($R621:$S621)*VLOOKUP($B621,Lifetime_morbidity_array!$A$6:$Y$24,9))</f>
        <v>3.8322813507899141</v>
      </c>
      <c r="AC621" s="297">
        <f>(SUM($P621:$Q621)*VLOOKUP($B621,Lifetime_morbidity_array!$A$6:$Y$24,13))+(SUM($R621:$S621)*VLOOKUP($B621,Lifetime_morbidity_array!$A$6:$Y$24,12))</f>
        <v>62.342077032698697</v>
      </c>
      <c r="AD621" s="294"/>
      <c r="AE621" s="294">
        <f t="shared" ref="AE621:AE655" si="58">B621</f>
        <v>93</v>
      </c>
      <c r="AF621" s="297">
        <f t="shared" ref="AF621:AF655" si="59">(SUM(P621:S621))/((1+Discount_rate_QALYs)^$A621)</f>
        <v>47.808954925040801</v>
      </c>
      <c r="AG621" s="297">
        <f t="shared" ref="AG621:AG655" si="60">AF621+AG620</f>
        <v>24972.744131992611</v>
      </c>
      <c r="AH621" s="294"/>
      <c r="AI621" s="294">
        <f t="shared" ref="AI621:AI655" si="61">B621</f>
        <v>93</v>
      </c>
      <c r="AJ621" s="295">
        <f>((VLOOKUP($B621,'Mahawesran Tariff'!$A$21:$M$120,7)*$X621)+(VLOOKUP($B621,'Mahawesran Tariff'!$A$21:$M$120,6)*$Y621)+(DET_UTIL_chd*$Z621)+(DET_UTIL_copd*$AA621)+(DET_UTIL_lc*$AB621)+(DET_UTIL_stroke*$AC621))/((1+Discount_rate_QALYs)^$A621)</f>
        <v>38.128078830387906</v>
      </c>
      <c r="AK621" s="295">
        <f t="shared" ref="AK621:AK655" si="62">AJ621+AK620</f>
        <v>22956.351592043149</v>
      </c>
      <c r="AL621" s="294"/>
      <c r="AM621" s="294">
        <f t="shared" si="47"/>
        <v>93</v>
      </c>
      <c r="AN621" s="299">
        <f t="shared" si="48"/>
        <v>174349.88909541632</v>
      </c>
      <c r="AO621" s="299">
        <f t="shared" ref="AO621:AO655" si="63">AN621+AO620</f>
        <v>20511113.212615903</v>
      </c>
      <c r="AP621" s="294"/>
      <c r="AQ621" s="294">
        <f t="shared" si="49"/>
        <v>93</v>
      </c>
      <c r="AR621" s="298">
        <f t="shared" si="32"/>
        <v>0.46299077376912401</v>
      </c>
      <c r="AS621" s="298">
        <f t="shared" si="40"/>
        <v>0.53700922623087566</v>
      </c>
      <c r="AT621" s="298">
        <f t="shared" si="41"/>
        <v>0.27234258250594129</v>
      </c>
      <c r="AU621" s="250"/>
      <c r="AV621" s="294">
        <f t="shared" si="50"/>
        <v>93</v>
      </c>
      <c r="AW621" s="299">
        <f t="shared" si="51"/>
        <v>174349.88909541632</v>
      </c>
      <c r="AX621" s="299">
        <f t="shared" ref="AX621:AX655" si="64">AW621+AX620</f>
        <v>20508073.212615903</v>
      </c>
      <c r="AY621" s="335"/>
      <c r="AZ621" s="335"/>
      <c r="BA621" s="335"/>
      <c r="BB621" s="335"/>
      <c r="BC621" s="335"/>
      <c r="BD621" s="335"/>
      <c r="BE621" s="335"/>
      <c r="BF621" s="335"/>
      <c r="BG621" s="335"/>
      <c r="BH621" s="335"/>
      <c r="BI621" s="335"/>
      <c r="BJ621" s="335"/>
      <c r="BK621" s="364"/>
      <c r="BL621" s="364"/>
      <c r="BM621" s="364"/>
      <c r="BN621" s="364"/>
      <c r="BO621" s="364"/>
      <c r="BP621" s="364"/>
      <c r="BQ621" s="335"/>
      <c r="BR621" s="335"/>
      <c r="BS621" s="364"/>
      <c r="BT621" s="364"/>
      <c r="BU621" s="364"/>
      <c r="BV621" s="364"/>
      <c r="BW621" s="364"/>
      <c r="BX621" s="364"/>
      <c r="BY621" s="335"/>
      <c r="BZ621" s="335"/>
      <c r="CA621" s="364"/>
      <c r="CB621" s="364"/>
      <c r="CC621" s="335"/>
      <c r="CD621" s="335"/>
      <c r="CE621" s="335"/>
      <c r="CF621" s="335"/>
      <c r="CG621" s="335"/>
      <c r="CH621" s="335"/>
      <c r="CI621" s="365"/>
      <c r="CJ621" s="365"/>
      <c r="CK621" s="335"/>
      <c r="CL621" s="335"/>
      <c r="CM621" s="366"/>
      <c r="CN621" s="366"/>
      <c r="CO621" s="366"/>
      <c r="CP621" s="3"/>
    </row>
    <row r="622" spans="1:94" x14ac:dyDescent="0.25">
      <c r="A622" s="34">
        <v>67</v>
      </c>
      <c r="B622" s="33">
        <f t="shared" si="52"/>
        <v>94</v>
      </c>
      <c r="C622" s="294">
        <f>VLOOKUP($B622,'Mother mortality'!$A$23:$I$124,5)</f>
        <v>8.1197699868496467E-2</v>
      </c>
      <c r="D622" s="295">
        <f t="shared" si="35"/>
        <v>0.27</v>
      </c>
      <c r="E622" s="295">
        <f t="shared" si="42"/>
        <v>0.64880230013150353</v>
      </c>
      <c r="F622" s="295">
        <f>VLOOKUP($B622,'Mother mortality'!$A$23:$I$124,5)</f>
        <v>8.1197699868496467E-2</v>
      </c>
      <c r="G622" s="295">
        <f t="shared" si="36"/>
        <v>0.14000000000000001</v>
      </c>
      <c r="H622" s="295">
        <f t="shared" si="43"/>
        <v>0.77880230013150353</v>
      </c>
      <c r="I622" s="295">
        <f>VLOOKUP($B622,'Mother mortality'!$A$23:$I$124,4)</f>
        <v>6.6718000303469666E-2</v>
      </c>
      <c r="J622" s="295">
        <f t="shared" si="44"/>
        <v>0.36185342826795897</v>
      </c>
      <c r="K622" s="295">
        <f t="shared" si="37"/>
        <v>0.5714285714285714</v>
      </c>
      <c r="L622" s="295">
        <f>VLOOKUP($B622,'Mother mortality'!$A$23:$I$124,4)</f>
        <v>6.6718000303469666E-2</v>
      </c>
      <c r="M622" s="295">
        <f t="shared" si="38"/>
        <v>8.6261668788331098E-3</v>
      </c>
      <c r="N622" s="295">
        <f t="shared" si="45"/>
        <v>0.92465583281769725</v>
      </c>
      <c r="O622" s="294"/>
      <c r="P622" s="296">
        <f t="shared" si="53"/>
        <v>130.8940311206689</v>
      </c>
      <c r="Q622" s="297">
        <f t="shared" si="54"/>
        <v>38.828443821422312</v>
      </c>
      <c r="R622" s="297">
        <f t="shared" si="55"/>
        <v>5.9215919596183948</v>
      </c>
      <c r="S622" s="297">
        <f t="shared" si="56"/>
        <v>253.76212733717054</v>
      </c>
      <c r="T622" s="297">
        <f t="shared" si="57"/>
        <v>570.59380576111948</v>
      </c>
      <c r="U622" s="294">
        <f t="shared" si="46"/>
        <v>999.99999999999955</v>
      </c>
      <c r="V622" s="295" t="str">
        <f t="shared" si="39"/>
        <v>OKAY</v>
      </c>
      <c r="W622" s="295"/>
      <c r="X622" s="296">
        <f>SUM($P622:$Q622)-(SUM($P622:$Q622)*(VLOOKUP($B622,Lifetime_morbidity_array!$A$6:$Y$24,4)+VLOOKUP($B622,Lifetime_morbidity_array!$A$6:$Y$24,7)+VLOOKUP($B622,Lifetime_morbidity_array!$A$6:$Y$24,10)+VLOOKUP($B622,Lifetime_morbidity_array!$A$6:$Y$24,13)))</f>
        <v>26.908568301974867</v>
      </c>
      <c r="Y622" s="297">
        <f>SUM($R622:$S622)-(SUM($R622:$S622)*(VLOOKUP($B622,Lifetime_morbidity_array!$A$6:$Y$24,3)+VLOOKUP($B622,Lifetime_morbidity_array!$A$6:$Y$24,6)+VLOOKUP($B622,Lifetime_morbidity_array!$A$6:$Y$24,9)+VLOOKUP($B622,Lifetime_morbidity_array!$A$6:$Y$24,12)))</f>
        <v>151.13144567208548</v>
      </c>
      <c r="Z622" s="297">
        <f>(SUM($P622:$Q622)*VLOOKUP($B622,Lifetime_morbidity_array!$A$6:$Y$24,4))+(SUM($R622:$S622)*VLOOKUP($B622,Lifetime_morbidity_array!$A$6:$Y$24,3))</f>
        <v>114.6749885902082</v>
      </c>
      <c r="AA622" s="297">
        <f>(SUM($P622:$Q622)*VLOOKUP($B622,Lifetime_morbidity_array!$A$6:$Y$24,7))+(SUM($R622:$S622)*VLOOKUP($B622,Lifetime_morbidity_array!$A$6:$Y$24,6))</f>
        <v>75.5211750492047</v>
      </c>
      <c r="AB622" s="297">
        <f>(SUM($P622:$Q622)*VLOOKUP($B622,Lifetime_morbidity_array!$A$6:$Y$24,10))+(SUM($R622:$S622)*VLOOKUP($B622,Lifetime_morbidity_array!$A$6:$Y$24,9))</f>
        <v>3.5238474698642572</v>
      </c>
      <c r="AC622" s="297">
        <f>(SUM($P622:$Q622)*VLOOKUP($B622,Lifetime_morbidity_array!$A$6:$Y$24,13))+(SUM($R622:$S622)*VLOOKUP($B622,Lifetime_morbidity_array!$A$6:$Y$24,12))</f>
        <v>57.646169155542616</v>
      </c>
      <c r="AD622" s="294"/>
      <c r="AE622" s="294">
        <f t="shared" si="58"/>
        <v>94</v>
      </c>
      <c r="AF622" s="297">
        <f t="shared" si="59"/>
        <v>42.841519777451865</v>
      </c>
      <c r="AG622" s="297">
        <f t="shared" si="60"/>
        <v>25015.585651770063</v>
      </c>
      <c r="AH622" s="294"/>
      <c r="AI622" s="294">
        <f t="shared" si="61"/>
        <v>94</v>
      </c>
      <c r="AJ622" s="295">
        <f>((VLOOKUP($B622,'Mahawesran Tariff'!$A$21:$M$120,7)*$X622)+(VLOOKUP($B622,'Mahawesran Tariff'!$A$21:$M$120,6)*$Y622)+(DET_UTIL_chd*$Z622)+(DET_UTIL_copd*$AA622)+(DET_UTIL_lc*$AB622)+(DET_UTIL_stroke*$AC622))/((1+Discount_rate_QALYs)^$A622)</f>
        <v>34.188452140390105</v>
      </c>
      <c r="AK622" s="295">
        <f t="shared" si="62"/>
        <v>22990.540044183541</v>
      </c>
      <c r="AL622" s="294"/>
      <c r="AM622" s="294">
        <f t="shared" si="47"/>
        <v>94</v>
      </c>
      <c r="AN622" s="299">
        <f t="shared" si="48"/>
        <v>155698.27043067111</v>
      </c>
      <c r="AO622" s="299">
        <f t="shared" si="63"/>
        <v>20666811.483046576</v>
      </c>
      <c r="AP622" s="294"/>
      <c r="AQ622" s="294">
        <f t="shared" si="49"/>
        <v>94</v>
      </c>
      <c r="AR622" s="298">
        <f t="shared" si="32"/>
        <v>0.4294061942388801</v>
      </c>
      <c r="AS622" s="298">
        <f t="shared" si="40"/>
        <v>0.57059380576111951</v>
      </c>
      <c r="AT622" s="298">
        <f t="shared" si="41"/>
        <v>0.25136618026481977</v>
      </c>
      <c r="AU622" s="250"/>
      <c r="AV622" s="294">
        <f t="shared" si="50"/>
        <v>94</v>
      </c>
      <c r="AW622" s="299">
        <f t="shared" si="51"/>
        <v>155698.27043067111</v>
      </c>
      <c r="AX622" s="299">
        <f t="shared" si="64"/>
        <v>20663771.483046576</v>
      </c>
      <c r="AY622" s="335"/>
      <c r="AZ622" s="335"/>
      <c r="BA622" s="335"/>
      <c r="BB622" s="335"/>
      <c r="BC622" s="335"/>
      <c r="BD622" s="335"/>
      <c r="BE622" s="335"/>
      <c r="BF622" s="335"/>
      <c r="BG622" s="335"/>
      <c r="BH622" s="335"/>
      <c r="BI622" s="335"/>
      <c r="BJ622" s="335"/>
      <c r="BK622" s="364"/>
      <c r="BL622" s="364"/>
      <c r="BM622" s="364"/>
      <c r="BN622" s="364"/>
      <c r="BO622" s="364"/>
      <c r="BP622" s="364"/>
      <c r="BQ622" s="335"/>
      <c r="BR622" s="335"/>
      <c r="BS622" s="364"/>
      <c r="BT622" s="364"/>
      <c r="BU622" s="364"/>
      <c r="BV622" s="364"/>
      <c r="BW622" s="364"/>
      <c r="BX622" s="364"/>
      <c r="BY622" s="335"/>
      <c r="BZ622" s="335"/>
      <c r="CA622" s="364"/>
      <c r="CB622" s="364"/>
      <c r="CC622" s="335"/>
      <c r="CD622" s="335"/>
      <c r="CE622" s="335"/>
      <c r="CF622" s="335"/>
      <c r="CG622" s="335"/>
      <c r="CH622" s="335"/>
      <c r="CI622" s="365"/>
      <c r="CJ622" s="365"/>
      <c r="CK622" s="335"/>
      <c r="CL622" s="335"/>
      <c r="CM622" s="366"/>
      <c r="CN622" s="366"/>
      <c r="CO622" s="366"/>
      <c r="CP622" s="3"/>
    </row>
    <row r="623" spans="1:94" x14ac:dyDescent="0.25">
      <c r="A623" s="34">
        <v>68</v>
      </c>
      <c r="B623" s="33">
        <f t="shared" si="52"/>
        <v>95</v>
      </c>
      <c r="C623" s="294">
        <f>VLOOKUP($B623,'Mother mortality'!$A$23:$I$124,5)</f>
        <v>8.9474751660653468E-2</v>
      </c>
      <c r="D623" s="295">
        <f t="shared" si="35"/>
        <v>0.27</v>
      </c>
      <c r="E623" s="295">
        <f t="shared" si="42"/>
        <v>0.64052524833934654</v>
      </c>
      <c r="F623" s="295">
        <f>VLOOKUP($B623,'Mother mortality'!$A$23:$I$124,5)</f>
        <v>8.9474751660653468E-2</v>
      </c>
      <c r="G623" s="295">
        <f t="shared" si="36"/>
        <v>0.14000000000000001</v>
      </c>
      <c r="H623" s="295">
        <f t="shared" si="43"/>
        <v>0.77052524833934655</v>
      </c>
      <c r="I623" s="295">
        <f>VLOOKUP($B623,'Mother mortality'!$A$23:$I$124,4)</f>
        <v>7.3519034629261223E-2</v>
      </c>
      <c r="J623" s="295">
        <f t="shared" si="44"/>
        <v>0.35505239394216737</v>
      </c>
      <c r="K623" s="295">
        <f t="shared" si="37"/>
        <v>0.5714285714285714</v>
      </c>
      <c r="L623" s="295">
        <f>VLOOKUP($B623,'Mother mortality'!$A$23:$I$124,4)</f>
        <v>7.3519034629261223E-2</v>
      </c>
      <c r="M623" s="295">
        <f t="shared" si="38"/>
        <v>8.6261668788331098E-3</v>
      </c>
      <c r="N623" s="295">
        <f t="shared" si="45"/>
        <v>0.91785479849190565</v>
      </c>
      <c r="O623" s="294"/>
      <c r="P623" s="296">
        <f t="shared" si="53"/>
        <v>118.05069796698574</v>
      </c>
      <c r="Q623" s="297">
        <f t="shared" si="54"/>
        <v>35.341388402580606</v>
      </c>
      <c r="R623" s="297">
        <f t="shared" si="55"/>
        <v>5.435982134999124</v>
      </c>
      <c r="S623" s="297">
        <f t="shared" si="56"/>
        <v>236.30055308600362</v>
      </c>
      <c r="T623" s="297">
        <f t="shared" si="57"/>
        <v>604.87137840943058</v>
      </c>
      <c r="U623" s="294">
        <f t="shared" si="46"/>
        <v>999.99999999999966</v>
      </c>
      <c r="V623" s="295" t="str">
        <f t="shared" si="39"/>
        <v>OKAY</v>
      </c>
      <c r="W623" s="295"/>
      <c r="X623" s="296">
        <f>SUM($P623:$Q623)-(SUM($P623:$Q623)*(VLOOKUP($B623,Lifetime_morbidity_array!$A$6:$Y$24,4)+VLOOKUP($B623,Lifetime_morbidity_array!$A$6:$Y$24,7)+VLOOKUP($B623,Lifetime_morbidity_array!$A$6:$Y$24,10)+VLOOKUP($B623,Lifetime_morbidity_array!$A$6:$Y$24,13)))</f>
        <v>24.319474686344364</v>
      </c>
      <c r="Y623" s="297">
        <f>SUM($R623:$S623)-(SUM($R623:$S623)*(VLOOKUP($B623,Lifetime_morbidity_array!$A$6:$Y$24,3)+VLOOKUP($B623,Lifetime_morbidity_array!$A$6:$Y$24,6)+VLOOKUP($B623,Lifetime_morbidity_array!$A$6:$Y$24,9)+VLOOKUP($B623,Lifetime_morbidity_array!$A$6:$Y$24,12)))</f>
        <v>140.68649408843748</v>
      </c>
      <c r="Z623" s="297">
        <f>(SUM($P623:$Q623)*VLOOKUP($B623,Lifetime_morbidity_array!$A$6:$Y$24,4))+(SUM($R623:$S623)*VLOOKUP($B623,Lifetime_morbidity_array!$A$6:$Y$24,3))</f>
        <v>105.08165605859007</v>
      </c>
      <c r="AA623" s="297">
        <f>(SUM($P623:$Q623)*VLOOKUP($B623,Lifetime_morbidity_array!$A$6:$Y$24,7))+(SUM($R623:$S623)*VLOOKUP($B623,Lifetime_morbidity_array!$A$6:$Y$24,6))</f>
        <v>68.950877615228507</v>
      </c>
      <c r="AB623" s="297">
        <f>(SUM($P623:$Q623)*VLOOKUP($B623,Lifetime_morbidity_array!$A$6:$Y$24,10))+(SUM($R623:$S623)*VLOOKUP($B623,Lifetime_morbidity_array!$A$6:$Y$24,9))</f>
        <v>3.2131809022173363</v>
      </c>
      <c r="AC623" s="297">
        <f>(SUM($P623:$Q623)*VLOOKUP($B623,Lifetime_morbidity_array!$A$6:$Y$24,13))+(SUM($R623:$S623)*VLOOKUP($B623,Lifetime_morbidity_array!$A$6:$Y$24,12))</f>
        <v>52.87693823975134</v>
      </c>
      <c r="AD623" s="294"/>
      <c r="AE623" s="294">
        <f t="shared" si="58"/>
        <v>95</v>
      </c>
      <c r="AF623" s="297">
        <f t="shared" si="59"/>
        <v>38.088573133726292</v>
      </c>
      <c r="AG623" s="297">
        <f t="shared" si="60"/>
        <v>25053.674224903789</v>
      </c>
      <c r="AH623" s="294"/>
      <c r="AI623" s="294">
        <f t="shared" si="61"/>
        <v>95</v>
      </c>
      <c r="AJ623" s="295">
        <f>((VLOOKUP($B623,'Mahawesran Tariff'!$A$21:$M$120,7)*$X623)+(VLOOKUP($B623,'Mahawesran Tariff'!$A$21:$M$120,6)*$Y623)+(DET_UTIL_chd*$Z623)+(DET_UTIL_copd*$AA623)+(DET_UTIL_lc*$AB623)+(DET_UTIL_stroke*$AC623))/((1+Discount_rate_QALYs)^$A623)</f>
        <v>30.415957464985262</v>
      </c>
      <c r="AK623" s="295">
        <f t="shared" si="62"/>
        <v>23020.956001648527</v>
      </c>
      <c r="AL623" s="294"/>
      <c r="AM623" s="294">
        <f t="shared" si="47"/>
        <v>95</v>
      </c>
      <c r="AN623" s="299">
        <f t="shared" si="48"/>
        <v>137924.75413169939</v>
      </c>
      <c r="AO623" s="299">
        <f t="shared" si="63"/>
        <v>20804736.237178277</v>
      </c>
      <c r="AP623" s="294"/>
      <c r="AQ623" s="294">
        <f t="shared" si="49"/>
        <v>95</v>
      </c>
      <c r="AR623" s="298">
        <f t="shared" si="32"/>
        <v>0.39512862159056911</v>
      </c>
      <c r="AS623" s="298">
        <f t="shared" si="40"/>
        <v>0.60487137840943062</v>
      </c>
      <c r="AT623" s="298">
        <f t="shared" si="41"/>
        <v>0.23012265281578725</v>
      </c>
      <c r="AU623" s="250"/>
      <c r="AV623" s="294">
        <f t="shared" si="50"/>
        <v>95</v>
      </c>
      <c r="AW623" s="299">
        <f t="shared" si="51"/>
        <v>137924.75413169939</v>
      </c>
      <c r="AX623" s="299">
        <f t="shared" si="64"/>
        <v>20801696.237178277</v>
      </c>
      <c r="AY623" s="335"/>
      <c r="AZ623" s="335"/>
      <c r="BA623" s="335"/>
      <c r="BB623" s="335"/>
      <c r="BC623" s="335"/>
      <c r="BD623" s="335"/>
      <c r="BE623" s="335"/>
      <c r="BF623" s="335"/>
      <c r="BG623" s="335"/>
      <c r="BH623" s="335"/>
      <c r="BI623" s="335"/>
      <c r="BJ623" s="335"/>
      <c r="BK623" s="364"/>
      <c r="BL623" s="364"/>
      <c r="BM623" s="364"/>
      <c r="BN623" s="364"/>
      <c r="BO623" s="364"/>
      <c r="BP623" s="364"/>
      <c r="BQ623" s="335"/>
      <c r="BR623" s="335"/>
      <c r="BS623" s="364"/>
      <c r="BT623" s="364"/>
      <c r="BU623" s="364"/>
      <c r="BV623" s="364"/>
      <c r="BW623" s="364"/>
      <c r="BX623" s="364"/>
      <c r="BY623" s="335"/>
      <c r="BZ623" s="335"/>
      <c r="CA623" s="364"/>
      <c r="CB623" s="364"/>
      <c r="CC623" s="335"/>
      <c r="CD623" s="335"/>
      <c r="CE623" s="335"/>
      <c r="CF623" s="335"/>
      <c r="CG623" s="335"/>
      <c r="CH623" s="335"/>
      <c r="CI623" s="365"/>
      <c r="CJ623" s="365"/>
      <c r="CK623" s="335"/>
      <c r="CL623" s="335"/>
      <c r="CM623" s="366"/>
      <c r="CN623" s="366"/>
      <c r="CO623" s="366"/>
      <c r="CP623" s="3"/>
    </row>
    <row r="624" spans="1:94" x14ac:dyDescent="0.25">
      <c r="A624" s="34">
        <v>69</v>
      </c>
      <c r="B624" s="33">
        <f t="shared" si="52"/>
        <v>96</v>
      </c>
      <c r="C624" s="294">
        <f>VLOOKUP($B624,'Mother mortality'!$A$23:$I$124,5)</f>
        <v>9.8124452068651585E-2</v>
      </c>
      <c r="D624" s="295">
        <f t="shared" si="35"/>
        <v>0.27</v>
      </c>
      <c r="E624" s="295">
        <f t="shared" si="42"/>
        <v>0.63187554793134837</v>
      </c>
      <c r="F624" s="295">
        <f>VLOOKUP($B624,'Mother mortality'!$A$23:$I$124,5)</f>
        <v>9.8124452068651585E-2</v>
      </c>
      <c r="G624" s="295">
        <f t="shared" si="36"/>
        <v>0.14000000000000001</v>
      </c>
      <c r="H624" s="295">
        <f t="shared" si="43"/>
        <v>0.76187554793134837</v>
      </c>
      <c r="I624" s="295">
        <f>VLOOKUP($B624,'Mother mortality'!$A$23:$I$124,4)</f>
        <v>8.0626264456957905E-2</v>
      </c>
      <c r="J624" s="295">
        <f t="shared" si="44"/>
        <v>0.34794516411447074</v>
      </c>
      <c r="K624" s="295">
        <f t="shared" si="37"/>
        <v>0.5714285714285714</v>
      </c>
      <c r="L624" s="295">
        <f>VLOOKUP($B624,'Mother mortality'!$A$23:$I$124,4)</f>
        <v>8.0626264456957905E-2</v>
      </c>
      <c r="M624" s="295">
        <f t="shared" si="38"/>
        <v>8.6261668788331098E-3</v>
      </c>
      <c r="N624" s="295">
        <f t="shared" si="45"/>
        <v>0.91074756866420903</v>
      </c>
      <c r="O624" s="294"/>
      <c r="P624" s="296">
        <f t="shared" si="53"/>
        <v>105.44888081600396</v>
      </c>
      <c r="Q624" s="297">
        <f t="shared" si="54"/>
        <v>31.873688451086153</v>
      </c>
      <c r="R624" s="297">
        <f t="shared" si="55"/>
        <v>4.9477943763612853</v>
      </c>
      <c r="S624" s="297">
        <f t="shared" si="56"/>
        <v>218.31642970279944</v>
      </c>
      <c r="T624" s="297">
        <f t="shared" si="57"/>
        <v>639.41320665374872</v>
      </c>
      <c r="U624" s="294">
        <f t="shared" si="46"/>
        <v>999.99999999999955</v>
      </c>
      <c r="V624" s="295" t="str">
        <f t="shared" si="39"/>
        <v>OKAY</v>
      </c>
      <c r="W624" s="295"/>
      <c r="X624" s="296">
        <f>SUM($P624:$Q624)-(SUM($P624:$Q624)*(VLOOKUP($B624,Lifetime_morbidity_array!$A$6:$Y$24,4)+VLOOKUP($B624,Lifetime_morbidity_array!$A$6:$Y$24,7)+VLOOKUP($B624,Lifetime_morbidity_array!$A$6:$Y$24,10)+VLOOKUP($B624,Lifetime_morbidity_array!$A$6:$Y$24,13)))</f>
        <v>21.771740812682253</v>
      </c>
      <c r="Y624" s="297">
        <f>SUM($R624:$S624)-(SUM($R624:$S624)*(VLOOKUP($B624,Lifetime_morbidity_array!$A$6:$Y$24,3)+VLOOKUP($B624,Lifetime_morbidity_array!$A$6:$Y$24,6)+VLOOKUP($B624,Lifetime_morbidity_array!$A$6:$Y$24,9)+VLOOKUP($B624,Lifetime_morbidity_array!$A$6:$Y$24,12)))</f>
        <v>129.93592760960286</v>
      </c>
      <c r="Z624" s="297">
        <f>(SUM($P624:$Q624)*VLOOKUP($B624,Lifetime_morbidity_array!$A$6:$Y$24,4))+(SUM($R624:$S624)*VLOOKUP($B624,Lifetime_morbidity_array!$A$6:$Y$24,3))</f>
        <v>95.475440758083607</v>
      </c>
      <c r="AA624" s="297">
        <f>(SUM($P624:$Q624)*VLOOKUP($B624,Lifetime_morbidity_array!$A$6:$Y$24,7))+(SUM($R624:$S624)*VLOOKUP($B624,Lifetime_morbidity_array!$A$6:$Y$24,6))</f>
        <v>62.405243294666612</v>
      </c>
      <c r="AB624" s="297">
        <f>(SUM($P624:$Q624)*VLOOKUP($B624,Lifetime_morbidity_array!$A$6:$Y$24,10))+(SUM($R624:$S624)*VLOOKUP($B624,Lifetime_morbidity_array!$A$6:$Y$24,9))</f>
        <v>2.9042026797749898</v>
      </c>
      <c r="AC624" s="297">
        <f>(SUM($P624:$Q624)*VLOOKUP($B624,Lifetime_morbidity_array!$A$6:$Y$24,13))+(SUM($R624:$S624)*VLOOKUP($B624,Lifetime_morbidity_array!$A$6:$Y$24,12))</f>
        <v>48.094238191440496</v>
      </c>
      <c r="AD624" s="294"/>
      <c r="AE624" s="294">
        <f t="shared" si="58"/>
        <v>96</v>
      </c>
      <c r="AF624" s="297">
        <f t="shared" si="59"/>
        <v>33.583478760725384</v>
      </c>
      <c r="AG624" s="297">
        <f t="shared" si="60"/>
        <v>25087.257703664513</v>
      </c>
      <c r="AH624" s="294"/>
      <c r="AI624" s="294">
        <f t="shared" si="61"/>
        <v>96</v>
      </c>
      <c r="AJ624" s="295">
        <f>((VLOOKUP($B624,'Mahawesran Tariff'!$A$21:$M$120,7)*$X624)+(VLOOKUP($B624,'Mahawesran Tariff'!$A$21:$M$120,6)*$Y624)+(DET_UTIL_chd*$Z624)+(DET_UTIL_copd*$AA624)+(DET_UTIL_lc*$AB624)+(DET_UTIL_stroke*$AC624))/((1+Discount_rate_QALYs)^$A624)</f>
        <v>26.837275037176369</v>
      </c>
      <c r="AK624" s="295">
        <f t="shared" si="62"/>
        <v>23047.793276685705</v>
      </c>
      <c r="AL624" s="294"/>
      <c r="AM624" s="294">
        <f t="shared" si="47"/>
        <v>96</v>
      </c>
      <c r="AN624" s="299">
        <f t="shared" si="48"/>
        <v>121149.24392111633</v>
      </c>
      <c r="AO624" s="299">
        <f t="shared" si="63"/>
        <v>20925885.481099393</v>
      </c>
      <c r="AP624" s="294"/>
      <c r="AQ624" s="294">
        <f t="shared" si="49"/>
        <v>96</v>
      </c>
      <c r="AR624" s="298">
        <f t="shared" si="32"/>
        <v>0.36058679334625082</v>
      </c>
      <c r="AS624" s="298">
        <f t="shared" si="40"/>
        <v>0.63941320665374868</v>
      </c>
      <c r="AT624" s="298">
        <f t="shared" si="41"/>
        <v>0.20887912492396568</v>
      </c>
      <c r="AU624" s="250"/>
      <c r="AV624" s="294">
        <f t="shared" si="50"/>
        <v>96</v>
      </c>
      <c r="AW624" s="299">
        <f t="shared" si="51"/>
        <v>121149.24392111633</v>
      </c>
      <c r="AX624" s="299">
        <f t="shared" si="64"/>
        <v>20922845.481099393</v>
      </c>
      <c r="AY624" s="335"/>
      <c r="AZ624" s="335"/>
      <c r="BA624" s="335"/>
      <c r="BB624" s="335"/>
      <c r="BC624" s="335"/>
      <c r="BD624" s="335"/>
      <c r="BE624" s="335"/>
      <c r="BF624" s="335"/>
      <c r="BG624" s="335"/>
      <c r="BH624" s="335"/>
      <c r="BI624" s="335"/>
      <c r="BJ624" s="335"/>
      <c r="BK624" s="364"/>
      <c r="BL624" s="364"/>
      <c r="BM624" s="364"/>
      <c r="BN624" s="364"/>
      <c r="BO624" s="364"/>
      <c r="BP624" s="364"/>
      <c r="BQ624" s="335"/>
      <c r="BR624" s="335"/>
      <c r="BS624" s="364"/>
      <c r="BT624" s="364"/>
      <c r="BU624" s="364"/>
      <c r="BV624" s="364"/>
      <c r="BW624" s="364"/>
      <c r="BX624" s="364"/>
      <c r="BY624" s="335"/>
      <c r="BZ624" s="335"/>
      <c r="CA624" s="364"/>
      <c r="CB624" s="364"/>
      <c r="CC624" s="335"/>
      <c r="CD624" s="335"/>
      <c r="CE624" s="335"/>
      <c r="CF624" s="335"/>
      <c r="CG624" s="335"/>
      <c r="CH624" s="335"/>
      <c r="CI624" s="365"/>
      <c r="CJ624" s="365"/>
      <c r="CK624" s="335"/>
      <c r="CL624" s="335"/>
      <c r="CM624" s="366"/>
      <c r="CN624" s="366"/>
      <c r="CO624" s="366"/>
      <c r="CP624" s="3"/>
    </row>
    <row r="625" spans="1:94" x14ac:dyDescent="0.25">
      <c r="A625" s="34">
        <v>70</v>
      </c>
      <c r="B625" s="33">
        <f t="shared" si="52"/>
        <v>97</v>
      </c>
      <c r="C625" s="294">
        <f>VLOOKUP($B625,'Mother mortality'!$A$23:$I$124,5)</f>
        <v>0.10693712479347205</v>
      </c>
      <c r="D625" s="295">
        <f t="shared" si="35"/>
        <v>0.27</v>
      </c>
      <c r="E625" s="295">
        <f t="shared" si="42"/>
        <v>0.62306287520652792</v>
      </c>
      <c r="F625" s="295">
        <f>VLOOKUP($B625,'Mother mortality'!$A$23:$I$124,5)</f>
        <v>0.10693712479347205</v>
      </c>
      <c r="G625" s="295">
        <f t="shared" si="36"/>
        <v>0.14000000000000001</v>
      </c>
      <c r="H625" s="295">
        <f t="shared" si="43"/>
        <v>0.75306287520652793</v>
      </c>
      <c r="I625" s="295">
        <f>VLOOKUP($B625,'Mother mortality'!$A$23:$I$124,4)</f>
        <v>8.7867404322756887E-2</v>
      </c>
      <c r="J625" s="295">
        <f t="shared" si="44"/>
        <v>0.34070402424867174</v>
      </c>
      <c r="K625" s="295">
        <f t="shared" si="37"/>
        <v>0.5714285714285714</v>
      </c>
      <c r="L625" s="295">
        <f>VLOOKUP($B625,'Mother mortality'!$A$23:$I$124,4)</f>
        <v>8.7867404322756887E-2</v>
      </c>
      <c r="M625" s="295">
        <f t="shared" si="38"/>
        <v>8.6261668788331098E-3</v>
      </c>
      <c r="N625" s="295">
        <f t="shared" si="45"/>
        <v>0.90350642879841003</v>
      </c>
      <c r="O625" s="294"/>
      <c r="P625" s="296">
        <f t="shared" si="53"/>
        <v>93.27314174713058</v>
      </c>
      <c r="Q625" s="297">
        <f t="shared" si="54"/>
        <v>28.471197820321073</v>
      </c>
      <c r="R625" s="297">
        <f t="shared" si="55"/>
        <v>4.4623163831520616</v>
      </c>
      <c r="S625" s="297">
        <f t="shared" si="56"/>
        <v>200.07760882100189</v>
      </c>
      <c r="T625" s="297">
        <f t="shared" si="57"/>
        <v>673.71573522839401</v>
      </c>
      <c r="U625" s="294">
        <f t="shared" si="46"/>
        <v>999.99999999999955</v>
      </c>
      <c r="V625" s="295" t="str">
        <f t="shared" si="39"/>
        <v>OKAY</v>
      </c>
      <c r="W625" s="295"/>
      <c r="X625" s="296">
        <f>SUM($P625:$Q625)-(SUM($P625:$Q625)*(VLOOKUP($B625,Lifetime_morbidity_array!$A$6:$Y$24,4)+VLOOKUP($B625,Lifetime_morbidity_array!$A$6:$Y$24,7)+VLOOKUP($B625,Lifetime_morbidity_array!$A$6:$Y$24,10)+VLOOKUP($B625,Lifetime_morbidity_array!$A$6:$Y$24,13)))</f>
        <v>19.301897864424518</v>
      </c>
      <c r="Y625" s="297">
        <f>SUM($R625:$S625)-(SUM($R625:$S625)*(VLOOKUP($B625,Lifetime_morbidity_array!$A$6:$Y$24,3)+VLOOKUP($B625,Lifetime_morbidity_array!$A$6:$Y$24,6)+VLOOKUP($B625,Lifetime_morbidity_array!$A$6:$Y$24,9)+VLOOKUP($B625,Lifetime_morbidity_array!$A$6:$Y$24,12)))</f>
        <v>119.0387086162866</v>
      </c>
      <c r="Z625" s="297">
        <f>(SUM($P625:$Q625)*VLOOKUP($B625,Lifetime_morbidity_array!$A$6:$Y$24,4))+(SUM($R625:$S625)*VLOOKUP($B625,Lifetime_morbidity_array!$A$6:$Y$24,3))</f>
        <v>85.995775768210351</v>
      </c>
      <c r="AA625" s="297">
        <f>(SUM($P625:$Q625)*VLOOKUP($B625,Lifetime_morbidity_array!$A$6:$Y$24,7))+(SUM($R625:$S625)*VLOOKUP($B625,Lifetime_morbidity_array!$A$6:$Y$24,6))</f>
        <v>55.978945954757123</v>
      </c>
      <c r="AB625" s="297">
        <f>(SUM($P625:$Q625)*VLOOKUP($B625,Lifetime_morbidity_array!$A$6:$Y$24,10))+(SUM($R625:$S625)*VLOOKUP($B625,Lifetime_morbidity_array!$A$6:$Y$24,9))</f>
        <v>2.6013765057691742</v>
      </c>
      <c r="AC625" s="297">
        <f>(SUM($P625:$Q625)*VLOOKUP($B625,Lifetime_morbidity_array!$A$6:$Y$24,13))+(SUM($R625:$S625)*VLOOKUP($B625,Lifetime_morbidity_array!$A$6:$Y$24,12))</f>
        <v>43.367560062157821</v>
      </c>
      <c r="AD625" s="294"/>
      <c r="AE625" s="294">
        <f t="shared" si="58"/>
        <v>97</v>
      </c>
      <c r="AF625" s="297">
        <f t="shared" si="59"/>
        <v>29.361054198014831</v>
      </c>
      <c r="AG625" s="297">
        <f t="shared" si="60"/>
        <v>25116.618757862529</v>
      </c>
      <c r="AH625" s="294"/>
      <c r="AI625" s="294">
        <f t="shared" si="61"/>
        <v>97</v>
      </c>
      <c r="AJ625" s="295">
        <f>((VLOOKUP($B625,'Mahawesran Tariff'!$A$21:$M$120,7)*$X625)+(VLOOKUP($B625,'Mahawesran Tariff'!$A$21:$M$120,6)*$Y625)+(DET_UTIL_chd*$Z625)+(DET_UTIL_copd*$AA625)+(DET_UTIL_lc*$AB625)+(DET_UTIL_stroke*$AC625))/((1+Discount_rate_QALYs)^$A625)</f>
        <v>23.480308049111862</v>
      </c>
      <c r="AK625" s="295">
        <f t="shared" si="62"/>
        <v>23071.273584734816</v>
      </c>
      <c r="AL625" s="294"/>
      <c r="AM625" s="294">
        <f t="shared" si="47"/>
        <v>97</v>
      </c>
      <c r="AN625" s="299">
        <f t="shared" si="48"/>
        <v>105495.39186022957</v>
      </c>
      <c r="AO625" s="299">
        <f t="shared" si="63"/>
        <v>21031380.872959621</v>
      </c>
      <c r="AP625" s="294"/>
      <c r="AQ625" s="294">
        <f t="shared" si="49"/>
        <v>97</v>
      </c>
      <c r="AR625" s="298">
        <f t="shared" si="32"/>
        <v>0.3262842647716056</v>
      </c>
      <c r="AS625" s="298">
        <f t="shared" si="40"/>
        <v>0.67371573522839401</v>
      </c>
      <c r="AT625" s="298">
        <f t="shared" si="41"/>
        <v>0.18794365829089446</v>
      </c>
      <c r="AU625" s="250"/>
      <c r="AV625" s="294">
        <f t="shared" si="50"/>
        <v>97</v>
      </c>
      <c r="AW625" s="299">
        <f t="shared" si="51"/>
        <v>105495.39186022957</v>
      </c>
      <c r="AX625" s="299">
        <f t="shared" si="64"/>
        <v>21028340.872959621</v>
      </c>
      <c r="AY625" s="335"/>
      <c r="AZ625" s="335"/>
      <c r="BA625" s="335"/>
      <c r="BB625" s="335"/>
      <c r="BC625" s="335"/>
      <c r="BD625" s="335"/>
      <c r="BE625" s="335"/>
      <c r="BF625" s="335"/>
      <c r="BG625" s="335"/>
      <c r="BH625" s="335"/>
      <c r="BI625" s="335"/>
      <c r="BJ625" s="335"/>
      <c r="BK625" s="364"/>
      <c r="BL625" s="364"/>
      <c r="BM625" s="364"/>
      <c r="BN625" s="364"/>
      <c r="BO625" s="364"/>
      <c r="BP625" s="364"/>
      <c r="BQ625" s="335"/>
      <c r="BR625" s="335"/>
      <c r="BS625" s="364"/>
      <c r="BT625" s="364"/>
      <c r="BU625" s="364"/>
      <c r="BV625" s="364"/>
      <c r="BW625" s="364"/>
      <c r="BX625" s="364"/>
      <c r="BY625" s="335"/>
      <c r="BZ625" s="335"/>
      <c r="CA625" s="364"/>
      <c r="CB625" s="364"/>
      <c r="CC625" s="335"/>
      <c r="CD625" s="335"/>
      <c r="CE625" s="335"/>
      <c r="CF625" s="335"/>
      <c r="CG625" s="335"/>
      <c r="CH625" s="335"/>
      <c r="CI625" s="365"/>
      <c r="CJ625" s="365"/>
      <c r="CK625" s="335"/>
      <c r="CL625" s="335"/>
      <c r="CM625" s="366"/>
      <c r="CN625" s="366"/>
      <c r="CO625" s="366"/>
      <c r="CP625" s="3"/>
    </row>
    <row r="626" spans="1:94" x14ac:dyDescent="0.25">
      <c r="A626" s="34">
        <v>71</v>
      </c>
      <c r="B626" s="33">
        <f t="shared" si="52"/>
        <v>98</v>
      </c>
      <c r="C626" s="294">
        <f>VLOOKUP($B626,'Mother mortality'!$A$23:$I$124,5)</f>
        <v>0.1158972837778602</v>
      </c>
      <c r="D626" s="295">
        <f t="shared" si="35"/>
        <v>0.27</v>
      </c>
      <c r="E626" s="295">
        <f t="shared" si="42"/>
        <v>0.61410271622213974</v>
      </c>
      <c r="F626" s="295">
        <f>VLOOKUP($B626,'Mother mortality'!$A$23:$I$124,5)</f>
        <v>0.1158972837778602</v>
      </c>
      <c r="G626" s="295">
        <f t="shared" si="36"/>
        <v>0.14000000000000001</v>
      </c>
      <c r="H626" s="295">
        <f t="shared" si="43"/>
        <v>0.74410271622213975</v>
      </c>
      <c r="I626" s="295">
        <f>VLOOKUP($B626,'Mother mortality'!$A$23:$I$124,4)</f>
        <v>9.5229729743399535E-2</v>
      </c>
      <c r="J626" s="295">
        <f t="shared" si="44"/>
        <v>0.33334169882802911</v>
      </c>
      <c r="K626" s="295">
        <f t="shared" si="37"/>
        <v>0.5714285714285714</v>
      </c>
      <c r="L626" s="295">
        <f>VLOOKUP($B626,'Mother mortality'!$A$23:$I$124,4)</f>
        <v>9.5229729743399535E-2</v>
      </c>
      <c r="M626" s="295">
        <f t="shared" si="38"/>
        <v>8.6261668788331098E-3</v>
      </c>
      <c r="N626" s="295">
        <f t="shared" si="45"/>
        <v>0.8961441033777674</v>
      </c>
      <c r="O626" s="294"/>
      <c r="P626" s="296">
        <f t="shared" si="53"/>
        <v>81.678164295960215</v>
      </c>
      <c r="Q626" s="297">
        <f t="shared" si="54"/>
        <v>25.183748271725257</v>
      </c>
      <c r="R626" s="297">
        <f t="shared" si="55"/>
        <v>3.9859676948449505</v>
      </c>
      <c r="S626" s="297">
        <f t="shared" si="56"/>
        <v>181.84826443895133</v>
      </c>
      <c r="T626" s="297">
        <f t="shared" si="57"/>
        <v>707.30385529851787</v>
      </c>
      <c r="U626" s="294">
        <f t="shared" si="46"/>
        <v>999.99999999999955</v>
      </c>
      <c r="V626" s="295" t="str">
        <f t="shared" si="39"/>
        <v>OKAY</v>
      </c>
      <c r="W626" s="295"/>
      <c r="X626" s="296">
        <f>SUM($P626:$Q626)-(SUM($P626:$Q626)*(VLOOKUP($B626,Lifetime_morbidity_array!$A$6:$Y$24,4)+VLOOKUP($B626,Lifetime_morbidity_array!$A$6:$Y$24,7)+VLOOKUP($B626,Lifetime_morbidity_array!$A$6:$Y$24,10)+VLOOKUP($B626,Lifetime_morbidity_array!$A$6:$Y$24,13)))</f>
        <v>16.942370621146921</v>
      </c>
      <c r="Y626" s="297">
        <f>SUM($R626:$S626)-(SUM($R626:$S626)*(VLOOKUP($B626,Lifetime_morbidity_array!$A$6:$Y$24,3)+VLOOKUP($B626,Lifetime_morbidity_array!$A$6:$Y$24,6)+VLOOKUP($B626,Lifetime_morbidity_array!$A$6:$Y$24,9)+VLOOKUP($B626,Lifetime_morbidity_array!$A$6:$Y$24,12)))</f>
        <v>108.15231788036795</v>
      </c>
      <c r="Z626" s="297">
        <f>(SUM($P626:$Q626)*VLOOKUP($B626,Lifetime_morbidity_array!$A$6:$Y$24,4))+(SUM($R626:$S626)*VLOOKUP($B626,Lifetime_morbidity_array!$A$6:$Y$24,3))</f>
        <v>76.772182871151912</v>
      </c>
      <c r="AA626" s="297">
        <f>(SUM($P626:$Q626)*VLOOKUP($B626,Lifetime_morbidity_array!$A$6:$Y$24,7))+(SUM($R626:$S626)*VLOOKUP($B626,Lifetime_morbidity_array!$A$6:$Y$24,6))</f>
        <v>49.758802281786728</v>
      </c>
      <c r="AB626" s="297">
        <f>(SUM($P626:$Q626)*VLOOKUP($B626,Lifetime_morbidity_array!$A$6:$Y$24,10))+(SUM($R626:$S626)*VLOOKUP($B626,Lifetime_morbidity_array!$A$6:$Y$24,9))</f>
        <v>2.3087778966753048</v>
      </c>
      <c r="AC626" s="297">
        <f>(SUM($P626:$Q626)*VLOOKUP($B626,Lifetime_morbidity_array!$A$6:$Y$24,13))+(SUM($R626:$S626)*VLOOKUP($B626,Lifetime_morbidity_array!$A$6:$Y$24,12))</f>
        <v>38.76169315035294</v>
      </c>
      <c r="AD626" s="294"/>
      <c r="AE626" s="294">
        <f t="shared" si="58"/>
        <v>98</v>
      </c>
      <c r="AF626" s="297">
        <f t="shared" si="59"/>
        <v>25.447912732139045</v>
      </c>
      <c r="AG626" s="297">
        <f t="shared" si="60"/>
        <v>25142.066670594668</v>
      </c>
      <c r="AH626" s="294"/>
      <c r="AI626" s="294">
        <f t="shared" si="61"/>
        <v>98</v>
      </c>
      <c r="AJ626" s="295">
        <f>((VLOOKUP($B626,'Mahawesran Tariff'!$A$21:$M$120,7)*$X626)+(VLOOKUP($B626,'Mahawesran Tariff'!$A$21:$M$120,6)*$Y626)+(DET_UTIL_chd*$Z626)+(DET_UTIL_copd*$AA626)+(DET_UTIL_lc*$AB626)+(DET_UTIL_stroke*$AC626))/((1+Discount_rate_QALYs)^$A626)</f>
        <v>20.3665179048837</v>
      </c>
      <c r="AK626" s="295">
        <f t="shared" si="62"/>
        <v>23091.6401026397</v>
      </c>
      <c r="AL626" s="294"/>
      <c r="AM626" s="294">
        <f t="shared" si="47"/>
        <v>98</v>
      </c>
      <c r="AN626" s="299">
        <f t="shared" si="48"/>
        <v>91054.458173248946</v>
      </c>
      <c r="AO626" s="299">
        <f t="shared" si="63"/>
        <v>21122435.33113287</v>
      </c>
      <c r="AP626" s="294"/>
      <c r="AQ626" s="294">
        <f t="shared" si="49"/>
        <v>98</v>
      </c>
      <c r="AR626" s="298">
        <f t="shared" si="32"/>
        <v>0.29269614470148175</v>
      </c>
      <c r="AS626" s="298">
        <f t="shared" si="40"/>
        <v>0.70730385529851791</v>
      </c>
      <c r="AT626" s="298">
        <f t="shared" si="41"/>
        <v>0.16760145619996689</v>
      </c>
      <c r="AU626" s="250"/>
      <c r="AV626" s="294">
        <f t="shared" si="50"/>
        <v>98</v>
      </c>
      <c r="AW626" s="299">
        <f t="shared" si="51"/>
        <v>91054.458173248946</v>
      </c>
      <c r="AX626" s="299">
        <f t="shared" si="64"/>
        <v>21119395.33113287</v>
      </c>
      <c r="AY626" s="335"/>
      <c r="AZ626" s="335"/>
      <c r="BA626" s="335"/>
      <c r="BB626" s="335"/>
      <c r="BC626" s="335"/>
      <c r="BD626" s="335"/>
      <c r="BE626" s="335"/>
      <c r="BF626" s="335"/>
      <c r="BG626" s="335"/>
      <c r="BH626" s="335"/>
      <c r="BI626" s="335"/>
      <c r="BJ626" s="335"/>
      <c r="BK626" s="364"/>
      <c r="BL626" s="364"/>
      <c r="BM626" s="364"/>
      <c r="BN626" s="364"/>
      <c r="BO626" s="364"/>
      <c r="BP626" s="364"/>
      <c r="BQ626" s="335"/>
      <c r="BR626" s="335"/>
      <c r="BS626" s="364"/>
      <c r="BT626" s="364"/>
      <c r="BU626" s="364"/>
      <c r="BV626" s="364"/>
      <c r="BW626" s="364"/>
      <c r="BX626" s="364"/>
      <c r="BY626" s="335"/>
      <c r="BZ626" s="335"/>
      <c r="CA626" s="364"/>
      <c r="CB626" s="364"/>
      <c r="CC626" s="335"/>
      <c r="CD626" s="335"/>
      <c r="CE626" s="335"/>
      <c r="CF626" s="335"/>
      <c r="CG626" s="335"/>
      <c r="CH626" s="335"/>
      <c r="CI626" s="365"/>
      <c r="CJ626" s="365"/>
      <c r="CK626" s="335"/>
      <c r="CL626" s="335"/>
      <c r="CM626" s="366"/>
      <c r="CN626" s="366"/>
      <c r="CO626" s="366"/>
      <c r="CP626" s="3"/>
    </row>
    <row r="627" spans="1:94" x14ac:dyDescent="0.25">
      <c r="A627" s="34">
        <v>72</v>
      </c>
      <c r="B627" s="33">
        <f t="shared" si="52"/>
        <v>99</v>
      </c>
      <c r="C627" s="294">
        <f>VLOOKUP($B627,'Mother mortality'!$A$23:$I$124,5)</f>
        <v>0.12520735391307281</v>
      </c>
      <c r="D627" s="295">
        <f t="shared" si="35"/>
        <v>0.27</v>
      </c>
      <c r="E627" s="295">
        <f t="shared" si="42"/>
        <v>0.60479264608692718</v>
      </c>
      <c r="F627" s="295">
        <f>VLOOKUP($B627,'Mother mortality'!$A$23:$I$124,5)</f>
        <v>0.12520735391307281</v>
      </c>
      <c r="G627" s="295">
        <f t="shared" si="36"/>
        <v>0.14000000000000001</v>
      </c>
      <c r="H627" s="295">
        <f t="shared" si="43"/>
        <v>0.73479264608692718</v>
      </c>
      <c r="I627" s="295">
        <f>VLOOKUP($B627,'Mother mortality'!$A$23:$I$124,4)</f>
        <v>0.10287956789290895</v>
      </c>
      <c r="J627" s="295">
        <f t="shared" si="44"/>
        <v>0.32569186067851963</v>
      </c>
      <c r="K627" s="295">
        <f t="shared" si="37"/>
        <v>0.5714285714285714</v>
      </c>
      <c r="L627" s="295">
        <f>VLOOKUP($B627,'Mother mortality'!$A$23:$I$124,4)</f>
        <v>0.10287956789290895</v>
      </c>
      <c r="M627" s="295">
        <f t="shared" si="38"/>
        <v>8.6261668788331098E-3</v>
      </c>
      <c r="N627" s="295">
        <f t="shared" si="45"/>
        <v>0.88849426522825792</v>
      </c>
      <c r="O627" s="294"/>
      <c r="P627" s="296">
        <f t="shared" si="53"/>
        <v>70.770036853859722</v>
      </c>
      <c r="Q627" s="297">
        <f t="shared" si="54"/>
        <v>22.053104359909259</v>
      </c>
      <c r="R627" s="297">
        <f t="shared" si="55"/>
        <v>3.5257247580415365</v>
      </c>
      <c r="S627" s="297">
        <f t="shared" si="56"/>
        <v>163.84883592134571</v>
      </c>
      <c r="T627" s="297">
        <f t="shared" si="57"/>
        <v>739.80229810684341</v>
      </c>
      <c r="U627" s="294">
        <f t="shared" si="46"/>
        <v>999.99999999999966</v>
      </c>
      <c r="V627" s="295" t="str">
        <f t="shared" si="39"/>
        <v>OKAY</v>
      </c>
      <c r="W627" s="295"/>
      <c r="X627" s="296">
        <f>SUM($P627:$Q627)-(SUM($P627:$Q627)*(VLOOKUP($B627,Lifetime_morbidity_array!$A$6:$Y$24,4)+VLOOKUP($B627,Lifetime_morbidity_array!$A$6:$Y$24,7)+VLOOKUP($B627,Lifetime_morbidity_array!$A$6:$Y$24,10)+VLOOKUP($B627,Lifetime_morbidity_array!$A$6:$Y$24,13)))</f>
        <v>14.716600357181818</v>
      </c>
      <c r="Y627" s="297">
        <f>SUM($R627:$S627)-(SUM($R627:$S627)*(VLOOKUP($B627,Lifetime_morbidity_array!$A$6:$Y$24,3)+VLOOKUP($B627,Lifetime_morbidity_array!$A$6:$Y$24,6)+VLOOKUP($B627,Lifetime_morbidity_array!$A$6:$Y$24,9)+VLOOKUP($B627,Lifetime_morbidity_array!$A$6:$Y$24,12)))</f>
        <v>97.409107481613219</v>
      </c>
      <c r="Z627" s="297">
        <f>(SUM($P627:$Q627)*VLOOKUP($B627,Lifetime_morbidity_array!$A$6:$Y$24,4))+(SUM($R627:$S627)*VLOOKUP($B627,Lifetime_morbidity_array!$A$6:$Y$24,3))</f>
        <v>67.904804898290081</v>
      </c>
      <c r="AA627" s="297">
        <f>(SUM($P627:$Q627)*VLOOKUP($B627,Lifetime_morbidity_array!$A$6:$Y$24,7))+(SUM($R627:$S627)*VLOOKUP($B627,Lifetime_morbidity_array!$A$6:$Y$24,6))</f>
        <v>43.810720245932004</v>
      </c>
      <c r="AB627" s="297">
        <f>(SUM($P627:$Q627)*VLOOKUP($B627,Lifetime_morbidity_array!$A$6:$Y$24,10))+(SUM($R627:$S627)*VLOOKUP($B627,Lifetime_morbidity_array!$A$6:$Y$24,9))</f>
        <v>2.0294814499137237</v>
      </c>
      <c r="AC627" s="297">
        <f>(SUM($P627:$Q627)*VLOOKUP($B627,Lifetime_morbidity_array!$A$6:$Y$24,13))+(SUM($R627:$S627)*VLOOKUP($B627,Lifetime_morbidity_array!$A$6:$Y$24,12))</f>
        <v>34.326987460225403</v>
      </c>
      <c r="AD627" s="294"/>
      <c r="AE627" s="294">
        <f t="shared" si="58"/>
        <v>99</v>
      </c>
      <c r="AF627" s="297">
        <f t="shared" si="59"/>
        <v>21.857388488565185</v>
      </c>
      <c r="AG627" s="297">
        <f t="shared" si="60"/>
        <v>25163.924059083234</v>
      </c>
      <c r="AH627" s="294"/>
      <c r="AI627" s="294">
        <f t="shared" si="61"/>
        <v>99</v>
      </c>
      <c r="AJ627" s="295">
        <f>((VLOOKUP($B627,'Mahawesran Tariff'!$A$21:$M$120,7)*$X627)+(VLOOKUP($B627,'Mahawesran Tariff'!$A$21:$M$120,6)*$Y627)+(DET_UTIL_chd*$Z627)+(DET_UTIL_copd*$AA627)+(DET_UTIL_lc*$AB627)+(DET_UTIL_stroke*$AC627))/((1+Discount_rate_QALYs)^$A627)</f>
        <v>17.506872870392975</v>
      </c>
      <c r="AK627" s="295">
        <f t="shared" si="62"/>
        <v>23109.146975510092</v>
      </c>
      <c r="AL627" s="294"/>
      <c r="AM627" s="294">
        <f t="shared" si="47"/>
        <v>99</v>
      </c>
      <c r="AN627" s="299">
        <f t="shared" si="48"/>
        <v>77866.903378562696</v>
      </c>
      <c r="AO627" s="299">
        <f t="shared" si="63"/>
        <v>21200302.234511431</v>
      </c>
      <c r="AP627" s="294"/>
      <c r="AQ627" s="294">
        <f t="shared" si="49"/>
        <v>99</v>
      </c>
      <c r="AR627" s="298">
        <f t="shared" si="32"/>
        <v>0.26019770189315627</v>
      </c>
      <c r="AS627" s="298">
        <f t="shared" si="40"/>
        <v>0.73980229810684339</v>
      </c>
      <c r="AT627" s="298">
        <f t="shared" si="41"/>
        <v>0.14807199405436119</v>
      </c>
      <c r="AU627" s="250"/>
      <c r="AV627" s="294">
        <f t="shared" si="50"/>
        <v>99</v>
      </c>
      <c r="AW627" s="299">
        <f t="shared" si="51"/>
        <v>77866.903378562696</v>
      </c>
      <c r="AX627" s="299">
        <f t="shared" si="64"/>
        <v>21197262.234511431</v>
      </c>
      <c r="AY627" s="335"/>
      <c r="AZ627" s="335"/>
      <c r="BA627" s="335"/>
      <c r="BB627" s="335"/>
      <c r="BC627" s="335"/>
      <c r="BD627" s="335"/>
      <c r="BE627" s="335"/>
      <c r="BF627" s="335"/>
      <c r="BG627" s="335"/>
      <c r="BH627" s="335"/>
      <c r="BI627" s="335"/>
      <c r="BJ627" s="335"/>
      <c r="BK627" s="364"/>
      <c r="BL627" s="364"/>
      <c r="BM627" s="364"/>
      <c r="BN627" s="364"/>
      <c r="BO627" s="364"/>
      <c r="BP627" s="364"/>
      <c r="BQ627" s="335"/>
      <c r="BR627" s="335"/>
      <c r="BS627" s="364"/>
      <c r="BT627" s="364"/>
      <c r="BU627" s="364"/>
      <c r="BV627" s="364"/>
      <c r="BW627" s="364"/>
      <c r="BX627" s="364"/>
      <c r="BY627" s="335"/>
      <c r="BZ627" s="335"/>
      <c r="CA627" s="364"/>
      <c r="CB627" s="364"/>
      <c r="CC627" s="335"/>
      <c r="CD627" s="335"/>
      <c r="CE627" s="335"/>
      <c r="CF627" s="335"/>
      <c r="CG627" s="335"/>
      <c r="CH627" s="335"/>
      <c r="CI627" s="365"/>
      <c r="CJ627" s="365"/>
      <c r="CK627" s="335"/>
      <c r="CL627" s="335"/>
      <c r="CM627" s="366"/>
      <c r="CN627" s="366"/>
      <c r="CO627" s="366"/>
      <c r="CP627" s="3"/>
    </row>
    <row r="628" spans="1:94" x14ac:dyDescent="0.25">
      <c r="A628" s="34">
        <v>73</v>
      </c>
      <c r="B628" s="33">
        <f t="shared" si="52"/>
        <v>100</v>
      </c>
      <c r="C628" s="294">
        <f>VLOOKUP($B628,'Mother mortality'!$A$23:$I$124,5)</f>
        <v>0.13518062059547492</v>
      </c>
      <c r="D628" s="295">
        <f t="shared" si="35"/>
        <v>0.27</v>
      </c>
      <c r="E628" s="295">
        <f t="shared" si="42"/>
        <v>0.59481937940452512</v>
      </c>
      <c r="F628" s="295">
        <f>VLOOKUP($B628,'Mother mortality'!$A$23:$I$124,5)</f>
        <v>0.13518062059547492</v>
      </c>
      <c r="G628" s="295">
        <f t="shared" si="36"/>
        <v>0.14000000000000001</v>
      </c>
      <c r="H628" s="295">
        <f t="shared" si="43"/>
        <v>0.72481937940452501</v>
      </c>
      <c r="I628" s="295">
        <f>VLOOKUP($B628,'Mother mortality'!$A$23:$I$124,4)</f>
        <v>0.11107433708736557</v>
      </c>
      <c r="J628" s="295">
        <f t="shared" si="44"/>
        <v>0.31749709148406302</v>
      </c>
      <c r="K628" s="295">
        <f t="shared" si="37"/>
        <v>0.5714285714285714</v>
      </c>
      <c r="L628" s="295">
        <f>VLOOKUP($B628,'Mother mortality'!$A$23:$I$124,4)</f>
        <v>0.11107433708736557</v>
      </c>
      <c r="M628" s="295">
        <f t="shared" si="38"/>
        <v>8.6261668788331098E-3</v>
      </c>
      <c r="N628" s="295">
        <f t="shared" si="45"/>
        <v>0.88029949603380131</v>
      </c>
      <c r="O628" s="294"/>
      <c r="P628" s="296">
        <f t="shared" si="53"/>
        <v>60.612701575552478</v>
      </c>
      <c r="Q628" s="297">
        <f t="shared" si="54"/>
        <v>19.107909950542126</v>
      </c>
      <c r="R628" s="297">
        <f t="shared" si="55"/>
        <v>3.0874346103872967</v>
      </c>
      <c r="S628" s="297">
        <f t="shared" si="56"/>
        <v>146.25074754902366</v>
      </c>
      <c r="T628" s="297">
        <f t="shared" si="57"/>
        <v>770.94120631449414</v>
      </c>
      <c r="U628" s="294">
        <f t="shared" si="46"/>
        <v>999.99999999999966</v>
      </c>
      <c r="V628" s="295" t="str">
        <f t="shared" si="39"/>
        <v>OKAY</v>
      </c>
      <c r="W628" s="295"/>
      <c r="X628" s="296">
        <f>SUM($P628:$Q628)-(SUM($P628:$Q628)*(VLOOKUP($B628,Lifetime_morbidity_array!$A$6:$Y$24,4)+VLOOKUP($B628,Lifetime_morbidity_array!$A$6:$Y$24,7)+VLOOKUP($B628,Lifetime_morbidity_array!$A$6:$Y$24,10)+VLOOKUP($B628,Lifetime_morbidity_array!$A$6:$Y$24,13)))</f>
        <v>12.639266078679597</v>
      </c>
      <c r="Y628" s="297">
        <f>SUM($R628:$S628)-(SUM($R628:$S628)*(VLOOKUP($B628,Lifetime_morbidity_array!$A$6:$Y$24,3)+VLOOKUP($B628,Lifetime_morbidity_array!$A$6:$Y$24,6)+VLOOKUP($B628,Lifetime_morbidity_array!$A$6:$Y$24,9)+VLOOKUP($B628,Lifetime_morbidity_array!$A$6:$Y$24,12)))</f>
        <v>86.912246269849632</v>
      </c>
      <c r="Z628" s="297">
        <f>(SUM($P628:$Q628)*VLOOKUP($B628,Lifetime_morbidity_array!$A$6:$Y$24,4))+(SUM($R628:$S628)*VLOOKUP($B628,Lifetime_morbidity_array!$A$6:$Y$24,3))</f>
        <v>59.463485962471054</v>
      </c>
      <c r="AA628" s="297">
        <f>(SUM($P628:$Q628)*VLOOKUP($B628,Lifetime_morbidity_array!$A$6:$Y$24,7))+(SUM($R628:$S628)*VLOOKUP($B628,Lifetime_morbidity_array!$A$6:$Y$24,6))</f>
        <v>38.179419792318058</v>
      </c>
      <c r="AB628" s="297">
        <f>(SUM($P628:$Q628)*VLOOKUP($B628,Lifetime_morbidity_array!$A$6:$Y$24,10))+(SUM($R628:$S628)*VLOOKUP($B628,Lifetime_morbidity_array!$A$6:$Y$24,9))</f>
        <v>1.7655531047878075</v>
      </c>
      <c r="AC628" s="297">
        <f>(SUM($P628:$Q628)*VLOOKUP($B628,Lifetime_morbidity_array!$A$6:$Y$24,13))+(SUM($R628:$S628)*VLOOKUP($B628,Lifetime_morbidity_array!$A$6:$Y$24,12))</f>
        <v>30.098822477399409</v>
      </c>
      <c r="AD628" s="294"/>
      <c r="AE628" s="294">
        <f t="shared" si="58"/>
        <v>100</v>
      </c>
      <c r="AF628" s="297">
        <f t="shared" si="59"/>
        <v>18.59094364283191</v>
      </c>
      <c r="AG628" s="297">
        <f t="shared" si="60"/>
        <v>25182.515002726064</v>
      </c>
      <c r="AH628" s="294"/>
      <c r="AI628" s="294">
        <f t="shared" si="61"/>
        <v>100</v>
      </c>
      <c r="AJ628" s="295">
        <f>((VLOOKUP($B628,'Mahawesran Tariff'!$A$21:$M$120,7)*$X628)+(VLOOKUP($B628,'Mahawesran Tariff'!$A$21:$M$120,6)*$Y628)+(DET_UTIL_chd*$Z628)+(DET_UTIL_copd*$AA628)+(DET_UTIL_lc*$AB628)+(DET_UTIL_stroke*$AC628))/((1+Discount_rate_QALYs)^$A628)</f>
        <v>14.90293004342932</v>
      </c>
      <c r="AK628" s="295">
        <f t="shared" si="62"/>
        <v>23124.049905553522</v>
      </c>
      <c r="AL628" s="294"/>
      <c r="AM628" s="294">
        <f t="shared" si="47"/>
        <v>100</v>
      </c>
      <c r="AN628" s="299">
        <f t="shared" si="48"/>
        <v>65928.504780148069</v>
      </c>
      <c r="AO628" s="299">
        <f t="shared" si="63"/>
        <v>21266230.739291579</v>
      </c>
      <c r="AP628" s="294"/>
      <c r="AQ628" s="294">
        <f t="shared" si="49"/>
        <v>100</v>
      </c>
      <c r="AR628" s="298">
        <f t="shared" si="32"/>
        <v>0.22905879368550555</v>
      </c>
      <c r="AS628" s="298">
        <f t="shared" si="40"/>
        <v>0.77094120631449414</v>
      </c>
      <c r="AT628" s="298">
        <f t="shared" si="41"/>
        <v>0.12950728133697634</v>
      </c>
      <c r="AU628" s="250"/>
      <c r="AV628" s="294">
        <f t="shared" si="50"/>
        <v>100</v>
      </c>
      <c r="AW628" s="299">
        <f t="shared" si="51"/>
        <v>65928.504780148069</v>
      </c>
      <c r="AX628" s="299">
        <f t="shared" si="64"/>
        <v>21263190.739291579</v>
      </c>
      <c r="AY628" s="335"/>
      <c r="AZ628" s="335"/>
      <c r="BA628" s="335"/>
      <c r="BB628" s="335"/>
      <c r="BC628" s="335"/>
      <c r="BD628" s="335"/>
      <c r="BE628" s="335"/>
      <c r="BF628" s="335"/>
      <c r="BG628" s="335"/>
      <c r="BH628" s="335"/>
      <c r="BI628" s="335"/>
      <c r="BJ628" s="335"/>
      <c r="BK628" s="364"/>
      <c r="BL628" s="364"/>
      <c r="BM628" s="364"/>
      <c r="BN628" s="364"/>
      <c r="BO628" s="364"/>
      <c r="BP628" s="364"/>
      <c r="BQ628" s="335"/>
      <c r="BR628" s="335"/>
      <c r="BS628" s="364"/>
      <c r="BT628" s="364"/>
      <c r="BU628" s="364"/>
      <c r="BV628" s="364"/>
      <c r="BW628" s="364"/>
      <c r="BX628" s="364"/>
      <c r="BY628" s="335"/>
      <c r="BZ628" s="335"/>
      <c r="CA628" s="364"/>
      <c r="CB628" s="364"/>
      <c r="CC628" s="335"/>
      <c r="CD628" s="335"/>
      <c r="CE628" s="335"/>
      <c r="CF628" s="335"/>
      <c r="CG628" s="335"/>
      <c r="CH628" s="335"/>
      <c r="CI628" s="365"/>
      <c r="CJ628" s="365"/>
      <c r="CK628" s="335"/>
      <c r="CL628" s="335"/>
      <c r="CM628" s="366"/>
      <c r="CN628" s="366"/>
      <c r="CO628" s="366"/>
      <c r="CP628" s="3"/>
    </row>
    <row r="629" spans="1:94" x14ac:dyDescent="0.25">
      <c r="A629" s="34">
        <v>74</v>
      </c>
      <c r="B629" s="33">
        <f t="shared" si="52"/>
        <v>101</v>
      </c>
      <c r="C629" s="294">
        <f>VLOOKUP($B629,'Mother mortality'!$A$23:$I$124,5)</f>
        <v>0.14624098391610749</v>
      </c>
      <c r="D629" s="295">
        <f t="shared" si="35"/>
        <v>0.27</v>
      </c>
      <c r="E629" s="295">
        <f t="shared" si="42"/>
        <v>0.58375901608389247</v>
      </c>
      <c r="F629" s="295">
        <f>VLOOKUP($B629,'Mother mortality'!$A$23:$I$124,5)</f>
        <v>0.14624098391610749</v>
      </c>
      <c r="G629" s="295">
        <f t="shared" si="36"/>
        <v>0.14000000000000001</v>
      </c>
      <c r="H629" s="295">
        <f t="shared" si="43"/>
        <v>0.71375901608389247</v>
      </c>
      <c r="I629" s="295">
        <f>VLOOKUP($B629,'Mother mortality'!$A$23:$I$124,4)</f>
        <v>0.12016234480898272</v>
      </c>
      <c r="J629" s="295">
        <f t="shared" si="44"/>
        <v>0.30840908376244591</v>
      </c>
      <c r="K629" s="295">
        <f t="shared" si="37"/>
        <v>0.5714285714285714</v>
      </c>
      <c r="L629" s="295">
        <f>VLOOKUP($B629,'Mother mortality'!$A$23:$I$124,4)</f>
        <v>0.12016234480898272</v>
      </c>
      <c r="M629" s="295">
        <f t="shared" si="38"/>
        <v>8.6261668788331098E-3</v>
      </c>
      <c r="N629" s="295">
        <f t="shared" si="45"/>
        <v>0.8712114883121842</v>
      </c>
      <c r="O629" s="294"/>
      <c r="P629" s="296">
        <f t="shared" si="53"/>
        <v>51.235430273527655</v>
      </c>
      <c r="Q629" s="297">
        <f t="shared" si="54"/>
        <v>16.365429425399171</v>
      </c>
      <c r="R629" s="297">
        <f t="shared" si="55"/>
        <v>2.6751073930758977</v>
      </c>
      <c r="S629" s="297">
        <f t="shared" si="56"/>
        <v>129.17957978774717</v>
      </c>
      <c r="T629" s="297">
        <f t="shared" si="57"/>
        <v>800.54445312024984</v>
      </c>
      <c r="U629" s="294">
        <f t="shared" si="46"/>
        <v>999.99999999999977</v>
      </c>
      <c r="V629" s="295" t="str">
        <f t="shared" si="39"/>
        <v>OKAY</v>
      </c>
      <c r="W629" s="295"/>
      <c r="X629" s="296">
        <f>SUM($P629:$Q629)-(SUM($P629:$Q629)*(VLOOKUP($B629,Lifetime_morbidity_array!$A$6:$Y$24,4)+VLOOKUP($B629,Lifetime_morbidity_array!$A$6:$Y$24,7)+VLOOKUP($B629,Lifetime_morbidity_array!$A$6:$Y$24,10)+VLOOKUP($B629,Lifetime_morbidity_array!$A$6:$Y$24,13)))</f>
        <v>10.717745844216829</v>
      </c>
      <c r="Y629" s="297">
        <f>SUM($R629:$S629)-(SUM($R629:$S629)*(VLOOKUP($B629,Lifetime_morbidity_array!$A$6:$Y$24,3)+VLOOKUP($B629,Lifetime_morbidity_array!$A$6:$Y$24,6)+VLOOKUP($B629,Lifetime_morbidity_array!$A$6:$Y$24,9)+VLOOKUP($B629,Lifetime_morbidity_array!$A$6:$Y$24,12)))</f>
        <v>76.737153743179604</v>
      </c>
      <c r="Z629" s="297">
        <f>(SUM($P629:$Q629)*VLOOKUP($B629,Lifetime_morbidity_array!$A$6:$Y$24,4))+(SUM($R629:$S629)*VLOOKUP($B629,Lifetime_morbidity_array!$A$6:$Y$24,3))</f>
        <v>51.491617324166654</v>
      </c>
      <c r="AA629" s="297">
        <f>(SUM($P629:$Q629)*VLOOKUP($B629,Lifetime_morbidity_array!$A$6:$Y$24,7))+(SUM($R629:$S629)*VLOOKUP($B629,Lifetime_morbidity_array!$A$6:$Y$24,6))</f>
        <v>32.891383006327104</v>
      </c>
      <c r="AB629" s="297">
        <f>(SUM($P629:$Q629)*VLOOKUP($B629,Lifetime_morbidity_array!$A$6:$Y$24,10))+(SUM($R629:$S629)*VLOOKUP($B629,Lifetime_morbidity_array!$A$6:$Y$24,9))</f>
        <v>1.5181945674602977</v>
      </c>
      <c r="AC629" s="297">
        <f>(SUM($P629:$Q629)*VLOOKUP($B629,Lifetime_morbidity_array!$A$6:$Y$24,13))+(SUM($R629:$S629)*VLOOKUP($B629,Lifetime_morbidity_array!$A$6:$Y$24,12))</f>
        <v>26.09945239439941</v>
      </c>
      <c r="AD629" s="294"/>
      <c r="AE629" s="294">
        <f t="shared" si="58"/>
        <v>101</v>
      </c>
      <c r="AF629" s="297">
        <f t="shared" si="59"/>
        <v>15.640845781574368</v>
      </c>
      <c r="AG629" s="297">
        <f t="shared" si="60"/>
        <v>25198.155848507638</v>
      </c>
      <c r="AH629" s="294"/>
      <c r="AI629" s="294">
        <f t="shared" si="61"/>
        <v>101</v>
      </c>
      <c r="AJ629" s="295">
        <f>((VLOOKUP($B629,'Mahawesran Tariff'!$A$21:$M$120,7)*$X629)+(VLOOKUP($B629,'Mahawesran Tariff'!$A$21:$M$120,6)*$Y629)+(DET_UTIL_chd*$Z629)+(DET_UTIL_copd*$AA629)+(DET_UTIL_lc*$AB629)+(DET_UTIL_stroke*$AC629))/((1+Discount_rate_QALYs)^$A629)</f>
        <v>12.548931369975078</v>
      </c>
      <c r="AK629" s="295">
        <f t="shared" si="62"/>
        <v>23136.598836923498</v>
      </c>
      <c r="AL629" s="294"/>
      <c r="AM629" s="294">
        <f t="shared" si="47"/>
        <v>101</v>
      </c>
      <c r="AN629" s="299">
        <f t="shared" si="48"/>
        <v>55201.078308032556</v>
      </c>
      <c r="AO629" s="299">
        <f t="shared" si="63"/>
        <v>21321431.817599609</v>
      </c>
      <c r="AP629" s="294"/>
      <c r="AQ629" s="294">
        <f t="shared" si="49"/>
        <v>101</v>
      </c>
      <c r="AR629" s="298">
        <f t="shared" si="32"/>
        <v>0.1994555468797499</v>
      </c>
      <c r="AS629" s="298">
        <f t="shared" si="40"/>
        <v>0.8005444531202498</v>
      </c>
      <c r="AT629" s="298">
        <f t="shared" si="41"/>
        <v>0.11200064729235347</v>
      </c>
      <c r="AU629" s="250"/>
      <c r="AV629" s="294">
        <f t="shared" si="50"/>
        <v>101</v>
      </c>
      <c r="AW629" s="299">
        <f t="shared" si="51"/>
        <v>55201.078308032556</v>
      </c>
      <c r="AX629" s="299">
        <f t="shared" si="64"/>
        <v>21318391.817599609</v>
      </c>
      <c r="AY629" s="335"/>
      <c r="AZ629" s="335"/>
      <c r="BA629" s="335"/>
      <c r="BB629" s="335"/>
      <c r="BC629" s="335"/>
      <c r="BD629" s="335"/>
      <c r="BE629" s="335"/>
      <c r="BF629" s="335"/>
      <c r="BG629" s="335"/>
      <c r="BH629" s="335"/>
      <c r="BI629" s="335"/>
      <c r="BJ629" s="335"/>
      <c r="BK629" s="364"/>
      <c r="BL629" s="364"/>
      <c r="BM629" s="364"/>
      <c r="BN629" s="364"/>
      <c r="BO629" s="364"/>
      <c r="BP629" s="364"/>
      <c r="BQ629" s="335"/>
      <c r="BR629" s="335"/>
      <c r="BS629" s="364"/>
      <c r="BT629" s="364"/>
      <c r="BU629" s="364"/>
      <c r="BV629" s="364"/>
      <c r="BW629" s="364"/>
      <c r="BX629" s="364"/>
      <c r="BY629" s="335"/>
      <c r="BZ629" s="335"/>
      <c r="CA629" s="364"/>
      <c r="CB629" s="364"/>
      <c r="CC629" s="335"/>
      <c r="CD629" s="335"/>
      <c r="CE629" s="335"/>
      <c r="CF629" s="335"/>
      <c r="CG629" s="335"/>
      <c r="CH629" s="335"/>
      <c r="CI629" s="365"/>
      <c r="CJ629" s="365"/>
      <c r="CK629" s="335"/>
      <c r="CL629" s="335"/>
      <c r="CM629" s="366"/>
      <c r="CN629" s="366"/>
      <c r="CO629" s="366"/>
      <c r="CP629" s="3"/>
    </row>
    <row r="630" spans="1:94" x14ac:dyDescent="0.25">
      <c r="A630" s="34">
        <v>75</v>
      </c>
      <c r="B630" s="33">
        <f t="shared" si="52"/>
        <v>102</v>
      </c>
      <c r="C630" s="294">
        <f>VLOOKUP($B630,'Mother mortality'!$A$23:$I$124,5)</f>
        <v>0.14624098391610749</v>
      </c>
      <c r="D630" s="295">
        <f t="shared" si="35"/>
        <v>0.27</v>
      </c>
      <c r="E630" s="295">
        <f t="shared" si="42"/>
        <v>0.58375901608389247</v>
      </c>
      <c r="F630" s="295">
        <f>VLOOKUP($B630,'Mother mortality'!$A$23:$I$124,5)</f>
        <v>0.14624098391610749</v>
      </c>
      <c r="G630" s="295">
        <f t="shared" si="36"/>
        <v>0.14000000000000001</v>
      </c>
      <c r="H630" s="295">
        <f t="shared" si="43"/>
        <v>0.71375901608389247</v>
      </c>
      <c r="I630" s="295">
        <f>VLOOKUP($B630,'Mother mortality'!$A$23:$I$124,4)</f>
        <v>0.12016234480898272</v>
      </c>
      <c r="J630" s="295">
        <f t="shared" si="44"/>
        <v>0.30840908376244591</v>
      </c>
      <c r="K630" s="295">
        <f t="shared" si="37"/>
        <v>0.5714285714285714</v>
      </c>
      <c r="L630" s="295">
        <f>VLOOKUP($B630,'Mother mortality'!$A$23:$I$124,4)</f>
        <v>0.12016234480898272</v>
      </c>
      <c r="M630" s="295">
        <f t="shared" si="38"/>
        <v>8.6261668788331098E-3</v>
      </c>
      <c r="N630" s="295">
        <f t="shared" si="45"/>
        <v>0.8712114883121842</v>
      </c>
      <c r="O630" s="294"/>
      <c r="P630" s="296">
        <f t="shared" si="53"/>
        <v>43.529469202224</v>
      </c>
      <c r="Q630" s="297">
        <f t="shared" si="54"/>
        <v>13.833566173852468</v>
      </c>
      <c r="R630" s="297">
        <f t="shared" si="55"/>
        <v>2.2911601195558839</v>
      </c>
      <c r="S630" s="297">
        <f t="shared" si="56"/>
        <v>114.07136676246913</v>
      </c>
      <c r="T630" s="297">
        <f t="shared" si="57"/>
        <v>826.27443774189817</v>
      </c>
      <c r="U630" s="294">
        <f t="shared" si="46"/>
        <v>999.99999999999966</v>
      </c>
      <c r="V630" s="295" t="str">
        <f t="shared" si="39"/>
        <v>OKAY</v>
      </c>
      <c r="W630" s="295"/>
      <c r="X630" s="296">
        <f>SUM($P630:$Q630)-(SUM($P630:$Q630)*(VLOOKUP($B630,Lifetime_morbidity_array!$A$6:$Y$24,4)+VLOOKUP($B630,Lifetime_morbidity_array!$A$6:$Y$24,7)+VLOOKUP($B630,Lifetime_morbidity_array!$A$6:$Y$24,10)+VLOOKUP($B630,Lifetime_morbidity_array!$A$6:$Y$24,13)))</f>
        <v>9.0945949023687689</v>
      </c>
      <c r="Y630" s="297">
        <f>SUM($R630:$S630)-(SUM($R630:$S630)*(VLOOKUP($B630,Lifetime_morbidity_array!$A$6:$Y$24,3)+VLOOKUP($B630,Lifetime_morbidity_array!$A$6:$Y$24,6)+VLOOKUP($B630,Lifetime_morbidity_array!$A$6:$Y$24,9)+VLOOKUP($B630,Lifetime_morbidity_array!$A$6:$Y$24,12)))</f>
        <v>67.720983654113923</v>
      </c>
      <c r="Z630" s="297">
        <f>(SUM($P630:$Q630)*VLOOKUP($B630,Lifetime_morbidity_array!$A$6:$Y$24,4))+(SUM($R630:$S630)*VLOOKUP($B630,Lifetime_morbidity_array!$A$6:$Y$24,3))</f>
        <v>44.609552625926725</v>
      </c>
      <c r="AA630" s="297">
        <f>(SUM($P630:$Q630)*VLOOKUP($B630,Lifetime_morbidity_array!$A$6:$Y$24,7))+(SUM($R630:$S630)*VLOOKUP($B630,Lifetime_morbidity_array!$A$6:$Y$24,6))</f>
        <v>28.352905486119141</v>
      </c>
      <c r="AB630" s="297">
        <f>(SUM($P630:$Q630)*VLOOKUP($B630,Lifetime_morbidity_array!$A$6:$Y$24,10))+(SUM($R630:$S630)*VLOOKUP($B630,Lifetime_morbidity_array!$A$6:$Y$24,9))</f>
        <v>1.3063272781165558</v>
      </c>
      <c r="AC630" s="297">
        <f>(SUM($P630:$Q630)*VLOOKUP($B630,Lifetime_morbidity_array!$A$6:$Y$24,13))+(SUM($R630:$S630)*VLOOKUP($B630,Lifetime_morbidity_array!$A$6:$Y$24,12))</f>
        <v>22.641198311456364</v>
      </c>
      <c r="AD630" s="294"/>
      <c r="AE630" s="294">
        <f t="shared" si="58"/>
        <v>102</v>
      </c>
      <c r="AF630" s="297">
        <f t="shared" si="59"/>
        <v>13.162472943438519</v>
      </c>
      <c r="AG630" s="297">
        <f t="shared" si="60"/>
        <v>25211.318321451075</v>
      </c>
      <c r="AH630" s="294"/>
      <c r="AI630" s="294">
        <f t="shared" si="61"/>
        <v>102</v>
      </c>
      <c r="AJ630" s="295">
        <f>((VLOOKUP($B630,'Mahawesran Tariff'!$A$21:$M$120,7)*$X630)+(VLOOKUP($B630,'Mahawesran Tariff'!$A$21:$M$120,6)*$Y630)+(DET_UTIL_chd*$Z630)+(DET_UTIL_copd*$AA630)+(DET_UTIL_lc*$AB630)+(DET_UTIL_stroke*$AC630))/((1+Discount_rate_QALYs)^$A630)</f>
        <v>10.569257580412071</v>
      </c>
      <c r="AK630" s="295">
        <f t="shared" si="62"/>
        <v>23147.168094503912</v>
      </c>
      <c r="AL630" s="294"/>
      <c r="AM630" s="294">
        <f t="shared" si="47"/>
        <v>102</v>
      </c>
      <c r="AN630" s="299">
        <f t="shared" si="48"/>
        <v>46239.885978265484</v>
      </c>
      <c r="AO630" s="299">
        <f t="shared" si="63"/>
        <v>21367671.703577876</v>
      </c>
      <c r="AP630" s="294"/>
      <c r="AQ630" s="294">
        <f t="shared" si="49"/>
        <v>102</v>
      </c>
      <c r="AR630" s="298">
        <f t="shared" si="32"/>
        <v>0.17372556225810148</v>
      </c>
      <c r="AS630" s="298">
        <f t="shared" si="40"/>
        <v>0.82627443774189813</v>
      </c>
      <c r="AT630" s="298">
        <f t="shared" si="41"/>
        <v>9.6909983701618782E-2</v>
      </c>
      <c r="AU630" s="250"/>
      <c r="AV630" s="294">
        <f t="shared" si="50"/>
        <v>102</v>
      </c>
      <c r="AW630" s="299">
        <f t="shared" si="51"/>
        <v>46239.885978265484</v>
      </c>
      <c r="AX630" s="299">
        <f t="shared" si="64"/>
        <v>21364631.703577876</v>
      </c>
      <c r="AY630" s="335"/>
      <c r="AZ630" s="335"/>
      <c r="BA630" s="335"/>
      <c r="BB630" s="335"/>
      <c r="BC630" s="335"/>
      <c r="BD630" s="335"/>
      <c r="BE630" s="335"/>
      <c r="BF630" s="335"/>
      <c r="BG630" s="335"/>
      <c r="BH630" s="335"/>
      <c r="BI630" s="335"/>
      <c r="BJ630" s="335"/>
      <c r="BK630" s="364"/>
      <c r="BL630" s="364"/>
      <c r="BM630" s="364"/>
      <c r="BN630" s="364"/>
      <c r="BO630" s="364"/>
      <c r="BP630" s="364"/>
      <c r="BQ630" s="335"/>
      <c r="BR630" s="335"/>
      <c r="BS630" s="364"/>
      <c r="BT630" s="364"/>
      <c r="BU630" s="364"/>
      <c r="BV630" s="364"/>
      <c r="BW630" s="364"/>
      <c r="BX630" s="364"/>
      <c r="BY630" s="335"/>
      <c r="BZ630" s="335"/>
      <c r="CA630" s="364"/>
      <c r="CB630" s="364"/>
      <c r="CC630" s="335"/>
      <c r="CD630" s="335"/>
      <c r="CE630" s="335"/>
      <c r="CF630" s="335"/>
      <c r="CG630" s="335"/>
      <c r="CH630" s="335"/>
      <c r="CI630" s="365"/>
      <c r="CJ630" s="365"/>
      <c r="CK630" s="335"/>
      <c r="CL630" s="335"/>
      <c r="CM630" s="366"/>
      <c r="CN630" s="366"/>
      <c r="CO630" s="366"/>
      <c r="CP630" s="3"/>
    </row>
    <row r="631" spans="1:94" x14ac:dyDescent="0.25">
      <c r="A631" s="34">
        <v>76</v>
      </c>
      <c r="B631" s="33">
        <f t="shared" si="52"/>
        <v>103</v>
      </c>
      <c r="C631" s="294">
        <f>VLOOKUP($B631,'Mother mortality'!$A$23:$I$124,5)</f>
        <v>0.14624098391610749</v>
      </c>
      <c r="D631" s="295">
        <f t="shared" si="35"/>
        <v>0.27</v>
      </c>
      <c r="E631" s="295">
        <f t="shared" si="42"/>
        <v>0.58375901608389247</v>
      </c>
      <c r="F631" s="295">
        <f>VLOOKUP($B631,'Mother mortality'!$A$23:$I$124,5)</f>
        <v>0.14624098391610749</v>
      </c>
      <c r="G631" s="295">
        <f t="shared" si="36"/>
        <v>0.14000000000000001</v>
      </c>
      <c r="H631" s="295">
        <f t="shared" si="43"/>
        <v>0.71375901608389247</v>
      </c>
      <c r="I631" s="295">
        <f>VLOOKUP($B631,'Mother mortality'!$A$23:$I$124,4)</f>
        <v>0.12016234480898272</v>
      </c>
      <c r="J631" s="295">
        <f t="shared" si="44"/>
        <v>0.30840908376244591</v>
      </c>
      <c r="K631" s="295">
        <f t="shared" si="37"/>
        <v>0.5714285714285714</v>
      </c>
      <c r="L631" s="295">
        <f>VLOOKUP($B631,'Mother mortality'!$A$23:$I$124,4)</f>
        <v>0.12016234480898272</v>
      </c>
      <c r="M631" s="295">
        <f t="shared" si="38"/>
        <v>8.6261668788331098E-3</v>
      </c>
      <c r="N631" s="295">
        <f t="shared" si="45"/>
        <v>0.8712114883121842</v>
      </c>
      <c r="O631" s="294"/>
      <c r="P631" s="296">
        <f t="shared" si="53"/>
        <v>36.975165932339657</v>
      </c>
      <c r="Q631" s="297">
        <f t="shared" si="54"/>
        <v>11.75295668460048</v>
      </c>
      <c r="R631" s="297">
        <f t="shared" si="55"/>
        <v>1.9366992643393457</v>
      </c>
      <c r="S631" s="297">
        <f t="shared" si="56"/>
        <v>100.68951956496768</v>
      </c>
      <c r="T631" s="297">
        <f t="shared" si="57"/>
        <v>848.64565855375247</v>
      </c>
      <c r="U631" s="294">
        <f t="shared" si="46"/>
        <v>999.99999999999966</v>
      </c>
      <c r="V631" s="295" t="str">
        <f t="shared" si="39"/>
        <v>OKAY</v>
      </c>
      <c r="W631" s="295"/>
      <c r="X631" s="296">
        <f>SUM($P631:$Q631)-(SUM($P631:$Q631)*(VLOOKUP($B631,Lifetime_morbidity_array!$A$6:$Y$24,4)+VLOOKUP($B631,Lifetime_morbidity_array!$A$6:$Y$24,7)+VLOOKUP($B631,Lifetime_morbidity_array!$A$6:$Y$24,10)+VLOOKUP($B631,Lifetime_morbidity_array!$A$6:$Y$24,13)))</f>
        <v>7.7255768047945281</v>
      </c>
      <c r="Y631" s="297">
        <f>SUM($R631:$S631)-(SUM($R631:$S631)*(VLOOKUP($B631,Lifetime_morbidity_array!$A$6:$Y$24,3)+VLOOKUP($B631,Lifetime_morbidity_array!$A$6:$Y$24,6)+VLOOKUP($B631,Lifetime_morbidity_array!$A$6:$Y$24,9)+VLOOKUP($B631,Lifetime_morbidity_array!$A$6:$Y$24,12)))</f>
        <v>59.726689287774526</v>
      </c>
      <c r="Z631" s="297">
        <f>(SUM($P631:$Q631)*VLOOKUP($B631,Lifetime_morbidity_array!$A$6:$Y$24,4))+(SUM($R631:$S631)*VLOOKUP($B631,Lifetime_morbidity_array!$A$6:$Y$24,3))</f>
        <v>38.667944886087227</v>
      </c>
      <c r="AA631" s="297">
        <f>(SUM($P631:$Q631)*VLOOKUP($B631,Lifetime_morbidity_array!$A$6:$Y$24,7))+(SUM($R631:$S631)*VLOOKUP($B631,Lifetime_morbidity_array!$A$6:$Y$24,6))</f>
        <v>24.458767109753751</v>
      </c>
      <c r="AB631" s="297">
        <f>(SUM($P631:$Q631)*VLOOKUP($B631,Lifetime_morbidity_array!$A$6:$Y$24,10))+(SUM($R631:$S631)*VLOOKUP($B631,Lifetime_morbidity_array!$A$6:$Y$24,9))</f>
        <v>1.1249302922224349</v>
      </c>
      <c r="AC631" s="297">
        <f>(SUM($P631:$Q631)*VLOOKUP($B631,Lifetime_morbidity_array!$A$6:$Y$24,13))+(SUM($R631:$S631)*VLOOKUP($B631,Lifetime_morbidity_array!$A$6:$Y$24,12))</f>
        <v>19.650433065614699</v>
      </c>
      <c r="AD631" s="294"/>
      <c r="AE631" s="294">
        <f t="shared" si="58"/>
        <v>103</v>
      </c>
      <c r="AF631" s="297">
        <f t="shared" si="59"/>
        <v>11.079707580849</v>
      </c>
      <c r="AG631" s="297">
        <f t="shared" si="60"/>
        <v>25222.398029031923</v>
      </c>
      <c r="AH631" s="294"/>
      <c r="AI631" s="294">
        <f t="shared" si="61"/>
        <v>103</v>
      </c>
      <c r="AJ631" s="295">
        <f>((VLOOKUP($B631,'Mahawesran Tariff'!$A$21:$M$120,7)*$X631)+(VLOOKUP($B631,'Mahawesran Tariff'!$A$21:$M$120,6)*$Y631)+(DET_UTIL_chd*$Z631)+(DET_UTIL_copd*$AA631)+(DET_UTIL_lc*$AB631)+(DET_UTIL_stroke*$AC631))/((1+Discount_rate_QALYs)^$A631)</f>
        <v>8.9037995834864727</v>
      </c>
      <c r="AK631" s="295">
        <f t="shared" si="62"/>
        <v>23156.071894087399</v>
      </c>
      <c r="AL631" s="294"/>
      <c r="AM631" s="294">
        <f t="shared" si="47"/>
        <v>103</v>
      </c>
      <c r="AN631" s="299">
        <f t="shared" si="48"/>
        <v>38752.793296789692</v>
      </c>
      <c r="AO631" s="299">
        <f t="shared" si="63"/>
        <v>21406424.496874664</v>
      </c>
      <c r="AP631" s="294"/>
      <c r="AQ631" s="294">
        <f t="shared" si="49"/>
        <v>103</v>
      </c>
      <c r="AR631" s="298">
        <f t="shared" si="32"/>
        <v>0.15135434144624715</v>
      </c>
      <c r="AS631" s="298">
        <f t="shared" si="40"/>
        <v>0.84864565855375251</v>
      </c>
      <c r="AT631" s="298">
        <f t="shared" si="41"/>
        <v>8.3902075353678093E-2</v>
      </c>
      <c r="AU631" s="250"/>
      <c r="AV631" s="294">
        <f t="shared" si="50"/>
        <v>103</v>
      </c>
      <c r="AW631" s="299">
        <f t="shared" si="51"/>
        <v>38752.793296789692</v>
      </c>
      <c r="AX631" s="299">
        <f t="shared" si="64"/>
        <v>21403384.496874664</v>
      </c>
      <c r="AY631" s="335"/>
      <c r="AZ631" s="335"/>
      <c r="BA631" s="335"/>
      <c r="BB631" s="335"/>
      <c r="BC631" s="335"/>
      <c r="BD631" s="335"/>
      <c r="BE631" s="335"/>
      <c r="BF631" s="335"/>
      <c r="BG631" s="335"/>
      <c r="BH631" s="335"/>
      <c r="BI631" s="335"/>
      <c r="BJ631" s="335"/>
      <c r="BK631" s="364"/>
      <c r="BL631" s="364"/>
      <c r="BM631" s="364"/>
      <c r="BN631" s="364"/>
      <c r="BO631" s="364"/>
      <c r="BP631" s="364"/>
      <c r="BQ631" s="335"/>
      <c r="BR631" s="335"/>
      <c r="BS631" s="364"/>
      <c r="BT631" s="364"/>
      <c r="BU631" s="364"/>
      <c r="BV631" s="364"/>
      <c r="BW631" s="364"/>
      <c r="BX631" s="364"/>
      <c r="BY631" s="335"/>
      <c r="BZ631" s="335"/>
      <c r="CA631" s="364"/>
      <c r="CB631" s="364"/>
      <c r="CC631" s="335"/>
      <c r="CD631" s="335"/>
      <c r="CE631" s="335"/>
      <c r="CF631" s="335"/>
      <c r="CG631" s="335"/>
      <c r="CH631" s="335"/>
      <c r="CI631" s="365"/>
      <c r="CJ631" s="365"/>
      <c r="CK631" s="335"/>
      <c r="CL631" s="335"/>
      <c r="CM631" s="366"/>
      <c r="CN631" s="366"/>
      <c r="CO631" s="366"/>
      <c r="CP631" s="3"/>
    </row>
    <row r="632" spans="1:94" x14ac:dyDescent="0.25">
      <c r="A632" s="34">
        <v>77</v>
      </c>
      <c r="B632" s="33">
        <f t="shared" si="52"/>
        <v>104</v>
      </c>
      <c r="C632" s="294">
        <f>VLOOKUP($B632,'Mother mortality'!$A$23:$I$124,5)</f>
        <v>0.14624098391610749</v>
      </c>
      <c r="D632" s="295">
        <f t="shared" si="35"/>
        <v>0.27</v>
      </c>
      <c r="E632" s="295">
        <f t="shared" si="42"/>
        <v>0.58375901608389247</v>
      </c>
      <c r="F632" s="295">
        <f>VLOOKUP($B632,'Mother mortality'!$A$23:$I$124,5)</f>
        <v>0.14624098391610749</v>
      </c>
      <c r="G632" s="295">
        <f t="shared" si="36"/>
        <v>0.14000000000000001</v>
      </c>
      <c r="H632" s="295">
        <f t="shared" si="43"/>
        <v>0.71375901608389247</v>
      </c>
      <c r="I632" s="295">
        <f>VLOOKUP($B632,'Mother mortality'!$A$23:$I$124,4)</f>
        <v>0.12016234480898272</v>
      </c>
      <c r="J632" s="295">
        <f t="shared" si="44"/>
        <v>0.30840908376244591</v>
      </c>
      <c r="K632" s="295">
        <f t="shared" si="37"/>
        <v>0.5714285714285714</v>
      </c>
      <c r="L632" s="295">
        <f>VLOOKUP($B632,'Mother mortality'!$A$23:$I$124,4)</f>
        <v>0.12016234480898272</v>
      </c>
      <c r="M632" s="295">
        <f t="shared" si="38"/>
        <v>8.6261668788331098E-3</v>
      </c>
      <c r="N632" s="295">
        <f t="shared" si="45"/>
        <v>0.8712114883121842</v>
      </c>
      <c r="O632" s="294"/>
      <c r="P632" s="296">
        <f t="shared" si="53"/>
        <v>31.439225527833546</v>
      </c>
      <c r="Q632" s="297">
        <f t="shared" si="54"/>
        <v>9.9832948017317076</v>
      </c>
      <c r="R632" s="297">
        <f t="shared" si="55"/>
        <v>1.6454139358440674</v>
      </c>
      <c r="S632" s="297">
        <f t="shared" si="56"/>
        <v>88.828551491542484</v>
      </c>
      <c r="T632" s="297">
        <f t="shared" si="57"/>
        <v>868.1035142430477</v>
      </c>
      <c r="U632" s="294">
        <f t="shared" si="46"/>
        <v>999.99999999999955</v>
      </c>
      <c r="V632" s="295" t="str">
        <f t="shared" si="39"/>
        <v>OKAY</v>
      </c>
      <c r="W632" s="295"/>
      <c r="X632" s="296">
        <f>SUM($P632:$Q632)-(SUM($P632:$Q632)*(VLOOKUP($B632,Lifetime_morbidity_array!$A$6:$Y$24,4)+VLOOKUP($B632,Lifetime_morbidity_array!$A$6:$Y$24,7)+VLOOKUP($B632,Lifetime_morbidity_array!$A$6:$Y$24,10)+VLOOKUP($B632,Lifetime_morbidity_array!$A$6:$Y$24,13)))</f>
        <v>6.5673135977327348</v>
      </c>
      <c r="Y632" s="297">
        <f>SUM($R632:$S632)-(SUM($R632:$S632)*(VLOOKUP($B632,Lifetime_morbidity_array!$A$6:$Y$24,3)+VLOOKUP($B632,Lifetime_morbidity_array!$A$6:$Y$24,6)+VLOOKUP($B632,Lifetime_morbidity_array!$A$6:$Y$24,9)+VLOOKUP($B632,Lifetime_morbidity_array!$A$6:$Y$24,12)))</f>
        <v>52.654287406828146</v>
      </c>
      <c r="Z632" s="297">
        <f>(SUM($P632:$Q632)*VLOOKUP($B632,Lifetime_morbidity_array!$A$6:$Y$24,4))+(SUM($R632:$S632)*VLOOKUP($B632,Lifetime_morbidity_array!$A$6:$Y$24,3))</f>
        <v>33.532442777976925</v>
      </c>
      <c r="AA632" s="297">
        <f>(SUM($P632:$Q632)*VLOOKUP($B632,Lifetime_morbidity_array!$A$6:$Y$24,7))+(SUM($R632:$S632)*VLOOKUP($B632,Lifetime_morbidity_array!$A$6:$Y$24,6))</f>
        <v>21.111636591158636</v>
      </c>
      <c r="AB632" s="297">
        <f>(SUM($P632:$Q632)*VLOOKUP($B632,Lifetime_morbidity_array!$A$6:$Y$24,10))+(SUM($R632:$S632)*VLOOKUP($B632,Lifetime_morbidity_array!$A$6:$Y$24,9))</f>
        <v>0.96931854100086778</v>
      </c>
      <c r="AC632" s="297">
        <f>(SUM($P632:$Q632)*VLOOKUP($B632,Lifetime_morbidity_array!$A$6:$Y$24,13))+(SUM($R632:$S632)*VLOOKUP($B632,Lifetime_morbidity_array!$A$6:$Y$24,12))</f>
        <v>17.061486842254478</v>
      </c>
      <c r="AD632" s="294"/>
      <c r="AE632" s="294">
        <f t="shared" si="58"/>
        <v>104</v>
      </c>
      <c r="AF632" s="297">
        <f t="shared" si="59"/>
        <v>9.3288109116433819</v>
      </c>
      <c r="AG632" s="297">
        <f t="shared" si="60"/>
        <v>25231.726839943567</v>
      </c>
      <c r="AH632" s="294"/>
      <c r="AI632" s="294">
        <f t="shared" si="61"/>
        <v>104</v>
      </c>
      <c r="AJ632" s="295">
        <f>((VLOOKUP($B632,'Mahawesran Tariff'!$A$21:$M$120,7)*$X632)+(VLOOKUP($B632,'Mahawesran Tariff'!$A$21:$M$120,6)*$Y632)+(DET_UTIL_chd*$Z632)+(DET_UTIL_copd*$AA632)+(DET_UTIL_lc*$AB632)+(DET_UTIL_stroke*$AC632))/((1+Discount_rate_QALYs)^$A632)</f>
        <v>7.5023735791003245</v>
      </c>
      <c r="AK632" s="295">
        <f t="shared" si="62"/>
        <v>23163.5742676665</v>
      </c>
      <c r="AL632" s="294"/>
      <c r="AM632" s="294">
        <f t="shared" si="47"/>
        <v>104</v>
      </c>
      <c r="AN632" s="299">
        <f t="shared" si="48"/>
        <v>32491.510775383824</v>
      </c>
      <c r="AO632" s="299">
        <f t="shared" si="63"/>
        <v>21438916.007650048</v>
      </c>
      <c r="AP632" s="294"/>
      <c r="AQ632" s="294">
        <f t="shared" si="49"/>
        <v>104</v>
      </c>
      <c r="AR632" s="298">
        <f t="shared" si="32"/>
        <v>0.13189648575695179</v>
      </c>
      <c r="AS632" s="298">
        <f t="shared" si="40"/>
        <v>0.86810351424304766</v>
      </c>
      <c r="AT632" s="298">
        <f t="shared" si="41"/>
        <v>7.2674884752390909E-2</v>
      </c>
      <c r="AU632" s="250"/>
      <c r="AV632" s="294">
        <f t="shared" si="50"/>
        <v>104</v>
      </c>
      <c r="AW632" s="299">
        <f t="shared" si="51"/>
        <v>32491.510775383824</v>
      </c>
      <c r="AX632" s="299">
        <f t="shared" si="64"/>
        <v>21435876.007650048</v>
      </c>
      <c r="AY632" s="335"/>
      <c r="AZ632" s="335"/>
      <c r="BA632" s="335"/>
      <c r="BB632" s="335"/>
      <c r="BC632" s="335"/>
      <c r="BD632" s="335"/>
      <c r="BE632" s="335"/>
      <c r="BF632" s="335"/>
      <c r="BG632" s="335"/>
      <c r="BH632" s="335"/>
      <c r="BI632" s="335"/>
      <c r="BJ632" s="335"/>
      <c r="BK632" s="364"/>
      <c r="BL632" s="364"/>
      <c r="BM632" s="364"/>
      <c r="BN632" s="364"/>
      <c r="BO632" s="364"/>
      <c r="BP632" s="364"/>
      <c r="BQ632" s="335"/>
      <c r="BR632" s="335"/>
      <c r="BS632" s="364"/>
      <c r="BT632" s="364"/>
      <c r="BU632" s="364"/>
      <c r="BV632" s="364"/>
      <c r="BW632" s="364"/>
      <c r="BX632" s="364"/>
      <c r="BY632" s="335"/>
      <c r="BZ632" s="335"/>
      <c r="CA632" s="364"/>
      <c r="CB632" s="364"/>
      <c r="CC632" s="335"/>
      <c r="CD632" s="335"/>
      <c r="CE632" s="335"/>
      <c r="CF632" s="335"/>
      <c r="CG632" s="335"/>
      <c r="CH632" s="335"/>
      <c r="CI632" s="365"/>
      <c r="CJ632" s="365"/>
      <c r="CK632" s="335"/>
      <c r="CL632" s="335"/>
      <c r="CM632" s="366"/>
      <c r="CN632" s="366"/>
      <c r="CO632" s="366"/>
      <c r="CP632" s="3"/>
    </row>
    <row r="633" spans="1:94" x14ac:dyDescent="0.25">
      <c r="A633" s="34">
        <v>78</v>
      </c>
      <c r="B633" s="33">
        <f t="shared" si="52"/>
        <v>105</v>
      </c>
      <c r="C633" s="294">
        <f>VLOOKUP($B633,'Mother mortality'!$A$23:$I$124,5)</f>
        <v>0.14624098391610749</v>
      </c>
      <c r="D633" s="295">
        <f t="shared" si="35"/>
        <v>0.27</v>
      </c>
      <c r="E633" s="295">
        <f t="shared" si="42"/>
        <v>0.58375901608389247</v>
      </c>
      <c r="F633" s="295">
        <f>VLOOKUP($B633,'Mother mortality'!$A$23:$I$124,5)</f>
        <v>0.14624098391610749</v>
      </c>
      <c r="G633" s="295">
        <f t="shared" si="36"/>
        <v>0.14000000000000001</v>
      </c>
      <c r="H633" s="295">
        <f t="shared" si="43"/>
        <v>0.71375901608389247</v>
      </c>
      <c r="I633" s="295">
        <f>VLOOKUP($B633,'Mother mortality'!$A$23:$I$124,4)</f>
        <v>0.12016234480898272</v>
      </c>
      <c r="J633" s="295">
        <f t="shared" si="44"/>
        <v>0.30840908376244591</v>
      </c>
      <c r="K633" s="295">
        <f t="shared" si="37"/>
        <v>0.5714285714285714</v>
      </c>
      <c r="L633" s="295">
        <f>VLOOKUP($B633,'Mother mortality'!$A$23:$I$124,4)</f>
        <v>0.12016234480898272</v>
      </c>
      <c r="M633" s="295">
        <f t="shared" si="38"/>
        <v>8.6261668788331098E-3</v>
      </c>
      <c r="N633" s="295">
        <f t="shared" si="45"/>
        <v>0.8712114883121842</v>
      </c>
      <c r="O633" s="294"/>
      <c r="P633" s="296">
        <f t="shared" si="53"/>
        <v>26.752308548661862</v>
      </c>
      <c r="Q633" s="297">
        <f t="shared" si="54"/>
        <v>8.4885908925150577</v>
      </c>
      <c r="R633" s="297">
        <f t="shared" si="55"/>
        <v>1.3976612722424393</v>
      </c>
      <c r="S633" s="297">
        <f t="shared" si="56"/>
        <v>78.328691084330245</v>
      </c>
      <c r="T633" s="297">
        <f t="shared" si="57"/>
        <v>885.03274820224988</v>
      </c>
      <c r="U633" s="294">
        <f t="shared" si="46"/>
        <v>999.99999999999955</v>
      </c>
      <c r="V633" s="295" t="str">
        <f t="shared" si="39"/>
        <v>OKAY</v>
      </c>
      <c r="W633" s="295"/>
      <c r="X633" s="296">
        <f>SUM($P633:$Q633)-(SUM($P633:$Q633)*(VLOOKUP($B633,Lifetime_morbidity_array!$A$6:$Y$24,4)+VLOOKUP($B633,Lifetime_morbidity_array!$A$6:$Y$24,7)+VLOOKUP($B633,Lifetime_morbidity_array!$A$6:$Y$24,10)+VLOOKUP($B633,Lifetime_morbidity_array!$A$6:$Y$24,13)))</f>
        <v>5.5872514819235803</v>
      </c>
      <c r="Y633" s="297">
        <f>SUM($R633:$S633)-(SUM($R633:$S633)*(VLOOKUP($B633,Lifetime_morbidity_array!$A$6:$Y$24,3)+VLOOKUP($B633,Lifetime_morbidity_array!$A$6:$Y$24,6)+VLOOKUP($B633,Lifetime_morbidity_array!$A$6:$Y$24,9)+VLOOKUP($B633,Lifetime_morbidity_array!$A$6:$Y$24,12)))</f>
        <v>46.399361971707179</v>
      </c>
      <c r="Z633" s="297">
        <f>(SUM($P633:$Q633)*VLOOKUP($B633,Lifetime_morbidity_array!$A$6:$Y$24,4))+(SUM($R633:$S633)*VLOOKUP($B633,Lifetime_morbidity_array!$A$6:$Y$24,3))</f>
        <v>29.091888435850557</v>
      </c>
      <c r="AA633" s="297">
        <f>(SUM($P633:$Q633)*VLOOKUP($B633,Lifetime_morbidity_array!$A$6:$Y$24,7))+(SUM($R633:$S633)*VLOOKUP($B633,Lifetime_morbidity_array!$A$6:$Y$24,6))</f>
        <v>18.233476494313177</v>
      </c>
      <c r="AB633" s="297">
        <f>(SUM($P633:$Q633)*VLOOKUP($B633,Lifetime_morbidity_array!$A$6:$Y$24,10))+(SUM($R633:$S633)*VLOOKUP($B633,Lifetime_morbidity_array!$A$6:$Y$24,9))</f>
        <v>0.83577239748211252</v>
      </c>
      <c r="AC633" s="297">
        <f>(SUM($P633:$Q633)*VLOOKUP($B633,Lifetime_morbidity_array!$A$6:$Y$24,13))+(SUM($R633:$S633)*VLOOKUP($B633,Lifetime_morbidity_array!$A$6:$Y$24,12))</f>
        <v>14.819501016473009</v>
      </c>
      <c r="AD633" s="294"/>
      <c r="AE633" s="294">
        <f t="shared" si="58"/>
        <v>105</v>
      </c>
      <c r="AF633" s="297">
        <f t="shared" si="59"/>
        <v>7.8564593209818261</v>
      </c>
      <c r="AG633" s="297">
        <f t="shared" si="60"/>
        <v>25239.583299264548</v>
      </c>
      <c r="AH633" s="294"/>
      <c r="AI633" s="294">
        <f t="shared" si="61"/>
        <v>105</v>
      </c>
      <c r="AJ633" s="295">
        <f>((VLOOKUP($B633,'Mahawesran Tariff'!$A$21:$M$120,7)*$X633)+(VLOOKUP($B633,'Mahawesran Tariff'!$A$21:$M$120,6)*$Y633)+(DET_UTIL_chd*$Z633)+(DET_UTIL_copd*$AA633)+(DET_UTIL_lc*$AB633)+(DET_UTIL_stroke*$AC633))/((1+Discount_rate_QALYs)^$A633)</f>
        <v>6.3227946461525448</v>
      </c>
      <c r="AK633" s="295">
        <f t="shared" si="62"/>
        <v>23169.897062312652</v>
      </c>
      <c r="AL633" s="294"/>
      <c r="AM633" s="294">
        <f t="shared" si="47"/>
        <v>105</v>
      </c>
      <c r="AN633" s="299">
        <f t="shared" si="48"/>
        <v>27253.240875260977</v>
      </c>
      <c r="AO633" s="299">
        <f t="shared" si="63"/>
        <v>21466169.24852531</v>
      </c>
      <c r="AP633" s="294"/>
      <c r="AQ633" s="294">
        <f t="shared" si="49"/>
        <v>105</v>
      </c>
      <c r="AR633" s="298">
        <f t="shared" si="32"/>
        <v>0.11496725179774961</v>
      </c>
      <c r="AS633" s="298">
        <f t="shared" si="40"/>
        <v>0.88503274820224986</v>
      </c>
      <c r="AT633" s="298">
        <f t="shared" si="41"/>
        <v>6.298063834411885E-2</v>
      </c>
      <c r="AU633" s="250"/>
      <c r="AV633" s="294">
        <f t="shared" si="50"/>
        <v>105</v>
      </c>
      <c r="AW633" s="299">
        <f t="shared" si="51"/>
        <v>27253.240875260977</v>
      </c>
      <c r="AX633" s="299">
        <f t="shared" si="64"/>
        <v>21463129.24852531</v>
      </c>
      <c r="AY633" s="335"/>
      <c r="AZ633" s="335"/>
      <c r="BA633" s="335"/>
      <c r="BB633" s="335"/>
      <c r="BC633" s="335"/>
      <c r="BD633" s="335"/>
      <c r="BE633" s="335"/>
      <c r="BF633" s="335"/>
      <c r="BG633" s="335"/>
      <c r="BH633" s="335"/>
      <c r="BI633" s="335"/>
      <c r="BJ633" s="335"/>
      <c r="BK633" s="364"/>
      <c r="BL633" s="364"/>
      <c r="BM633" s="364"/>
      <c r="BN633" s="364"/>
      <c r="BO633" s="364"/>
      <c r="BP633" s="364"/>
      <c r="BQ633" s="335"/>
      <c r="BR633" s="335"/>
      <c r="BS633" s="364"/>
      <c r="BT633" s="364"/>
      <c r="BU633" s="364"/>
      <c r="BV633" s="364"/>
      <c r="BW633" s="364"/>
      <c r="BX633" s="364"/>
      <c r="BY633" s="335"/>
      <c r="BZ633" s="335"/>
      <c r="CA633" s="364"/>
      <c r="CB633" s="364"/>
      <c r="CC633" s="335"/>
      <c r="CD633" s="335"/>
      <c r="CE633" s="335"/>
      <c r="CF633" s="335"/>
      <c r="CG633" s="335"/>
      <c r="CH633" s="335"/>
      <c r="CI633" s="365"/>
      <c r="CJ633" s="365"/>
      <c r="CK633" s="335"/>
      <c r="CL633" s="335"/>
      <c r="CM633" s="366"/>
      <c r="CN633" s="366"/>
      <c r="CO633" s="366"/>
      <c r="CP633" s="3"/>
    </row>
    <row r="634" spans="1:94" x14ac:dyDescent="0.25">
      <c r="A634" s="34">
        <v>79</v>
      </c>
      <c r="B634" s="33">
        <f t="shared" si="52"/>
        <v>106</v>
      </c>
      <c r="C634" s="294">
        <f>VLOOKUP($B634,'Mother mortality'!$A$23:$I$124,5)</f>
        <v>0.14624098391610749</v>
      </c>
      <c r="D634" s="295">
        <f t="shared" si="35"/>
        <v>0.27</v>
      </c>
      <c r="E634" s="295">
        <f t="shared" si="42"/>
        <v>0.58375901608389247</v>
      </c>
      <c r="F634" s="295">
        <f>VLOOKUP($B634,'Mother mortality'!$A$23:$I$124,5)</f>
        <v>0.14624098391610749</v>
      </c>
      <c r="G634" s="295">
        <f t="shared" si="36"/>
        <v>0.14000000000000001</v>
      </c>
      <c r="H634" s="295">
        <f t="shared" si="43"/>
        <v>0.71375901608389247</v>
      </c>
      <c r="I634" s="295">
        <f>VLOOKUP($B634,'Mother mortality'!$A$23:$I$124,4)</f>
        <v>0.12016234480898272</v>
      </c>
      <c r="J634" s="295">
        <f t="shared" si="44"/>
        <v>0.30840908376244591</v>
      </c>
      <c r="K634" s="295">
        <f t="shared" si="37"/>
        <v>0.5714285714285714</v>
      </c>
      <c r="L634" s="295">
        <f>VLOOKUP($B634,'Mother mortality'!$A$23:$I$124,4)</f>
        <v>0.12016234480898272</v>
      </c>
      <c r="M634" s="295">
        <f t="shared" si="38"/>
        <v>8.6261668788331098E-3</v>
      </c>
      <c r="N634" s="295">
        <f t="shared" si="45"/>
        <v>0.8712114883121842</v>
      </c>
      <c r="O634" s="294"/>
      <c r="P634" s="296">
        <f t="shared" si="53"/>
        <v>22.782437392796336</v>
      </c>
      <c r="Q634" s="297">
        <f t="shared" si="54"/>
        <v>7.2231233081387032</v>
      </c>
      <c r="R634" s="297">
        <f t="shared" si="55"/>
        <v>1.1884027249521083</v>
      </c>
      <c r="S634" s="297">
        <f t="shared" si="56"/>
        <v>69.039519121263197</v>
      </c>
      <c r="T634" s="297">
        <f t="shared" si="57"/>
        <v>899.76651745284914</v>
      </c>
      <c r="U634" s="294">
        <f t="shared" si="46"/>
        <v>999.99999999999955</v>
      </c>
      <c r="V634" s="295" t="str">
        <f t="shared" si="39"/>
        <v>OKAY</v>
      </c>
      <c r="W634" s="295"/>
      <c r="X634" s="296">
        <f>SUM($P634:$Q634)-(SUM($P634:$Q634)*(VLOOKUP($B634,Lifetime_morbidity_array!$A$6:$Y$24,4)+VLOOKUP($B634,Lifetime_morbidity_array!$A$6:$Y$24,7)+VLOOKUP($B634,Lifetime_morbidity_array!$A$6:$Y$24,10)+VLOOKUP($B634,Lifetime_morbidity_array!$A$6:$Y$24,13)))</f>
        <v>4.7572172149601748</v>
      </c>
      <c r="Y634" s="297">
        <f>SUM($R634:$S634)-(SUM($R634:$S634)*(VLOOKUP($B634,Lifetime_morbidity_array!$A$6:$Y$24,3)+VLOOKUP($B634,Lifetime_morbidity_array!$A$6:$Y$24,6)+VLOOKUP($B634,Lifetime_morbidity_array!$A$6:$Y$24,9)+VLOOKUP($B634,Lifetime_morbidity_array!$A$6:$Y$24,12)))</f>
        <v>40.87143924118925</v>
      </c>
      <c r="Z634" s="297">
        <f>(SUM($P634:$Q634)*VLOOKUP($B634,Lifetime_morbidity_array!$A$6:$Y$24,4))+(SUM($R634:$S634)*VLOOKUP($B634,Lifetime_morbidity_array!$A$6:$Y$24,3))</f>
        <v>25.250043716466536</v>
      </c>
      <c r="AA634" s="297">
        <f>(SUM($P634:$Q634)*VLOOKUP($B634,Lifetime_morbidity_array!$A$6:$Y$24,7))+(SUM($R634:$S634)*VLOOKUP($B634,Lifetime_morbidity_array!$A$6:$Y$24,6))</f>
        <v>15.756731977061754</v>
      </c>
      <c r="AB634" s="297">
        <f>(SUM($P634:$Q634)*VLOOKUP($B634,Lifetime_morbidity_array!$A$6:$Y$24,10))+(SUM($R634:$S634)*VLOOKUP($B634,Lifetime_morbidity_array!$A$6:$Y$24,9))</f>
        <v>0.72107201056333015</v>
      </c>
      <c r="AC634" s="297">
        <f>(SUM($P634:$Q634)*VLOOKUP($B634,Lifetime_morbidity_array!$A$6:$Y$24,13))+(SUM($R634:$S634)*VLOOKUP($B634,Lifetime_morbidity_array!$A$6:$Y$24,12))</f>
        <v>12.876978386909297</v>
      </c>
      <c r="AD634" s="294"/>
      <c r="AE634" s="294">
        <f t="shared" si="58"/>
        <v>106</v>
      </c>
      <c r="AF634" s="297">
        <f t="shared" si="59"/>
        <v>6.6179759755203857</v>
      </c>
      <c r="AG634" s="297">
        <f t="shared" si="60"/>
        <v>25246.20127524007</v>
      </c>
      <c r="AH634" s="294"/>
      <c r="AI634" s="294">
        <f t="shared" si="61"/>
        <v>106</v>
      </c>
      <c r="AJ634" s="295">
        <f>((VLOOKUP($B634,'Mahawesran Tariff'!$A$21:$M$120,7)*$X634)+(VLOOKUP($B634,'Mahawesran Tariff'!$A$21:$M$120,6)*$Y634)+(DET_UTIL_chd*$Z634)+(DET_UTIL_copd*$AA634)+(DET_UTIL_lc*$AB634)+(DET_UTIL_stroke*$AC634))/((1+Discount_rate_QALYs)^$A634)</f>
        <v>5.3296978401210708</v>
      </c>
      <c r="AK634" s="295">
        <f t="shared" si="62"/>
        <v>23175.226760152771</v>
      </c>
      <c r="AL634" s="294"/>
      <c r="AM634" s="294">
        <f t="shared" si="47"/>
        <v>106</v>
      </c>
      <c r="AN634" s="299">
        <f t="shared" si="48"/>
        <v>22868.574227676807</v>
      </c>
      <c r="AO634" s="299">
        <f t="shared" si="63"/>
        <v>21489037.822752986</v>
      </c>
      <c r="AP634" s="294"/>
      <c r="AQ634" s="294">
        <f t="shared" si="49"/>
        <v>106</v>
      </c>
      <c r="AR634" s="298">
        <f t="shared" si="32"/>
        <v>0.10023348254715035</v>
      </c>
      <c r="AS634" s="298">
        <f t="shared" si="40"/>
        <v>0.89976651745284919</v>
      </c>
      <c r="AT634" s="298">
        <f t="shared" si="41"/>
        <v>5.4604826091000917E-2</v>
      </c>
      <c r="AU634" s="250"/>
      <c r="AV634" s="294">
        <f t="shared" si="50"/>
        <v>106</v>
      </c>
      <c r="AW634" s="299">
        <f t="shared" si="51"/>
        <v>22868.574227676807</v>
      </c>
      <c r="AX634" s="299">
        <f t="shared" si="64"/>
        <v>21485997.822752986</v>
      </c>
      <c r="AY634" s="335"/>
      <c r="AZ634" s="335"/>
      <c r="BA634" s="335"/>
      <c r="BB634" s="335"/>
      <c r="BC634" s="335"/>
      <c r="BD634" s="335"/>
      <c r="BE634" s="335"/>
      <c r="BF634" s="335"/>
      <c r="BG634" s="335"/>
      <c r="BH634" s="335"/>
      <c r="BI634" s="335"/>
      <c r="BJ634" s="335"/>
      <c r="BK634" s="364"/>
      <c r="BL634" s="364"/>
      <c r="BM634" s="364"/>
      <c r="BN634" s="364"/>
      <c r="BO634" s="364"/>
      <c r="BP634" s="364"/>
      <c r="BQ634" s="335"/>
      <c r="BR634" s="335"/>
      <c r="BS634" s="364"/>
      <c r="BT634" s="364"/>
      <c r="BU634" s="364"/>
      <c r="BV634" s="364"/>
      <c r="BW634" s="364"/>
      <c r="BX634" s="364"/>
      <c r="BY634" s="335"/>
      <c r="BZ634" s="335"/>
      <c r="CA634" s="364"/>
      <c r="CB634" s="364"/>
      <c r="CC634" s="335"/>
      <c r="CD634" s="335"/>
      <c r="CE634" s="335"/>
      <c r="CF634" s="335"/>
      <c r="CG634" s="335"/>
      <c r="CH634" s="335"/>
      <c r="CI634" s="365"/>
      <c r="CJ634" s="365"/>
      <c r="CK634" s="335"/>
      <c r="CL634" s="335"/>
      <c r="CM634" s="366"/>
      <c r="CN634" s="366"/>
      <c r="CO634" s="366"/>
      <c r="CP634" s="3"/>
    </row>
    <row r="635" spans="1:94" x14ac:dyDescent="0.25">
      <c r="A635" s="34">
        <v>80</v>
      </c>
      <c r="B635" s="33">
        <f t="shared" si="52"/>
        <v>107</v>
      </c>
      <c r="C635" s="294">
        <f>VLOOKUP($B635,'Mother mortality'!$A$23:$I$124,5)</f>
        <v>0.14624098391610749</v>
      </c>
      <c r="D635" s="295">
        <f t="shared" si="35"/>
        <v>0.27</v>
      </c>
      <c r="E635" s="295">
        <f t="shared" si="42"/>
        <v>0.58375901608389247</v>
      </c>
      <c r="F635" s="295">
        <f>VLOOKUP($B635,'Mother mortality'!$A$23:$I$124,5)</f>
        <v>0.14624098391610749</v>
      </c>
      <c r="G635" s="295">
        <f t="shared" si="36"/>
        <v>0.14000000000000001</v>
      </c>
      <c r="H635" s="295">
        <f t="shared" si="43"/>
        <v>0.71375901608389247</v>
      </c>
      <c r="I635" s="295">
        <f>VLOOKUP($B635,'Mother mortality'!$A$23:$I$124,4)</f>
        <v>0.12016234480898272</v>
      </c>
      <c r="J635" s="295">
        <f t="shared" si="44"/>
        <v>0.30840908376244591</v>
      </c>
      <c r="K635" s="295">
        <f t="shared" si="37"/>
        <v>0.5714285714285714</v>
      </c>
      <c r="L635" s="295">
        <f>VLOOKUP($B635,'Mother mortality'!$A$23:$I$124,4)</f>
        <v>0.12016234480898272</v>
      </c>
      <c r="M635" s="295">
        <f t="shared" si="38"/>
        <v>8.6261668788331098E-3</v>
      </c>
      <c r="N635" s="295">
        <f t="shared" si="45"/>
        <v>0.8712114883121842</v>
      </c>
      <c r="O635" s="294"/>
      <c r="P635" s="296">
        <f t="shared" si="53"/>
        <v>19.417083230599061</v>
      </c>
      <c r="Q635" s="297">
        <f t="shared" si="54"/>
        <v>6.1512580960550114</v>
      </c>
      <c r="R635" s="297">
        <f t="shared" si="55"/>
        <v>1.0112372631394186</v>
      </c>
      <c r="S635" s="297">
        <f t="shared" si="56"/>
        <v>60.827109477394416</v>
      </c>
      <c r="T635" s="297">
        <f t="shared" si="57"/>
        <v>912.5933119328115</v>
      </c>
      <c r="U635" s="294">
        <f t="shared" si="46"/>
        <v>999.99999999999943</v>
      </c>
      <c r="V635" s="295" t="str">
        <f t="shared" si="39"/>
        <v>Too Few</v>
      </c>
      <c r="W635" s="295"/>
      <c r="X635" s="296">
        <f>SUM($P635:$Q635)-(SUM($P635:$Q635)*(VLOOKUP($B635,Lifetime_morbidity_array!$A$6:$Y$24,4)+VLOOKUP($B635,Lifetime_morbidity_array!$A$6:$Y$24,7)+VLOOKUP($B635,Lifetime_morbidity_array!$A$6:$Y$24,10)+VLOOKUP($B635,Lifetime_morbidity_array!$A$6:$Y$24,13)))</f>
        <v>4.0537203996773172</v>
      </c>
      <c r="Y635" s="297">
        <f>SUM($R635:$S635)-(SUM($R635:$S635)*(VLOOKUP($B635,Lifetime_morbidity_array!$A$6:$Y$24,3)+VLOOKUP($B635,Lifetime_morbidity_array!$A$6:$Y$24,6)+VLOOKUP($B635,Lifetime_morbidity_array!$A$6:$Y$24,9)+VLOOKUP($B635,Lifetime_morbidity_array!$A$6:$Y$24,12)))</f>
        <v>35.988851230937129</v>
      </c>
      <c r="Z635" s="297">
        <f>(SUM($P635:$Q635)*VLOOKUP($B635,Lifetime_morbidity_array!$A$6:$Y$24,4))+(SUM($R635:$S635)*VLOOKUP($B635,Lifetime_morbidity_array!$A$6:$Y$24,3))</f>
        <v>21.924475314716698</v>
      </c>
      <c r="AA635" s="297">
        <f>(SUM($P635:$Q635)*VLOOKUP($B635,Lifetime_morbidity_array!$A$6:$Y$24,7))+(SUM($R635:$S635)*VLOOKUP($B635,Lifetime_morbidity_array!$A$6:$Y$24,6))</f>
        <v>13.624017712124061</v>
      </c>
      <c r="AB635" s="297">
        <f>(SUM($P635:$Q635)*VLOOKUP($B635,Lifetime_morbidity_array!$A$6:$Y$24,10))+(SUM($R635:$S635)*VLOOKUP($B635,Lifetime_morbidity_array!$A$6:$Y$24,9))</f>
        <v>0.62248952643150646</v>
      </c>
      <c r="AC635" s="297">
        <f>(SUM($P635:$Q635)*VLOOKUP($B635,Lifetime_morbidity_array!$A$6:$Y$24,13))+(SUM($R635:$S635)*VLOOKUP($B635,Lifetime_morbidity_array!$A$6:$Y$24,12))</f>
        <v>11.193133883301192</v>
      </c>
      <c r="AD635" s="294"/>
      <c r="AE635" s="294">
        <f t="shared" si="58"/>
        <v>107</v>
      </c>
      <c r="AF635" s="297">
        <f t="shared" si="59"/>
        <v>5.57592188857598</v>
      </c>
      <c r="AG635" s="297">
        <f t="shared" si="60"/>
        <v>25251.777197128646</v>
      </c>
      <c r="AH635" s="294"/>
      <c r="AI635" s="294">
        <f t="shared" si="61"/>
        <v>107</v>
      </c>
      <c r="AJ635" s="295">
        <f>((VLOOKUP($B635,'Mahawesran Tariff'!$A$21:$M$120,7)*$X635)+(VLOOKUP($B635,'Mahawesran Tariff'!$A$21:$M$120,6)*$Y635)+(DET_UTIL_chd*$Z635)+(DET_UTIL_copd*$AA635)+(DET_UTIL_lc*$AB635)+(DET_UTIL_stroke*$AC635))/((1+Discount_rate_QALYs)^$A635)</f>
        <v>4.4934009470768181</v>
      </c>
      <c r="AK635" s="295">
        <f t="shared" si="62"/>
        <v>23179.720161099849</v>
      </c>
      <c r="AL635" s="294"/>
      <c r="AM635" s="294">
        <f t="shared" si="47"/>
        <v>107</v>
      </c>
      <c r="AN635" s="299">
        <f t="shared" si="48"/>
        <v>19196.684056711587</v>
      </c>
      <c r="AO635" s="299">
        <f t="shared" si="63"/>
        <v>21508234.506809697</v>
      </c>
      <c r="AP635" s="294"/>
      <c r="AQ635" s="294">
        <f t="shared" si="49"/>
        <v>107</v>
      </c>
      <c r="AR635" s="298">
        <f t="shared" si="32"/>
        <v>8.7406688067187904E-2</v>
      </c>
      <c r="AS635" s="298">
        <f t="shared" si="40"/>
        <v>0.91259331193281146</v>
      </c>
      <c r="AT635" s="298">
        <f t="shared" si="41"/>
        <v>4.7364116436573463E-2</v>
      </c>
      <c r="AU635" s="250"/>
      <c r="AV635" s="294">
        <f t="shared" si="50"/>
        <v>107</v>
      </c>
      <c r="AW635" s="299">
        <f t="shared" si="51"/>
        <v>19196.684056711587</v>
      </c>
      <c r="AX635" s="299">
        <f t="shared" si="64"/>
        <v>21505194.506809697</v>
      </c>
      <c r="AY635" s="335"/>
      <c r="AZ635" s="335"/>
      <c r="BA635" s="335"/>
      <c r="BB635" s="335"/>
      <c r="BC635" s="335"/>
      <c r="BD635" s="335"/>
      <c r="BE635" s="335"/>
      <c r="BF635" s="335"/>
      <c r="BG635" s="335"/>
      <c r="BH635" s="335"/>
      <c r="BI635" s="335"/>
      <c r="BJ635" s="335"/>
      <c r="BK635" s="364"/>
      <c r="BL635" s="364"/>
      <c r="BM635" s="364"/>
      <c r="BN635" s="364"/>
      <c r="BO635" s="364"/>
      <c r="BP635" s="364"/>
      <c r="BQ635" s="335"/>
      <c r="BR635" s="335"/>
      <c r="BS635" s="364"/>
      <c r="BT635" s="364"/>
      <c r="BU635" s="364"/>
      <c r="BV635" s="364"/>
      <c r="BW635" s="364"/>
      <c r="BX635" s="364"/>
      <c r="BY635" s="335"/>
      <c r="BZ635" s="335"/>
      <c r="CA635" s="364"/>
      <c r="CB635" s="364"/>
      <c r="CC635" s="335"/>
      <c r="CD635" s="335"/>
      <c r="CE635" s="335"/>
      <c r="CF635" s="335"/>
      <c r="CG635" s="335"/>
      <c r="CH635" s="335"/>
      <c r="CI635" s="365"/>
      <c r="CJ635" s="365"/>
      <c r="CK635" s="335"/>
      <c r="CL635" s="335"/>
      <c r="CM635" s="366"/>
      <c r="CN635" s="366"/>
      <c r="CO635" s="366"/>
      <c r="CP635" s="3"/>
    </row>
    <row r="636" spans="1:94" x14ac:dyDescent="0.25">
      <c r="A636" s="34">
        <v>81</v>
      </c>
      <c r="B636" s="33">
        <f t="shared" si="52"/>
        <v>108</v>
      </c>
      <c r="C636" s="294">
        <f>VLOOKUP($B636,'Mother mortality'!$A$23:$I$124,5)</f>
        <v>0.14624098391610749</v>
      </c>
      <c r="D636" s="295">
        <f t="shared" si="35"/>
        <v>0.27</v>
      </c>
      <c r="E636" s="295">
        <f t="shared" si="42"/>
        <v>0.58375901608389247</v>
      </c>
      <c r="F636" s="295">
        <f>VLOOKUP($B636,'Mother mortality'!$A$23:$I$124,5)</f>
        <v>0.14624098391610749</v>
      </c>
      <c r="G636" s="295">
        <f t="shared" si="36"/>
        <v>0.14000000000000001</v>
      </c>
      <c r="H636" s="295">
        <f t="shared" si="43"/>
        <v>0.71375901608389247</v>
      </c>
      <c r="I636" s="295">
        <f>VLOOKUP($B636,'Mother mortality'!$A$23:$I$124,4)</f>
        <v>0.12016234480898272</v>
      </c>
      <c r="J636" s="295">
        <f t="shared" si="44"/>
        <v>0.30840908376244591</v>
      </c>
      <c r="K636" s="295">
        <f t="shared" si="37"/>
        <v>0.5714285714285714</v>
      </c>
      <c r="L636" s="295">
        <f>VLOOKUP($B636,'Mother mortality'!$A$23:$I$124,4)</f>
        <v>0.12016234480898272</v>
      </c>
      <c r="M636" s="295">
        <f t="shared" si="38"/>
        <v>8.6261668788331098E-3</v>
      </c>
      <c r="N636" s="295">
        <f t="shared" si="45"/>
        <v>0.8712114883121842</v>
      </c>
      <c r="O636" s="294"/>
      <c r="P636" s="296">
        <f t="shared" si="53"/>
        <v>16.561992883132188</v>
      </c>
      <c r="Q636" s="297">
        <f t="shared" si="54"/>
        <v>5.2426124722617473</v>
      </c>
      <c r="R636" s="297">
        <f t="shared" si="55"/>
        <v>0.86117613344770172</v>
      </c>
      <c r="S636" s="297">
        <f t="shared" si="56"/>
        <v>53.571126442180052</v>
      </c>
      <c r="T636" s="297">
        <f t="shared" si="57"/>
        <v>923.7630920689777</v>
      </c>
      <c r="U636" s="294">
        <f t="shared" si="46"/>
        <v>999.99999999999943</v>
      </c>
      <c r="V636" s="295" t="str">
        <f t="shared" si="39"/>
        <v>Too Few</v>
      </c>
      <c r="W636" s="295"/>
      <c r="X636" s="296">
        <f>SUM($P636:$Q636)-(SUM($P636:$Q636)*(VLOOKUP($B636,Lifetime_morbidity_array!$A$6:$Y$24,4)+VLOOKUP($B636,Lifetime_morbidity_array!$A$6:$Y$24,7)+VLOOKUP($B636,Lifetime_morbidity_array!$A$6:$Y$24,10)+VLOOKUP($B636,Lifetime_morbidity_array!$A$6:$Y$24,13)))</f>
        <v>3.457000687171309</v>
      </c>
      <c r="Y636" s="297">
        <f>SUM($R636:$S636)-(SUM($R636:$S636)*(VLOOKUP($B636,Lifetime_morbidity_array!$A$6:$Y$24,3)+VLOOKUP($B636,Lifetime_morbidity_array!$A$6:$Y$24,6)+VLOOKUP($B636,Lifetime_morbidity_array!$A$6:$Y$24,9)+VLOOKUP($B636,Lifetime_morbidity_array!$A$6:$Y$24,12)))</f>
        <v>31.678661264525129</v>
      </c>
      <c r="Z636" s="297">
        <f>(SUM($P636:$Q636)*VLOOKUP($B636,Lifetime_morbidity_array!$A$6:$Y$24,4))+(SUM($R636:$S636)*VLOOKUP($B636,Lifetime_morbidity_array!$A$6:$Y$24,3))</f>
        <v>19.044349775580315</v>
      </c>
      <c r="AA636" s="297">
        <f>(SUM($P636:$Q636)*VLOOKUP($B636,Lifetime_morbidity_array!$A$6:$Y$24,7))+(SUM($R636:$S636)*VLOOKUP($B636,Lifetime_morbidity_array!$A$6:$Y$24,6))</f>
        <v>11.786340579126342</v>
      </c>
      <c r="AB636" s="297">
        <f>(SUM($P636:$Q636)*VLOOKUP($B636,Lifetime_morbidity_array!$A$6:$Y$24,10))+(SUM($R636:$S636)*VLOOKUP($B636,Lifetime_morbidity_array!$A$6:$Y$24,9))</f>
        <v>0.53770088526004245</v>
      </c>
      <c r="AC636" s="297">
        <f>(SUM($P636:$Q636)*VLOOKUP($B636,Lifetime_morbidity_array!$A$6:$Y$24,13))+(SUM($R636:$S636)*VLOOKUP($B636,Lifetime_morbidity_array!$A$6:$Y$24,12))</f>
        <v>9.7328547393585492</v>
      </c>
      <c r="AD636" s="294"/>
      <c r="AE636" s="294">
        <f t="shared" si="58"/>
        <v>108</v>
      </c>
      <c r="AF636" s="297">
        <f t="shared" si="59"/>
        <v>4.6989079815851911</v>
      </c>
      <c r="AG636" s="297">
        <f t="shared" si="60"/>
        <v>25256.476105110232</v>
      </c>
      <c r="AH636" s="294"/>
      <c r="AI636" s="294">
        <f t="shared" si="61"/>
        <v>108</v>
      </c>
      <c r="AJ636" s="295">
        <f>((VLOOKUP($B636,'Mahawesran Tariff'!$A$21:$M$120,7)*$X636)+(VLOOKUP($B636,'Mahawesran Tariff'!$A$21:$M$120,6)*$Y636)+(DET_UTIL_chd*$Z636)+(DET_UTIL_copd*$AA636)+(DET_UTIL_lc*$AB636)+(DET_UTIL_stroke*$AC636))/((1+Discount_rate_QALYs)^$A636)</f>
        <v>3.7889859954022249</v>
      </c>
      <c r="AK636" s="295">
        <f t="shared" si="62"/>
        <v>23183.50914709525</v>
      </c>
      <c r="AL636" s="294"/>
      <c r="AM636" s="294">
        <f t="shared" si="47"/>
        <v>108</v>
      </c>
      <c r="AN636" s="299">
        <f t="shared" si="48"/>
        <v>16120.287675483596</v>
      </c>
      <c r="AO636" s="299">
        <f t="shared" si="63"/>
        <v>21524354.794485182</v>
      </c>
      <c r="AP636" s="294"/>
      <c r="AQ636" s="294">
        <f t="shared" si="49"/>
        <v>108</v>
      </c>
      <c r="AR636" s="298">
        <f t="shared" si="32"/>
        <v>7.6236907931021697E-2</v>
      </c>
      <c r="AS636" s="298">
        <f t="shared" si="40"/>
        <v>0.92376309206897766</v>
      </c>
      <c r="AT636" s="298">
        <f t="shared" si="41"/>
        <v>4.1101245979325247E-2</v>
      </c>
      <c r="AU636" s="250"/>
      <c r="AV636" s="294">
        <f t="shared" si="50"/>
        <v>108</v>
      </c>
      <c r="AW636" s="299">
        <f t="shared" si="51"/>
        <v>16120.287675483596</v>
      </c>
      <c r="AX636" s="299">
        <f t="shared" si="64"/>
        <v>21521314.794485182</v>
      </c>
      <c r="AY636" s="335"/>
      <c r="AZ636" s="335"/>
      <c r="BA636" s="335"/>
      <c r="BB636" s="335"/>
      <c r="BC636" s="335"/>
      <c r="BD636" s="335"/>
      <c r="BE636" s="335"/>
      <c r="BF636" s="335"/>
      <c r="BG636" s="335"/>
      <c r="BH636" s="335"/>
      <c r="BI636" s="335"/>
      <c r="BJ636" s="335"/>
      <c r="BK636" s="364"/>
      <c r="BL636" s="364"/>
      <c r="BM636" s="364"/>
      <c r="BN636" s="364"/>
      <c r="BO636" s="364"/>
      <c r="BP636" s="364"/>
      <c r="BQ636" s="335"/>
      <c r="BR636" s="335"/>
      <c r="BS636" s="364"/>
      <c r="BT636" s="364"/>
      <c r="BU636" s="364"/>
      <c r="BV636" s="364"/>
      <c r="BW636" s="364"/>
      <c r="BX636" s="364"/>
      <c r="BY636" s="335"/>
      <c r="BZ636" s="335"/>
      <c r="CA636" s="364"/>
      <c r="CB636" s="364"/>
      <c r="CC636" s="335"/>
      <c r="CD636" s="335"/>
      <c r="CE636" s="335"/>
      <c r="CF636" s="335"/>
      <c r="CG636" s="335"/>
      <c r="CH636" s="335"/>
      <c r="CI636" s="365"/>
      <c r="CJ636" s="365"/>
      <c r="CK636" s="335"/>
      <c r="CL636" s="335"/>
      <c r="CM636" s="366"/>
      <c r="CN636" s="366"/>
      <c r="CO636" s="366"/>
      <c r="CP636" s="3"/>
    </row>
    <row r="637" spans="1:94" x14ac:dyDescent="0.25">
      <c r="A637" s="34">
        <v>82</v>
      </c>
      <c r="B637" s="33">
        <f t="shared" si="52"/>
        <v>109</v>
      </c>
      <c r="C637" s="294">
        <f>VLOOKUP($B637,'Mother mortality'!$A$23:$I$124,5)</f>
        <v>0.14624098391610749</v>
      </c>
      <c r="D637" s="295">
        <f t="shared" si="35"/>
        <v>0.27</v>
      </c>
      <c r="E637" s="295">
        <f t="shared" si="42"/>
        <v>0.58375901608389247</v>
      </c>
      <c r="F637" s="295">
        <f>VLOOKUP($B637,'Mother mortality'!$A$23:$I$124,5)</f>
        <v>0.14624098391610749</v>
      </c>
      <c r="G637" s="295">
        <f t="shared" si="36"/>
        <v>0.14000000000000001</v>
      </c>
      <c r="H637" s="295">
        <f t="shared" si="43"/>
        <v>0.71375901608389247</v>
      </c>
      <c r="I637" s="295">
        <f>VLOOKUP($B637,'Mother mortality'!$A$23:$I$124,4)</f>
        <v>0.12016234480898272</v>
      </c>
      <c r="J637" s="295">
        <f t="shared" si="44"/>
        <v>0.30840908376244591</v>
      </c>
      <c r="K637" s="295">
        <f t="shared" si="37"/>
        <v>0.5714285714285714</v>
      </c>
      <c r="L637" s="295">
        <f>VLOOKUP($B637,'Mother mortality'!$A$23:$I$124,4)</f>
        <v>0.12016234480898272</v>
      </c>
      <c r="M637" s="295">
        <f t="shared" si="38"/>
        <v>8.6261668788331098E-3</v>
      </c>
      <c r="N637" s="295">
        <f t="shared" si="45"/>
        <v>0.8712114883121842</v>
      </c>
      <c r="O637" s="294"/>
      <c r="P637" s="296">
        <f t="shared" si="53"/>
        <v>14.13788260860837</v>
      </c>
      <c r="Q637" s="297">
        <f t="shared" si="54"/>
        <v>4.471738078445691</v>
      </c>
      <c r="R637" s="297">
        <f t="shared" si="55"/>
        <v>0.73396574611664467</v>
      </c>
      <c r="S637" s="297">
        <f t="shared" si="56"/>
        <v>47.163881445936291</v>
      </c>
      <c r="T637" s="297">
        <f t="shared" si="57"/>
        <v>933.49253212089241</v>
      </c>
      <c r="U637" s="294">
        <f t="shared" si="46"/>
        <v>999.99999999999943</v>
      </c>
      <c r="V637" s="295" t="str">
        <f t="shared" si="39"/>
        <v>Too Few</v>
      </c>
      <c r="W637" s="295"/>
      <c r="X637" s="296">
        <f>SUM($P637:$Q637)-(SUM($P637:$Q637)*(VLOOKUP($B637,Lifetime_morbidity_array!$A$6:$Y$24,4)+VLOOKUP($B637,Lifetime_morbidity_array!$A$6:$Y$24,7)+VLOOKUP($B637,Lifetime_morbidity_array!$A$6:$Y$24,10)+VLOOKUP($B637,Lifetime_morbidity_array!$A$6:$Y$24,13)))</f>
        <v>2.9504533769160268</v>
      </c>
      <c r="Y637" s="297">
        <f>SUM($R637:$S637)-(SUM($R637:$S637)*(VLOOKUP($B637,Lifetime_morbidity_array!$A$6:$Y$24,3)+VLOOKUP($B637,Lifetime_morbidity_array!$A$6:$Y$24,6)+VLOOKUP($B637,Lifetime_morbidity_array!$A$6:$Y$24,9)+VLOOKUP($B637,Lifetime_morbidity_array!$A$6:$Y$24,12)))</f>
        <v>27.875720935906632</v>
      </c>
      <c r="Z637" s="297">
        <f>(SUM($P637:$Q637)*VLOOKUP($B637,Lifetime_morbidity_array!$A$6:$Y$24,4))+(SUM($R637:$S637)*VLOOKUP($B637,Lifetime_morbidity_array!$A$6:$Y$24,3))</f>
        <v>16.548788387639316</v>
      </c>
      <c r="AA637" s="297">
        <f>(SUM($P637:$Q637)*VLOOKUP($B637,Lifetime_morbidity_array!$A$6:$Y$24,7))+(SUM($R637:$S637)*VLOOKUP($B637,Lifetime_morbidity_array!$A$6:$Y$24,6))</f>
        <v>10.201875563833742</v>
      </c>
      <c r="AB637" s="297">
        <f>(SUM($P637:$Q637)*VLOOKUP($B637,Lifetime_morbidity_array!$A$6:$Y$24,10))+(SUM($R637:$S637)*VLOOKUP($B637,Lifetime_morbidity_array!$A$6:$Y$24,9))</f>
        <v>0.46472642263406883</v>
      </c>
      <c r="AC637" s="297">
        <f>(SUM($P637:$Q637)*VLOOKUP($B637,Lifetime_morbidity_array!$A$6:$Y$24,13))+(SUM($R637:$S637)*VLOOKUP($B637,Lifetime_morbidity_array!$A$6:$Y$24,12))</f>
        <v>8.4659031921772119</v>
      </c>
      <c r="AD637" s="294"/>
      <c r="AE637" s="294">
        <f t="shared" si="58"/>
        <v>109</v>
      </c>
      <c r="AF637" s="297">
        <f t="shared" si="59"/>
        <v>3.9606068143322357</v>
      </c>
      <c r="AG637" s="297">
        <f t="shared" si="60"/>
        <v>25260.436711924565</v>
      </c>
      <c r="AH637" s="294"/>
      <c r="AI637" s="294">
        <f t="shared" si="61"/>
        <v>109</v>
      </c>
      <c r="AJ637" s="295">
        <f>((VLOOKUP($B637,'Mahawesran Tariff'!$A$21:$M$120,7)*$X637)+(VLOOKUP($B637,'Mahawesran Tariff'!$A$21:$M$120,6)*$Y637)+(DET_UTIL_chd*$Z637)+(DET_UTIL_copd*$AA637)+(DET_UTIL_lc*$AB637)+(DET_UTIL_stroke*$AC637))/((1+Discount_rate_QALYs)^$A637)</f>
        <v>3.1955262687153141</v>
      </c>
      <c r="AK637" s="295">
        <f t="shared" si="62"/>
        <v>23186.704673363965</v>
      </c>
      <c r="AL637" s="294"/>
      <c r="AM637" s="294">
        <f t="shared" si="47"/>
        <v>109</v>
      </c>
      <c r="AN637" s="299">
        <f t="shared" si="48"/>
        <v>13541.671817097245</v>
      </c>
      <c r="AO637" s="299">
        <f t="shared" si="63"/>
        <v>21537896.466302279</v>
      </c>
      <c r="AP637" s="294"/>
      <c r="AQ637" s="294">
        <f t="shared" si="49"/>
        <v>109</v>
      </c>
      <c r="AR637" s="298">
        <f t="shared" si="32"/>
        <v>6.6507467879106996E-2</v>
      </c>
      <c r="AS637" s="298">
        <f t="shared" si="40"/>
        <v>0.93349253212089245</v>
      </c>
      <c r="AT637" s="298">
        <f t="shared" si="41"/>
        <v>3.5681293566284342E-2</v>
      </c>
      <c r="AU637" s="250"/>
      <c r="AV637" s="294">
        <f t="shared" si="50"/>
        <v>109</v>
      </c>
      <c r="AW637" s="299">
        <f t="shared" si="51"/>
        <v>13541.671817097245</v>
      </c>
      <c r="AX637" s="299">
        <f t="shared" si="64"/>
        <v>21534856.466302279</v>
      </c>
      <c r="AY637" s="335"/>
      <c r="AZ637" s="335"/>
      <c r="BA637" s="335"/>
      <c r="BB637" s="335"/>
      <c r="BC637" s="335"/>
      <c r="BD637" s="335"/>
      <c r="BE637" s="335"/>
      <c r="BF637" s="335"/>
      <c r="BG637" s="335"/>
      <c r="BH637" s="335"/>
      <c r="BI637" s="335"/>
      <c r="BJ637" s="335"/>
      <c r="BK637" s="364"/>
      <c r="BL637" s="364"/>
      <c r="BM637" s="364"/>
      <c r="BN637" s="364"/>
      <c r="BO637" s="364"/>
      <c r="BP637" s="364"/>
      <c r="BQ637" s="335"/>
      <c r="BR637" s="335"/>
      <c r="BS637" s="364"/>
      <c r="BT637" s="364"/>
      <c r="BU637" s="364"/>
      <c r="BV637" s="364"/>
      <c r="BW637" s="364"/>
      <c r="BX637" s="364"/>
      <c r="BY637" s="335"/>
      <c r="BZ637" s="335"/>
      <c r="CA637" s="364"/>
      <c r="CB637" s="364"/>
      <c r="CC637" s="335"/>
      <c r="CD637" s="335"/>
      <c r="CE637" s="335"/>
      <c r="CF637" s="335"/>
      <c r="CG637" s="335"/>
      <c r="CH637" s="335"/>
      <c r="CI637" s="365"/>
      <c r="CJ637" s="365"/>
      <c r="CK637" s="335"/>
      <c r="CL637" s="335"/>
      <c r="CM637" s="366"/>
      <c r="CN637" s="366"/>
      <c r="CO637" s="366"/>
      <c r="CP637" s="3"/>
    </row>
    <row r="638" spans="1:94" x14ac:dyDescent="0.25">
      <c r="A638" s="34">
        <v>83</v>
      </c>
      <c r="B638" s="33">
        <f t="shared" si="52"/>
        <v>110</v>
      </c>
      <c r="C638" s="294">
        <f>VLOOKUP($B638,'Mother mortality'!$A$23:$I$124,5)</f>
        <v>0.14624098391610749</v>
      </c>
      <c r="D638" s="295">
        <f t="shared" si="35"/>
        <v>0.27</v>
      </c>
      <c r="E638" s="295">
        <f t="shared" si="42"/>
        <v>0.58375901608389247</v>
      </c>
      <c r="F638" s="295">
        <f>VLOOKUP($B638,'Mother mortality'!$A$23:$I$124,5)</f>
        <v>0.14624098391610749</v>
      </c>
      <c r="G638" s="295">
        <f t="shared" si="36"/>
        <v>0.14000000000000001</v>
      </c>
      <c r="H638" s="295">
        <f t="shared" si="43"/>
        <v>0.71375901608389247</v>
      </c>
      <c r="I638" s="295">
        <f>VLOOKUP($B638,'Mother mortality'!$A$23:$I$124,4)</f>
        <v>0.12016234480898272</v>
      </c>
      <c r="J638" s="295">
        <f t="shared" si="44"/>
        <v>0.30840908376244591</v>
      </c>
      <c r="K638" s="295">
        <f t="shared" si="37"/>
        <v>0.5714285714285714</v>
      </c>
      <c r="L638" s="295">
        <f>VLOOKUP($B638,'Mother mortality'!$A$23:$I$124,4)</f>
        <v>0.12016234480898272</v>
      </c>
      <c r="M638" s="295">
        <f t="shared" si="38"/>
        <v>8.6261668788331098E-3</v>
      </c>
      <c r="N638" s="295">
        <f t="shared" si="45"/>
        <v>0.8712114883121842</v>
      </c>
      <c r="O638" s="294"/>
      <c r="P638" s="296">
        <f t="shared" si="53"/>
        <v>12.078065027446071</v>
      </c>
      <c r="Q638" s="297">
        <f t="shared" si="54"/>
        <v>3.8172283043242601</v>
      </c>
      <c r="R638" s="297">
        <f t="shared" si="55"/>
        <v>0.62604333098239684</v>
      </c>
      <c r="S638" s="297">
        <f t="shared" si="56"/>
        <v>41.509124346874508</v>
      </c>
      <c r="T638" s="297">
        <f t="shared" si="57"/>
        <v>941.96953899037226</v>
      </c>
      <c r="U638" s="294">
        <f t="shared" si="46"/>
        <v>999.99999999999955</v>
      </c>
      <c r="V638" s="295" t="str">
        <f t="shared" si="39"/>
        <v>OKAY</v>
      </c>
      <c r="W638" s="295"/>
      <c r="X638" s="296">
        <f>SUM($P638:$Q638)-(SUM($P638:$Q638)*(VLOOKUP($B638,Lifetime_morbidity_array!$A$6:$Y$24,4)+VLOOKUP($B638,Lifetime_morbidity_array!$A$6:$Y$24,7)+VLOOKUP($B638,Lifetime_morbidity_array!$A$6:$Y$24,10)+VLOOKUP($B638,Lifetime_morbidity_array!$A$6:$Y$24,13)))</f>
        <v>2.5201116495844413</v>
      </c>
      <c r="Y638" s="297">
        <f>SUM($R638:$S638)-(SUM($R638:$S638)*(VLOOKUP($B638,Lifetime_morbidity_array!$A$6:$Y$24,3)+VLOOKUP($B638,Lifetime_morbidity_array!$A$6:$Y$24,6)+VLOOKUP($B638,Lifetime_morbidity_array!$A$6:$Y$24,9)+VLOOKUP($B638,Lifetime_morbidity_array!$A$6:$Y$24,12)))</f>
        <v>24.521940851872976</v>
      </c>
      <c r="Z638" s="297">
        <f>(SUM($P638:$Q638)*VLOOKUP($B638,Lifetime_morbidity_array!$A$6:$Y$24,4))+(SUM($R638:$S638)*VLOOKUP($B638,Lifetime_morbidity_array!$A$6:$Y$24,3))</f>
        <v>14.385426752167117</v>
      </c>
      <c r="AA638" s="297">
        <f>(SUM($P638:$Q638)*VLOOKUP($B638,Lifetime_morbidity_array!$A$6:$Y$24,7))+(SUM($R638:$S638)*VLOOKUP($B638,Lifetime_morbidity_array!$A$6:$Y$24,6))</f>
        <v>8.8348828769646026</v>
      </c>
      <c r="AB638" s="297">
        <f>(SUM($P638:$Q638)*VLOOKUP($B638,Lifetime_morbidity_array!$A$6:$Y$24,10))+(SUM($R638:$S638)*VLOOKUP($B638,Lifetime_morbidity_array!$A$6:$Y$24,9))</f>
        <v>0.40187816456390113</v>
      </c>
      <c r="AC638" s="297">
        <f>(SUM($P638:$Q638)*VLOOKUP($B638,Lifetime_morbidity_array!$A$6:$Y$24,13))+(SUM($R638:$S638)*VLOOKUP($B638,Lifetime_morbidity_array!$A$6:$Y$24,12))</f>
        <v>7.3662207144741956</v>
      </c>
      <c r="AD638" s="294"/>
      <c r="AE638" s="294">
        <f t="shared" si="58"/>
        <v>110</v>
      </c>
      <c r="AF638" s="297">
        <f t="shared" si="59"/>
        <v>3.3389274910752333</v>
      </c>
      <c r="AG638" s="297">
        <f t="shared" si="60"/>
        <v>25263.775639415642</v>
      </c>
      <c r="AH638" s="294"/>
      <c r="AI638" s="294">
        <f t="shared" si="61"/>
        <v>110</v>
      </c>
      <c r="AJ638" s="295">
        <f>((VLOOKUP($B638,'Mahawesran Tariff'!$A$21:$M$120,7)*$X638)+(VLOOKUP($B638,'Mahawesran Tariff'!$A$21:$M$120,6)*$Y638)+(DET_UTIL_chd*$Z638)+(DET_UTIL_copd*$AA638)+(DET_UTIL_lc*$AB638)+(DET_UTIL_stroke*$AC638))/((1+Discount_rate_QALYs)^$A638)</f>
        <v>2.6954409918950852</v>
      </c>
      <c r="AK638" s="295">
        <f t="shared" si="62"/>
        <v>23189.40011435586</v>
      </c>
      <c r="AL638" s="294"/>
      <c r="AM638" s="294">
        <f t="shared" si="47"/>
        <v>110</v>
      </c>
      <c r="AN638" s="299">
        <f t="shared" si="48"/>
        <v>11379.37318042243</v>
      </c>
      <c r="AO638" s="299">
        <f t="shared" si="63"/>
        <v>21549275.839482702</v>
      </c>
      <c r="AP638" s="294"/>
      <c r="AQ638" s="294">
        <f t="shared" si="49"/>
        <v>110</v>
      </c>
      <c r="AR638" s="298">
        <f t="shared" si="32"/>
        <v>5.8030461009627228E-2</v>
      </c>
      <c r="AS638" s="298">
        <f t="shared" si="40"/>
        <v>0.94196953899037228</v>
      </c>
      <c r="AT638" s="298">
        <f t="shared" si="41"/>
        <v>3.0988408508169814E-2</v>
      </c>
      <c r="AU638" s="250"/>
      <c r="AV638" s="294">
        <f t="shared" si="50"/>
        <v>110</v>
      </c>
      <c r="AW638" s="299">
        <f t="shared" si="51"/>
        <v>11379.37318042243</v>
      </c>
      <c r="AX638" s="299">
        <f t="shared" si="64"/>
        <v>21546235.839482702</v>
      </c>
      <c r="AY638" s="335"/>
      <c r="AZ638" s="335"/>
      <c r="BA638" s="335"/>
      <c r="BB638" s="335"/>
      <c r="BC638" s="335"/>
      <c r="BD638" s="335"/>
      <c r="BE638" s="335"/>
      <c r="BF638" s="335"/>
      <c r="BG638" s="335"/>
      <c r="BH638" s="335"/>
      <c r="BI638" s="335"/>
      <c r="BJ638" s="335"/>
      <c r="BK638" s="364"/>
      <c r="BL638" s="364"/>
      <c r="BM638" s="364"/>
      <c r="BN638" s="364"/>
      <c r="BO638" s="364"/>
      <c r="BP638" s="364"/>
      <c r="BQ638" s="335"/>
      <c r="BR638" s="335"/>
      <c r="BS638" s="364"/>
      <c r="BT638" s="364"/>
      <c r="BU638" s="364"/>
      <c r="BV638" s="364"/>
      <c r="BW638" s="364"/>
      <c r="BX638" s="364"/>
      <c r="BY638" s="335"/>
      <c r="BZ638" s="335"/>
      <c r="CA638" s="364"/>
      <c r="CB638" s="364"/>
      <c r="CC638" s="335"/>
      <c r="CD638" s="335"/>
      <c r="CE638" s="335"/>
      <c r="CF638" s="335"/>
      <c r="CG638" s="335"/>
      <c r="CH638" s="335"/>
      <c r="CI638" s="365"/>
      <c r="CJ638" s="365"/>
      <c r="CK638" s="335"/>
      <c r="CL638" s="335"/>
      <c r="CM638" s="366"/>
      <c r="CN638" s="366"/>
      <c r="CO638" s="366"/>
      <c r="CP638" s="3"/>
    </row>
    <row r="639" spans="1:94" x14ac:dyDescent="0.25">
      <c r="A639" s="34">
        <v>84</v>
      </c>
      <c r="B639" s="33">
        <f t="shared" si="52"/>
        <v>111</v>
      </c>
      <c r="C639" s="294">
        <f>VLOOKUP($B639,'Mother mortality'!$A$23:$I$124,5)</f>
        <v>0.14624098391610749</v>
      </c>
      <c r="D639" s="295">
        <f t="shared" si="35"/>
        <v>0.27</v>
      </c>
      <c r="E639" s="295">
        <f t="shared" si="42"/>
        <v>0.58375901608389247</v>
      </c>
      <c r="F639" s="295">
        <f>VLOOKUP($B639,'Mother mortality'!$A$23:$I$124,5)</f>
        <v>0.14624098391610749</v>
      </c>
      <c r="G639" s="295">
        <f t="shared" si="36"/>
        <v>0.14000000000000001</v>
      </c>
      <c r="H639" s="295">
        <f t="shared" si="43"/>
        <v>0.71375901608389247</v>
      </c>
      <c r="I639" s="295">
        <f>VLOOKUP($B639,'Mother mortality'!$A$23:$I$124,4)</f>
        <v>0.12016234480898272</v>
      </c>
      <c r="J639" s="295">
        <f t="shared" si="44"/>
        <v>0.30840908376244591</v>
      </c>
      <c r="K639" s="295">
        <f t="shared" si="37"/>
        <v>0.5714285714285714</v>
      </c>
      <c r="L639" s="295">
        <f>VLOOKUP($B639,'Mother mortality'!$A$23:$I$124,4)</f>
        <v>0.12016234480898272</v>
      </c>
      <c r="M639" s="295">
        <f t="shared" si="38"/>
        <v>8.6261668788331098E-3</v>
      </c>
      <c r="N639" s="295">
        <f t="shared" si="45"/>
        <v>0.8712114883121842</v>
      </c>
      <c r="O639" s="294"/>
      <c r="P639" s="296">
        <f t="shared" si="53"/>
        <v>10.326402558995504</v>
      </c>
      <c r="Q639" s="297">
        <f t="shared" si="54"/>
        <v>3.2610775574104394</v>
      </c>
      <c r="R639" s="297">
        <f t="shared" si="55"/>
        <v>0.53441196260539647</v>
      </c>
      <c r="S639" s="297">
        <f t="shared" si="56"/>
        <v>36.520965047051718</v>
      </c>
      <c r="T639" s="297">
        <f t="shared" si="57"/>
        <v>949.35714287393648</v>
      </c>
      <c r="U639" s="294">
        <f t="shared" si="46"/>
        <v>999.99999999999955</v>
      </c>
      <c r="V639" s="295" t="str">
        <f t="shared" si="39"/>
        <v>OKAY</v>
      </c>
      <c r="W639" s="295"/>
      <c r="X639" s="296">
        <f>SUM($P639:$Q639)-(SUM($P639:$Q639)*(VLOOKUP($B639,Lifetime_morbidity_array!$A$6:$Y$24,4)+VLOOKUP($B639,Lifetime_morbidity_array!$A$6:$Y$24,7)+VLOOKUP($B639,Lifetime_morbidity_array!$A$6:$Y$24,10)+VLOOKUP($B639,Lifetime_morbidity_array!$A$6:$Y$24,13)))</f>
        <v>2.1542205113894486</v>
      </c>
      <c r="Y639" s="297">
        <f>SUM($R639:$S639)-(SUM($R639:$S639)*(VLOOKUP($B639,Lifetime_morbidity_array!$A$6:$Y$24,3)+VLOOKUP($B639,Lifetime_morbidity_array!$A$6:$Y$24,6)+VLOOKUP($B639,Lifetime_morbidity_array!$A$6:$Y$24,9)+VLOOKUP($B639,Lifetime_morbidity_array!$A$6:$Y$24,12)))</f>
        <v>21.565590297916255</v>
      </c>
      <c r="Z639" s="297">
        <f>(SUM($P639:$Q639)*VLOOKUP($B639,Lifetime_morbidity_array!$A$6:$Y$24,4))+(SUM($R639:$S639)*VLOOKUP($B639,Lifetime_morbidity_array!$A$6:$Y$24,3))</f>
        <v>12.509194243890889</v>
      </c>
      <c r="AA639" s="297">
        <f>(SUM($P639:$Q639)*VLOOKUP($B639,Lifetime_morbidity_array!$A$6:$Y$24,7))+(SUM($R639:$S639)*VLOOKUP($B639,Lifetime_morbidity_array!$A$6:$Y$24,6))</f>
        <v>7.6547998454646766</v>
      </c>
      <c r="AB639" s="297">
        <f>(SUM($P639:$Q639)*VLOOKUP($B639,Lifetime_morbidity_array!$A$6:$Y$24,10))+(SUM($R639:$S639)*VLOOKUP($B639,Lifetime_morbidity_array!$A$6:$Y$24,9))</f>
        <v>0.34771576330007331</v>
      </c>
      <c r="AC639" s="297">
        <f>(SUM($P639:$Q639)*VLOOKUP($B639,Lifetime_morbidity_array!$A$6:$Y$24,13))+(SUM($R639:$S639)*VLOOKUP($B639,Lifetime_morbidity_array!$A$6:$Y$24,12))</f>
        <v>6.4113364641017139</v>
      </c>
      <c r="AD639" s="294"/>
      <c r="AE639" s="294">
        <f t="shared" si="58"/>
        <v>111</v>
      </c>
      <c r="AF639" s="297">
        <f t="shared" si="59"/>
        <v>2.8153268143962724</v>
      </c>
      <c r="AG639" s="297">
        <f t="shared" si="60"/>
        <v>25266.59096623004</v>
      </c>
      <c r="AH639" s="294"/>
      <c r="AI639" s="294">
        <f t="shared" si="61"/>
        <v>111</v>
      </c>
      <c r="AJ639" s="295">
        <f>((VLOOKUP($B639,'Mahawesran Tariff'!$A$21:$M$120,7)*$X639)+(VLOOKUP($B639,'Mahawesran Tariff'!$A$21:$M$120,6)*$Y639)+(DET_UTIL_chd*$Z639)+(DET_UTIL_copd*$AA639)+(DET_UTIL_lc*$AB639)+(DET_UTIL_stroke*$AC639))/((1+Discount_rate_QALYs)^$A639)</f>
        <v>2.2739554046055539</v>
      </c>
      <c r="AK639" s="295">
        <f t="shared" si="62"/>
        <v>23191.674069760465</v>
      </c>
      <c r="AL639" s="294"/>
      <c r="AM639" s="294">
        <f t="shared" si="47"/>
        <v>111</v>
      </c>
      <c r="AN639" s="299">
        <f t="shared" si="48"/>
        <v>9565.4357864826889</v>
      </c>
      <c r="AO639" s="299">
        <f t="shared" si="63"/>
        <v>21558841.275269184</v>
      </c>
      <c r="AP639" s="294"/>
      <c r="AQ639" s="294">
        <f t="shared" si="49"/>
        <v>111</v>
      </c>
      <c r="AR639" s="298">
        <f t="shared" si="32"/>
        <v>5.0642857126063055E-2</v>
      </c>
      <c r="AS639" s="298">
        <f t="shared" si="40"/>
        <v>0.94935714287393647</v>
      </c>
      <c r="AT639" s="298">
        <f t="shared" si="41"/>
        <v>2.6923046316757352E-2</v>
      </c>
      <c r="AU639" s="250"/>
      <c r="AV639" s="294">
        <f t="shared" si="50"/>
        <v>111</v>
      </c>
      <c r="AW639" s="299">
        <f t="shared" si="51"/>
        <v>9565.4357864826889</v>
      </c>
      <c r="AX639" s="299">
        <f t="shared" si="64"/>
        <v>21555801.275269184</v>
      </c>
      <c r="AY639" s="335"/>
      <c r="AZ639" s="335"/>
      <c r="BA639" s="335"/>
      <c r="BB639" s="335"/>
      <c r="BC639" s="335"/>
      <c r="BD639" s="335"/>
      <c r="BE639" s="335"/>
      <c r="BF639" s="335"/>
      <c r="BG639" s="335"/>
      <c r="BH639" s="335"/>
      <c r="BI639" s="335"/>
      <c r="BJ639" s="335"/>
      <c r="BK639" s="364"/>
      <c r="BL639" s="364"/>
      <c r="BM639" s="364"/>
      <c r="BN639" s="364"/>
      <c r="BO639" s="364"/>
      <c r="BP639" s="364"/>
      <c r="BQ639" s="335"/>
      <c r="BR639" s="335"/>
      <c r="BS639" s="364"/>
      <c r="BT639" s="364"/>
      <c r="BU639" s="364"/>
      <c r="BV639" s="364"/>
      <c r="BW639" s="364"/>
      <c r="BX639" s="364"/>
      <c r="BY639" s="335"/>
      <c r="BZ639" s="335"/>
      <c r="CA639" s="364"/>
      <c r="CB639" s="364"/>
      <c r="CC639" s="335"/>
      <c r="CD639" s="335"/>
      <c r="CE639" s="335"/>
      <c r="CF639" s="335"/>
      <c r="CG639" s="335"/>
      <c r="CH639" s="335"/>
      <c r="CI639" s="365"/>
      <c r="CJ639" s="365"/>
      <c r="CK639" s="335"/>
      <c r="CL639" s="335"/>
      <c r="CM639" s="366"/>
      <c r="CN639" s="366"/>
      <c r="CO639" s="366"/>
      <c r="CP639" s="3"/>
    </row>
    <row r="640" spans="1:94" x14ac:dyDescent="0.25">
      <c r="A640" s="34">
        <v>85</v>
      </c>
      <c r="B640" s="33">
        <f t="shared" si="52"/>
        <v>112</v>
      </c>
      <c r="C640" s="294">
        <f>VLOOKUP($B640,'Mother mortality'!$A$23:$I$124,5)</f>
        <v>0.14624098391610749</v>
      </c>
      <c r="D640" s="295">
        <f t="shared" si="35"/>
        <v>0.27</v>
      </c>
      <c r="E640" s="295">
        <f t="shared" si="42"/>
        <v>0.58375901608389247</v>
      </c>
      <c r="F640" s="295">
        <f>VLOOKUP($B640,'Mother mortality'!$A$23:$I$124,5)</f>
        <v>0.14624098391610749</v>
      </c>
      <c r="G640" s="295">
        <f t="shared" si="36"/>
        <v>0.14000000000000001</v>
      </c>
      <c r="H640" s="295">
        <f t="shared" si="43"/>
        <v>0.71375901608389247</v>
      </c>
      <c r="I640" s="295">
        <f>VLOOKUP($B640,'Mother mortality'!$A$23:$I$124,4)</f>
        <v>0.12016234480898272</v>
      </c>
      <c r="J640" s="295">
        <f t="shared" si="44"/>
        <v>0.30840908376244591</v>
      </c>
      <c r="K640" s="295">
        <f t="shared" si="37"/>
        <v>0.5714285714285714</v>
      </c>
      <c r="L640" s="295">
        <f>VLOOKUP($B640,'Mother mortality'!$A$23:$I$124,4)</f>
        <v>0.12016234480898272</v>
      </c>
      <c r="M640" s="295">
        <f t="shared" si="38"/>
        <v>8.6261668788331098E-3</v>
      </c>
      <c r="N640" s="295">
        <f t="shared" si="45"/>
        <v>0.8712114883121842</v>
      </c>
      <c r="O640" s="294"/>
      <c r="P640" s="296">
        <f t="shared" si="53"/>
        <v>8.8356075490866637</v>
      </c>
      <c r="Q640" s="297">
        <f t="shared" si="54"/>
        <v>2.7881286909287861</v>
      </c>
      <c r="R640" s="297">
        <f t="shared" si="55"/>
        <v>0.45655085803746154</v>
      </c>
      <c r="S640" s="297">
        <f t="shared" si="56"/>
        <v>32.122862577585124</v>
      </c>
      <c r="T640" s="297">
        <f t="shared" si="57"/>
        <v>955.79685032436157</v>
      </c>
      <c r="U640" s="294">
        <f t="shared" si="46"/>
        <v>999.99999999999966</v>
      </c>
      <c r="V640" s="295" t="str">
        <f t="shared" si="39"/>
        <v>OKAY</v>
      </c>
      <c r="W640" s="295"/>
      <c r="X640" s="296">
        <f>SUM($P640:$Q640)-(SUM($P640:$Q640)*(VLOOKUP($B640,Lifetime_morbidity_array!$A$6:$Y$24,4)+VLOOKUP($B640,Lifetime_morbidity_array!$A$6:$Y$24,7)+VLOOKUP($B640,Lifetime_morbidity_array!$A$6:$Y$24,10)+VLOOKUP($B640,Lifetime_morbidity_array!$A$6:$Y$24,13)))</f>
        <v>1.842879681346357</v>
      </c>
      <c r="Y640" s="297">
        <f>SUM($R640:$S640)-(SUM($R640:$S640)*(VLOOKUP($B640,Lifetime_morbidity_array!$A$6:$Y$24,3)+VLOOKUP($B640,Lifetime_morbidity_array!$A$6:$Y$24,6)+VLOOKUP($B640,Lifetime_morbidity_array!$A$6:$Y$24,9)+VLOOKUP($B640,Lifetime_morbidity_array!$A$6:$Y$24,12)))</f>
        <v>18.960656698107798</v>
      </c>
      <c r="Z640" s="297">
        <f>(SUM($P640:$Q640)*VLOOKUP($B640,Lifetime_morbidity_array!$A$6:$Y$24,4))+(SUM($R640:$S640)*VLOOKUP($B640,Lifetime_morbidity_array!$A$6:$Y$24,3))</f>
        <v>10.88127215222184</v>
      </c>
      <c r="AA640" s="297">
        <f>(SUM($P640:$Q640)*VLOOKUP($B640,Lifetime_morbidity_array!$A$6:$Y$24,7))+(SUM($R640:$S640)*VLOOKUP($B640,Lifetime_morbidity_array!$A$6:$Y$24,6))</f>
        <v>6.6354706533680119</v>
      </c>
      <c r="AB640" s="297">
        <f>(SUM($P640:$Q640)*VLOOKUP($B640,Lifetime_morbidity_array!$A$6:$Y$24,10))+(SUM($R640:$S640)*VLOOKUP($B640,Lifetime_morbidity_array!$A$6:$Y$24,9))</f>
        <v>0.30100919246946678</v>
      </c>
      <c r="AC640" s="297">
        <f>(SUM($P640:$Q640)*VLOOKUP($B640,Lifetime_morbidity_array!$A$6:$Y$24,13))+(SUM($R640:$S640)*VLOOKUP($B640,Lifetime_morbidity_array!$A$6:$Y$24,12))</f>
        <v>5.5818612981245614</v>
      </c>
      <c r="AD640" s="294"/>
      <c r="AE640" s="294">
        <f t="shared" si="58"/>
        <v>112</v>
      </c>
      <c r="AF640" s="297">
        <f t="shared" si="59"/>
        <v>2.3742338006910466</v>
      </c>
      <c r="AG640" s="297">
        <f t="shared" si="60"/>
        <v>25268.965200030732</v>
      </c>
      <c r="AH640" s="294"/>
      <c r="AI640" s="294">
        <f t="shared" si="61"/>
        <v>112</v>
      </c>
      <c r="AJ640" s="295">
        <f>((VLOOKUP($B640,'Mahawesran Tariff'!$A$21:$M$120,7)*$X640)+(VLOOKUP($B640,'Mahawesran Tariff'!$A$21:$M$120,6)*$Y640)+(DET_UTIL_chd*$Z640)+(DET_UTIL_copd*$AA640)+(DET_UTIL_lc*$AB640)+(DET_UTIL_stroke*$AC640))/((1+Discount_rate_QALYs)^$A640)</f>
        <v>1.9186489351191092</v>
      </c>
      <c r="AK640" s="295">
        <f t="shared" si="62"/>
        <v>23193.592718695585</v>
      </c>
      <c r="AL640" s="294"/>
      <c r="AM640" s="294">
        <f t="shared" si="47"/>
        <v>112</v>
      </c>
      <c r="AN640" s="299">
        <f t="shared" si="48"/>
        <v>8043.1381106657345</v>
      </c>
      <c r="AO640" s="299">
        <f t="shared" si="63"/>
        <v>21566884.413379852</v>
      </c>
      <c r="AP640" s="294"/>
      <c r="AQ640" s="294">
        <f t="shared" si="49"/>
        <v>112</v>
      </c>
      <c r="AR640" s="298">
        <f t="shared" si="32"/>
        <v>4.4203149675638036E-2</v>
      </c>
      <c r="AS640" s="298">
        <f t="shared" si="40"/>
        <v>0.95579685032436157</v>
      </c>
      <c r="AT640" s="298">
        <f t="shared" si="41"/>
        <v>2.3399613296183879E-2</v>
      </c>
      <c r="AU640" s="250"/>
      <c r="AV640" s="294">
        <f t="shared" si="50"/>
        <v>112</v>
      </c>
      <c r="AW640" s="299">
        <f t="shared" si="51"/>
        <v>8043.1381106657345</v>
      </c>
      <c r="AX640" s="299">
        <f t="shared" si="64"/>
        <v>21563844.413379852</v>
      </c>
      <c r="AY640" s="335"/>
      <c r="AZ640" s="335"/>
      <c r="BA640" s="335"/>
      <c r="BB640" s="335"/>
      <c r="BC640" s="335"/>
      <c r="BD640" s="335"/>
      <c r="BE640" s="335"/>
      <c r="BF640" s="335"/>
      <c r="BG640" s="335"/>
      <c r="BH640" s="335"/>
      <c r="BI640" s="335"/>
      <c r="BJ640" s="335"/>
      <c r="BK640" s="364"/>
      <c r="BL640" s="364"/>
      <c r="BM640" s="364"/>
      <c r="BN640" s="364"/>
      <c r="BO640" s="364"/>
      <c r="BP640" s="364"/>
      <c r="BQ640" s="335"/>
      <c r="BR640" s="335"/>
      <c r="BS640" s="364"/>
      <c r="BT640" s="364"/>
      <c r="BU640" s="364"/>
      <c r="BV640" s="364"/>
      <c r="BW640" s="364"/>
      <c r="BX640" s="364"/>
      <c r="BY640" s="335"/>
      <c r="BZ640" s="335"/>
      <c r="CA640" s="364"/>
      <c r="CB640" s="364"/>
      <c r="CC640" s="335"/>
      <c r="CD640" s="335"/>
      <c r="CE640" s="335"/>
      <c r="CF640" s="335"/>
      <c r="CG640" s="335"/>
      <c r="CH640" s="335"/>
      <c r="CI640" s="365"/>
      <c r="CJ640" s="365"/>
      <c r="CK640" s="335"/>
      <c r="CL640" s="335"/>
      <c r="CM640" s="366"/>
      <c r="CN640" s="366"/>
      <c r="CO640" s="366"/>
      <c r="CP640" s="3"/>
    </row>
    <row r="641" spans="1:94" x14ac:dyDescent="0.25">
      <c r="A641" s="34">
        <v>86</v>
      </c>
      <c r="B641" s="33">
        <f t="shared" si="52"/>
        <v>113</v>
      </c>
      <c r="C641" s="294">
        <f>VLOOKUP($B641,'Mother mortality'!$A$23:$I$124,5)</f>
        <v>0.14624098391610749</v>
      </c>
      <c r="D641" s="295">
        <f t="shared" si="35"/>
        <v>0.27</v>
      </c>
      <c r="E641" s="295">
        <f t="shared" si="42"/>
        <v>0.58375901608389247</v>
      </c>
      <c r="F641" s="295">
        <f>VLOOKUP($B641,'Mother mortality'!$A$23:$I$124,5)</f>
        <v>0.14624098391610749</v>
      </c>
      <c r="G641" s="295">
        <f t="shared" si="36"/>
        <v>0.14000000000000001</v>
      </c>
      <c r="H641" s="295">
        <f t="shared" si="43"/>
        <v>0.71375901608389247</v>
      </c>
      <c r="I641" s="295">
        <f>VLOOKUP($B641,'Mother mortality'!$A$23:$I$124,4)</f>
        <v>0.12016234480898272</v>
      </c>
      <c r="J641" s="295">
        <f t="shared" si="44"/>
        <v>0.30840908376244591</v>
      </c>
      <c r="K641" s="295">
        <f t="shared" si="37"/>
        <v>0.5714285714285714</v>
      </c>
      <c r="L641" s="295">
        <f>VLOOKUP($B641,'Mother mortality'!$A$23:$I$124,4)</f>
        <v>0.12016234480898272</v>
      </c>
      <c r="M641" s="295">
        <f t="shared" si="38"/>
        <v>8.6261668788331098E-3</v>
      </c>
      <c r="N641" s="295">
        <f t="shared" si="45"/>
        <v>0.8712114883121842</v>
      </c>
      <c r="O641" s="294"/>
      <c r="P641" s="296">
        <f t="shared" si="53"/>
        <v>7.5658191655492093</v>
      </c>
      <c r="Q641" s="297">
        <f t="shared" si="54"/>
        <v>2.3856140382533995</v>
      </c>
      <c r="R641" s="297">
        <f t="shared" si="55"/>
        <v>0.3903380167300301</v>
      </c>
      <c r="S641" s="297">
        <f t="shared" si="56"/>
        <v>28.246693119658538</v>
      </c>
      <c r="T641" s="297">
        <f t="shared" si="57"/>
        <v>961.41153565980846</v>
      </c>
      <c r="U641" s="294">
        <f t="shared" si="46"/>
        <v>999.99999999999966</v>
      </c>
      <c r="V641" s="295" t="str">
        <f t="shared" si="39"/>
        <v>OKAY</v>
      </c>
      <c r="W641" s="295"/>
      <c r="X641" s="296">
        <f>SUM($P641:$Q641)-(SUM($P641:$Q641)*(VLOOKUP($B641,Lifetime_morbidity_array!$A$6:$Y$24,4)+VLOOKUP($B641,Lifetime_morbidity_array!$A$6:$Y$24,7)+VLOOKUP($B641,Lifetime_morbidity_array!$A$6:$Y$24,10)+VLOOKUP($B641,Lifetime_morbidity_array!$A$6:$Y$24,13)))</f>
        <v>1.5777451993816864</v>
      </c>
      <c r="Y641" s="297">
        <f>SUM($R641:$S641)-(SUM($R641:$S641)*(VLOOKUP($B641,Lifetime_morbidity_array!$A$6:$Y$24,3)+VLOOKUP($B641,Lifetime_morbidity_array!$A$6:$Y$24,6)+VLOOKUP($B641,Lifetime_morbidity_array!$A$6:$Y$24,9)+VLOOKUP($B641,Lifetime_morbidity_array!$A$6:$Y$24,12)))</f>
        <v>16.666258197159323</v>
      </c>
      <c r="Z641" s="297">
        <f>(SUM($P641:$Q641)*VLOOKUP($B641,Lifetime_morbidity_array!$A$6:$Y$24,4))+(SUM($R641:$S641)*VLOOKUP($B641,Lifetime_morbidity_array!$A$6:$Y$24,3))</f>
        <v>9.4682047816166861</v>
      </c>
      <c r="AA641" s="297">
        <f>(SUM($P641:$Q641)*VLOOKUP($B641,Lifetime_morbidity_array!$A$6:$Y$24,7))+(SUM($R641:$S641)*VLOOKUP($B641,Lifetime_morbidity_array!$A$6:$Y$24,6))</f>
        <v>5.7544938662906855</v>
      </c>
      <c r="AB641" s="297">
        <f>(SUM($P641:$Q641)*VLOOKUP($B641,Lifetime_morbidity_array!$A$6:$Y$24,10))+(SUM($R641:$S641)*VLOOKUP($B641,Lifetime_morbidity_array!$A$6:$Y$24,9))</f>
        <v>0.26070721454066531</v>
      </c>
      <c r="AC641" s="297">
        <f>(SUM($P641:$Q641)*VLOOKUP($B641,Lifetime_morbidity_array!$A$6:$Y$24,13))+(SUM($R641:$S641)*VLOOKUP($B641,Lifetime_morbidity_array!$A$6:$Y$24,12))</f>
        <v>4.8610550812021298</v>
      </c>
      <c r="AD641" s="294"/>
      <c r="AE641" s="294">
        <f t="shared" si="58"/>
        <v>113</v>
      </c>
      <c r="AF641" s="297">
        <f t="shared" si="59"/>
        <v>2.0025686526129567</v>
      </c>
      <c r="AG641" s="297">
        <f t="shared" si="60"/>
        <v>25270.967768683346</v>
      </c>
      <c r="AH641" s="294"/>
      <c r="AI641" s="294">
        <f t="shared" si="61"/>
        <v>113</v>
      </c>
      <c r="AJ641" s="295">
        <f>((VLOOKUP($B641,'Mahawesran Tariff'!$A$21:$M$120,7)*$X641)+(VLOOKUP($B641,'Mahawesran Tariff'!$A$21:$M$120,6)*$Y641)+(DET_UTIL_chd*$Z641)+(DET_UTIL_copd*$AA641)+(DET_UTIL_lc*$AB641)+(DET_UTIL_stroke*$AC641))/((1+Discount_rate_QALYs)^$A641)</f>
        <v>1.6190768925666355</v>
      </c>
      <c r="AK641" s="295">
        <f t="shared" si="62"/>
        <v>23195.211795588151</v>
      </c>
      <c r="AL641" s="294"/>
      <c r="AM641" s="294">
        <f t="shared" si="47"/>
        <v>113</v>
      </c>
      <c r="AN641" s="299">
        <f t="shared" si="48"/>
        <v>6765.1089578311257</v>
      </c>
      <c r="AO641" s="299">
        <f t="shared" si="63"/>
        <v>21573649.522337683</v>
      </c>
      <c r="AP641" s="294"/>
      <c r="AQ641" s="294">
        <f t="shared" si="49"/>
        <v>113</v>
      </c>
      <c r="AR641" s="298">
        <f t="shared" si="32"/>
        <v>3.8588464340191184E-2</v>
      </c>
      <c r="AS641" s="298">
        <f t="shared" si="40"/>
        <v>0.96141153565980841</v>
      </c>
      <c r="AT641" s="298">
        <f t="shared" si="41"/>
        <v>2.034446094365017E-2</v>
      </c>
      <c r="AU641" s="250"/>
      <c r="AV641" s="294">
        <f t="shared" si="50"/>
        <v>113</v>
      </c>
      <c r="AW641" s="299">
        <f t="shared" si="51"/>
        <v>6765.1089578311257</v>
      </c>
      <c r="AX641" s="299">
        <f t="shared" si="64"/>
        <v>21570609.522337683</v>
      </c>
      <c r="AY641" s="335"/>
      <c r="AZ641" s="335"/>
      <c r="BA641" s="335"/>
      <c r="BB641" s="335"/>
      <c r="BC641" s="335"/>
      <c r="BD641" s="335"/>
      <c r="BE641" s="335"/>
      <c r="BF641" s="335"/>
      <c r="BG641" s="335"/>
      <c r="BH641" s="335"/>
      <c r="BI641" s="335"/>
      <c r="BJ641" s="335"/>
      <c r="BK641" s="364"/>
      <c r="BL641" s="364"/>
      <c r="BM641" s="364"/>
      <c r="BN641" s="364"/>
      <c r="BO641" s="364"/>
      <c r="BP641" s="364"/>
      <c r="BQ641" s="335"/>
      <c r="BR641" s="335"/>
      <c r="BS641" s="364"/>
      <c r="BT641" s="364"/>
      <c r="BU641" s="364"/>
      <c r="BV641" s="364"/>
      <c r="BW641" s="364"/>
      <c r="BX641" s="364"/>
      <c r="BY641" s="335"/>
      <c r="BZ641" s="335"/>
      <c r="CA641" s="364"/>
      <c r="CB641" s="364"/>
      <c r="CC641" s="335"/>
      <c r="CD641" s="335"/>
      <c r="CE641" s="335"/>
      <c r="CF641" s="335"/>
      <c r="CG641" s="335"/>
      <c r="CH641" s="335"/>
      <c r="CI641" s="365"/>
      <c r="CJ641" s="365"/>
      <c r="CK641" s="335"/>
      <c r="CL641" s="335"/>
      <c r="CM641" s="366"/>
      <c r="CN641" s="366"/>
      <c r="CO641" s="366"/>
      <c r="CP641" s="3"/>
    </row>
    <row r="642" spans="1:94" x14ac:dyDescent="0.25">
      <c r="A642" s="34">
        <v>87</v>
      </c>
      <c r="B642" s="33">
        <f t="shared" si="52"/>
        <v>114</v>
      </c>
      <c r="C642" s="294">
        <f>VLOOKUP($B642,'Mother mortality'!$A$23:$I$124,5)</f>
        <v>0.14624098391610749</v>
      </c>
      <c r="D642" s="295">
        <f t="shared" si="35"/>
        <v>0.27</v>
      </c>
      <c r="E642" s="295">
        <f t="shared" si="42"/>
        <v>0.58375901608389247</v>
      </c>
      <c r="F642" s="295">
        <f>VLOOKUP($B642,'Mother mortality'!$A$23:$I$124,5)</f>
        <v>0.14624098391610749</v>
      </c>
      <c r="G642" s="295">
        <f t="shared" si="36"/>
        <v>0.14000000000000001</v>
      </c>
      <c r="H642" s="295">
        <f t="shared" si="43"/>
        <v>0.71375901608389247</v>
      </c>
      <c r="I642" s="295">
        <f>VLOOKUP($B642,'Mother mortality'!$A$23:$I$124,4)</f>
        <v>0.12016234480898272</v>
      </c>
      <c r="J642" s="295">
        <f t="shared" si="44"/>
        <v>0.30840908376244591</v>
      </c>
      <c r="K642" s="295">
        <f t="shared" si="37"/>
        <v>0.5714285714285714</v>
      </c>
      <c r="L642" s="295">
        <f>VLOOKUP($B642,'Mother mortality'!$A$23:$I$124,4)</f>
        <v>0.12016234480898272</v>
      </c>
      <c r="M642" s="295">
        <f t="shared" si="38"/>
        <v>8.6261668788331098E-3</v>
      </c>
      <c r="N642" s="295">
        <f t="shared" si="45"/>
        <v>0.8712114883121842</v>
      </c>
      <c r="O642" s="294"/>
      <c r="P642" s="296">
        <f t="shared" si="53"/>
        <v>6.4834131593720503</v>
      </c>
      <c r="Q642" s="297">
        <f t="shared" si="54"/>
        <v>2.0427711746982866</v>
      </c>
      <c r="R642" s="297">
        <f t="shared" si="55"/>
        <v>0.33398596535547598</v>
      </c>
      <c r="S642" s="297">
        <f t="shared" si="56"/>
        <v>24.831893847949551</v>
      </c>
      <c r="T642" s="297">
        <f t="shared" si="57"/>
        <v>966.30793585262415</v>
      </c>
      <c r="U642" s="294">
        <f t="shared" si="46"/>
        <v>999.99999999999955</v>
      </c>
      <c r="V642" s="295" t="str">
        <f t="shared" si="39"/>
        <v>OKAY</v>
      </c>
      <c r="W642" s="295"/>
      <c r="X642" s="296">
        <f>SUM($P642:$Q642)-(SUM($P642:$Q642)*(VLOOKUP($B642,Lifetime_morbidity_array!$A$6:$Y$24,4)+VLOOKUP($B642,Lifetime_morbidity_array!$A$6:$Y$24,7)+VLOOKUP($B642,Lifetime_morbidity_array!$A$6:$Y$24,10)+VLOOKUP($B642,Lifetime_morbidity_array!$A$6:$Y$24,13)))</f>
        <v>1.3517798016252103</v>
      </c>
      <c r="Y642" s="297">
        <f>SUM($R642:$S642)-(SUM($R642:$S642)*(VLOOKUP($B642,Lifetime_morbidity_array!$A$6:$Y$24,3)+VLOOKUP($B642,Lifetime_morbidity_array!$A$6:$Y$24,6)+VLOOKUP($B642,Lifetime_morbidity_array!$A$6:$Y$24,9)+VLOOKUP($B642,Lifetime_morbidity_array!$A$6:$Y$24,12)))</f>
        <v>14.646107996658577</v>
      </c>
      <c r="Z642" s="297">
        <f>(SUM($P642:$Q642)*VLOOKUP($B642,Lifetime_morbidity_array!$A$6:$Y$24,4))+(SUM($R642:$S642)*VLOOKUP($B642,Lifetime_morbidity_array!$A$6:$Y$24,3))</f>
        <v>8.2411402684898309</v>
      </c>
      <c r="AA642" s="297">
        <f>(SUM($P642:$Q642)*VLOOKUP($B642,Lifetime_morbidity_array!$A$6:$Y$24,7))+(SUM($R642:$S642)*VLOOKUP($B642,Lifetime_morbidity_array!$A$6:$Y$24,6))</f>
        <v>4.9926690720947526</v>
      </c>
      <c r="AB642" s="297">
        <f>(SUM($P642:$Q642)*VLOOKUP($B642,Lifetime_morbidity_array!$A$6:$Y$24,10))+(SUM($R642:$S642)*VLOOKUP($B642,Lifetime_morbidity_array!$A$6:$Y$24,9))</f>
        <v>0.22591069508703931</v>
      </c>
      <c r="AC642" s="297">
        <f>(SUM($P642:$Q642)*VLOOKUP($B642,Lifetime_morbidity_array!$A$6:$Y$24,13))+(SUM($R642:$S642)*VLOOKUP($B642,Lifetime_morbidity_array!$A$6:$Y$24,12))</f>
        <v>4.2344563134199547</v>
      </c>
      <c r="AD642" s="294"/>
      <c r="AE642" s="294">
        <f t="shared" si="58"/>
        <v>114</v>
      </c>
      <c r="AF642" s="297">
        <f t="shared" si="59"/>
        <v>1.6893404727878898</v>
      </c>
      <c r="AG642" s="297">
        <f t="shared" si="60"/>
        <v>25272.657109156135</v>
      </c>
      <c r="AH642" s="294"/>
      <c r="AI642" s="294">
        <f t="shared" si="61"/>
        <v>114</v>
      </c>
      <c r="AJ642" s="295">
        <f>((VLOOKUP($B642,'Mahawesran Tariff'!$A$21:$M$120,7)*$X642)+(VLOOKUP($B642,'Mahawesran Tariff'!$A$21:$M$120,6)*$Y642)+(DET_UTIL_chd*$Z642)+(DET_UTIL_copd*$AA642)+(DET_UTIL_lc*$AB642)+(DET_UTIL_stroke*$AC642))/((1+Discount_rate_QALYs)^$A642)</f>
        <v>1.3664535715252435</v>
      </c>
      <c r="AK642" s="295">
        <f t="shared" si="62"/>
        <v>23196.578249159676</v>
      </c>
      <c r="AL642" s="294"/>
      <c r="AM642" s="294">
        <f t="shared" si="47"/>
        <v>114</v>
      </c>
      <c r="AN642" s="299">
        <f t="shared" si="48"/>
        <v>5691.7643259421457</v>
      </c>
      <c r="AO642" s="299">
        <f t="shared" si="63"/>
        <v>21579341.286663625</v>
      </c>
      <c r="AP642" s="294"/>
      <c r="AQ642" s="294">
        <f t="shared" si="49"/>
        <v>114</v>
      </c>
      <c r="AR642" s="298">
        <f t="shared" si="32"/>
        <v>3.3692064147375363E-2</v>
      </c>
      <c r="AS642" s="298">
        <f t="shared" si="40"/>
        <v>0.9663079358526242</v>
      </c>
      <c r="AT642" s="298">
        <f t="shared" si="41"/>
        <v>1.7694176349091578E-2</v>
      </c>
      <c r="AU642" s="250"/>
      <c r="AV642" s="294">
        <f t="shared" si="50"/>
        <v>114</v>
      </c>
      <c r="AW642" s="299">
        <f t="shared" si="51"/>
        <v>5691.7643259421457</v>
      </c>
      <c r="AX642" s="299">
        <f t="shared" si="64"/>
        <v>21576301.286663625</v>
      </c>
      <c r="AY642" s="335"/>
      <c r="AZ642" s="335"/>
      <c r="BA642" s="335"/>
      <c r="BB642" s="335"/>
      <c r="BC642" s="335"/>
      <c r="BD642" s="335"/>
      <c r="BE642" s="335"/>
      <c r="BF642" s="335"/>
      <c r="BG642" s="335"/>
      <c r="BH642" s="335"/>
      <c r="BI642" s="335"/>
      <c r="BJ642" s="335"/>
      <c r="BK642" s="364"/>
      <c r="BL642" s="364"/>
      <c r="BM642" s="364"/>
      <c r="BN642" s="364"/>
      <c r="BO642" s="364"/>
      <c r="BP642" s="364"/>
      <c r="BQ642" s="335"/>
      <c r="BR642" s="335"/>
      <c r="BS642" s="364"/>
      <c r="BT642" s="364"/>
      <c r="BU642" s="364"/>
      <c r="BV642" s="364"/>
      <c r="BW642" s="364"/>
      <c r="BX642" s="364"/>
      <c r="BY642" s="335"/>
      <c r="BZ642" s="335"/>
      <c r="CA642" s="364"/>
      <c r="CB642" s="364"/>
      <c r="CC642" s="335"/>
      <c r="CD642" s="335"/>
      <c r="CE642" s="335"/>
      <c r="CF642" s="335"/>
      <c r="CG642" s="335"/>
      <c r="CH642" s="335"/>
      <c r="CI642" s="365"/>
      <c r="CJ642" s="365"/>
      <c r="CK642" s="335"/>
      <c r="CL642" s="335"/>
      <c r="CM642" s="366"/>
      <c r="CN642" s="366"/>
      <c r="CO642" s="366"/>
      <c r="CP642" s="3"/>
    </row>
    <row r="643" spans="1:94" x14ac:dyDescent="0.25">
      <c r="A643" s="34">
        <v>88</v>
      </c>
      <c r="B643" s="33">
        <f t="shared" si="52"/>
        <v>115</v>
      </c>
      <c r="C643" s="294">
        <f>VLOOKUP($B643,'Mother mortality'!$A$23:$I$124,5)</f>
        <v>0.14624098391610749</v>
      </c>
      <c r="D643" s="295">
        <f t="shared" si="35"/>
        <v>0.27</v>
      </c>
      <c r="E643" s="295">
        <f t="shared" si="42"/>
        <v>0.58375901608389247</v>
      </c>
      <c r="F643" s="295">
        <f>VLOOKUP($B643,'Mother mortality'!$A$23:$I$124,5)</f>
        <v>0.14624098391610749</v>
      </c>
      <c r="G643" s="295">
        <f t="shared" si="36"/>
        <v>0.14000000000000001</v>
      </c>
      <c r="H643" s="295">
        <f t="shared" si="43"/>
        <v>0.71375901608389247</v>
      </c>
      <c r="I643" s="295">
        <f>VLOOKUP($B643,'Mother mortality'!$A$23:$I$124,4)</f>
        <v>0.12016234480898272</v>
      </c>
      <c r="J643" s="295">
        <f t="shared" si="44"/>
        <v>0.30840908376244591</v>
      </c>
      <c r="K643" s="295">
        <f t="shared" si="37"/>
        <v>0.5714285714285714</v>
      </c>
      <c r="L643" s="295">
        <f>VLOOKUP($B643,'Mother mortality'!$A$23:$I$124,4)</f>
        <v>0.12016234480898272</v>
      </c>
      <c r="M643" s="295">
        <f t="shared" si="38"/>
        <v>8.6261668788331098E-3</v>
      </c>
      <c r="N643" s="295">
        <f t="shared" si="45"/>
        <v>0.8712114883121842</v>
      </c>
      <c r="O643" s="294"/>
      <c r="P643" s="296">
        <f t="shared" si="53"/>
        <v>5.5600055963322559</v>
      </c>
      <c r="Q643" s="297">
        <f t="shared" si="54"/>
        <v>1.7505215530304536</v>
      </c>
      <c r="R643" s="297">
        <f t="shared" si="55"/>
        <v>0.28598796445776015</v>
      </c>
      <c r="S643" s="297">
        <f t="shared" si="56"/>
        <v>21.824680319942569</v>
      </c>
      <c r="T643" s="297">
        <f t="shared" si="57"/>
        <v>970.5788045662365</v>
      </c>
      <c r="U643" s="294">
        <f t="shared" si="46"/>
        <v>999.99999999999955</v>
      </c>
      <c r="V643" s="295" t="str">
        <f t="shared" si="39"/>
        <v>OKAY</v>
      </c>
      <c r="W643" s="295"/>
      <c r="X643" s="296">
        <f>SUM($P643:$Q643)-(SUM($P643:$Q643)*(VLOOKUP($B643,Lifetime_morbidity_array!$A$6:$Y$24,4)+VLOOKUP($B643,Lifetime_morbidity_array!$A$6:$Y$24,7)+VLOOKUP($B643,Lifetime_morbidity_array!$A$6:$Y$24,10)+VLOOKUP($B643,Lifetime_morbidity_array!$A$6:$Y$24,13)))</f>
        <v>1.1590440169411087</v>
      </c>
      <c r="Y643" s="297">
        <f>SUM($R643:$S643)-(SUM($R643:$S643)*(VLOOKUP($B643,Lifetime_morbidity_array!$A$6:$Y$24,3)+VLOOKUP($B643,Lifetime_morbidity_array!$A$6:$Y$24,6)+VLOOKUP($B643,Lifetime_morbidity_array!$A$6:$Y$24,9)+VLOOKUP($B643,Lifetime_morbidity_array!$A$6:$Y$24,12)))</f>
        <v>12.868027582346292</v>
      </c>
      <c r="Z643" s="297">
        <f>(SUM($P643:$Q643)*VLOOKUP($B643,Lifetime_morbidity_array!$A$6:$Y$24,4))+(SUM($R643:$S643)*VLOOKUP($B643,Lifetime_morbidity_array!$A$6:$Y$24,3))</f>
        <v>7.1751817088493679</v>
      </c>
      <c r="AA643" s="297">
        <f>(SUM($P643:$Q643)*VLOOKUP($B643,Lifetime_morbidity_array!$A$6:$Y$24,7))+(SUM($R643:$S643)*VLOOKUP($B643,Lifetime_morbidity_array!$A$6:$Y$24,6))</f>
        <v>4.3335272494141801</v>
      </c>
      <c r="AB643" s="297">
        <f>(SUM($P643:$Q643)*VLOOKUP($B643,Lifetime_morbidity_array!$A$6:$Y$24,10))+(SUM($R643:$S643)*VLOOKUP($B643,Lifetime_morbidity_array!$A$6:$Y$24,9))</f>
        <v>0.19585000352438353</v>
      </c>
      <c r="AC643" s="297">
        <f>(SUM($P643:$Q643)*VLOOKUP($B643,Lifetime_morbidity_array!$A$6:$Y$24,13))+(SUM($R643:$S643)*VLOOKUP($B643,Lifetime_morbidity_array!$A$6:$Y$24,12))</f>
        <v>3.6895648726877059</v>
      </c>
      <c r="AD643" s="294"/>
      <c r="AE643" s="294">
        <f t="shared" si="58"/>
        <v>115</v>
      </c>
      <c r="AF643" s="297">
        <f t="shared" si="59"/>
        <v>1.4253106594513316</v>
      </c>
      <c r="AG643" s="297">
        <f t="shared" si="60"/>
        <v>25274.082419815586</v>
      </c>
      <c r="AH643" s="294"/>
      <c r="AI643" s="294">
        <f t="shared" si="61"/>
        <v>115</v>
      </c>
      <c r="AJ643" s="295">
        <f>((VLOOKUP($B643,'Mahawesran Tariff'!$A$21:$M$120,7)*$X643)+(VLOOKUP($B643,'Mahawesran Tariff'!$A$21:$M$120,6)*$Y643)+(DET_UTIL_chd*$Z643)+(DET_UTIL_copd*$AA643)+(DET_UTIL_lc*$AB643)+(DET_UTIL_stroke*$AC643))/((1+Discount_rate_QALYs)^$A643)</f>
        <v>1.1533866799039769</v>
      </c>
      <c r="AK643" s="295">
        <f t="shared" si="62"/>
        <v>23197.73163583958</v>
      </c>
      <c r="AL643" s="294"/>
      <c r="AM643" s="294">
        <f t="shared" si="47"/>
        <v>115</v>
      </c>
      <c r="AN643" s="299">
        <f t="shared" si="48"/>
        <v>4790.0096689799266</v>
      </c>
      <c r="AO643" s="299">
        <f t="shared" si="63"/>
        <v>21584131.296332605</v>
      </c>
      <c r="AP643" s="294"/>
      <c r="AQ643" s="294">
        <f t="shared" si="49"/>
        <v>115</v>
      </c>
      <c r="AR643" s="298">
        <f t="shared" si="32"/>
        <v>2.942119543376304E-2</v>
      </c>
      <c r="AS643" s="298">
        <f t="shared" si="40"/>
        <v>0.97057880456623646</v>
      </c>
      <c r="AT643" s="298">
        <f t="shared" si="41"/>
        <v>1.5394123834475637E-2</v>
      </c>
      <c r="AU643" s="250"/>
      <c r="AV643" s="294">
        <f t="shared" si="50"/>
        <v>115</v>
      </c>
      <c r="AW643" s="299">
        <f t="shared" si="51"/>
        <v>4790.0096689799266</v>
      </c>
      <c r="AX643" s="299">
        <f t="shared" si="64"/>
        <v>21581091.296332605</v>
      </c>
      <c r="AY643" s="335"/>
      <c r="AZ643" s="335"/>
      <c r="BA643" s="335"/>
      <c r="BB643" s="335"/>
      <c r="BC643" s="335"/>
      <c r="BD643" s="335"/>
      <c r="BE643" s="335"/>
      <c r="BF643" s="335"/>
      <c r="BG643" s="335"/>
      <c r="BH643" s="335"/>
      <c r="BI643" s="335"/>
      <c r="BJ643" s="335"/>
      <c r="BK643" s="364"/>
      <c r="BL643" s="364"/>
      <c r="BM643" s="364"/>
      <c r="BN643" s="364"/>
      <c r="BO643" s="364"/>
      <c r="BP643" s="364"/>
      <c r="BQ643" s="335"/>
      <c r="BR643" s="335"/>
      <c r="BS643" s="364"/>
      <c r="BT643" s="364"/>
      <c r="BU643" s="364"/>
      <c r="BV643" s="364"/>
      <c r="BW643" s="364"/>
      <c r="BX643" s="364"/>
      <c r="BY643" s="335"/>
      <c r="BZ643" s="335"/>
      <c r="CA643" s="364"/>
      <c r="CB643" s="364"/>
      <c r="CC643" s="335"/>
      <c r="CD643" s="335"/>
      <c r="CE643" s="335"/>
      <c r="CF643" s="335"/>
      <c r="CG643" s="335"/>
      <c r="CH643" s="335"/>
      <c r="CI643" s="365"/>
      <c r="CJ643" s="365"/>
      <c r="CK643" s="335"/>
      <c r="CL643" s="335"/>
      <c r="CM643" s="366"/>
      <c r="CN643" s="366"/>
      <c r="CO643" s="366"/>
      <c r="CP643" s="3"/>
    </row>
    <row r="644" spans="1:94" x14ac:dyDescent="0.25">
      <c r="A644" s="34">
        <v>89</v>
      </c>
      <c r="B644" s="33">
        <f t="shared" si="52"/>
        <v>116</v>
      </c>
      <c r="C644" s="294">
        <f>VLOOKUP($B644,'Mother mortality'!$A$23:$I$124,5)</f>
        <v>0.14624098391610749</v>
      </c>
      <c r="D644" s="295">
        <f t="shared" si="35"/>
        <v>0.27</v>
      </c>
      <c r="E644" s="295">
        <f t="shared" si="42"/>
        <v>0.58375901608389247</v>
      </c>
      <c r="F644" s="295">
        <f>VLOOKUP($B644,'Mother mortality'!$A$23:$I$124,5)</f>
        <v>0.14624098391610749</v>
      </c>
      <c r="G644" s="295">
        <f t="shared" si="36"/>
        <v>0.14000000000000001</v>
      </c>
      <c r="H644" s="295">
        <f t="shared" si="43"/>
        <v>0.71375901608389247</v>
      </c>
      <c r="I644" s="295">
        <f>VLOOKUP($B644,'Mother mortality'!$A$23:$I$124,4)</f>
        <v>0.12016234480898272</v>
      </c>
      <c r="J644" s="295">
        <f t="shared" si="44"/>
        <v>0.30840908376244591</v>
      </c>
      <c r="K644" s="295">
        <f t="shared" si="37"/>
        <v>0.5714285714285714</v>
      </c>
      <c r="L644" s="295">
        <f>VLOOKUP($B644,'Mother mortality'!$A$23:$I$124,4)</f>
        <v>0.12016234480898272</v>
      </c>
      <c r="M644" s="295">
        <f t="shared" si="38"/>
        <v>8.6261668788331098E-3</v>
      </c>
      <c r="N644" s="295">
        <f t="shared" si="45"/>
        <v>0.8712114883121842</v>
      </c>
      <c r="O644" s="294"/>
      <c r="P644" s="296">
        <f t="shared" si="53"/>
        <v>4.7716185582630315</v>
      </c>
      <c r="Q644" s="297">
        <f t="shared" si="54"/>
        <v>1.5012015110097092</v>
      </c>
      <c r="R644" s="297">
        <f t="shared" si="55"/>
        <v>0.24507301742426355</v>
      </c>
      <c r="S644" s="297">
        <f t="shared" si="56"/>
        <v>19.177333917450664</v>
      </c>
      <c r="T644" s="297">
        <f t="shared" si="57"/>
        <v>974.30477299585175</v>
      </c>
      <c r="U644" s="294">
        <f t="shared" si="46"/>
        <v>999.99999999999943</v>
      </c>
      <c r="V644" s="295" t="str">
        <f t="shared" si="39"/>
        <v>Too Few</v>
      </c>
      <c r="W644" s="295"/>
      <c r="X644" s="296">
        <f>SUM($P644:$Q644)-(SUM($P644:$Q644)*(VLOOKUP($B644,Lifetime_morbidity_array!$A$6:$Y$24,4)+VLOOKUP($B644,Lifetime_morbidity_array!$A$6:$Y$24,7)+VLOOKUP($B644,Lifetime_morbidity_array!$A$6:$Y$24,10)+VLOOKUP($B644,Lifetime_morbidity_array!$A$6:$Y$24,13)))</f>
        <v>0.99452124615561832</v>
      </c>
      <c r="Y644" s="297">
        <f>SUM($R644:$S644)-(SUM($R644:$S644)*(VLOOKUP($B644,Lifetime_morbidity_array!$A$6:$Y$24,3)+VLOOKUP($B644,Lifetime_morbidity_array!$A$6:$Y$24,6)+VLOOKUP($B644,Lifetime_morbidity_array!$A$6:$Y$24,9)+VLOOKUP($B644,Lifetime_morbidity_array!$A$6:$Y$24,12)))</f>
        <v>11.30350584336953</v>
      </c>
      <c r="Z644" s="297">
        <f>(SUM($P644:$Q644)*VLOOKUP($B644,Lifetime_morbidity_array!$A$6:$Y$24,4))+(SUM($R644:$S644)*VLOOKUP($B644,Lifetime_morbidity_array!$A$6:$Y$24,3))</f>
        <v>6.248832132735223</v>
      </c>
      <c r="AA644" s="297">
        <f>(SUM($P644:$Q644)*VLOOKUP($B644,Lifetime_morbidity_array!$A$6:$Y$24,7))+(SUM($R644:$S644)*VLOOKUP($B644,Lifetime_morbidity_array!$A$6:$Y$24,6))</f>
        <v>3.7629318740446287</v>
      </c>
      <c r="AB644" s="297">
        <f>(SUM($P644:$Q644)*VLOOKUP($B644,Lifetime_morbidity_array!$A$6:$Y$24,10))+(SUM($R644:$S644)*VLOOKUP($B644,Lifetime_morbidity_array!$A$6:$Y$24,9))</f>
        <v>0.16986585937998994</v>
      </c>
      <c r="AC644" s="297">
        <f>(SUM($P644:$Q644)*VLOOKUP($B644,Lifetime_morbidity_array!$A$6:$Y$24,13))+(SUM($R644:$S644)*VLOOKUP($B644,Lifetime_morbidity_array!$A$6:$Y$24,12))</f>
        <v>3.2155700484626788</v>
      </c>
      <c r="AD644" s="294"/>
      <c r="AE644" s="294">
        <f t="shared" si="58"/>
        <v>116</v>
      </c>
      <c r="AF644" s="297">
        <f t="shared" si="59"/>
        <v>1.2027111223722602</v>
      </c>
      <c r="AG644" s="297">
        <f t="shared" si="60"/>
        <v>25275.285130937958</v>
      </c>
      <c r="AH644" s="294"/>
      <c r="AI644" s="294">
        <f t="shared" si="61"/>
        <v>116</v>
      </c>
      <c r="AJ644" s="295">
        <f>((VLOOKUP($B644,'Mahawesran Tariff'!$A$21:$M$120,7)*$X644)+(VLOOKUP($B644,'Mahawesran Tariff'!$A$21:$M$120,6)*$Y644)+(DET_UTIL_chd*$Z644)+(DET_UTIL_copd*$AA644)+(DET_UTIL_lc*$AB644)+(DET_UTIL_stroke*$AC644))/((1+Discount_rate_QALYs)^$A644)</f>
        <v>0.973654681924775</v>
      </c>
      <c r="AK644" s="295">
        <f t="shared" si="62"/>
        <v>23198.705290521506</v>
      </c>
      <c r="AL644" s="294"/>
      <c r="AM644" s="294">
        <f t="shared" si="47"/>
        <v>116</v>
      </c>
      <c r="AN644" s="299">
        <f t="shared" si="48"/>
        <v>4032.1617405678999</v>
      </c>
      <c r="AO644" s="299">
        <f t="shared" si="63"/>
        <v>21588163.458073173</v>
      </c>
      <c r="AP644" s="294"/>
      <c r="AQ644" s="294">
        <f t="shared" si="49"/>
        <v>116</v>
      </c>
      <c r="AR644" s="298">
        <f t="shared" si="32"/>
        <v>2.5695227004147669E-2</v>
      </c>
      <c r="AS644" s="298">
        <f t="shared" si="40"/>
        <v>0.97430477299585172</v>
      </c>
      <c r="AT644" s="298">
        <f t="shared" si="41"/>
        <v>1.339719991462252E-2</v>
      </c>
      <c r="AU644" s="250"/>
      <c r="AV644" s="294">
        <f t="shared" si="50"/>
        <v>116</v>
      </c>
      <c r="AW644" s="299">
        <f t="shared" si="51"/>
        <v>4032.1617405678999</v>
      </c>
      <c r="AX644" s="299">
        <f t="shared" si="64"/>
        <v>21585123.458073173</v>
      </c>
      <c r="AY644" s="335"/>
      <c r="AZ644" s="335"/>
      <c r="BA644" s="335"/>
      <c r="BB644" s="335"/>
      <c r="BC644" s="335"/>
      <c r="BD644" s="335"/>
      <c r="BE644" s="335"/>
      <c r="BF644" s="335"/>
      <c r="BG644" s="335"/>
      <c r="BH644" s="335"/>
      <c r="BI644" s="335"/>
      <c r="BJ644" s="335"/>
      <c r="BK644" s="364"/>
      <c r="BL644" s="364"/>
      <c r="BM644" s="364"/>
      <c r="BN644" s="364"/>
      <c r="BO644" s="364"/>
      <c r="BP644" s="364"/>
      <c r="BQ644" s="335"/>
      <c r="BR644" s="335"/>
      <c r="BS644" s="364"/>
      <c r="BT644" s="364"/>
      <c r="BU644" s="364"/>
      <c r="BV644" s="364"/>
      <c r="BW644" s="364"/>
      <c r="BX644" s="364"/>
      <c r="BY644" s="335"/>
      <c r="BZ644" s="335"/>
      <c r="CA644" s="364"/>
      <c r="CB644" s="364"/>
      <c r="CC644" s="335"/>
      <c r="CD644" s="335"/>
      <c r="CE644" s="335"/>
      <c r="CF644" s="335"/>
      <c r="CG644" s="335"/>
      <c r="CH644" s="335"/>
      <c r="CI644" s="365"/>
      <c r="CJ644" s="365"/>
      <c r="CK644" s="335"/>
      <c r="CL644" s="335"/>
      <c r="CM644" s="366"/>
      <c r="CN644" s="366"/>
      <c r="CO644" s="366"/>
      <c r="CP644" s="3"/>
    </row>
    <row r="645" spans="1:94" x14ac:dyDescent="0.25">
      <c r="A645" s="34">
        <v>90</v>
      </c>
      <c r="B645" s="33">
        <f t="shared" si="52"/>
        <v>117</v>
      </c>
      <c r="C645" s="294">
        <f>VLOOKUP($B645,'Mother mortality'!$A$23:$I$124,5)</f>
        <v>0.14624098391610749</v>
      </c>
      <c r="D645" s="295">
        <f t="shared" si="35"/>
        <v>0.27</v>
      </c>
      <c r="E645" s="295">
        <f t="shared" si="42"/>
        <v>0.58375901608389247</v>
      </c>
      <c r="F645" s="295">
        <f>VLOOKUP($B645,'Mother mortality'!$A$23:$I$124,5)</f>
        <v>0.14624098391610749</v>
      </c>
      <c r="G645" s="295">
        <f t="shared" si="36"/>
        <v>0.14000000000000001</v>
      </c>
      <c r="H645" s="295">
        <f t="shared" si="43"/>
        <v>0.71375901608389247</v>
      </c>
      <c r="I645" s="295">
        <f>VLOOKUP($B645,'Mother mortality'!$A$23:$I$124,4)</f>
        <v>0.12016234480898272</v>
      </c>
      <c r="J645" s="295">
        <f t="shared" si="44"/>
        <v>0.30840908376244591</v>
      </c>
      <c r="K645" s="295">
        <f t="shared" si="37"/>
        <v>0.5714285714285714</v>
      </c>
      <c r="L645" s="295">
        <f>VLOOKUP($B645,'Mother mortality'!$A$23:$I$124,4)</f>
        <v>0.12016234480898272</v>
      </c>
      <c r="M645" s="295">
        <f t="shared" si="38"/>
        <v>8.6261668788331098E-3</v>
      </c>
      <c r="N645" s="295">
        <f t="shared" si="45"/>
        <v>0.8712114883121842</v>
      </c>
      <c r="O645" s="294"/>
      <c r="P645" s="296">
        <f t="shared" si="53"/>
        <v>4.0979810955629628</v>
      </c>
      <c r="Q645" s="297">
        <f t="shared" si="54"/>
        <v>1.2883370107310186</v>
      </c>
      <c r="R645" s="297">
        <f t="shared" si="55"/>
        <v>0.21016821154135931</v>
      </c>
      <c r="S645" s="297">
        <f t="shared" si="56"/>
        <v>16.847555348324359</v>
      </c>
      <c r="T645" s="297">
        <f t="shared" si="57"/>
        <v>977.55595833383984</v>
      </c>
      <c r="U645" s="294">
        <f t="shared" si="46"/>
        <v>999.99999999999955</v>
      </c>
      <c r="V645" s="295" t="str">
        <f t="shared" si="39"/>
        <v>OKAY</v>
      </c>
      <c r="W645" s="295"/>
      <c r="X645" s="296">
        <f>SUM($P645:$Q645)-(SUM($P645:$Q645)*(VLOOKUP($B645,Lifetime_morbidity_array!$A$6:$Y$24,4)+VLOOKUP($B645,Lifetime_morbidity_array!$A$6:$Y$24,7)+VLOOKUP($B645,Lifetime_morbidity_array!$A$6:$Y$24,10)+VLOOKUP($B645,Lifetime_morbidity_array!$A$6:$Y$24,13)))</f>
        <v>0.85397121806542042</v>
      </c>
      <c r="Y645" s="297">
        <f>SUM($R645:$S645)-(SUM($R645:$S645)*(VLOOKUP($B645,Lifetime_morbidity_array!$A$6:$Y$24,3)+VLOOKUP($B645,Lifetime_morbidity_array!$A$6:$Y$24,6)+VLOOKUP($B645,Lifetime_morbidity_array!$A$6:$Y$24,9)+VLOOKUP($B645,Lifetime_morbidity_array!$A$6:$Y$24,12)))</f>
        <v>9.927300904570707</v>
      </c>
      <c r="Z645" s="297">
        <f>(SUM($P645:$Q645)*VLOOKUP($B645,Lifetime_morbidity_array!$A$6:$Y$24,4))+(SUM($R645:$S645)*VLOOKUP($B645,Lifetime_morbidity_array!$A$6:$Y$24,3))</f>
        <v>5.4435193883247344</v>
      </c>
      <c r="AA645" s="297">
        <f>(SUM($P645:$Q645)*VLOOKUP($B645,Lifetime_morbidity_array!$A$6:$Y$24,7))+(SUM($R645:$S645)*VLOOKUP($B645,Lifetime_morbidity_array!$A$6:$Y$24,6))</f>
        <v>3.2687398403443018</v>
      </c>
      <c r="AB645" s="297">
        <f>(SUM($P645:$Q645)*VLOOKUP($B645,Lifetime_morbidity_array!$A$6:$Y$24,10))+(SUM($R645:$S645)*VLOOKUP($B645,Lifetime_morbidity_array!$A$6:$Y$24,9))</f>
        <v>0.14739308614076396</v>
      </c>
      <c r="AC645" s="297">
        <f>(SUM($P645:$Q645)*VLOOKUP($B645,Lifetime_morbidity_array!$A$6:$Y$24,13))+(SUM($R645:$S645)*VLOOKUP($B645,Lifetime_morbidity_array!$A$6:$Y$24,12))</f>
        <v>2.80311722871377</v>
      </c>
      <c r="AD645" s="294"/>
      <c r="AE645" s="294">
        <f t="shared" si="58"/>
        <v>117</v>
      </c>
      <c r="AF645" s="297">
        <f t="shared" si="59"/>
        <v>1.0150082796761779</v>
      </c>
      <c r="AG645" s="297">
        <f t="shared" si="60"/>
        <v>25276.300139217634</v>
      </c>
      <c r="AH645" s="294"/>
      <c r="AI645" s="294">
        <f t="shared" si="61"/>
        <v>117</v>
      </c>
      <c r="AJ645" s="295">
        <f>((VLOOKUP($B645,'Mahawesran Tariff'!$A$21:$M$120,7)*$X645)+(VLOOKUP($B645,'Mahawesran Tariff'!$A$21:$M$120,6)*$Y645)+(DET_UTIL_chd*$Z645)+(DET_UTIL_copd*$AA645)+(DET_UTIL_lc*$AB645)+(DET_UTIL_stroke*$AC645))/((1+Discount_rate_QALYs)^$A645)</f>
        <v>0.82202004372838422</v>
      </c>
      <c r="AK645" s="295">
        <f t="shared" si="62"/>
        <v>23199.527310565234</v>
      </c>
      <c r="AL645" s="294"/>
      <c r="AM645" s="294">
        <f t="shared" si="47"/>
        <v>117</v>
      </c>
      <c r="AN645" s="299">
        <f t="shared" si="48"/>
        <v>3395.0522509183043</v>
      </c>
      <c r="AO645" s="299">
        <f t="shared" si="63"/>
        <v>21591558.510324091</v>
      </c>
      <c r="AP645" s="294"/>
      <c r="AQ645" s="294">
        <f t="shared" si="49"/>
        <v>117</v>
      </c>
      <c r="AR645" s="298">
        <f t="shared" si="32"/>
        <v>2.2444041666159698E-2</v>
      </c>
      <c r="AS645" s="298">
        <f t="shared" si="40"/>
        <v>0.97755595833383979</v>
      </c>
      <c r="AT645" s="298">
        <f t="shared" si="41"/>
        <v>1.166276954352357E-2</v>
      </c>
      <c r="AU645" s="250"/>
      <c r="AV645" s="294">
        <f t="shared" si="50"/>
        <v>117</v>
      </c>
      <c r="AW645" s="299">
        <f t="shared" si="51"/>
        <v>3395.0522509183043</v>
      </c>
      <c r="AX645" s="299">
        <f t="shared" si="64"/>
        <v>21588518.510324091</v>
      </c>
      <c r="AY645" s="335"/>
      <c r="AZ645" s="335"/>
      <c r="BA645" s="335"/>
      <c r="BB645" s="335"/>
      <c r="BC645" s="335"/>
      <c r="BD645" s="335"/>
      <c r="BE645" s="335"/>
      <c r="BF645" s="335"/>
      <c r="BG645" s="335"/>
      <c r="BH645" s="335"/>
      <c r="BI645" s="335"/>
      <c r="BJ645" s="335"/>
      <c r="BK645" s="364"/>
      <c r="BL645" s="364"/>
      <c r="BM645" s="364"/>
      <c r="BN645" s="364"/>
      <c r="BO645" s="364"/>
      <c r="BP645" s="364"/>
      <c r="BQ645" s="335"/>
      <c r="BR645" s="335"/>
      <c r="BS645" s="364"/>
      <c r="BT645" s="364"/>
      <c r="BU645" s="364"/>
      <c r="BV645" s="364"/>
      <c r="BW645" s="364"/>
      <c r="BX645" s="364"/>
      <c r="BY645" s="335"/>
      <c r="BZ645" s="335"/>
      <c r="CA645" s="364"/>
      <c r="CB645" s="364"/>
      <c r="CC645" s="335"/>
      <c r="CD645" s="335"/>
      <c r="CE645" s="335"/>
      <c r="CF645" s="335"/>
      <c r="CG645" s="335"/>
      <c r="CH645" s="335"/>
      <c r="CI645" s="365"/>
      <c r="CJ645" s="365"/>
      <c r="CK645" s="335"/>
      <c r="CL645" s="335"/>
      <c r="CM645" s="366"/>
      <c r="CN645" s="366"/>
      <c r="CO645" s="366"/>
      <c r="CP645" s="3"/>
    </row>
    <row r="646" spans="1:94" x14ac:dyDescent="0.25">
      <c r="A646" s="34">
        <v>91</v>
      </c>
      <c r="B646" s="33">
        <f t="shared" si="52"/>
        <v>118</v>
      </c>
      <c r="C646" s="294">
        <f>VLOOKUP($B646,'Mother mortality'!$A$23:$I$124,5)</f>
        <v>0.14624098391610749</v>
      </c>
      <c r="D646" s="295">
        <f t="shared" si="35"/>
        <v>0.27</v>
      </c>
      <c r="E646" s="295">
        <f t="shared" si="42"/>
        <v>0.58375901608389247</v>
      </c>
      <c r="F646" s="295">
        <f>VLOOKUP($B646,'Mother mortality'!$A$23:$I$124,5)</f>
        <v>0.14624098391610749</v>
      </c>
      <c r="G646" s="295">
        <f t="shared" si="36"/>
        <v>0.14000000000000001</v>
      </c>
      <c r="H646" s="295">
        <f t="shared" si="43"/>
        <v>0.71375901608389247</v>
      </c>
      <c r="I646" s="295">
        <f>VLOOKUP($B646,'Mother mortality'!$A$23:$I$124,4)</f>
        <v>0.12016234480898272</v>
      </c>
      <c r="J646" s="295">
        <f t="shared" si="44"/>
        <v>0.30840908376244591</v>
      </c>
      <c r="K646" s="295">
        <f t="shared" si="37"/>
        <v>0.5714285714285714</v>
      </c>
      <c r="L646" s="295">
        <f>VLOOKUP($B646,'Mother mortality'!$A$23:$I$124,4)</f>
        <v>0.12016234480898272</v>
      </c>
      <c r="M646" s="295">
        <f t="shared" si="38"/>
        <v>8.6261668788331098E-3</v>
      </c>
      <c r="N646" s="295">
        <f t="shared" si="45"/>
        <v>0.8712114883121842</v>
      </c>
      <c r="O646" s="294"/>
      <c r="P646" s="296">
        <f t="shared" si="53"/>
        <v>3.5219431789325477</v>
      </c>
      <c r="Q646" s="297">
        <f t="shared" si="54"/>
        <v>1.106454895802</v>
      </c>
      <c r="R646" s="297">
        <f t="shared" si="55"/>
        <v>0.18036718150234263</v>
      </c>
      <c r="S646" s="297">
        <f t="shared" si="56"/>
        <v>14.797879890316342</v>
      </c>
      <c r="T646" s="297">
        <f t="shared" si="57"/>
        <v>980.39335485344623</v>
      </c>
      <c r="U646" s="294">
        <f t="shared" si="46"/>
        <v>999.99999999999943</v>
      </c>
      <c r="V646" s="295" t="str">
        <f t="shared" si="39"/>
        <v>Too Few</v>
      </c>
      <c r="W646" s="295"/>
      <c r="X646" s="296">
        <f>SUM($P646:$Q646)-(SUM($P646:$Q646)*(VLOOKUP($B646,Lifetime_morbidity_array!$A$6:$Y$24,4)+VLOOKUP($B646,Lifetime_morbidity_array!$A$6:$Y$24,7)+VLOOKUP($B646,Lifetime_morbidity_array!$A$6:$Y$24,10)+VLOOKUP($B646,Lifetime_morbidity_array!$A$6:$Y$24,13)))</f>
        <v>0.73380715055691637</v>
      </c>
      <c r="Y646" s="297">
        <f>SUM($R646:$S646)-(SUM($R646:$S646)*(VLOOKUP($B646,Lifetime_morbidity_array!$A$6:$Y$24,3)+VLOOKUP($B646,Lifetime_morbidity_array!$A$6:$Y$24,6)+VLOOKUP($B646,Lifetime_morbidity_array!$A$6:$Y$24,9)+VLOOKUP($B646,Lifetime_morbidity_array!$A$6:$Y$24,12)))</f>
        <v>8.717081454808131</v>
      </c>
      <c r="Z646" s="297">
        <f>(SUM($P646:$Q646)*VLOOKUP($B646,Lifetime_morbidity_array!$A$6:$Y$24,4))+(SUM($R646:$S646)*VLOOKUP($B646,Lifetime_morbidity_array!$A$6:$Y$24,3))</f>
        <v>4.743189121574968</v>
      </c>
      <c r="AA646" s="297">
        <f>(SUM($P646:$Q646)*VLOOKUP($B646,Lifetime_morbidity_array!$A$6:$Y$24,7))+(SUM($R646:$S646)*VLOOKUP($B646,Lifetime_morbidity_array!$A$6:$Y$24,6))</f>
        <v>2.8405129986217936</v>
      </c>
      <c r="AB646" s="297">
        <f>(SUM($P646:$Q646)*VLOOKUP($B646,Lifetime_morbidity_array!$A$6:$Y$24,10))+(SUM($R646:$S646)*VLOOKUP($B646,Lifetime_morbidity_array!$A$6:$Y$24,9))</f>
        <v>0.12794682044424821</v>
      </c>
      <c r="AC646" s="297">
        <f>(SUM($P646:$Q646)*VLOOKUP($B646,Lifetime_morbidity_array!$A$6:$Y$24,13))+(SUM($R646:$S646)*VLOOKUP($B646,Lifetime_morbidity_array!$A$6:$Y$24,12))</f>
        <v>2.4441076005471767</v>
      </c>
      <c r="AD646" s="294"/>
      <c r="AE646" s="294">
        <f t="shared" si="58"/>
        <v>118</v>
      </c>
      <c r="AF646" s="297">
        <f t="shared" si="59"/>
        <v>0.85670530778730036</v>
      </c>
      <c r="AG646" s="297">
        <f t="shared" si="60"/>
        <v>25277.15684452542</v>
      </c>
      <c r="AH646" s="294"/>
      <c r="AI646" s="294">
        <f t="shared" si="61"/>
        <v>118</v>
      </c>
      <c r="AJ646" s="295">
        <f>((VLOOKUP($B646,'Mahawesran Tariff'!$A$21:$M$120,7)*$X646)+(VLOOKUP($B646,'Mahawesran Tariff'!$A$21:$M$120,6)*$Y646)+(DET_UTIL_chd*$Z646)+(DET_UTIL_copd*$AA646)+(DET_UTIL_lc*$AB646)+(DET_UTIL_stroke*$AC646))/((1+Discount_rate_QALYs)^$A646)</f>
        <v>0.69407252985030921</v>
      </c>
      <c r="AK646" s="295">
        <f t="shared" si="62"/>
        <v>23200.221383095086</v>
      </c>
      <c r="AL646" s="294"/>
      <c r="AM646" s="294">
        <f t="shared" si="47"/>
        <v>118</v>
      </c>
      <c r="AN646" s="299">
        <f t="shared" si="48"/>
        <v>2859.2821771751592</v>
      </c>
      <c r="AO646" s="299">
        <f t="shared" si="63"/>
        <v>21594417.792501267</v>
      </c>
      <c r="AP646" s="294"/>
      <c r="AQ646" s="294">
        <f t="shared" si="49"/>
        <v>118</v>
      </c>
      <c r="AR646" s="298">
        <f t="shared" si="32"/>
        <v>1.9606645146553234E-2</v>
      </c>
      <c r="AS646" s="298">
        <f t="shared" si="40"/>
        <v>0.98039335485344625</v>
      </c>
      <c r="AT646" s="298">
        <f t="shared" si="41"/>
        <v>1.0155756541188186E-2</v>
      </c>
      <c r="AU646" s="250"/>
      <c r="AV646" s="294">
        <f t="shared" si="50"/>
        <v>118</v>
      </c>
      <c r="AW646" s="299">
        <f t="shared" si="51"/>
        <v>2859.2821771751592</v>
      </c>
      <c r="AX646" s="299">
        <f t="shared" si="64"/>
        <v>21591377.792501267</v>
      </c>
      <c r="AY646" s="335"/>
      <c r="AZ646" s="335"/>
      <c r="BA646" s="335"/>
      <c r="BB646" s="335"/>
      <c r="BC646" s="335"/>
      <c r="BD646" s="335"/>
      <c r="BE646" s="335"/>
      <c r="BF646" s="335"/>
      <c r="BG646" s="335"/>
      <c r="BH646" s="335"/>
      <c r="BI646" s="335"/>
      <c r="BJ646" s="335"/>
      <c r="BK646" s="364"/>
      <c r="BL646" s="364"/>
      <c r="BM646" s="364"/>
      <c r="BN646" s="364"/>
      <c r="BO646" s="364"/>
      <c r="BP646" s="364"/>
      <c r="BQ646" s="335"/>
      <c r="BR646" s="335"/>
      <c r="BS646" s="364"/>
      <c r="BT646" s="364"/>
      <c r="BU646" s="364"/>
      <c r="BV646" s="364"/>
      <c r="BW646" s="364"/>
      <c r="BX646" s="364"/>
      <c r="BY646" s="335"/>
      <c r="BZ646" s="335"/>
      <c r="CA646" s="364"/>
      <c r="CB646" s="364"/>
      <c r="CC646" s="335"/>
      <c r="CD646" s="335"/>
      <c r="CE646" s="335"/>
      <c r="CF646" s="335"/>
      <c r="CG646" s="335"/>
      <c r="CH646" s="335"/>
      <c r="CI646" s="365"/>
      <c r="CJ646" s="365"/>
      <c r="CK646" s="335"/>
      <c r="CL646" s="335"/>
      <c r="CM646" s="366"/>
      <c r="CN646" s="366"/>
      <c r="CO646" s="366"/>
      <c r="CP646" s="3"/>
    </row>
    <row r="647" spans="1:94" x14ac:dyDescent="0.25">
      <c r="A647" s="34">
        <v>92</v>
      </c>
      <c r="B647" s="33">
        <f t="shared" si="52"/>
        <v>119</v>
      </c>
      <c r="C647" s="294">
        <f>VLOOKUP($B647,'Mother mortality'!$A$23:$I$124,5)</f>
        <v>0.14624098391610749</v>
      </c>
      <c r="D647" s="295">
        <f t="shared" si="35"/>
        <v>0.27</v>
      </c>
      <c r="E647" s="295">
        <f t="shared" si="42"/>
        <v>0.58375901608389247</v>
      </c>
      <c r="F647" s="295">
        <f>VLOOKUP($B647,'Mother mortality'!$A$23:$I$124,5)</f>
        <v>0.14624098391610749</v>
      </c>
      <c r="G647" s="295">
        <f t="shared" si="36"/>
        <v>0.14000000000000001</v>
      </c>
      <c r="H647" s="295">
        <f t="shared" si="43"/>
        <v>0.71375901608389247</v>
      </c>
      <c r="I647" s="295">
        <f>VLOOKUP($B647,'Mother mortality'!$A$23:$I$124,4)</f>
        <v>0.12016234480898272</v>
      </c>
      <c r="J647" s="295">
        <f t="shared" si="44"/>
        <v>0.30840908376244591</v>
      </c>
      <c r="K647" s="295">
        <f t="shared" si="37"/>
        <v>0.5714285714285714</v>
      </c>
      <c r="L647" s="295">
        <f>VLOOKUP($B647,'Mother mortality'!$A$23:$I$124,4)</f>
        <v>0.12016234480898272</v>
      </c>
      <c r="M647" s="295">
        <f t="shared" si="38"/>
        <v>8.6261668788331098E-3</v>
      </c>
      <c r="N647" s="295">
        <f t="shared" si="45"/>
        <v>0.8712114883121842</v>
      </c>
      <c r="O647" s="294"/>
      <c r="P647" s="296">
        <f t="shared" si="53"/>
        <v>3.0289841011806318</v>
      </c>
      <c r="Q647" s="297">
        <f t="shared" si="54"/>
        <v>0.95092465831178796</v>
      </c>
      <c r="R647" s="297">
        <f t="shared" si="55"/>
        <v>0.15490368541228</v>
      </c>
      <c r="S647" s="297">
        <f t="shared" si="56"/>
        <v>12.995149923965922</v>
      </c>
      <c r="T647" s="297">
        <f t="shared" si="57"/>
        <v>982.87003763112875</v>
      </c>
      <c r="U647" s="294">
        <f t="shared" si="46"/>
        <v>999.99999999999932</v>
      </c>
      <c r="V647" s="295" t="str">
        <f t="shared" si="39"/>
        <v>Too Few</v>
      </c>
      <c r="W647" s="295"/>
      <c r="X647" s="296">
        <f>SUM($P647:$Q647)-(SUM($P647:$Q647)*(VLOOKUP($B647,Lifetime_morbidity_array!$A$6:$Y$24,4)+VLOOKUP($B647,Lifetime_morbidity_array!$A$6:$Y$24,7)+VLOOKUP($B647,Lifetime_morbidity_array!$A$6:$Y$24,10)+VLOOKUP($B647,Lifetime_morbidity_array!$A$6:$Y$24,13)))</f>
        <v>0.63099272342669899</v>
      </c>
      <c r="Y647" s="297">
        <f>SUM($R647:$S647)-(SUM($R647:$S647)*(VLOOKUP($B647,Lifetime_morbidity_array!$A$6:$Y$24,3)+VLOOKUP($B647,Lifetime_morbidity_array!$A$6:$Y$24,6)+VLOOKUP($B647,Lifetime_morbidity_array!$A$6:$Y$24,9)+VLOOKUP($B647,Lifetime_morbidity_array!$A$6:$Y$24,12)))</f>
        <v>7.6531043918829456</v>
      </c>
      <c r="Z647" s="297">
        <f>(SUM($P647:$Q647)*VLOOKUP($B647,Lifetime_morbidity_array!$A$6:$Y$24,4))+(SUM($R647:$S647)*VLOOKUP($B647,Lifetime_morbidity_array!$A$6:$Y$24,3))</f>
        <v>4.1339558301723986</v>
      </c>
      <c r="AA647" s="297">
        <f>(SUM($P647:$Q647)*VLOOKUP($B647,Lifetime_morbidity_array!$A$6:$Y$24,7))+(SUM($R647:$S647)*VLOOKUP($B647,Lifetime_morbidity_array!$A$6:$Y$24,6))</f>
        <v>2.4692725572729102</v>
      </c>
      <c r="AB647" s="297">
        <f>(SUM($P647:$Q647)*VLOOKUP($B647,Lifetime_morbidity_array!$A$6:$Y$24,10))+(SUM($R647:$S647)*VLOOKUP($B647,Lifetime_morbidity_array!$A$6:$Y$24,9))</f>
        <v>0.1111107962613124</v>
      </c>
      <c r="AC647" s="297">
        <f>(SUM($P647:$Q647)*VLOOKUP($B647,Lifetime_morbidity_array!$A$6:$Y$24,13))+(SUM($R647:$S647)*VLOOKUP($B647,Lifetime_morbidity_array!$A$6:$Y$24,12))</f>
        <v>2.1315260698543566</v>
      </c>
      <c r="AD647" s="294"/>
      <c r="AE647" s="294">
        <f t="shared" si="58"/>
        <v>119</v>
      </c>
      <c r="AF647" s="297">
        <f t="shared" si="59"/>
        <v>0.72317637159523984</v>
      </c>
      <c r="AG647" s="297">
        <f t="shared" si="60"/>
        <v>25277.880020897013</v>
      </c>
      <c r="AH647" s="294"/>
      <c r="AI647" s="294">
        <f t="shared" si="61"/>
        <v>119</v>
      </c>
      <c r="AJ647" s="295">
        <f>((VLOOKUP($B647,'Mahawesran Tariff'!$A$21:$M$120,7)*$X647)+(VLOOKUP($B647,'Mahawesran Tariff'!$A$21:$M$120,6)*$Y647)+(DET_UTIL_chd*$Z647)+(DET_UTIL_copd*$AA647)+(DET_UTIL_lc*$AB647)+(DET_UTIL_stroke*$AC647))/((1+Discount_rate_QALYs)^$A647)</f>
        <v>0.58609766457787238</v>
      </c>
      <c r="AK647" s="295">
        <f t="shared" si="62"/>
        <v>23200.807480759664</v>
      </c>
      <c r="AL647" s="294"/>
      <c r="AM647" s="294">
        <f t="shared" si="47"/>
        <v>119</v>
      </c>
      <c r="AN647" s="299">
        <f t="shared" si="48"/>
        <v>2408.6009992578738</v>
      </c>
      <c r="AO647" s="299">
        <f t="shared" si="63"/>
        <v>21596826.393500526</v>
      </c>
      <c r="AP647" s="294"/>
      <c r="AQ647" s="294">
        <f t="shared" si="49"/>
        <v>119</v>
      </c>
      <c r="AR647" s="298">
        <f t="shared" si="32"/>
        <v>1.7129962368870624E-2</v>
      </c>
      <c r="AS647" s="298">
        <f t="shared" si="40"/>
        <v>0.98287003763112879</v>
      </c>
      <c r="AT647" s="298">
        <f t="shared" si="41"/>
        <v>8.8458652535609791E-3</v>
      </c>
      <c r="AU647" s="250"/>
      <c r="AV647" s="294">
        <f t="shared" si="50"/>
        <v>119</v>
      </c>
      <c r="AW647" s="299">
        <f t="shared" si="51"/>
        <v>2408.6009992578738</v>
      </c>
      <c r="AX647" s="299">
        <f t="shared" si="64"/>
        <v>21593786.393500526</v>
      </c>
      <c r="AY647" s="335"/>
      <c r="AZ647" s="335"/>
      <c r="BA647" s="335"/>
      <c r="BB647" s="335"/>
      <c r="BC647" s="335"/>
      <c r="BD647" s="335"/>
      <c r="BE647" s="335"/>
      <c r="BF647" s="335"/>
      <c r="BG647" s="335"/>
      <c r="BH647" s="335"/>
      <c r="BI647" s="335"/>
      <c r="BJ647" s="335"/>
      <c r="BK647" s="364"/>
      <c r="BL647" s="364"/>
      <c r="BM647" s="364"/>
      <c r="BN647" s="364"/>
      <c r="BO647" s="364"/>
      <c r="BP647" s="364"/>
      <c r="BQ647" s="335"/>
      <c r="BR647" s="335"/>
      <c r="BS647" s="364"/>
      <c r="BT647" s="364"/>
      <c r="BU647" s="364"/>
      <c r="BV647" s="364"/>
      <c r="BW647" s="364"/>
      <c r="BX647" s="364"/>
      <c r="BY647" s="335"/>
      <c r="BZ647" s="335"/>
      <c r="CA647" s="364"/>
      <c r="CB647" s="364"/>
      <c r="CC647" s="335"/>
      <c r="CD647" s="335"/>
      <c r="CE647" s="335"/>
      <c r="CF647" s="335"/>
      <c r="CG647" s="335"/>
      <c r="CH647" s="335"/>
      <c r="CI647" s="365"/>
      <c r="CJ647" s="365"/>
      <c r="CK647" s="335"/>
      <c r="CL647" s="335"/>
      <c r="CM647" s="366"/>
      <c r="CN647" s="366"/>
      <c r="CO647" s="366"/>
      <c r="CP647" s="3"/>
    </row>
    <row r="648" spans="1:94" x14ac:dyDescent="0.25">
      <c r="A648" s="34">
        <v>93</v>
      </c>
      <c r="B648" s="33">
        <f t="shared" si="52"/>
        <v>120</v>
      </c>
      <c r="C648" s="294">
        <f>VLOOKUP($B648,'Mother mortality'!$A$23:$I$124,5)</f>
        <v>0.14624098391610749</v>
      </c>
      <c r="D648" s="295">
        <f t="shared" si="35"/>
        <v>0.27</v>
      </c>
      <c r="E648" s="295">
        <f t="shared" si="42"/>
        <v>0.58375901608389247</v>
      </c>
      <c r="F648" s="295">
        <f>VLOOKUP($B648,'Mother mortality'!$A$23:$I$124,5)</f>
        <v>0.14624098391610749</v>
      </c>
      <c r="G648" s="295">
        <f t="shared" si="36"/>
        <v>0.14000000000000001</v>
      </c>
      <c r="H648" s="295">
        <f t="shared" si="43"/>
        <v>0.71375901608389247</v>
      </c>
      <c r="I648" s="295">
        <f>VLOOKUP($B648,'Mother mortality'!$A$23:$I$124,4)</f>
        <v>0.12016234480898272</v>
      </c>
      <c r="J648" s="295">
        <f t="shared" si="44"/>
        <v>0.30840908376244591</v>
      </c>
      <c r="K648" s="295">
        <f t="shared" si="37"/>
        <v>0.5714285714285714</v>
      </c>
      <c r="L648" s="295">
        <f>VLOOKUP($B648,'Mother mortality'!$A$23:$I$124,4)</f>
        <v>0.12016234480898272</v>
      </c>
      <c r="M648" s="295">
        <f t="shared" si="38"/>
        <v>8.6261668788331098E-3</v>
      </c>
      <c r="N648" s="295">
        <f t="shared" si="45"/>
        <v>0.8712114883121842</v>
      </c>
      <c r="O648" s="294"/>
      <c r="P648" s="296">
        <f t="shared" si="53"/>
        <v>2.6067998626745053</v>
      </c>
      <c r="Q648" s="297">
        <f t="shared" si="54"/>
        <v>0.81782570731877058</v>
      </c>
      <c r="R648" s="297">
        <f t="shared" si="55"/>
        <v>0.13312945216365032</v>
      </c>
      <c r="S648" s="297">
        <f t="shared" si="56"/>
        <v>11.410040297762478</v>
      </c>
      <c r="T648" s="297">
        <f t="shared" si="57"/>
        <v>985.03220468007999</v>
      </c>
      <c r="U648" s="294">
        <f t="shared" si="46"/>
        <v>999.99999999999943</v>
      </c>
      <c r="V648" s="295" t="str">
        <f t="shared" si="39"/>
        <v>Too Few</v>
      </c>
      <c r="W648" s="295"/>
      <c r="X648" s="296">
        <f>SUM($P648:$Q648)-(SUM($P648:$Q648)*(VLOOKUP($B648,Lifetime_morbidity_array!$A$6:$Y$24,4)+VLOOKUP($B648,Lifetime_morbidity_array!$A$6:$Y$24,7)+VLOOKUP($B648,Lifetime_morbidity_array!$A$6:$Y$24,10)+VLOOKUP($B648,Lifetime_morbidity_array!$A$6:$Y$24,13)))</f>
        <v>0.54295561675196868</v>
      </c>
      <c r="Y648" s="297">
        <f>SUM($R648:$S648)-(SUM($R648:$S648)*(VLOOKUP($B648,Lifetime_morbidity_array!$A$6:$Y$24,3)+VLOOKUP($B648,Lifetime_morbidity_array!$A$6:$Y$24,6)+VLOOKUP($B648,Lifetime_morbidity_array!$A$6:$Y$24,9)+VLOOKUP($B648,Lifetime_morbidity_array!$A$6:$Y$24,12)))</f>
        <v>6.7179257008053526</v>
      </c>
      <c r="Z648" s="297">
        <f>(SUM($P648:$Q648)*VLOOKUP($B648,Lifetime_morbidity_array!$A$6:$Y$24,4))+(SUM($R648:$S648)*VLOOKUP($B648,Lifetime_morbidity_array!$A$6:$Y$24,3))</f>
        <v>3.6038034844913756</v>
      </c>
      <c r="AA648" s="297">
        <f>(SUM($P648:$Q648)*VLOOKUP($B648,Lifetime_morbidity_array!$A$6:$Y$24,7))+(SUM($R648:$S648)*VLOOKUP($B648,Lifetime_morbidity_array!$A$6:$Y$24,6))</f>
        <v>2.147289813544111</v>
      </c>
      <c r="AB648" s="297">
        <f>(SUM($P648:$Q648)*VLOOKUP($B648,Lifetime_morbidity_array!$A$6:$Y$24,10))+(SUM($R648:$S648)*VLOOKUP($B648,Lifetime_morbidity_array!$A$6:$Y$24,9))</f>
        <v>9.6527383953849868E-2</v>
      </c>
      <c r="AC648" s="297">
        <f>(SUM($P648:$Q648)*VLOOKUP($B648,Lifetime_morbidity_array!$A$6:$Y$24,13))+(SUM($R648:$S648)*VLOOKUP($B648,Lifetime_morbidity_array!$A$6:$Y$24,12))</f>
        <v>1.8592933203727466</v>
      </c>
      <c r="AD648" s="294"/>
      <c r="AE648" s="294">
        <f t="shared" si="58"/>
        <v>120</v>
      </c>
      <c r="AF648" s="297">
        <f t="shared" si="59"/>
        <v>0.61052760443453524</v>
      </c>
      <c r="AG648" s="297">
        <f t="shared" si="60"/>
        <v>25278.490548501446</v>
      </c>
      <c r="AH648" s="294"/>
      <c r="AI648" s="294">
        <f t="shared" si="61"/>
        <v>120</v>
      </c>
      <c r="AJ648" s="295">
        <f>((VLOOKUP($B648,'Mahawesran Tariff'!$A$21:$M$120,7)*$X648)+(VLOOKUP($B648,'Mahawesran Tariff'!$A$21:$M$120,6)*$Y648)+(DET_UTIL_chd*$Z648)+(DET_UTIL_copd*$AA648)+(DET_UTIL_lc*$AB648)+(DET_UTIL_stroke*$AC648))/((1+Discount_rate_QALYs)^$A648)</f>
        <v>0.49496627630634621</v>
      </c>
      <c r="AK648" s="295">
        <f t="shared" si="62"/>
        <v>23201.302447035971</v>
      </c>
      <c r="AL648" s="294"/>
      <c r="AM648" s="294">
        <f t="shared" si="47"/>
        <v>120</v>
      </c>
      <c r="AN648" s="299">
        <f t="shared" si="48"/>
        <v>2029.3896017594748</v>
      </c>
      <c r="AO648" s="299">
        <f t="shared" si="63"/>
        <v>21598855.783102285</v>
      </c>
      <c r="AP648" s="294"/>
      <c r="AQ648" s="294">
        <f t="shared" si="49"/>
        <v>120</v>
      </c>
      <c r="AR648" s="298">
        <f t="shared" si="32"/>
        <v>1.4967795319919404E-2</v>
      </c>
      <c r="AS648" s="298">
        <f t="shared" si="40"/>
        <v>0.98503220468008001</v>
      </c>
      <c r="AT648" s="298">
        <f t="shared" si="41"/>
        <v>7.7069140023620832E-3</v>
      </c>
      <c r="AU648" s="250"/>
      <c r="AV648" s="294">
        <f t="shared" si="50"/>
        <v>120</v>
      </c>
      <c r="AW648" s="299">
        <f t="shared" si="51"/>
        <v>2029.3896017594748</v>
      </c>
      <c r="AX648" s="299">
        <f t="shared" si="64"/>
        <v>21595815.783102285</v>
      </c>
      <c r="AY648" s="335"/>
      <c r="AZ648" s="335"/>
      <c r="BA648" s="335"/>
      <c r="BB648" s="335"/>
      <c r="BC648" s="335"/>
      <c r="BD648" s="335"/>
      <c r="BE648" s="335"/>
      <c r="BF648" s="335"/>
      <c r="BG648" s="335"/>
      <c r="BH648" s="335"/>
      <c r="BI648" s="335"/>
      <c r="BJ648" s="335"/>
      <c r="BK648" s="364"/>
      <c r="BL648" s="364"/>
      <c r="BM648" s="364"/>
      <c r="BN648" s="364"/>
      <c r="BO648" s="364"/>
      <c r="BP648" s="364"/>
      <c r="BQ648" s="335"/>
      <c r="BR648" s="335"/>
      <c r="BS648" s="364"/>
      <c r="BT648" s="364"/>
      <c r="BU648" s="364"/>
      <c r="BV648" s="364"/>
      <c r="BW648" s="364"/>
      <c r="BX648" s="364"/>
      <c r="BY648" s="335"/>
      <c r="BZ648" s="335"/>
      <c r="CA648" s="364"/>
      <c r="CB648" s="364"/>
      <c r="CC648" s="335"/>
      <c r="CD648" s="335"/>
      <c r="CE648" s="335"/>
      <c r="CF648" s="335"/>
      <c r="CG648" s="335"/>
      <c r="CH648" s="335"/>
      <c r="CI648" s="365"/>
      <c r="CJ648" s="365"/>
      <c r="CK648" s="335"/>
      <c r="CL648" s="335"/>
      <c r="CM648" s="366"/>
      <c r="CN648" s="366"/>
      <c r="CO648" s="366"/>
      <c r="CP648" s="3"/>
    </row>
    <row r="649" spans="1:94" x14ac:dyDescent="0.25">
      <c r="A649" s="34">
        <v>94</v>
      </c>
      <c r="B649" s="33">
        <f t="shared" si="52"/>
        <v>121</v>
      </c>
      <c r="C649" s="294">
        <f>VLOOKUP($B649,'Mother mortality'!$A$23:$I$124,5)</f>
        <v>0.14624098391610749</v>
      </c>
      <c r="D649" s="295">
        <f t="shared" si="35"/>
        <v>0.27</v>
      </c>
      <c r="E649" s="295">
        <f t="shared" si="42"/>
        <v>0.58375901608389247</v>
      </c>
      <c r="F649" s="295">
        <f>VLOOKUP($B649,'Mother mortality'!$A$23:$I$124,5)</f>
        <v>0.14624098391610749</v>
      </c>
      <c r="G649" s="295">
        <f t="shared" si="36"/>
        <v>0.14000000000000001</v>
      </c>
      <c r="H649" s="295">
        <f t="shared" si="43"/>
        <v>0.71375901608389247</v>
      </c>
      <c r="I649" s="295">
        <f>VLOOKUP($B649,'Mother mortality'!$A$23:$I$124,4)</f>
        <v>0.12016234480898272</v>
      </c>
      <c r="J649" s="295">
        <f t="shared" si="44"/>
        <v>0.30840908376244591</v>
      </c>
      <c r="K649" s="295">
        <f t="shared" si="37"/>
        <v>0.5714285714285714</v>
      </c>
      <c r="L649" s="295">
        <f>VLOOKUP($B649,'Mother mortality'!$A$23:$I$124,4)</f>
        <v>0.12016234480898272</v>
      </c>
      <c r="M649" s="295">
        <f t="shared" si="38"/>
        <v>8.6261668788331098E-3</v>
      </c>
      <c r="N649" s="295">
        <f t="shared" si="45"/>
        <v>0.8712114883121842</v>
      </c>
      <c r="O649" s="294"/>
      <c r="P649" s="296">
        <f t="shared" si="53"/>
        <v>2.2449566392127518</v>
      </c>
      <c r="Q649" s="297">
        <f t="shared" si="54"/>
        <v>0.70383596292211648</v>
      </c>
      <c r="R649" s="297">
        <f t="shared" si="55"/>
        <v>0.11449559902462789</v>
      </c>
      <c r="S649" s="297">
        <f t="shared" si="56"/>
        <v>10.016632162180588</v>
      </c>
      <c r="T649" s="297">
        <f t="shared" si="57"/>
        <v>986.92007963665924</v>
      </c>
      <c r="U649" s="294">
        <f t="shared" si="46"/>
        <v>999.99999999999932</v>
      </c>
      <c r="V649" s="295" t="str">
        <f t="shared" si="39"/>
        <v>Too Few</v>
      </c>
      <c r="W649" s="295"/>
      <c r="X649" s="296">
        <f>SUM($P649:$Q649)-(SUM($P649:$Q649)*(VLOOKUP($B649,Lifetime_morbidity_array!$A$6:$Y$24,4)+VLOOKUP($B649,Lifetime_morbidity_array!$A$6:$Y$24,7)+VLOOKUP($B649,Lifetime_morbidity_array!$A$6:$Y$24,10)+VLOOKUP($B649,Lifetime_morbidity_array!$A$6:$Y$24,13)))</f>
        <v>0.4675149073213638</v>
      </c>
      <c r="Y649" s="297">
        <f>SUM($R649:$S649)-(SUM($R649:$S649)*(VLOOKUP($B649,Lifetime_morbidity_array!$A$6:$Y$24,3)+VLOOKUP($B649,Lifetime_morbidity_array!$A$6:$Y$24,6)+VLOOKUP($B649,Lifetime_morbidity_array!$A$6:$Y$24,9)+VLOOKUP($B649,Lifetime_morbidity_array!$A$6:$Y$24,12)))</f>
        <v>5.8961416179103372</v>
      </c>
      <c r="Z649" s="297">
        <f>(SUM($P649:$Q649)*VLOOKUP($B649,Lifetime_morbidity_array!$A$6:$Y$24,4))+(SUM($R649:$S649)*VLOOKUP($B649,Lifetime_morbidity_array!$A$6:$Y$24,3))</f>
        <v>3.1423284877911684</v>
      </c>
      <c r="AA649" s="297">
        <f>(SUM($P649:$Q649)*VLOOKUP($B649,Lifetime_morbidity_array!$A$6:$Y$24,7))+(SUM($R649:$S649)*VLOOKUP($B649,Lifetime_morbidity_array!$A$6:$Y$24,6))</f>
        <v>1.8679076975195348</v>
      </c>
      <c r="AB649" s="297">
        <f>(SUM($P649:$Q649)*VLOOKUP($B649,Lifetime_morbidity_array!$A$6:$Y$24,10))+(SUM($R649:$S649)*VLOOKUP($B649,Lifetime_morbidity_array!$A$6:$Y$24,9))</f>
        <v>8.3889114605674442E-2</v>
      </c>
      <c r="AC649" s="297">
        <f>(SUM($P649:$Q649)*VLOOKUP($B649,Lifetime_morbidity_array!$A$6:$Y$24,13))+(SUM($R649:$S649)*VLOOKUP($B649,Lifetime_morbidity_array!$A$6:$Y$24,12))</f>
        <v>1.6221385381920042</v>
      </c>
      <c r="AD649" s="294"/>
      <c r="AE649" s="294">
        <f t="shared" si="58"/>
        <v>121</v>
      </c>
      <c r="AF649" s="297">
        <f t="shared" si="59"/>
        <v>0.51548047409416908</v>
      </c>
      <c r="AG649" s="297">
        <f t="shared" si="60"/>
        <v>25279.006028975542</v>
      </c>
      <c r="AH649" s="294"/>
      <c r="AI649" s="294">
        <f t="shared" si="61"/>
        <v>121</v>
      </c>
      <c r="AJ649" s="295">
        <f>((VLOOKUP($B649,'Mahawesran Tariff'!$A$21:$M$120,7)*$X649)+(VLOOKUP($B649,'Mahawesran Tariff'!$A$21:$M$120,6)*$Y649)+(DET_UTIL_chd*$Z649)+(DET_UTIL_copd*$AA649)+(DET_UTIL_lc*$AB649)+(DET_UTIL_stroke*$AC649))/((1+Discount_rate_QALYs)^$A649)</f>
        <v>0.41804171294186776</v>
      </c>
      <c r="AK649" s="295">
        <f t="shared" si="62"/>
        <v>23201.720488748913</v>
      </c>
      <c r="AL649" s="294"/>
      <c r="AM649" s="294">
        <f t="shared" si="47"/>
        <v>121</v>
      </c>
      <c r="AN649" s="299">
        <f t="shared" si="48"/>
        <v>1710.2292613072748</v>
      </c>
      <c r="AO649" s="299">
        <f t="shared" si="63"/>
        <v>21600566.012363594</v>
      </c>
      <c r="AP649" s="294"/>
      <c r="AQ649" s="294">
        <f t="shared" si="49"/>
        <v>121</v>
      </c>
      <c r="AR649" s="298">
        <f t="shared" si="32"/>
        <v>1.3079920363340086E-2</v>
      </c>
      <c r="AS649" s="298">
        <f t="shared" si="40"/>
        <v>0.98692007963665929</v>
      </c>
      <c r="AT649" s="298">
        <f t="shared" si="41"/>
        <v>6.7162638381083814E-3</v>
      </c>
      <c r="AU649" s="250"/>
      <c r="AV649" s="294">
        <f t="shared" si="50"/>
        <v>121</v>
      </c>
      <c r="AW649" s="299">
        <f t="shared" si="51"/>
        <v>1710.2292613072748</v>
      </c>
      <c r="AX649" s="299">
        <f t="shared" si="64"/>
        <v>21597526.012363594</v>
      </c>
      <c r="AY649" s="335"/>
      <c r="AZ649" s="335"/>
      <c r="BA649" s="335"/>
      <c r="BB649" s="335"/>
      <c r="BC649" s="335"/>
      <c r="BD649" s="335"/>
      <c r="BE649" s="335"/>
      <c r="BF649" s="335"/>
      <c r="BG649" s="335"/>
      <c r="BH649" s="335"/>
      <c r="BI649" s="335"/>
      <c r="BJ649" s="335"/>
      <c r="BK649" s="364"/>
      <c r="BL649" s="364"/>
      <c r="BM649" s="364"/>
      <c r="BN649" s="364"/>
      <c r="BO649" s="364"/>
      <c r="BP649" s="364"/>
      <c r="BQ649" s="335"/>
      <c r="BR649" s="335"/>
      <c r="BS649" s="364"/>
      <c r="BT649" s="364"/>
      <c r="BU649" s="364"/>
      <c r="BV649" s="364"/>
      <c r="BW649" s="364"/>
      <c r="BX649" s="364"/>
      <c r="BY649" s="335"/>
      <c r="BZ649" s="335"/>
      <c r="CA649" s="364"/>
      <c r="CB649" s="364"/>
      <c r="CC649" s="335"/>
      <c r="CD649" s="335"/>
      <c r="CE649" s="335"/>
      <c r="CF649" s="335"/>
      <c r="CG649" s="335"/>
      <c r="CH649" s="335"/>
      <c r="CI649" s="365"/>
      <c r="CJ649" s="365"/>
      <c r="CK649" s="335"/>
      <c r="CL649" s="335"/>
      <c r="CM649" s="366"/>
      <c r="CN649" s="366"/>
      <c r="CO649" s="366"/>
      <c r="CP649" s="3"/>
    </row>
    <row r="650" spans="1:94" x14ac:dyDescent="0.25">
      <c r="A650" s="34">
        <v>95</v>
      </c>
      <c r="B650" s="33">
        <f t="shared" si="52"/>
        <v>122</v>
      </c>
      <c r="C650" s="294">
        <f>VLOOKUP($B650,'Mother mortality'!$A$23:$I$124,5)</f>
        <v>0.14624098391610749</v>
      </c>
      <c r="D650" s="295">
        <f t="shared" si="35"/>
        <v>0.27</v>
      </c>
      <c r="E650" s="295">
        <f t="shared" si="42"/>
        <v>0.58375901608389247</v>
      </c>
      <c r="F650" s="295">
        <f>VLOOKUP($B650,'Mother mortality'!$A$23:$I$124,5)</f>
        <v>0.14624098391610749</v>
      </c>
      <c r="G650" s="295">
        <f t="shared" si="36"/>
        <v>0.14000000000000001</v>
      </c>
      <c r="H650" s="295">
        <f t="shared" si="43"/>
        <v>0.71375901608389247</v>
      </c>
      <c r="I650" s="295">
        <f>VLOOKUP($B650,'Mother mortality'!$A$23:$I$124,4)</f>
        <v>0.12016234480898272</v>
      </c>
      <c r="J650" s="295">
        <f t="shared" si="44"/>
        <v>0.30840908376244591</v>
      </c>
      <c r="K650" s="295">
        <f t="shared" si="37"/>
        <v>0.5714285714285714</v>
      </c>
      <c r="L650" s="295">
        <f>VLOOKUP($B650,'Mother mortality'!$A$23:$I$124,4)</f>
        <v>0.12016234480898272</v>
      </c>
      <c r="M650" s="295">
        <f t="shared" si="38"/>
        <v>8.6261668788331098E-3</v>
      </c>
      <c r="N650" s="295">
        <f t="shared" si="45"/>
        <v>0.8712114883121842</v>
      </c>
      <c r="O650" s="294"/>
      <c r="P650" s="296">
        <f t="shared" si="53"/>
        <v>1.9345995666224614</v>
      </c>
      <c r="Q650" s="297">
        <f t="shared" si="54"/>
        <v>0.60613829258744301</v>
      </c>
      <c r="R650" s="297">
        <f t="shared" si="55"/>
        <v>9.8537034809096313E-2</v>
      </c>
      <c r="S650" s="297">
        <f t="shared" si="56"/>
        <v>8.7920310704745432</v>
      </c>
      <c r="T650" s="297">
        <f t="shared" si="57"/>
        <v>988.56869403550581</v>
      </c>
      <c r="U650" s="294">
        <f t="shared" si="46"/>
        <v>999.99999999999932</v>
      </c>
      <c r="V650" s="295" t="str">
        <f t="shared" si="39"/>
        <v>Too Few</v>
      </c>
      <c r="W650" s="295"/>
      <c r="X650" s="296">
        <f>SUM($P650:$Q650)-(SUM($P650:$Q650)*(VLOOKUP($B650,Lifetime_morbidity_array!$A$6:$Y$24,4)+VLOOKUP($B650,Lifetime_morbidity_array!$A$6:$Y$24,7)+VLOOKUP($B650,Lifetime_morbidity_array!$A$6:$Y$24,10)+VLOOKUP($B650,Lifetime_morbidity_array!$A$6:$Y$24,13)))</f>
        <v>0.40282006402092563</v>
      </c>
      <c r="Y650" s="297">
        <f>SUM($R650:$S650)-(SUM($R650:$S650)*(VLOOKUP($B650,Lifetime_morbidity_array!$A$6:$Y$24,3)+VLOOKUP($B650,Lifetime_morbidity_array!$A$6:$Y$24,6)+VLOOKUP($B650,Lifetime_morbidity_array!$A$6:$Y$24,9)+VLOOKUP($B650,Lifetime_morbidity_array!$A$6:$Y$24,12)))</f>
        <v>5.1741572950209394</v>
      </c>
      <c r="Z650" s="297">
        <f>(SUM($P650:$Q650)*VLOOKUP($B650,Lifetime_morbidity_array!$A$6:$Y$24,4))+(SUM($R650:$S650)*VLOOKUP($B650,Lifetime_morbidity_array!$A$6:$Y$24,3))</f>
        <v>2.7405188300782912</v>
      </c>
      <c r="AA650" s="297">
        <f>(SUM($P650:$Q650)*VLOOKUP($B650,Lifetime_morbidity_array!$A$6:$Y$24,7))+(SUM($R650:$S650)*VLOOKUP($B650,Lifetime_morbidity_array!$A$6:$Y$24,6))</f>
        <v>1.625388471850052</v>
      </c>
      <c r="AB650" s="297">
        <f>(SUM($P650:$Q650)*VLOOKUP($B650,Lifetime_morbidity_array!$A$6:$Y$24,10))+(SUM($R650:$S650)*VLOOKUP($B650,Lifetime_morbidity_array!$A$6:$Y$24,9))</f>
        <v>7.2931462410854075E-2</v>
      </c>
      <c r="AC650" s="297">
        <f>(SUM($P650:$Q650)*VLOOKUP($B650,Lifetime_morbidity_array!$A$6:$Y$24,13))+(SUM($R650:$S650)*VLOOKUP($B650,Lifetime_morbidity_array!$A$6:$Y$24,12))</f>
        <v>1.4154898411124812</v>
      </c>
      <c r="AD650" s="294"/>
      <c r="AE650" s="294">
        <f t="shared" si="58"/>
        <v>122</v>
      </c>
      <c r="AF650" s="297">
        <f t="shared" si="59"/>
        <v>0.43527389199745181</v>
      </c>
      <c r="AG650" s="297">
        <f t="shared" si="60"/>
        <v>25279.441302867541</v>
      </c>
      <c r="AH650" s="294"/>
      <c r="AI650" s="294">
        <f t="shared" si="61"/>
        <v>122</v>
      </c>
      <c r="AJ650" s="295">
        <f>((VLOOKUP($B650,'Mahawesran Tariff'!$A$21:$M$120,7)*$X650)+(VLOOKUP($B650,'Mahawesran Tariff'!$A$21:$M$120,6)*$Y650)+(DET_UTIL_chd*$Z650)+(DET_UTIL_copd*$AA650)+(DET_UTIL_lc*$AB650)+(DET_UTIL_stroke*$AC650))/((1+Discount_rate_QALYs)^$A650)</f>
        <v>0.3531018748871903</v>
      </c>
      <c r="AK650" s="295">
        <f t="shared" si="62"/>
        <v>23202.073590623801</v>
      </c>
      <c r="AL650" s="294"/>
      <c r="AM650" s="294">
        <f t="shared" si="47"/>
        <v>122</v>
      </c>
      <c r="AN650" s="299">
        <f t="shared" si="48"/>
        <v>1441.5421699631863</v>
      </c>
      <c r="AO650" s="299">
        <f t="shared" si="63"/>
        <v>21602007.554533556</v>
      </c>
      <c r="AP650" s="294"/>
      <c r="AQ650" s="294">
        <f t="shared" si="49"/>
        <v>122</v>
      </c>
      <c r="AR650" s="298">
        <f t="shared" si="32"/>
        <v>1.1431305964493543E-2</v>
      </c>
      <c r="AS650" s="298">
        <f t="shared" si="40"/>
        <v>0.98856869403550585</v>
      </c>
      <c r="AT650" s="298">
        <f t="shared" si="41"/>
        <v>5.854328605451679E-3</v>
      </c>
      <c r="AU650" s="250"/>
      <c r="AV650" s="294">
        <f t="shared" si="50"/>
        <v>122</v>
      </c>
      <c r="AW650" s="299">
        <f t="shared" si="51"/>
        <v>1441.5421699631863</v>
      </c>
      <c r="AX650" s="299">
        <f t="shared" si="64"/>
        <v>21598967.554533556</v>
      </c>
      <c r="AY650" s="335"/>
      <c r="AZ650" s="335"/>
      <c r="BA650" s="335"/>
      <c r="BB650" s="335"/>
      <c r="BC650" s="335"/>
      <c r="BD650" s="335"/>
      <c r="BE650" s="335"/>
      <c r="BF650" s="335"/>
      <c r="BG650" s="335"/>
      <c r="BH650" s="335"/>
      <c r="BI650" s="335"/>
      <c r="BJ650" s="335"/>
      <c r="BK650" s="364"/>
      <c r="BL650" s="364"/>
      <c r="BM650" s="364"/>
      <c r="BN650" s="364"/>
      <c r="BO650" s="364"/>
      <c r="BP650" s="364"/>
      <c r="BQ650" s="335"/>
      <c r="BR650" s="335"/>
      <c r="BS650" s="364"/>
      <c r="BT650" s="364"/>
      <c r="BU650" s="364"/>
      <c r="BV650" s="364"/>
      <c r="BW650" s="364"/>
      <c r="BX650" s="364"/>
      <c r="BY650" s="335"/>
      <c r="BZ650" s="335"/>
      <c r="CA650" s="364"/>
      <c r="CB650" s="364"/>
      <c r="CC650" s="335"/>
      <c r="CD650" s="335"/>
      <c r="CE650" s="335"/>
      <c r="CF650" s="335"/>
      <c r="CG650" s="335"/>
      <c r="CH650" s="335"/>
      <c r="CI650" s="365"/>
      <c r="CJ650" s="365"/>
      <c r="CK650" s="335"/>
      <c r="CL650" s="335"/>
      <c r="CM650" s="366"/>
      <c r="CN650" s="366"/>
      <c r="CO650" s="366"/>
      <c r="CP650" s="3"/>
    </row>
    <row r="651" spans="1:94" x14ac:dyDescent="0.25">
      <c r="A651" s="34">
        <v>96</v>
      </c>
      <c r="B651" s="33">
        <f t="shared" si="52"/>
        <v>123</v>
      </c>
      <c r="C651" s="294">
        <f>VLOOKUP($B651,'Mother mortality'!$A$23:$I$124,5)</f>
        <v>0.14624098391610749</v>
      </c>
      <c r="D651" s="295">
        <f t="shared" si="35"/>
        <v>0.27</v>
      </c>
      <c r="E651" s="295">
        <f t="shared" si="42"/>
        <v>0.58375901608389247</v>
      </c>
      <c r="F651" s="295">
        <f>VLOOKUP($B651,'Mother mortality'!$A$23:$I$124,5)</f>
        <v>0.14624098391610749</v>
      </c>
      <c r="G651" s="295">
        <f t="shared" si="36"/>
        <v>0.14000000000000001</v>
      </c>
      <c r="H651" s="295">
        <f t="shared" si="43"/>
        <v>0.71375901608389247</v>
      </c>
      <c r="I651" s="295">
        <f>VLOOKUP($B651,'Mother mortality'!$A$23:$I$124,4)</f>
        <v>0.12016234480898272</v>
      </c>
      <c r="J651" s="295">
        <f t="shared" si="44"/>
        <v>0.30840908376244591</v>
      </c>
      <c r="K651" s="295">
        <f t="shared" si="37"/>
        <v>0.5714285714285714</v>
      </c>
      <c r="L651" s="295">
        <f>VLOOKUP($B651,'Mother mortality'!$A$23:$I$124,4)</f>
        <v>0.12016234480898272</v>
      </c>
      <c r="M651" s="295">
        <f t="shared" si="38"/>
        <v>8.6261668788331098E-3</v>
      </c>
      <c r="N651" s="295">
        <f t="shared" si="45"/>
        <v>0.8712114883121842</v>
      </c>
      <c r="O651" s="294"/>
      <c r="P651" s="296">
        <f t="shared" si="53"/>
        <v>1.6682078546957773</v>
      </c>
      <c r="Q651" s="297">
        <f t="shared" si="54"/>
        <v>0.52234188298806461</v>
      </c>
      <c r="R651" s="297">
        <f t="shared" si="55"/>
        <v>8.4859360962242031E-2</v>
      </c>
      <c r="S651" s="297">
        <f t="shared" si="56"/>
        <v>7.7160253512288621</v>
      </c>
      <c r="T651" s="297">
        <f t="shared" si="57"/>
        <v>990.00856555012433</v>
      </c>
      <c r="U651" s="294">
        <f t="shared" si="46"/>
        <v>999.99999999999932</v>
      </c>
      <c r="V651" s="295" t="str">
        <f>IF(U651=Cohort,"OKAY",IF(U651&gt;Cohort,"Too many","Too Few"))</f>
        <v>Too Few</v>
      </c>
      <c r="W651" s="295"/>
      <c r="X651" s="296">
        <f>SUM($P651:$Q651)-(SUM($P651:$Q651)*(VLOOKUP($B651,Lifetime_morbidity_array!$A$6:$Y$24,4)+VLOOKUP($B651,Lifetime_morbidity_array!$A$6:$Y$24,7)+VLOOKUP($B651,Lifetime_morbidity_array!$A$6:$Y$24,10)+VLOOKUP($B651,Lifetime_morbidity_array!$A$6:$Y$24,13)))</f>
        <v>0.34729965642706118</v>
      </c>
      <c r="Y651" s="297">
        <f>SUM($R651:$S651)-(SUM($R651:$S651)*(VLOOKUP($B651,Lifetime_morbidity_array!$A$6:$Y$24,3)+VLOOKUP($B651,Lifetime_morbidity_array!$A$6:$Y$24,6)+VLOOKUP($B651,Lifetime_morbidity_array!$A$6:$Y$24,9)+VLOOKUP($B651,Lifetime_morbidity_array!$A$6:$Y$24,12)))</f>
        <v>4.539980354822692</v>
      </c>
      <c r="Z651" s="297">
        <f>(SUM($P651:$Q651)*VLOOKUP($B651,Lifetime_morbidity_array!$A$6:$Y$24,4))+(SUM($R651:$S651)*VLOOKUP($B651,Lifetime_morbidity_array!$A$6:$Y$24,3))</f>
        <v>2.3905642060616397</v>
      </c>
      <c r="AA651" s="297">
        <f>(SUM($P651:$Q651)*VLOOKUP($B651,Lifetime_morbidity_array!$A$6:$Y$24,7))+(SUM($R651:$S651)*VLOOKUP($B651,Lifetime_morbidity_array!$A$6:$Y$24,6))</f>
        <v>1.4147836513047314</v>
      </c>
      <c r="AB651" s="297">
        <f>(SUM($P651:$Q651)*VLOOKUP($B651,Lifetime_morbidity_array!$A$6:$Y$24,10))+(SUM($R651:$S651)*VLOOKUP($B651,Lifetime_morbidity_array!$A$6:$Y$24,9))</f>
        <v>6.3426693490795244E-2</v>
      </c>
      <c r="AC651" s="297">
        <f>(SUM($P651:$Q651)*VLOOKUP($B651,Lifetime_morbidity_array!$A$6:$Y$24,13))+(SUM($R651:$S651)*VLOOKUP($B651,Lifetime_morbidity_array!$A$6:$Y$24,12))</f>
        <v>1.2353798877680271</v>
      </c>
      <c r="AD651" s="294"/>
      <c r="AE651" s="294">
        <f t="shared" si="58"/>
        <v>123</v>
      </c>
      <c r="AF651" s="297">
        <f t="shared" si="59"/>
        <v>0.36758202280182967</v>
      </c>
      <c r="AG651" s="297">
        <f t="shared" si="60"/>
        <v>25279.808884890343</v>
      </c>
      <c r="AH651" s="294"/>
      <c r="AI651" s="294">
        <f t="shared" si="61"/>
        <v>123</v>
      </c>
      <c r="AJ651" s="295">
        <f>((VLOOKUP($B651,'Mahawesran Tariff'!$A$21:$M$120,7)*$X651)+(VLOOKUP($B651,'Mahawesran Tariff'!$A$21:$M$120,6)*$Y651)+(DET_UTIL_chd*$Z651)+(DET_UTIL_copd*$AA651)+(DET_UTIL_lc*$AB651)+(DET_UTIL_stroke*$AC651))/((1+Discount_rate_QALYs)^$A651)</f>
        <v>0.29827367801189408</v>
      </c>
      <c r="AK651" s="295">
        <f t="shared" si="62"/>
        <v>23202.371864301811</v>
      </c>
      <c r="AL651" s="294"/>
      <c r="AM651" s="294">
        <f t="shared" si="47"/>
        <v>123</v>
      </c>
      <c r="AN651" s="299">
        <f t="shared" si="48"/>
        <v>1215.2914447347889</v>
      </c>
      <c r="AO651" s="299">
        <f t="shared" si="63"/>
        <v>21603222.84597829</v>
      </c>
      <c r="AP651" s="294"/>
      <c r="AQ651" s="294">
        <f t="shared" si="49"/>
        <v>123</v>
      </c>
      <c r="AR651" s="298">
        <f t="shared" ref="AR651:AR655" si="65">(SUM(P651:S651))/Cohort</f>
        <v>9.9914344498749467E-3</v>
      </c>
      <c r="AS651" s="298">
        <f t="shared" si="40"/>
        <v>0.99000856555012429</v>
      </c>
      <c r="AT651" s="298">
        <f t="shared" si="41"/>
        <v>5.1041544386251931E-3</v>
      </c>
      <c r="AU651" s="250"/>
      <c r="AV651" s="294">
        <f t="shared" si="50"/>
        <v>123</v>
      </c>
      <c r="AW651" s="299">
        <f t="shared" si="51"/>
        <v>1215.2914447347889</v>
      </c>
      <c r="AX651" s="299">
        <f t="shared" si="64"/>
        <v>21600182.84597829</v>
      </c>
      <c r="AY651" s="335"/>
      <c r="AZ651" s="335"/>
      <c r="BA651" s="335"/>
      <c r="BB651" s="335"/>
      <c r="BC651" s="335"/>
      <c r="BD651" s="335"/>
      <c r="BE651" s="335"/>
      <c r="BF651" s="335"/>
      <c r="BG651" s="335"/>
      <c r="BH651" s="335"/>
      <c r="BI651" s="335"/>
      <c r="BJ651" s="335"/>
      <c r="BK651" s="364"/>
      <c r="BL651" s="364"/>
      <c r="BM651" s="364"/>
      <c r="BN651" s="364"/>
      <c r="BO651" s="364"/>
      <c r="BP651" s="364"/>
      <c r="BQ651" s="335"/>
      <c r="BR651" s="335"/>
      <c r="BS651" s="364"/>
      <c r="BT651" s="364"/>
      <c r="BU651" s="364"/>
      <c r="BV651" s="364"/>
      <c r="BW651" s="364"/>
      <c r="BX651" s="364"/>
      <c r="BY651" s="335"/>
      <c r="BZ651" s="335"/>
      <c r="CA651" s="364"/>
      <c r="CB651" s="364"/>
      <c r="CC651" s="335"/>
      <c r="CD651" s="335"/>
      <c r="CE651" s="335"/>
      <c r="CF651" s="335"/>
      <c r="CG651" s="335"/>
      <c r="CH651" s="335"/>
      <c r="CI651" s="365"/>
      <c r="CJ651" s="365"/>
      <c r="CK651" s="335"/>
      <c r="CL651" s="335"/>
      <c r="CM651" s="366"/>
      <c r="CN651" s="366"/>
      <c r="CO651" s="366"/>
      <c r="CP651" s="3"/>
    </row>
    <row r="652" spans="1:94" x14ac:dyDescent="0.25">
      <c r="A652" s="34">
        <v>97</v>
      </c>
      <c r="B652" s="33">
        <f t="shared" si="52"/>
        <v>124</v>
      </c>
      <c r="C652" s="294">
        <f>VLOOKUP($B652,'Mother mortality'!$A$23:$I$124,5)</f>
        <v>0.14624098391610749</v>
      </c>
      <c r="D652" s="295">
        <f t="shared" si="35"/>
        <v>0.27</v>
      </c>
      <c r="E652" s="295">
        <f t="shared" si="42"/>
        <v>0.58375901608389247</v>
      </c>
      <c r="F652" s="295">
        <f>VLOOKUP($B652,'Mother mortality'!$A$23:$I$124,5)</f>
        <v>0.14624098391610749</v>
      </c>
      <c r="G652" s="295">
        <f t="shared" si="36"/>
        <v>0.14000000000000001</v>
      </c>
      <c r="H652" s="295">
        <f t="shared" si="43"/>
        <v>0.71375901608389247</v>
      </c>
      <c r="I652" s="295">
        <f>VLOOKUP($B652,'Mother mortality'!$A$23:$I$124,4)</f>
        <v>0.12016234480898272</v>
      </c>
      <c r="J652" s="295">
        <f t="shared" si="44"/>
        <v>0.30840908376244591</v>
      </c>
      <c r="K652" s="295">
        <f t="shared" si="37"/>
        <v>0.5714285714285714</v>
      </c>
      <c r="L652" s="295">
        <f>VLOOKUP($B652,'Mother mortality'!$A$23:$I$124,4)</f>
        <v>0.12016234480898272</v>
      </c>
      <c r="M652" s="295">
        <f t="shared" si="38"/>
        <v>8.6261668788331098E-3</v>
      </c>
      <c r="N652" s="295">
        <f t="shared" si="45"/>
        <v>0.8712114883121842</v>
      </c>
      <c r="O652" s="294"/>
      <c r="P652" s="296">
        <f t="shared" si="53"/>
        <v>1.4393887244256356</v>
      </c>
      <c r="Q652" s="297">
        <f t="shared" si="54"/>
        <v>0.45041612076785986</v>
      </c>
      <c r="R652" s="297">
        <f t="shared" si="55"/>
        <v>7.3127863618329056E-2</v>
      </c>
      <c r="S652" s="297">
        <f t="shared" si="56"/>
        <v>6.7707809935056362</v>
      </c>
      <c r="T652" s="297">
        <f t="shared" si="57"/>
        <v>991.26628629768175</v>
      </c>
      <c r="U652" s="294">
        <f t="shared" si="46"/>
        <v>999.9999999999992</v>
      </c>
      <c r="V652" s="295" t="str">
        <f>IF(U652=Cohort,"OKAY",IF(U652&gt;Cohort,"Too many","Too Few"))</f>
        <v>Too Few</v>
      </c>
      <c r="W652" s="295"/>
      <c r="X652" s="296">
        <f>SUM($P652:$Q652)-(SUM($P652:$Q652)*(VLOOKUP($B652,Lifetime_morbidity_array!$A$6:$Y$24,4)+VLOOKUP($B652,Lifetime_morbidity_array!$A$6:$Y$24,7)+VLOOKUP($B652,Lifetime_morbidity_array!$A$6:$Y$24,10)+VLOOKUP($B652,Lifetime_morbidity_array!$A$6:$Y$24,13)))</f>
        <v>0.29961820184181698</v>
      </c>
      <c r="Y652" s="297">
        <f>SUM($R652:$S652)-(SUM($R652:$S652)*(VLOOKUP($B652,Lifetime_morbidity_array!$A$6:$Y$24,3)+VLOOKUP($B652,Lifetime_morbidity_array!$A$6:$Y$24,6)+VLOOKUP($B652,Lifetime_morbidity_array!$A$6:$Y$24,9)+VLOOKUP($B652,Lifetime_morbidity_array!$A$6:$Y$24,12)))</f>
        <v>3.983036912849411</v>
      </c>
      <c r="Z652" s="297">
        <f>(SUM($P652:$Q652)*VLOOKUP($B652,Lifetime_morbidity_array!$A$6:$Y$24,4))+(SUM($R652:$S652)*VLOOKUP($B652,Lifetime_morbidity_array!$A$6:$Y$24,3))</f>
        <v>2.085692643552099</v>
      </c>
      <c r="AA652" s="297">
        <f>(SUM($P652:$Q652)*VLOOKUP($B652,Lifetime_morbidity_array!$A$6:$Y$24,7))+(SUM($R652:$S652)*VLOOKUP($B652,Lifetime_morbidity_array!$A$6:$Y$24,6))</f>
        <v>1.231822813501547</v>
      </c>
      <c r="AB652" s="297">
        <f>(SUM($P652:$Q652)*VLOOKUP($B652,Lifetime_morbidity_array!$A$6:$Y$24,10))+(SUM($R652:$S652)*VLOOKUP($B652,Lifetime_morbidity_array!$A$6:$Y$24,9))</f>
        <v>5.5178619408507157E-2</v>
      </c>
      <c r="AC652" s="297">
        <f>(SUM($P652:$Q652)*VLOOKUP($B652,Lifetime_morbidity_array!$A$6:$Y$24,13))+(SUM($R652:$S652)*VLOOKUP($B652,Lifetime_morbidity_array!$A$6:$Y$24,12))</f>
        <v>1.0783645111640794</v>
      </c>
      <c r="AD652" s="294"/>
      <c r="AE652" s="294">
        <f t="shared" si="58"/>
        <v>124</v>
      </c>
      <c r="AF652" s="297">
        <f t="shared" si="59"/>
        <v>0.31044525153001762</v>
      </c>
      <c r="AG652" s="297">
        <f t="shared" si="60"/>
        <v>25280.119330141872</v>
      </c>
      <c r="AH652" s="294"/>
      <c r="AI652" s="294">
        <f t="shared" si="61"/>
        <v>124</v>
      </c>
      <c r="AJ652" s="295">
        <f>((VLOOKUP($B652,'Mahawesran Tariff'!$A$21:$M$120,7)*$X652)+(VLOOKUP($B652,'Mahawesran Tariff'!$A$21:$M$120,6)*$Y652)+(DET_UTIL_chd*$Z652)+(DET_UTIL_copd*$AA652)+(DET_UTIL_lc*$AB652)+(DET_UTIL_stroke*$AC652))/((1+Discount_rate_QALYs)^$A652)</f>
        <v>0.25197794784020799</v>
      </c>
      <c r="AK652" s="295">
        <f t="shared" si="62"/>
        <v>23202.62384224965</v>
      </c>
      <c r="AL652" s="294"/>
      <c r="AM652" s="294">
        <f t="shared" si="47"/>
        <v>124</v>
      </c>
      <c r="AN652" s="299">
        <f t="shared" si="48"/>
        <v>1024.7306359661602</v>
      </c>
      <c r="AO652" s="299">
        <f t="shared" si="63"/>
        <v>21604247.576614257</v>
      </c>
      <c r="AP652" s="294"/>
      <c r="AQ652" s="294">
        <f t="shared" si="49"/>
        <v>124</v>
      </c>
      <c r="AR652" s="298">
        <f t="shared" si="65"/>
        <v>8.7337137023174617E-3</v>
      </c>
      <c r="AS652" s="298">
        <f t="shared" si="40"/>
        <v>0.99126628629768176</v>
      </c>
      <c r="AT652" s="298">
        <f t="shared" si="41"/>
        <v>4.4510585876262323E-3</v>
      </c>
      <c r="AU652" s="250"/>
      <c r="AV652" s="294">
        <f t="shared" si="50"/>
        <v>124</v>
      </c>
      <c r="AW652" s="299">
        <f t="shared" si="51"/>
        <v>1024.7306359661602</v>
      </c>
      <c r="AX652" s="299">
        <f t="shared" si="64"/>
        <v>21601207.576614257</v>
      </c>
      <c r="AY652" s="335"/>
      <c r="AZ652" s="335"/>
      <c r="BA652" s="335"/>
      <c r="BB652" s="335"/>
      <c r="BC652" s="335"/>
      <c r="BD652" s="335"/>
      <c r="BE652" s="335"/>
      <c r="BF652" s="335"/>
      <c r="BG652" s="335"/>
      <c r="BH652" s="335"/>
      <c r="BI652" s="335"/>
      <c r="BJ652" s="335"/>
      <c r="BK652" s="364"/>
      <c r="BL652" s="364"/>
      <c r="BM652" s="364"/>
      <c r="BN652" s="364"/>
      <c r="BO652" s="364"/>
      <c r="BP652" s="364"/>
      <c r="BQ652" s="335"/>
      <c r="BR652" s="335"/>
      <c r="BS652" s="364"/>
      <c r="BT652" s="364"/>
      <c r="BU652" s="364"/>
      <c r="BV652" s="364"/>
      <c r="BW652" s="364"/>
      <c r="BX652" s="364"/>
      <c r="BY652" s="335"/>
      <c r="BZ652" s="335"/>
      <c r="CA652" s="364"/>
      <c r="CB652" s="364"/>
      <c r="CC652" s="335"/>
      <c r="CD652" s="335"/>
      <c r="CE652" s="335"/>
      <c r="CF652" s="335"/>
      <c r="CG652" s="335"/>
      <c r="CH652" s="335"/>
      <c r="CI652" s="365"/>
      <c r="CJ652" s="365"/>
      <c r="CK652" s="335"/>
      <c r="CL652" s="335"/>
      <c r="CM652" s="366"/>
      <c r="CN652" s="366"/>
      <c r="CO652" s="366"/>
      <c r="CP652" s="3"/>
    </row>
    <row r="653" spans="1:94" x14ac:dyDescent="0.25">
      <c r="A653" s="34">
        <v>98</v>
      </c>
      <c r="B653" s="33">
        <f t="shared" si="52"/>
        <v>125</v>
      </c>
      <c r="C653" s="294">
        <f>VLOOKUP($B653,'Mother mortality'!$A$23:$I$124,5)</f>
        <v>0.14624098391610749</v>
      </c>
      <c r="D653" s="295">
        <f t="shared" si="35"/>
        <v>0.27</v>
      </c>
      <c r="E653" s="295">
        <f t="shared" si="42"/>
        <v>0.58375901608389247</v>
      </c>
      <c r="F653" s="295">
        <f>VLOOKUP($B653,'Mother mortality'!$A$23:$I$124,5)</f>
        <v>0.14624098391610749</v>
      </c>
      <c r="G653" s="295">
        <f t="shared" si="36"/>
        <v>0.14000000000000001</v>
      </c>
      <c r="H653" s="295">
        <f t="shared" si="43"/>
        <v>0.71375901608389247</v>
      </c>
      <c r="I653" s="295">
        <f>VLOOKUP($B653,'Mother mortality'!$A$23:$I$124,4)</f>
        <v>0.12016234480898272</v>
      </c>
      <c r="J653" s="295">
        <f t="shared" si="44"/>
        <v>0.30840908376244591</v>
      </c>
      <c r="K653" s="295">
        <f t="shared" si="37"/>
        <v>0.5714285714285714</v>
      </c>
      <c r="L653" s="295">
        <f>VLOOKUP($B653,'Mother mortality'!$A$23:$I$124,4)</f>
        <v>0.12016234480898272</v>
      </c>
      <c r="M653" s="295">
        <f t="shared" si="38"/>
        <v>8.6261668788331098E-3</v>
      </c>
      <c r="N653" s="295">
        <f t="shared" si="45"/>
        <v>0.8712114883121842</v>
      </c>
      <c r="O653" s="294"/>
      <c r="P653" s="296">
        <f t="shared" si="53"/>
        <v>1.2427038968865944</v>
      </c>
      <c r="Q653" s="297">
        <f t="shared" si="54"/>
        <v>0.38863495559492162</v>
      </c>
      <c r="R653" s="297">
        <f t="shared" si="55"/>
        <v>6.3058256907500387E-2</v>
      </c>
      <c r="S653" s="297">
        <f t="shared" si="56"/>
        <v>5.9405695370269394</v>
      </c>
      <c r="T653" s="297">
        <f t="shared" si="57"/>
        <v>992.36503335358327</v>
      </c>
      <c r="U653" s="294">
        <f t="shared" si="46"/>
        <v>999.9999999999992</v>
      </c>
      <c r="V653" s="295" t="str">
        <f>IF(U653=Cohort,"OKAY",IF(U653&gt;Cohort,"Too many","Too Few"))</f>
        <v>Too Few</v>
      </c>
      <c r="W653" s="295"/>
      <c r="X653" s="296">
        <f>SUM($P653:$Q653)-(SUM($P653:$Q653)*(VLOOKUP($B653,Lifetime_morbidity_array!$A$6:$Y$24,4)+VLOOKUP($B653,Lifetime_morbidity_array!$A$6:$Y$24,7)+VLOOKUP($B653,Lifetime_morbidity_array!$A$6:$Y$24,10)+VLOOKUP($B653,Lifetime_morbidity_array!$A$6:$Y$24,13)))</f>
        <v>0.25863983512284805</v>
      </c>
      <c r="Y653" s="297">
        <f>SUM($R653:$S653)-(SUM($R653:$S653)*(VLOOKUP($B653,Lifetime_morbidity_array!$A$6:$Y$24,3)+VLOOKUP($B653,Lifetime_morbidity_array!$A$6:$Y$24,6)+VLOOKUP($B653,Lifetime_morbidity_array!$A$6:$Y$24,9)+VLOOKUP($B653,Lifetime_morbidity_array!$A$6:$Y$24,12)))</f>
        <v>3.4940078270268549</v>
      </c>
      <c r="Z653" s="297">
        <f>(SUM($P653:$Q653)*VLOOKUP($B653,Lifetime_morbidity_array!$A$6:$Y$24,4))+(SUM($R653:$S653)*VLOOKUP($B653,Lifetime_morbidity_array!$A$6:$Y$24,3))</f>
        <v>1.8200298464376772</v>
      </c>
      <c r="AA653" s="297">
        <f>(SUM($P653:$Q653)*VLOOKUP($B653,Lifetime_morbidity_array!$A$6:$Y$24,7))+(SUM($R653:$S653)*VLOOKUP($B653,Lifetime_morbidity_array!$A$6:$Y$24,6))</f>
        <v>1.0728184836126591</v>
      </c>
      <c r="AB653" s="297">
        <f>(SUM($P653:$Q653)*VLOOKUP($B653,Lifetime_morbidity_array!$A$6:$Y$24,10))+(SUM($R653:$S653)*VLOOKUP($B653,Lifetime_morbidity_array!$A$6:$Y$24,9))</f>
        <v>4.8018118781335238E-2</v>
      </c>
      <c r="AC653" s="297">
        <f>(SUM($P653:$Q653)*VLOOKUP($B653,Lifetime_morbidity_array!$A$6:$Y$24,13))+(SUM($R653:$S653)*VLOOKUP($B653,Lifetime_morbidity_array!$A$6:$Y$24,12))</f>
        <v>0.94145253543458129</v>
      </c>
      <c r="AD653" s="294"/>
      <c r="AE653" s="294">
        <f t="shared" si="58"/>
        <v>125</v>
      </c>
      <c r="AF653" s="297">
        <f t="shared" si="59"/>
        <v>0.26221218196484919</v>
      </c>
      <c r="AG653" s="297">
        <f t="shared" si="60"/>
        <v>25280.381542323837</v>
      </c>
      <c r="AH653" s="294"/>
      <c r="AI653" s="294">
        <f t="shared" si="61"/>
        <v>125</v>
      </c>
      <c r="AJ653" s="295">
        <f>((VLOOKUP($B653,'Mahawesran Tariff'!$A$21:$M$120,7)*$X653)+(VLOOKUP($B653,'Mahawesran Tariff'!$A$21:$M$120,6)*$Y653)+(DET_UTIL_chd*$Z653)+(DET_UTIL_copd*$AA653)+(DET_UTIL_lc*$AB653)+(DET_UTIL_stroke*$AC653))/((1+Discount_rate_QALYs)^$A653)</f>
        <v>0.21288307090976866</v>
      </c>
      <c r="AK653" s="295">
        <f t="shared" si="62"/>
        <v>23202.836725320558</v>
      </c>
      <c r="AL653" s="294"/>
      <c r="AM653" s="294">
        <f t="shared" si="47"/>
        <v>125</v>
      </c>
      <c r="AN653" s="299">
        <f t="shared" si="48"/>
        <v>864.19445094206321</v>
      </c>
      <c r="AO653" s="299">
        <f t="shared" si="63"/>
        <v>21605111.771065198</v>
      </c>
      <c r="AP653" s="294"/>
      <c r="AQ653" s="294">
        <f t="shared" si="49"/>
        <v>125</v>
      </c>
      <c r="AR653" s="298">
        <f t="shared" si="65"/>
        <v>7.6349666464159555E-3</v>
      </c>
      <c r="AS653" s="298">
        <f t="shared" si="40"/>
        <v>0.99236503335358328</v>
      </c>
      <c r="AT653" s="298">
        <f t="shared" si="41"/>
        <v>3.8823189842662532E-3</v>
      </c>
      <c r="AU653" s="250"/>
      <c r="AV653" s="294">
        <f t="shared" si="50"/>
        <v>125</v>
      </c>
      <c r="AW653" s="299">
        <f t="shared" si="51"/>
        <v>864.19445094206321</v>
      </c>
      <c r="AX653" s="299">
        <f t="shared" si="64"/>
        <v>21602071.771065198</v>
      </c>
      <c r="AY653" s="335"/>
      <c r="AZ653" s="335"/>
      <c r="BA653" s="335"/>
      <c r="BB653" s="335"/>
      <c r="BC653" s="335"/>
      <c r="BD653" s="335"/>
      <c r="BE653" s="335"/>
      <c r="BF653" s="335"/>
      <c r="BG653" s="335"/>
      <c r="BH653" s="335"/>
      <c r="BI653" s="335"/>
      <c r="BJ653" s="335"/>
      <c r="BK653" s="364"/>
      <c r="BL653" s="364"/>
      <c r="BM653" s="364"/>
      <c r="BN653" s="364"/>
      <c r="BO653" s="364"/>
      <c r="BP653" s="364"/>
      <c r="BQ653" s="335"/>
      <c r="BR653" s="335"/>
      <c r="BS653" s="364"/>
      <c r="BT653" s="364"/>
      <c r="BU653" s="364"/>
      <c r="BV653" s="364"/>
      <c r="BW653" s="364"/>
      <c r="BX653" s="364"/>
      <c r="BY653" s="335"/>
      <c r="BZ653" s="335"/>
      <c r="CA653" s="364"/>
      <c r="CB653" s="364"/>
      <c r="CC653" s="335"/>
      <c r="CD653" s="335"/>
      <c r="CE653" s="335"/>
      <c r="CF653" s="335"/>
      <c r="CG653" s="335"/>
      <c r="CH653" s="335"/>
      <c r="CI653" s="365"/>
      <c r="CJ653" s="365"/>
      <c r="CK653" s="335"/>
      <c r="CL653" s="335"/>
      <c r="CM653" s="366"/>
      <c r="CN653" s="366"/>
      <c r="CO653" s="366"/>
      <c r="CP653" s="3"/>
    </row>
    <row r="654" spans="1:94" x14ac:dyDescent="0.25">
      <c r="A654" s="34">
        <v>99</v>
      </c>
      <c r="B654" s="33">
        <f t="shared" si="52"/>
        <v>126</v>
      </c>
      <c r="C654" s="294">
        <f>VLOOKUP($B654,'Mother mortality'!$A$23:$I$124,5)</f>
        <v>0.14624098391610749</v>
      </c>
      <c r="D654" s="295">
        <f t="shared" si="35"/>
        <v>0.27</v>
      </c>
      <c r="E654" s="295">
        <f t="shared" si="42"/>
        <v>0.58375901608389247</v>
      </c>
      <c r="F654" s="295">
        <f>VLOOKUP($B654,'Mother mortality'!$A$23:$I$124,5)</f>
        <v>0.14624098391610749</v>
      </c>
      <c r="G654" s="295">
        <f t="shared" si="36"/>
        <v>0.14000000000000001</v>
      </c>
      <c r="H654" s="295">
        <f t="shared" si="43"/>
        <v>0.71375901608389247</v>
      </c>
      <c r="I654" s="295">
        <f>VLOOKUP($B654,'Mother mortality'!$A$23:$I$124,4)</f>
        <v>0.12016234480898272</v>
      </c>
      <c r="J654" s="295">
        <f t="shared" si="44"/>
        <v>0.30840908376244591</v>
      </c>
      <c r="K654" s="295">
        <f t="shared" si="37"/>
        <v>0.5714285714285714</v>
      </c>
      <c r="L654" s="295">
        <f>VLOOKUP($B654,'Mother mortality'!$A$23:$I$124,4)</f>
        <v>0.12016234480898272</v>
      </c>
      <c r="M654" s="295">
        <f t="shared" si="38"/>
        <v>8.6261668788331098E-3</v>
      </c>
      <c r="N654" s="295">
        <f t="shared" si="45"/>
        <v>0.8712114883121842</v>
      </c>
      <c r="O654" s="294"/>
      <c r="P654" s="296">
        <f t="shared" si="53"/>
        <v>1.0735233910695816</v>
      </c>
      <c r="Q654" s="297">
        <f t="shared" si="54"/>
        <v>0.33553005215938053</v>
      </c>
      <c r="R654" s="297">
        <f t="shared" si="55"/>
        <v>5.4408893783289031E-2</v>
      </c>
      <c r="S654" s="297">
        <f t="shared" si="56"/>
        <v>5.2115257174366914</v>
      </c>
      <c r="T654" s="297">
        <f t="shared" si="57"/>
        <v>993.32501194555027</v>
      </c>
      <c r="U654" s="294">
        <f t="shared" si="46"/>
        <v>999.9999999999992</v>
      </c>
      <c r="V654" s="295" t="str">
        <f>IF(U654=Cohort,"OKAY",IF(U654&gt;Cohort,"Too many","Too Few"))</f>
        <v>Too Few</v>
      </c>
      <c r="W654" s="295"/>
      <c r="X654" s="296">
        <f>SUM($P654:$Q654)-(SUM($P654:$Q654)*(VLOOKUP($B654,Lifetime_morbidity_array!$A$6:$Y$24,4)+VLOOKUP($B654,Lifetime_morbidity_array!$A$6:$Y$24,7)+VLOOKUP($B654,Lifetime_morbidity_array!$A$6:$Y$24,10)+VLOOKUP($B654,Lifetime_morbidity_array!$A$6:$Y$24,13)))</f>
        <v>0.22339770163731165</v>
      </c>
      <c r="Y654" s="297">
        <f>SUM($R654:$S654)-(SUM($R654:$S654)*(VLOOKUP($B654,Lifetime_morbidity_array!$A$6:$Y$24,3)+VLOOKUP($B654,Lifetime_morbidity_array!$A$6:$Y$24,6)+VLOOKUP($B654,Lifetime_morbidity_array!$A$6:$Y$24,9)+VLOOKUP($B654,Lifetime_morbidity_array!$A$6:$Y$24,12)))</f>
        <v>3.0646831182311547</v>
      </c>
      <c r="Z654" s="297">
        <f>(SUM($P654:$Q654)*VLOOKUP($B654,Lifetime_morbidity_array!$A$6:$Y$24,4))+(SUM($R654:$S654)*VLOOKUP($B654,Lifetime_morbidity_array!$A$6:$Y$24,3))</f>
        <v>1.5884780144259312</v>
      </c>
      <c r="AA654" s="297">
        <f>(SUM($P654:$Q654)*VLOOKUP($B654,Lifetime_morbidity_array!$A$6:$Y$24,7))+(SUM($R654:$S654)*VLOOKUP($B654,Lifetime_morbidity_array!$A$6:$Y$24,6))</f>
        <v>0.93458470686294437</v>
      </c>
      <c r="AB654" s="297">
        <f>(SUM($P654:$Q654)*VLOOKUP($B654,Lifetime_morbidity_array!$A$6:$Y$24,10))+(SUM($R654:$S654)*VLOOKUP($B654,Lifetime_morbidity_array!$A$6:$Y$24,9))</f>
        <v>4.1799311535005088E-2</v>
      </c>
      <c r="AC654" s="297">
        <f>(SUM($P654:$Q654)*VLOOKUP($B654,Lifetime_morbidity_array!$A$6:$Y$24,13))+(SUM($R654:$S654)*VLOOKUP($B654,Lifetime_morbidity_array!$A$6:$Y$24,12))</f>
        <v>0.8220452017565949</v>
      </c>
      <c r="AD654" s="294"/>
      <c r="AE654" s="294">
        <f t="shared" si="58"/>
        <v>126</v>
      </c>
      <c r="AF654" s="297">
        <f t="shared" si="59"/>
        <v>0.22149088749362547</v>
      </c>
      <c r="AG654" s="297">
        <f t="shared" si="60"/>
        <v>25280.60303321133</v>
      </c>
      <c r="AH654" s="294"/>
      <c r="AI654" s="294">
        <f t="shared" si="61"/>
        <v>126</v>
      </c>
      <c r="AJ654" s="295">
        <f>((VLOOKUP($B654,'Mahawesran Tariff'!$A$21:$M$120,7)*$X654)+(VLOOKUP($B654,'Mahawesran Tariff'!$A$21:$M$120,6)*$Y654)+(DET_UTIL_chd*$Z654)+(DET_UTIL_copd*$AA654)+(DET_UTIL_lc*$AB654)+(DET_UTIL_stroke*$AC654))/((1+Discount_rate_QALYs)^$A654)</f>
        <v>0.17986600058385124</v>
      </c>
      <c r="AK654" s="295">
        <f t="shared" si="62"/>
        <v>23203.016591321142</v>
      </c>
      <c r="AL654" s="294"/>
      <c r="AM654" s="294">
        <f t="shared" si="47"/>
        <v>126</v>
      </c>
      <c r="AN654" s="299">
        <f t="shared" si="48"/>
        <v>728.92381708907988</v>
      </c>
      <c r="AO654" s="299">
        <f t="shared" si="63"/>
        <v>21605840.694882289</v>
      </c>
      <c r="AP654" s="294"/>
      <c r="AQ654" s="294">
        <f t="shared" si="49"/>
        <v>126</v>
      </c>
      <c r="AR654" s="298">
        <f t="shared" si="65"/>
        <v>6.6749880544489425E-3</v>
      </c>
      <c r="AS654" s="298">
        <f t="shared" si="40"/>
        <v>0.99332501194555023</v>
      </c>
      <c r="AT654" s="298">
        <f t="shared" si="41"/>
        <v>3.3869072345804759E-3</v>
      </c>
      <c r="AU654" s="250"/>
      <c r="AV654" s="294">
        <f t="shared" si="50"/>
        <v>126</v>
      </c>
      <c r="AW654" s="299">
        <f t="shared" si="51"/>
        <v>728.92381708907988</v>
      </c>
      <c r="AX654" s="299">
        <f t="shared" si="64"/>
        <v>21602800.694882289</v>
      </c>
      <c r="AY654" s="335"/>
      <c r="AZ654" s="335"/>
      <c r="BA654" s="335"/>
      <c r="BB654" s="335"/>
      <c r="BC654" s="335"/>
      <c r="BD654" s="335"/>
      <c r="BE654" s="335"/>
      <c r="BF654" s="335"/>
      <c r="BG654" s="335"/>
      <c r="BH654" s="335"/>
      <c r="BI654" s="335"/>
      <c r="BJ654" s="335"/>
      <c r="BK654" s="364"/>
      <c r="BL654" s="364"/>
      <c r="BM654" s="364"/>
      <c r="BN654" s="364"/>
      <c r="BO654" s="364"/>
      <c r="BP654" s="364"/>
      <c r="BQ654" s="335"/>
      <c r="BR654" s="335"/>
      <c r="BS654" s="364"/>
      <c r="BT654" s="364"/>
      <c r="BU654" s="364"/>
      <c r="BV654" s="364"/>
      <c r="BW654" s="364"/>
      <c r="BX654" s="364"/>
      <c r="BY654" s="335"/>
      <c r="BZ654" s="335"/>
      <c r="CA654" s="364"/>
      <c r="CB654" s="364"/>
      <c r="CC654" s="335"/>
      <c r="CD654" s="335"/>
      <c r="CE654" s="335"/>
      <c r="CF654" s="335"/>
      <c r="CG654" s="335"/>
      <c r="CH654" s="335"/>
      <c r="CI654" s="365"/>
      <c r="CJ654" s="365"/>
      <c r="CK654" s="335"/>
      <c r="CL654" s="335"/>
      <c r="CM654" s="366"/>
      <c r="CN654" s="366"/>
      <c r="CO654" s="366"/>
      <c r="CP654" s="3"/>
    </row>
    <row r="655" spans="1:94" s="3" customFormat="1" ht="15.75" thickBot="1" x14ac:dyDescent="0.3">
      <c r="A655" s="34">
        <v>100</v>
      </c>
      <c r="B655" s="33">
        <f t="shared" si="52"/>
        <v>127</v>
      </c>
      <c r="C655" s="294">
        <f>VLOOKUP($B655,'Mother mortality'!$A$23:$I$124,5)</f>
        <v>0.14624098391610749</v>
      </c>
      <c r="D655" s="295">
        <f t="shared" si="35"/>
        <v>0.27</v>
      </c>
      <c r="E655" s="295">
        <f t="shared" si="42"/>
        <v>0.58375901608389247</v>
      </c>
      <c r="F655" s="295">
        <f>VLOOKUP($B655,'Mother mortality'!$A$23:$I$124,5)</f>
        <v>0.14624098391610749</v>
      </c>
      <c r="G655" s="295">
        <f t="shared" si="36"/>
        <v>0.14000000000000001</v>
      </c>
      <c r="H655" s="295">
        <f t="shared" si="43"/>
        <v>0.71375901608389247</v>
      </c>
      <c r="I655" s="295">
        <f>VLOOKUP($B655,'Mother mortality'!$A$23:$I$124,4)</f>
        <v>0.12016234480898272</v>
      </c>
      <c r="J655" s="295">
        <f t="shared" si="44"/>
        <v>0.30840908376244591</v>
      </c>
      <c r="K655" s="295">
        <f t="shared" si="37"/>
        <v>0.5714285714285714</v>
      </c>
      <c r="L655" s="295">
        <f>VLOOKUP($B655,'Mother mortality'!$A$23:$I$124,4)</f>
        <v>0.12016234480898272</v>
      </c>
      <c r="M655" s="295">
        <f t="shared" si="38"/>
        <v>8.6261668788331098E-3</v>
      </c>
      <c r="N655" s="295">
        <f t="shared" si="45"/>
        <v>0.8712114883121842</v>
      </c>
      <c r="O655" s="294"/>
      <c r="P655" s="296">
        <f t="shared" si="53"/>
        <v>0.92790224602185101</v>
      </c>
      <c r="Q655" s="297">
        <f t="shared" si="54"/>
        <v>0.28985131558878707</v>
      </c>
      <c r="R655" s="297">
        <f t="shared" si="55"/>
        <v>4.6974207302313276E-2</v>
      </c>
      <c r="S655" s="297">
        <f t="shared" si="56"/>
        <v>4.5714318731128376</v>
      </c>
      <c r="T655" s="297">
        <f t="shared" si="57"/>
        <v>994.16384035797341</v>
      </c>
      <c r="U655" s="294">
        <f t="shared" si="46"/>
        <v>999.9999999999992</v>
      </c>
      <c r="V655" s="295" t="str">
        <f>IF(U655=Cohort,"OKAY",IF(U655&gt;Cohort,"Too many","Too Few"))</f>
        <v>Too Few</v>
      </c>
      <c r="W655" s="295"/>
      <c r="X655" s="296">
        <f>SUM($P655:$Q655)-(SUM($P655:$Q655)*(VLOOKUP($B655,Lifetime_morbidity_array!$A$6:$Y$24,4)+VLOOKUP($B655,Lifetime_morbidity_array!$A$6:$Y$24,7)+VLOOKUP($B655,Lifetime_morbidity_array!$A$6:$Y$24,10)+VLOOKUP($B655,Lifetime_morbidity_array!$A$6:$Y$24,13)))</f>
        <v>0.19306815375366959</v>
      </c>
      <c r="Y655" s="297">
        <f>SUM($R655:$S655)-(SUM($R655:$S655)*(VLOOKUP($B655,Lifetime_morbidity_array!$A$6:$Y$24,3)+VLOOKUP($B655,Lifetime_morbidity_array!$A$6:$Y$24,6)+VLOOKUP($B655,Lifetime_morbidity_array!$A$6:$Y$24,9)+VLOOKUP($B655,Lifetime_morbidity_array!$A$6:$Y$24,12)))</f>
        <v>2.6878326817099101</v>
      </c>
      <c r="Z655" s="297">
        <f>(SUM($P655:$Q655)*VLOOKUP($B655,Lifetime_morbidity_array!$A$6:$Y$24,4))+(SUM($R655:$S655)*VLOOKUP($B655,Lifetime_morbidity_array!$A$6:$Y$24,3))</f>
        <v>1.3866113755782685</v>
      </c>
      <c r="AA655" s="297">
        <f>(SUM($P655:$Q655)*VLOOKUP($B655,Lifetime_morbidity_array!$A$6:$Y$24,7))+(SUM($R655:$S655)*VLOOKUP($B655,Lifetime_morbidity_array!$A$6:$Y$24,6))</f>
        <v>0.81436728614888321</v>
      </c>
      <c r="AB655" s="297">
        <f>(SUM($P655:$Q655)*VLOOKUP($B655,Lifetime_morbidity_array!$A$6:$Y$24,10))+(SUM($R655:$S655)*VLOOKUP($B655,Lifetime_morbidity_array!$A$6:$Y$24,9))</f>
        <v>3.6396288137763251E-2</v>
      </c>
      <c r="AC655" s="297">
        <f>(SUM($P655:$Q655)*VLOOKUP($B655,Lifetime_morbidity_array!$A$6:$Y$24,13))+(SUM($R655:$S655)*VLOOKUP($B655,Lifetime_morbidity_array!$A$6:$Y$24,12))</f>
        <v>0.71788385669729471</v>
      </c>
      <c r="AD655" s="294"/>
      <c r="AE655" s="294">
        <f t="shared" si="58"/>
        <v>127</v>
      </c>
      <c r="AF655" s="297">
        <f t="shared" si="59"/>
        <v>0.18710792552827865</v>
      </c>
      <c r="AG655" s="297">
        <f t="shared" si="60"/>
        <v>25280.790141136858</v>
      </c>
      <c r="AH655" s="294"/>
      <c r="AI655" s="294">
        <f t="shared" si="61"/>
        <v>127</v>
      </c>
      <c r="AJ655" s="295">
        <f>((VLOOKUP($B655,'Mahawesran Tariff'!$A$21:$M$120,7)*$X655)+(VLOOKUP($B655,'Mahawesran Tariff'!$A$21:$M$120,6)*$Y655)+(DET_UTIL_chd*$Z655)+(DET_UTIL_copd*$AA655)+(DET_UTIL_lc*$AB655)+(DET_UTIL_stroke*$AC655))/((1+Discount_rate_QALYs)^$A655)</f>
        <v>0.15197944143758188</v>
      </c>
      <c r="AK655" s="295">
        <f t="shared" si="62"/>
        <v>23203.16857076258</v>
      </c>
      <c r="AL655" s="294"/>
      <c r="AM655" s="294">
        <f t="shared" si="47"/>
        <v>127</v>
      </c>
      <c r="AN655" s="299">
        <f t="shared" si="48"/>
        <v>614.91957384826799</v>
      </c>
      <c r="AO655" s="299">
        <f t="shared" si="63"/>
        <v>21606455.614456136</v>
      </c>
      <c r="AP655" s="294"/>
      <c r="AQ655" s="294">
        <f t="shared" si="49"/>
        <v>127</v>
      </c>
      <c r="AR655" s="298">
        <f t="shared" si="65"/>
        <v>5.8361596420257889E-3</v>
      </c>
      <c r="AS655" s="298">
        <f t="shared" si="40"/>
        <v>0.99416384035797345</v>
      </c>
      <c r="AT655" s="298">
        <f t="shared" si="41"/>
        <v>2.9552588065622095E-3</v>
      </c>
      <c r="AU655" s="250"/>
      <c r="AV655" s="294">
        <f t="shared" si="50"/>
        <v>127</v>
      </c>
      <c r="AW655" s="299">
        <f t="shared" si="51"/>
        <v>614.91957384826799</v>
      </c>
      <c r="AX655" s="299">
        <f t="shared" si="64"/>
        <v>21603415.614456136</v>
      </c>
      <c r="AY655" s="335"/>
      <c r="AZ655" s="335"/>
      <c r="BA655" s="335"/>
      <c r="BB655" s="335"/>
      <c r="BC655" s="335"/>
      <c r="BD655" s="335"/>
      <c r="BE655" s="335"/>
      <c r="BF655" s="335"/>
      <c r="BG655" s="335"/>
      <c r="BH655" s="335"/>
      <c r="BI655" s="335"/>
      <c r="BJ655" s="335"/>
      <c r="BK655" s="364"/>
      <c r="BL655" s="364"/>
      <c r="BM655" s="364"/>
      <c r="BN655" s="364"/>
      <c r="BO655" s="364"/>
      <c r="BP655" s="364"/>
      <c r="BQ655" s="335"/>
      <c r="BR655" s="335"/>
      <c r="BS655" s="364"/>
      <c r="BT655" s="364"/>
      <c r="BU655" s="364"/>
      <c r="BV655" s="364"/>
      <c r="BW655" s="364"/>
      <c r="BX655" s="364"/>
      <c r="BY655" s="335"/>
      <c r="BZ655" s="335"/>
      <c r="CA655" s="364"/>
      <c r="CB655" s="364"/>
      <c r="CC655" s="335"/>
      <c r="CD655" s="335"/>
      <c r="CE655" s="335"/>
      <c r="CF655" s="335"/>
      <c r="CG655" s="335"/>
      <c r="CH655" s="335"/>
      <c r="CI655" s="365"/>
      <c r="CJ655" s="365"/>
      <c r="CK655" s="335"/>
      <c r="CL655" s="335"/>
      <c r="CM655" s="366"/>
      <c r="CN655" s="366"/>
      <c r="CO655" s="366"/>
    </row>
    <row r="656" spans="1:94" s="378" customFormat="1" x14ac:dyDescent="0.25">
      <c r="A656" s="377"/>
    </row>
    <row r="657" spans="1:208" s="30" customFormat="1" x14ac:dyDescent="0.25">
      <c r="A657" s="379"/>
    </row>
    <row r="658" spans="1:208" s="271" customFormat="1" x14ac:dyDescent="0.25">
      <c r="A658" s="160" t="s">
        <v>953</v>
      </c>
      <c r="DC658" s="271">
        <v>54.994125393537452</v>
      </c>
      <c r="GT658" s="575" t="s">
        <v>1088</v>
      </c>
      <c r="GU658" s="575"/>
      <c r="GV658" s="575"/>
      <c r="GW658" s="575"/>
      <c r="GX658" s="575"/>
      <c r="GY658" s="575"/>
      <c r="GZ658" s="575"/>
    </row>
    <row r="659" spans="1:208" s="271" customFormat="1" x14ac:dyDescent="0.25">
      <c r="A659" s="160" t="s">
        <v>107</v>
      </c>
      <c r="B659" s="575" t="s">
        <v>848</v>
      </c>
      <c r="C659" s="575"/>
      <c r="D659" s="575"/>
      <c r="E659" s="575"/>
      <c r="F659" s="575"/>
      <c r="G659" s="575"/>
      <c r="H659" s="575"/>
      <c r="I659" s="575"/>
      <c r="J659" s="575"/>
      <c r="K659" s="575"/>
      <c r="L659" s="575"/>
      <c r="M659" s="575"/>
      <c r="N659" s="575"/>
      <c r="O659" s="575"/>
      <c r="P659" s="575"/>
      <c r="Q659" s="575"/>
      <c r="R659" s="575"/>
      <c r="S659" s="575"/>
      <c r="T659" s="575"/>
      <c r="U659" s="575"/>
      <c r="V659" s="575"/>
      <c r="W659" s="575"/>
      <c r="X659" s="575"/>
      <c r="Y659" s="575"/>
      <c r="Z659" s="575"/>
      <c r="AB659" s="575" t="s">
        <v>898</v>
      </c>
      <c r="AC659" s="575"/>
      <c r="AD659" s="575"/>
      <c r="AE659" s="575"/>
      <c r="AF659" s="575"/>
      <c r="AG659" s="575"/>
      <c r="AH659" s="576"/>
      <c r="AJ659" s="583" t="s">
        <v>899</v>
      </c>
      <c r="AK659" s="575"/>
      <c r="AL659" s="575"/>
      <c r="AM659" s="575"/>
      <c r="AN659" s="575"/>
      <c r="AO659" s="575"/>
      <c r="AP659" s="575"/>
      <c r="AQ659" s="274"/>
      <c r="AR659" s="274"/>
      <c r="AS659" s="274" t="s">
        <v>854</v>
      </c>
      <c r="AT659" s="274"/>
      <c r="AU659" s="274"/>
      <c r="AV659" s="274"/>
      <c r="AW659" s="274"/>
      <c r="AX659" s="274"/>
      <c r="AY659" s="274"/>
      <c r="AZ659" s="274"/>
      <c r="BA659" s="274"/>
      <c r="BB659" s="274"/>
      <c r="BC659" s="274"/>
      <c r="BD659" s="274"/>
      <c r="BE659" s="274"/>
      <c r="BF659" s="274"/>
      <c r="BG659" s="274"/>
      <c r="BH659" s="274"/>
      <c r="BI659" s="274"/>
      <c r="BL659" s="274"/>
      <c r="BM659" s="274"/>
      <c r="BN659" s="274"/>
      <c r="BO659" s="274"/>
      <c r="BP659" s="274"/>
      <c r="BQ659" s="274"/>
      <c r="BS659" s="583" t="s">
        <v>900</v>
      </c>
      <c r="BT659" s="575"/>
      <c r="BU659" s="575"/>
      <c r="BV659" s="575"/>
      <c r="BW659" s="575"/>
      <c r="BX659" s="575"/>
      <c r="BY659" s="576"/>
      <c r="BZ659" s="274"/>
      <c r="CA659" s="583" t="s">
        <v>901</v>
      </c>
      <c r="CB659" s="575"/>
      <c r="CC659" s="575"/>
      <c r="CD659" s="575"/>
      <c r="CE659" s="575"/>
      <c r="CF659" s="575"/>
      <c r="CG659" s="576"/>
      <c r="CH659" s="274"/>
      <c r="CI659" s="274" t="s">
        <v>855</v>
      </c>
      <c r="CJ659" s="274"/>
      <c r="CK659" s="274"/>
      <c r="CL659" s="274"/>
      <c r="CM659" s="274"/>
      <c r="CN659" s="274"/>
      <c r="CO659" s="274"/>
      <c r="CP659" s="274"/>
      <c r="CQ659" s="274"/>
      <c r="CR659" s="274"/>
      <c r="CS659" s="274"/>
      <c r="CT659" s="274"/>
      <c r="CU659" s="274"/>
      <c r="CV659" s="274"/>
      <c r="CW659" s="274"/>
      <c r="CX659" s="274"/>
      <c r="DA659" s="274"/>
      <c r="DB659" s="274"/>
      <c r="DC659" s="274"/>
      <c r="DD659" s="274"/>
      <c r="DE659" s="274"/>
      <c r="DF659" s="274"/>
      <c r="DJ659" s="583" t="s">
        <v>902</v>
      </c>
      <c r="DK659" s="575"/>
      <c r="DL659" s="575"/>
      <c r="DM659" s="575"/>
      <c r="DN659" s="575"/>
      <c r="DO659" s="575"/>
      <c r="DP659" s="576"/>
      <c r="DQ659" s="274"/>
      <c r="DR659" s="583" t="s">
        <v>903</v>
      </c>
      <c r="DS659" s="575"/>
      <c r="DT659" s="575"/>
      <c r="DU659" s="575"/>
      <c r="DV659" s="575"/>
      <c r="DW659" s="575"/>
      <c r="DX659" s="576"/>
      <c r="DY659" s="372"/>
      <c r="DZ659" s="274" t="s">
        <v>856</v>
      </c>
      <c r="EA659" s="274"/>
      <c r="EB659" s="274"/>
      <c r="EC659" s="274"/>
      <c r="ED659" s="274"/>
      <c r="EE659" s="274"/>
      <c r="EF659" s="274"/>
      <c r="EG659" s="274"/>
      <c r="EH659" s="274"/>
      <c r="EI659" s="274"/>
      <c r="EJ659" s="274"/>
      <c r="EK659" s="274"/>
      <c r="EL659" s="274"/>
      <c r="EM659" s="274"/>
      <c r="EP659" s="274"/>
      <c r="EQ659" s="274"/>
      <c r="ER659" s="274"/>
      <c r="ES659" s="274"/>
      <c r="ET659" s="274"/>
      <c r="EU659" s="274"/>
      <c r="FA659" s="583" t="s">
        <v>904</v>
      </c>
      <c r="FB659" s="575"/>
      <c r="FC659" s="575"/>
      <c r="FD659" s="575"/>
      <c r="FE659" s="575"/>
      <c r="FF659" s="575"/>
      <c r="FG659" s="576"/>
      <c r="FH659" s="372"/>
      <c r="FI659" s="583" t="s">
        <v>905</v>
      </c>
      <c r="FJ659" s="575"/>
      <c r="FK659" s="575"/>
      <c r="FL659" s="575"/>
      <c r="FM659" s="575"/>
      <c r="FN659" s="575"/>
      <c r="FO659" s="576"/>
      <c r="FT659" s="583" t="s">
        <v>1026</v>
      </c>
      <c r="FU659" s="575"/>
      <c r="FV659" s="575"/>
      <c r="FW659" s="576"/>
      <c r="FY659" s="583" t="s">
        <v>823</v>
      </c>
      <c r="FZ659" s="575"/>
      <c r="GA659" s="576"/>
      <c r="GC659" s="583" t="s">
        <v>824</v>
      </c>
      <c r="GD659" s="575"/>
      <c r="GE659" s="576"/>
      <c r="GG659" s="583" t="s">
        <v>1032</v>
      </c>
      <c r="GH659" s="575"/>
      <c r="GI659" s="576"/>
      <c r="GK659" s="583" t="s">
        <v>829</v>
      </c>
      <c r="GL659" s="575"/>
      <c r="GM659" s="575"/>
      <c r="GN659" s="576"/>
      <c r="GP659" s="593" t="s">
        <v>1033</v>
      </c>
      <c r="GQ659" s="594"/>
      <c r="GR659" s="595"/>
      <c r="GT659" s="583" t="s">
        <v>1032</v>
      </c>
      <c r="GU659" s="575"/>
      <c r="GV659" s="576"/>
      <c r="GX659" s="593" t="s">
        <v>1033</v>
      </c>
      <c r="GY659" s="594"/>
      <c r="GZ659" s="595"/>
    </row>
    <row r="660" spans="1:208" s="273" customFormat="1" ht="16.5" thickBot="1" x14ac:dyDescent="0.3">
      <c r="A660" s="380" t="s">
        <v>45</v>
      </c>
      <c r="B660" s="275" t="s">
        <v>992</v>
      </c>
      <c r="C660" s="275" t="s">
        <v>993</v>
      </c>
      <c r="D660" s="275" t="s">
        <v>994</v>
      </c>
      <c r="E660" s="275" t="s">
        <v>995</v>
      </c>
      <c r="F660" s="275" t="s">
        <v>996</v>
      </c>
      <c r="G660" s="275" t="s">
        <v>997</v>
      </c>
      <c r="H660" s="275" t="s">
        <v>998</v>
      </c>
      <c r="I660" s="275" t="s">
        <v>999</v>
      </c>
      <c r="J660" s="275" t="s">
        <v>1000</v>
      </c>
      <c r="K660" s="275" t="s">
        <v>1001</v>
      </c>
      <c r="L660" s="275" t="s">
        <v>1002</v>
      </c>
      <c r="M660" s="275" t="s">
        <v>1003</v>
      </c>
      <c r="N660" s="275" t="s">
        <v>838</v>
      </c>
      <c r="O660" s="275" t="s">
        <v>1004</v>
      </c>
      <c r="P660" s="275" t="s">
        <v>1005</v>
      </c>
      <c r="Q660" s="275" t="s">
        <v>1006</v>
      </c>
      <c r="R660" s="275" t="s">
        <v>1007</v>
      </c>
      <c r="S660" s="275" t="s">
        <v>839</v>
      </c>
      <c r="T660" s="275" t="s">
        <v>1008</v>
      </c>
      <c r="U660" s="275" t="s">
        <v>1009</v>
      </c>
      <c r="V660" s="275" t="s">
        <v>1010</v>
      </c>
      <c r="W660" s="275" t="s">
        <v>1011</v>
      </c>
      <c r="X660" s="275" t="s">
        <v>840</v>
      </c>
      <c r="Y660" s="275" t="s">
        <v>1012</v>
      </c>
      <c r="Z660" s="275" t="s">
        <v>1013</v>
      </c>
      <c r="AB660" s="282" t="s">
        <v>841</v>
      </c>
      <c r="AC660" s="275" t="s">
        <v>842</v>
      </c>
      <c r="AD660" s="275" t="s">
        <v>843</v>
      </c>
      <c r="AE660" s="275" t="s">
        <v>844</v>
      </c>
      <c r="AF660" s="275" t="s">
        <v>845</v>
      </c>
      <c r="AG660" s="275" t="s">
        <v>846</v>
      </c>
      <c r="AH660" s="283" t="s">
        <v>847</v>
      </c>
      <c r="AJ660" s="282" t="s">
        <v>841</v>
      </c>
      <c r="AK660" s="275" t="s">
        <v>842</v>
      </c>
      <c r="AL660" s="275" t="s">
        <v>843</v>
      </c>
      <c r="AM660" s="275" t="s">
        <v>844</v>
      </c>
      <c r="AN660" s="275" t="s">
        <v>845</v>
      </c>
      <c r="AO660" s="275" t="s">
        <v>846</v>
      </c>
      <c r="AP660" s="283" t="s">
        <v>847</v>
      </c>
      <c r="AR660" s="275" t="s">
        <v>45</v>
      </c>
      <c r="AS660" s="275" t="s">
        <v>992</v>
      </c>
      <c r="AT660" s="275" t="s">
        <v>993</v>
      </c>
      <c r="AU660" s="275" t="s">
        <v>994</v>
      </c>
      <c r="AV660" s="275" t="s">
        <v>995</v>
      </c>
      <c r="AW660" s="275" t="s">
        <v>996</v>
      </c>
      <c r="AX660" s="275" t="s">
        <v>997</v>
      </c>
      <c r="AY660" s="275" t="s">
        <v>998</v>
      </c>
      <c r="AZ660" s="275" t="s">
        <v>999</v>
      </c>
      <c r="BA660" s="275" t="s">
        <v>1000</v>
      </c>
      <c r="BB660" s="275" t="s">
        <v>1001</v>
      </c>
      <c r="BC660" s="275" t="s">
        <v>1002</v>
      </c>
      <c r="BD660" s="275" t="s">
        <v>1003</v>
      </c>
      <c r="BE660" s="275" t="s">
        <v>838</v>
      </c>
      <c r="BF660" s="275" t="s">
        <v>1004</v>
      </c>
      <c r="BG660" s="275" t="s">
        <v>1005</v>
      </c>
      <c r="BH660" s="275" t="s">
        <v>1006</v>
      </c>
      <c r="BI660" s="275" t="s">
        <v>1007</v>
      </c>
      <c r="BJ660" s="275" t="s">
        <v>839</v>
      </c>
      <c r="BK660" s="275" t="s">
        <v>1008</v>
      </c>
      <c r="BL660" s="275" t="s">
        <v>1009</v>
      </c>
      <c r="BM660" s="275" t="s">
        <v>1010</v>
      </c>
      <c r="BN660" s="275" t="s">
        <v>1011</v>
      </c>
      <c r="BO660" s="275" t="s">
        <v>840</v>
      </c>
      <c r="BP660" s="275" t="s">
        <v>1012</v>
      </c>
      <c r="BQ660" s="275" t="s">
        <v>1013</v>
      </c>
      <c r="BS660" s="282" t="s">
        <v>841</v>
      </c>
      <c r="BT660" s="275" t="s">
        <v>842</v>
      </c>
      <c r="BU660" s="275" t="s">
        <v>843</v>
      </c>
      <c r="BV660" s="275" t="s">
        <v>844</v>
      </c>
      <c r="BW660" s="275" t="s">
        <v>845</v>
      </c>
      <c r="BX660" s="275" t="s">
        <v>846</v>
      </c>
      <c r="BY660" s="283" t="s">
        <v>847</v>
      </c>
      <c r="BZ660" s="275"/>
      <c r="CA660" s="282" t="s">
        <v>841</v>
      </c>
      <c r="CB660" s="275" t="s">
        <v>842</v>
      </c>
      <c r="CC660" s="275" t="s">
        <v>843</v>
      </c>
      <c r="CD660" s="275" t="s">
        <v>844</v>
      </c>
      <c r="CE660" s="275" t="s">
        <v>845</v>
      </c>
      <c r="CF660" s="275" t="s">
        <v>846</v>
      </c>
      <c r="CG660" s="283" t="s">
        <v>847</v>
      </c>
      <c r="CI660" s="275" t="s">
        <v>45</v>
      </c>
      <c r="CJ660" s="275" t="s">
        <v>992</v>
      </c>
      <c r="CK660" s="275" t="s">
        <v>993</v>
      </c>
      <c r="CL660" s="275" t="s">
        <v>994</v>
      </c>
      <c r="CM660" s="275" t="s">
        <v>995</v>
      </c>
      <c r="CN660" s="275" t="s">
        <v>996</v>
      </c>
      <c r="CO660" s="275" t="s">
        <v>997</v>
      </c>
      <c r="CP660" s="275" t="s">
        <v>998</v>
      </c>
      <c r="CQ660" s="275" t="s">
        <v>999</v>
      </c>
      <c r="CR660" s="275" t="s">
        <v>1000</v>
      </c>
      <c r="CS660" s="275" t="s">
        <v>1001</v>
      </c>
      <c r="CT660" s="275" t="s">
        <v>1002</v>
      </c>
      <c r="CU660" s="275" t="s">
        <v>1003</v>
      </c>
      <c r="CV660" s="275" t="s">
        <v>838</v>
      </c>
      <c r="CW660" s="275" t="s">
        <v>1004</v>
      </c>
      <c r="CX660" s="275" t="s">
        <v>1005</v>
      </c>
      <c r="CY660" s="275" t="s">
        <v>1006</v>
      </c>
      <c r="CZ660" s="275" t="s">
        <v>1007</v>
      </c>
      <c r="DA660" s="275" t="s">
        <v>839</v>
      </c>
      <c r="DB660" s="275" t="s">
        <v>1008</v>
      </c>
      <c r="DC660" s="275" t="s">
        <v>1009</v>
      </c>
      <c r="DD660" s="275" t="s">
        <v>1010</v>
      </c>
      <c r="DE660" s="275" t="s">
        <v>1011</v>
      </c>
      <c r="DF660" s="275" t="s">
        <v>840</v>
      </c>
      <c r="DG660" s="275" t="s">
        <v>1012</v>
      </c>
      <c r="DH660" s="275" t="s">
        <v>1013</v>
      </c>
      <c r="DJ660" s="282" t="s">
        <v>841</v>
      </c>
      <c r="DK660" s="275" t="s">
        <v>842</v>
      </c>
      <c r="DL660" s="275" t="s">
        <v>843</v>
      </c>
      <c r="DM660" s="275" t="s">
        <v>844</v>
      </c>
      <c r="DN660" s="275" t="s">
        <v>845</v>
      </c>
      <c r="DO660" s="275" t="s">
        <v>846</v>
      </c>
      <c r="DP660" s="283" t="s">
        <v>847</v>
      </c>
      <c r="DR660" s="282" t="s">
        <v>841</v>
      </c>
      <c r="DS660" s="275" t="s">
        <v>842</v>
      </c>
      <c r="DT660" s="275" t="s">
        <v>843</v>
      </c>
      <c r="DU660" s="275" t="s">
        <v>844</v>
      </c>
      <c r="DV660" s="275" t="s">
        <v>845</v>
      </c>
      <c r="DW660" s="275" t="s">
        <v>846</v>
      </c>
      <c r="DX660" s="283" t="s">
        <v>847</v>
      </c>
      <c r="DY660" s="275"/>
      <c r="DZ660" s="275" t="s">
        <v>45</v>
      </c>
      <c r="EA660" s="275" t="s">
        <v>992</v>
      </c>
      <c r="EB660" s="275" t="s">
        <v>993</v>
      </c>
      <c r="EC660" s="275" t="s">
        <v>994</v>
      </c>
      <c r="ED660" s="275" t="s">
        <v>995</v>
      </c>
      <c r="EE660" s="275" t="s">
        <v>996</v>
      </c>
      <c r="EF660" s="275" t="s">
        <v>997</v>
      </c>
      <c r="EG660" s="275" t="s">
        <v>998</v>
      </c>
      <c r="EH660" s="275" t="s">
        <v>999</v>
      </c>
      <c r="EI660" s="275" t="s">
        <v>1000</v>
      </c>
      <c r="EJ660" s="275" t="s">
        <v>1001</v>
      </c>
      <c r="EK660" s="275" t="s">
        <v>1002</v>
      </c>
      <c r="EL660" s="275" t="s">
        <v>1003</v>
      </c>
      <c r="EM660" s="275" t="s">
        <v>838</v>
      </c>
      <c r="EN660" s="275" t="s">
        <v>1004</v>
      </c>
      <c r="EO660" s="275" t="s">
        <v>1005</v>
      </c>
      <c r="EP660" s="275" t="s">
        <v>1006</v>
      </c>
      <c r="EQ660" s="275" t="s">
        <v>1007</v>
      </c>
      <c r="ER660" s="275" t="s">
        <v>839</v>
      </c>
      <c r="ES660" s="275" t="s">
        <v>1008</v>
      </c>
      <c r="ET660" s="275" t="s">
        <v>1009</v>
      </c>
      <c r="EU660" s="275" t="s">
        <v>1010</v>
      </c>
      <c r="EV660" s="275" t="s">
        <v>1011</v>
      </c>
      <c r="EW660" s="275" t="s">
        <v>840</v>
      </c>
      <c r="EX660" s="275" t="s">
        <v>1012</v>
      </c>
      <c r="EY660" s="275" t="s">
        <v>1013</v>
      </c>
      <c r="FA660" s="282" t="s">
        <v>841</v>
      </c>
      <c r="FB660" s="275" t="s">
        <v>842</v>
      </c>
      <c r="FC660" s="275" t="s">
        <v>843</v>
      </c>
      <c r="FD660" s="275" t="s">
        <v>844</v>
      </c>
      <c r="FE660" s="275" t="s">
        <v>845</v>
      </c>
      <c r="FF660" s="275" t="s">
        <v>846</v>
      </c>
      <c r="FG660" s="283" t="s">
        <v>847</v>
      </c>
      <c r="FH660" s="275"/>
      <c r="FI660" s="282" t="s">
        <v>841</v>
      </c>
      <c r="FJ660" s="275" t="s">
        <v>842</v>
      </c>
      <c r="FK660" s="275" t="s">
        <v>843</v>
      </c>
      <c r="FL660" s="275" t="s">
        <v>844</v>
      </c>
      <c r="FM660" s="275" t="s">
        <v>845</v>
      </c>
      <c r="FN660" s="275" t="s">
        <v>846</v>
      </c>
      <c r="FO660" s="283" t="s">
        <v>847</v>
      </c>
      <c r="FQ660" s="275" t="s">
        <v>857</v>
      </c>
      <c r="FT660" s="272" t="s">
        <v>858</v>
      </c>
      <c r="FU660" s="273" t="s">
        <v>859</v>
      </c>
      <c r="FV660" s="273" t="s">
        <v>906</v>
      </c>
      <c r="FW660" s="285" t="s">
        <v>907</v>
      </c>
      <c r="FY660" s="272" t="s">
        <v>48</v>
      </c>
      <c r="FZ660" s="273" t="s">
        <v>80</v>
      </c>
      <c r="GA660" s="285" t="s">
        <v>20</v>
      </c>
      <c r="GC660" s="272" t="s">
        <v>48</v>
      </c>
      <c r="GD660" s="273" t="s">
        <v>80</v>
      </c>
      <c r="GE660" s="285" t="s">
        <v>20</v>
      </c>
      <c r="GG660" s="272" t="s">
        <v>48</v>
      </c>
      <c r="GH660" s="273" t="s">
        <v>80</v>
      </c>
      <c r="GI660" s="285" t="s">
        <v>20</v>
      </c>
      <c r="GK660" s="272" t="s">
        <v>48</v>
      </c>
      <c r="GL660" s="273" t="s">
        <v>826</v>
      </c>
      <c r="GM660" s="273" t="s">
        <v>827</v>
      </c>
      <c r="GN660" s="285" t="s">
        <v>828</v>
      </c>
      <c r="GP660" s="272" t="s">
        <v>48</v>
      </c>
      <c r="GQ660" s="273" t="s">
        <v>80</v>
      </c>
      <c r="GR660" s="285" t="s">
        <v>20</v>
      </c>
      <c r="GT660" s="272" t="s">
        <v>48</v>
      </c>
      <c r="GU660" s="273" t="s">
        <v>80</v>
      </c>
      <c r="GV660" s="285" t="s">
        <v>20</v>
      </c>
      <c r="GX660" s="272" t="s">
        <v>48</v>
      </c>
      <c r="GY660" s="273" t="s">
        <v>80</v>
      </c>
      <c r="GZ660" s="285" t="s">
        <v>20</v>
      </c>
    </row>
    <row r="661" spans="1:208" s="30" customFormat="1" x14ac:dyDescent="0.25">
      <c r="A661" s="379">
        <v>0</v>
      </c>
      <c r="B661" s="30">
        <f>VLOOKUP($A661,'Childhood mortality'!$A$12:$G$27,4)</f>
        <v>0</v>
      </c>
      <c r="C661" s="30">
        <f>$D555</f>
        <v>0.27</v>
      </c>
      <c r="D661" s="30">
        <f>$C555</f>
        <v>2.7550000000000003E-4</v>
      </c>
      <c r="E661" s="30">
        <f>1-B661-C661-D661</f>
        <v>0.7297245</v>
      </c>
      <c r="F661" s="30">
        <f>VLOOKUP($A661,'Childhood mortality'!$A$12:$G$27,4)</f>
        <v>0</v>
      </c>
      <c r="G661" s="30">
        <f>$D555</f>
        <v>0.27</v>
      </c>
      <c r="H661" s="30">
        <f>$C555</f>
        <v>2.7550000000000003E-4</v>
      </c>
      <c r="I661" s="30">
        <f>1-H661-G661-F661</f>
        <v>0.7297245</v>
      </c>
      <c r="J661" s="30">
        <f>VLOOKUP($A661,'Childhood mortality'!$A$12:$G$27,4)</f>
        <v>0</v>
      </c>
      <c r="K661" s="30">
        <f>$G555</f>
        <v>0.14000000000000001</v>
      </c>
      <c r="L661" s="30">
        <f>$F555</f>
        <v>2.7550000000000003E-4</v>
      </c>
      <c r="M661" s="30">
        <f t="shared" ref="M661:M676" si="66">(1-DET_p_exposed_passive_smoking)*(1-L661-K661-J661)</f>
        <v>0.44920605124999996</v>
      </c>
      <c r="N661" s="30">
        <f t="shared" ref="N661:N676" si="67">DET_p_exposed_passive_smoking*(1-L661-K661-J661)</f>
        <v>0.41051844874999999</v>
      </c>
      <c r="O661" s="30">
        <f>VLOOKUP($A661,'Childhood mortality'!$A$12:$G$27,4)</f>
        <v>0</v>
      </c>
      <c r="P661" s="30">
        <f>$K555</f>
        <v>0.5714285714285714</v>
      </c>
      <c r="Q661" s="30">
        <f>$I555</f>
        <v>2.7550000000000003E-4</v>
      </c>
      <c r="R661" s="30">
        <f t="shared" ref="R661:R676" si="68">(1-DET_p_exposed_passive_smoking)*(1-Q661-P661-O661)</f>
        <v>0.22378462267857144</v>
      </c>
      <c r="S661" s="30">
        <f t="shared" ref="S661:S676" si="69">DET_p_exposed_passive_smoking*(1-Q661-P661-O661)</f>
        <v>0.20451130589285715</v>
      </c>
      <c r="T661" s="30">
        <f>VLOOKUP($A661,'Childhood mortality'!$A$12:$G$27,4)</f>
        <v>0</v>
      </c>
      <c r="U661" s="30">
        <f>1-T661-V661-W661-X661</f>
        <v>0.99109833312116691</v>
      </c>
      <c r="V661" s="30">
        <f>$L555</f>
        <v>2.7550000000000003E-4</v>
      </c>
      <c r="W661" s="30">
        <f t="shared" ref="W661:W676" si="70">(1-DET_p_exposed_passive_smoking)*$M555</f>
        <v>4.5071721941902995E-3</v>
      </c>
      <c r="X661" s="30">
        <f t="shared" ref="X661:X676" si="71">(DET_p_exposed_passive_smoking)*$M555</f>
        <v>4.1189946846428094E-3</v>
      </c>
      <c r="Y661" s="30">
        <f>VLOOKUP($A661,'Childhood mortality'!$A$12:$G$27,4)</f>
        <v>0</v>
      </c>
      <c r="Z661" s="30">
        <f>1-Y661</f>
        <v>1</v>
      </c>
      <c r="AB661" s="300"/>
      <c r="AC661" s="301"/>
      <c r="AD661" s="301">
        <f>DET_p_MALE*(AX39+AX71+AX103+AX135+AX167+AX199+AX231+AX263)</f>
        <v>1.4758837253233972</v>
      </c>
      <c r="AE661" s="301"/>
      <c r="AF661" s="301"/>
      <c r="AG661" s="301">
        <f>DET_p_MALE*(AX23+AX55+AX87+AX119+AX151+AX183+AX215+AX247)</f>
        <v>1.0489796234032727E-4</v>
      </c>
      <c r="AH661" s="302">
        <f>DET_p_MALE*(AX20+AX36+AX52+AX68+AX84+AX100+AX116+AX132+AX148+AX164+AX180+AX196+AX212+AX228+AX244+AX260)</f>
        <v>6.5495804684343975E-2</v>
      </c>
      <c r="AI661" s="301"/>
      <c r="AJ661" s="300">
        <f>DET_p_MALE*DET_p_exposed_passive_smoking*(AX311+AX343+AX375+AX407+AX439+AX471+AX503+AX535)</f>
        <v>24.806736526699524</v>
      </c>
      <c r="AK661" s="301">
        <f>DET_p_MALE*(1-DET_p_exposed_passive_smoking)*(AX311+AX343+AX375+AX407+AX439+AX471+AX503+AX535)</f>
        <v>27.144544157487957</v>
      </c>
      <c r="AL661" s="301"/>
      <c r="AM661" s="301"/>
      <c r="AN661" s="301"/>
      <c r="AO661" s="301">
        <f>DET_p_MALE*(AX295+AX327+AX359+AX391+AX423+AX455+AX487+AX519)</f>
        <v>3.6327888427831038E-3</v>
      </c>
      <c r="AP661" s="302">
        <f>DET_p_MALE*(AX292+AX308+AX324+AX340+AX356+AX372+AX388+AX404+AX420+AX436+AX452+AX468+AX484+AX500+AX516+AX532)</f>
        <v>3.0908849220984735</v>
      </c>
      <c r="AR661" s="30">
        <v>0</v>
      </c>
      <c r="AS661" s="30">
        <f>VLOOKUP($A661,'Childhood mortality'!$A$12:$G$27,3)</f>
        <v>0</v>
      </c>
      <c r="AT661" s="30">
        <f>$D555</f>
        <v>0.27</v>
      </c>
      <c r="AU661" s="30">
        <f>$C555</f>
        <v>2.7550000000000003E-4</v>
      </c>
      <c r="AV661" s="30">
        <f>1-AS661-AT661-AU661</f>
        <v>0.7297245</v>
      </c>
      <c r="AW661" s="30">
        <f>VLOOKUP($A661,'Childhood mortality'!$A$12:$G$27,3)</f>
        <v>0</v>
      </c>
      <c r="AX661" s="30">
        <f>$D555</f>
        <v>0.27</v>
      </c>
      <c r="AY661" s="30">
        <f>$C555</f>
        <v>2.7550000000000003E-4</v>
      </c>
      <c r="AZ661" s="30">
        <f>1-AY661-AX661-AW661</f>
        <v>0.7297245</v>
      </c>
      <c r="BA661" s="30">
        <f>VLOOKUP($A661,'Childhood mortality'!$A$12:$G$27,3)</f>
        <v>0</v>
      </c>
      <c r="BB661" s="30">
        <f>$G555</f>
        <v>0.14000000000000001</v>
      </c>
      <c r="BC661" s="30">
        <f>$F555</f>
        <v>2.7550000000000003E-4</v>
      </c>
      <c r="BD661" s="30">
        <f>(1-DET_p_exposed_passive_smoking)*(1-BC661-BB661-BA661)</f>
        <v>0.44920605124999996</v>
      </c>
      <c r="BE661" s="30">
        <f>DET_p_exposed_passive_smoking*(1-BC661-BB661-BA661)</f>
        <v>0.41051844874999999</v>
      </c>
      <c r="BF661" s="30">
        <f>VLOOKUP($A661,'Childhood mortality'!$A$12:$G$27,3)</f>
        <v>0</v>
      </c>
      <c r="BG661" s="30">
        <f>$K555</f>
        <v>0.5714285714285714</v>
      </c>
      <c r="BH661" s="30">
        <f>$I555</f>
        <v>2.7550000000000003E-4</v>
      </c>
      <c r="BI661" s="30">
        <f>(1-DET_p_exposed_passive_smoking)*(1-BH661-BG661-BF661)</f>
        <v>0.22378462267857144</v>
      </c>
      <c r="BJ661" s="30">
        <f>DET_p_exposed_passive_smoking*(1-BH661-BG661-BF661)</f>
        <v>0.20451130589285715</v>
      </c>
      <c r="BK661" s="30">
        <f>VLOOKUP($A661,'Childhood mortality'!$A$12:$G$27,3)</f>
        <v>0</v>
      </c>
      <c r="BL661" s="30">
        <f>1-BK661-BM661-BN661-BO661</f>
        <v>0.99109833312116691</v>
      </c>
      <c r="BM661" s="30">
        <f>$L555</f>
        <v>2.7550000000000003E-4</v>
      </c>
      <c r="BN661" s="30">
        <f t="shared" ref="BN661:BN676" si="72">(1-DET_p_exposed_passive_smoking)*$M555</f>
        <v>4.5071721941902995E-3</v>
      </c>
      <c r="BO661" s="30">
        <f t="shared" ref="BO661:BO676" si="73">(DET_p_exposed_passive_smoking)*$M555</f>
        <v>4.1189946846428094E-3</v>
      </c>
      <c r="BP661" s="30">
        <f>VLOOKUP($A661,'Childhood mortality'!$A$12:$G$27,3)</f>
        <v>0</v>
      </c>
      <c r="BQ661" s="30">
        <f>1-BP661</f>
        <v>1</v>
      </c>
      <c r="BS661" s="284"/>
      <c r="BT661" s="31"/>
      <c r="BU661" s="31">
        <f>DET_p_MALE*(AX47+AX79+AX111+AX143+AX175+AX207+AX239+AX271)</f>
        <v>23.052158303985983</v>
      </c>
      <c r="BV661" s="31"/>
      <c r="BW661" s="31"/>
      <c r="BX661" s="31">
        <f>DET_p_MALE*(AX31+AX63+AX95+AX127+AX159+AX191+AX223+AX255)</f>
        <v>1.4852943564519683E-3</v>
      </c>
      <c r="BY661" s="286">
        <f>DET_p_MALE*(AX4+AX12+AX28+AX44+AX60+AX76+AX92+AX108+AX124+AX140+AX156+AX172+AX188+AX204+AX220+AX236+AX252+AX268)</f>
        <v>4.1438361821577313E-2</v>
      </c>
      <c r="BZ661" s="31"/>
      <c r="CA661" s="284">
        <f>DET_p_MALE*DET_p_exposed_passive_smoking*(AX319+AX351+AX383+AX415+AX447+AX479+AX511+AX543)</f>
        <v>181.41761808604983</v>
      </c>
      <c r="CB661" s="31">
        <f>DET_p_MALE*(1-DET_p_exposed_passive_smoking)*(AX319+AX351+AX383+AX415+AX447+AX479+AX511+AX543)</f>
        <v>198.51456638735291</v>
      </c>
      <c r="CC661" s="31"/>
      <c r="CD661" s="31"/>
      <c r="CE661" s="31"/>
      <c r="CF661" s="31">
        <f>DET_p_MALE*(AX303+AX335+AX367+AX399+AX431+AX463+AX495+AX527)</f>
        <v>2.4017456711079601E-2</v>
      </c>
      <c r="CG661" s="286">
        <f>DET_p_MALE*(AX276+AX279+AX284+AX287+AX7+AX15+AX300+AX316+AX332+AX348+AX364+AX380+AX396+AX412+AX428+AX444+AX460+AX476+AX492+AX508+AX524+AX540)</f>
        <v>50.36143328662331</v>
      </c>
      <c r="CI661" s="30">
        <v>0</v>
      </c>
      <c r="CJ661" s="30">
        <f>VLOOKUP($A661,'Childhood mortality'!$A$31:$G$46,4)</f>
        <v>0</v>
      </c>
      <c r="CK661" s="30">
        <f>$D555</f>
        <v>0.27</v>
      </c>
      <c r="CL661" s="30">
        <f>$C555</f>
        <v>2.7550000000000003E-4</v>
      </c>
      <c r="CM661" s="30">
        <f>1-CJ661-CK661-CL661</f>
        <v>0.7297245</v>
      </c>
      <c r="CN661" s="30">
        <f>VLOOKUP($A661,'Childhood mortality'!$A$31:$G$46,4)</f>
        <v>0</v>
      </c>
      <c r="CO661" s="30">
        <f>$D555</f>
        <v>0.27</v>
      </c>
      <c r="CP661" s="30">
        <f>$C555</f>
        <v>2.7550000000000003E-4</v>
      </c>
      <c r="CQ661" s="30">
        <f>1-CP661-CO661-CN661</f>
        <v>0.7297245</v>
      </c>
      <c r="CR661" s="30">
        <f>VLOOKUP($A661,'Childhood mortality'!$A$31:$G$46,4)</f>
        <v>0</v>
      </c>
      <c r="CS661" s="30">
        <f>$G555</f>
        <v>0.14000000000000001</v>
      </c>
      <c r="CT661" s="30">
        <f>$F555</f>
        <v>2.7550000000000003E-4</v>
      </c>
      <c r="CU661" s="30">
        <f>(1-DET_p_exposed_passive_smoking)*(1-CT661-CS661-CR661)</f>
        <v>0.44920605124999996</v>
      </c>
      <c r="CV661" s="30">
        <f>DET_p_exposed_passive_smoking*(1-CT661-CS661-CR661)</f>
        <v>0.41051844874999999</v>
      </c>
      <c r="CW661" s="30">
        <f>VLOOKUP($A661,'Childhood mortality'!$A$31:$G$46,4)</f>
        <v>0</v>
      </c>
      <c r="CX661" s="30">
        <f>$K555</f>
        <v>0.5714285714285714</v>
      </c>
      <c r="CY661" s="30">
        <f>$I555</f>
        <v>2.7550000000000003E-4</v>
      </c>
      <c r="CZ661" s="30">
        <f>(1-DET_p_exposed_passive_smoking)*(1-CY661-CX661-CW661)</f>
        <v>0.22378462267857144</v>
      </c>
      <c r="DA661" s="30">
        <f>DET_p_exposed_passive_smoking*(1-CY661-CX661-CW661)</f>
        <v>0.20451130589285715</v>
      </c>
      <c r="DB661" s="30">
        <f>VLOOKUP($A661,'Childhood mortality'!$A$31:$G$46,4)</f>
        <v>0</v>
      </c>
      <c r="DC661" s="30">
        <f>1-DB661-DD661-DE661-DF661</f>
        <v>0.99109833312116691</v>
      </c>
      <c r="DD661" s="30">
        <f>$L555</f>
        <v>2.7550000000000003E-4</v>
      </c>
      <c r="DE661" s="30">
        <f t="shared" ref="DE661:DE676" si="74">(1-DET_p_exposed_passive_smoking)*$M555</f>
        <v>4.5071721941902995E-3</v>
      </c>
      <c r="DF661" s="30">
        <f t="shared" ref="DF661:DF676" si="75">(DET_p_exposed_passive_smoking)*$M555</f>
        <v>4.1189946846428094E-3</v>
      </c>
      <c r="DG661" s="30">
        <f>VLOOKUP($A661,'Childhood mortality'!$A$31:$G$46,4)</f>
        <v>0</v>
      </c>
      <c r="DH661" s="30">
        <f>1-DG661</f>
        <v>1</v>
      </c>
      <c r="DJ661" s="284"/>
      <c r="DK661" s="31"/>
      <c r="DL661" s="31">
        <f>(1-DET_p_MALE)*(AX39+AX71+AX103+AX135+AX167+AX199+AX231+AX263)</f>
        <v>1.4180059321734599</v>
      </c>
      <c r="DM661" s="31"/>
      <c r="DN661" s="31"/>
      <c r="DO661" s="31">
        <f>(1-DET_p_MALE)*(AX23+AX55+AX87+AX119+AX151+AX183+AX215+AX247)</f>
        <v>1.0078431675835364E-4</v>
      </c>
      <c r="DP661" s="286">
        <f>(1-DET_p_MALE)*(AX20+AX36+AX52+AX68+AX84+AX100+AX116+AX132+AX148+AX164+AX180+AX196+AX212+AX228+AX244+AX260)</f>
        <v>6.2927341755546165E-2</v>
      </c>
      <c r="DQ661" s="31"/>
      <c r="DR661" s="284">
        <f>(1-DET_p_MALE)*DET_p_exposed_passive_smoking*(AX311+AX343+AX375+AX407+AX439+AX471+AX503+AX535)</f>
        <v>23.833923329574052</v>
      </c>
      <c r="DS661" s="31">
        <f>(1-DET_p_MALE)*(1-DET_p_exposed_passive_smoking)*(AX311+AX343+AX375+AX407+AX439+AX471+AX503+AX535)</f>
        <v>26.080052229743334</v>
      </c>
      <c r="DT661" s="31"/>
      <c r="DU661" s="31"/>
      <c r="DV661" s="31"/>
      <c r="DW661" s="31">
        <f>(1-DET_p_MALE)*(AX295+AX327+AX359+AX391+AX423+AX455+AX487+AX519)</f>
        <v>3.490326535222982E-3</v>
      </c>
      <c r="DX661" s="286">
        <f>(1-DET_p_MALE)*(AX292+AX308+AX324+AX340+AX356+AX372+AX388+AX404+AX420+AX436+AX452+AX468+AX484+AX500+AX516+AX532)</f>
        <v>2.9696737486828471</v>
      </c>
      <c r="DZ661" s="30">
        <v>0</v>
      </c>
      <c r="EA661" s="30">
        <f>VLOOKUP($A661,'Childhood mortality'!$A$31:$G$46,3)</f>
        <v>0</v>
      </c>
      <c r="EB661" s="30">
        <f>$D555</f>
        <v>0.27</v>
      </c>
      <c r="EC661" s="30">
        <f>$C555</f>
        <v>2.7550000000000003E-4</v>
      </c>
      <c r="ED661" s="30">
        <f>1-EA661-EB661-EC661</f>
        <v>0.7297245</v>
      </c>
      <c r="EE661" s="30">
        <f>VLOOKUP($A661,'Childhood mortality'!$A$31:$G$46,3)</f>
        <v>0</v>
      </c>
      <c r="EF661" s="30">
        <f>$D555</f>
        <v>0.27</v>
      </c>
      <c r="EG661" s="30">
        <f>$C555</f>
        <v>2.7550000000000003E-4</v>
      </c>
      <c r="EH661" s="30">
        <f>1-EG661-EF661-EE661</f>
        <v>0.7297245</v>
      </c>
      <c r="EI661" s="30">
        <f>VLOOKUP($A661,'Childhood mortality'!$A$31:$G$46,3)</f>
        <v>0</v>
      </c>
      <c r="EJ661" s="30">
        <f>$G555</f>
        <v>0.14000000000000001</v>
      </c>
      <c r="EK661" s="30">
        <f>$F555</f>
        <v>2.7550000000000003E-4</v>
      </c>
      <c r="EL661" s="30">
        <f>(1-DET_p_exposed_passive_smoking)*(1-EK661-EJ661-EI661)</f>
        <v>0.44920605124999996</v>
      </c>
      <c r="EM661" s="30">
        <f>DET_p_exposed_passive_smoking*(1-EK661-EJ661-EI661)</f>
        <v>0.41051844874999999</v>
      </c>
      <c r="EN661" s="30">
        <f>VLOOKUP($A661,'Childhood mortality'!$A$31:$G$46,3)</f>
        <v>0</v>
      </c>
      <c r="EO661" s="30">
        <f>$K555</f>
        <v>0.5714285714285714</v>
      </c>
      <c r="EP661" s="30">
        <f>$I555</f>
        <v>2.7550000000000003E-4</v>
      </c>
      <c r="EQ661" s="30">
        <f>(1-DET_p_exposed_passive_smoking)*(1-EP661-EO661-EN661)</f>
        <v>0.22378462267857144</v>
      </c>
      <c r="ER661" s="30">
        <f>DET_p_exposed_passive_smoking*(1-EP661-EO661-EN661)</f>
        <v>0.20451130589285715</v>
      </c>
      <c r="ES661" s="30">
        <f>VLOOKUP($A661,'Childhood mortality'!$A$31:$G$46,3)</f>
        <v>0</v>
      </c>
      <c r="ET661" s="30">
        <f>1-ES661-EU661-EV661-EW661</f>
        <v>0.99109833312116691</v>
      </c>
      <c r="EU661" s="30">
        <f>$L555</f>
        <v>2.7550000000000003E-4</v>
      </c>
      <c r="EV661" s="30">
        <f t="shared" ref="EV661:EV676" si="76">(1-DET_p_exposed_passive_smoking)*$M555</f>
        <v>4.5071721941902995E-3</v>
      </c>
      <c r="EW661" s="30">
        <f t="shared" ref="EW661:EW676" si="77">(DET_p_exposed_passive_smoking)*$M555</f>
        <v>4.1189946846428094E-3</v>
      </c>
      <c r="EX661" s="30">
        <f>VLOOKUP($A661,'Childhood mortality'!$A$31:$G$46,3)</f>
        <v>0</v>
      </c>
      <c r="EY661" s="30">
        <f>1-EX661</f>
        <v>1</v>
      </c>
      <c r="FA661" s="284"/>
      <c r="FB661" s="31"/>
      <c r="FC661" s="31">
        <f>(1-DET_p_MALE)*(AX47+AX79+AX111+AX143+AX175+AX207+AX239+AX271)</f>
        <v>22.148152095986532</v>
      </c>
      <c r="FD661" s="31"/>
      <c r="FE661" s="31"/>
      <c r="FF661" s="31">
        <f>(1-DET_p_MALE)*(AX31+AX63+AX95+AX127+AX159+AX191+AX223+AX255)</f>
        <v>1.427047518944048E-3</v>
      </c>
      <c r="FG661" s="286">
        <f>(1-DET_p_MALE)*(AX4+AX7+AX15+AX12+AX28+AX44+AX60+AX76+AX92+AX108+AX124+AX140+AX156+AX172+AX188+AX204+AX220+AX236+AX252+AX268)</f>
        <v>1.8493867982487595</v>
      </c>
      <c r="FH661" s="31"/>
      <c r="FI661" s="284">
        <f>(1-DET_p_MALE)*DET_p_exposed_passive_smoking*(AX319+AX351+AX383+AX415+AX447+AX479+AX511+AX543)</f>
        <v>174.30320169051845</v>
      </c>
      <c r="FJ661" s="31">
        <f>(1-DET_p_MALE)*(1-DET_p_exposed_passive_smoking)*(AX319+AX351+AX383+AX415+AX447+AX479+AX511+AX543)</f>
        <v>190.72968143098618</v>
      </c>
      <c r="FK661" s="31"/>
      <c r="FL661" s="31"/>
      <c r="FM661" s="31"/>
      <c r="FN661" s="31">
        <f>(1-DET_p_MALE)*(AX303+AX335+AX367+AX399+AX431+AX463+AX495+AX527)</f>
        <v>2.3075595663586284E-2</v>
      </c>
      <c r="FO661" s="286">
        <f>(1-DET_p_MALE)*(AX276+AX279+AX284+AX287+AX300+AX316+AX332+AX348+AX364+AX380+AX396+AX412+AX428+AX444+AX460+AX476+AX492+AX508+AX524+AX540)</f>
        <v>46.576901648296328</v>
      </c>
      <c r="FQ661" s="30">
        <f>SUM(AB661:AH661)+SUM(AJ661:AP661)+SUM(BS661:BY661)+SUM(CA661:CG661)+SUM(DJ661:DP661)+SUM(DR661:DX661)+SUM(FA661:FG661)+SUM(FI661:FO661)</f>
        <v>1000</v>
      </c>
      <c r="FR661" s="30" t="str">
        <f t="shared" ref="FR661:FR676" si="78">IF(FQ661=Cohort,"OKAY",IF(FQ661&gt;Cohort,"Too many","Too Few"))</f>
        <v>OKAY</v>
      </c>
      <c r="FT661" s="284">
        <f>SUM(FI661:FN661)+SUM(FA661:FF661)+SUM(DR661:DW661)+SUM(DJ661:DO661)+SUM(CA661:CF661)+SUM(BS661:BX661)+SUM(AJ661:AO661)+SUM(AB661:AG661)</f>
        <v>894.98185808778885</v>
      </c>
      <c r="FU661" s="31"/>
      <c r="FV661" s="31">
        <f>SUM(FT661:FU661)</f>
        <v>894.98185808778885</v>
      </c>
      <c r="FW661" s="286">
        <f>FO661+FG661+DX661+DP661+CG661+BY661+AP661+AH661</f>
        <v>105.01814191221118</v>
      </c>
      <c r="FY661" s="265"/>
      <c r="GA661" s="281"/>
      <c r="GC661" s="265"/>
      <c r="GE661" s="281"/>
      <c r="GG661" s="265"/>
      <c r="GH661" s="303"/>
      <c r="GI661" s="304">
        <f>$BJ$547/((1+Discount_rate_costs)^$A661)</f>
        <v>3271941.1443126341</v>
      </c>
      <c r="GK661" s="265"/>
      <c r="GN661" s="281"/>
      <c r="GP661" s="265"/>
      <c r="GQ661" s="303"/>
      <c r="GR661" s="304">
        <f>$BL$547/((1+Discount_rate_costs)^$A661)</f>
        <v>6373956.8682761732</v>
      </c>
      <c r="GT661" s="265"/>
      <c r="GU661" s="303"/>
      <c r="GV661" s="304">
        <f>$BI$547/((1+Discount_rate_costs)^$A661)</f>
        <v>3268901.1443126337</v>
      </c>
      <c r="GX661" s="265"/>
      <c r="GY661" s="303"/>
      <c r="GZ661" s="304">
        <f>$BL$547/((1+Discount_rate_costs)^$A661)</f>
        <v>6373956.8682761732</v>
      </c>
    </row>
    <row r="662" spans="1:208" s="30" customFormat="1" x14ac:dyDescent="0.25">
      <c r="A662" s="379">
        <v>1</v>
      </c>
      <c r="B662" s="30">
        <f>VLOOKUP($A662,'Childhood mortality'!$A$12:$G$27,4)</f>
        <v>8.1428034230721195E-3</v>
      </c>
      <c r="C662" s="30">
        <f t="shared" ref="C662:C676" si="79">$D556</f>
        <v>0.13</v>
      </c>
      <c r="D662" s="30">
        <f t="shared" ref="D662:D676" si="80">$C556</f>
        <v>2.8499999999999999E-4</v>
      </c>
      <c r="E662" s="30">
        <f t="shared" ref="E662:E676" si="81">1-B662-C662-D662</f>
        <v>0.86157219657692785</v>
      </c>
      <c r="F662" s="30">
        <f>VLOOKUP($A662,'Childhood mortality'!$A$12:$G$27,4)</f>
        <v>8.1428034230721195E-3</v>
      </c>
      <c r="G662" s="30">
        <f t="shared" ref="G662:G676" si="82">$D556</f>
        <v>0.13</v>
      </c>
      <c r="H662" s="30">
        <f t="shared" ref="H662:H676" si="83">$C556</f>
        <v>2.8499999999999999E-4</v>
      </c>
      <c r="I662" s="30">
        <f t="shared" ref="I662:I676" si="84">1-H662-G662-F662</f>
        <v>0.86157219657692785</v>
      </c>
      <c r="J662" s="30">
        <f>VLOOKUP($A662,'Childhood mortality'!$A$12:$G$27,4)</f>
        <v>8.1428034230721195E-3</v>
      </c>
      <c r="K662" s="30">
        <f t="shared" ref="K662:K676" si="85">$G556</f>
        <v>0.53</v>
      </c>
      <c r="L662" s="30">
        <f t="shared" ref="L662:L676" si="86">$F556</f>
        <v>2.8499999999999999E-4</v>
      </c>
      <c r="M662" s="30">
        <f t="shared" si="66"/>
        <v>0.24117147271144479</v>
      </c>
      <c r="N662" s="30">
        <f t="shared" si="67"/>
        <v>0.22040072386548307</v>
      </c>
      <c r="O662" s="30">
        <f>VLOOKUP($A662,'Childhood mortality'!$A$12:$G$27,4)</f>
        <v>8.1428034230721195E-3</v>
      </c>
      <c r="P662" s="30">
        <f t="shared" ref="P662:P676" si="87">$K556</f>
        <v>0.5714285714285714</v>
      </c>
      <c r="Q662" s="30">
        <f t="shared" ref="Q662:Q676" si="88">$I556</f>
        <v>2.8499999999999999E-4</v>
      </c>
      <c r="R662" s="30">
        <f t="shared" si="68"/>
        <v>0.21952504414001625</v>
      </c>
      <c r="S662" s="30">
        <f t="shared" si="69"/>
        <v>0.20061858100834024</v>
      </c>
      <c r="T662" s="30">
        <f>VLOOKUP($A662,'Childhood mortality'!$A$12:$G$27,4)</f>
        <v>8.1428034230721195E-3</v>
      </c>
      <c r="U662" s="30">
        <f t="shared" ref="U662:U676" si="89">1-T662-V662-W662-X662</f>
        <v>0.98294602969809475</v>
      </c>
      <c r="V662" s="30">
        <f t="shared" ref="V662:V676" si="90">$L556</f>
        <v>2.8499999999999999E-4</v>
      </c>
      <c r="W662" s="30">
        <f t="shared" si="70"/>
        <v>4.5071721941902995E-3</v>
      </c>
      <c r="X662" s="30">
        <f t="shared" si="71"/>
        <v>4.1189946846428094E-3</v>
      </c>
      <c r="Y662" s="30">
        <f>VLOOKUP($A662,'Childhood mortality'!$A$12:$G$27,4)</f>
        <v>8.1428034230721195E-3</v>
      </c>
      <c r="Z662" s="30">
        <f t="shared" ref="Z662:Z676" si="91">1-Y662</f>
        <v>0.99185719657692784</v>
      </c>
      <c r="AB662" s="284">
        <f>(AB661*$E662)+(AD661*$N662)+(AE661*$S662)+(AF661*$X662)</f>
        <v>0.3252858414025625</v>
      </c>
      <c r="AC662" s="31">
        <f>(AC661*$I662)+(AD661*$M662)+(AE661*$R662)+(AF661*$W662)</f>
        <v>0.35594105158709716</v>
      </c>
      <c r="AD662" s="31">
        <f>(AB661*$C662)+(AC661*$G662)</f>
        <v>0</v>
      </c>
      <c r="AE662" s="31">
        <f>AD661*$K662</f>
        <v>0.78221837442140052</v>
      </c>
      <c r="AF662" s="31">
        <f>(AF661*$U662)+(AE661*$P662)</f>
        <v>0</v>
      </c>
      <c r="AG662" s="31">
        <f>(AG661*$Z662)+(AB661*$D662)+(AC661*$H662)+(AD661*$L662)+(AE661*$Q662)+(AF661*$V662)</f>
        <v>5.2467066057067734E-4</v>
      </c>
      <c r="AH662" s="286">
        <f>AH661+($B662*AB661)+($F662*AC661)+($J662*AD661)+($O662*AE661)+($T662*AF661)+($Y662*AG661)</f>
        <v>7.7514489898450584E-2</v>
      </c>
      <c r="AI662" s="31"/>
      <c r="AJ662" s="284">
        <f>(AJ661*$E662)+(AL661*$N662)+(AM661*$S662)+(AN661*$X662)</f>
        <v>21.372794479213617</v>
      </c>
      <c r="AK662" s="31">
        <f>(AK661*$I662)+(AL661*$M662)+(AM661*$R662)+(AN661*$W662)</f>
        <v>23.386984534846313</v>
      </c>
      <c r="AL662" s="31">
        <f>(AJ661*$C662)+(AK661*$G662)</f>
        <v>6.753666488944372</v>
      </c>
      <c r="AM662" s="31">
        <f>AL661*$K662</f>
        <v>0</v>
      </c>
      <c r="AN662" s="31">
        <f>(AN661*$U662)+(AM661*$P662)</f>
        <v>0</v>
      </c>
      <c r="AO662" s="31">
        <f>(AO661*$Z662)+(AJ661*$D662)+(AK661*$H662)+(AL661*$L662)+(AM661*$Q662)+(AN661*$V662)</f>
        <v>1.8409322752352221E-2</v>
      </c>
      <c r="AP662" s="286">
        <f>AP661+($B662*AJ661)+($F662*AK661)+($J662*AL661)+($O662*AM661)+($T662*AN661)+($Y662*AO661)</f>
        <v>3.51394356937208</v>
      </c>
      <c r="AR662" s="30">
        <v>1</v>
      </c>
      <c r="AS662" s="30">
        <f>VLOOKUP($A662,'Childhood mortality'!$A$12:$G$27,3)</f>
        <v>4.1203014491343866E-3</v>
      </c>
      <c r="AT662" s="30">
        <f t="shared" ref="AT662:AT676" si="92">$D556</f>
        <v>0.13</v>
      </c>
      <c r="AU662" s="30">
        <f t="shared" ref="AU662:AU676" si="93">$C556</f>
        <v>2.8499999999999999E-4</v>
      </c>
      <c r="AV662" s="30">
        <f t="shared" ref="AV662:AV676" si="94">1-AS662-AT662-AU662</f>
        <v>0.86559469855086568</v>
      </c>
      <c r="AW662" s="30">
        <f>VLOOKUP($A662,'Childhood mortality'!$A$12:$G$27,3)</f>
        <v>4.1203014491343866E-3</v>
      </c>
      <c r="AX662" s="30">
        <f t="shared" ref="AX662:AX676" si="95">$D556</f>
        <v>0.13</v>
      </c>
      <c r="AY662" s="30">
        <f t="shared" ref="AY662:AY676" si="96">$C556</f>
        <v>2.8499999999999999E-4</v>
      </c>
      <c r="AZ662" s="30">
        <f t="shared" ref="AZ662:AZ676" si="97">1-AY662-AX662-AW662</f>
        <v>0.86559469855086568</v>
      </c>
      <c r="BA662" s="30">
        <f>VLOOKUP($A662,'Childhood mortality'!$A$12:$G$27,3)</f>
        <v>4.1203014491343866E-3</v>
      </c>
      <c r="BB662" s="30">
        <f t="shared" ref="BB662:BB676" si="98">$G556</f>
        <v>0.53</v>
      </c>
      <c r="BC662" s="30">
        <f t="shared" ref="BC662:BC676" si="99">$F556</f>
        <v>2.8499999999999999E-4</v>
      </c>
      <c r="BD662" s="30">
        <f t="shared" ref="BD662:BD676" si="100">(1-DET_p_exposed_passive_smoking)*(1-BC662-BB662-BA662)</f>
        <v>0.24327322999282727</v>
      </c>
      <c r="BE662" s="30">
        <f t="shared" ref="BE662:BE676" si="101">DET_p_exposed_passive_smoking*(1-BC662-BB662-BA662)</f>
        <v>0.2223214685580383</v>
      </c>
      <c r="BF662" s="30">
        <f>VLOOKUP($A662,'Childhood mortality'!$A$12:$G$27,3)</f>
        <v>4.1203014491343866E-3</v>
      </c>
      <c r="BG662" s="30">
        <f t="shared" ref="BG662:BG676" si="102">$K556</f>
        <v>0.5714285714285714</v>
      </c>
      <c r="BH662" s="30">
        <f t="shared" ref="BH662:BH676" si="103">$I556</f>
        <v>2.8499999999999999E-4</v>
      </c>
      <c r="BI662" s="30">
        <f t="shared" ref="BI662:BI676" si="104">(1-DET_p_exposed_passive_smoking)*(1-BH662-BG662-BF662)</f>
        <v>0.22162680142139873</v>
      </c>
      <c r="BJ662" s="30">
        <f t="shared" ref="BJ662:BJ676" si="105">DET_p_exposed_passive_smoking*(1-BH662-BG662-BF662)</f>
        <v>0.2025393257008955</v>
      </c>
      <c r="BK662" s="30">
        <f>VLOOKUP($A662,'Childhood mortality'!$A$12:$G$27,3)</f>
        <v>4.1203014491343866E-3</v>
      </c>
      <c r="BL662" s="30">
        <f t="shared" ref="BL662:BL676" si="106">1-BK662-BM662-BN662-BO662</f>
        <v>0.98696853167203258</v>
      </c>
      <c r="BM662" s="30">
        <f t="shared" ref="BM662:BM676" si="107">$L556</f>
        <v>2.8499999999999999E-4</v>
      </c>
      <c r="BN662" s="30">
        <f t="shared" si="72"/>
        <v>4.5071721941902995E-3</v>
      </c>
      <c r="BO662" s="30">
        <f t="shared" si="73"/>
        <v>4.1189946846428094E-3</v>
      </c>
      <c r="BP662" s="30">
        <f>VLOOKUP($A662,'Childhood mortality'!$A$12:$G$27,3)</f>
        <v>4.1203014491343866E-3</v>
      </c>
      <c r="BQ662" s="30">
        <f t="shared" ref="BQ662:BQ676" si="108">1-BP662</f>
        <v>0.99587969855086567</v>
      </c>
      <c r="BS662" s="284">
        <f>(BS661*$AV662)+(BU661*$BE662)+(BV661*$BJ662)+(BW661*$BO662)</f>
        <v>5.1249896875745415</v>
      </c>
      <c r="BT662" s="31">
        <f>(BT661*$AZ662)+(BU661*$BD662)+(BV661*$BI662)+(BW661*$BN662)</f>
        <v>5.6079730089166455</v>
      </c>
      <c r="BU662" s="31">
        <f>(BS661*$AT662)+(BT661*$AX662)</f>
        <v>0</v>
      </c>
      <c r="BV662" s="31">
        <f>BU661*$BB662</f>
        <v>12.217643901112572</v>
      </c>
      <c r="BW662" s="31">
        <f>(BW661*$BL662)+(BV661*$BG662)</f>
        <v>0</v>
      </c>
      <c r="BX662" s="31">
        <f>(BX661*$BQ662)+(BS661*$AU662)+(BT661*$AY662)+(BU661*$BC662)+(BV661*$BH662)+(BW661*$BM662)</f>
        <v>8.0490396125986931E-3</v>
      </c>
      <c r="BY662" s="286">
        <f>BY661+($AS662*BS661)+($AW662*BT661)+($BA662*BU661)+($BF662*BV661)+($BK662*BW661)+($BP662*BX661)</f>
        <v>0.13642632294765533</v>
      </c>
      <c r="BZ662" s="31"/>
      <c r="CA662" s="284">
        <f>(CA661*$AV662)+(CC661*$BE662)+(CD661*$BJ662)+(CE661*$BO662)</f>
        <v>157.03412843901037</v>
      </c>
      <c r="CB662" s="31">
        <f>(CB661*$AZ662)+(CC661*$BD662)+(CD661*$BI662)+(CE661*$BN662)</f>
        <v>171.83315625001657</v>
      </c>
      <c r="CC662" s="31">
        <f>(CA661*$AT662)+(CB661*$AX662)</f>
        <v>49.391183981542355</v>
      </c>
      <c r="CD662" s="31">
        <f>CC661*$BB662</f>
        <v>0</v>
      </c>
      <c r="CE662" s="31">
        <f>(CE661*$BL662)+(CD661*$BG662)</f>
        <v>0</v>
      </c>
      <c r="CF662" s="31">
        <f>(CF661*$BQ662)+(CA661*$AU662)+(CB661*$AY662)+(CC661*$BC662)+(CD661*$BH662)+(CE661*$BM662)</f>
        <v>0.13219917012430821</v>
      </c>
      <c r="CG662" s="286">
        <f>CG661+($AS662*CA661)+($AW662*CB661)+($BA662*CC661)+($BF662*CD661)+($BK662*CE661)+($BP662*CF661)</f>
        <v>51.92696737604355</v>
      </c>
      <c r="CI662" s="30">
        <v>1</v>
      </c>
      <c r="CJ662" s="30">
        <f>VLOOKUP($A662,'Childhood mortality'!$A$31:$G$46,4)</f>
        <v>6.5939186405815269E-3</v>
      </c>
      <c r="CK662" s="30">
        <f t="shared" ref="CK662:CK676" si="109">$D556</f>
        <v>0.13</v>
      </c>
      <c r="CL662" s="30">
        <f t="shared" ref="CL662:CL676" si="110">$C556</f>
        <v>2.8499999999999999E-4</v>
      </c>
      <c r="CM662" s="30">
        <f t="shared" ref="CM662:CM676" si="111">1-CJ662-CK662-CL662</f>
        <v>0.86312108135941845</v>
      </c>
      <c r="CN662" s="30">
        <f>VLOOKUP($A662,'Childhood mortality'!$A$31:$G$46,4)</f>
        <v>6.5939186405815269E-3</v>
      </c>
      <c r="CO662" s="30">
        <f t="shared" ref="CO662:CO676" si="112">$D556</f>
        <v>0.13</v>
      </c>
      <c r="CP662" s="30">
        <f t="shared" ref="CP662:CP676" si="113">$C556</f>
        <v>2.8499999999999999E-4</v>
      </c>
      <c r="CQ662" s="30">
        <f t="shared" ref="CQ662:CQ676" si="114">1-CP662-CO662-CN662</f>
        <v>0.86312108135941845</v>
      </c>
      <c r="CR662" s="30">
        <f>VLOOKUP($A662,'Childhood mortality'!$A$31:$G$46,4)</f>
        <v>6.5939186405815269E-3</v>
      </c>
      <c r="CS662" s="30">
        <f t="shared" ref="CS662:CS676" si="115">$G556</f>
        <v>0.53</v>
      </c>
      <c r="CT662" s="30">
        <f t="shared" ref="CT662:CT676" si="116">$F556</f>
        <v>2.8499999999999999E-4</v>
      </c>
      <c r="CU662" s="30">
        <f t="shared" ref="CU662:CU676" si="117">(1-DET_p_exposed_passive_smoking)*(1-CT662-CS662-CR662)</f>
        <v>0.24198076501029614</v>
      </c>
      <c r="CV662" s="30">
        <f t="shared" ref="CV662:CV676" si="118">DET_p_exposed_passive_smoking*(1-CT662-CS662-CR662)</f>
        <v>0.22114031634912232</v>
      </c>
      <c r="CW662" s="30">
        <f>VLOOKUP($A662,'Childhood mortality'!$A$31:$G$46,4)</f>
        <v>6.5939186405815269E-3</v>
      </c>
      <c r="CX662" s="30">
        <f t="shared" ref="CX662:CX676" si="119">$K556</f>
        <v>0.5714285714285714</v>
      </c>
      <c r="CY662" s="30">
        <f t="shared" ref="CY662:CY676" si="120">$I556</f>
        <v>2.8499999999999999E-4</v>
      </c>
      <c r="CZ662" s="30">
        <f t="shared" ref="CZ662:CZ676" si="121">(1-DET_p_exposed_passive_smoking)*(1-CY662-CX662-CW662)</f>
        <v>0.2203343364388676</v>
      </c>
      <c r="DA662" s="30">
        <f t="shared" ref="DA662:DA676" si="122">DET_p_exposed_passive_smoking*(1-CY662-CX662-CW662)</f>
        <v>0.20135817349197949</v>
      </c>
      <c r="DB662" s="30">
        <f>VLOOKUP($A662,'Childhood mortality'!$A$31:$G$46,4)</f>
        <v>6.5939186405815269E-3</v>
      </c>
      <c r="DC662" s="30">
        <f t="shared" ref="DC662:DC676" si="123">1-DB662-DD662-DE662-DF662</f>
        <v>0.98449491448058535</v>
      </c>
      <c r="DD662" s="30">
        <f t="shared" ref="DD662:DD676" si="124">$L556</f>
        <v>2.8499999999999999E-4</v>
      </c>
      <c r="DE662" s="30">
        <f t="shared" si="74"/>
        <v>4.5071721941902995E-3</v>
      </c>
      <c r="DF662" s="30">
        <f t="shared" si="75"/>
        <v>4.1189946846428094E-3</v>
      </c>
      <c r="DG662" s="30">
        <f>VLOOKUP($A662,'Childhood mortality'!$A$31:$G$46,4)</f>
        <v>6.5939186405815269E-3</v>
      </c>
      <c r="DH662" s="30">
        <f t="shared" ref="DH662:DH676" si="125">1-DG662</f>
        <v>0.99340608135941844</v>
      </c>
      <c r="DJ662" s="284">
        <f>(DJ661*$CM662)+(DL661*$CV662)+(DM661*$DA662)+(DN661*$DF662)</f>
        <v>0.31357828042577102</v>
      </c>
      <c r="DK662" s="31">
        <f>(DK661*$CQ662)+(DL661*$CU662)+(DM661*$CZ662)+(DN661*$DE662)</f>
        <v>0.34313016025647192</v>
      </c>
      <c r="DL662" s="31">
        <f>(DJ661*$CK662)+(DK661*$CO662)</f>
        <v>0</v>
      </c>
      <c r="DM662" s="31">
        <f>DL661*$CS662</f>
        <v>0.75154314405193379</v>
      </c>
      <c r="DN662" s="31">
        <f>(DN661*$DC662)+(DM661*$CX662)</f>
        <v>0</v>
      </c>
      <c r="DO662" s="31">
        <f>(DO661*$DH662)+(DJ661*$CL662)+(DK661*$CP662)+(DL661*$CT662)+(DM661*$CY662)+(DN661*$DD662)</f>
        <v>5.0425144384283851E-4</v>
      </c>
      <c r="DP662" s="286">
        <f>DP661+($CJ662*DJ661)+($CN662*DK661)+($CR662*DL661)+($CW662*DM661)+($DB662*DN661)+($DG662*DO661)</f>
        <v>7.2278222067744882E-2</v>
      </c>
      <c r="DQ662" s="31"/>
      <c r="DR662" s="284">
        <f>(DR661*$CM662)+(DT661*$CV662)+(DU661*$DA662)+(DV661*$DF662)</f>
        <v>20.571561677259428</v>
      </c>
      <c r="DS662" s="31">
        <f>(DS661*$CQ662)+(DT661*$CU662)+(DU661*$CZ662)+(DV661*$DE662)</f>
        <v>22.510242882446178</v>
      </c>
      <c r="DT662" s="31">
        <f>(DR661*$CK662)+(DS661*$CO662)</f>
        <v>6.4888168227112608</v>
      </c>
      <c r="DU662" s="31">
        <f>DT661*$CS662</f>
        <v>0</v>
      </c>
      <c r="DV662" s="31">
        <f>(DV661*$DC662)+(DU661*$CX662)</f>
        <v>0</v>
      </c>
      <c r="DW662" s="31">
        <f>(DW661*$DH662)+(DR661*$CL662)+(DS661*$CP662)+(DT661*$CT662)+(DU661*$CY662)+(DV661*$DD662)</f>
        <v>1.7692794640426113E-2</v>
      </c>
      <c r="DX662" s="286">
        <f>DX661+($CJ662*DR661)+($CN662*DS661)+($CR662*DT661)+($CW662*DU661)+($DB662*DV661)+($DG662*DW661)</f>
        <v>3.2988254574781632</v>
      </c>
      <c r="DZ662" s="30">
        <v>1</v>
      </c>
      <c r="EA662" s="30">
        <f>VLOOKUP($A662,'Childhood mortality'!$A$31:$G$46,3)</f>
        <v>3.3365575857180656E-3</v>
      </c>
      <c r="EB662" s="30">
        <f t="shared" ref="EB662:EB676" si="126">$D556</f>
        <v>0.13</v>
      </c>
      <c r="EC662" s="30">
        <f t="shared" ref="EC662:EC676" si="127">$C556</f>
        <v>2.8499999999999999E-4</v>
      </c>
      <c r="ED662" s="30">
        <f t="shared" ref="ED662:ED676" si="128">1-EA662-EB662-EC662</f>
        <v>0.86637844241428197</v>
      </c>
      <c r="EE662" s="30">
        <f>VLOOKUP($A662,'Childhood mortality'!$A$31:$G$46,3)</f>
        <v>3.3365575857180656E-3</v>
      </c>
      <c r="EF662" s="30">
        <f t="shared" ref="EF662:EF676" si="129">$D556</f>
        <v>0.13</v>
      </c>
      <c r="EG662" s="30">
        <f t="shared" ref="EG662:EG676" si="130">$C556</f>
        <v>2.8499999999999999E-4</v>
      </c>
      <c r="EH662" s="30">
        <f t="shared" ref="EH662:EH676" si="131">1-EG662-EF662-EE662</f>
        <v>0.86637844241428197</v>
      </c>
      <c r="EI662" s="30">
        <f>VLOOKUP($A662,'Childhood mortality'!$A$31:$G$46,3)</f>
        <v>3.3365575857180656E-3</v>
      </c>
      <c r="EJ662" s="30">
        <f t="shared" ref="EJ662:EJ676" si="132">$G556</f>
        <v>0.53</v>
      </c>
      <c r="EK662" s="30">
        <f t="shared" ref="EK662:EK676" si="133">$F556</f>
        <v>2.8499999999999999E-4</v>
      </c>
      <c r="EL662" s="30">
        <f t="shared" ref="EL662:EL676" si="134">(1-DET_p_exposed_passive_smoking)*(1-EK662-EJ662-EI662)</f>
        <v>0.2436827361614623</v>
      </c>
      <c r="EM662" s="30">
        <f t="shared" ref="EM662:EM676" si="135">DET_p_exposed_passive_smoking*(1-EK662-EJ662-EI662)</f>
        <v>0.22269570625281962</v>
      </c>
      <c r="EN662" s="30">
        <f>VLOOKUP($A662,'Childhood mortality'!$A$31:$G$46,3)</f>
        <v>3.3365575857180656E-3</v>
      </c>
      <c r="EO662" s="30">
        <f t="shared" ref="EO662:EO676" si="136">$K556</f>
        <v>0.5714285714285714</v>
      </c>
      <c r="EP662" s="30">
        <f t="shared" ref="EP662:EP676" si="137">$I556</f>
        <v>2.8499999999999999E-4</v>
      </c>
      <c r="EQ662" s="30">
        <f t="shared" ref="EQ662:EQ676" si="138">(1-DET_p_exposed_passive_smoking)*(1-EP662-EO662-EN662)</f>
        <v>0.22203630759003376</v>
      </c>
      <c r="ER662" s="30">
        <f t="shared" ref="ER662:ER676" si="139">DET_p_exposed_passive_smoking*(1-EP662-EO662-EN662)</f>
        <v>0.20291356339567679</v>
      </c>
      <c r="ES662" s="30">
        <f>VLOOKUP($A662,'Childhood mortality'!$A$31:$G$46,3)</f>
        <v>3.3365575857180656E-3</v>
      </c>
      <c r="ET662" s="30">
        <f t="shared" ref="ET662:ET676" si="140">1-ES662-EU662-EV662-EW662</f>
        <v>0.98775227553544886</v>
      </c>
      <c r="EU662" s="30">
        <f t="shared" ref="EU662:EU676" si="141">$L556</f>
        <v>2.8499999999999999E-4</v>
      </c>
      <c r="EV662" s="30">
        <f t="shared" si="76"/>
        <v>4.5071721941902995E-3</v>
      </c>
      <c r="EW662" s="30">
        <f t="shared" si="77"/>
        <v>4.1189946846428094E-3</v>
      </c>
      <c r="EX662" s="30">
        <f>VLOOKUP($A662,'Childhood mortality'!$A$31:$G$46,3)</f>
        <v>3.3365575857180656E-3</v>
      </c>
      <c r="EY662" s="30">
        <f t="shared" ref="EY662:EY676" si="142">1-EX662</f>
        <v>0.99666344241428195</v>
      </c>
      <c r="FA662" s="284">
        <f>(FA661*$ED662)+(FC661*$EM662)+(FD661*$ER662)+(FE661*$EW662)</f>
        <v>4.9322983732105881</v>
      </c>
      <c r="FB662" s="31">
        <f>(FB661*$EH662)+(FC661*$EL662)+(FD661*$EQ662)+(FE661*$EV662)</f>
        <v>5.3971223036702245</v>
      </c>
      <c r="FC662" s="31">
        <f>(FA661*$EB662)+(FB661*$EF662)</f>
        <v>0</v>
      </c>
      <c r="FD662" s="31">
        <f>FC661*$EJ662</f>
        <v>11.738520610872863</v>
      </c>
      <c r="FE662" s="31">
        <f>(FE661*$ET662)+(FD661*$EO662)</f>
        <v>0</v>
      </c>
      <c r="FF662" s="31">
        <f>(FF661*$EY662)+(FA661*$EC662)+(FB661*$EG662)+(FC661*$EK662)+(FD661*$EP662)+(FE661*$EU662)</f>
        <v>7.7345094400756969E-3</v>
      </c>
      <c r="FG662" s="286">
        <f>FG661+($EA662*FA661)+($EE662*FB661)+($EI662*FC661)+($EN662*FD661)+($ES662*FE661)+($EX662*FF661)</f>
        <v>1.9232901445604853</v>
      </c>
      <c r="FH662" s="31"/>
      <c r="FI662" s="284">
        <f>(FI661*$ED662)+(FK661*$EM662)+(FL661*$ER662)+(FM661*$EW662)</f>
        <v>151.01253638845381</v>
      </c>
      <c r="FJ662" s="31">
        <f>(FJ661*$EH662)+(FK661*$EL662)+(FL661*$EQ662)+(FM661*$EV662)</f>
        <v>165.24408432035</v>
      </c>
      <c r="FK662" s="31">
        <f>(FI661*$EB662)+(FJ661*$EF662)</f>
        <v>47.454274805795606</v>
      </c>
      <c r="FL662" s="31">
        <f>FK661*$EJ662</f>
        <v>0</v>
      </c>
      <c r="FM662" s="31">
        <f>(FM661*$ET662)+(FL661*$EO662)</f>
        <v>0</v>
      </c>
      <c r="FN662" s="31">
        <f>(FN661*$EY662)+(FI661*$EC662)+(FJ661*$EG662)+(FK661*$EK662)+(FL661*$EP662)+(FM661*$EU662)</f>
        <v>0.12703297429945881</v>
      </c>
      <c r="FO662" s="286">
        <f>FO661+($EA662*FI661)+($EE662*FJ661)+($EI662*FK661)+($EN662*FL661)+($ES662*FM661)+($EX662*FN661)</f>
        <v>47.79493187656567</v>
      </c>
      <c r="FQ662" s="30">
        <f t="shared" ref="FQ662:FQ676" si="143">SUM(AB662:AH662)+SUM(AJ662:AP662)+SUM(BS662:BY662)+SUM(CA662:CG662)+SUM(DJ662:DP662)+SUM(DR662:DX662)+SUM(FA662:FG662)+SUM(FI662:FO662)</f>
        <v>1000</v>
      </c>
      <c r="FR662" s="30" t="str">
        <f t="shared" si="78"/>
        <v>OKAY</v>
      </c>
      <c r="FT662" s="284">
        <f>($AB662-(VLOOKUP($A662,'Childhood asthma'!$A$36:$AG$50,7)*$AB662))+(SUM($AC662:$AG662)-(VLOOKUP($A662,'Childhood asthma'!$A$36:$AG$50,6)*SUM($AC662:$AG662)))+($AJ662-(VLOOKUP($A662,'Childhood asthma'!$A$36:$AG$50,9)*$AJ662))+(SUM($AK662:$AO662)-(VLOOKUP($A662,'Childhood asthma'!$A$36:$AG$50,8)*SUM($AK662:$AO662)))+($BS662-(VLOOKUP($A662,'Childhood asthma'!$A$36:$AG$50,3)*$BS662))+(SUM($BT662:$BX662)-(VLOOKUP($A662,'Childhood asthma'!$A$36:$AG$50,2)*SUM($BT662:$BX662)))+($CA662-(VLOOKUP($A662,'Childhood asthma'!$A$36:$AG$50,5)*$CA662))+(SUM($CB662:$CF662)-(VLOOKUP($A662,'Childhood asthma'!$A$36:$AG$50,4)*SUM($CB662:$CF662)))+($DJ662-(VLOOKUP($A662,'Childhood asthma'!$A$36:$AG$50,23)*$DJ662))+(SUM($DK662:$DO662)-(VLOOKUP($A662,'Childhood asthma'!$A$36:$AG$50,22)*SUM($DK662:$DO662)))+($DR662-(VLOOKUP($A662,'Childhood asthma'!$A$36:$AG$50,25)*$DR662))+(SUM($DS662:$DW662)-(VLOOKUP($A662,'Childhood asthma'!$A$36:$AG$50,24)*SUM($DS662:$DW662)))+($FA662-(VLOOKUP($A662,'Childhood asthma'!$A$36:$AG$50,19)*$FA662))+(SUM($FB662:$FF662)-(VLOOKUP($A662,'Childhood asthma'!$A$36:$AG$50,18)*SUM($FB662:$FF662)))+($FI662-(VLOOKUP($A662,'Childhood asthma'!$A$36:$AG$50,21)*$FI662))+(SUM($FJ662:$FN662)-(VLOOKUP($A662,'Childhood asthma'!$A$36:$AG$50,20)*SUM($FJ662:$FN662)))</f>
        <v>852.75230096338396</v>
      </c>
      <c r="FU662" s="31">
        <f>(VLOOKUP($A662,'Childhood asthma'!$A$36:$AG$50,7)*$AB662)+(VLOOKUP($A662,'Childhood asthma'!$A$36:$AG$50,6)*SUM($AC662:$AG662))+(VLOOKUP($A662,'Childhood asthma'!$A$36:$AG$50,9)*$AJ662)+(VLOOKUP($A662,'Childhood asthma'!$A$36:$AG$50,8)*SUM($AK662:$AO662))+(VLOOKUP($A662,'Childhood asthma'!$A$36:$AG$50,3)*$BS662)+(VLOOKUP($A662,'Childhood asthma'!$A$36:$AG$50,2)*SUM($BT662:$BX662))+(VLOOKUP($A662,'Childhood asthma'!$A$36:$AG$50,5)*$CA662)+(VLOOKUP($A662,'Childhood asthma'!$A$36:$AG$50,4)*SUM($CB662:$CF662))+(VLOOKUP($A662,'Childhood asthma'!$A$36:$AG$50,23)*$DJ662)+(VLOOKUP($A662,'Childhood asthma'!$A$36:$AG$50,22)*SUM($DK662:$DO662))+(VLOOKUP($A662,'Childhood asthma'!$A$36:$AG$50,25)*$DR662)+(VLOOKUP($A662,'Childhood asthma'!$A$36:$AG$50,24)*SUM($DS662:$DW662))+(VLOOKUP($A662,'Childhood asthma'!$A$36:$AG$50,19)*$FA662)+(VLOOKUP($A662,'Childhood asthma'!$A$36:$AG$50,18)*SUM($FB662:$FF662))+(VLOOKUP($A662,'Childhood asthma'!$A$36:$AG$50,21)*$FI662)+(VLOOKUP($A662,'Childhood asthma'!$A$36:$AG$50,20)*SUM($FJ662:$FN662))</f>
        <v>38.503521577682164</v>
      </c>
      <c r="FV662" s="31">
        <f>SUM(FT662:FU662)</f>
        <v>891.2558225410661</v>
      </c>
      <c r="FW662" s="286">
        <f>FO662+FG662+DX662+DP662+CG662+BY662+AP662+AH662</f>
        <v>108.74417745893379</v>
      </c>
      <c r="FY662" s="265">
        <v>1</v>
      </c>
      <c r="FZ662" s="30">
        <f>FV662/((1+Discount_rate_QALYs)^$A662)</f>
        <v>861.11673675465329</v>
      </c>
      <c r="GA662" s="281">
        <f>FZ662+GA661</f>
        <v>861.11673675465329</v>
      </c>
      <c r="GC662" s="265">
        <v>1</v>
      </c>
      <c r="GD662" s="30">
        <f t="shared" ref="GD662:GD676" si="144">((DET_util_nm*$FT662)+(DET_util_asthma*$FU662))/((1+Discount_rate_QALYs)^$A662)</f>
        <v>857.39658974231691</v>
      </c>
      <c r="GE662" s="281">
        <f>GD662+GE661</f>
        <v>857.39658974231691</v>
      </c>
      <c r="GG662" s="265">
        <v>1</v>
      </c>
      <c r="GH662" s="303">
        <f>((DET_cost_asthma*$FU662)+(DET_COST_death*($FW662-$FW661)))/((1+Discount_rate_costs)^$A662)</f>
        <v>66286.854944271894</v>
      </c>
      <c r="GI662" s="304">
        <f>GH662+GI661</f>
        <v>3338227.9992569061</v>
      </c>
      <c r="GK662" s="265">
        <v>1</v>
      </c>
      <c r="GL662" s="287">
        <f t="shared" ref="GL662:GM676" si="145">FV662/Cohort</f>
        <v>0.89125582254106606</v>
      </c>
      <c r="GM662" s="287">
        <f t="shared" si="145"/>
        <v>0.10874417745893379</v>
      </c>
      <c r="GN662" s="288">
        <f t="shared" ref="GN662:GN676" si="146">FU662/Cohort</f>
        <v>3.8503521577682165E-2</v>
      </c>
      <c r="GP662" s="265">
        <v>1</v>
      </c>
      <c r="GQ662" s="303">
        <f>((DET_cost_asthma*$FU662)+(DET_COST_death*($FW662-$FW661)))/((1+Discount_rate_costs)^$A662)</f>
        <v>66286.854944271894</v>
      </c>
      <c r="GR662" s="304">
        <f>GQ662+GR661</f>
        <v>6440243.7232204452</v>
      </c>
      <c r="GT662" s="265">
        <v>1</v>
      </c>
      <c r="GU662" s="303">
        <f>((DET_cost_asthma*$FU662)+(DET_COST_death*($FW662-$FW661)))/((1+Discount_rate_costs)^$A662)</f>
        <v>66286.854944271894</v>
      </c>
      <c r="GV662" s="304">
        <f>GU662+GV661</f>
        <v>3335187.9992569056</v>
      </c>
      <c r="GX662" s="265">
        <v>1</v>
      </c>
      <c r="GY662" s="303">
        <f>((DET_cost_asthma*$FU662)+(DET_COST_death*($FW662-$FW661)))/((1+Discount_rate_costs)^$A662)</f>
        <v>66286.854944271894</v>
      </c>
      <c r="GZ662" s="304">
        <f>GY662+GZ661</f>
        <v>6440243.7232204452</v>
      </c>
    </row>
    <row r="663" spans="1:208" s="30" customFormat="1" x14ac:dyDescent="0.25">
      <c r="A663" s="379">
        <v>2</v>
      </c>
      <c r="B663" s="30">
        <f>VLOOKUP($A663,'Childhood mortality'!$A$12:$G$27,4)</f>
        <v>7.4696158241091928E-4</v>
      </c>
      <c r="C663" s="30">
        <f t="shared" si="79"/>
        <v>0.27</v>
      </c>
      <c r="D663" s="30">
        <f t="shared" si="80"/>
        <v>3.077E-4</v>
      </c>
      <c r="E663" s="30">
        <f t="shared" si="81"/>
        <v>0.72894533841758902</v>
      </c>
      <c r="F663" s="30">
        <f>VLOOKUP($A663,'Childhood mortality'!$A$12:$G$27,4)</f>
        <v>7.4696158241091928E-4</v>
      </c>
      <c r="G663" s="30">
        <f t="shared" si="82"/>
        <v>0.27</v>
      </c>
      <c r="H663" s="30">
        <f t="shared" si="83"/>
        <v>3.077E-4</v>
      </c>
      <c r="I663" s="30">
        <f t="shared" si="84"/>
        <v>0.72894533841758902</v>
      </c>
      <c r="J663" s="30">
        <f>VLOOKUP($A663,'Childhood mortality'!$A$12:$G$27,4)</f>
        <v>7.4696158241091928E-4</v>
      </c>
      <c r="K663" s="30">
        <f t="shared" si="85"/>
        <v>0.14000000000000001</v>
      </c>
      <c r="L663" s="30">
        <f t="shared" si="86"/>
        <v>3.077E-4</v>
      </c>
      <c r="M663" s="30">
        <f t="shared" si="66"/>
        <v>0.44879893932319026</v>
      </c>
      <c r="N663" s="30">
        <f t="shared" si="67"/>
        <v>0.41014639909439876</v>
      </c>
      <c r="O663" s="30">
        <f>VLOOKUP($A663,'Childhood mortality'!$A$12:$G$27,4)</f>
        <v>7.4696158241091928E-4</v>
      </c>
      <c r="P663" s="30">
        <f t="shared" si="87"/>
        <v>0.71</v>
      </c>
      <c r="Q663" s="30">
        <f t="shared" si="88"/>
        <v>3.077E-4</v>
      </c>
      <c r="R663" s="30">
        <f t="shared" si="68"/>
        <v>0.15097393932319028</v>
      </c>
      <c r="S663" s="30">
        <f t="shared" si="69"/>
        <v>0.13797139909439879</v>
      </c>
      <c r="T663" s="30">
        <f>VLOOKUP($A663,'Childhood mortality'!$A$12:$G$27,4)</f>
        <v>7.4696158241091928E-4</v>
      </c>
      <c r="U663" s="30">
        <f t="shared" si="89"/>
        <v>0.99031917153875593</v>
      </c>
      <c r="V663" s="30">
        <f t="shared" si="90"/>
        <v>3.077E-4</v>
      </c>
      <c r="W663" s="30">
        <f t="shared" si="70"/>
        <v>4.5071721941902995E-3</v>
      </c>
      <c r="X663" s="30">
        <f t="shared" si="71"/>
        <v>4.1189946846428094E-3</v>
      </c>
      <c r="Y663" s="30">
        <f>VLOOKUP($A663,'Childhood mortality'!$A$12:$G$27,4)</f>
        <v>7.4696158241091928E-4</v>
      </c>
      <c r="Z663" s="30">
        <f t="shared" si="91"/>
        <v>0.99925303841758906</v>
      </c>
      <c r="AB663" s="284">
        <f t="shared" ref="AB663:AB676" si="147">(AB662*E663)+(AD662*N663)+(AE662*S663)+(AF662*X663)</f>
        <v>0.34503936125990803</v>
      </c>
      <c r="AC663" s="31">
        <f t="shared" ref="AC663:AC676" si="148">(AC662*I663)+(AD662*M663)+(AE662*R663)+(AF662*W663)</f>
        <v>0.37755615970325007</v>
      </c>
      <c r="AD663" s="31">
        <f t="shared" ref="AD663:AD676" si="149">(AB662*C663)+(AC662*G663)</f>
        <v>0.18393126110720814</v>
      </c>
      <c r="AE663" s="31">
        <f t="shared" ref="AE663:AE676" si="150">AD662*K663</f>
        <v>0</v>
      </c>
      <c r="AF663" s="31">
        <f t="shared" ref="AF663:AF676" si="151">(AF662*U663)+(AE662*P663)</f>
        <v>0.55537504583919439</v>
      </c>
      <c r="AG663" s="31">
        <f t="shared" ref="AG663:AG676" si="152">(AG662*Z663)+(AB662*D663)+(AC662*H663)+(AD662*L663)+(AE662*Q663)+(AF662*V663)</f>
        <v>9.7458086052619615E-4</v>
      </c>
      <c r="AH663" s="286">
        <f t="shared" ref="AH663:AH676" si="153">AH662+(B663*AB662)+(F663*AC662)+(J663*AD662)+(O663*AE662)+(T663*AF662)+(Y663*AG662)</f>
        <v>7.8608019199994578E-2</v>
      </c>
      <c r="AI663" s="31"/>
      <c r="AJ663" s="284">
        <f t="shared" ref="AJ663:AJ676" si="154">(AJ662*$E663)+(AL662*$N663)+(AM662*$S663)+(AN662*$X663)</f>
        <v>18.349590895704992</v>
      </c>
      <c r="AK663" s="31">
        <f t="shared" ref="AK663:AK676" si="155">(AK662*$I663)+(AL662*$M663)+(AM662*$R663)+(AN662*$W663)</f>
        <v>20.078871713101275</v>
      </c>
      <c r="AL663" s="31">
        <f t="shared" ref="AL663:AL676" si="156">(AJ662*$C663)+(AK662*$G663)</f>
        <v>12.085140333796183</v>
      </c>
      <c r="AM663" s="31">
        <f t="shared" ref="AM663:AM676" si="157">AL662*$K663</f>
        <v>0.94551330845221215</v>
      </c>
      <c r="AN663" s="31">
        <f t="shared" ref="AN663:AN676" si="158">(AN662*$U663)+(AM662*$P663)</f>
        <v>0</v>
      </c>
      <c r="AO663" s="31">
        <f t="shared" ref="AO663:AO676" si="159">(AO662*$Z663)+(AJ662*$D663)+(AK662*$H663)+(AL662*$L663)+(AM662*$Q663)+(AN662*$V663)</f>
        <v>3.4246258876772434E-2</v>
      </c>
      <c r="AP663" s="286">
        <f t="shared" ref="AP663:AP676" si="160">AP662+($B663*AJ662)+($F663*AK662)+($J663*AL662)+($O663*AM662)+($T663*AN662)+($Y663*AO662)</f>
        <v>3.5524358851972968</v>
      </c>
      <c r="AR663" s="30">
        <v>2</v>
      </c>
      <c r="AS663" s="30">
        <f>VLOOKUP($A663,'Childhood mortality'!$A$12:$G$27,3)</f>
        <v>3.7796649759896413E-4</v>
      </c>
      <c r="AT663" s="30">
        <f t="shared" si="92"/>
        <v>0.27</v>
      </c>
      <c r="AU663" s="30">
        <f t="shared" si="93"/>
        <v>3.077E-4</v>
      </c>
      <c r="AV663" s="30">
        <f t="shared" si="94"/>
        <v>0.72931433350240105</v>
      </c>
      <c r="AW663" s="30">
        <f>VLOOKUP($A663,'Childhood mortality'!$A$12:$G$27,3)</f>
        <v>3.7796649759896413E-4</v>
      </c>
      <c r="AX663" s="30">
        <f t="shared" si="95"/>
        <v>0.27</v>
      </c>
      <c r="AY663" s="30">
        <f t="shared" si="96"/>
        <v>3.077E-4</v>
      </c>
      <c r="AZ663" s="30">
        <f t="shared" si="97"/>
        <v>0.72931433350240105</v>
      </c>
      <c r="BA663" s="30">
        <f>VLOOKUP($A663,'Childhood mortality'!$A$12:$G$27,3)</f>
        <v>3.7796649759896413E-4</v>
      </c>
      <c r="BB663" s="30">
        <f t="shared" si="98"/>
        <v>0.14000000000000001</v>
      </c>
      <c r="BC663" s="30">
        <f t="shared" si="99"/>
        <v>3.077E-4</v>
      </c>
      <c r="BD663" s="30">
        <f t="shared" si="100"/>
        <v>0.44899173925500452</v>
      </c>
      <c r="BE663" s="30">
        <f t="shared" si="101"/>
        <v>0.41032259424739648</v>
      </c>
      <c r="BF663" s="30">
        <f>VLOOKUP($A663,'Childhood mortality'!$A$12:$G$27,3)</f>
        <v>3.7796649759896413E-4</v>
      </c>
      <c r="BG663" s="30">
        <f t="shared" si="102"/>
        <v>0.71</v>
      </c>
      <c r="BH663" s="30">
        <f t="shared" si="103"/>
        <v>3.077E-4</v>
      </c>
      <c r="BI663" s="30">
        <f t="shared" si="104"/>
        <v>0.15116673925500454</v>
      </c>
      <c r="BJ663" s="30">
        <f t="shared" si="105"/>
        <v>0.1381475942473965</v>
      </c>
      <c r="BK663" s="30">
        <f>VLOOKUP($A663,'Childhood mortality'!$A$12:$G$27,3)</f>
        <v>3.7796649759896413E-4</v>
      </c>
      <c r="BL663" s="30">
        <f t="shared" si="106"/>
        <v>0.99068816662356796</v>
      </c>
      <c r="BM663" s="30">
        <f t="shared" si="107"/>
        <v>3.077E-4</v>
      </c>
      <c r="BN663" s="30">
        <f t="shared" si="72"/>
        <v>4.5071721941902995E-3</v>
      </c>
      <c r="BO663" s="30">
        <f t="shared" si="73"/>
        <v>4.1189946846428094E-3</v>
      </c>
      <c r="BP663" s="30">
        <f>VLOOKUP($A663,'Childhood mortality'!$A$12:$G$27,3)</f>
        <v>3.7796649759896413E-4</v>
      </c>
      <c r="BQ663" s="30">
        <f t="shared" si="108"/>
        <v>0.99962203350240109</v>
      </c>
      <c r="BS663" s="284">
        <f t="shared" ref="BS663:BS676" si="161">(BS662*AV663)+(BU662*BE663)+(BV662*BJ663)+(BW662*BO663)</f>
        <v>5.4255665505101831</v>
      </c>
      <c r="BT663" s="31">
        <f t="shared" ref="BT663:BT676" si="162">(BT662*AZ663)+(BU662*BD663)+(BV662*BI663)+(BW662*BN663)</f>
        <v>5.9368764872074786</v>
      </c>
      <c r="BU663" s="31">
        <f t="shared" ref="BU663:BU676" si="163">(BS662*AT663)+(BT662*AX663)</f>
        <v>2.8978999280526208</v>
      </c>
      <c r="BV663" s="31">
        <f t="shared" ref="BV663:BV676" si="164">BU662*BB663</f>
        <v>0</v>
      </c>
      <c r="BW663" s="31">
        <f t="shared" ref="BW663:BW676" si="165">(BW662*BL663)+(BV662*BG663)</f>
        <v>8.6745271697899256</v>
      </c>
      <c r="BX663" s="31">
        <f t="shared" ref="BX663:BX676" si="166">(BX662*BQ663)+(BS662*AU663)+(BT662*AY663)+(BU662*BC663)+(BV662*BH663)+(BW662*BM663)</f>
        <v>1.510789899536996E-2</v>
      </c>
      <c r="BY663" s="286">
        <f t="shared" ref="BY663:BY676" si="167">BY662+(AS663*BS662)+(AW663*BT662)+(BA663*BU662)+(BF663*BV662)+(BK663*BW662)+(BP663*BX662)</f>
        <v>0.14510392560843471</v>
      </c>
      <c r="BZ663" s="31"/>
      <c r="CA663" s="284">
        <f t="shared" ref="CA663:CA676" si="168">(CA662*$AV663)+(CC662*$BE663)+(CD662*$BJ663)+(CE662*$BO663)</f>
        <v>134.79355946388421</v>
      </c>
      <c r="CB663" s="31">
        <f t="shared" ref="CB663:CB676" si="169">(CB662*$AZ663)+(CC662*$BD663)+(CD662*$BI663)+(CE662*$BN663)</f>
        <v>147.4966174238314</v>
      </c>
      <c r="CC663" s="31">
        <f t="shared" ref="CC663:CC676" si="170">(CA662*$AT663)+(CB662*$AX663)</f>
        <v>88.794166866037273</v>
      </c>
      <c r="CD663" s="31">
        <f t="shared" ref="CD663:CD676" si="171">CC662*$BB663</f>
        <v>6.91476575741593</v>
      </c>
      <c r="CE663" s="31">
        <f t="shared" ref="CE663:CE676" si="172">(CE662*$BL663)+(CD662*$BG663)</f>
        <v>0</v>
      </c>
      <c r="CF663" s="31">
        <f t="shared" ref="CF663:CF676" si="173">(CF662*$BQ663)+(CA662*$AU663)+(CB662*$AY663)+(CC662*$BC663)+(CD662*$BH663)+(CE662*$BM663)</f>
        <v>0.24853933407692499</v>
      </c>
      <c r="CG663" s="286">
        <f t="shared" ref="CG663:CG676" si="174">CG662+($AS663*CA662)+($AW663*CB662)+($BA663*CC662)+($BF663*CD662)+($BK663*CE662)+($BP663*CF662)</f>
        <v>52.069986371491431</v>
      </c>
      <c r="CI663" s="30">
        <v>2</v>
      </c>
      <c r="CJ663" s="30">
        <f>VLOOKUP($A663,'Childhood mortality'!$A$31:$G$46,4)</f>
        <v>6.4902661938370993E-4</v>
      </c>
      <c r="CK663" s="30">
        <f t="shared" si="109"/>
        <v>0.27</v>
      </c>
      <c r="CL663" s="30">
        <f t="shared" si="110"/>
        <v>3.077E-4</v>
      </c>
      <c r="CM663" s="30">
        <f t="shared" si="111"/>
        <v>0.72904327338061625</v>
      </c>
      <c r="CN663" s="30">
        <f>VLOOKUP($A663,'Childhood mortality'!$A$31:$G$46,4)</f>
        <v>6.4902661938370993E-4</v>
      </c>
      <c r="CO663" s="30">
        <f t="shared" si="112"/>
        <v>0.27</v>
      </c>
      <c r="CP663" s="30">
        <f t="shared" si="113"/>
        <v>3.077E-4</v>
      </c>
      <c r="CQ663" s="30">
        <f t="shared" si="114"/>
        <v>0.72904327338061625</v>
      </c>
      <c r="CR663" s="30">
        <f>VLOOKUP($A663,'Childhood mortality'!$A$31:$G$46,4)</f>
        <v>6.4902661938370993E-4</v>
      </c>
      <c r="CS663" s="30">
        <f t="shared" si="115"/>
        <v>0.14000000000000001</v>
      </c>
      <c r="CT663" s="30">
        <f t="shared" si="116"/>
        <v>3.077E-4</v>
      </c>
      <c r="CU663" s="30">
        <f t="shared" si="117"/>
        <v>0.44885011034137196</v>
      </c>
      <c r="CV663" s="30">
        <f t="shared" si="118"/>
        <v>0.41019316303924425</v>
      </c>
      <c r="CW663" s="30">
        <f>VLOOKUP($A663,'Childhood mortality'!$A$31:$G$46,4)</f>
        <v>6.4902661938370993E-4</v>
      </c>
      <c r="CX663" s="30">
        <f t="shared" si="119"/>
        <v>0.71</v>
      </c>
      <c r="CY663" s="30">
        <f t="shared" si="120"/>
        <v>3.077E-4</v>
      </c>
      <c r="CZ663" s="30">
        <f t="shared" si="121"/>
        <v>0.151025110341372</v>
      </c>
      <c r="DA663" s="30">
        <f t="shared" si="122"/>
        <v>0.13801816303924427</v>
      </c>
      <c r="DB663" s="30">
        <f>VLOOKUP($A663,'Childhood mortality'!$A$31:$G$46,4)</f>
        <v>6.4902661938370993E-4</v>
      </c>
      <c r="DC663" s="30">
        <f t="shared" si="123"/>
        <v>0.99041710650178316</v>
      </c>
      <c r="DD663" s="30">
        <f t="shared" si="124"/>
        <v>3.077E-4</v>
      </c>
      <c r="DE663" s="30">
        <f t="shared" si="74"/>
        <v>4.5071721941902995E-3</v>
      </c>
      <c r="DF663" s="30">
        <f t="shared" si="75"/>
        <v>4.1189946846428094E-3</v>
      </c>
      <c r="DG663" s="30">
        <f>VLOOKUP($A663,'Childhood mortality'!$A$31:$G$46,4)</f>
        <v>6.4902661938370993E-4</v>
      </c>
      <c r="DH663" s="30">
        <f t="shared" si="125"/>
        <v>0.99935097338061629</v>
      </c>
      <c r="DJ663" s="284">
        <f t="shared" ref="DJ663:DJ676" si="175">(DJ662*CM663)+(DL662*CV663)+(DM662*DA663)+(DN662*DF663)</f>
        <v>0.33233874020945497</v>
      </c>
      <c r="DK663" s="31">
        <f t="shared" ref="DK663:DK676" si="176">(DK662*CQ663)+(DL662*CU663)+(DM662*CZ663)+(DN662*DE663)</f>
        <v>0.36365862148573869</v>
      </c>
      <c r="DL663" s="31">
        <f t="shared" ref="DL663:DL676" si="177">(DJ662*CK663)+(DK662*CO663)</f>
        <v>0.17731127898420562</v>
      </c>
      <c r="DM663" s="31">
        <f t="shared" ref="DM663:DM676" si="178">DL662*CS663</f>
        <v>0</v>
      </c>
      <c r="DN663" s="31">
        <f t="shared" ref="DN663:DN676" si="179">(DN662*DC663)+(DM662*CX663)</f>
        <v>0.53359563227687301</v>
      </c>
      <c r="DO663" s="31">
        <f t="shared" ref="DO663:DO676" si="180">(DO662*DH663)+(DJ662*CL663)+(DK662*CP663)+(DL662*CT663)+(DM662*CY663)+(DN662*DD663)</f>
        <v>9.3724318385562803E-4</v>
      </c>
      <c r="DP663" s="286">
        <f t="shared" ref="DP663:DP676" si="181">DP662+(CJ663*DJ662)+(CN663*DK662)+(CR663*DL662)+(CW663*DM662)+(DB663*DN662)+(DG663*DO662)</f>
        <v>7.3192542105636568E-2</v>
      </c>
      <c r="DQ663" s="31"/>
      <c r="DR663" s="284">
        <f t="shared" ref="DR663:DR676" si="182">(DR662*$CM663)+(DT662*$CV663)+(DU662*$DA663)+(DV662*$DF663)</f>
        <v>17.659226960630647</v>
      </c>
      <c r="DS663" s="31">
        <f t="shared" ref="DS663:DS676" si="183">(DS662*$CQ663)+(DT662*$CU663)+(DU662*$CZ663)+(DV662*$DE663)</f>
        <v>19.323447302470178</v>
      </c>
      <c r="DT663" s="31">
        <f t="shared" ref="DT663:DT676" si="184">(DR662*$CK663)+(DS662*$CO663)</f>
        <v>11.632087231120515</v>
      </c>
      <c r="DU663" s="31">
        <f t="shared" ref="DU663:DU676" si="185">DT662*$CS663</f>
        <v>0.9084343551795766</v>
      </c>
      <c r="DV663" s="31">
        <f t="shared" ref="DV663:DV676" si="186">(DV662*$DC663)+(DU662*$CX663)</f>
        <v>0</v>
      </c>
      <c r="DW663" s="31">
        <f t="shared" ref="DW663:DW676" si="187">(DW662*$DH663)+(DR662*$CL663)+(DS662*$CP663)+(DT662*$CT663)+(DU662*$CY663)+(DV662*$DD663)</f>
        <v>3.2934191745102856E-2</v>
      </c>
      <c r="DX663" s="286">
        <f t="shared" ref="DX663:DX676" si="188">DX662+($CJ663*DR662)+($CN663*DS662)+($CR663*DT662)+($CW663*DU662)+($DB663*DV662)+($DG663*DW662)</f>
        <v>3.3310095933894361</v>
      </c>
      <c r="DZ663" s="30">
        <v>2</v>
      </c>
      <c r="EA663" s="30">
        <f>VLOOKUP($A663,'Childhood mortality'!$A$31:$G$46,3)</f>
        <v>3.2841089013598885E-4</v>
      </c>
      <c r="EB663" s="30">
        <f t="shared" si="126"/>
        <v>0.27</v>
      </c>
      <c r="EC663" s="30">
        <f t="shared" si="127"/>
        <v>3.077E-4</v>
      </c>
      <c r="ED663" s="30">
        <f t="shared" si="128"/>
        <v>0.72936388910986394</v>
      </c>
      <c r="EE663" s="30">
        <f>VLOOKUP($A663,'Childhood mortality'!$A$31:$G$46,3)</f>
        <v>3.2841089013598885E-4</v>
      </c>
      <c r="EF663" s="30">
        <f t="shared" si="129"/>
        <v>0.27</v>
      </c>
      <c r="EG663" s="30">
        <f t="shared" si="130"/>
        <v>3.077E-4</v>
      </c>
      <c r="EH663" s="30">
        <f t="shared" si="131"/>
        <v>0.72936388910986394</v>
      </c>
      <c r="EI663" s="30">
        <f>VLOOKUP($A663,'Childhood mortality'!$A$31:$G$46,3)</f>
        <v>3.2841089013598885E-4</v>
      </c>
      <c r="EJ663" s="30">
        <f t="shared" si="132"/>
        <v>0.14000000000000001</v>
      </c>
      <c r="EK663" s="30">
        <f t="shared" si="133"/>
        <v>3.077E-4</v>
      </c>
      <c r="EL663" s="30">
        <f t="shared" si="134"/>
        <v>0.44901763205990386</v>
      </c>
      <c r="EM663" s="30">
        <f t="shared" si="135"/>
        <v>0.41034625704996003</v>
      </c>
      <c r="EN663" s="30">
        <f>VLOOKUP($A663,'Childhood mortality'!$A$31:$G$46,3)</f>
        <v>3.2841089013598885E-4</v>
      </c>
      <c r="EO663" s="30">
        <f t="shared" si="136"/>
        <v>0.71</v>
      </c>
      <c r="EP663" s="30">
        <f t="shared" si="137"/>
        <v>3.077E-4</v>
      </c>
      <c r="EQ663" s="30">
        <f t="shared" si="138"/>
        <v>0.15119263205990396</v>
      </c>
      <c r="ER663" s="30">
        <f t="shared" si="139"/>
        <v>0.13817125704996008</v>
      </c>
      <c r="ES663" s="30">
        <f>VLOOKUP($A663,'Childhood mortality'!$A$31:$G$46,3)</f>
        <v>3.2841089013598885E-4</v>
      </c>
      <c r="ET663" s="30">
        <f t="shared" si="140"/>
        <v>0.99073772223103085</v>
      </c>
      <c r="EU663" s="30">
        <f t="shared" si="141"/>
        <v>3.077E-4</v>
      </c>
      <c r="EV663" s="30">
        <f t="shared" si="76"/>
        <v>4.5071721941902995E-3</v>
      </c>
      <c r="EW663" s="30">
        <f t="shared" si="77"/>
        <v>4.1189946846428094E-3</v>
      </c>
      <c r="EX663" s="30">
        <f>VLOOKUP($A663,'Childhood mortality'!$A$31:$G$46,3)</f>
        <v>3.2841089013598885E-4</v>
      </c>
      <c r="EY663" s="30">
        <f t="shared" si="142"/>
        <v>0.99967158910986398</v>
      </c>
      <c r="FA663" s="284">
        <f t="shared" ref="FA663:FA676" si="189">(FA662*ED663)+(FC662*EM663)+(FD662*ER663)+(FE662*EW663)</f>
        <v>5.219366472446298</v>
      </c>
      <c r="FB663" s="31">
        <f t="shared" ref="FB663:FB676" si="190">(FB662*EH663)+(FC662*EL663)+(FD662*EQ663)+(FE662*EV663)</f>
        <v>5.7112439410538034</v>
      </c>
      <c r="FC663" s="31">
        <f t="shared" ref="FC663:FC676" si="191">(FA662*EB663)+(FB662*EF663)</f>
        <v>2.7889435827578195</v>
      </c>
      <c r="FD663" s="31">
        <f t="shared" ref="FD663:FD676" si="192">FC662*EJ663</f>
        <v>0</v>
      </c>
      <c r="FE663" s="31">
        <f t="shared" ref="FE663:FE676" si="193">(FE662*ET663)+(FD662*EO663)</f>
        <v>8.3343496337197323</v>
      </c>
      <c r="FF663" s="31">
        <f t="shared" ref="FF663:FF676" si="194">(FF662*EY663)+(FA662*EC663)+(FB662*EG663)+(FC662*EK663)+(FD662*EP663)+(FE662*EU663)</f>
        <v>1.4522274877187522E-2</v>
      </c>
      <c r="FG663" s="286">
        <f t="shared" ref="FG663:FG676" si="195">FG662+(EA663*FA662)+(EE663*FB662)+(EI663*FC662)+(EN663*FD662)+(ES663*FE662)+(EX663*FF662)</f>
        <v>1.9305400368993952</v>
      </c>
      <c r="FH663" s="31"/>
      <c r="FI663" s="284">
        <f t="shared" ref="FI663:FI676" si="196">(FI662*$ED663)+(FK662*$EM663)+(FL662*$ER663)+(FM662*$EW663)</f>
        <v>129.61577489220596</v>
      </c>
      <c r="FJ663" s="31">
        <f t="shared" ref="FJ663:FJ676" si="197">(FJ662*$EH663)+(FK662*$EL663)+(FL662*$EQ663)+(FM662*$EV663)</f>
        <v>141.83087409670705</v>
      </c>
      <c r="FK663" s="31">
        <f t="shared" ref="FK663:FK676" si="198">(FI662*$EB663)+(FJ662*$EF663)</f>
        <v>85.389287591377041</v>
      </c>
      <c r="FL663" s="31">
        <f t="shared" ref="FL663:FL676" si="199">FK662*$EJ663</f>
        <v>6.6435984728113855</v>
      </c>
      <c r="FM663" s="31">
        <f t="shared" ref="FM663:FM676" si="200">(FM662*$ET663)+(FL662*$EO663)</f>
        <v>0</v>
      </c>
      <c r="FN663" s="31">
        <f t="shared" ref="FN663:FN676" si="201">(FN662*$EY663)+(FI662*$EC663)+(FJ662*$EG663)+(FK662*$EK663)+(FL662*$EP663)+(FM662*$EU663)</f>
        <v>0.23890509783713473</v>
      </c>
      <c r="FO663" s="286">
        <f t="shared" ref="FO663:FO676" si="202">FO662+($EA663*FI662)+($EE663*FJ662)+($EI663*FK662)+($EN663*FL662)+($ES663*FM662)+($EX663*FN662)</f>
        <v>47.914420214525947</v>
      </c>
      <c r="FQ663" s="30">
        <f t="shared" si="143"/>
        <v>1000</v>
      </c>
      <c r="FR663" s="30" t="str">
        <f t="shared" si="78"/>
        <v>OKAY</v>
      </c>
      <c r="FT663" s="284">
        <f>($AB663-(VLOOKUP($A663,'Childhood asthma'!$A$36:$AG$50,7)*$AB663))+(SUM($AC663:$AG663)-(VLOOKUP($A663,'Childhood asthma'!$A$36:$AG$50,6)*SUM($AC663:$AG663)))+($AJ663-(VLOOKUP($A663,'Childhood asthma'!$A$36:$AG$50,9)*$AJ663))+(SUM($AK663:$AO663)-(VLOOKUP($A663,'Childhood asthma'!$A$36:$AG$50,8)*SUM($AK663:$AO663)))+($BS663-(VLOOKUP($A663,'Childhood asthma'!$A$36:$AG$50,3)*$BS663))+(SUM($BT663:$BX663)-(VLOOKUP($A663,'Childhood asthma'!$A$36:$AG$50,2)*SUM($BT663:$BX663)))+($CA663-(VLOOKUP($A663,'Childhood asthma'!$A$36:$AG$50,5)*$CA663))+(SUM($CB663:$CF663)-(VLOOKUP($A663,'Childhood asthma'!$A$36:$AG$50,4)*SUM($CB663:$CF663)))+($DJ663-(VLOOKUP($A663,'Childhood asthma'!$A$36:$AG$50,23)*$DJ663))+(SUM($DK663:$DO663)-(VLOOKUP($A663,'Childhood asthma'!$A$36:$AG$50,22)*SUM($DK663:$DO663)))+($DR663-(VLOOKUP($A663,'Childhood asthma'!$A$36:$AG$50,25)*$DR663))+(SUM($DS663:$DW663)-(VLOOKUP($A663,'Childhood asthma'!$A$36:$AG$50,24)*SUM($DS663:$DW663)))+($FA663-(VLOOKUP($A663,'Childhood asthma'!$A$36:$AG$50,19)*$FA663))+(SUM($FB663:$FF663)-(VLOOKUP($A663,'Childhood asthma'!$A$36:$AG$50,18)*SUM($FB663:$FF663)))+($FI663-(VLOOKUP($A663,'Childhood asthma'!$A$36:$AG$50,21)*$FI663))+(SUM($FJ663:$FN663)-(VLOOKUP($A663,'Childhood asthma'!$A$36:$AG$50,20)*SUM($FJ663:$FN663)))</f>
        <v>854.80108152197386</v>
      </c>
      <c r="FU663" s="31">
        <f>(VLOOKUP($A663,'Childhood asthma'!$A$36:$AG$50,7)*$AB663)+(VLOOKUP($A663,'Childhood asthma'!$A$36:$AG$50,6)*SUM($AC663:$AG663))+(VLOOKUP($A663,'Childhood asthma'!$A$36:$AG$50,9)*$AJ663)+(VLOOKUP($A663,'Childhood asthma'!$A$36:$AG$50,8)*SUM($AK663:$AO663))+(VLOOKUP($A663,'Childhood asthma'!$A$36:$AG$50,3)*$BS663)+(VLOOKUP($A663,'Childhood asthma'!$A$36:$AG$50,2)*SUM($BT663:$BX663))+(VLOOKUP($A663,'Childhood asthma'!$A$36:$AG$50,5)*$CA663)+(VLOOKUP($A663,'Childhood asthma'!$A$36:$AG$50,4)*SUM($CB663:$CF663))+(VLOOKUP($A663,'Childhood asthma'!$A$36:$AG$50,23)*$DJ663)+(VLOOKUP($A663,'Childhood asthma'!$A$36:$AG$50,22)*SUM($DK663:$DO663))+(VLOOKUP($A663,'Childhood asthma'!$A$36:$AG$50,25)*$DR663)+(VLOOKUP($A663,'Childhood asthma'!$A$36:$AG$50,24)*SUM($DS663:$DW663))+(VLOOKUP($A663,'Childhood asthma'!$A$36:$AG$50,19)*$FA663)+(VLOOKUP($A663,'Childhood asthma'!$A$36:$AG$50,18)*SUM($FB663:$FF663))+(VLOOKUP($A663,'Childhood asthma'!$A$36:$AG$50,21)*$FI663)+(VLOOKUP($A663,'Childhood asthma'!$A$36:$AG$50,20)*SUM($FJ663:$FN663))</f>
        <v>36.103621889608633</v>
      </c>
      <c r="FV663" s="31">
        <f t="shared" ref="FV663:FV676" si="203">SUM(FT663:FU663)</f>
        <v>890.90470341158243</v>
      </c>
      <c r="FW663" s="286">
        <f t="shared" ref="FW663:FW676" si="204">FO663+FG663+DX663+DP663+CG663+BY663+AP663+AH663</f>
        <v>109.09529658841757</v>
      </c>
      <c r="FY663" s="265">
        <v>2</v>
      </c>
      <c r="FZ663" s="30">
        <f t="shared" ref="FZ663:FZ676" si="205">FV663/((1+Discount_rate_QALYs)^$A663)</f>
        <v>831.66907364146891</v>
      </c>
      <c r="GA663" s="281">
        <f t="shared" ref="GA663:GA676" si="206">FZ663+GA662</f>
        <v>1692.7858103961221</v>
      </c>
      <c r="GC663" s="265">
        <v>2</v>
      </c>
      <c r="GD663" s="30">
        <f t="shared" si="144"/>
        <v>828.29876190587572</v>
      </c>
      <c r="GE663" s="281">
        <f t="shared" ref="GE663:GE676" si="207">GD663+GE662</f>
        <v>1685.6953516481926</v>
      </c>
      <c r="GG663" s="265">
        <v>2</v>
      </c>
      <c r="GH663" s="303">
        <f t="shared" ref="GH663:GH676" si="208">((DET_cost_asthma*$FU663)+(DET_COST_death*($FW663-$FW662)))/((1+Discount_rate_costs)^$A663)</f>
        <v>55268.530507494041</v>
      </c>
      <c r="GI663" s="304">
        <f t="shared" ref="GI663:GI676" si="209">GH663+GI662</f>
        <v>3393496.5297644003</v>
      </c>
      <c r="GK663" s="265">
        <v>2</v>
      </c>
      <c r="GL663" s="287">
        <f t="shared" si="145"/>
        <v>0.89090470341158245</v>
      </c>
      <c r="GM663" s="287">
        <f t="shared" si="145"/>
        <v>0.10909529658841757</v>
      </c>
      <c r="GN663" s="288">
        <f t="shared" si="146"/>
        <v>3.6103621889608632E-2</v>
      </c>
      <c r="GP663" s="265">
        <v>2</v>
      </c>
      <c r="GQ663" s="303">
        <f t="shared" ref="GQ663:GQ676" si="210">((DET_cost_asthma*$FU663)+(DET_COST_death*($FW663-$FW662)))/((1+Discount_rate_costs)^$A663)</f>
        <v>55268.530507494041</v>
      </c>
      <c r="GR663" s="304">
        <f t="shared" ref="GR663:GR676" si="211">GQ663+GR662</f>
        <v>6495512.253727939</v>
      </c>
      <c r="GT663" s="265">
        <v>2</v>
      </c>
      <c r="GU663" s="303">
        <f t="shared" ref="GU663:GU676" si="212">((DET_cost_asthma*$FU663)+(DET_COST_death*($FW663-$FW662)))/((1+Discount_rate_costs)^$A663)</f>
        <v>55268.530507494041</v>
      </c>
      <c r="GV663" s="304">
        <f t="shared" ref="GV663:GV676" si="213">GU663+GV662</f>
        <v>3390456.5297643999</v>
      </c>
      <c r="GX663" s="265">
        <v>2</v>
      </c>
      <c r="GY663" s="303">
        <f t="shared" ref="GY663:GY676" si="214">((DET_cost_asthma*$FU663)+(DET_COST_death*($FW663-$FW662)))/((1+Discount_rate_costs)^$A663)</f>
        <v>55268.530507494041</v>
      </c>
      <c r="GZ663" s="304">
        <f t="shared" ref="GZ663:GZ676" si="215">GY663+GZ662</f>
        <v>6495512.253727939</v>
      </c>
    </row>
    <row r="664" spans="1:208" s="30" customFormat="1" x14ac:dyDescent="0.25">
      <c r="A664" s="379">
        <v>3</v>
      </c>
      <c r="B664" s="30">
        <f>VLOOKUP($A664,'Childhood mortality'!$A$12:$G$27,4)</f>
        <v>3.43049023033163E-4</v>
      </c>
      <c r="C664" s="30">
        <f t="shared" si="79"/>
        <v>0.27</v>
      </c>
      <c r="D664" s="30">
        <f t="shared" si="80"/>
        <v>3.3479999999999995E-4</v>
      </c>
      <c r="E664" s="30">
        <f t="shared" si="81"/>
        <v>0.72932215097696684</v>
      </c>
      <c r="F664" s="30">
        <f>VLOOKUP($A664,'Childhood mortality'!$A$12:$G$27,4)</f>
        <v>3.43049023033163E-4</v>
      </c>
      <c r="G664" s="30">
        <f t="shared" si="82"/>
        <v>0.27</v>
      </c>
      <c r="H664" s="30">
        <f t="shared" si="83"/>
        <v>3.3479999999999995E-4</v>
      </c>
      <c r="I664" s="30">
        <f t="shared" si="84"/>
        <v>0.72932215097696684</v>
      </c>
      <c r="J664" s="30">
        <f>VLOOKUP($A664,'Childhood mortality'!$A$12:$G$27,4)</f>
        <v>3.43049023033163E-4</v>
      </c>
      <c r="K664" s="30">
        <f t="shared" si="85"/>
        <v>0.14000000000000001</v>
      </c>
      <c r="L664" s="30">
        <f t="shared" si="86"/>
        <v>3.3479999999999995E-4</v>
      </c>
      <c r="M664" s="30">
        <f t="shared" si="66"/>
        <v>0.44899582388546516</v>
      </c>
      <c r="N664" s="30">
        <f t="shared" si="67"/>
        <v>0.41032632709150163</v>
      </c>
      <c r="O664" s="30">
        <f>VLOOKUP($A664,'Childhood mortality'!$A$12:$G$27,4)</f>
        <v>3.43049023033163E-4</v>
      </c>
      <c r="P664" s="30">
        <f t="shared" si="87"/>
        <v>0.5714285714285714</v>
      </c>
      <c r="Q664" s="30">
        <f t="shared" si="88"/>
        <v>3.3479999999999995E-4</v>
      </c>
      <c r="R664" s="30">
        <f t="shared" si="68"/>
        <v>0.22357439531403661</v>
      </c>
      <c r="S664" s="30">
        <f t="shared" si="69"/>
        <v>0.20431918423435882</v>
      </c>
      <c r="T664" s="30">
        <f>VLOOKUP($A664,'Childhood mortality'!$A$12:$G$27,4)</f>
        <v>3.43049023033163E-4</v>
      </c>
      <c r="U664" s="30">
        <f t="shared" si="89"/>
        <v>0.99069598409813375</v>
      </c>
      <c r="V664" s="30">
        <f t="shared" si="90"/>
        <v>3.3479999999999995E-4</v>
      </c>
      <c r="W664" s="30">
        <f t="shared" si="70"/>
        <v>4.5071721941902995E-3</v>
      </c>
      <c r="X664" s="30">
        <f t="shared" si="71"/>
        <v>4.1189946846428094E-3</v>
      </c>
      <c r="Y664" s="30">
        <f>VLOOKUP($A664,'Childhood mortality'!$A$12:$G$27,4)</f>
        <v>3.43049023033163E-4</v>
      </c>
      <c r="Z664" s="30">
        <f t="shared" si="91"/>
        <v>0.99965695097696683</v>
      </c>
      <c r="AB664" s="284">
        <f t="shared" si="147"/>
        <v>0.32940427479501844</v>
      </c>
      <c r="AC664" s="31">
        <f t="shared" si="148"/>
        <v>0.3604476095924547</v>
      </c>
      <c r="AD664" s="31">
        <f t="shared" si="149"/>
        <v>0.1951007906600527</v>
      </c>
      <c r="AE664" s="31">
        <f t="shared" si="150"/>
        <v>2.5750376555009141E-2</v>
      </c>
      <c r="AF664" s="31">
        <f t="shared" si="151"/>
        <v>0.55020782758120679</v>
      </c>
      <c r="AG664" s="31">
        <f t="shared" si="152"/>
        <v>1.4636912634982467E-3</v>
      </c>
      <c r="AH664" s="286">
        <f t="shared" si="153"/>
        <v>7.9109857522841429E-2</v>
      </c>
      <c r="AI664" s="31"/>
      <c r="AJ664" s="284">
        <f t="shared" si="154"/>
        <v>18.534800855020571</v>
      </c>
      <c r="AK664" s="31">
        <f t="shared" si="155"/>
        <v>20.281536014132456</v>
      </c>
      <c r="AL664" s="31">
        <f t="shared" si="156"/>
        <v>10.375684904377692</v>
      </c>
      <c r="AM664" s="31">
        <f t="shared" si="157"/>
        <v>1.6919196467314657</v>
      </c>
      <c r="AN664" s="31">
        <f t="shared" si="158"/>
        <v>0.54029331911554979</v>
      </c>
      <c r="AO664" s="31">
        <f t="shared" si="159"/>
        <v>5.1463022851975314E-2</v>
      </c>
      <c r="AP664" s="286">
        <f t="shared" si="160"/>
        <v>3.5701006328990212</v>
      </c>
      <c r="AR664" s="30">
        <v>3</v>
      </c>
      <c r="AS664" s="30">
        <f>VLOOKUP($A664,'Childhood mortality'!$A$12:$G$27,3)</f>
        <v>1.7358461371211689E-4</v>
      </c>
      <c r="AT664" s="30">
        <f t="shared" si="92"/>
        <v>0.27</v>
      </c>
      <c r="AU664" s="30">
        <f t="shared" si="93"/>
        <v>3.3479999999999995E-4</v>
      </c>
      <c r="AV664" s="30">
        <f t="shared" si="94"/>
        <v>0.72949161538628793</v>
      </c>
      <c r="AW664" s="30">
        <f>VLOOKUP($A664,'Childhood mortality'!$A$12:$G$27,3)</f>
        <v>1.7358461371211689E-4</v>
      </c>
      <c r="AX664" s="30">
        <f t="shared" si="95"/>
        <v>0.27</v>
      </c>
      <c r="AY664" s="30">
        <f t="shared" si="96"/>
        <v>3.3479999999999995E-4</v>
      </c>
      <c r="AZ664" s="30">
        <f t="shared" si="97"/>
        <v>0.72949161538628793</v>
      </c>
      <c r="BA664" s="30">
        <f>VLOOKUP($A664,'Childhood mortality'!$A$12:$G$27,3)</f>
        <v>1.7358461371211689E-4</v>
      </c>
      <c r="BB664" s="30">
        <f t="shared" si="98"/>
        <v>0.14000000000000001</v>
      </c>
      <c r="BC664" s="30">
        <f t="shared" si="99"/>
        <v>3.3479999999999995E-4</v>
      </c>
      <c r="BD664" s="30">
        <f t="shared" si="100"/>
        <v>0.44908436903933541</v>
      </c>
      <c r="BE664" s="30">
        <f t="shared" si="101"/>
        <v>0.41040724634695247</v>
      </c>
      <c r="BF664" s="30">
        <f>VLOOKUP($A664,'Childhood mortality'!$A$12:$G$27,3)</f>
        <v>1.7358461371211689E-4</v>
      </c>
      <c r="BG664" s="30">
        <f t="shared" si="102"/>
        <v>0.5714285714285714</v>
      </c>
      <c r="BH664" s="30">
        <f t="shared" si="103"/>
        <v>3.3479999999999995E-4</v>
      </c>
      <c r="BI664" s="30">
        <f t="shared" si="104"/>
        <v>0.22366294046790686</v>
      </c>
      <c r="BJ664" s="30">
        <f t="shared" si="105"/>
        <v>0.20440010348980961</v>
      </c>
      <c r="BK664" s="30">
        <f>VLOOKUP($A664,'Childhood mortality'!$A$12:$G$27,3)</f>
        <v>1.7358461371211689E-4</v>
      </c>
      <c r="BL664" s="30">
        <f t="shared" si="106"/>
        <v>0.99086544850745484</v>
      </c>
      <c r="BM664" s="30">
        <f t="shared" si="107"/>
        <v>3.3479999999999995E-4</v>
      </c>
      <c r="BN664" s="30">
        <f t="shared" si="72"/>
        <v>4.5071721941902995E-3</v>
      </c>
      <c r="BO664" s="30">
        <f t="shared" si="73"/>
        <v>4.1189946846428094E-3</v>
      </c>
      <c r="BP664" s="30">
        <f>VLOOKUP($A664,'Childhood mortality'!$A$12:$G$27,3)</f>
        <v>1.7358461371211689E-4</v>
      </c>
      <c r="BQ664" s="30">
        <f t="shared" si="108"/>
        <v>0.99982641538628791</v>
      </c>
      <c r="BS664" s="284">
        <f t="shared" si="161"/>
        <v>5.1829547682827455</v>
      </c>
      <c r="BT664" s="31">
        <f t="shared" si="162"/>
        <v>5.6714007673879268</v>
      </c>
      <c r="BU664" s="31">
        <f t="shared" si="163"/>
        <v>3.0678596201837687</v>
      </c>
      <c r="BV664" s="31">
        <f t="shared" si="164"/>
        <v>0.40570598992736695</v>
      </c>
      <c r="BW664" s="31">
        <f t="shared" si="165"/>
        <v>8.5952892546839976</v>
      </c>
      <c r="BX664" s="31">
        <f t="shared" si="166"/>
        <v>2.2783871017944404E-2</v>
      </c>
      <c r="BY664" s="286">
        <f t="shared" si="167"/>
        <v>0.14908768868026459</v>
      </c>
      <c r="BZ664" s="31"/>
      <c r="CA664" s="284">
        <f t="shared" si="168"/>
        <v>136.18591978856233</v>
      </c>
      <c r="CB664" s="31">
        <f t="shared" si="169"/>
        <v>149.0201949518823</v>
      </c>
      <c r="CC664" s="31">
        <f t="shared" si="170"/>
        <v>76.218347759683212</v>
      </c>
      <c r="CD664" s="31">
        <f t="shared" si="171"/>
        <v>12.431183361245219</v>
      </c>
      <c r="CE664" s="31">
        <f t="shared" si="172"/>
        <v>3.9512947185233882</v>
      </c>
      <c r="CF664" s="31">
        <f t="shared" si="173"/>
        <v>0.37505029333696638</v>
      </c>
      <c r="CG664" s="286">
        <f t="shared" si="174"/>
        <v>52.135644343503749</v>
      </c>
      <c r="CI664" s="30">
        <v>3</v>
      </c>
      <c r="CJ664" s="30">
        <f>VLOOKUP($A664,'Childhood mortality'!$A$31:$G$46,4)</f>
        <v>3.111417751919064E-4</v>
      </c>
      <c r="CK664" s="30">
        <f t="shared" si="109"/>
        <v>0.27</v>
      </c>
      <c r="CL664" s="30">
        <f t="shared" si="110"/>
        <v>3.3479999999999995E-4</v>
      </c>
      <c r="CM664" s="30">
        <f t="shared" si="111"/>
        <v>0.72935405822480814</v>
      </c>
      <c r="CN664" s="30">
        <f>VLOOKUP($A664,'Childhood mortality'!$A$31:$G$46,4)</f>
        <v>3.111417751919064E-4</v>
      </c>
      <c r="CO664" s="30">
        <f t="shared" si="112"/>
        <v>0.27</v>
      </c>
      <c r="CP664" s="30">
        <f t="shared" si="113"/>
        <v>3.3479999999999995E-4</v>
      </c>
      <c r="CQ664" s="30">
        <f t="shared" si="114"/>
        <v>0.72935405822480814</v>
      </c>
      <c r="CR664" s="30">
        <f>VLOOKUP($A664,'Childhood mortality'!$A$31:$G$46,4)</f>
        <v>3.111417751919064E-4</v>
      </c>
      <c r="CS664" s="30">
        <f t="shared" si="115"/>
        <v>0.14000000000000001</v>
      </c>
      <c r="CT664" s="30">
        <f t="shared" si="116"/>
        <v>3.3479999999999995E-4</v>
      </c>
      <c r="CU664" s="30">
        <f t="shared" si="117"/>
        <v>0.44901249542246224</v>
      </c>
      <c r="CV664" s="30">
        <f t="shared" si="118"/>
        <v>0.41034156280234585</v>
      </c>
      <c r="CW664" s="30">
        <f>VLOOKUP($A664,'Childhood mortality'!$A$31:$G$46,4)</f>
        <v>3.111417751919064E-4</v>
      </c>
      <c r="CX664" s="30">
        <f t="shared" si="119"/>
        <v>0.5714285714285714</v>
      </c>
      <c r="CY664" s="30">
        <f t="shared" si="120"/>
        <v>3.3479999999999995E-4</v>
      </c>
      <c r="CZ664" s="30">
        <f t="shared" si="121"/>
        <v>0.22359106685103367</v>
      </c>
      <c r="DA664" s="30">
        <f t="shared" si="122"/>
        <v>0.20433441994520302</v>
      </c>
      <c r="DB664" s="30">
        <f>VLOOKUP($A664,'Childhood mortality'!$A$31:$G$46,4)</f>
        <v>3.111417751919064E-4</v>
      </c>
      <c r="DC664" s="30">
        <f t="shared" si="123"/>
        <v>0.99072789134597505</v>
      </c>
      <c r="DD664" s="30">
        <f t="shared" si="124"/>
        <v>3.3479999999999995E-4</v>
      </c>
      <c r="DE664" s="30">
        <f t="shared" si="74"/>
        <v>4.5071721941902995E-3</v>
      </c>
      <c r="DF664" s="30">
        <f t="shared" si="75"/>
        <v>4.1189946846428094E-3</v>
      </c>
      <c r="DG664" s="30">
        <f>VLOOKUP($A664,'Childhood mortality'!$A$31:$G$46,4)</f>
        <v>3.111417751919064E-4</v>
      </c>
      <c r="DH664" s="30">
        <f t="shared" si="125"/>
        <v>0.99968885822480813</v>
      </c>
      <c r="DJ664" s="284">
        <f t="shared" si="175"/>
        <v>0.31734867377104498</v>
      </c>
      <c r="DK664" s="31">
        <f t="shared" si="176"/>
        <v>0.34725587862904916</v>
      </c>
      <c r="DL664" s="31">
        <f t="shared" si="177"/>
        <v>0.18791928765770233</v>
      </c>
      <c r="DM664" s="31">
        <f t="shared" si="178"/>
        <v>2.482357905778879E-2</v>
      </c>
      <c r="DN664" s="31">
        <f t="shared" si="179"/>
        <v>0.52864807559708871</v>
      </c>
      <c r="DO664" s="31">
        <f t="shared" si="180"/>
        <v>1.4079831189333764E-3</v>
      </c>
      <c r="DP664" s="286">
        <f t="shared" si="181"/>
        <v>7.3630580414157265E-2</v>
      </c>
      <c r="DQ664" s="31"/>
      <c r="DR664" s="284">
        <f t="shared" si="182"/>
        <v>17.838582108944024</v>
      </c>
      <c r="DS664" s="31">
        <f t="shared" si="183"/>
        <v>19.51970503020576</v>
      </c>
      <c r="DT664" s="31">
        <f t="shared" si="184"/>
        <v>9.9853220510372225</v>
      </c>
      <c r="DU664" s="31">
        <f t="shared" si="185"/>
        <v>1.6284922123568724</v>
      </c>
      <c r="DV664" s="31">
        <f t="shared" si="186"/>
        <v>0.51910534581690093</v>
      </c>
      <c r="DW664" s="31">
        <f t="shared" si="187"/>
        <v>4.9504310512598196E-2</v>
      </c>
      <c r="DX664" s="286">
        <f t="shared" si="188"/>
        <v>3.3464285756620793</v>
      </c>
      <c r="DZ664" s="30">
        <v>3</v>
      </c>
      <c r="EA664" s="30">
        <f>VLOOKUP($A664,'Childhood mortality'!$A$31:$G$46,3)</f>
        <v>1.574393781356673E-4</v>
      </c>
      <c r="EB664" s="30">
        <f t="shared" si="126"/>
        <v>0.27</v>
      </c>
      <c r="EC664" s="30">
        <f t="shared" si="127"/>
        <v>3.3479999999999995E-4</v>
      </c>
      <c r="ED664" s="30">
        <f t="shared" si="128"/>
        <v>0.7295077606218644</v>
      </c>
      <c r="EE664" s="30">
        <f>VLOOKUP($A664,'Childhood mortality'!$A$31:$G$46,3)</f>
        <v>1.574393781356673E-4</v>
      </c>
      <c r="EF664" s="30">
        <f t="shared" si="129"/>
        <v>0.27</v>
      </c>
      <c r="EG664" s="30">
        <f t="shared" si="130"/>
        <v>3.3479999999999995E-4</v>
      </c>
      <c r="EH664" s="30">
        <f t="shared" si="131"/>
        <v>0.7295077606218644</v>
      </c>
      <c r="EI664" s="30">
        <f>VLOOKUP($A664,'Childhood mortality'!$A$31:$G$46,3)</f>
        <v>1.574393781356673E-4</v>
      </c>
      <c r="EJ664" s="30">
        <f t="shared" si="132"/>
        <v>0.14000000000000001</v>
      </c>
      <c r="EK664" s="30">
        <f t="shared" si="133"/>
        <v>3.3479999999999995E-4</v>
      </c>
      <c r="EL664" s="30">
        <f t="shared" si="134"/>
        <v>0.44909280492492409</v>
      </c>
      <c r="EM664" s="30">
        <f t="shared" si="135"/>
        <v>0.41041495569694025</v>
      </c>
      <c r="EN664" s="30">
        <f>VLOOKUP($A664,'Childhood mortality'!$A$31:$G$46,3)</f>
        <v>1.574393781356673E-4</v>
      </c>
      <c r="EO664" s="30">
        <f t="shared" si="136"/>
        <v>0.5714285714285714</v>
      </c>
      <c r="EP664" s="30">
        <f t="shared" si="137"/>
        <v>3.3479999999999995E-4</v>
      </c>
      <c r="EQ664" s="30">
        <f t="shared" si="138"/>
        <v>0.22367137635349557</v>
      </c>
      <c r="ER664" s="30">
        <f t="shared" si="139"/>
        <v>0.20440781283979739</v>
      </c>
      <c r="ES664" s="30">
        <f>VLOOKUP($A664,'Childhood mortality'!$A$31:$G$46,3)</f>
        <v>1.574393781356673E-4</v>
      </c>
      <c r="ET664" s="30">
        <f t="shared" si="140"/>
        <v>0.99088159374303131</v>
      </c>
      <c r="EU664" s="30">
        <f t="shared" si="141"/>
        <v>3.3479999999999995E-4</v>
      </c>
      <c r="EV664" s="30">
        <f t="shared" si="76"/>
        <v>4.5071721941902995E-3</v>
      </c>
      <c r="EW664" s="30">
        <f t="shared" si="77"/>
        <v>4.1189946846428094E-3</v>
      </c>
      <c r="EX664" s="30">
        <f>VLOOKUP($A664,'Childhood mortality'!$A$31:$G$46,3)</f>
        <v>1.574393781356673E-4</v>
      </c>
      <c r="EY664" s="30">
        <f t="shared" si="142"/>
        <v>0.99984256062186438</v>
      </c>
      <c r="FA664" s="284">
        <f t="shared" si="189"/>
        <v>4.9865216459792006</v>
      </c>
      <c r="FB664" s="31">
        <f t="shared" si="190"/>
        <v>5.4564556230871899</v>
      </c>
      <c r="FC664" s="31">
        <f t="shared" si="191"/>
        <v>2.9512648116450277</v>
      </c>
      <c r="FD664" s="31">
        <f t="shared" si="192"/>
        <v>0.39045210158609478</v>
      </c>
      <c r="FE664" s="31">
        <f t="shared" si="193"/>
        <v>8.2583536478718571</v>
      </c>
      <c r="FF664" s="31">
        <f t="shared" si="194"/>
        <v>2.190363543457826E-2</v>
      </c>
      <c r="FG664" s="286">
        <f t="shared" si="195"/>
        <v>1.9340144761502887</v>
      </c>
      <c r="FH664" s="31"/>
      <c r="FI664" s="284">
        <f t="shared" si="196"/>
        <v>130.95875779990234</v>
      </c>
      <c r="FJ664" s="31">
        <f t="shared" si="197"/>
        <v>143.30042083863657</v>
      </c>
      <c r="FK664" s="31">
        <f t="shared" si="198"/>
        <v>73.29059522700652</v>
      </c>
      <c r="FL664" s="31">
        <f t="shared" si="199"/>
        <v>11.954500262792786</v>
      </c>
      <c r="FM664" s="31">
        <f t="shared" si="200"/>
        <v>3.7963419844636488</v>
      </c>
      <c r="FN664" s="31">
        <f t="shared" si="201"/>
        <v>0.36056043310287617</v>
      </c>
      <c r="FO664" s="286">
        <f t="shared" si="202"/>
        <v>47.971683819559779</v>
      </c>
      <c r="FQ664" s="30">
        <f t="shared" si="143"/>
        <v>1000</v>
      </c>
      <c r="FR664" s="30" t="str">
        <f t="shared" si="78"/>
        <v>OKAY</v>
      </c>
      <c r="FT664" s="284">
        <f>($AB664-(VLOOKUP($A664,'Childhood asthma'!$A$36:$AG$50,7)*$AB664))+(SUM($AC664:$AG664)-(VLOOKUP($A664,'Childhood asthma'!$A$36:$AG$50,6)*SUM($AC664:$AG664)))+($AJ664-(VLOOKUP($A664,'Childhood asthma'!$A$36:$AG$50,9)*$AJ664))+(SUM($AK664:$AO664)-(VLOOKUP($A664,'Childhood asthma'!$A$36:$AG$50,8)*SUM($AK664:$AO664)))+($BS664-(VLOOKUP($A664,'Childhood asthma'!$A$36:$AG$50,3)*$BS664))+(SUM($BT664:$BX664)-(VLOOKUP($A664,'Childhood asthma'!$A$36:$AG$50,2)*SUM($BT664:$BX664)))+($CA664-(VLOOKUP($A664,'Childhood asthma'!$A$36:$AG$50,5)*$CA664))+(SUM($CB664:$CF664)-(VLOOKUP($A664,'Childhood asthma'!$A$36:$AG$50,4)*SUM($CB664:$CF664)))+($DJ664-(VLOOKUP($A664,'Childhood asthma'!$A$36:$AG$50,23)*$DJ664))+(SUM($DK664:$DO664)-(VLOOKUP($A664,'Childhood asthma'!$A$36:$AG$50,22)*SUM($DK664:$DO664)))+($DR664-(VLOOKUP($A664,'Childhood asthma'!$A$36:$AG$50,25)*$DR664))+(SUM($DS664:$DW664)-(VLOOKUP($A664,'Childhood asthma'!$A$36:$AG$50,24)*SUM($DS664:$DW664)))+($FA664-(VLOOKUP($A664,'Childhood asthma'!$A$36:$AG$50,19)*$FA664))+(SUM($FB664:$FF664)-(VLOOKUP($A664,'Childhood asthma'!$A$36:$AG$50,18)*SUM($FB664:$FF664)))+($FI664-(VLOOKUP($A664,'Childhood asthma'!$A$36:$AG$50,21)*$FI664))+(SUM($FJ664:$FN664)-(VLOOKUP($A664,'Childhood asthma'!$A$36:$AG$50,20)*SUM($FJ664:$FN664)))</f>
        <v>869.14405401581689</v>
      </c>
      <c r="FU664" s="31">
        <f>(VLOOKUP($A664,'Childhood asthma'!$A$36:$AG$50,7)*$AB664)+(VLOOKUP($A664,'Childhood asthma'!$A$36:$AG$50,6)*SUM($AC664:$AG664))+(VLOOKUP($A664,'Childhood asthma'!$A$36:$AG$50,9)*$AJ664)+(VLOOKUP($A664,'Childhood asthma'!$A$36:$AG$50,8)*SUM($AK664:$AO664))+(VLOOKUP($A664,'Childhood asthma'!$A$36:$AG$50,3)*$BS664)+(VLOOKUP($A664,'Childhood asthma'!$A$36:$AG$50,2)*SUM($BT664:$BX664))+(VLOOKUP($A664,'Childhood asthma'!$A$36:$AG$50,5)*$CA664)+(VLOOKUP($A664,'Childhood asthma'!$A$36:$AG$50,4)*SUM($CB664:$CF664))+(VLOOKUP($A664,'Childhood asthma'!$A$36:$AG$50,23)*$DJ664)+(VLOOKUP($A664,'Childhood asthma'!$A$36:$AG$50,22)*SUM($DK664:$DO664))+(VLOOKUP($A664,'Childhood asthma'!$A$36:$AG$50,25)*$DR664)+(VLOOKUP($A664,'Childhood asthma'!$A$36:$AG$50,24)*SUM($DS664:$DW664))+(VLOOKUP($A664,'Childhood asthma'!$A$36:$AG$50,19)*$FA664)+(VLOOKUP($A664,'Childhood asthma'!$A$36:$AG$50,18)*SUM($FB664:$FF664))+(VLOOKUP($A664,'Childhood asthma'!$A$36:$AG$50,21)*$FI664)+(VLOOKUP($A664,'Childhood asthma'!$A$36:$AG$50,20)*SUM($FJ664:$FN664))</f>
        <v>21.596246009790917</v>
      </c>
      <c r="FV664" s="31">
        <f t="shared" si="203"/>
        <v>890.74030002560778</v>
      </c>
      <c r="FW664" s="286">
        <f t="shared" si="204"/>
        <v>109.25969997439218</v>
      </c>
      <c r="FY664" s="265">
        <v>3</v>
      </c>
      <c r="FZ664" s="30">
        <f t="shared" si="205"/>
        <v>803.3967162526427</v>
      </c>
      <c r="GA664" s="281">
        <f t="shared" si="206"/>
        <v>2496.1825266487649</v>
      </c>
      <c r="GC664" s="265">
        <v>3</v>
      </c>
      <c r="GD664" s="30">
        <f t="shared" si="144"/>
        <v>801.44885859680835</v>
      </c>
      <c r="GE664" s="281">
        <f t="shared" si="207"/>
        <v>2487.144210245001</v>
      </c>
      <c r="GG664" s="265">
        <v>3</v>
      </c>
      <c r="GH664" s="303">
        <f t="shared" si="208"/>
        <v>31875.097919855336</v>
      </c>
      <c r="GI664" s="304">
        <f t="shared" si="209"/>
        <v>3425371.6276842556</v>
      </c>
      <c r="GK664" s="265">
        <v>3</v>
      </c>
      <c r="GL664" s="287">
        <f t="shared" si="145"/>
        <v>0.89074030002560778</v>
      </c>
      <c r="GM664" s="287">
        <f t="shared" si="145"/>
        <v>0.10925969997439218</v>
      </c>
      <c r="GN664" s="288">
        <f t="shared" si="146"/>
        <v>2.1596246009790918E-2</v>
      </c>
      <c r="GP664" s="265">
        <v>3</v>
      </c>
      <c r="GQ664" s="303">
        <f t="shared" si="210"/>
        <v>31875.097919855336</v>
      </c>
      <c r="GR664" s="304">
        <f t="shared" si="211"/>
        <v>6527387.3516477942</v>
      </c>
      <c r="GT664" s="265">
        <v>3</v>
      </c>
      <c r="GU664" s="303">
        <f t="shared" si="212"/>
        <v>31875.097919855336</v>
      </c>
      <c r="GV664" s="304">
        <f t="shared" si="213"/>
        <v>3422331.6276842551</v>
      </c>
      <c r="GX664" s="265">
        <v>3</v>
      </c>
      <c r="GY664" s="303">
        <f t="shared" si="214"/>
        <v>31875.097919855336</v>
      </c>
      <c r="GZ664" s="304">
        <f t="shared" si="215"/>
        <v>6527387.3516477942</v>
      </c>
    </row>
    <row r="665" spans="1:208" s="30" customFormat="1" x14ac:dyDescent="0.25">
      <c r="A665" s="379">
        <v>4</v>
      </c>
      <c r="B665" s="30">
        <f>VLOOKUP($A665,'Childhood mortality'!$A$12:$G$27,4)</f>
        <v>1.8129956432344044E-4</v>
      </c>
      <c r="C665" s="30">
        <f t="shared" si="79"/>
        <v>0.27</v>
      </c>
      <c r="D665" s="30">
        <f t="shared" si="80"/>
        <v>3.6479999999999998E-4</v>
      </c>
      <c r="E665" s="30">
        <f t="shared" si="81"/>
        <v>0.72945390043567648</v>
      </c>
      <c r="F665" s="30">
        <f>VLOOKUP($A665,'Childhood mortality'!$A$12:$G$27,4)</f>
        <v>1.8129956432344044E-4</v>
      </c>
      <c r="G665" s="30">
        <f t="shared" si="82"/>
        <v>0.27</v>
      </c>
      <c r="H665" s="30">
        <f t="shared" si="83"/>
        <v>3.6479999999999998E-4</v>
      </c>
      <c r="I665" s="30">
        <f t="shared" si="84"/>
        <v>0.72945390043567648</v>
      </c>
      <c r="J665" s="30">
        <f>VLOOKUP($A665,'Childhood mortality'!$A$12:$G$27,4)</f>
        <v>1.8129956432344044E-4</v>
      </c>
      <c r="K665" s="30">
        <f t="shared" si="85"/>
        <v>0.14000000000000001</v>
      </c>
      <c r="L665" s="30">
        <f t="shared" si="86"/>
        <v>3.6479999999999998E-4</v>
      </c>
      <c r="M665" s="30">
        <f t="shared" si="66"/>
        <v>0.44906466297764092</v>
      </c>
      <c r="N665" s="30">
        <f t="shared" si="67"/>
        <v>0.41038923745803552</v>
      </c>
      <c r="O665" s="30">
        <f>VLOOKUP($A665,'Childhood mortality'!$A$12:$G$27,4)</f>
        <v>1.8129956432344044E-4</v>
      </c>
      <c r="P665" s="30">
        <f t="shared" si="87"/>
        <v>0.5714285714285714</v>
      </c>
      <c r="Q665" s="30">
        <f t="shared" si="88"/>
        <v>3.6479999999999998E-4</v>
      </c>
      <c r="R665" s="30">
        <f t="shared" si="68"/>
        <v>0.22364323440621239</v>
      </c>
      <c r="S665" s="30">
        <f t="shared" si="69"/>
        <v>0.20438209460089268</v>
      </c>
      <c r="T665" s="30">
        <f>VLOOKUP($A665,'Childhood mortality'!$A$12:$G$27,4)</f>
        <v>1.8129956432344044E-4</v>
      </c>
      <c r="U665" s="30">
        <f t="shared" si="89"/>
        <v>0.99082773355684339</v>
      </c>
      <c r="V665" s="30">
        <f t="shared" si="90"/>
        <v>3.6479999999999998E-4</v>
      </c>
      <c r="W665" s="30">
        <f t="shared" si="70"/>
        <v>4.5071721941902995E-3</v>
      </c>
      <c r="X665" s="30">
        <f t="shared" si="71"/>
        <v>4.1189946846428094E-3</v>
      </c>
      <c r="Y665" s="30">
        <f>VLOOKUP($A665,'Childhood mortality'!$A$12:$G$27,4)</f>
        <v>1.8129956432344044E-4</v>
      </c>
      <c r="Z665" s="30">
        <f t="shared" si="91"/>
        <v>0.99981870043567656</v>
      </c>
      <c r="AB665" s="284">
        <f t="shared" si="147"/>
        <v>0.3278817167901808</v>
      </c>
      <c r="AC665" s="31">
        <f t="shared" si="148"/>
        <v>0.35878156444579989</v>
      </c>
      <c r="AD665" s="31">
        <f t="shared" si="149"/>
        <v>0.18626000878461774</v>
      </c>
      <c r="AE665" s="31">
        <f t="shared" si="150"/>
        <v>2.7314110692407381E-2</v>
      </c>
      <c r="AF665" s="31">
        <f t="shared" si="151"/>
        <v>0.55987567567609819</v>
      </c>
      <c r="AG665" s="31">
        <f t="shared" si="152"/>
        <v>1.9963661856360992E-3</v>
      </c>
      <c r="AH665" s="286">
        <f t="shared" si="153"/>
        <v>7.9374985395341185E-2</v>
      </c>
      <c r="AI665" s="31"/>
      <c r="AJ665" s="284">
        <f t="shared" si="154"/>
        <v>18.126375740110639</v>
      </c>
      <c r="AK665" s="31">
        <f t="shared" si="155"/>
        <v>19.834620574257194</v>
      </c>
      <c r="AL665" s="31">
        <f t="shared" si="156"/>
        <v>10.480410954671317</v>
      </c>
      <c r="AM665" s="31">
        <f t="shared" si="157"/>
        <v>1.452595886612877</v>
      </c>
      <c r="AN665" s="31">
        <f t="shared" si="158"/>
        <v>1.5021488315388591</v>
      </c>
      <c r="AO665" s="31">
        <f t="shared" si="159"/>
        <v>7.0213253461278477E-2</v>
      </c>
      <c r="AP665" s="286">
        <f t="shared" si="160"/>
        <v>3.5794331544765585</v>
      </c>
      <c r="AR665" s="30">
        <v>4</v>
      </c>
      <c r="AS665" s="30">
        <f>VLOOKUP($A665,'Childhood mortality'!$A$12:$G$27,3)</f>
        <v>9.1738535096242416E-5</v>
      </c>
      <c r="AT665" s="30">
        <f t="shared" si="92"/>
        <v>0.27</v>
      </c>
      <c r="AU665" s="30">
        <f t="shared" si="93"/>
        <v>3.6479999999999998E-4</v>
      </c>
      <c r="AV665" s="30">
        <f t="shared" si="94"/>
        <v>0.72954346146490368</v>
      </c>
      <c r="AW665" s="30">
        <f>VLOOKUP($A665,'Childhood mortality'!$A$12:$G$27,3)</f>
        <v>9.1738535096242416E-5</v>
      </c>
      <c r="AX665" s="30">
        <f t="shared" si="95"/>
        <v>0.27</v>
      </c>
      <c r="AY665" s="30">
        <f t="shared" si="96"/>
        <v>3.6479999999999998E-4</v>
      </c>
      <c r="AZ665" s="30">
        <f t="shared" si="97"/>
        <v>0.72954346146490368</v>
      </c>
      <c r="BA665" s="30">
        <f>VLOOKUP($A665,'Childhood mortality'!$A$12:$G$27,3)</f>
        <v>9.1738535096242416E-5</v>
      </c>
      <c r="BB665" s="30">
        <f t="shared" si="98"/>
        <v>0.14000000000000001</v>
      </c>
      <c r="BC665" s="30">
        <f t="shared" si="99"/>
        <v>3.6479999999999998E-4</v>
      </c>
      <c r="BD665" s="30">
        <f t="shared" si="100"/>
        <v>0.44911145861541213</v>
      </c>
      <c r="BE665" s="30">
        <f t="shared" si="101"/>
        <v>0.4104320028494915</v>
      </c>
      <c r="BF665" s="30">
        <f>VLOOKUP($A665,'Childhood mortality'!$A$12:$G$27,3)</f>
        <v>9.1738535096242416E-5</v>
      </c>
      <c r="BG665" s="30">
        <f t="shared" si="102"/>
        <v>0.5714285714285714</v>
      </c>
      <c r="BH665" s="30">
        <f t="shared" si="103"/>
        <v>3.6479999999999998E-4</v>
      </c>
      <c r="BI665" s="30">
        <f t="shared" si="104"/>
        <v>0.22369003004398361</v>
      </c>
      <c r="BJ665" s="30">
        <f t="shared" si="105"/>
        <v>0.20442485999234866</v>
      </c>
      <c r="BK665" s="30">
        <f>VLOOKUP($A665,'Childhood mortality'!$A$12:$G$27,3)</f>
        <v>9.1738535096242416E-5</v>
      </c>
      <c r="BL665" s="30">
        <f t="shared" si="106"/>
        <v>0.99091729458607059</v>
      </c>
      <c r="BM665" s="30">
        <f t="shared" si="107"/>
        <v>3.6479999999999998E-4</v>
      </c>
      <c r="BN665" s="30">
        <f t="shared" si="72"/>
        <v>4.5071721941902995E-3</v>
      </c>
      <c r="BO665" s="30">
        <f t="shared" si="73"/>
        <v>4.1189946846428094E-3</v>
      </c>
      <c r="BP665" s="30">
        <f>VLOOKUP($A665,'Childhood mortality'!$A$12:$G$27,3)</f>
        <v>9.1738535096242416E-5</v>
      </c>
      <c r="BQ665" s="30">
        <f t="shared" si="108"/>
        <v>0.99990826146490375</v>
      </c>
      <c r="BS665" s="284">
        <f t="shared" si="161"/>
        <v>5.1586788715840965</v>
      </c>
      <c r="BT665" s="31">
        <f t="shared" si="162"/>
        <v>5.6448370898485667</v>
      </c>
      <c r="BU665" s="31">
        <f t="shared" si="163"/>
        <v>2.9306759946310819</v>
      </c>
      <c r="BV665" s="31">
        <f t="shared" si="164"/>
        <v>0.42950034682572763</v>
      </c>
      <c r="BW665" s="31">
        <f t="shared" si="165"/>
        <v>8.7490527686804</v>
      </c>
      <c r="BX665" s="31">
        <f t="shared" si="166"/>
        <v>3.1144168013083319E-2</v>
      </c>
      <c r="BY665" s="286">
        <f t="shared" si="167"/>
        <v>0.15119272058105726</v>
      </c>
      <c r="BZ665" s="31"/>
      <c r="CA665" s="284">
        <f t="shared" si="168"/>
        <v>133.19351473032015</v>
      </c>
      <c r="CB665" s="31">
        <f t="shared" si="169"/>
        <v>145.74578313422461</v>
      </c>
      <c r="CC665" s="31">
        <f t="shared" si="170"/>
        <v>77.005650979920063</v>
      </c>
      <c r="CD665" s="31">
        <f t="shared" si="171"/>
        <v>10.670568686355651</v>
      </c>
      <c r="CE665" s="31">
        <f t="shared" si="172"/>
        <v>11.018939621874406</v>
      </c>
      <c r="CF665" s="31">
        <f t="shared" si="173"/>
        <v>0.51283985869601445</v>
      </c>
      <c r="CG665" s="286">
        <f t="shared" si="174"/>
        <v>52.170338205346233</v>
      </c>
      <c r="CI665" s="30">
        <v>4</v>
      </c>
      <c r="CJ665" s="30">
        <f>VLOOKUP($A665,'Childhood mortality'!$A$31:$G$46,4)</f>
        <v>1.7761086515104082E-4</v>
      </c>
      <c r="CK665" s="30">
        <f t="shared" si="109"/>
        <v>0.27</v>
      </c>
      <c r="CL665" s="30">
        <f t="shared" si="110"/>
        <v>3.6479999999999998E-4</v>
      </c>
      <c r="CM665" s="30">
        <f t="shared" si="111"/>
        <v>0.72945758913484893</v>
      </c>
      <c r="CN665" s="30">
        <f>VLOOKUP($A665,'Childhood mortality'!$A$31:$G$46,4)</f>
        <v>1.7761086515104082E-4</v>
      </c>
      <c r="CO665" s="30">
        <f t="shared" si="112"/>
        <v>0.27</v>
      </c>
      <c r="CP665" s="30">
        <f t="shared" si="113"/>
        <v>3.6479999999999998E-4</v>
      </c>
      <c r="CQ665" s="30">
        <f t="shared" si="114"/>
        <v>0.72945758913484893</v>
      </c>
      <c r="CR665" s="30">
        <f>VLOOKUP($A665,'Childhood mortality'!$A$31:$G$46,4)</f>
        <v>1.7761086515104082E-4</v>
      </c>
      <c r="CS665" s="30">
        <f t="shared" si="115"/>
        <v>0.14000000000000001</v>
      </c>
      <c r="CT665" s="30">
        <f t="shared" si="116"/>
        <v>3.6479999999999998E-4</v>
      </c>
      <c r="CU665" s="30">
        <f t="shared" si="117"/>
        <v>0.44906659032295854</v>
      </c>
      <c r="CV665" s="30">
        <f t="shared" si="118"/>
        <v>0.41039099881189034</v>
      </c>
      <c r="CW665" s="30">
        <f>VLOOKUP($A665,'Childhood mortality'!$A$31:$G$46,4)</f>
        <v>1.7761086515104082E-4</v>
      </c>
      <c r="CX665" s="30">
        <f t="shared" si="119"/>
        <v>0.5714285714285714</v>
      </c>
      <c r="CY665" s="30">
        <f t="shared" si="120"/>
        <v>3.6479999999999998E-4</v>
      </c>
      <c r="CZ665" s="30">
        <f t="shared" si="121"/>
        <v>0.22364516175152999</v>
      </c>
      <c r="DA665" s="30">
        <f t="shared" si="122"/>
        <v>0.20438385595474751</v>
      </c>
      <c r="DB665" s="30">
        <f>VLOOKUP($A665,'Childhood mortality'!$A$31:$G$46,4)</f>
        <v>1.7761086515104082E-4</v>
      </c>
      <c r="DC665" s="30">
        <f t="shared" si="123"/>
        <v>0.99083142225601584</v>
      </c>
      <c r="DD665" s="30">
        <f t="shared" si="124"/>
        <v>3.6479999999999998E-4</v>
      </c>
      <c r="DE665" s="30">
        <f t="shared" si="74"/>
        <v>4.5071721941902995E-3</v>
      </c>
      <c r="DF665" s="30">
        <f t="shared" si="75"/>
        <v>4.1189946846428094E-3</v>
      </c>
      <c r="DG665" s="30">
        <f>VLOOKUP($A665,'Childhood mortality'!$A$31:$G$46,4)</f>
        <v>1.7761086515104082E-4</v>
      </c>
      <c r="DH665" s="30">
        <f t="shared" si="125"/>
        <v>0.999822389134849</v>
      </c>
      <c r="DJ665" s="284">
        <f t="shared" si="175"/>
        <v>0.31586382006189101</v>
      </c>
      <c r="DK665" s="31">
        <f t="shared" si="176"/>
        <v>0.34563109106248796</v>
      </c>
      <c r="DL665" s="31">
        <f t="shared" si="177"/>
        <v>0.17944322914802541</v>
      </c>
      <c r="DM665" s="31">
        <f t="shared" si="178"/>
        <v>2.6308700272078329E-2</v>
      </c>
      <c r="DN665" s="31">
        <f t="shared" si="179"/>
        <v>0.53798602693550568</v>
      </c>
      <c r="DO665" s="31">
        <f t="shared" si="180"/>
        <v>1.9206402023046881E-3</v>
      </c>
      <c r="DP665" s="286">
        <f t="shared" si="181"/>
        <v>7.3880550563471509E-2</v>
      </c>
      <c r="DQ665" s="31"/>
      <c r="DR665" s="284">
        <f t="shared" si="182"/>
        <v>17.445351098671878</v>
      </c>
      <c r="DS665" s="31">
        <f t="shared" si="183"/>
        <v>19.089415600117391</v>
      </c>
      <c r="DT665" s="31">
        <f t="shared" si="184"/>
        <v>10.086737527570442</v>
      </c>
      <c r="DU665" s="31">
        <f t="shared" si="185"/>
        <v>1.3979450871452113</v>
      </c>
      <c r="DV665" s="31">
        <f t="shared" si="186"/>
        <v>1.4449128665861022</v>
      </c>
      <c r="DW665" s="31">
        <f t="shared" si="187"/>
        <v>6.754991023098135E-2</v>
      </c>
      <c r="DX665" s="286">
        <f t="shared" si="188"/>
        <v>3.3552275442134434</v>
      </c>
      <c r="DZ665" s="30">
        <v>4</v>
      </c>
      <c r="EA665" s="30">
        <f>VLOOKUP($A665,'Childhood mortality'!$A$31:$G$46,3)</f>
        <v>8.9872033873531485E-5</v>
      </c>
      <c r="EB665" s="30">
        <f t="shared" si="126"/>
        <v>0.27</v>
      </c>
      <c r="EC665" s="30">
        <f t="shared" si="127"/>
        <v>3.6479999999999998E-4</v>
      </c>
      <c r="ED665" s="30">
        <f t="shared" si="128"/>
        <v>0.72954532796612637</v>
      </c>
      <c r="EE665" s="30">
        <f>VLOOKUP($A665,'Childhood mortality'!$A$31:$G$46,3)</f>
        <v>8.9872033873531485E-5</v>
      </c>
      <c r="EF665" s="30">
        <f t="shared" si="129"/>
        <v>0.27</v>
      </c>
      <c r="EG665" s="30">
        <f t="shared" si="130"/>
        <v>3.6479999999999998E-4</v>
      </c>
      <c r="EH665" s="30">
        <f t="shared" si="131"/>
        <v>0.72954532796612637</v>
      </c>
      <c r="EI665" s="30">
        <f>VLOOKUP($A665,'Childhood mortality'!$A$31:$G$46,3)</f>
        <v>8.9872033873531485E-5</v>
      </c>
      <c r="EJ665" s="30">
        <f t="shared" si="132"/>
        <v>0.14000000000000001</v>
      </c>
      <c r="EK665" s="30">
        <f t="shared" si="133"/>
        <v>3.6479999999999998E-4</v>
      </c>
      <c r="EL665" s="30">
        <f t="shared" si="134"/>
        <v>0.44911243386230099</v>
      </c>
      <c r="EM665" s="30">
        <f t="shared" si="135"/>
        <v>0.41043289410382533</v>
      </c>
      <c r="EN665" s="30">
        <f>VLOOKUP($A665,'Childhood mortality'!$A$31:$G$46,3)</f>
        <v>8.9872033873531485E-5</v>
      </c>
      <c r="EO665" s="30">
        <f t="shared" si="136"/>
        <v>0.5714285714285714</v>
      </c>
      <c r="EP665" s="30">
        <f t="shared" si="137"/>
        <v>3.6479999999999998E-4</v>
      </c>
      <c r="EQ665" s="30">
        <f t="shared" si="138"/>
        <v>0.22369100529087249</v>
      </c>
      <c r="ER665" s="30">
        <f t="shared" si="139"/>
        <v>0.20442575124668252</v>
      </c>
      <c r="ES665" s="30">
        <f>VLOOKUP($A665,'Childhood mortality'!$A$31:$G$46,3)</f>
        <v>8.9872033873531485E-5</v>
      </c>
      <c r="ET665" s="30">
        <f t="shared" si="140"/>
        <v>0.99091916108729328</v>
      </c>
      <c r="EU665" s="30">
        <f t="shared" si="141"/>
        <v>3.6479999999999998E-4</v>
      </c>
      <c r="EV665" s="30">
        <f t="shared" si="76"/>
        <v>4.5071721941902995E-3</v>
      </c>
      <c r="EW665" s="30">
        <f t="shared" si="77"/>
        <v>4.1189946846428094E-3</v>
      </c>
      <c r="EX665" s="30">
        <f>VLOOKUP($A665,'Childhood mortality'!$A$31:$G$46,3)</f>
        <v>8.9872033873531485E-5</v>
      </c>
      <c r="EY665" s="30">
        <f t="shared" si="142"/>
        <v>0.99991012796612644</v>
      </c>
      <c r="FA665" s="284">
        <f t="shared" si="189"/>
        <v>4.9630243065084025</v>
      </c>
      <c r="FB665" s="31">
        <f t="shared" si="190"/>
        <v>5.4307438746610277</v>
      </c>
      <c r="FC665" s="31">
        <f t="shared" si="191"/>
        <v>2.8196038626479254</v>
      </c>
      <c r="FD665" s="31">
        <f t="shared" si="192"/>
        <v>0.41317707363030393</v>
      </c>
      <c r="FE665" s="31">
        <f t="shared" si="193"/>
        <v>8.4064763553319946</v>
      </c>
      <c r="FF665" s="31">
        <f t="shared" si="194"/>
        <v>2.9942970758758319E-2</v>
      </c>
      <c r="FG665" s="286">
        <f t="shared" si="195"/>
        <v>1.9359974982158232</v>
      </c>
      <c r="FH665" s="31"/>
      <c r="FI665" s="284">
        <f t="shared" si="196"/>
        <v>128.08066582823372</v>
      </c>
      <c r="FJ665" s="31">
        <f t="shared" si="197"/>
        <v>140.15109506859082</v>
      </c>
      <c r="FK665" s="31">
        <f t="shared" si="198"/>
        <v>74.049978232405522</v>
      </c>
      <c r="FL665" s="31">
        <f t="shared" si="199"/>
        <v>10.260683331780914</v>
      </c>
      <c r="FM665" s="31">
        <f t="shared" si="200"/>
        <v>10.593011021755352</v>
      </c>
      <c r="FN665" s="31">
        <f t="shared" si="201"/>
        <v>0.49306009356136898</v>
      </c>
      <c r="FO665" s="286">
        <f t="shared" si="202"/>
        <v>48.004366789136796</v>
      </c>
      <c r="FQ665" s="30">
        <f t="shared" si="143"/>
        <v>999.99999999999977</v>
      </c>
      <c r="FR665" s="30" t="str">
        <f t="shared" si="78"/>
        <v>OKAY</v>
      </c>
      <c r="FT665" s="284">
        <f>($AB665-(VLOOKUP($A665,'Childhood asthma'!$A$36:$AG$50,7)*$AB665))+(SUM($AC665:$AG665)-(VLOOKUP($A665,'Childhood asthma'!$A$36:$AG$50,6)*SUM($AC665:$AG665)))+($AJ665-(VLOOKUP($A665,'Childhood asthma'!$A$36:$AG$50,9)*$AJ665))+(SUM($AK665:$AO665)-(VLOOKUP($A665,'Childhood asthma'!$A$36:$AG$50,8)*SUM($AK665:$AO665)))+($BS665-(VLOOKUP($A665,'Childhood asthma'!$A$36:$AG$50,3)*$BS665))+(SUM($BT665:$BX665)-(VLOOKUP($A665,'Childhood asthma'!$A$36:$AG$50,2)*SUM($BT665:$BX665)))+($CA665-(VLOOKUP($A665,'Childhood asthma'!$A$36:$AG$50,5)*$CA665))+(SUM($CB665:$CF665)-(VLOOKUP($A665,'Childhood asthma'!$A$36:$AG$50,4)*SUM($CB665:$CF665)))+($DJ665-(VLOOKUP($A665,'Childhood asthma'!$A$36:$AG$50,23)*$DJ665))+(SUM($DK665:$DO665)-(VLOOKUP($A665,'Childhood asthma'!$A$36:$AG$50,22)*SUM($DK665:$DO665)))+($DR665-(VLOOKUP($A665,'Childhood asthma'!$A$36:$AG$50,25)*$DR665))+(SUM($DS665:$DW665)-(VLOOKUP($A665,'Childhood asthma'!$A$36:$AG$50,24)*SUM($DS665:$DW665)))+($FA665-(VLOOKUP($A665,'Childhood asthma'!$A$36:$AG$50,19)*$FA665))+(SUM($FB665:$FF665)-(VLOOKUP($A665,'Childhood asthma'!$A$36:$AG$50,18)*SUM($FB665:$FF665)))+($FI665-(VLOOKUP($A665,'Childhood asthma'!$A$36:$AG$50,21)*$FI665))+(SUM($FJ665:$FN665)-(VLOOKUP($A665,'Childhood asthma'!$A$36:$AG$50,20)*SUM($FJ665:$FN665)))</f>
        <v>869.07944101023963</v>
      </c>
      <c r="FU665" s="31">
        <f>(VLOOKUP($A665,'Childhood asthma'!$A$36:$AG$50,7)*$AB665)+(VLOOKUP($A665,'Childhood asthma'!$A$36:$AG$50,6)*SUM($AC665:$AG665))+(VLOOKUP($A665,'Childhood asthma'!$A$36:$AG$50,9)*$AJ665)+(VLOOKUP($A665,'Childhood asthma'!$A$36:$AG$50,8)*SUM($AK665:$AO665))+(VLOOKUP($A665,'Childhood asthma'!$A$36:$AG$50,3)*$BS665)+(VLOOKUP($A665,'Childhood asthma'!$A$36:$AG$50,2)*SUM($BT665:$BX665))+(VLOOKUP($A665,'Childhood asthma'!$A$36:$AG$50,5)*$CA665)+(VLOOKUP($A665,'Childhood asthma'!$A$36:$AG$50,4)*SUM($CB665:$CF665))+(VLOOKUP($A665,'Childhood asthma'!$A$36:$AG$50,23)*$DJ665)+(VLOOKUP($A665,'Childhood asthma'!$A$36:$AG$50,22)*SUM($DK665:$DO665))+(VLOOKUP($A665,'Childhood asthma'!$A$36:$AG$50,25)*$DR665)+(VLOOKUP($A665,'Childhood asthma'!$A$36:$AG$50,24)*SUM($DS665:$DW665))+(VLOOKUP($A665,'Childhood asthma'!$A$36:$AG$50,19)*$FA665)+(VLOOKUP($A665,'Childhood asthma'!$A$36:$AG$50,18)*SUM($FB665:$FF665))+(VLOOKUP($A665,'Childhood asthma'!$A$36:$AG$50,21)*$FI665)+(VLOOKUP($A665,'Childhood asthma'!$A$36:$AG$50,20)*SUM($FJ665:$FN665))</f>
        <v>21.570747541831466</v>
      </c>
      <c r="FV665" s="31">
        <f t="shared" si="203"/>
        <v>890.65018855207109</v>
      </c>
      <c r="FW665" s="286">
        <f t="shared" si="204"/>
        <v>109.34981144792873</v>
      </c>
      <c r="FY665" s="265">
        <v>4</v>
      </c>
      <c r="FZ665" s="30">
        <f t="shared" si="205"/>
        <v>776.15018441197037</v>
      </c>
      <c r="GA665" s="281">
        <f t="shared" si="206"/>
        <v>3272.3327110607352</v>
      </c>
      <c r="GC665" s="265">
        <v>4</v>
      </c>
      <c r="GD665" s="30">
        <f t="shared" si="144"/>
        <v>774.27041838287266</v>
      </c>
      <c r="GE665" s="281">
        <f t="shared" si="207"/>
        <v>3261.4146286278738</v>
      </c>
      <c r="GG665" s="265">
        <v>4</v>
      </c>
      <c r="GH665" s="303">
        <f t="shared" si="208"/>
        <v>30655.518563152687</v>
      </c>
      <c r="GI665" s="304">
        <f t="shared" si="209"/>
        <v>3456027.1462474084</v>
      </c>
      <c r="GK665" s="265">
        <v>4</v>
      </c>
      <c r="GL665" s="287">
        <f t="shared" si="145"/>
        <v>0.89065018855207112</v>
      </c>
      <c r="GM665" s="287">
        <f t="shared" si="145"/>
        <v>0.10934981144792873</v>
      </c>
      <c r="GN665" s="288">
        <f t="shared" si="146"/>
        <v>2.1570747541831466E-2</v>
      </c>
      <c r="GP665" s="265">
        <v>4</v>
      </c>
      <c r="GQ665" s="303">
        <f t="shared" si="210"/>
        <v>30655.518563152687</v>
      </c>
      <c r="GR665" s="304">
        <f t="shared" si="211"/>
        <v>6558042.8702109465</v>
      </c>
      <c r="GT665" s="265">
        <v>4</v>
      </c>
      <c r="GU665" s="303">
        <f t="shared" si="212"/>
        <v>30655.518563152687</v>
      </c>
      <c r="GV665" s="304">
        <f t="shared" si="213"/>
        <v>3452987.1462474079</v>
      </c>
      <c r="GX665" s="265">
        <v>4</v>
      </c>
      <c r="GY665" s="303">
        <f t="shared" si="214"/>
        <v>30655.518563152687</v>
      </c>
      <c r="GZ665" s="304">
        <f t="shared" si="215"/>
        <v>6558042.8702109465</v>
      </c>
    </row>
    <row r="666" spans="1:208" s="30" customFormat="1" x14ac:dyDescent="0.25">
      <c r="A666" s="379">
        <v>5</v>
      </c>
      <c r="B666" s="30">
        <f>VLOOKUP($A666,'Childhood mortality'!$A$12:$G$27,4)</f>
        <v>1.2941550840665802E-4</v>
      </c>
      <c r="C666" s="30">
        <f t="shared" si="79"/>
        <v>0.27</v>
      </c>
      <c r="D666" s="30">
        <f t="shared" si="80"/>
        <v>3.9549999999999996E-4</v>
      </c>
      <c r="E666" s="30">
        <f t="shared" si="81"/>
        <v>0.72947508449159337</v>
      </c>
      <c r="F666" s="30">
        <f>VLOOKUP($A666,'Childhood mortality'!$A$12:$G$27,4)</f>
        <v>1.2941550840665802E-4</v>
      </c>
      <c r="G666" s="30">
        <f t="shared" si="82"/>
        <v>0.27</v>
      </c>
      <c r="H666" s="30">
        <f t="shared" si="83"/>
        <v>3.9549999999999996E-4</v>
      </c>
      <c r="I666" s="30">
        <f t="shared" si="84"/>
        <v>0.72947508449159337</v>
      </c>
      <c r="J666" s="30">
        <f>VLOOKUP($A666,'Childhood mortality'!$A$12:$G$27,4)</f>
        <v>1.2941550840665802E-4</v>
      </c>
      <c r="K666" s="30">
        <f t="shared" si="85"/>
        <v>0.14000000000000001</v>
      </c>
      <c r="L666" s="30">
        <f t="shared" si="86"/>
        <v>3.9549999999999996E-4</v>
      </c>
      <c r="M666" s="30">
        <f t="shared" si="66"/>
        <v>0.44907573164685749</v>
      </c>
      <c r="N666" s="30">
        <f t="shared" si="67"/>
        <v>0.41039935284473583</v>
      </c>
      <c r="O666" s="30">
        <f>VLOOKUP($A666,'Childhood mortality'!$A$12:$G$27,4)</f>
        <v>1.2941550840665802E-4</v>
      </c>
      <c r="P666" s="30">
        <f t="shared" si="87"/>
        <v>0.5714285714285714</v>
      </c>
      <c r="Q666" s="30">
        <f t="shared" si="88"/>
        <v>3.9549999999999996E-4</v>
      </c>
      <c r="R666" s="30">
        <f t="shared" si="68"/>
        <v>0.22365430307542894</v>
      </c>
      <c r="S666" s="30">
        <f t="shared" si="69"/>
        <v>0.20439220998759297</v>
      </c>
      <c r="T666" s="30">
        <f>VLOOKUP($A666,'Childhood mortality'!$A$12:$G$27,4)</f>
        <v>1.2941550840665802E-4</v>
      </c>
      <c r="U666" s="30">
        <f t="shared" si="89"/>
        <v>0.99084891761276028</v>
      </c>
      <c r="V666" s="30">
        <f t="shared" si="90"/>
        <v>3.9549999999999996E-4</v>
      </c>
      <c r="W666" s="30">
        <f t="shared" si="70"/>
        <v>4.5071721941902995E-3</v>
      </c>
      <c r="X666" s="30">
        <f t="shared" si="71"/>
        <v>4.1189946846428094E-3</v>
      </c>
      <c r="Y666" s="30">
        <f>VLOOKUP($A666,'Childhood mortality'!$A$12:$G$27,4)</f>
        <v>1.2941550840665802E-4</v>
      </c>
      <c r="Z666" s="30">
        <f t="shared" si="91"/>
        <v>0.99987058449159338</v>
      </c>
      <c r="AB666" s="284">
        <f t="shared" si="147"/>
        <v>0.32351144650526531</v>
      </c>
      <c r="AC666" s="31">
        <f t="shared" si="148"/>
        <v>0.35399943622827462</v>
      </c>
      <c r="AD666" s="31">
        <f t="shared" si="149"/>
        <v>0.18539908593371479</v>
      </c>
      <c r="AE666" s="31">
        <f t="shared" si="150"/>
        <v>2.6076401229846485E-2</v>
      </c>
      <c r="AF666" s="31">
        <f t="shared" si="151"/>
        <v>0.57036027049417892</v>
      </c>
      <c r="AG666" s="31">
        <f t="shared" si="152"/>
        <v>2.57358254660311E-3</v>
      </c>
      <c r="AH666" s="286">
        <f t="shared" si="153"/>
        <v>7.9564205032198174E-2</v>
      </c>
      <c r="AI666" s="31"/>
      <c r="AJ666" s="284">
        <f t="shared" si="154"/>
        <v>17.82697997442391</v>
      </c>
      <c r="AK666" s="31">
        <f t="shared" si="155"/>
        <v>19.507009500809414</v>
      </c>
      <c r="AL666" s="31">
        <f t="shared" si="156"/>
        <v>10.249469004879316</v>
      </c>
      <c r="AM666" s="31">
        <f t="shared" si="157"/>
        <v>1.4672575336539846</v>
      </c>
      <c r="AN666" s="31">
        <f t="shared" si="158"/>
        <v>2.3184573361737666</v>
      </c>
      <c r="AO666" s="31">
        <f t="shared" si="159"/>
        <v>9.0531344888318904E-2</v>
      </c>
      <c r="AP666" s="286">
        <f t="shared" si="160"/>
        <v>3.5860937003000202</v>
      </c>
      <c r="AR666" s="30">
        <v>5</v>
      </c>
      <c r="AS666" s="30">
        <f>VLOOKUP($A666,'Childhood mortality'!$A$12:$G$27,3)</f>
        <v>8.1380861695309857E-5</v>
      </c>
      <c r="AT666" s="30">
        <f t="shared" si="92"/>
        <v>0.27</v>
      </c>
      <c r="AU666" s="30">
        <f t="shared" si="93"/>
        <v>3.9549999999999996E-4</v>
      </c>
      <c r="AV666" s="30">
        <f t="shared" si="94"/>
        <v>0.7295231191383047</v>
      </c>
      <c r="AW666" s="30">
        <f>VLOOKUP($A666,'Childhood mortality'!$A$12:$G$27,3)</f>
        <v>8.1380861695309857E-5</v>
      </c>
      <c r="AX666" s="30">
        <f t="shared" si="95"/>
        <v>0.27</v>
      </c>
      <c r="AY666" s="30">
        <f t="shared" si="96"/>
        <v>3.9549999999999996E-4</v>
      </c>
      <c r="AZ666" s="30">
        <f t="shared" si="97"/>
        <v>0.7295231191383047</v>
      </c>
      <c r="BA666" s="30">
        <f>VLOOKUP($A666,'Childhood mortality'!$A$12:$G$27,3)</f>
        <v>8.1380861695309857E-5</v>
      </c>
      <c r="BB666" s="30">
        <f t="shared" si="98"/>
        <v>0.14000000000000001</v>
      </c>
      <c r="BC666" s="30">
        <f t="shared" si="99"/>
        <v>3.9549999999999996E-4</v>
      </c>
      <c r="BD666" s="30">
        <f t="shared" si="100"/>
        <v>0.44910082974976417</v>
      </c>
      <c r="BE666" s="30">
        <f t="shared" si="101"/>
        <v>0.41042228938854047</v>
      </c>
      <c r="BF666" s="30">
        <f>VLOOKUP($A666,'Childhood mortality'!$A$12:$G$27,3)</f>
        <v>8.1380861695309857E-5</v>
      </c>
      <c r="BG666" s="30">
        <f t="shared" si="102"/>
        <v>0.5714285714285714</v>
      </c>
      <c r="BH666" s="30">
        <f t="shared" si="103"/>
        <v>3.9549999999999996E-4</v>
      </c>
      <c r="BI666" s="30">
        <f t="shared" si="104"/>
        <v>0.22367940117833565</v>
      </c>
      <c r="BJ666" s="30">
        <f t="shared" si="105"/>
        <v>0.20441514653139764</v>
      </c>
      <c r="BK666" s="30">
        <f>VLOOKUP($A666,'Childhood mortality'!$A$12:$G$27,3)</f>
        <v>8.1380861695309857E-5</v>
      </c>
      <c r="BL666" s="30">
        <f t="shared" si="106"/>
        <v>0.99089695225947161</v>
      </c>
      <c r="BM666" s="30">
        <f t="shared" si="107"/>
        <v>3.9549999999999996E-4</v>
      </c>
      <c r="BN666" s="30">
        <f t="shared" si="72"/>
        <v>4.5071721941902995E-3</v>
      </c>
      <c r="BO666" s="30">
        <f t="shared" si="73"/>
        <v>4.1189946846428094E-3</v>
      </c>
      <c r="BP666" s="30">
        <f>VLOOKUP($A666,'Childhood mortality'!$A$12:$G$27,3)</f>
        <v>8.1380861695309857E-5</v>
      </c>
      <c r="BQ666" s="30">
        <f t="shared" si="108"/>
        <v>0.99991861913830471</v>
      </c>
      <c r="BS666" s="284">
        <f t="shared" si="161"/>
        <v>5.0900239303849482</v>
      </c>
      <c r="BT666" s="31">
        <f t="shared" si="162"/>
        <v>5.5697120494788166</v>
      </c>
      <c r="BU666" s="31">
        <f t="shared" si="163"/>
        <v>2.9169493095868191</v>
      </c>
      <c r="BV666" s="31">
        <f t="shared" si="164"/>
        <v>0.41029463924835152</v>
      </c>
      <c r="BW666" s="31">
        <f t="shared" si="165"/>
        <v>8.9148384932574007</v>
      </c>
      <c r="BX666" s="31">
        <f t="shared" si="166"/>
        <v>4.0203624149659514E-2</v>
      </c>
      <c r="BY666" s="286">
        <f t="shared" si="167"/>
        <v>0.15305991405801628</v>
      </c>
      <c r="BZ666" s="31"/>
      <c r="CA666" s="284">
        <f t="shared" si="168"/>
        <v>130.99919670141821</v>
      </c>
      <c r="CB666" s="31">
        <f t="shared" si="169"/>
        <v>143.34467073610679</v>
      </c>
      <c r="CC666" s="31">
        <f t="shared" si="170"/>
        <v>75.313610423427093</v>
      </c>
      <c r="CD666" s="31">
        <f t="shared" si="171"/>
        <v>10.78079113718881</v>
      </c>
      <c r="CE666" s="31">
        <f t="shared" si="172"/>
        <v>17.016101509221141</v>
      </c>
      <c r="CF666" s="31">
        <f t="shared" si="173"/>
        <v>0.66215255115029281</v>
      </c>
      <c r="CG666" s="286">
        <f t="shared" si="174"/>
        <v>52.201112158224767</v>
      </c>
      <c r="CI666" s="30">
        <v>5</v>
      </c>
      <c r="CJ666" s="30">
        <f>VLOOKUP($A666,'Childhood mortality'!$A$31:$G$46,4)</f>
        <v>1.2636685096480507E-4</v>
      </c>
      <c r="CK666" s="30">
        <f t="shared" si="109"/>
        <v>0.27</v>
      </c>
      <c r="CL666" s="30">
        <f t="shared" si="110"/>
        <v>3.9549999999999996E-4</v>
      </c>
      <c r="CM666" s="30">
        <f t="shared" si="111"/>
        <v>0.7294781331490352</v>
      </c>
      <c r="CN666" s="30">
        <f>VLOOKUP($A666,'Childhood mortality'!$A$31:$G$46,4)</f>
        <v>1.2636685096480507E-4</v>
      </c>
      <c r="CO666" s="30">
        <f t="shared" si="112"/>
        <v>0.27</v>
      </c>
      <c r="CP666" s="30">
        <f t="shared" si="113"/>
        <v>3.9549999999999996E-4</v>
      </c>
      <c r="CQ666" s="30">
        <f t="shared" si="114"/>
        <v>0.7294781331490352</v>
      </c>
      <c r="CR666" s="30">
        <f>VLOOKUP($A666,'Childhood mortality'!$A$31:$G$46,4)</f>
        <v>1.2636685096480507E-4</v>
      </c>
      <c r="CS666" s="30">
        <f t="shared" si="115"/>
        <v>0.14000000000000001</v>
      </c>
      <c r="CT666" s="30">
        <f t="shared" si="116"/>
        <v>3.9549999999999996E-4</v>
      </c>
      <c r="CU666" s="30">
        <f t="shared" si="117"/>
        <v>0.44907732457037086</v>
      </c>
      <c r="CV666" s="30">
        <f t="shared" si="118"/>
        <v>0.41040080857866429</v>
      </c>
      <c r="CW666" s="30">
        <f>VLOOKUP($A666,'Childhood mortality'!$A$31:$G$46,4)</f>
        <v>1.2636685096480507E-4</v>
      </c>
      <c r="CX666" s="30">
        <f t="shared" si="119"/>
        <v>0.5714285714285714</v>
      </c>
      <c r="CY666" s="30">
        <f t="shared" si="120"/>
        <v>3.9549999999999996E-4</v>
      </c>
      <c r="CZ666" s="30">
        <f t="shared" si="121"/>
        <v>0.22365589599894234</v>
      </c>
      <c r="DA666" s="30">
        <f t="shared" si="122"/>
        <v>0.20439366572152146</v>
      </c>
      <c r="DB666" s="30">
        <f>VLOOKUP($A666,'Childhood mortality'!$A$31:$G$46,4)</f>
        <v>1.2636685096480507E-4</v>
      </c>
      <c r="DC666" s="30">
        <f t="shared" si="123"/>
        <v>0.99085196627020211</v>
      </c>
      <c r="DD666" s="30">
        <f t="shared" si="124"/>
        <v>3.9549999999999996E-4</v>
      </c>
      <c r="DE666" s="30">
        <f t="shared" si="74"/>
        <v>4.5071721941902995E-3</v>
      </c>
      <c r="DF666" s="30">
        <f t="shared" si="75"/>
        <v>4.1189946846428094E-3</v>
      </c>
      <c r="DG666" s="30">
        <f>VLOOKUP($A666,'Childhood mortality'!$A$31:$G$46,4)</f>
        <v>1.2636685096480507E-4</v>
      </c>
      <c r="DH666" s="30">
        <f t="shared" si="125"/>
        <v>0.99987363314903521</v>
      </c>
      <c r="DJ666" s="284">
        <f t="shared" si="175"/>
        <v>0.31165268939872554</v>
      </c>
      <c r="DK666" s="31">
        <f t="shared" si="176"/>
        <v>0.34102309991797708</v>
      </c>
      <c r="DL666" s="31">
        <f t="shared" si="177"/>
        <v>0.17860362600358234</v>
      </c>
      <c r="DM666" s="31">
        <f t="shared" si="178"/>
        <v>2.5122052080723559E-2</v>
      </c>
      <c r="DN666" s="31">
        <f t="shared" si="179"/>
        <v>0.54809805562755587</v>
      </c>
      <c r="DO666" s="31">
        <f t="shared" si="180"/>
        <v>2.4761670961388222E-3</v>
      </c>
      <c r="DP666" s="286">
        <f t="shared" si="181"/>
        <v>7.4058368121061396E-2</v>
      </c>
      <c r="DQ666" s="31"/>
      <c r="DR666" s="284">
        <f t="shared" si="182"/>
        <v>17.157290098080541</v>
      </c>
      <c r="DS666" s="31">
        <f t="shared" si="183"/>
        <v>18.774207489522681</v>
      </c>
      <c r="DT666" s="31">
        <f t="shared" si="184"/>
        <v>9.864387008673102</v>
      </c>
      <c r="DU666" s="31">
        <f t="shared" si="185"/>
        <v>1.4121432538598619</v>
      </c>
      <c r="DV666" s="31">
        <f t="shared" si="186"/>
        <v>2.2305205190289312</v>
      </c>
      <c r="DW666" s="31">
        <f t="shared" si="187"/>
        <v>8.7104529403768491E-2</v>
      </c>
      <c r="DX666" s="286">
        <f t="shared" si="188"/>
        <v>3.361486735966563</v>
      </c>
      <c r="DZ666" s="30">
        <v>5</v>
      </c>
      <c r="EA666" s="30">
        <f>VLOOKUP($A666,'Childhood mortality'!$A$31:$G$46,3)</f>
        <v>7.9463762479872638E-5</v>
      </c>
      <c r="EB666" s="30">
        <f t="shared" si="126"/>
        <v>0.27</v>
      </c>
      <c r="EC666" s="30">
        <f t="shared" si="127"/>
        <v>3.9549999999999996E-4</v>
      </c>
      <c r="ED666" s="30">
        <f t="shared" si="128"/>
        <v>0.72952503623752007</v>
      </c>
      <c r="EE666" s="30">
        <f>VLOOKUP($A666,'Childhood mortality'!$A$31:$G$46,3)</f>
        <v>7.9463762479872638E-5</v>
      </c>
      <c r="EF666" s="30">
        <f t="shared" si="129"/>
        <v>0.27</v>
      </c>
      <c r="EG666" s="30">
        <f t="shared" si="130"/>
        <v>3.9549999999999996E-4</v>
      </c>
      <c r="EH666" s="30">
        <f t="shared" si="131"/>
        <v>0.72952503623752007</v>
      </c>
      <c r="EI666" s="30">
        <f>VLOOKUP($A666,'Childhood mortality'!$A$31:$G$46,3)</f>
        <v>7.9463762479872638E-5</v>
      </c>
      <c r="EJ666" s="30">
        <f t="shared" si="132"/>
        <v>0.14000000000000001</v>
      </c>
      <c r="EK666" s="30">
        <f t="shared" si="133"/>
        <v>3.9549999999999996E-4</v>
      </c>
      <c r="EL666" s="30">
        <f t="shared" si="134"/>
        <v>0.4491018314341042</v>
      </c>
      <c r="EM666" s="30">
        <f t="shared" si="135"/>
        <v>0.41042320480341582</v>
      </c>
      <c r="EN666" s="30">
        <f>VLOOKUP($A666,'Childhood mortality'!$A$31:$G$46,3)</f>
        <v>7.9463762479872638E-5</v>
      </c>
      <c r="EO666" s="30">
        <f t="shared" si="136"/>
        <v>0.5714285714285714</v>
      </c>
      <c r="EP666" s="30">
        <f t="shared" si="137"/>
        <v>3.9549999999999996E-4</v>
      </c>
      <c r="EQ666" s="30">
        <f t="shared" si="138"/>
        <v>0.22368040286267571</v>
      </c>
      <c r="ER666" s="30">
        <f t="shared" si="139"/>
        <v>0.20441606194627301</v>
      </c>
      <c r="ES666" s="30">
        <f>VLOOKUP($A666,'Childhood mortality'!$A$31:$G$46,3)</f>
        <v>7.9463762479872638E-5</v>
      </c>
      <c r="ET666" s="30">
        <f t="shared" si="140"/>
        <v>0.99089886935868698</v>
      </c>
      <c r="EU666" s="30">
        <f t="shared" si="141"/>
        <v>3.9549999999999996E-4</v>
      </c>
      <c r="EV666" s="30">
        <f t="shared" si="76"/>
        <v>4.5071721941902995E-3</v>
      </c>
      <c r="EW666" s="30">
        <f t="shared" si="77"/>
        <v>4.1189946846428094E-3</v>
      </c>
      <c r="EX666" s="30">
        <f>VLOOKUP($A666,'Childhood mortality'!$A$31:$G$46,3)</f>
        <v>7.9463762479872638E-5</v>
      </c>
      <c r="EY666" s="30">
        <f t="shared" si="142"/>
        <v>0.99992053623752009</v>
      </c>
      <c r="FA666" s="284">
        <f t="shared" si="189"/>
        <v>4.8969676023394664</v>
      </c>
      <c r="FB666" s="31">
        <f t="shared" si="190"/>
        <v>5.3584619313557527</v>
      </c>
      <c r="FC666" s="31">
        <f t="shared" si="191"/>
        <v>2.8063174089157465</v>
      </c>
      <c r="FD666" s="31">
        <f t="shared" si="192"/>
        <v>0.39474454077070958</v>
      </c>
      <c r="FE666" s="31">
        <f t="shared" si="193"/>
        <v>8.5660691007206111</v>
      </c>
      <c r="FF666" s="31">
        <f t="shared" si="194"/>
        <v>3.8654652952126355E-2</v>
      </c>
      <c r="FG666" s="286">
        <f t="shared" si="195"/>
        <v>1.9377507046998215</v>
      </c>
      <c r="FH666" s="31"/>
      <c r="FI666" s="284">
        <f t="shared" si="196"/>
        <v>125.97096279708835</v>
      </c>
      <c r="FJ666" s="31">
        <f t="shared" si="197"/>
        <v>137.84257185649983</v>
      </c>
      <c r="FK666" s="31">
        <f t="shared" si="198"/>
        <v>72.42257544214263</v>
      </c>
      <c r="FL666" s="31">
        <f t="shared" si="199"/>
        <v>10.366996952536773</v>
      </c>
      <c r="FM666" s="31">
        <f t="shared" si="200"/>
        <v>16.359850262722009</v>
      </c>
      <c r="FN666" s="31">
        <f t="shared" si="201"/>
        <v>0.63664097709363998</v>
      </c>
      <c r="FO666" s="286">
        <f t="shared" si="202"/>
        <v>48.033262077381259</v>
      </c>
      <c r="FQ666" s="30">
        <f t="shared" si="143"/>
        <v>1000</v>
      </c>
      <c r="FR666" s="30" t="str">
        <f t="shared" si="78"/>
        <v>OKAY</v>
      </c>
      <c r="FT666" s="284">
        <f>($AB666-(VLOOKUP($A666,'Childhood asthma'!$A$36:$AG$50,7)*$AB666))+(SUM($AC666:$AG666)-(VLOOKUP($A666,'Childhood asthma'!$A$36:$AG$50,6)*SUM($AC666:$AG666)))+($AJ666-(VLOOKUP($A666,'Childhood asthma'!$A$36:$AG$50,9)*$AJ666))+(SUM($AK666:$AO666)-(VLOOKUP($A666,'Childhood asthma'!$A$36:$AG$50,8)*SUM($AK666:$AO666)))+($BS666-(VLOOKUP($A666,'Childhood asthma'!$A$36:$AG$50,3)*$BS666))+(SUM($BT666:$BX666)-(VLOOKUP($A666,'Childhood asthma'!$A$36:$AG$50,2)*SUM($BT666:$BX666)))+($CA666-(VLOOKUP($A666,'Childhood asthma'!$A$36:$AG$50,5)*$CA666))+(SUM($CB666:$CF666)-(VLOOKUP($A666,'Childhood asthma'!$A$36:$AG$50,4)*SUM($CB666:$CF666)))+($DJ666-(VLOOKUP($A666,'Childhood asthma'!$A$36:$AG$50,23)*$DJ666))+(SUM($DK666:$DO666)-(VLOOKUP($A666,'Childhood asthma'!$A$36:$AG$50,22)*SUM($DK666:$DO666)))+($DR666-(VLOOKUP($A666,'Childhood asthma'!$A$36:$AG$50,25)*$DR666))+(SUM($DS666:$DW666)-(VLOOKUP($A666,'Childhood asthma'!$A$36:$AG$50,24)*SUM($DS666:$DW666)))+($FA666-(VLOOKUP($A666,'Childhood asthma'!$A$36:$AG$50,19)*$FA666))+(SUM($FB666:$FF666)-(VLOOKUP($A666,'Childhood asthma'!$A$36:$AG$50,18)*SUM($FB666:$FF666)))+($FI666-(VLOOKUP($A666,'Childhood asthma'!$A$36:$AG$50,21)*$FI666))+(SUM($FJ666:$FN666)-(VLOOKUP($A666,'Childhood asthma'!$A$36:$AG$50,20)*SUM($FJ666:$FN666)))</f>
        <v>787.14652512157636</v>
      </c>
      <c r="FU666" s="31">
        <f>(VLOOKUP($A666,'Childhood asthma'!$A$36:$AG$50,7)*$AB666)+(VLOOKUP($A666,'Childhood asthma'!$A$36:$AG$50,6)*SUM($AC666:$AG666))+(VLOOKUP($A666,'Childhood asthma'!$A$36:$AG$50,9)*$AJ666)+(VLOOKUP($A666,'Childhood asthma'!$A$36:$AG$50,8)*SUM($AK666:$AO666))+(VLOOKUP($A666,'Childhood asthma'!$A$36:$AG$50,3)*$BS666)+(VLOOKUP($A666,'Childhood asthma'!$A$36:$AG$50,2)*SUM($BT666:$BX666))+(VLOOKUP($A666,'Childhood asthma'!$A$36:$AG$50,5)*$CA666)+(VLOOKUP($A666,'Childhood asthma'!$A$36:$AG$50,4)*SUM($CB666:$CF666))+(VLOOKUP($A666,'Childhood asthma'!$A$36:$AG$50,23)*$DJ666)+(VLOOKUP($A666,'Childhood asthma'!$A$36:$AG$50,22)*SUM($DK666:$DO666))+(VLOOKUP($A666,'Childhood asthma'!$A$36:$AG$50,25)*$DR666)+(VLOOKUP($A666,'Childhood asthma'!$A$36:$AG$50,24)*SUM($DS666:$DW666))+(VLOOKUP($A666,'Childhood asthma'!$A$36:$AG$50,19)*$FA666)+(VLOOKUP($A666,'Childhood asthma'!$A$36:$AG$50,18)*SUM($FB666:$FF666))+(VLOOKUP($A666,'Childhood asthma'!$A$36:$AG$50,21)*$FI666)+(VLOOKUP($A666,'Childhood asthma'!$A$36:$AG$50,20)*SUM($FJ666:$FN666))</f>
        <v>103.42708701463982</v>
      </c>
      <c r="FV666" s="31">
        <f t="shared" si="203"/>
        <v>890.57361213621618</v>
      </c>
      <c r="FW666" s="286">
        <f t="shared" si="204"/>
        <v>109.42638786378372</v>
      </c>
      <c r="FY666" s="265">
        <v>5</v>
      </c>
      <c r="FZ666" s="30">
        <f t="shared" si="205"/>
        <v>749.8390845309649</v>
      </c>
      <c r="GA666" s="281">
        <f t="shared" si="206"/>
        <v>4022.1717955917002</v>
      </c>
      <c r="GC666" s="265">
        <v>5</v>
      </c>
      <c r="GD666" s="30">
        <f t="shared" si="144"/>
        <v>741.13080133169808</v>
      </c>
      <c r="GE666" s="281">
        <f t="shared" si="207"/>
        <v>4002.5454299595717</v>
      </c>
      <c r="GG666" s="265">
        <v>5</v>
      </c>
      <c r="GH666" s="303">
        <f t="shared" si="208"/>
        <v>141527.87341269827</v>
      </c>
      <c r="GI666" s="304">
        <f t="shared" si="209"/>
        <v>3597555.0196601069</v>
      </c>
      <c r="GK666" s="265">
        <v>5</v>
      </c>
      <c r="GL666" s="287">
        <f t="shared" si="145"/>
        <v>0.89057361213621622</v>
      </c>
      <c r="GM666" s="287">
        <f t="shared" si="145"/>
        <v>0.10942638786378371</v>
      </c>
      <c r="GN666" s="288">
        <f t="shared" si="146"/>
        <v>0.10342708701463982</v>
      </c>
      <c r="GP666" s="265">
        <v>5</v>
      </c>
      <c r="GQ666" s="303">
        <f t="shared" si="210"/>
        <v>141527.87341269827</v>
      </c>
      <c r="GR666" s="304">
        <f t="shared" si="211"/>
        <v>6699570.743623645</v>
      </c>
      <c r="GT666" s="265">
        <v>5</v>
      </c>
      <c r="GU666" s="303">
        <f t="shared" si="212"/>
        <v>141527.87341269827</v>
      </c>
      <c r="GV666" s="304">
        <f t="shared" si="213"/>
        <v>3594515.0196601059</v>
      </c>
      <c r="GX666" s="265">
        <v>5</v>
      </c>
      <c r="GY666" s="303">
        <f t="shared" si="214"/>
        <v>141527.87341269827</v>
      </c>
      <c r="GZ666" s="304">
        <f t="shared" si="215"/>
        <v>6699570.743623645</v>
      </c>
    </row>
    <row r="667" spans="1:208" s="30" customFormat="1" x14ac:dyDescent="0.25">
      <c r="A667" s="379">
        <v>6</v>
      </c>
      <c r="B667" s="30">
        <f>VLOOKUP($A667,'Childhood mortality'!$A$12:$G$27,4)</f>
        <v>1.1905007310435797E-4</v>
      </c>
      <c r="C667" s="30">
        <f t="shared" si="79"/>
        <v>0.27</v>
      </c>
      <c r="D667" s="30">
        <f t="shared" si="80"/>
        <v>4.2680000000000002E-4</v>
      </c>
      <c r="E667" s="30">
        <f t="shared" si="81"/>
        <v>0.72945414992689572</v>
      </c>
      <c r="F667" s="30">
        <f>VLOOKUP($A667,'Childhood mortality'!$A$12:$G$27,4)</f>
        <v>1.1905007310435797E-4</v>
      </c>
      <c r="G667" s="30">
        <f t="shared" si="82"/>
        <v>0.27</v>
      </c>
      <c r="H667" s="30">
        <f t="shared" si="83"/>
        <v>4.2680000000000002E-4</v>
      </c>
      <c r="I667" s="30">
        <f t="shared" si="84"/>
        <v>0.72945414992689572</v>
      </c>
      <c r="J667" s="30">
        <f>VLOOKUP($A667,'Childhood mortality'!$A$12:$G$27,4)</f>
        <v>1.1905007310435797E-4</v>
      </c>
      <c r="K667" s="30">
        <f t="shared" si="85"/>
        <v>0.14000000000000001</v>
      </c>
      <c r="L667" s="30">
        <f t="shared" si="86"/>
        <v>4.2680000000000002E-4</v>
      </c>
      <c r="M667" s="30">
        <f t="shared" si="66"/>
        <v>0.44906479333680299</v>
      </c>
      <c r="N667" s="30">
        <f t="shared" si="67"/>
        <v>0.41038935659009268</v>
      </c>
      <c r="O667" s="30">
        <f>VLOOKUP($A667,'Childhood mortality'!$A$12:$G$27,4)</f>
        <v>1.1905007310435797E-4</v>
      </c>
      <c r="P667" s="30">
        <f t="shared" si="87"/>
        <v>0.5714285714285714</v>
      </c>
      <c r="Q667" s="30">
        <f t="shared" si="88"/>
        <v>4.2680000000000002E-4</v>
      </c>
      <c r="R667" s="30">
        <f t="shared" si="68"/>
        <v>0.22364336476537441</v>
      </c>
      <c r="S667" s="30">
        <f t="shared" si="69"/>
        <v>0.20438221373294985</v>
      </c>
      <c r="T667" s="30">
        <f>VLOOKUP($A667,'Childhood mortality'!$A$12:$G$27,4)</f>
        <v>1.1905007310435797E-4</v>
      </c>
      <c r="U667" s="30">
        <f t="shared" si="89"/>
        <v>0.99082798304806263</v>
      </c>
      <c r="V667" s="30">
        <f t="shared" si="90"/>
        <v>4.2680000000000002E-4</v>
      </c>
      <c r="W667" s="30">
        <f t="shared" si="70"/>
        <v>4.5071721941902995E-3</v>
      </c>
      <c r="X667" s="30">
        <f t="shared" si="71"/>
        <v>4.1189946846428094E-3</v>
      </c>
      <c r="Y667" s="30">
        <f>VLOOKUP($A667,'Childhood mortality'!$A$12:$G$27,4)</f>
        <v>1.1905007310435797E-4</v>
      </c>
      <c r="Z667" s="30">
        <f t="shared" si="91"/>
        <v>0.99988094992689569</v>
      </c>
      <c r="AB667" s="284">
        <f t="shared" si="147"/>
        <v>0.31975144232288882</v>
      </c>
      <c r="AC667" s="31">
        <f t="shared" si="148"/>
        <v>0.34988508610200925</v>
      </c>
      <c r="AD667" s="31">
        <f t="shared" si="149"/>
        <v>0.18292793833805579</v>
      </c>
      <c r="AE667" s="31">
        <f t="shared" si="150"/>
        <v>2.5955872030720074E-2</v>
      </c>
      <c r="AF667" s="31">
        <f t="shared" si="151"/>
        <v>0.58002971712726414</v>
      </c>
      <c r="AG667" s="31">
        <f t="shared" si="152"/>
        <v>3.1961253075317953E-3</v>
      </c>
      <c r="AH667" s="286">
        <f t="shared" si="153"/>
        <v>7.973824674161166E-2</v>
      </c>
      <c r="AI667" s="31"/>
      <c r="AJ667" s="284">
        <f t="shared" si="154"/>
        <v>17.519668569598529</v>
      </c>
      <c r="AK667" s="31">
        <f t="shared" si="155"/>
        <v>19.170736811759649</v>
      </c>
      <c r="AL667" s="31">
        <f t="shared" si="156"/>
        <v>10.080177158312997</v>
      </c>
      <c r="AM667" s="31">
        <f t="shared" si="157"/>
        <v>1.4349256606831045</v>
      </c>
      <c r="AN667" s="31">
        <f t="shared" si="158"/>
        <v>3.1356252825577426</v>
      </c>
      <c r="AO667" s="31">
        <f t="shared" si="159"/>
        <v>0.11244493031084628</v>
      </c>
      <c r="AP667" s="286">
        <f t="shared" si="160"/>
        <v>3.5922199819058682</v>
      </c>
      <c r="AR667" s="30">
        <v>6</v>
      </c>
      <c r="AS667" s="30">
        <f>VLOOKUP($A667,'Childhood mortality'!$A$12:$G$27,3)</f>
        <v>7.486272436282332E-5</v>
      </c>
      <c r="AT667" s="30">
        <f t="shared" si="92"/>
        <v>0.27</v>
      </c>
      <c r="AU667" s="30">
        <f t="shared" si="93"/>
        <v>4.2680000000000002E-4</v>
      </c>
      <c r="AV667" s="30">
        <f t="shared" si="94"/>
        <v>0.72949833727563718</v>
      </c>
      <c r="AW667" s="30">
        <f>VLOOKUP($A667,'Childhood mortality'!$A$12:$G$27,3)</f>
        <v>7.486272436282332E-5</v>
      </c>
      <c r="AX667" s="30">
        <f t="shared" si="95"/>
        <v>0.27</v>
      </c>
      <c r="AY667" s="30">
        <f t="shared" si="96"/>
        <v>4.2680000000000002E-4</v>
      </c>
      <c r="AZ667" s="30">
        <f t="shared" si="97"/>
        <v>0.72949833727563718</v>
      </c>
      <c r="BA667" s="30">
        <f>VLOOKUP($A667,'Childhood mortality'!$A$12:$G$27,3)</f>
        <v>7.486272436282332E-5</v>
      </c>
      <c r="BB667" s="30">
        <f t="shared" si="98"/>
        <v>0.14000000000000001</v>
      </c>
      <c r="BC667" s="30">
        <f t="shared" si="99"/>
        <v>4.2680000000000002E-4</v>
      </c>
      <c r="BD667" s="30">
        <f t="shared" si="100"/>
        <v>0.44908788122652038</v>
      </c>
      <c r="BE667" s="30">
        <f t="shared" si="101"/>
        <v>0.41041045604911675</v>
      </c>
      <c r="BF667" s="30">
        <f>VLOOKUP($A667,'Childhood mortality'!$A$12:$G$27,3)</f>
        <v>7.486272436282332E-5</v>
      </c>
      <c r="BG667" s="30">
        <f t="shared" si="102"/>
        <v>0.5714285714285714</v>
      </c>
      <c r="BH667" s="30">
        <f t="shared" si="103"/>
        <v>4.2680000000000002E-4</v>
      </c>
      <c r="BI667" s="30">
        <f t="shared" si="104"/>
        <v>0.22366645265509189</v>
      </c>
      <c r="BJ667" s="30">
        <f t="shared" si="105"/>
        <v>0.20440331319197394</v>
      </c>
      <c r="BK667" s="30">
        <f>VLOOKUP($A667,'Childhood mortality'!$A$12:$G$27,3)</f>
        <v>7.486272436282332E-5</v>
      </c>
      <c r="BL667" s="30">
        <f t="shared" si="106"/>
        <v>0.99087217039680409</v>
      </c>
      <c r="BM667" s="30">
        <f t="shared" si="107"/>
        <v>4.2680000000000002E-4</v>
      </c>
      <c r="BN667" s="30">
        <f t="shared" si="72"/>
        <v>4.5071721941902995E-3</v>
      </c>
      <c r="BO667" s="30">
        <f t="shared" si="73"/>
        <v>4.1189946846428094E-3</v>
      </c>
      <c r="BP667" s="30">
        <f>VLOOKUP($A667,'Childhood mortality'!$A$12:$G$27,3)</f>
        <v>7.486272436282332E-5</v>
      </c>
      <c r="BQ667" s="30">
        <f t="shared" si="108"/>
        <v>0.99992513727563714</v>
      </c>
      <c r="BS667" s="284">
        <f t="shared" si="161"/>
        <v>5.0308962463441516</v>
      </c>
      <c r="BT667" s="31">
        <f t="shared" si="162"/>
        <v>5.5050121229629703</v>
      </c>
      <c r="BU667" s="31">
        <f t="shared" si="163"/>
        <v>2.8781287145632168</v>
      </c>
      <c r="BV667" s="31">
        <f t="shared" si="164"/>
        <v>0.4083729033421547</v>
      </c>
      <c r="BW667" s="31">
        <f t="shared" si="165"/>
        <v>9.0679194461214223</v>
      </c>
      <c r="BX667" s="31">
        <f t="shared" si="166"/>
        <v>4.9975110499317375E-2</v>
      </c>
      <c r="BY667" s="286">
        <f t="shared" si="167"/>
        <v>0.15477741633077974</v>
      </c>
      <c r="BZ667" s="31"/>
      <c r="CA667" s="284">
        <f t="shared" si="168"/>
        <v>128.7469080376548</v>
      </c>
      <c r="CB667" s="31">
        <f t="shared" si="169"/>
        <v>140.88012450193639</v>
      </c>
      <c r="CC667" s="31">
        <f t="shared" si="170"/>
        <v>74.072844208131755</v>
      </c>
      <c r="CD667" s="31">
        <f t="shared" si="171"/>
        <v>10.543905459279793</v>
      </c>
      <c r="CE667" s="31">
        <f t="shared" si="172"/>
        <v>23.021233512527893</v>
      </c>
      <c r="CF667" s="31">
        <f t="shared" si="173"/>
        <v>0.82320050593891192</v>
      </c>
      <c r="CG667" s="286">
        <f t="shared" si="174"/>
        <v>52.229418991267529</v>
      </c>
      <c r="CI667" s="30">
        <v>6</v>
      </c>
      <c r="CJ667" s="30">
        <f>VLOOKUP($A667,'Childhood mortality'!$A$31:$G$46,4)</f>
        <v>1.1645871427878295E-4</v>
      </c>
      <c r="CK667" s="30">
        <f t="shared" si="109"/>
        <v>0.27</v>
      </c>
      <c r="CL667" s="30">
        <f t="shared" si="110"/>
        <v>4.2680000000000002E-4</v>
      </c>
      <c r="CM667" s="30">
        <f t="shared" si="111"/>
        <v>0.72945674128572124</v>
      </c>
      <c r="CN667" s="30">
        <f>VLOOKUP($A667,'Childhood mortality'!$A$31:$G$46,4)</f>
        <v>1.1645871427878295E-4</v>
      </c>
      <c r="CO667" s="30">
        <f t="shared" si="112"/>
        <v>0.27</v>
      </c>
      <c r="CP667" s="30">
        <f t="shared" si="113"/>
        <v>4.2680000000000002E-4</v>
      </c>
      <c r="CQ667" s="30">
        <f t="shared" si="114"/>
        <v>0.72945674128572124</v>
      </c>
      <c r="CR667" s="30">
        <f>VLOOKUP($A667,'Childhood mortality'!$A$31:$G$46,4)</f>
        <v>1.1645871427878295E-4</v>
      </c>
      <c r="CS667" s="30">
        <f t="shared" si="115"/>
        <v>0.14000000000000001</v>
      </c>
      <c r="CT667" s="30">
        <f t="shared" si="116"/>
        <v>4.2680000000000002E-4</v>
      </c>
      <c r="CU667" s="30">
        <f t="shared" si="117"/>
        <v>0.44906614732178934</v>
      </c>
      <c r="CV667" s="30">
        <f t="shared" si="118"/>
        <v>0.4103905939639319</v>
      </c>
      <c r="CW667" s="30">
        <f>VLOOKUP($A667,'Childhood mortality'!$A$31:$G$46,4)</f>
        <v>1.1645871427878295E-4</v>
      </c>
      <c r="CX667" s="30">
        <f t="shared" si="119"/>
        <v>0.5714285714285714</v>
      </c>
      <c r="CY667" s="30">
        <f t="shared" si="120"/>
        <v>4.2680000000000002E-4</v>
      </c>
      <c r="CZ667" s="30">
        <f t="shared" si="121"/>
        <v>0.22364471875036079</v>
      </c>
      <c r="DA667" s="30">
        <f t="shared" si="122"/>
        <v>0.20438345110678904</v>
      </c>
      <c r="DB667" s="30">
        <f>VLOOKUP($A667,'Childhood mortality'!$A$31:$G$46,4)</f>
        <v>1.1645871427878295E-4</v>
      </c>
      <c r="DC667" s="30">
        <f t="shared" si="123"/>
        <v>0.99083057440688815</v>
      </c>
      <c r="DD667" s="30">
        <f t="shared" si="124"/>
        <v>4.2680000000000002E-4</v>
      </c>
      <c r="DE667" s="30">
        <f t="shared" si="74"/>
        <v>4.5071721941902995E-3</v>
      </c>
      <c r="DF667" s="30">
        <f t="shared" si="75"/>
        <v>4.1189946846428094E-3</v>
      </c>
      <c r="DG667" s="30">
        <f>VLOOKUP($A667,'Childhood mortality'!$A$31:$G$46,4)</f>
        <v>1.1645871427878295E-4</v>
      </c>
      <c r="DH667" s="30">
        <f t="shared" si="125"/>
        <v>0.99988354128572121</v>
      </c>
      <c r="DJ667" s="284">
        <f t="shared" si="175"/>
        <v>0.30802654806238322</v>
      </c>
      <c r="DK667" s="31">
        <f t="shared" si="176"/>
        <v>0.33705522798449256</v>
      </c>
      <c r="DL667" s="31">
        <f t="shared" si="177"/>
        <v>0.17622246311550971</v>
      </c>
      <c r="DM667" s="31">
        <f t="shared" si="178"/>
        <v>2.5004507640501529E-2</v>
      </c>
      <c r="DN667" s="31">
        <f t="shared" si="179"/>
        <v>0.55742776962059171</v>
      </c>
      <c r="DO667" s="31">
        <f t="shared" si="180"/>
        <v>3.0753191213310576E-3</v>
      </c>
      <c r="DP667" s="286">
        <f t="shared" si="181"/>
        <v>7.4222222700954826E-2</v>
      </c>
      <c r="DQ667" s="31"/>
      <c r="DR667" s="284">
        <f t="shared" si="182"/>
        <v>16.861558781661969</v>
      </c>
      <c r="DS667" s="31">
        <f t="shared" si="183"/>
        <v>18.450606206111782</v>
      </c>
      <c r="DT667" s="31">
        <f t="shared" si="184"/>
        <v>9.70150434865287</v>
      </c>
      <c r="DU667" s="31">
        <f t="shared" si="185"/>
        <v>1.3810141812142345</v>
      </c>
      <c r="DV667" s="31">
        <f t="shared" si="186"/>
        <v>3.0170069293014219</v>
      </c>
      <c r="DW667" s="31">
        <f t="shared" si="187"/>
        <v>0.10819475776622595</v>
      </c>
      <c r="DX667" s="286">
        <f t="shared" si="188"/>
        <v>3.3672544298269478</v>
      </c>
      <c r="DZ667" s="30">
        <v>6</v>
      </c>
      <c r="EA667" s="30">
        <f>VLOOKUP($A667,'Childhood mortality'!$A$31:$G$46,3)</f>
        <v>7.3233190029701686E-5</v>
      </c>
      <c r="EB667" s="30">
        <f t="shared" si="126"/>
        <v>0.27</v>
      </c>
      <c r="EC667" s="30">
        <f t="shared" si="127"/>
        <v>4.2680000000000002E-4</v>
      </c>
      <c r="ED667" s="30">
        <f t="shared" si="128"/>
        <v>0.72949996680997031</v>
      </c>
      <c r="EE667" s="30">
        <f>VLOOKUP($A667,'Childhood mortality'!$A$31:$G$46,3)</f>
        <v>7.3233190029701686E-5</v>
      </c>
      <c r="EF667" s="30">
        <f t="shared" si="129"/>
        <v>0.27</v>
      </c>
      <c r="EG667" s="30">
        <f t="shared" si="130"/>
        <v>4.2680000000000002E-4</v>
      </c>
      <c r="EH667" s="30">
        <f t="shared" si="131"/>
        <v>0.72949996680997031</v>
      </c>
      <c r="EI667" s="30">
        <f>VLOOKUP($A667,'Childhood mortality'!$A$31:$G$46,3)</f>
        <v>7.3233190029701686E-5</v>
      </c>
      <c r="EJ667" s="30">
        <f t="shared" si="132"/>
        <v>0.14000000000000001</v>
      </c>
      <c r="EK667" s="30">
        <f t="shared" si="133"/>
        <v>4.2680000000000002E-4</v>
      </c>
      <c r="EL667" s="30">
        <f t="shared" si="134"/>
        <v>0.44908873265820948</v>
      </c>
      <c r="EM667" s="30">
        <f t="shared" si="135"/>
        <v>0.41041123415176078</v>
      </c>
      <c r="EN667" s="30">
        <f>VLOOKUP($A667,'Childhood mortality'!$A$31:$G$46,3)</f>
        <v>7.3233190029701686E-5</v>
      </c>
      <c r="EO667" s="30">
        <f t="shared" si="136"/>
        <v>0.5714285714285714</v>
      </c>
      <c r="EP667" s="30">
        <f t="shared" si="137"/>
        <v>4.2680000000000002E-4</v>
      </c>
      <c r="EQ667" s="30">
        <f t="shared" si="138"/>
        <v>0.22366730408678093</v>
      </c>
      <c r="ER667" s="30">
        <f t="shared" si="139"/>
        <v>0.20440409129461798</v>
      </c>
      <c r="ES667" s="30">
        <f>VLOOKUP($A667,'Childhood mortality'!$A$31:$G$46,3)</f>
        <v>7.3233190029701686E-5</v>
      </c>
      <c r="ET667" s="30">
        <f t="shared" si="140"/>
        <v>0.99087379993113722</v>
      </c>
      <c r="EU667" s="30">
        <f t="shared" si="141"/>
        <v>4.2680000000000002E-4</v>
      </c>
      <c r="EV667" s="30">
        <f t="shared" si="76"/>
        <v>4.5071721941902995E-3</v>
      </c>
      <c r="EW667" s="30">
        <f t="shared" si="77"/>
        <v>4.1189946846428094E-3</v>
      </c>
      <c r="EX667" s="30">
        <f>VLOOKUP($A667,'Childhood mortality'!$A$31:$G$46,3)</f>
        <v>7.3233190029701686E-5</v>
      </c>
      <c r="EY667" s="30">
        <f t="shared" si="142"/>
        <v>0.99992676680997028</v>
      </c>
      <c r="FA667" s="284">
        <f t="shared" si="189"/>
        <v>4.840052886834723</v>
      </c>
      <c r="FB667" s="31">
        <f t="shared" si="190"/>
        <v>5.2961835253845937</v>
      </c>
      <c r="FC667" s="31">
        <f t="shared" si="191"/>
        <v>2.7689659740977097</v>
      </c>
      <c r="FD667" s="31">
        <f t="shared" si="192"/>
        <v>0.39288443724820454</v>
      </c>
      <c r="FE667" s="31">
        <f t="shared" si="193"/>
        <v>8.7134617493155648</v>
      </c>
      <c r="FF667" s="31">
        <f t="shared" si="194"/>
        <v>4.805105100587604E-2</v>
      </c>
      <c r="FG667" s="286">
        <f t="shared" si="195"/>
        <v>1.9393663178675624</v>
      </c>
      <c r="FH667" s="31"/>
      <c r="FI667" s="284">
        <f t="shared" si="196"/>
        <v>123.80529447496578</v>
      </c>
      <c r="FJ667" s="31">
        <f t="shared" si="197"/>
        <v>135.472809137528</v>
      </c>
      <c r="FK667" s="31">
        <f t="shared" si="198"/>
        <v>71.229654356468814</v>
      </c>
      <c r="FL667" s="31">
        <f t="shared" si="199"/>
        <v>10.139160561899969</v>
      </c>
      <c r="FM667" s="31">
        <f t="shared" si="200"/>
        <v>22.134545254720212</v>
      </c>
      <c r="FN667" s="31">
        <f t="shared" si="201"/>
        <v>0.79150694402431399</v>
      </c>
      <c r="FO667" s="286">
        <f t="shared" si="202"/>
        <v>48.059889635857409</v>
      </c>
      <c r="FQ667" s="30">
        <f t="shared" si="143"/>
        <v>1000</v>
      </c>
      <c r="FR667" s="30" t="str">
        <f t="shared" si="78"/>
        <v>OKAY</v>
      </c>
      <c r="FT667" s="284">
        <f>($AB667-(VLOOKUP($A667,'Childhood asthma'!$A$36:$AG$50,7)*$AB667))+(SUM($AC667:$AG667)-(VLOOKUP($A667,'Childhood asthma'!$A$36:$AG$50,6)*SUM($AC667:$AG667)))+($AJ667-(VLOOKUP($A667,'Childhood asthma'!$A$36:$AG$50,9)*$AJ667))+(SUM($AK667:$AO667)-(VLOOKUP($A667,'Childhood asthma'!$A$36:$AG$50,8)*SUM($AK667:$AO667)))+($BS667-(VLOOKUP($A667,'Childhood asthma'!$A$36:$AG$50,3)*$BS667))+(SUM($BT667:$BX667)-(VLOOKUP($A667,'Childhood asthma'!$A$36:$AG$50,2)*SUM($BT667:$BX667)))+($CA667-(VLOOKUP($A667,'Childhood asthma'!$A$36:$AG$50,5)*$CA667))+(SUM($CB667:$CF667)-(VLOOKUP($A667,'Childhood asthma'!$A$36:$AG$50,4)*SUM($CB667:$CF667)))+($DJ667-(VLOOKUP($A667,'Childhood asthma'!$A$36:$AG$50,23)*$DJ667))+(SUM($DK667:$DO667)-(VLOOKUP($A667,'Childhood asthma'!$A$36:$AG$50,22)*SUM($DK667:$DO667)))+($DR667-(VLOOKUP($A667,'Childhood asthma'!$A$36:$AG$50,25)*$DR667))+(SUM($DS667:$DW667)-(VLOOKUP($A667,'Childhood asthma'!$A$36:$AG$50,24)*SUM($DS667:$DW667)))+($FA667-(VLOOKUP($A667,'Childhood asthma'!$A$36:$AG$50,19)*$FA667))+(SUM($FB667:$FF667)-(VLOOKUP($A667,'Childhood asthma'!$A$36:$AG$50,18)*SUM($FB667:$FF667)))+($FI667-(VLOOKUP($A667,'Childhood asthma'!$A$36:$AG$50,21)*$FI667))+(SUM($FJ667:$FN667)-(VLOOKUP($A667,'Childhood asthma'!$A$36:$AG$50,20)*SUM($FJ667:$FN667)))</f>
        <v>787.18706865345609</v>
      </c>
      <c r="FU667" s="31">
        <f>(VLOOKUP($A667,'Childhood asthma'!$A$36:$AG$50,7)*$AB667)+(VLOOKUP($A667,'Childhood asthma'!$A$36:$AG$50,6)*SUM($AC667:$AG667))+(VLOOKUP($A667,'Childhood asthma'!$A$36:$AG$50,9)*$AJ667)+(VLOOKUP($A667,'Childhood asthma'!$A$36:$AG$50,8)*SUM($AK667:$AO667))+(VLOOKUP($A667,'Childhood asthma'!$A$36:$AG$50,3)*$BS667)+(VLOOKUP($A667,'Childhood asthma'!$A$36:$AG$50,2)*SUM($BT667:$BX667))+(VLOOKUP($A667,'Childhood asthma'!$A$36:$AG$50,5)*$CA667)+(VLOOKUP($A667,'Childhood asthma'!$A$36:$AG$50,4)*SUM($CB667:$CF667))+(VLOOKUP($A667,'Childhood asthma'!$A$36:$AG$50,23)*$DJ667)+(VLOOKUP($A667,'Childhood asthma'!$A$36:$AG$50,22)*SUM($DK667:$DO667))+(VLOOKUP($A667,'Childhood asthma'!$A$36:$AG$50,25)*$DR667)+(VLOOKUP($A667,'Childhood asthma'!$A$36:$AG$50,24)*SUM($DS667:$DW667))+(VLOOKUP($A667,'Childhood asthma'!$A$36:$AG$50,19)*$FA667)+(VLOOKUP($A667,'Childhood asthma'!$A$36:$AG$50,18)*SUM($FB667:$FF667))+(VLOOKUP($A667,'Childhood asthma'!$A$36:$AG$50,21)*$FI667)+(VLOOKUP($A667,'Childhood asthma'!$A$36:$AG$50,20)*SUM($FJ667:$FN667))</f>
        <v>103.31604410404509</v>
      </c>
      <c r="FV667" s="31">
        <f t="shared" si="203"/>
        <v>890.50311275750119</v>
      </c>
      <c r="FW667" s="286">
        <f t="shared" si="204"/>
        <v>109.49688724249866</v>
      </c>
      <c r="FY667" s="265">
        <v>6</v>
      </c>
      <c r="FZ667" s="30">
        <f t="shared" si="205"/>
        <v>724.42485598628662</v>
      </c>
      <c r="GA667" s="281">
        <f t="shared" si="206"/>
        <v>4746.5966515779864</v>
      </c>
      <c r="GC667" s="265">
        <v>6</v>
      </c>
      <c r="GD667" s="30">
        <f t="shared" si="144"/>
        <v>716.02008914168982</v>
      </c>
      <c r="GE667" s="281">
        <f t="shared" si="207"/>
        <v>4718.5655191012611</v>
      </c>
      <c r="GG667" s="265">
        <v>6</v>
      </c>
      <c r="GH667" s="303">
        <f t="shared" si="208"/>
        <v>136587.1418726219</v>
      </c>
      <c r="GI667" s="304">
        <f t="shared" si="209"/>
        <v>3734142.1615327289</v>
      </c>
      <c r="GK667" s="265">
        <v>6</v>
      </c>
      <c r="GL667" s="287">
        <f t="shared" si="145"/>
        <v>0.89050311275750116</v>
      </c>
      <c r="GM667" s="287">
        <f t="shared" si="145"/>
        <v>0.10949688724249866</v>
      </c>
      <c r="GN667" s="288">
        <f t="shared" si="146"/>
        <v>0.10331604410404509</v>
      </c>
      <c r="GP667" s="265">
        <v>6</v>
      </c>
      <c r="GQ667" s="303">
        <f t="shared" si="210"/>
        <v>136587.1418726219</v>
      </c>
      <c r="GR667" s="304">
        <f t="shared" si="211"/>
        <v>6836157.8854962671</v>
      </c>
      <c r="GT667" s="265">
        <v>6</v>
      </c>
      <c r="GU667" s="303">
        <f t="shared" si="212"/>
        <v>136587.1418726219</v>
      </c>
      <c r="GV667" s="304">
        <f t="shared" si="213"/>
        <v>3731102.161532728</v>
      </c>
      <c r="GX667" s="265">
        <v>6</v>
      </c>
      <c r="GY667" s="303">
        <f t="shared" si="214"/>
        <v>136587.1418726219</v>
      </c>
      <c r="GZ667" s="304">
        <f t="shared" si="215"/>
        <v>6836157.8854962671</v>
      </c>
    </row>
    <row r="668" spans="1:208" s="30" customFormat="1" x14ac:dyDescent="0.25">
      <c r="A668" s="379">
        <v>7</v>
      </c>
      <c r="B668" s="30">
        <f>VLOOKUP($A668,'Childhood mortality'!$A$12:$G$27,4)</f>
        <v>1.1066626513926233E-4</v>
      </c>
      <c r="C668" s="30">
        <f t="shared" si="79"/>
        <v>0.27</v>
      </c>
      <c r="D668" s="30">
        <f t="shared" si="80"/>
        <v>4.593E-4</v>
      </c>
      <c r="E668" s="30">
        <f t="shared" si="81"/>
        <v>0.72943003373486071</v>
      </c>
      <c r="F668" s="30">
        <f>VLOOKUP($A668,'Childhood mortality'!$A$12:$G$27,4)</f>
        <v>1.1066626513926233E-4</v>
      </c>
      <c r="G668" s="30">
        <f t="shared" si="82"/>
        <v>0.27</v>
      </c>
      <c r="H668" s="30">
        <f t="shared" si="83"/>
        <v>4.593E-4</v>
      </c>
      <c r="I668" s="30">
        <f t="shared" si="84"/>
        <v>0.72943003373486071</v>
      </c>
      <c r="J668" s="30">
        <f>VLOOKUP($A668,'Childhood mortality'!$A$12:$G$27,4)</f>
        <v>1.1066626513926233E-4</v>
      </c>
      <c r="K668" s="30">
        <f t="shared" si="85"/>
        <v>0.14000000000000001</v>
      </c>
      <c r="L668" s="30">
        <f t="shared" si="86"/>
        <v>4.593E-4</v>
      </c>
      <c r="M668" s="30">
        <f t="shared" si="66"/>
        <v>0.44905219262646467</v>
      </c>
      <c r="N668" s="30">
        <f t="shared" si="67"/>
        <v>0.41037784110839598</v>
      </c>
      <c r="O668" s="30">
        <f>VLOOKUP($A668,'Childhood mortality'!$A$12:$G$27,4)</f>
        <v>1.1066626513926233E-4</v>
      </c>
      <c r="P668" s="30">
        <f t="shared" si="87"/>
        <v>0.5714285714285714</v>
      </c>
      <c r="Q668" s="30">
        <f t="shared" si="88"/>
        <v>4.593E-4</v>
      </c>
      <c r="R668" s="30">
        <f t="shared" si="68"/>
        <v>0.22363076405503612</v>
      </c>
      <c r="S668" s="30">
        <f t="shared" si="69"/>
        <v>0.20437069825125312</v>
      </c>
      <c r="T668" s="30">
        <f>VLOOKUP($A668,'Childhood mortality'!$A$12:$G$27,4)</f>
        <v>1.1066626513926233E-4</v>
      </c>
      <c r="U668" s="30">
        <f t="shared" si="89"/>
        <v>0.99080386685602762</v>
      </c>
      <c r="V668" s="30">
        <f t="shared" si="90"/>
        <v>4.593E-4</v>
      </c>
      <c r="W668" s="30">
        <f t="shared" si="70"/>
        <v>4.5071721941902995E-3</v>
      </c>
      <c r="X668" s="30">
        <f t="shared" si="71"/>
        <v>4.1189946846428094E-3</v>
      </c>
      <c r="Y668" s="30">
        <f>VLOOKUP($A668,'Childhood mortality'!$A$12:$G$27,4)</f>
        <v>1.1066626513926233E-4</v>
      </c>
      <c r="Z668" s="30">
        <f t="shared" si="91"/>
        <v>0.99988933373486077</v>
      </c>
      <c r="AB668" s="284">
        <f t="shared" si="147"/>
        <v>0.31599963678635679</v>
      </c>
      <c r="AC668" s="31">
        <f t="shared" si="148"/>
        <v>0.34577970726884066</v>
      </c>
      <c r="AD668" s="31">
        <f t="shared" si="149"/>
        <v>0.18080186267472248</v>
      </c>
      <c r="AE668" s="31">
        <f t="shared" si="150"/>
        <v>2.5609911367327813E-2</v>
      </c>
      <c r="AF668" s="31">
        <f t="shared" si="151"/>
        <v>0.5895276134957983</v>
      </c>
      <c r="AG668" s="31">
        <f t="shared" si="152"/>
        <v>3.8656836449655805E-3</v>
      </c>
      <c r="AH668" s="286">
        <f t="shared" si="153"/>
        <v>7.99000127320698E-2</v>
      </c>
      <c r="AI668" s="31"/>
      <c r="AJ668" s="284">
        <f t="shared" si="154"/>
        <v>17.222226159048823</v>
      </c>
      <c r="AK668" s="31">
        <f t="shared" si="155"/>
        <v>18.845263179273317</v>
      </c>
      <c r="AL668" s="31">
        <f t="shared" si="156"/>
        <v>9.9064094529667095</v>
      </c>
      <c r="AM668" s="31">
        <f t="shared" si="157"/>
        <v>1.4112248021638198</v>
      </c>
      <c r="AN668" s="31">
        <f t="shared" si="158"/>
        <v>3.9267471753600809</v>
      </c>
      <c r="AO668" s="31">
        <f t="shared" si="159"/>
        <v>0.13601346905907641</v>
      </c>
      <c r="AP668" s="286">
        <f t="shared" si="160"/>
        <v>3.5979141572569096</v>
      </c>
      <c r="AR668" s="30">
        <v>7</v>
      </c>
      <c r="AS668" s="30">
        <f>VLOOKUP($A668,'Childhood mortality'!$A$12:$G$27,3)</f>
        <v>6.9590701520370971E-5</v>
      </c>
      <c r="AT668" s="30">
        <f t="shared" si="92"/>
        <v>0.27</v>
      </c>
      <c r="AU668" s="30">
        <f t="shared" si="93"/>
        <v>4.593E-4</v>
      </c>
      <c r="AV668" s="30">
        <f t="shared" si="94"/>
        <v>0.72947110929847958</v>
      </c>
      <c r="AW668" s="30">
        <f>VLOOKUP($A668,'Childhood mortality'!$A$12:$G$27,3)</f>
        <v>6.9590701520370971E-5</v>
      </c>
      <c r="AX668" s="30">
        <f t="shared" si="95"/>
        <v>0.27</v>
      </c>
      <c r="AY668" s="30">
        <f t="shared" si="96"/>
        <v>4.593E-4</v>
      </c>
      <c r="AZ668" s="30">
        <f t="shared" si="97"/>
        <v>0.72947110929847958</v>
      </c>
      <c r="BA668" s="30">
        <f>VLOOKUP($A668,'Childhood mortality'!$A$12:$G$27,3)</f>
        <v>6.9590701520370971E-5</v>
      </c>
      <c r="BB668" s="30">
        <f t="shared" si="98"/>
        <v>0.14000000000000001</v>
      </c>
      <c r="BC668" s="30">
        <f t="shared" si="99"/>
        <v>4.593E-4</v>
      </c>
      <c r="BD668" s="30">
        <f t="shared" si="100"/>
        <v>0.44907365460845555</v>
      </c>
      <c r="BE668" s="30">
        <f t="shared" si="101"/>
        <v>0.41039745469002398</v>
      </c>
      <c r="BF668" s="30">
        <f>VLOOKUP($A668,'Childhood mortality'!$A$12:$G$27,3)</f>
        <v>6.9590701520370971E-5</v>
      </c>
      <c r="BG668" s="30">
        <f t="shared" si="102"/>
        <v>0.5714285714285714</v>
      </c>
      <c r="BH668" s="30">
        <f t="shared" si="103"/>
        <v>4.593E-4</v>
      </c>
      <c r="BI668" s="30">
        <f t="shared" si="104"/>
        <v>0.22365222603702703</v>
      </c>
      <c r="BJ668" s="30">
        <f t="shared" si="105"/>
        <v>0.20439031183288114</v>
      </c>
      <c r="BK668" s="30">
        <f>VLOOKUP($A668,'Childhood mortality'!$A$12:$G$27,3)</f>
        <v>6.9590701520370971E-5</v>
      </c>
      <c r="BL668" s="30">
        <f t="shared" si="106"/>
        <v>0.99084494241964649</v>
      </c>
      <c r="BM668" s="30">
        <f t="shared" si="107"/>
        <v>4.593E-4</v>
      </c>
      <c r="BN668" s="30">
        <f t="shared" si="72"/>
        <v>4.5071721941902995E-3</v>
      </c>
      <c r="BO668" s="30">
        <f t="shared" si="73"/>
        <v>4.1189946846428094E-3</v>
      </c>
      <c r="BP668" s="30">
        <f>VLOOKUP($A668,'Childhood mortality'!$A$12:$G$27,3)</f>
        <v>6.9590701520370971E-5</v>
      </c>
      <c r="BQ668" s="30">
        <f t="shared" si="108"/>
        <v>0.99993040929847965</v>
      </c>
      <c r="BS668" s="284">
        <f t="shared" si="161"/>
        <v>4.9718883413707857</v>
      </c>
      <c r="BT668" s="31">
        <f t="shared" si="162"/>
        <v>5.4404432635942088</v>
      </c>
      <c r="BU668" s="31">
        <f t="shared" si="163"/>
        <v>2.8446952597129229</v>
      </c>
      <c r="BV668" s="31">
        <f t="shared" si="164"/>
        <v>0.40293802003885038</v>
      </c>
      <c r="BW668" s="31">
        <f t="shared" si="165"/>
        <v>9.2182580662251183</v>
      </c>
      <c r="BX668" s="31">
        <f t="shared" si="166"/>
        <v>6.0485161005049443E-2</v>
      </c>
      <c r="BY668" s="286">
        <f t="shared" si="167"/>
        <v>0.15637384821707603</v>
      </c>
      <c r="BZ668" s="31"/>
      <c r="CA668" s="284">
        <f t="shared" si="168"/>
        <v>126.56635301287599</v>
      </c>
      <c r="CB668" s="31">
        <f t="shared" si="169"/>
        <v>138.4940721449795</v>
      </c>
      <c r="CC668" s="31">
        <f t="shared" si="170"/>
        <v>72.799298785689629</v>
      </c>
      <c r="CD668" s="31">
        <f t="shared" si="171"/>
        <v>10.370198189138447</v>
      </c>
      <c r="CE668" s="31">
        <f t="shared" si="172"/>
        <v>28.835561628024106</v>
      </c>
      <c r="CF668" s="31">
        <f t="shared" si="173"/>
        <v>0.99642104055819203</v>
      </c>
      <c r="CG668" s="286">
        <f t="shared" si="174"/>
        <v>52.255730415471248</v>
      </c>
      <c r="CI668" s="30">
        <v>7</v>
      </c>
      <c r="CJ668" s="30">
        <f>VLOOKUP($A668,'Childhood mortality'!$A$31:$G$46,4)</f>
        <v>1.0670301046485347E-4</v>
      </c>
      <c r="CK668" s="30">
        <f t="shared" si="109"/>
        <v>0.27</v>
      </c>
      <c r="CL668" s="30">
        <f t="shared" si="110"/>
        <v>4.593E-4</v>
      </c>
      <c r="CM668" s="30">
        <f t="shared" si="111"/>
        <v>0.72943399698953504</v>
      </c>
      <c r="CN668" s="30">
        <f>VLOOKUP($A668,'Childhood mortality'!$A$31:$G$46,4)</f>
        <v>1.0670301046485347E-4</v>
      </c>
      <c r="CO668" s="30">
        <f t="shared" si="112"/>
        <v>0.27</v>
      </c>
      <c r="CP668" s="30">
        <f t="shared" si="113"/>
        <v>4.593E-4</v>
      </c>
      <c r="CQ668" s="30">
        <f t="shared" si="114"/>
        <v>0.72943399698953504</v>
      </c>
      <c r="CR668" s="30">
        <f>VLOOKUP($A668,'Childhood mortality'!$A$31:$G$46,4)</f>
        <v>1.0670301046485347E-4</v>
      </c>
      <c r="CS668" s="30">
        <f t="shared" si="115"/>
        <v>0.14000000000000001</v>
      </c>
      <c r="CT668" s="30">
        <f t="shared" si="116"/>
        <v>4.593E-4</v>
      </c>
      <c r="CU668" s="30">
        <f t="shared" si="117"/>
        <v>0.44905426342703203</v>
      </c>
      <c r="CV668" s="30">
        <f t="shared" si="118"/>
        <v>0.41037973356250296</v>
      </c>
      <c r="CW668" s="30">
        <f>VLOOKUP($A668,'Childhood mortality'!$A$31:$G$46,4)</f>
        <v>1.0670301046485347E-4</v>
      </c>
      <c r="CX668" s="30">
        <f t="shared" si="119"/>
        <v>0.5714285714285714</v>
      </c>
      <c r="CY668" s="30">
        <f t="shared" si="120"/>
        <v>4.593E-4</v>
      </c>
      <c r="CZ668" s="30">
        <f t="shared" si="121"/>
        <v>0.22363283485560354</v>
      </c>
      <c r="DA668" s="30">
        <f t="shared" si="122"/>
        <v>0.20437259070536015</v>
      </c>
      <c r="DB668" s="30">
        <f>VLOOKUP($A668,'Childhood mortality'!$A$31:$G$46,4)</f>
        <v>1.0670301046485347E-4</v>
      </c>
      <c r="DC668" s="30">
        <f t="shared" si="123"/>
        <v>0.99080783011070195</v>
      </c>
      <c r="DD668" s="30">
        <f t="shared" si="124"/>
        <v>4.593E-4</v>
      </c>
      <c r="DE668" s="30">
        <f t="shared" si="74"/>
        <v>4.5071721941902995E-3</v>
      </c>
      <c r="DF668" s="30">
        <f t="shared" si="75"/>
        <v>4.1189946846428094E-3</v>
      </c>
      <c r="DG668" s="30">
        <f>VLOOKUP($A668,'Childhood mortality'!$A$31:$G$46,4)</f>
        <v>1.0670301046485347E-4</v>
      </c>
      <c r="DH668" s="30">
        <f t="shared" si="125"/>
        <v>0.99989329698953511</v>
      </c>
      <c r="DJ668" s="284">
        <f t="shared" si="175"/>
        <v>0.30440944161904498</v>
      </c>
      <c r="DK668" s="31">
        <f t="shared" si="176"/>
        <v>0.33309724239989735</v>
      </c>
      <c r="DL668" s="31">
        <f t="shared" si="177"/>
        <v>0.17417207953265648</v>
      </c>
      <c r="DM668" s="31">
        <f t="shared" si="178"/>
        <v>2.467114483617136E-2</v>
      </c>
      <c r="DN668" s="31">
        <f t="shared" si="179"/>
        <v>0.56659208894151325</v>
      </c>
      <c r="DO668" s="31">
        <f t="shared" si="180"/>
        <v>3.719727157515975E-3</v>
      </c>
      <c r="DP668" s="286">
        <f t="shared" si="181"/>
        <v>7.4372333758965029E-2</v>
      </c>
      <c r="DQ668" s="31"/>
      <c r="DR668" s="284">
        <f t="shared" si="182"/>
        <v>16.575363468858228</v>
      </c>
      <c r="DS668" s="31">
        <f t="shared" si="183"/>
        <v>18.137439607284659</v>
      </c>
      <c r="DT668" s="31">
        <f t="shared" si="184"/>
        <v>9.5342845466989132</v>
      </c>
      <c r="DU668" s="31">
        <f t="shared" si="185"/>
        <v>1.3582106088114019</v>
      </c>
      <c r="DV668" s="31">
        <f t="shared" si="186"/>
        <v>3.7784250497439422</v>
      </c>
      <c r="DW668" s="31">
        <f t="shared" si="187"/>
        <v>0.13087800248213635</v>
      </c>
      <c r="DX668" s="286">
        <f t="shared" si="188"/>
        <v>3.3725383506561637</v>
      </c>
      <c r="DZ668" s="30">
        <v>7</v>
      </c>
      <c r="EA668" s="30">
        <f>VLOOKUP($A668,'Childhood mortality'!$A$31:$G$46,3)</f>
        <v>6.7098472540302583E-5</v>
      </c>
      <c r="EB668" s="30">
        <f t="shared" si="126"/>
        <v>0.27</v>
      </c>
      <c r="EC668" s="30">
        <f t="shared" si="127"/>
        <v>4.593E-4</v>
      </c>
      <c r="ED668" s="30">
        <f t="shared" si="128"/>
        <v>0.72947360152745966</v>
      </c>
      <c r="EE668" s="30">
        <f>VLOOKUP($A668,'Childhood mortality'!$A$31:$G$46,3)</f>
        <v>6.7098472540302583E-5</v>
      </c>
      <c r="EF668" s="30">
        <f t="shared" si="129"/>
        <v>0.27</v>
      </c>
      <c r="EG668" s="30">
        <f t="shared" si="130"/>
        <v>4.593E-4</v>
      </c>
      <c r="EH668" s="30">
        <f t="shared" si="131"/>
        <v>0.72947360152745966</v>
      </c>
      <c r="EI668" s="30">
        <f>VLOOKUP($A668,'Childhood mortality'!$A$31:$G$46,3)</f>
        <v>6.7098472540302583E-5</v>
      </c>
      <c r="EJ668" s="30">
        <f t="shared" si="132"/>
        <v>0.14000000000000001</v>
      </c>
      <c r="EK668" s="30">
        <f t="shared" si="133"/>
        <v>4.593E-4</v>
      </c>
      <c r="EL668" s="30">
        <f t="shared" si="134"/>
        <v>0.44907495679809767</v>
      </c>
      <c r="EM668" s="30">
        <f t="shared" si="135"/>
        <v>0.41039864472936199</v>
      </c>
      <c r="EN668" s="30">
        <f>VLOOKUP($A668,'Childhood mortality'!$A$31:$G$46,3)</f>
        <v>6.7098472540302583E-5</v>
      </c>
      <c r="EO668" s="30">
        <f t="shared" si="136"/>
        <v>0.5714285714285714</v>
      </c>
      <c r="EP668" s="30">
        <f t="shared" si="137"/>
        <v>4.593E-4</v>
      </c>
      <c r="EQ668" s="30">
        <f t="shared" si="138"/>
        <v>0.22365352822666909</v>
      </c>
      <c r="ER668" s="30">
        <f t="shared" si="139"/>
        <v>0.20439150187221911</v>
      </c>
      <c r="ES668" s="30">
        <f>VLOOKUP($A668,'Childhood mortality'!$A$31:$G$46,3)</f>
        <v>6.7098472540302583E-5</v>
      </c>
      <c r="ET668" s="30">
        <f t="shared" si="140"/>
        <v>0.99084743464862657</v>
      </c>
      <c r="EU668" s="30">
        <f t="shared" si="141"/>
        <v>4.593E-4</v>
      </c>
      <c r="EV668" s="30">
        <f t="shared" si="76"/>
        <v>4.5071721941902995E-3</v>
      </c>
      <c r="EW668" s="30">
        <f t="shared" si="77"/>
        <v>4.1189946846428094E-3</v>
      </c>
      <c r="EX668" s="30">
        <f>VLOOKUP($A668,'Childhood mortality'!$A$31:$G$46,3)</f>
        <v>6.7098472540302583E-5</v>
      </c>
      <c r="EY668" s="30">
        <f t="shared" si="142"/>
        <v>0.99993290152745973</v>
      </c>
      <c r="FA668" s="284">
        <f t="shared" si="189"/>
        <v>4.7832636368357724</v>
      </c>
      <c r="FB668" s="31">
        <f t="shared" si="190"/>
        <v>5.234042408893596</v>
      </c>
      <c r="FC668" s="31">
        <f t="shared" si="191"/>
        <v>2.7367838312992157</v>
      </c>
      <c r="FD668" s="31">
        <f t="shared" si="192"/>
        <v>0.38765523637367938</v>
      </c>
      <c r="FE668" s="31">
        <f t="shared" si="193"/>
        <v>8.8582166139315213</v>
      </c>
      <c r="FF668" s="31">
        <f t="shared" si="194"/>
        <v>5.8157731113273742E-2</v>
      </c>
      <c r="FG668" s="286">
        <f t="shared" si="195"/>
        <v>1.9408464833071759</v>
      </c>
      <c r="FH668" s="31"/>
      <c r="FI668" s="284">
        <f t="shared" si="196"/>
        <v>121.70877799047817</v>
      </c>
      <c r="FJ668" s="31">
        <f t="shared" si="197"/>
        <v>133.17871518329812</v>
      </c>
      <c r="FK668" s="31">
        <f t="shared" si="198"/>
        <v>70.005087975373328</v>
      </c>
      <c r="FL668" s="31">
        <f t="shared" si="199"/>
        <v>9.9721516099056355</v>
      </c>
      <c r="FM668" s="31">
        <f t="shared" si="200"/>
        <v>27.725763418124863</v>
      </c>
      <c r="FN668" s="31">
        <f t="shared" si="201"/>
        <v>0.95807936143408312</v>
      </c>
      <c r="FO668" s="286">
        <f t="shared" si="202"/>
        <v>48.084284826850308</v>
      </c>
      <c r="FQ668" s="30">
        <f t="shared" si="143"/>
        <v>999.99999999999977</v>
      </c>
      <c r="FR668" s="30" t="str">
        <f t="shared" si="78"/>
        <v>OKAY</v>
      </c>
      <c r="FT668" s="284">
        <f>($AB668-(VLOOKUP($A668,'Childhood asthma'!$A$36:$AG$50,7)*$AB668))+(SUM($AC668:$AG668)-(VLOOKUP($A668,'Childhood asthma'!$A$36:$AG$50,6)*SUM($AC668:$AG668)))+($AJ668-(VLOOKUP($A668,'Childhood asthma'!$A$36:$AG$50,9)*$AJ668))+(SUM($AK668:$AO668)-(VLOOKUP($A668,'Childhood asthma'!$A$36:$AG$50,8)*SUM($AK668:$AO668)))+($BS668-(VLOOKUP($A668,'Childhood asthma'!$A$36:$AG$50,3)*$BS668))+(SUM($BT668:$BX668)-(VLOOKUP($A668,'Childhood asthma'!$A$36:$AG$50,2)*SUM($BT668:$BX668)))+($CA668-(VLOOKUP($A668,'Childhood asthma'!$A$36:$AG$50,5)*$CA668))+(SUM($CB668:$CF668)-(VLOOKUP($A668,'Childhood asthma'!$A$36:$AG$50,4)*SUM($CB668:$CF668)))+($DJ668-(VLOOKUP($A668,'Childhood asthma'!$A$36:$AG$50,23)*$DJ668))+(SUM($DK668:$DO668)-(VLOOKUP($A668,'Childhood asthma'!$A$36:$AG$50,22)*SUM($DK668:$DO668)))+($DR668-(VLOOKUP($A668,'Childhood asthma'!$A$36:$AG$50,25)*$DR668))+(SUM($DS668:$DW668)-(VLOOKUP($A668,'Childhood asthma'!$A$36:$AG$50,24)*SUM($DS668:$DW668)))+($FA668-(VLOOKUP($A668,'Childhood asthma'!$A$36:$AG$50,19)*$FA668))+(SUM($FB668:$FF668)-(VLOOKUP($A668,'Childhood asthma'!$A$36:$AG$50,18)*SUM($FB668:$FF668)))+($FI668-(VLOOKUP($A668,'Childhood asthma'!$A$36:$AG$50,21)*$FI668))+(SUM($FJ668:$FN668)-(VLOOKUP($A668,'Childhood asthma'!$A$36:$AG$50,20)*SUM($FJ668:$FN668)))</f>
        <v>787.22920998113818</v>
      </c>
      <c r="FU668" s="31">
        <f>(VLOOKUP($A668,'Childhood asthma'!$A$36:$AG$50,7)*$AB668)+(VLOOKUP($A668,'Childhood asthma'!$A$36:$AG$50,6)*SUM($AC668:$AG668))+(VLOOKUP($A668,'Childhood asthma'!$A$36:$AG$50,9)*$AJ668)+(VLOOKUP($A668,'Childhood asthma'!$A$36:$AG$50,8)*SUM($AK668:$AO668))+(VLOOKUP($A668,'Childhood asthma'!$A$36:$AG$50,3)*$BS668)+(VLOOKUP($A668,'Childhood asthma'!$A$36:$AG$50,2)*SUM($BT668:$BX668))+(VLOOKUP($A668,'Childhood asthma'!$A$36:$AG$50,5)*$CA668)+(VLOOKUP($A668,'Childhood asthma'!$A$36:$AG$50,4)*SUM($CB668:$CF668))+(VLOOKUP($A668,'Childhood asthma'!$A$36:$AG$50,23)*$DJ668)+(VLOOKUP($A668,'Childhood asthma'!$A$36:$AG$50,22)*SUM($DK668:$DO668))+(VLOOKUP($A668,'Childhood asthma'!$A$36:$AG$50,25)*$DR668)+(VLOOKUP($A668,'Childhood asthma'!$A$36:$AG$50,24)*SUM($DS668:$DW668))+(VLOOKUP($A668,'Childhood asthma'!$A$36:$AG$50,19)*$FA668)+(VLOOKUP($A668,'Childhood asthma'!$A$36:$AG$50,18)*SUM($FB668:$FF668))+(VLOOKUP($A668,'Childhood asthma'!$A$36:$AG$50,21)*$FI668)+(VLOOKUP($A668,'Childhood asthma'!$A$36:$AG$50,20)*SUM($FJ668:$FN668))</f>
        <v>103.2088295906118</v>
      </c>
      <c r="FV668" s="31">
        <f t="shared" si="203"/>
        <v>890.43803957174998</v>
      </c>
      <c r="FW668" s="286">
        <f t="shared" si="204"/>
        <v>109.5619604282499</v>
      </c>
      <c r="FY668" s="265">
        <v>7</v>
      </c>
      <c r="FZ668" s="30">
        <f t="shared" si="205"/>
        <v>699.87625015241633</v>
      </c>
      <c r="GA668" s="281">
        <f t="shared" si="206"/>
        <v>5446.4729017304026</v>
      </c>
      <c r="GC668" s="265">
        <v>7</v>
      </c>
      <c r="GD668" s="30">
        <f t="shared" si="144"/>
        <v>691.7641294403187</v>
      </c>
      <c r="GE668" s="281">
        <f t="shared" si="207"/>
        <v>5410.3296485415794</v>
      </c>
      <c r="GG668" s="265">
        <v>7</v>
      </c>
      <c r="GH668" s="303">
        <f t="shared" si="208"/>
        <v>131824.4429051523</v>
      </c>
      <c r="GI668" s="304">
        <f t="shared" si="209"/>
        <v>3865966.6044378811</v>
      </c>
      <c r="GK668" s="265">
        <v>7</v>
      </c>
      <c r="GL668" s="287">
        <f t="shared" si="145"/>
        <v>0.89043803957174994</v>
      </c>
      <c r="GM668" s="287">
        <f t="shared" si="145"/>
        <v>0.10956196042824991</v>
      </c>
      <c r="GN668" s="288">
        <f t="shared" si="146"/>
        <v>0.1032088295906118</v>
      </c>
      <c r="GP668" s="265">
        <v>7</v>
      </c>
      <c r="GQ668" s="303">
        <f t="shared" si="210"/>
        <v>131824.4429051523</v>
      </c>
      <c r="GR668" s="304">
        <f t="shared" si="211"/>
        <v>6967982.3284014193</v>
      </c>
      <c r="GT668" s="265">
        <v>7</v>
      </c>
      <c r="GU668" s="303">
        <f t="shared" si="212"/>
        <v>131824.4429051523</v>
      </c>
      <c r="GV668" s="304">
        <f t="shared" si="213"/>
        <v>3862926.6044378802</v>
      </c>
      <c r="GX668" s="265">
        <v>7</v>
      </c>
      <c r="GY668" s="303">
        <f t="shared" si="214"/>
        <v>131824.4429051523</v>
      </c>
      <c r="GZ668" s="304">
        <f t="shared" si="215"/>
        <v>6967982.3284014193</v>
      </c>
    </row>
    <row r="669" spans="1:208" s="30" customFormat="1" x14ac:dyDescent="0.25">
      <c r="A669" s="379">
        <v>8</v>
      </c>
      <c r="B669" s="30">
        <f>VLOOKUP($A669,'Childhood mortality'!$A$12:$G$27,4)</f>
        <v>1.0152029281370346E-4</v>
      </c>
      <c r="C669" s="30">
        <f t="shared" si="79"/>
        <v>0.27</v>
      </c>
      <c r="D669" s="30">
        <f t="shared" si="80"/>
        <v>7.0370672097759665E-4</v>
      </c>
      <c r="E669" s="30">
        <f t="shared" si="81"/>
        <v>0.72919477298620861</v>
      </c>
      <c r="F669" s="30">
        <f>VLOOKUP($A669,'Childhood mortality'!$A$12:$G$27,4)</f>
        <v>1.0152029281370346E-4</v>
      </c>
      <c r="G669" s="30">
        <f t="shared" si="82"/>
        <v>0.27</v>
      </c>
      <c r="H669" s="30">
        <f t="shared" si="83"/>
        <v>7.0370672097759665E-4</v>
      </c>
      <c r="I669" s="30">
        <f t="shared" si="84"/>
        <v>0.72919477298620861</v>
      </c>
      <c r="J669" s="30">
        <f>VLOOKUP($A669,'Childhood mortality'!$A$12:$G$27,4)</f>
        <v>1.0152029281370346E-4</v>
      </c>
      <c r="K669" s="30">
        <f t="shared" si="85"/>
        <v>0.14000000000000001</v>
      </c>
      <c r="L669" s="30">
        <f t="shared" si="86"/>
        <v>7.0370672097759665E-4</v>
      </c>
      <c r="M669" s="30">
        <f t="shared" si="66"/>
        <v>0.44892926888529394</v>
      </c>
      <c r="N669" s="30">
        <f t="shared" si="67"/>
        <v>0.41026550410091461</v>
      </c>
      <c r="O669" s="30">
        <f>VLOOKUP($A669,'Childhood mortality'!$A$12:$G$27,4)</f>
        <v>1.0152029281370346E-4</v>
      </c>
      <c r="P669" s="30">
        <f t="shared" si="87"/>
        <v>0.5714285714285714</v>
      </c>
      <c r="Q669" s="30">
        <f t="shared" si="88"/>
        <v>5.0264765784114045E-4</v>
      </c>
      <c r="R669" s="30">
        <f t="shared" si="68"/>
        <v>0.22361289367435427</v>
      </c>
      <c r="S669" s="30">
        <f t="shared" si="69"/>
        <v>0.20435436694641948</v>
      </c>
      <c r="T669" s="30">
        <f>VLOOKUP($A669,'Childhood mortality'!$A$12:$G$27,4)</f>
        <v>1.0152029281370346E-4</v>
      </c>
      <c r="U669" s="30">
        <f t="shared" si="89"/>
        <v>0.99076966517051201</v>
      </c>
      <c r="V669" s="30">
        <f t="shared" si="90"/>
        <v>5.0264765784114045E-4</v>
      </c>
      <c r="W669" s="30">
        <f t="shared" si="70"/>
        <v>4.5071721941902995E-3</v>
      </c>
      <c r="X669" s="30">
        <f t="shared" si="71"/>
        <v>4.1189946846428094E-3</v>
      </c>
      <c r="Y669" s="30">
        <f>VLOOKUP($A669,'Childhood mortality'!$A$12:$G$27,4)</f>
        <v>1.0152029281370346E-4</v>
      </c>
      <c r="Z669" s="30">
        <f t="shared" si="91"/>
        <v>0.99989847970718626</v>
      </c>
      <c r="AB669" s="284">
        <f t="shared" si="147"/>
        <v>0.31226380907424472</v>
      </c>
      <c r="AC669" s="31">
        <f t="shared" si="148"/>
        <v>0.34169181202365001</v>
      </c>
      <c r="AD669" s="31">
        <f t="shared" si="149"/>
        <v>0.17868042289490332</v>
      </c>
      <c r="AE669" s="31">
        <f t="shared" si="150"/>
        <v>2.5312260774461151E-2</v>
      </c>
      <c r="AF669" s="31">
        <f t="shared" si="151"/>
        <v>0.59872031129904757</v>
      </c>
      <c r="AG669" s="31">
        <f t="shared" si="152"/>
        <v>4.7674186938979233E-3</v>
      </c>
      <c r="AH669" s="286">
        <f t="shared" si="153"/>
        <v>8.0048393209876709E-2</v>
      </c>
      <c r="AI669" s="31"/>
      <c r="AJ669" s="284">
        <f t="shared" si="154"/>
        <v>16.927179564224723</v>
      </c>
      <c r="AK669" s="31">
        <f t="shared" si="155"/>
        <v>18.522411146193541</v>
      </c>
      <c r="AL669" s="31">
        <f t="shared" si="156"/>
        <v>9.7382221213469791</v>
      </c>
      <c r="AM669" s="31">
        <f t="shared" si="157"/>
        <v>1.3868973234153394</v>
      </c>
      <c r="AN669" s="31">
        <f t="shared" si="158"/>
        <v>4.6969161568058011</v>
      </c>
      <c r="AO669" s="31">
        <f t="shared" si="159"/>
        <v>0.17103492161296874</v>
      </c>
      <c r="AP669" s="286">
        <f t="shared" si="160"/>
        <v>3.6031371615293839</v>
      </c>
      <c r="AR669" s="30">
        <v>8</v>
      </c>
      <c r="AS669" s="30">
        <f>VLOOKUP($A669,'Childhood mortality'!$A$12:$G$27,3)</f>
        <v>6.3839403874059328E-5</v>
      </c>
      <c r="AT669" s="30">
        <f t="shared" si="92"/>
        <v>0.27</v>
      </c>
      <c r="AU669" s="30">
        <f t="shared" si="93"/>
        <v>7.0370672097759665E-4</v>
      </c>
      <c r="AV669" s="30">
        <f t="shared" si="94"/>
        <v>0.72923245387514823</v>
      </c>
      <c r="AW669" s="30">
        <f>VLOOKUP($A669,'Childhood mortality'!$A$12:$G$27,3)</f>
        <v>6.3839403874059328E-5</v>
      </c>
      <c r="AX669" s="30">
        <f t="shared" si="95"/>
        <v>0.27</v>
      </c>
      <c r="AY669" s="30">
        <f t="shared" si="96"/>
        <v>7.0370672097759665E-4</v>
      </c>
      <c r="AZ669" s="30">
        <f t="shared" si="97"/>
        <v>0.72923245387514823</v>
      </c>
      <c r="BA669" s="30">
        <f>VLOOKUP($A669,'Childhood mortality'!$A$12:$G$27,3)</f>
        <v>6.3839403874059328E-5</v>
      </c>
      <c r="BB669" s="30">
        <f t="shared" si="98"/>
        <v>0.14000000000000001</v>
      </c>
      <c r="BC669" s="30">
        <f t="shared" si="99"/>
        <v>7.0370672097759665E-4</v>
      </c>
      <c r="BD669" s="30">
        <f t="shared" si="100"/>
        <v>0.4489489571497649</v>
      </c>
      <c r="BE669" s="30">
        <f t="shared" si="101"/>
        <v>0.41028349672538328</v>
      </c>
      <c r="BF669" s="30">
        <f>VLOOKUP($A669,'Childhood mortality'!$A$12:$G$27,3)</f>
        <v>6.3839403874059328E-5</v>
      </c>
      <c r="BG669" s="30">
        <f t="shared" si="102"/>
        <v>0.5714285714285714</v>
      </c>
      <c r="BH669" s="30">
        <f t="shared" si="103"/>
        <v>5.0264765784114045E-4</v>
      </c>
      <c r="BI669" s="30">
        <f t="shared" si="104"/>
        <v>0.22363258193882524</v>
      </c>
      <c r="BJ669" s="30">
        <f t="shared" si="105"/>
        <v>0.20437235957088815</v>
      </c>
      <c r="BK669" s="30">
        <f>VLOOKUP($A669,'Childhood mortality'!$A$12:$G$27,3)</f>
        <v>6.3839403874059328E-5</v>
      </c>
      <c r="BL669" s="30">
        <f t="shared" si="106"/>
        <v>0.99080734605945164</v>
      </c>
      <c r="BM669" s="30">
        <f t="shared" si="107"/>
        <v>5.0264765784114045E-4</v>
      </c>
      <c r="BN669" s="30">
        <f t="shared" si="72"/>
        <v>4.5071721941902995E-3</v>
      </c>
      <c r="BO669" s="30">
        <f t="shared" si="73"/>
        <v>4.1189946846428094E-3</v>
      </c>
      <c r="BP669" s="30">
        <f>VLOOKUP($A669,'Childhood mortality'!$A$12:$G$27,3)</f>
        <v>6.3839403874059328E-5</v>
      </c>
      <c r="BQ669" s="30">
        <f t="shared" si="108"/>
        <v>0.99993616059612589</v>
      </c>
      <c r="BS669" s="284">
        <f t="shared" si="161"/>
        <v>4.913113203736807</v>
      </c>
      <c r="BT669" s="31">
        <f t="shared" si="162"/>
        <v>5.3761291077538882</v>
      </c>
      <c r="BU669" s="31">
        <f t="shared" si="163"/>
        <v>2.8113295333405488</v>
      </c>
      <c r="BV669" s="31">
        <f t="shared" si="164"/>
        <v>0.39825733635980926</v>
      </c>
      <c r="BW669" s="31">
        <f t="shared" si="165"/>
        <v>9.3637681070526995</v>
      </c>
      <c r="BX669" s="31">
        <f t="shared" si="166"/>
        <v>7.4646430251672974E-2</v>
      </c>
      <c r="BY669" s="286">
        <f t="shared" si="167"/>
        <v>0.15783824166858376</v>
      </c>
      <c r="BZ669" s="31"/>
      <c r="CA669" s="284">
        <f t="shared" si="168"/>
        <v>124.40279844876301</v>
      </c>
      <c r="CB669" s="31">
        <f t="shared" si="169"/>
        <v>136.12662238634277</v>
      </c>
      <c r="CC669" s="31">
        <f t="shared" si="170"/>
        <v>71.566314792621</v>
      </c>
      <c r="CD669" s="31">
        <f t="shared" si="171"/>
        <v>10.191901829996549</v>
      </c>
      <c r="CE669" s="31">
        <f t="shared" si="172"/>
        <v>34.496313825446862</v>
      </c>
      <c r="CF669" s="31">
        <f t="shared" si="173"/>
        <v>1.2538182714656423</v>
      </c>
      <c r="CG669" s="286">
        <f t="shared" si="174"/>
        <v>52.279865662101251</v>
      </c>
      <c r="CI669" s="30">
        <v>8</v>
      </c>
      <c r="CJ669" s="30">
        <f>VLOOKUP($A669,'Childhood mortality'!$A$31:$G$46,4)</f>
        <v>9.4051082081163709E-5</v>
      </c>
      <c r="CK669" s="30">
        <f t="shared" si="109"/>
        <v>0.27</v>
      </c>
      <c r="CL669" s="30">
        <f t="shared" si="110"/>
        <v>7.0370672097759665E-4</v>
      </c>
      <c r="CM669" s="30">
        <f t="shared" si="111"/>
        <v>0.72920224219694119</v>
      </c>
      <c r="CN669" s="30">
        <f>VLOOKUP($A669,'Childhood mortality'!$A$31:$G$46,4)</f>
        <v>9.4051082081163709E-5</v>
      </c>
      <c r="CO669" s="30">
        <f t="shared" si="112"/>
        <v>0.27</v>
      </c>
      <c r="CP669" s="30">
        <f t="shared" si="113"/>
        <v>7.0370672097759665E-4</v>
      </c>
      <c r="CQ669" s="30">
        <f t="shared" si="114"/>
        <v>0.72920224219694119</v>
      </c>
      <c r="CR669" s="30">
        <f>VLOOKUP($A669,'Childhood mortality'!$A$31:$G$46,4)</f>
        <v>9.4051082081163709E-5</v>
      </c>
      <c r="CS669" s="30">
        <f t="shared" si="115"/>
        <v>0.14000000000000001</v>
      </c>
      <c r="CT669" s="30">
        <f t="shared" si="116"/>
        <v>7.0370672097759665E-4</v>
      </c>
      <c r="CU669" s="30">
        <f t="shared" si="117"/>
        <v>0.44893317154790174</v>
      </c>
      <c r="CV669" s="30">
        <f t="shared" si="118"/>
        <v>0.41026907064903939</v>
      </c>
      <c r="CW669" s="30">
        <f>VLOOKUP($A669,'Childhood mortality'!$A$31:$G$46,4)</f>
        <v>9.4051082081163709E-5</v>
      </c>
      <c r="CX669" s="30">
        <f t="shared" si="119"/>
        <v>0.5714285714285714</v>
      </c>
      <c r="CY669" s="30">
        <f t="shared" si="120"/>
        <v>5.0264765784114045E-4</v>
      </c>
      <c r="CZ669" s="30">
        <f t="shared" si="121"/>
        <v>0.22361679633696202</v>
      </c>
      <c r="DA669" s="30">
        <f t="shared" si="122"/>
        <v>0.20435793349454426</v>
      </c>
      <c r="DB669" s="30">
        <f>VLOOKUP($A669,'Childhood mortality'!$A$31:$G$46,4)</f>
        <v>9.4051082081163709E-5</v>
      </c>
      <c r="DC669" s="30">
        <f t="shared" si="123"/>
        <v>0.9907771343812446</v>
      </c>
      <c r="DD669" s="30">
        <f t="shared" si="124"/>
        <v>5.0264765784114045E-4</v>
      </c>
      <c r="DE669" s="30">
        <f t="shared" si="74"/>
        <v>4.5071721941902995E-3</v>
      </c>
      <c r="DF669" s="30">
        <f t="shared" si="75"/>
        <v>4.1189946846428094E-3</v>
      </c>
      <c r="DG669" s="30">
        <f>VLOOKUP($A669,'Childhood mortality'!$A$31:$G$46,4)</f>
        <v>9.4051082081163709E-5</v>
      </c>
      <c r="DH669" s="30">
        <f t="shared" si="125"/>
        <v>0.99990594891791884</v>
      </c>
      <c r="DJ669" s="284">
        <f t="shared" si="175"/>
        <v>0.30080899855577536</v>
      </c>
      <c r="DK669" s="31">
        <f t="shared" si="176"/>
        <v>0.32915749056626725</v>
      </c>
      <c r="DL669" s="31">
        <f t="shared" si="177"/>
        <v>0.17212680468511443</v>
      </c>
      <c r="DM669" s="31">
        <f t="shared" si="178"/>
        <v>2.4384091134571909E-2</v>
      </c>
      <c r="DN669" s="31">
        <f t="shared" si="179"/>
        <v>0.57546428329379651</v>
      </c>
      <c r="DO669" s="31">
        <f t="shared" si="180"/>
        <v>4.5877581939637417E-3</v>
      </c>
      <c r="DP669" s="286">
        <f t="shared" si="181"/>
        <v>7.450463181627516E-2</v>
      </c>
      <c r="DQ669" s="31"/>
      <c r="DR669" s="284">
        <f t="shared" si="182"/>
        <v>16.29153869296163</v>
      </c>
      <c r="DS669" s="31">
        <f t="shared" si="183"/>
        <v>17.826866946748595</v>
      </c>
      <c r="DT669" s="31">
        <f t="shared" si="184"/>
        <v>9.3724568305585798</v>
      </c>
      <c r="DU669" s="31">
        <f t="shared" si="185"/>
        <v>1.334799836537848</v>
      </c>
      <c r="DV669" s="31">
        <f t="shared" si="186"/>
        <v>4.5196974911518444</v>
      </c>
      <c r="DW669" s="31">
        <f t="shared" si="187"/>
        <v>0.16458458409121685</v>
      </c>
      <c r="DX669" s="286">
        <f t="shared" si="188"/>
        <v>3.3771952524857296</v>
      </c>
      <c r="DZ669" s="30">
        <v>8</v>
      </c>
      <c r="EA669" s="30">
        <f>VLOOKUP($A669,'Childhood mortality'!$A$31:$G$46,3)</f>
        <v>5.9142510796238135E-5</v>
      </c>
      <c r="EB669" s="30">
        <f t="shared" si="126"/>
        <v>0.27</v>
      </c>
      <c r="EC669" s="30">
        <f t="shared" si="127"/>
        <v>7.0370672097759665E-4</v>
      </c>
      <c r="ED669" s="30">
        <f t="shared" si="128"/>
        <v>0.72923715076822615</v>
      </c>
      <c r="EE669" s="30">
        <f>VLOOKUP($A669,'Childhood mortality'!$A$31:$G$46,3)</f>
        <v>5.9142510796238135E-5</v>
      </c>
      <c r="EF669" s="30">
        <f t="shared" si="129"/>
        <v>0.27</v>
      </c>
      <c r="EG669" s="30">
        <f t="shared" si="130"/>
        <v>7.0370672097759665E-4</v>
      </c>
      <c r="EH669" s="30">
        <f t="shared" si="131"/>
        <v>0.72923715076822615</v>
      </c>
      <c r="EI669" s="30">
        <f>VLOOKUP($A669,'Childhood mortality'!$A$31:$G$46,3)</f>
        <v>5.9142510796238135E-5</v>
      </c>
      <c r="EJ669" s="30">
        <f t="shared" si="132"/>
        <v>0.14000000000000001</v>
      </c>
      <c r="EK669" s="30">
        <f t="shared" si="133"/>
        <v>7.0370672097759665E-4</v>
      </c>
      <c r="EL669" s="30">
        <f t="shared" si="134"/>
        <v>0.44895141127639815</v>
      </c>
      <c r="EM669" s="30">
        <f t="shared" si="135"/>
        <v>0.41028573949182795</v>
      </c>
      <c r="EN669" s="30">
        <f>VLOOKUP($A669,'Childhood mortality'!$A$31:$G$46,3)</f>
        <v>5.9142510796238135E-5</v>
      </c>
      <c r="EO669" s="30">
        <f t="shared" si="136"/>
        <v>0.5714285714285714</v>
      </c>
      <c r="EP669" s="30">
        <f t="shared" si="137"/>
        <v>5.0264765784114045E-4</v>
      </c>
      <c r="EQ669" s="30">
        <f t="shared" si="138"/>
        <v>0.2236350360654584</v>
      </c>
      <c r="ER669" s="30">
        <f t="shared" si="139"/>
        <v>0.20437460233733279</v>
      </c>
      <c r="ES669" s="30">
        <f>VLOOKUP($A669,'Childhood mortality'!$A$31:$G$46,3)</f>
        <v>5.9142510796238135E-5</v>
      </c>
      <c r="ET669" s="30">
        <f t="shared" si="140"/>
        <v>0.99081204295252956</v>
      </c>
      <c r="EU669" s="30">
        <f t="shared" si="141"/>
        <v>5.0264765784114045E-4</v>
      </c>
      <c r="EV669" s="30">
        <f t="shared" si="76"/>
        <v>4.5071721941902995E-3</v>
      </c>
      <c r="EW669" s="30">
        <f t="shared" si="77"/>
        <v>4.1189946846428094E-3</v>
      </c>
      <c r="EX669" s="30">
        <f>VLOOKUP($A669,'Childhood mortality'!$A$31:$G$46,3)</f>
        <v>5.9142510796238135E-5</v>
      </c>
      <c r="EY669" s="30">
        <f t="shared" si="142"/>
        <v>0.9999408574892038</v>
      </c>
      <c r="FA669" s="284">
        <f t="shared" si="189"/>
        <v>4.7267107558793136</v>
      </c>
      <c r="FB669" s="31">
        <f t="shared" si="190"/>
        <v>5.1721599370616582</v>
      </c>
      <c r="FC669" s="31">
        <f t="shared" si="191"/>
        <v>2.7046726323469299</v>
      </c>
      <c r="FD669" s="31">
        <f t="shared" si="192"/>
        <v>0.3831497363818902</v>
      </c>
      <c r="FE669" s="31">
        <f t="shared" si="193"/>
        <v>8.9983449780933462</v>
      </c>
      <c r="FF669" s="31">
        <f t="shared" si="194"/>
        <v>7.1776846115706075E-2</v>
      </c>
      <c r="FG669" s="286">
        <f t="shared" si="195"/>
        <v>1.9421510558753921</v>
      </c>
      <c r="FH669" s="31"/>
      <c r="FI669" s="284">
        <f t="shared" si="196"/>
        <v>119.62890856529438</v>
      </c>
      <c r="FJ669" s="31">
        <f t="shared" si="197"/>
        <v>130.902837121186</v>
      </c>
      <c r="FK669" s="31">
        <f t="shared" si="198"/>
        <v>68.819623156919604</v>
      </c>
      <c r="FL669" s="31">
        <f t="shared" si="199"/>
        <v>9.800712316552266</v>
      </c>
      <c r="FM669" s="31">
        <f t="shared" si="200"/>
        <v>33.169392643248315</v>
      </c>
      <c r="FN669" s="31">
        <f t="shared" si="201"/>
        <v>1.2056005598598556</v>
      </c>
      <c r="FO669" s="286">
        <f t="shared" si="202"/>
        <v>48.105786002404052</v>
      </c>
      <c r="FQ669" s="30">
        <f t="shared" si="143"/>
        <v>999.99999999999977</v>
      </c>
      <c r="FR669" s="30" t="str">
        <f t="shared" si="78"/>
        <v>OKAY</v>
      </c>
      <c r="FT669" s="284">
        <f>($AB669-(VLOOKUP($A669,'Childhood asthma'!$A$36:$AG$50,7)*$AB669))+(SUM($AC669:$AG669)-(VLOOKUP($A669,'Childhood asthma'!$A$36:$AG$50,6)*SUM($AC669:$AG669)))+($AJ669-(VLOOKUP($A669,'Childhood asthma'!$A$36:$AG$50,9)*$AJ669))+(SUM($AK669:$AO669)-(VLOOKUP($A669,'Childhood asthma'!$A$36:$AG$50,8)*SUM($AK669:$AO669)))+($BS669-(VLOOKUP($A669,'Childhood asthma'!$A$36:$AG$50,3)*$BS669))+(SUM($BT669:$BX669)-(VLOOKUP($A669,'Childhood asthma'!$A$36:$AG$50,2)*SUM($BT669:$BX669)))+($CA669-(VLOOKUP($A669,'Childhood asthma'!$A$36:$AG$50,5)*$CA669))+(SUM($CB669:$CF669)-(VLOOKUP($A669,'Childhood asthma'!$A$36:$AG$50,4)*SUM($CB669:$CF669)))+($DJ669-(VLOOKUP($A669,'Childhood asthma'!$A$36:$AG$50,23)*$DJ669))+(SUM($DK669:$DO669)-(VLOOKUP($A669,'Childhood asthma'!$A$36:$AG$50,22)*SUM($DK669:$DO669)))+($DR669-(VLOOKUP($A669,'Childhood asthma'!$A$36:$AG$50,25)*$DR669))+(SUM($DS669:$DW669)-(VLOOKUP($A669,'Childhood asthma'!$A$36:$AG$50,24)*SUM($DS669:$DW669)))+($FA669-(VLOOKUP($A669,'Childhood asthma'!$A$36:$AG$50,19)*$FA669))+(SUM($FB669:$FF669)-(VLOOKUP($A669,'Childhood asthma'!$A$36:$AG$50,18)*SUM($FB669:$FF669)))+($FI669-(VLOOKUP($A669,'Childhood asthma'!$A$36:$AG$50,21)*$FI669))+(SUM($FJ669:$FN669)-(VLOOKUP($A669,'Childhood asthma'!$A$36:$AG$50,20)*SUM($FJ669:$FN669)))</f>
        <v>787.27638629445005</v>
      </c>
      <c r="FU669" s="31">
        <f>(VLOOKUP($A669,'Childhood asthma'!$A$36:$AG$50,7)*$AB669)+(VLOOKUP($A669,'Childhood asthma'!$A$36:$AG$50,6)*SUM($AC669:$AG669))+(VLOOKUP($A669,'Childhood asthma'!$A$36:$AG$50,9)*$AJ669)+(VLOOKUP($A669,'Childhood asthma'!$A$36:$AG$50,8)*SUM($AK669:$AO669))+(VLOOKUP($A669,'Childhood asthma'!$A$36:$AG$50,3)*$BS669)+(VLOOKUP($A669,'Childhood asthma'!$A$36:$AG$50,2)*SUM($BT669:$BX669))+(VLOOKUP($A669,'Childhood asthma'!$A$36:$AG$50,5)*$CA669)+(VLOOKUP($A669,'Childhood asthma'!$A$36:$AG$50,4)*SUM($CB669:$CF669))+(VLOOKUP($A669,'Childhood asthma'!$A$36:$AG$50,23)*$DJ669)+(VLOOKUP($A669,'Childhood asthma'!$A$36:$AG$50,22)*SUM($DK669:$DO669))+(VLOOKUP($A669,'Childhood asthma'!$A$36:$AG$50,25)*$DR669)+(VLOOKUP($A669,'Childhood asthma'!$A$36:$AG$50,24)*SUM($DS669:$DW669))+(VLOOKUP($A669,'Childhood asthma'!$A$36:$AG$50,19)*$FA669)+(VLOOKUP($A669,'Childhood asthma'!$A$36:$AG$50,18)*SUM($FB669:$FF669))+(VLOOKUP($A669,'Childhood asthma'!$A$36:$AG$50,21)*$FI669)+(VLOOKUP($A669,'Childhood asthma'!$A$36:$AG$50,20)*SUM($FJ669:$FN669))</f>
        <v>103.10308730445925</v>
      </c>
      <c r="FV669" s="31">
        <f t="shared" si="203"/>
        <v>890.37947359890927</v>
      </c>
      <c r="FW669" s="286">
        <f t="shared" si="204"/>
        <v>109.62052640109056</v>
      </c>
      <c r="FY669" s="265">
        <v>8</v>
      </c>
      <c r="FZ669" s="30">
        <f t="shared" si="205"/>
        <v>676.16446166875369</v>
      </c>
      <c r="GA669" s="281">
        <f t="shared" si="206"/>
        <v>6122.6373633991561</v>
      </c>
      <c r="GC669" s="265">
        <v>8</v>
      </c>
      <c r="GD669" s="30">
        <f t="shared" si="144"/>
        <v>668.33469407069583</v>
      </c>
      <c r="GE669" s="281">
        <f t="shared" si="207"/>
        <v>6078.6643426122755</v>
      </c>
      <c r="GG669" s="265">
        <v>8</v>
      </c>
      <c r="GH669" s="303">
        <f t="shared" si="208"/>
        <v>127228.14127692379</v>
      </c>
      <c r="GI669" s="304">
        <f t="shared" si="209"/>
        <v>3993194.7457148051</v>
      </c>
      <c r="GK669" s="265">
        <v>8</v>
      </c>
      <c r="GL669" s="287">
        <f t="shared" si="145"/>
        <v>0.89037947359890923</v>
      </c>
      <c r="GM669" s="287">
        <f t="shared" si="145"/>
        <v>0.10962052640109056</v>
      </c>
      <c r="GN669" s="288">
        <f t="shared" si="146"/>
        <v>0.10310308730445925</v>
      </c>
      <c r="GP669" s="265">
        <v>8</v>
      </c>
      <c r="GQ669" s="303">
        <f t="shared" si="210"/>
        <v>127228.14127692379</v>
      </c>
      <c r="GR669" s="304">
        <f t="shared" si="211"/>
        <v>7095210.4696783433</v>
      </c>
      <c r="GT669" s="265">
        <v>8</v>
      </c>
      <c r="GU669" s="303">
        <f t="shared" si="212"/>
        <v>127228.14127692379</v>
      </c>
      <c r="GV669" s="304">
        <f t="shared" si="213"/>
        <v>3990154.7457148042</v>
      </c>
      <c r="GX669" s="265">
        <v>8</v>
      </c>
      <c r="GY669" s="303">
        <f t="shared" si="214"/>
        <v>127228.14127692379</v>
      </c>
      <c r="GZ669" s="304">
        <f t="shared" si="215"/>
        <v>7095210.4696783433</v>
      </c>
    </row>
    <row r="670" spans="1:208" s="30" customFormat="1" x14ac:dyDescent="0.25">
      <c r="A670" s="379">
        <v>9</v>
      </c>
      <c r="B670" s="30">
        <f>VLOOKUP($A670,'Childhood mortality'!$A$12:$G$27,4)</f>
        <v>9.4051082081163709E-5</v>
      </c>
      <c r="C670" s="30">
        <f t="shared" si="79"/>
        <v>0.27</v>
      </c>
      <c r="D670" s="30">
        <f t="shared" si="80"/>
        <v>7.6187372708757617E-4</v>
      </c>
      <c r="E670" s="30">
        <f t="shared" si="81"/>
        <v>0.72914407519083124</v>
      </c>
      <c r="F670" s="30">
        <f>VLOOKUP($A670,'Childhood mortality'!$A$12:$G$27,4)</f>
        <v>9.4051082081163709E-5</v>
      </c>
      <c r="G670" s="30">
        <f t="shared" si="82"/>
        <v>0.27</v>
      </c>
      <c r="H670" s="30">
        <f t="shared" si="83"/>
        <v>7.6187372708757617E-4</v>
      </c>
      <c r="I670" s="30">
        <f t="shared" si="84"/>
        <v>0.72914407519083124</v>
      </c>
      <c r="J670" s="30">
        <f>VLOOKUP($A670,'Childhood mortality'!$A$12:$G$27,4)</f>
        <v>9.4051082081163709E-5</v>
      </c>
      <c r="K670" s="30">
        <f t="shared" si="85"/>
        <v>0.14000000000000001</v>
      </c>
      <c r="L670" s="30">
        <f t="shared" si="86"/>
        <v>7.6187372708757617E-4</v>
      </c>
      <c r="M670" s="30">
        <f t="shared" si="66"/>
        <v>0.44890277928720929</v>
      </c>
      <c r="N670" s="30">
        <f t="shared" si="67"/>
        <v>0.41024129590362191</v>
      </c>
      <c r="O670" s="30">
        <f>VLOOKUP($A670,'Childhood mortality'!$A$12:$G$27,4)</f>
        <v>9.4051082081163709E-5</v>
      </c>
      <c r="P670" s="30">
        <f t="shared" si="87"/>
        <v>0.5714285714285714</v>
      </c>
      <c r="Q670" s="30">
        <f t="shared" si="88"/>
        <v>5.4419551934826874E-4</v>
      </c>
      <c r="R670" s="30">
        <f t="shared" si="68"/>
        <v>0.22359508757932456</v>
      </c>
      <c r="S670" s="30">
        <f t="shared" si="69"/>
        <v>0.2043380943906746</v>
      </c>
      <c r="T670" s="30">
        <f>VLOOKUP($A670,'Childhood mortality'!$A$12:$G$27,4)</f>
        <v>9.4051082081163709E-5</v>
      </c>
      <c r="U670" s="30">
        <f t="shared" si="89"/>
        <v>0.99073558651973748</v>
      </c>
      <c r="V670" s="30">
        <f t="shared" si="90"/>
        <v>5.4419551934826874E-4</v>
      </c>
      <c r="W670" s="30">
        <f t="shared" si="70"/>
        <v>4.5071721941902995E-3</v>
      </c>
      <c r="X670" s="30">
        <f t="shared" si="71"/>
        <v>4.1189946846428094E-3</v>
      </c>
      <c r="Y670" s="30">
        <f>VLOOKUP($A670,'Childhood mortality'!$A$12:$G$27,4)</f>
        <v>9.4051082081163709E-5</v>
      </c>
      <c r="Z670" s="30">
        <f t="shared" si="91"/>
        <v>0.99990594891791884</v>
      </c>
      <c r="AB670" s="284">
        <f t="shared" si="147"/>
        <v>0.30862577943522046</v>
      </c>
      <c r="AC670" s="31">
        <f t="shared" si="148"/>
        <v>0.33771093142388003</v>
      </c>
      <c r="AD670" s="31">
        <f t="shared" si="149"/>
        <v>0.1765680176964316</v>
      </c>
      <c r="AE670" s="31">
        <f t="shared" si="150"/>
        <v>2.5015259205286466E-2</v>
      </c>
      <c r="AF670" s="31">
        <f t="shared" si="151"/>
        <v>0.60763766779011941</v>
      </c>
      <c r="AG670" s="31">
        <f t="shared" si="152"/>
        <v>5.7409295688050548E-3</v>
      </c>
      <c r="AH670" s="286">
        <f t="shared" si="153"/>
        <v>8.0185842850338307E-2</v>
      </c>
      <c r="AI670" s="31"/>
      <c r="AJ670" s="284">
        <f t="shared" si="154"/>
        <v>16.64011608067079</v>
      </c>
      <c r="AK670" s="31">
        <f t="shared" si="155"/>
        <v>18.208294559477462</v>
      </c>
      <c r="AL670" s="31">
        <f t="shared" si="156"/>
        <v>9.5713894918129316</v>
      </c>
      <c r="AM670" s="31">
        <f t="shared" si="157"/>
        <v>1.3633510969885771</v>
      </c>
      <c r="AN670" s="31">
        <f t="shared" si="158"/>
        <v>5.4459147396843637</v>
      </c>
      <c r="AO670" s="31">
        <f t="shared" si="159"/>
        <v>0.20875702701107712</v>
      </c>
      <c r="AP670" s="286">
        <f t="shared" si="160"/>
        <v>3.6079753994835384</v>
      </c>
      <c r="AR670" s="30">
        <v>9</v>
      </c>
      <c r="AS670" s="30">
        <f>VLOOKUP($A670,'Childhood mortality'!$A$12:$G$27,3)</f>
        <v>5.9142510796238135E-5</v>
      </c>
      <c r="AT670" s="30">
        <f t="shared" si="92"/>
        <v>0.27</v>
      </c>
      <c r="AU670" s="30">
        <f t="shared" si="93"/>
        <v>7.6187372708757617E-4</v>
      </c>
      <c r="AV670" s="30">
        <f t="shared" si="94"/>
        <v>0.72917898376211621</v>
      </c>
      <c r="AW670" s="30">
        <f>VLOOKUP($A670,'Childhood mortality'!$A$12:$G$27,3)</f>
        <v>5.9142510796238135E-5</v>
      </c>
      <c r="AX670" s="30">
        <f t="shared" si="95"/>
        <v>0.27</v>
      </c>
      <c r="AY670" s="30">
        <f t="shared" si="96"/>
        <v>7.6187372708757617E-4</v>
      </c>
      <c r="AZ670" s="30">
        <f t="shared" si="97"/>
        <v>0.72917898376211621</v>
      </c>
      <c r="BA670" s="30">
        <f>VLOOKUP($A670,'Childhood mortality'!$A$12:$G$27,3)</f>
        <v>5.9142510796238135E-5</v>
      </c>
      <c r="BB670" s="30">
        <f t="shared" si="98"/>
        <v>0.14000000000000001</v>
      </c>
      <c r="BC670" s="30">
        <f t="shared" si="99"/>
        <v>7.6187372708757617E-4</v>
      </c>
      <c r="BD670" s="30">
        <f t="shared" si="100"/>
        <v>0.44892101901570569</v>
      </c>
      <c r="BE670" s="30">
        <f t="shared" si="101"/>
        <v>0.41025796474641046</v>
      </c>
      <c r="BF670" s="30">
        <f>VLOOKUP($A670,'Childhood mortality'!$A$12:$G$27,3)</f>
        <v>5.9142510796238135E-5</v>
      </c>
      <c r="BG670" s="30">
        <f t="shared" si="102"/>
        <v>0.5714285714285714</v>
      </c>
      <c r="BH670" s="30">
        <f t="shared" si="103"/>
        <v>5.4419551934826874E-4</v>
      </c>
      <c r="BI670" s="30">
        <f t="shared" si="104"/>
        <v>0.22361332730782094</v>
      </c>
      <c r="BJ670" s="30">
        <f t="shared" si="105"/>
        <v>0.20435476323346316</v>
      </c>
      <c r="BK670" s="30">
        <f>VLOOKUP($A670,'Childhood mortality'!$A$12:$G$27,3)</f>
        <v>5.9142510796238135E-5</v>
      </c>
      <c r="BL670" s="30">
        <f t="shared" si="106"/>
        <v>0.99077049509102244</v>
      </c>
      <c r="BM670" s="30">
        <f t="shared" si="107"/>
        <v>5.4419551934826874E-4</v>
      </c>
      <c r="BN670" s="30">
        <f t="shared" si="72"/>
        <v>4.5071721941902995E-3</v>
      </c>
      <c r="BO670" s="30">
        <f t="shared" si="73"/>
        <v>4.1189946846428094E-3</v>
      </c>
      <c r="BP670" s="30">
        <f>VLOOKUP($A670,'Childhood mortality'!$A$12:$G$27,3)</f>
        <v>5.9142510796238135E-5</v>
      </c>
      <c r="BQ670" s="30">
        <f t="shared" si="108"/>
        <v>0.9999408574892038</v>
      </c>
      <c r="BS670" s="284">
        <f t="shared" si="161"/>
        <v>4.8558643203277851</v>
      </c>
      <c r="BT670" s="31">
        <f t="shared" si="162"/>
        <v>5.3134850416152215</v>
      </c>
      <c r="BU670" s="31">
        <f t="shared" si="163"/>
        <v>2.7780954241024878</v>
      </c>
      <c r="BV670" s="31">
        <f t="shared" si="164"/>
        <v>0.39358613466767689</v>
      </c>
      <c r="BW670" s="31">
        <f t="shared" si="165"/>
        <v>9.5049207841191627</v>
      </c>
      <c r="BX670" s="31">
        <f t="shared" si="166"/>
        <v>8.9935447478834932E-2</v>
      </c>
      <c r="BY670" s="286">
        <f t="shared" si="167"/>
        <v>0.15919480785284082</v>
      </c>
      <c r="BZ670" s="31"/>
      <c r="CA670" s="284">
        <f t="shared" si="168"/>
        <v>122.29741061990842</v>
      </c>
      <c r="CB670" s="31">
        <f t="shared" si="169"/>
        <v>133.82282104482127</v>
      </c>
      <c r="CC670" s="31">
        <f t="shared" si="170"/>
        <v>70.342943625478568</v>
      </c>
      <c r="CD670" s="31">
        <f t="shared" si="171"/>
        <v>10.019284070966942</v>
      </c>
      <c r="CE670" s="31">
        <f t="shared" si="172"/>
        <v>40.001873830508437</v>
      </c>
      <c r="CF670" s="31">
        <f t="shared" si="173"/>
        <v>1.5310782600849338</v>
      </c>
      <c r="CG670" s="286">
        <f t="shared" si="174"/>
        <v>52.302223764968517</v>
      </c>
      <c r="CI670" s="30">
        <v>9</v>
      </c>
      <c r="CJ670" s="30">
        <f>VLOOKUP($A670,'Childhood mortality'!$A$31:$G$46,4)</f>
        <v>8.4447811139326889E-5</v>
      </c>
      <c r="CK670" s="30">
        <f t="shared" si="109"/>
        <v>0.27</v>
      </c>
      <c r="CL670" s="30">
        <f t="shared" si="110"/>
        <v>7.6187372708757617E-4</v>
      </c>
      <c r="CM670" s="30">
        <f t="shared" si="111"/>
        <v>0.72915367846177304</v>
      </c>
      <c r="CN670" s="30">
        <f>VLOOKUP($A670,'Childhood mortality'!$A$31:$G$46,4)</f>
        <v>8.4447811139326889E-5</v>
      </c>
      <c r="CO670" s="30">
        <f t="shared" si="112"/>
        <v>0.27</v>
      </c>
      <c r="CP670" s="30">
        <f t="shared" si="113"/>
        <v>7.6187372708757617E-4</v>
      </c>
      <c r="CQ670" s="30">
        <f t="shared" si="114"/>
        <v>0.72915367846177304</v>
      </c>
      <c r="CR670" s="30">
        <f>VLOOKUP($A670,'Childhood mortality'!$A$31:$G$46,4)</f>
        <v>8.4447811139326889E-5</v>
      </c>
      <c r="CS670" s="30">
        <f t="shared" si="115"/>
        <v>0.14000000000000001</v>
      </c>
      <c r="CT670" s="30">
        <f t="shared" si="116"/>
        <v>7.6187372708757617E-4</v>
      </c>
      <c r="CU670" s="30">
        <f t="shared" si="117"/>
        <v>0.44890779699627636</v>
      </c>
      <c r="CV670" s="30">
        <f t="shared" si="118"/>
        <v>0.41024588146549662</v>
      </c>
      <c r="CW670" s="30">
        <f>VLOOKUP($A670,'Childhood mortality'!$A$31:$G$46,4)</f>
        <v>8.4447811139326889E-5</v>
      </c>
      <c r="CX670" s="30">
        <f t="shared" si="119"/>
        <v>0.5714285714285714</v>
      </c>
      <c r="CY670" s="30">
        <f t="shared" si="120"/>
        <v>5.4419551934826874E-4</v>
      </c>
      <c r="CZ670" s="30">
        <f t="shared" si="121"/>
        <v>0.22360010528839167</v>
      </c>
      <c r="DA670" s="30">
        <f t="shared" si="122"/>
        <v>0.20434267995254934</v>
      </c>
      <c r="DB670" s="30">
        <f>VLOOKUP($A670,'Childhood mortality'!$A$31:$G$46,4)</f>
        <v>8.4447811139326889E-5</v>
      </c>
      <c r="DC670" s="30">
        <f t="shared" si="123"/>
        <v>0.99074518979067927</v>
      </c>
      <c r="DD670" s="30">
        <f t="shared" si="124"/>
        <v>5.4419551934826874E-4</v>
      </c>
      <c r="DE670" s="30">
        <f t="shared" si="74"/>
        <v>4.5071721941902995E-3</v>
      </c>
      <c r="DF670" s="30">
        <f t="shared" si="75"/>
        <v>4.1189946846428094E-3</v>
      </c>
      <c r="DG670" s="30">
        <f>VLOOKUP($A670,'Childhood mortality'!$A$31:$G$46,4)</f>
        <v>8.4447811139326889E-5</v>
      </c>
      <c r="DH670" s="30">
        <f t="shared" si="125"/>
        <v>0.99991555218886063</v>
      </c>
      <c r="DJ670" s="284">
        <f t="shared" si="175"/>
        <v>0.29730334537796449</v>
      </c>
      <c r="DK670" s="31">
        <f t="shared" si="176"/>
        <v>0.32532146169630666</v>
      </c>
      <c r="DL670" s="31">
        <f t="shared" si="177"/>
        <v>0.17009095206295152</v>
      </c>
      <c r="DM670" s="31">
        <f t="shared" si="178"/>
        <v>2.4097752655916023E-2</v>
      </c>
      <c r="DN670" s="31">
        <f t="shared" si="179"/>
        <v>0.58407223693228216</v>
      </c>
      <c r="DO670" s="31">
        <f t="shared" si="180"/>
        <v>5.5248993727032951E-3</v>
      </c>
      <c r="DP670" s="286">
        <f t="shared" si="181"/>
        <v>7.4623410147640193E-2</v>
      </c>
      <c r="DQ670" s="31"/>
      <c r="DR670" s="284">
        <f t="shared" si="182"/>
        <v>16.015420365465715</v>
      </c>
      <c r="DS670" s="31">
        <f t="shared" si="183"/>
        <v>17.524726996766148</v>
      </c>
      <c r="DT670" s="31">
        <f t="shared" si="184"/>
        <v>9.2119695227217608</v>
      </c>
      <c r="DU670" s="31">
        <f t="shared" si="185"/>
        <v>1.3121439562782014</v>
      </c>
      <c r="DV670" s="31">
        <f t="shared" si="186"/>
        <v>5.2406113124036038</v>
      </c>
      <c r="DW670" s="31">
        <f t="shared" si="187"/>
        <v>0.2008912219815851</v>
      </c>
      <c r="DX670" s="286">
        <f t="shared" si="188"/>
        <v>3.3813762589184231</v>
      </c>
      <c r="DZ670" s="30">
        <v>9</v>
      </c>
      <c r="EA670" s="30">
        <f>VLOOKUP($A670,'Childhood mortality'!$A$31:$G$46,3)</f>
        <v>5.31036482676109E-5</v>
      </c>
      <c r="EB670" s="30">
        <f t="shared" si="126"/>
        <v>0.27</v>
      </c>
      <c r="EC670" s="30">
        <f t="shared" si="127"/>
        <v>7.6187372708757617E-4</v>
      </c>
      <c r="ED670" s="30">
        <f t="shared" si="128"/>
        <v>0.7291850226246448</v>
      </c>
      <c r="EE670" s="30">
        <f>VLOOKUP($A670,'Childhood mortality'!$A$31:$G$46,3)</f>
        <v>5.31036482676109E-5</v>
      </c>
      <c r="EF670" s="30">
        <f t="shared" si="129"/>
        <v>0.27</v>
      </c>
      <c r="EG670" s="30">
        <f t="shared" si="130"/>
        <v>7.6187372708757617E-4</v>
      </c>
      <c r="EH670" s="30">
        <f t="shared" si="131"/>
        <v>0.7291850226246448</v>
      </c>
      <c r="EI670" s="30">
        <f>VLOOKUP($A670,'Childhood mortality'!$A$31:$G$46,3)</f>
        <v>5.31036482676109E-5</v>
      </c>
      <c r="EJ670" s="30">
        <f t="shared" si="132"/>
        <v>0.14000000000000001</v>
      </c>
      <c r="EK670" s="30">
        <f t="shared" si="133"/>
        <v>7.6187372708757617E-4</v>
      </c>
      <c r="EL670" s="30">
        <f t="shared" si="134"/>
        <v>0.44892417432137688</v>
      </c>
      <c r="EM670" s="30">
        <f t="shared" si="135"/>
        <v>0.41026084830326787</v>
      </c>
      <c r="EN670" s="30">
        <f>VLOOKUP($A670,'Childhood mortality'!$A$31:$G$46,3)</f>
        <v>5.31036482676109E-5</v>
      </c>
      <c r="EO670" s="30">
        <f t="shared" si="136"/>
        <v>0.5714285714285714</v>
      </c>
      <c r="EP670" s="30">
        <f t="shared" si="137"/>
        <v>5.4419551934826874E-4</v>
      </c>
      <c r="EQ670" s="30">
        <f t="shared" si="138"/>
        <v>0.22361648261349215</v>
      </c>
      <c r="ER670" s="30">
        <f t="shared" si="139"/>
        <v>0.20435764679032056</v>
      </c>
      <c r="ES670" s="30">
        <f>VLOOKUP($A670,'Childhood mortality'!$A$31:$G$46,3)</f>
        <v>5.31036482676109E-5</v>
      </c>
      <c r="ET670" s="30">
        <f t="shared" si="140"/>
        <v>0.99077653395355103</v>
      </c>
      <c r="EU670" s="30">
        <f t="shared" si="141"/>
        <v>5.4419551934826874E-4</v>
      </c>
      <c r="EV670" s="30">
        <f t="shared" si="76"/>
        <v>4.5071721941902995E-3</v>
      </c>
      <c r="EW670" s="30">
        <f t="shared" si="77"/>
        <v>4.1189946846428094E-3</v>
      </c>
      <c r="EX670" s="30">
        <f>VLOOKUP($A670,'Childhood mortality'!$A$31:$G$46,3)</f>
        <v>5.31036482676109E-5</v>
      </c>
      <c r="EY670" s="30">
        <f t="shared" si="142"/>
        <v>0.99994689635173239</v>
      </c>
      <c r="FA670" s="284">
        <f t="shared" si="189"/>
        <v>4.6716316916259766</v>
      </c>
      <c r="FB670" s="31">
        <f t="shared" si="190"/>
        <v>5.1118901756535564</v>
      </c>
      <c r="FC670" s="31">
        <f t="shared" si="191"/>
        <v>2.6726950870940627</v>
      </c>
      <c r="FD670" s="31">
        <f t="shared" si="192"/>
        <v>0.3786541685285702</v>
      </c>
      <c r="FE670" s="31">
        <f t="shared" si="193"/>
        <v>9.1342917552176033</v>
      </c>
      <c r="FF670" s="31">
        <f t="shared" si="194"/>
        <v>8.6480710419469919E-2</v>
      </c>
      <c r="FG670" s="286">
        <f t="shared" si="195"/>
        <v>1.9433223532149957</v>
      </c>
      <c r="FH670" s="31"/>
      <c r="FI670" s="284">
        <f t="shared" si="196"/>
        <v>117.60508043288471</v>
      </c>
      <c r="FJ670" s="31">
        <f t="shared" si="197"/>
        <v>128.68828173022462</v>
      </c>
      <c r="FK670" s="31">
        <f t="shared" si="198"/>
        <v>67.643571335349719</v>
      </c>
      <c r="FL670" s="31">
        <f t="shared" si="199"/>
        <v>9.6347472419687463</v>
      </c>
      <c r="FM670" s="31">
        <f t="shared" si="200"/>
        <v>38.463862914451845</v>
      </c>
      <c r="FN670" s="31">
        <f t="shared" si="201"/>
        <v>1.4722260942880623</v>
      </c>
      <c r="FO670" s="286">
        <f t="shared" si="202"/>
        <v>48.125090616296788</v>
      </c>
      <c r="FQ670" s="30">
        <f t="shared" si="143"/>
        <v>999.99999999999977</v>
      </c>
      <c r="FR670" s="30" t="str">
        <f t="shared" si="78"/>
        <v>OKAY</v>
      </c>
      <c r="FT670" s="284">
        <f>($AB670-(VLOOKUP($A670,'Childhood asthma'!$A$36:$AG$50,7)*$AB670))+(SUM($AC670:$AG670)-(VLOOKUP($A670,'Childhood asthma'!$A$36:$AG$50,6)*SUM($AC670:$AG670)))+($AJ670-(VLOOKUP($A670,'Childhood asthma'!$A$36:$AG$50,9)*$AJ670))+(SUM($AK670:$AO670)-(VLOOKUP($A670,'Childhood asthma'!$A$36:$AG$50,8)*SUM($AK670:$AO670)))+($BS670-(VLOOKUP($A670,'Childhood asthma'!$A$36:$AG$50,3)*$BS670))+(SUM($BT670:$BX670)-(VLOOKUP($A670,'Childhood asthma'!$A$36:$AG$50,2)*SUM($BT670:$BX670)))+($CA670-(VLOOKUP($A670,'Childhood asthma'!$A$36:$AG$50,5)*$CA670))+(SUM($CB670:$CF670)-(VLOOKUP($A670,'Childhood asthma'!$A$36:$AG$50,4)*SUM($CB670:$CF670)))+($DJ670-(VLOOKUP($A670,'Childhood asthma'!$A$36:$AG$50,23)*$DJ670))+(SUM($DK670:$DO670)-(VLOOKUP($A670,'Childhood asthma'!$A$36:$AG$50,22)*SUM($DK670:$DO670)))+($DR670-(VLOOKUP($A670,'Childhood asthma'!$A$36:$AG$50,25)*$DR670))+(SUM($DS670:$DW670)-(VLOOKUP($A670,'Childhood asthma'!$A$36:$AG$50,24)*SUM($DS670:$DW670)))+($FA670-(VLOOKUP($A670,'Childhood asthma'!$A$36:$AG$50,19)*$FA670))+(SUM($FB670:$FF670)-(VLOOKUP($A670,'Childhood asthma'!$A$36:$AG$50,18)*SUM($FB670:$FF670)))+($FI670-(VLOOKUP($A670,'Childhood asthma'!$A$36:$AG$50,21)*$FI670))+(SUM($FJ670:$FN670)-(VLOOKUP($A670,'Childhood asthma'!$A$36:$AG$50,20)*SUM($FJ670:$FN670)))</f>
        <v>787.32544628359915</v>
      </c>
      <c r="FU670" s="31">
        <f>(VLOOKUP($A670,'Childhood asthma'!$A$36:$AG$50,7)*$AB670)+(VLOOKUP($A670,'Childhood asthma'!$A$36:$AG$50,6)*SUM($AC670:$AG670))+(VLOOKUP($A670,'Childhood asthma'!$A$36:$AG$50,9)*$AJ670)+(VLOOKUP($A670,'Childhood asthma'!$A$36:$AG$50,8)*SUM($AK670:$AO670))+(VLOOKUP($A670,'Childhood asthma'!$A$36:$AG$50,3)*$BS670)+(VLOOKUP($A670,'Childhood asthma'!$A$36:$AG$50,2)*SUM($BT670:$BX670))+(VLOOKUP($A670,'Childhood asthma'!$A$36:$AG$50,5)*$CA670)+(VLOOKUP($A670,'Childhood asthma'!$A$36:$AG$50,4)*SUM($CB670:$CF670))+(VLOOKUP($A670,'Childhood asthma'!$A$36:$AG$50,23)*$DJ670)+(VLOOKUP($A670,'Childhood asthma'!$A$36:$AG$50,22)*SUM($DK670:$DO670))+(VLOOKUP($A670,'Childhood asthma'!$A$36:$AG$50,25)*$DR670)+(VLOOKUP($A670,'Childhood asthma'!$A$36:$AG$50,24)*SUM($DS670:$DW670))+(VLOOKUP($A670,'Childhood asthma'!$A$36:$AG$50,19)*$FA670)+(VLOOKUP($A670,'Childhood asthma'!$A$36:$AG$50,18)*SUM($FB670:$FF670))+(VLOOKUP($A670,'Childhood asthma'!$A$36:$AG$50,21)*$FI670)+(VLOOKUP($A670,'Childhood asthma'!$A$36:$AG$50,20)*SUM($FJ670:$FN670))</f>
        <v>103.00056126266765</v>
      </c>
      <c r="FV670" s="31">
        <f t="shared" si="203"/>
        <v>890.32600754626674</v>
      </c>
      <c r="FW670" s="286">
        <f t="shared" si="204"/>
        <v>109.67399245373308</v>
      </c>
      <c r="FY670" s="265">
        <v>9</v>
      </c>
      <c r="FZ670" s="30">
        <f t="shared" si="205"/>
        <v>653.2597670826201</v>
      </c>
      <c r="GA670" s="281">
        <f t="shared" si="206"/>
        <v>6775.897130481776</v>
      </c>
      <c r="GC670" s="265">
        <v>9</v>
      </c>
      <c r="GD670" s="30">
        <f t="shared" si="144"/>
        <v>645.7022968874868</v>
      </c>
      <c r="GE670" s="281">
        <f t="shared" si="207"/>
        <v>6724.3666394997626</v>
      </c>
      <c r="GG670" s="265">
        <v>9</v>
      </c>
      <c r="GH670" s="303">
        <f t="shared" si="208"/>
        <v>122797.4692292593</v>
      </c>
      <c r="GI670" s="304">
        <f t="shared" si="209"/>
        <v>4115992.2149440646</v>
      </c>
      <c r="GK670" s="265">
        <v>9</v>
      </c>
      <c r="GL670" s="287">
        <f t="shared" si="145"/>
        <v>0.89032600754626678</v>
      </c>
      <c r="GM670" s="287">
        <f t="shared" si="145"/>
        <v>0.10967399245373308</v>
      </c>
      <c r="GN670" s="288">
        <f t="shared" si="146"/>
        <v>0.10300056126266764</v>
      </c>
      <c r="GP670" s="265">
        <v>9</v>
      </c>
      <c r="GQ670" s="303">
        <f t="shared" si="210"/>
        <v>122797.4692292593</v>
      </c>
      <c r="GR670" s="304">
        <f t="shared" si="211"/>
        <v>7218007.9389076028</v>
      </c>
      <c r="GT670" s="265">
        <v>9</v>
      </c>
      <c r="GU670" s="303">
        <f t="shared" si="212"/>
        <v>122797.4692292593</v>
      </c>
      <c r="GV670" s="304">
        <f t="shared" si="213"/>
        <v>4112952.2149440637</v>
      </c>
      <c r="GX670" s="265">
        <v>9</v>
      </c>
      <c r="GY670" s="303">
        <f t="shared" si="214"/>
        <v>122797.4692292593</v>
      </c>
      <c r="GZ670" s="304">
        <f t="shared" si="215"/>
        <v>7218007.9389076028</v>
      </c>
    </row>
    <row r="671" spans="1:208" s="30" customFormat="1" x14ac:dyDescent="0.25">
      <c r="A671" s="379">
        <v>10</v>
      </c>
      <c r="B671" s="30">
        <f>VLOOKUP($A671,'Childhood mortality'!$A$12:$G$27,4)</f>
        <v>8.1439294753122901E-5</v>
      </c>
      <c r="C671" s="30">
        <f t="shared" si="79"/>
        <v>0.27</v>
      </c>
      <c r="D671" s="30">
        <f t="shared" si="80"/>
        <v>8.2916496945010154E-4</v>
      </c>
      <c r="E671" s="30">
        <f t="shared" si="81"/>
        <v>0.72908939573579679</v>
      </c>
      <c r="F671" s="30">
        <f>VLOOKUP($A671,'Childhood mortality'!$A$12:$G$27,4)</f>
        <v>8.1439294753122901E-5</v>
      </c>
      <c r="G671" s="30">
        <f t="shared" si="82"/>
        <v>0.27</v>
      </c>
      <c r="H671" s="30">
        <f t="shared" si="83"/>
        <v>8.2916496945010154E-4</v>
      </c>
      <c r="I671" s="30">
        <f t="shared" si="84"/>
        <v>0.72908939573579679</v>
      </c>
      <c r="J671" s="30">
        <f>VLOOKUP($A671,'Childhood mortality'!$A$12:$G$27,4)</f>
        <v>8.1439294753122901E-5</v>
      </c>
      <c r="K671" s="30">
        <f t="shared" si="85"/>
        <v>0.14000000000000001</v>
      </c>
      <c r="L671" s="30">
        <f t="shared" si="86"/>
        <v>8.2916496945010154E-4</v>
      </c>
      <c r="M671" s="30">
        <f t="shared" si="66"/>
        <v>0.44887420927195382</v>
      </c>
      <c r="N671" s="30">
        <f t="shared" si="67"/>
        <v>0.41021518646384297</v>
      </c>
      <c r="O671" s="30">
        <f>VLOOKUP($A671,'Childhood mortality'!$A$12:$G$27,4)</f>
        <v>8.1439294753122901E-5</v>
      </c>
      <c r="P671" s="30">
        <f t="shared" si="87"/>
        <v>0.5714285714285714</v>
      </c>
      <c r="Q671" s="30">
        <f t="shared" si="88"/>
        <v>5.9226069246435837E-4</v>
      </c>
      <c r="R671" s="30">
        <f t="shared" si="68"/>
        <v>0.22357656318525032</v>
      </c>
      <c r="S671" s="30">
        <f t="shared" si="69"/>
        <v>0.20432116539896081</v>
      </c>
      <c r="T671" s="30">
        <f>VLOOKUP($A671,'Childhood mortality'!$A$12:$G$27,4)</f>
        <v>8.1439294753122901E-5</v>
      </c>
      <c r="U671" s="30">
        <f t="shared" si="89"/>
        <v>0.99070013313394945</v>
      </c>
      <c r="V671" s="30">
        <f t="shared" si="90"/>
        <v>5.9226069246435837E-4</v>
      </c>
      <c r="W671" s="30">
        <f t="shared" si="70"/>
        <v>4.5071721941902995E-3</v>
      </c>
      <c r="X671" s="30">
        <f t="shared" si="71"/>
        <v>4.1189946846428094E-3</v>
      </c>
      <c r="Y671" s="30">
        <f>VLOOKUP($A671,'Childhood mortality'!$A$12:$G$27,4)</f>
        <v>8.1439294753122901E-5</v>
      </c>
      <c r="Z671" s="30">
        <f t="shared" si="91"/>
        <v>0.99991856070524687</v>
      </c>
      <c r="AB671" s="284">
        <f t="shared" si="147"/>
        <v>0.30506066857720449</v>
      </c>
      <c r="AC671" s="31">
        <f t="shared" si="148"/>
        <v>0.33380984153212434</v>
      </c>
      <c r="AD671" s="31">
        <f t="shared" si="149"/>
        <v>0.17451091193195714</v>
      </c>
      <c r="AE671" s="31">
        <f t="shared" si="150"/>
        <v>2.4719522477500425E-2</v>
      </c>
      <c r="AF671" s="31">
        <f t="shared" si="151"/>
        <v>0.61628115220846602</v>
      </c>
      <c r="AG671" s="31">
        <f t="shared" si="152"/>
        <v>6.7974812662947382E-3</v>
      </c>
      <c r="AH671" s="286">
        <f t="shared" si="153"/>
        <v>8.0304849976534184E-2</v>
      </c>
      <c r="AI671" s="31"/>
      <c r="AJ671" s="284">
        <f t="shared" si="154"/>
        <v>16.359454682182324</v>
      </c>
      <c r="AK671" s="31">
        <f t="shared" si="155"/>
        <v>17.901183395686417</v>
      </c>
      <c r="AL671" s="31">
        <f t="shared" si="156"/>
        <v>9.4090708728400294</v>
      </c>
      <c r="AM671" s="31">
        <f t="shared" si="157"/>
        <v>1.3399945288538107</v>
      </c>
      <c r="AN671" s="31">
        <f t="shared" si="158"/>
        <v>6.1743262273491943</v>
      </c>
      <c r="AO671" s="31">
        <f t="shared" si="159"/>
        <v>0.24960422870502161</v>
      </c>
      <c r="AP671" s="286">
        <f t="shared" si="160"/>
        <v>3.6121644595119395</v>
      </c>
      <c r="AR671" s="30">
        <v>10</v>
      </c>
      <c r="AS671" s="30">
        <f>VLOOKUP($A671,'Childhood mortality'!$A$12:$G$27,3)</f>
        <v>5.6147025094106307E-5</v>
      </c>
      <c r="AT671" s="30">
        <f t="shared" si="92"/>
        <v>0.27</v>
      </c>
      <c r="AU671" s="30">
        <f t="shared" si="93"/>
        <v>8.2916496945010154E-4</v>
      </c>
      <c r="AV671" s="30">
        <f t="shared" si="94"/>
        <v>0.72911468800545576</v>
      </c>
      <c r="AW671" s="30">
        <f>VLOOKUP($A671,'Childhood mortality'!$A$12:$G$27,3)</f>
        <v>5.6147025094106307E-5</v>
      </c>
      <c r="AX671" s="30">
        <f t="shared" si="95"/>
        <v>0.27</v>
      </c>
      <c r="AY671" s="30">
        <f t="shared" si="96"/>
        <v>8.2916496945010154E-4</v>
      </c>
      <c r="AZ671" s="30">
        <f t="shared" si="97"/>
        <v>0.72911468800545576</v>
      </c>
      <c r="BA671" s="30">
        <f>VLOOKUP($A671,'Childhood mortality'!$A$12:$G$27,3)</f>
        <v>5.6147025094106307E-5</v>
      </c>
      <c r="BB671" s="30">
        <f t="shared" si="98"/>
        <v>0.14000000000000001</v>
      </c>
      <c r="BC671" s="30">
        <f t="shared" si="99"/>
        <v>8.2916496945010154E-4</v>
      </c>
      <c r="BD671" s="30">
        <f t="shared" si="100"/>
        <v>0.44888742448285063</v>
      </c>
      <c r="BE671" s="30">
        <f t="shared" si="101"/>
        <v>0.41022726352260513</v>
      </c>
      <c r="BF671" s="30">
        <f>VLOOKUP($A671,'Childhood mortality'!$A$12:$G$27,3)</f>
        <v>5.6147025094106307E-5</v>
      </c>
      <c r="BG671" s="30">
        <f t="shared" si="102"/>
        <v>0.5714285714285714</v>
      </c>
      <c r="BH671" s="30">
        <f t="shared" si="103"/>
        <v>5.9226069246435837E-4</v>
      </c>
      <c r="BI671" s="30">
        <f t="shared" si="104"/>
        <v>0.22358977839614716</v>
      </c>
      <c r="BJ671" s="30">
        <f t="shared" si="105"/>
        <v>0.204333242457723</v>
      </c>
      <c r="BK671" s="30">
        <f>VLOOKUP($A671,'Childhood mortality'!$A$12:$G$27,3)</f>
        <v>5.6147025094106307E-5</v>
      </c>
      <c r="BL671" s="30">
        <f t="shared" si="106"/>
        <v>0.99072542540360842</v>
      </c>
      <c r="BM671" s="30">
        <f t="shared" si="107"/>
        <v>5.9226069246435837E-4</v>
      </c>
      <c r="BN671" s="30">
        <f t="shared" si="72"/>
        <v>4.5071721941902995E-3</v>
      </c>
      <c r="BO671" s="30">
        <f t="shared" si="73"/>
        <v>4.1189946846428094E-3</v>
      </c>
      <c r="BP671" s="30">
        <f>VLOOKUP($A671,'Childhood mortality'!$A$12:$G$27,3)</f>
        <v>5.6147025094106307E-5</v>
      </c>
      <c r="BQ671" s="30">
        <f t="shared" si="108"/>
        <v>0.99994385297490584</v>
      </c>
      <c r="BS671" s="284">
        <f t="shared" si="161"/>
        <v>4.7997059318176394</v>
      </c>
      <c r="BT671" s="31">
        <f t="shared" si="162"/>
        <v>5.2520342395282027</v>
      </c>
      <c r="BU671" s="31">
        <f t="shared" si="163"/>
        <v>2.7457243277246119</v>
      </c>
      <c r="BV671" s="31">
        <f t="shared" si="164"/>
        <v>0.38893335937434831</v>
      </c>
      <c r="BW671" s="31">
        <f t="shared" si="165"/>
        <v>9.6416730499413017</v>
      </c>
      <c r="BX671" s="31">
        <f t="shared" si="166"/>
        <v>0.1065284620935707</v>
      </c>
      <c r="BY671" s="286">
        <f t="shared" si="167"/>
        <v>0.16048258968433721</v>
      </c>
      <c r="BZ671" s="31"/>
      <c r="CA671" s="284">
        <f t="shared" si="168"/>
        <v>120.23747196662389</v>
      </c>
      <c r="CB671" s="31">
        <f t="shared" si="169"/>
        <v>131.56875204724815</v>
      </c>
      <c r="CC671" s="31">
        <f t="shared" si="170"/>
        <v>69.152462549477022</v>
      </c>
      <c r="CD671" s="31">
        <f t="shared" si="171"/>
        <v>9.8480121075670013</v>
      </c>
      <c r="CE671" s="31">
        <f t="shared" si="172"/>
        <v>45.356178651081621</v>
      </c>
      <c r="CF671" s="31">
        <f t="shared" si="173"/>
        <v>1.8313096889781293</v>
      </c>
      <c r="CG671" s="286">
        <f t="shared" si="174"/>
        <v>52.32344820576126</v>
      </c>
      <c r="CI671" s="30">
        <v>10</v>
      </c>
      <c r="CJ671" s="30">
        <f>VLOOKUP($A671,'Childhood mortality'!$A$31:$G$46,4)</f>
        <v>7.2312477237686715E-5</v>
      </c>
      <c r="CK671" s="30">
        <f t="shared" si="109"/>
        <v>0.27</v>
      </c>
      <c r="CL671" s="30">
        <f t="shared" si="110"/>
        <v>8.2916496945010154E-4</v>
      </c>
      <c r="CM671" s="30">
        <f t="shared" si="111"/>
        <v>0.7290985225533122</v>
      </c>
      <c r="CN671" s="30">
        <f>VLOOKUP($A671,'Childhood mortality'!$A$31:$G$46,4)</f>
        <v>7.2312477237686715E-5</v>
      </c>
      <c r="CO671" s="30">
        <f t="shared" si="112"/>
        <v>0.27</v>
      </c>
      <c r="CP671" s="30">
        <f t="shared" si="113"/>
        <v>8.2916496945010154E-4</v>
      </c>
      <c r="CQ671" s="30">
        <f t="shared" si="114"/>
        <v>0.7290985225533122</v>
      </c>
      <c r="CR671" s="30">
        <f>VLOOKUP($A671,'Childhood mortality'!$A$31:$G$46,4)</f>
        <v>7.2312477237686715E-5</v>
      </c>
      <c r="CS671" s="30">
        <f t="shared" si="115"/>
        <v>0.14000000000000001</v>
      </c>
      <c r="CT671" s="30">
        <f t="shared" si="116"/>
        <v>8.2916496945010154E-4</v>
      </c>
      <c r="CU671" s="30">
        <f t="shared" si="117"/>
        <v>0.44887897803410559</v>
      </c>
      <c r="CV671" s="30">
        <f t="shared" si="118"/>
        <v>0.41021954451920656</v>
      </c>
      <c r="CW671" s="30">
        <f>VLOOKUP($A671,'Childhood mortality'!$A$31:$G$46,4)</f>
        <v>7.2312477237686715E-5</v>
      </c>
      <c r="CX671" s="30">
        <f t="shared" si="119"/>
        <v>0.5714285714285714</v>
      </c>
      <c r="CY671" s="30">
        <f t="shared" si="120"/>
        <v>5.9226069246435837E-4</v>
      </c>
      <c r="CZ671" s="30">
        <f t="shared" si="121"/>
        <v>0.22358133194740212</v>
      </c>
      <c r="DA671" s="30">
        <f t="shared" si="122"/>
        <v>0.20432552345432442</v>
      </c>
      <c r="DB671" s="30">
        <f>VLOOKUP($A671,'Childhood mortality'!$A$31:$G$46,4)</f>
        <v>7.2312477237686715E-5</v>
      </c>
      <c r="DC671" s="30">
        <f t="shared" si="123"/>
        <v>0.99070925995146486</v>
      </c>
      <c r="DD671" s="30">
        <f t="shared" si="124"/>
        <v>5.9226069246435837E-4</v>
      </c>
      <c r="DE671" s="30">
        <f t="shared" si="74"/>
        <v>4.5071721941902995E-3</v>
      </c>
      <c r="DF671" s="30">
        <f t="shared" si="75"/>
        <v>4.1189946846428094E-3</v>
      </c>
      <c r="DG671" s="30">
        <f>VLOOKUP($A671,'Childhood mortality'!$A$31:$G$46,4)</f>
        <v>7.2312477237686715E-5</v>
      </c>
      <c r="DH671" s="30">
        <f t="shared" si="125"/>
        <v>0.99992768752276229</v>
      </c>
      <c r="DJ671" s="284">
        <f t="shared" si="175"/>
        <v>0.29386763911219754</v>
      </c>
      <c r="DK671" s="31">
        <f t="shared" si="176"/>
        <v>0.32156197159397532</v>
      </c>
      <c r="DL671" s="31">
        <f t="shared" si="177"/>
        <v>0.16810869791005323</v>
      </c>
      <c r="DM671" s="31">
        <f t="shared" si="178"/>
        <v>2.3812733288813216E-2</v>
      </c>
      <c r="DN671" s="31">
        <f t="shared" si="179"/>
        <v>0.59241591798418702</v>
      </c>
      <c r="DO671" s="31">
        <f t="shared" si="180"/>
        <v>6.5419871709203438E-3</v>
      </c>
      <c r="DP671" s="286">
        <f t="shared" si="181"/>
        <v>7.4725111185617629E-2</v>
      </c>
      <c r="DQ671" s="31"/>
      <c r="DR671" s="284">
        <f t="shared" si="182"/>
        <v>15.745439819121053</v>
      </c>
      <c r="DS671" s="31">
        <f t="shared" si="183"/>
        <v>17.229303257572255</v>
      </c>
      <c r="DT671" s="31">
        <f t="shared" si="184"/>
        <v>9.0558397878026042</v>
      </c>
      <c r="DU671" s="31">
        <f t="shared" si="185"/>
        <v>1.2896757331810467</v>
      </c>
      <c r="DV671" s="31">
        <f t="shared" si="186"/>
        <v>5.9417187014493358</v>
      </c>
      <c r="DW671" s="31">
        <f t="shared" si="187"/>
        <v>0.24020619210348701</v>
      </c>
      <c r="DX671" s="286">
        <f t="shared" si="188"/>
        <v>3.3849561433056565</v>
      </c>
      <c r="DZ671" s="30">
        <v>10</v>
      </c>
      <c r="EA671" s="30">
        <f>VLOOKUP($A671,'Childhood mortality'!$A$31:$G$46,3)</f>
        <v>4.9854686074939225E-5</v>
      </c>
      <c r="EB671" s="30">
        <f t="shared" si="126"/>
        <v>0.27</v>
      </c>
      <c r="EC671" s="30">
        <f t="shared" si="127"/>
        <v>8.2916496945010154E-4</v>
      </c>
      <c r="ED671" s="30">
        <f t="shared" si="128"/>
        <v>0.72912098034447492</v>
      </c>
      <c r="EE671" s="30">
        <f>VLOOKUP($A671,'Childhood mortality'!$A$31:$G$46,3)</f>
        <v>4.9854686074939225E-5</v>
      </c>
      <c r="EF671" s="30">
        <f t="shared" si="129"/>
        <v>0.27</v>
      </c>
      <c r="EG671" s="30">
        <f t="shared" si="130"/>
        <v>8.2916496945010154E-4</v>
      </c>
      <c r="EH671" s="30">
        <f t="shared" si="131"/>
        <v>0.72912098034447492</v>
      </c>
      <c r="EI671" s="30">
        <f>VLOOKUP($A671,'Childhood mortality'!$A$31:$G$46,3)</f>
        <v>4.9854686074939225E-5</v>
      </c>
      <c r="EJ671" s="30">
        <f t="shared" si="132"/>
        <v>0.14000000000000001</v>
      </c>
      <c r="EK671" s="30">
        <f t="shared" si="133"/>
        <v>8.2916496945010154E-4</v>
      </c>
      <c r="EL671" s="30">
        <f t="shared" si="134"/>
        <v>0.44889071222998811</v>
      </c>
      <c r="EM671" s="30">
        <f t="shared" si="135"/>
        <v>0.41023026811448676</v>
      </c>
      <c r="EN671" s="30">
        <f>VLOOKUP($A671,'Childhood mortality'!$A$31:$G$46,3)</f>
        <v>4.9854686074939225E-5</v>
      </c>
      <c r="EO671" s="30">
        <f t="shared" si="136"/>
        <v>0.5714285714285714</v>
      </c>
      <c r="EP671" s="30">
        <f t="shared" si="137"/>
        <v>5.9226069246435837E-4</v>
      </c>
      <c r="EQ671" s="30">
        <f t="shared" si="138"/>
        <v>0.22359306614328467</v>
      </c>
      <c r="ER671" s="30">
        <f t="shared" si="139"/>
        <v>0.20433624704960465</v>
      </c>
      <c r="ES671" s="30">
        <f>VLOOKUP($A671,'Childhood mortality'!$A$31:$G$46,3)</f>
        <v>4.9854686074939225E-5</v>
      </c>
      <c r="ET671" s="30">
        <f t="shared" si="140"/>
        <v>0.99073171774262758</v>
      </c>
      <c r="EU671" s="30">
        <f t="shared" si="141"/>
        <v>5.9226069246435837E-4</v>
      </c>
      <c r="EV671" s="30">
        <f t="shared" si="76"/>
        <v>4.5071721941902995E-3</v>
      </c>
      <c r="EW671" s="30">
        <f t="shared" si="77"/>
        <v>4.1189946846428094E-3</v>
      </c>
      <c r="EX671" s="30">
        <f>VLOOKUP($A671,'Childhood mortality'!$A$31:$G$46,3)</f>
        <v>4.9854686074939225E-5</v>
      </c>
      <c r="EY671" s="30">
        <f t="shared" si="142"/>
        <v>0.99995014531392501</v>
      </c>
      <c r="FA671" s="284">
        <f t="shared" si="189"/>
        <v>4.6176019718880523</v>
      </c>
      <c r="FB671" s="31">
        <f t="shared" si="190"/>
        <v>5.0527686498670326</v>
      </c>
      <c r="FC671" s="31">
        <f t="shared" si="191"/>
        <v>2.6415509041654741</v>
      </c>
      <c r="FD671" s="31">
        <f t="shared" si="192"/>
        <v>0.3741773121931688</v>
      </c>
      <c r="FE671" s="31">
        <f t="shared" si="193"/>
        <v>9.2660063715968111</v>
      </c>
      <c r="FF671" s="31">
        <f t="shared" si="194"/>
        <v>0.10243880164141135</v>
      </c>
      <c r="FG671" s="286">
        <f t="shared" si="195"/>
        <v>1.9444219304022832</v>
      </c>
      <c r="FH671" s="31"/>
      <c r="FI671" s="284">
        <f t="shared" si="196"/>
        <v>115.62493248342854</v>
      </c>
      <c r="FJ671" s="31">
        <f t="shared" si="197"/>
        <v>126.521522979249</v>
      </c>
      <c r="FK671" s="31">
        <f t="shared" si="198"/>
        <v>66.499207784039527</v>
      </c>
      <c r="FL671" s="31">
        <f t="shared" si="199"/>
        <v>9.470099986948961</v>
      </c>
      <c r="FM671" s="31">
        <f t="shared" si="200"/>
        <v>43.612938828805397</v>
      </c>
      <c r="FN671" s="31">
        <f t="shared" si="201"/>
        <v>1.760945120949623</v>
      </c>
      <c r="FO671" s="286">
        <f t="shared" si="202"/>
        <v>48.143213182043432</v>
      </c>
      <c r="FQ671" s="30">
        <f t="shared" si="143"/>
        <v>999.99999999999989</v>
      </c>
      <c r="FR671" s="30" t="str">
        <f t="shared" si="78"/>
        <v>OKAY</v>
      </c>
      <c r="FT671" s="284">
        <f>($AB671-(VLOOKUP($A671,'Childhood asthma'!$A$36:$AG$50,7)*$AB671))+(SUM($AC671:$AG671)-(VLOOKUP($A671,'Childhood asthma'!$A$36:$AG$50,6)*SUM($AC671:$AG671)))+($AJ671-(VLOOKUP($A671,'Childhood asthma'!$A$36:$AG$50,9)*$AJ671))+(SUM($AK671:$AO671)-(VLOOKUP($A671,'Childhood asthma'!$A$36:$AG$50,8)*SUM($AK671:$AO671)))+($BS671-(VLOOKUP($A671,'Childhood asthma'!$A$36:$AG$50,3)*$BS671))+(SUM($BT671:$BX671)-(VLOOKUP($A671,'Childhood asthma'!$A$36:$AG$50,2)*SUM($BT671:$BX671)))+($CA671-(VLOOKUP($A671,'Childhood asthma'!$A$36:$AG$50,5)*$CA671))+(SUM($CB671:$CF671)-(VLOOKUP($A671,'Childhood asthma'!$A$36:$AG$50,4)*SUM($CB671:$CF671)))+($DJ671-(VLOOKUP($A671,'Childhood asthma'!$A$36:$AG$50,23)*$DJ671))+(SUM($DK671:$DO671)-(VLOOKUP($A671,'Childhood asthma'!$A$36:$AG$50,22)*SUM($DK671:$DO671)))+($DR671-(VLOOKUP($A671,'Childhood asthma'!$A$36:$AG$50,25)*$DR671))+(SUM($DS671:$DW671)-(VLOOKUP($A671,'Childhood asthma'!$A$36:$AG$50,24)*SUM($DS671:$DW671)))+($FA671-(VLOOKUP($A671,'Childhood asthma'!$A$36:$AG$50,19)*$FA671))+(SUM($FB671:$FF671)-(VLOOKUP($A671,'Childhood asthma'!$A$36:$AG$50,18)*SUM($FB671:$FF671)))+($FI671-(VLOOKUP($A671,'Childhood asthma'!$A$36:$AG$50,21)*$FI671))+(SUM($FJ671:$FN671)-(VLOOKUP($A671,'Childhood asthma'!$A$36:$AG$50,20)*SUM($FJ671:$FN671)))</f>
        <v>688.66803112405091</v>
      </c>
      <c r="FU671" s="31">
        <f>(VLOOKUP($A671,'Childhood asthma'!$A$36:$AG$50,7)*$AB671)+(VLOOKUP($A671,'Childhood asthma'!$A$36:$AG$50,6)*SUM($AC671:$AG671))+(VLOOKUP($A671,'Childhood asthma'!$A$36:$AG$50,9)*$AJ671)+(VLOOKUP($A671,'Childhood asthma'!$A$36:$AG$50,8)*SUM($AK671:$AO671))+(VLOOKUP($A671,'Childhood asthma'!$A$36:$AG$50,3)*$BS671)+(VLOOKUP($A671,'Childhood asthma'!$A$36:$AG$50,2)*SUM($BT671:$BX671))+(VLOOKUP($A671,'Childhood asthma'!$A$36:$AG$50,5)*$CA671)+(VLOOKUP($A671,'Childhood asthma'!$A$36:$AG$50,4)*SUM($CB671:$CF671))+(VLOOKUP($A671,'Childhood asthma'!$A$36:$AG$50,23)*$DJ671)+(VLOOKUP($A671,'Childhood asthma'!$A$36:$AG$50,22)*SUM($DK671:$DO671))+(VLOOKUP($A671,'Childhood asthma'!$A$36:$AG$50,25)*$DR671)+(VLOOKUP($A671,'Childhood asthma'!$A$36:$AG$50,24)*SUM($DS671:$DW671))+(VLOOKUP($A671,'Childhood asthma'!$A$36:$AG$50,19)*$FA671)+(VLOOKUP($A671,'Childhood asthma'!$A$36:$AG$50,18)*SUM($FB671:$FF671))+(VLOOKUP($A671,'Childhood asthma'!$A$36:$AG$50,21)*$FI671)+(VLOOKUP($A671,'Childhood asthma'!$A$36:$AG$50,20)*SUM($FJ671:$FN671))</f>
        <v>201.60825240407794</v>
      </c>
      <c r="FV671" s="31">
        <f t="shared" si="203"/>
        <v>890.27628352812883</v>
      </c>
      <c r="FW671" s="286">
        <f t="shared" si="204"/>
        <v>109.72371647187106</v>
      </c>
      <c r="FY671" s="265">
        <v>10</v>
      </c>
      <c r="FZ671" s="30">
        <f t="shared" si="205"/>
        <v>631.1336067927059</v>
      </c>
      <c r="GA671" s="281">
        <f t="shared" si="206"/>
        <v>7407.0307372744819</v>
      </c>
      <c r="GC671" s="265">
        <v>10</v>
      </c>
      <c r="GD671" s="30">
        <f t="shared" si="144"/>
        <v>616.84121847986592</v>
      </c>
      <c r="GE671" s="281">
        <f t="shared" si="207"/>
        <v>7341.2078579796289</v>
      </c>
      <c r="GG671" s="265">
        <v>10</v>
      </c>
      <c r="GH671" s="303">
        <f t="shared" si="208"/>
        <v>232166.20099180317</v>
      </c>
      <c r="GI671" s="304">
        <f t="shared" si="209"/>
        <v>4348158.4159358675</v>
      </c>
      <c r="GK671" s="265">
        <v>10</v>
      </c>
      <c r="GL671" s="287">
        <f t="shared" si="145"/>
        <v>0.89027628352812882</v>
      </c>
      <c r="GM671" s="287">
        <f t="shared" si="145"/>
        <v>0.10972371647187106</v>
      </c>
      <c r="GN671" s="288">
        <f t="shared" si="146"/>
        <v>0.20160825240407795</v>
      </c>
      <c r="GP671" s="265">
        <v>10</v>
      </c>
      <c r="GQ671" s="303">
        <f t="shared" si="210"/>
        <v>232166.20099180317</v>
      </c>
      <c r="GR671" s="304">
        <f t="shared" si="211"/>
        <v>7450174.1398994057</v>
      </c>
      <c r="GT671" s="265">
        <v>10</v>
      </c>
      <c r="GU671" s="303">
        <f t="shared" si="212"/>
        <v>232166.20099180317</v>
      </c>
      <c r="GV671" s="304">
        <f t="shared" si="213"/>
        <v>4345118.4159358665</v>
      </c>
      <c r="GX671" s="265">
        <v>10</v>
      </c>
      <c r="GY671" s="303">
        <f t="shared" si="214"/>
        <v>232166.20099180317</v>
      </c>
      <c r="GZ671" s="304">
        <f t="shared" si="215"/>
        <v>7450174.1398994057</v>
      </c>
    </row>
    <row r="672" spans="1:208" s="30" customFormat="1" x14ac:dyDescent="0.25">
      <c r="A672" s="379">
        <v>11</v>
      </c>
      <c r="B672" s="30">
        <f>VLOOKUP($A672,'Childhood mortality'!$A$12:$G$27,4)</f>
        <v>7.8069392901269531E-5</v>
      </c>
      <c r="C672" s="30">
        <f t="shared" si="79"/>
        <v>0.27</v>
      </c>
      <c r="D672" s="30">
        <f t="shared" si="80"/>
        <v>9.0230142566191445E-4</v>
      </c>
      <c r="E672" s="30">
        <f t="shared" si="81"/>
        <v>0.72901962918143681</v>
      </c>
      <c r="F672" s="30">
        <f>VLOOKUP($A672,'Childhood mortality'!$A$12:$G$27,4)</f>
        <v>7.8069392901269531E-5</v>
      </c>
      <c r="G672" s="30">
        <f t="shared" si="82"/>
        <v>0.27</v>
      </c>
      <c r="H672" s="30">
        <f t="shared" si="83"/>
        <v>9.0230142566191445E-4</v>
      </c>
      <c r="I672" s="30">
        <f t="shared" si="84"/>
        <v>0.72901962918143681</v>
      </c>
      <c r="J672" s="30">
        <f>VLOOKUP($A672,'Childhood mortality'!$A$12:$G$27,4)</f>
        <v>7.8069392901269531E-5</v>
      </c>
      <c r="K672" s="30">
        <f t="shared" si="85"/>
        <v>0.14000000000000001</v>
      </c>
      <c r="L672" s="30">
        <f t="shared" si="86"/>
        <v>9.0230142566191445E-4</v>
      </c>
      <c r="M672" s="30">
        <f t="shared" si="66"/>
        <v>0.44883775624730071</v>
      </c>
      <c r="N672" s="30">
        <f t="shared" si="67"/>
        <v>0.41018187293413605</v>
      </c>
      <c r="O672" s="30">
        <f>VLOOKUP($A672,'Childhood mortality'!$A$12:$G$27,4)</f>
        <v>7.8069392901269531E-5</v>
      </c>
      <c r="P672" s="30">
        <f t="shared" si="87"/>
        <v>0.5714285714285714</v>
      </c>
      <c r="Q672" s="30">
        <f t="shared" si="88"/>
        <v>6.4450101832993893E-4</v>
      </c>
      <c r="R672" s="30">
        <f t="shared" si="68"/>
        <v>0.22355102838870314</v>
      </c>
      <c r="S672" s="30">
        <f t="shared" si="69"/>
        <v>0.20429782977149424</v>
      </c>
      <c r="T672" s="30">
        <f>VLOOKUP($A672,'Childhood mortality'!$A$12:$G$27,4)</f>
        <v>7.8069392901269531E-5</v>
      </c>
      <c r="U672" s="30">
        <f t="shared" si="89"/>
        <v>0.99065126270993575</v>
      </c>
      <c r="V672" s="30">
        <f t="shared" si="90"/>
        <v>6.4450101832993893E-4</v>
      </c>
      <c r="W672" s="30">
        <f t="shared" si="70"/>
        <v>4.5071721941902995E-3</v>
      </c>
      <c r="X672" s="30">
        <f t="shared" si="71"/>
        <v>4.1189946846428094E-3</v>
      </c>
      <c r="Y672" s="30">
        <f>VLOOKUP($A672,'Childhood mortality'!$A$12:$G$27,4)</f>
        <v>7.8069392901269531E-5</v>
      </c>
      <c r="Z672" s="30">
        <f t="shared" si="91"/>
        <v>0.99992193060709877</v>
      </c>
      <c r="AB672" s="284">
        <f t="shared" si="147"/>
        <v>0.30156503177302224</v>
      </c>
      <c r="AC672" s="31">
        <f t="shared" si="148"/>
        <v>0.32998477298723383</v>
      </c>
      <c r="AD672" s="31">
        <f t="shared" si="149"/>
        <v>0.1724950377295188</v>
      </c>
      <c r="AE672" s="31">
        <f t="shared" si="150"/>
        <v>2.4431527670474001E-2</v>
      </c>
      <c r="AF672" s="31">
        <f t="shared" si="151"/>
        <v>0.62464514303536545</v>
      </c>
      <c r="AG672" s="31">
        <f t="shared" si="152"/>
        <v>7.9439913953590711E-3</v>
      </c>
      <c r="AH672" s="286">
        <f t="shared" si="153"/>
        <v>8.0418923379107873E-2</v>
      </c>
      <c r="AI672" s="31"/>
      <c r="AJ672" s="284">
        <f t="shared" si="154"/>
        <v>16.084983890268838</v>
      </c>
      <c r="AK672" s="31">
        <f t="shared" si="155"/>
        <v>17.600846246419831</v>
      </c>
      <c r="AL672" s="31">
        <f t="shared" si="156"/>
        <v>9.2503722810245606</v>
      </c>
      <c r="AM672" s="31">
        <f t="shared" si="157"/>
        <v>1.3172699221976043</v>
      </c>
      <c r="AN672" s="31">
        <f t="shared" si="158"/>
        <v>6.882315232851588</v>
      </c>
      <c r="AO672" s="31">
        <f t="shared" si="159"/>
        <v>0.29383097027831701</v>
      </c>
      <c r="AP672" s="286">
        <f t="shared" si="160"/>
        <v>3.6161798520879991</v>
      </c>
      <c r="AR672" s="30">
        <v>11</v>
      </c>
      <c r="AS672" s="30">
        <f>VLOOKUP($A672,'Childhood mortality'!$A$12:$G$27,3)</f>
        <v>5.3823699917798452E-5</v>
      </c>
      <c r="AT672" s="30">
        <f t="shared" si="92"/>
        <v>0.27</v>
      </c>
      <c r="AU672" s="30">
        <f t="shared" si="93"/>
        <v>9.0230142566191445E-4</v>
      </c>
      <c r="AV672" s="30">
        <f t="shared" si="94"/>
        <v>0.72904387487442024</v>
      </c>
      <c r="AW672" s="30">
        <f>VLOOKUP($A672,'Childhood mortality'!$A$12:$G$27,3)</f>
        <v>5.3823699917798452E-5</v>
      </c>
      <c r="AX672" s="30">
        <f t="shared" si="95"/>
        <v>0.27</v>
      </c>
      <c r="AY672" s="30">
        <f t="shared" si="96"/>
        <v>9.0230142566191445E-4</v>
      </c>
      <c r="AZ672" s="30">
        <f t="shared" si="97"/>
        <v>0.72904387487442024</v>
      </c>
      <c r="BA672" s="30">
        <f>VLOOKUP($A672,'Childhood mortality'!$A$12:$G$27,3)</f>
        <v>5.3823699917798452E-5</v>
      </c>
      <c r="BB672" s="30">
        <f t="shared" si="98"/>
        <v>0.14000000000000001</v>
      </c>
      <c r="BC672" s="30">
        <f t="shared" si="99"/>
        <v>9.0230142566191445E-4</v>
      </c>
      <c r="BD672" s="30">
        <f t="shared" si="100"/>
        <v>0.44885042462188457</v>
      </c>
      <c r="BE672" s="30">
        <f t="shared" si="101"/>
        <v>0.41019345025253567</v>
      </c>
      <c r="BF672" s="30">
        <f>VLOOKUP($A672,'Childhood mortality'!$A$12:$G$27,3)</f>
        <v>5.3823699917798452E-5</v>
      </c>
      <c r="BG672" s="30">
        <f t="shared" si="102"/>
        <v>0.5714285714285714</v>
      </c>
      <c r="BH672" s="30">
        <f t="shared" si="103"/>
        <v>6.4450101832993893E-4</v>
      </c>
      <c r="BI672" s="30">
        <f t="shared" si="104"/>
        <v>0.223563696763287</v>
      </c>
      <c r="BJ672" s="30">
        <f t="shared" si="105"/>
        <v>0.20430940708989387</v>
      </c>
      <c r="BK672" s="30">
        <f>VLOOKUP($A672,'Childhood mortality'!$A$12:$G$27,3)</f>
        <v>5.3823699917798452E-5</v>
      </c>
      <c r="BL672" s="30">
        <f t="shared" si="106"/>
        <v>0.99067550840291918</v>
      </c>
      <c r="BM672" s="30">
        <f t="shared" si="107"/>
        <v>6.4450101832993893E-4</v>
      </c>
      <c r="BN672" s="30">
        <f t="shared" si="72"/>
        <v>4.5071721941902995E-3</v>
      </c>
      <c r="BO672" s="30">
        <f t="shared" si="73"/>
        <v>4.1189946846428094E-3</v>
      </c>
      <c r="BP672" s="30">
        <f>VLOOKUP($A672,'Childhood mortality'!$A$12:$G$27,3)</f>
        <v>5.3823699917798452E-5</v>
      </c>
      <c r="BQ672" s="30">
        <f t="shared" si="108"/>
        <v>0.9999461763000822</v>
      </c>
      <c r="BS672" s="284">
        <f t="shared" si="161"/>
        <v>4.74465109031678</v>
      </c>
      <c r="BT672" s="31">
        <f t="shared" si="162"/>
        <v>5.1917909836450633</v>
      </c>
      <c r="BU672" s="31">
        <f t="shared" si="163"/>
        <v>2.7139698462633772</v>
      </c>
      <c r="BV672" s="31">
        <f t="shared" si="164"/>
        <v>0.38440140588144572</v>
      </c>
      <c r="BW672" s="31">
        <f t="shared" si="165"/>
        <v>9.774016984533521</v>
      </c>
      <c r="BX672" s="31">
        <f t="shared" si="166"/>
        <v>0.12453463484523404</v>
      </c>
      <c r="BY672" s="286">
        <f t="shared" si="167"/>
        <v>0.16171701467858882</v>
      </c>
      <c r="BZ672" s="31"/>
      <c r="CA672" s="284">
        <f t="shared" si="168"/>
        <v>118.22314304777181</v>
      </c>
      <c r="CB672" s="31">
        <f t="shared" si="169"/>
        <v>129.36459108368751</v>
      </c>
      <c r="CC672" s="31">
        <f t="shared" si="170"/>
        <v>67.987680483745464</v>
      </c>
      <c r="CD672" s="31">
        <f t="shared" si="171"/>
        <v>9.6813447569267836</v>
      </c>
      <c r="CE672" s="31">
        <f t="shared" si="172"/>
        <v>50.560690834412199</v>
      </c>
      <c r="CF672" s="31">
        <f t="shared" si="173"/>
        <v>2.1563917587396877</v>
      </c>
      <c r="CG672" s="286">
        <f t="shared" si="174"/>
        <v>52.343793251453604</v>
      </c>
      <c r="CI672" s="30">
        <v>11</v>
      </c>
      <c r="CJ672" s="30">
        <f>VLOOKUP($A672,'Childhood mortality'!$A$31:$G$46,4)</f>
        <v>7.1329589197562804E-5</v>
      </c>
      <c r="CK672" s="30">
        <f t="shared" si="109"/>
        <v>0.27</v>
      </c>
      <c r="CL672" s="30">
        <f t="shared" si="110"/>
        <v>9.0230142566191445E-4</v>
      </c>
      <c r="CM672" s="30">
        <f t="shared" si="111"/>
        <v>0.7290263689851405</v>
      </c>
      <c r="CN672" s="30">
        <f>VLOOKUP($A672,'Childhood mortality'!$A$31:$G$46,4)</f>
        <v>7.1329589197562804E-5</v>
      </c>
      <c r="CO672" s="30">
        <f t="shared" si="112"/>
        <v>0.27</v>
      </c>
      <c r="CP672" s="30">
        <f t="shared" si="113"/>
        <v>9.0230142566191445E-4</v>
      </c>
      <c r="CQ672" s="30">
        <f t="shared" si="114"/>
        <v>0.7290263689851405</v>
      </c>
      <c r="CR672" s="30">
        <f>VLOOKUP($A672,'Childhood mortality'!$A$31:$G$46,4)</f>
        <v>7.1329589197562804E-5</v>
      </c>
      <c r="CS672" s="30">
        <f t="shared" si="115"/>
        <v>0.14000000000000001</v>
      </c>
      <c r="CT672" s="30">
        <f t="shared" si="116"/>
        <v>9.0230142566191445E-4</v>
      </c>
      <c r="CU672" s="30">
        <f t="shared" si="117"/>
        <v>0.44884127779473587</v>
      </c>
      <c r="CV672" s="30">
        <f t="shared" si="118"/>
        <v>0.41018509119040458</v>
      </c>
      <c r="CW672" s="30">
        <f>VLOOKUP($A672,'Childhood mortality'!$A$31:$G$46,4)</f>
        <v>7.1329589197562804E-5</v>
      </c>
      <c r="CX672" s="30">
        <f t="shared" si="119"/>
        <v>0.5714285714285714</v>
      </c>
      <c r="CY672" s="30">
        <f t="shared" si="120"/>
        <v>6.4450101832993893E-4</v>
      </c>
      <c r="CZ672" s="30">
        <f t="shared" si="121"/>
        <v>0.2235545499361383</v>
      </c>
      <c r="DA672" s="30">
        <f t="shared" si="122"/>
        <v>0.20430104802776278</v>
      </c>
      <c r="DB672" s="30">
        <f>VLOOKUP($A672,'Childhood mortality'!$A$31:$G$46,4)</f>
        <v>7.1329589197562804E-5</v>
      </c>
      <c r="DC672" s="30">
        <f t="shared" si="123"/>
        <v>0.99065800251363945</v>
      </c>
      <c r="DD672" s="30">
        <f t="shared" si="124"/>
        <v>6.4450101832993893E-4</v>
      </c>
      <c r="DE672" s="30">
        <f t="shared" si="74"/>
        <v>4.5071721941902995E-3</v>
      </c>
      <c r="DF672" s="30">
        <f t="shared" si="75"/>
        <v>4.1189946846428094E-3</v>
      </c>
      <c r="DG672" s="30">
        <f>VLOOKUP($A672,'Childhood mortality'!$A$31:$G$46,4)</f>
        <v>7.1329589197562804E-5</v>
      </c>
      <c r="DH672" s="30">
        <f t="shared" si="125"/>
        <v>0.99992867041080247</v>
      </c>
      <c r="DJ672" s="284">
        <f t="shared" si="175"/>
        <v>0.2904980638709212</v>
      </c>
      <c r="DK672" s="31">
        <f t="shared" si="176"/>
        <v>0.31787484475928018</v>
      </c>
      <c r="DL672" s="31">
        <f t="shared" si="177"/>
        <v>0.16616599489066669</v>
      </c>
      <c r="DM672" s="31">
        <f t="shared" si="178"/>
        <v>2.3535217707407453E-2</v>
      </c>
      <c r="DN672" s="31">
        <f t="shared" si="179"/>
        <v>0.60048884613253484</v>
      </c>
      <c r="DO672" s="31">
        <f t="shared" si="180"/>
        <v>7.6456682598575864E-3</v>
      </c>
      <c r="DP672" s="286">
        <f t="shared" si="181"/>
        <v>7.4825422625096297E-2</v>
      </c>
      <c r="DQ672" s="31"/>
      <c r="DR672" s="284">
        <f t="shared" si="182"/>
        <v>15.481367300227149</v>
      </c>
      <c r="DS672" s="31">
        <f t="shared" si="183"/>
        <v>16.940344323285206</v>
      </c>
      <c r="DT672" s="31">
        <f t="shared" si="184"/>
        <v>8.9031806307071939</v>
      </c>
      <c r="DU672" s="31">
        <f t="shared" si="185"/>
        <v>1.2678175702923646</v>
      </c>
      <c r="DV672" s="31">
        <f t="shared" si="186"/>
        <v>6.6231687420934753</v>
      </c>
      <c r="DW672" s="31">
        <f t="shared" si="187"/>
        <v>0.28277395421158219</v>
      </c>
      <c r="DX672" s="286">
        <f t="shared" si="188"/>
        <v>3.3884871137184684</v>
      </c>
      <c r="DZ672" s="30">
        <v>11</v>
      </c>
      <c r="EA672" s="30">
        <f>VLOOKUP($A672,'Childhood mortality'!$A$31:$G$46,3)</f>
        <v>4.9177049565182762E-5</v>
      </c>
      <c r="EB672" s="30">
        <f t="shared" si="126"/>
        <v>0.27</v>
      </c>
      <c r="EC672" s="30">
        <f t="shared" si="127"/>
        <v>9.0230142566191445E-4</v>
      </c>
      <c r="ED672" s="30">
        <f t="shared" si="128"/>
        <v>0.72904852152477284</v>
      </c>
      <c r="EE672" s="30">
        <f>VLOOKUP($A672,'Childhood mortality'!$A$31:$G$46,3)</f>
        <v>4.9177049565182762E-5</v>
      </c>
      <c r="EF672" s="30">
        <f t="shared" si="129"/>
        <v>0.27</v>
      </c>
      <c r="EG672" s="30">
        <f t="shared" si="130"/>
        <v>9.0230142566191445E-4</v>
      </c>
      <c r="EH672" s="30">
        <f t="shared" si="131"/>
        <v>0.72904852152477284</v>
      </c>
      <c r="EI672" s="30">
        <f>VLOOKUP($A672,'Childhood mortality'!$A$31:$G$46,3)</f>
        <v>4.9177049565182762E-5</v>
      </c>
      <c r="EJ672" s="30">
        <f t="shared" si="132"/>
        <v>0.14000000000000001</v>
      </c>
      <c r="EK672" s="30">
        <f t="shared" si="133"/>
        <v>9.0230142566191445E-4</v>
      </c>
      <c r="EL672" s="30">
        <f t="shared" si="134"/>
        <v>0.44885285249669377</v>
      </c>
      <c r="EM672" s="30">
        <f t="shared" si="135"/>
        <v>0.41019566902807902</v>
      </c>
      <c r="EN672" s="30">
        <f>VLOOKUP($A672,'Childhood mortality'!$A$31:$G$46,3)</f>
        <v>4.9177049565182762E-5</v>
      </c>
      <c r="EO672" s="30">
        <f t="shared" si="136"/>
        <v>0.5714285714285714</v>
      </c>
      <c r="EP672" s="30">
        <f t="shared" si="137"/>
        <v>6.4450101832993893E-4</v>
      </c>
      <c r="EQ672" s="30">
        <f t="shared" si="138"/>
        <v>0.22356612463809625</v>
      </c>
      <c r="ER672" s="30">
        <f t="shared" si="139"/>
        <v>0.20431162586543725</v>
      </c>
      <c r="ES672" s="30">
        <f>VLOOKUP($A672,'Childhood mortality'!$A$31:$G$46,3)</f>
        <v>4.9177049565182762E-5</v>
      </c>
      <c r="ET672" s="30">
        <f t="shared" si="140"/>
        <v>0.99068015505327178</v>
      </c>
      <c r="EU672" s="30">
        <f t="shared" si="141"/>
        <v>6.4450101832993893E-4</v>
      </c>
      <c r="EV672" s="30">
        <f t="shared" si="76"/>
        <v>4.5071721941902995E-3</v>
      </c>
      <c r="EW672" s="30">
        <f t="shared" si="77"/>
        <v>4.1189946846428094E-3</v>
      </c>
      <c r="EX672" s="30">
        <f>VLOOKUP($A672,'Childhood mortality'!$A$31:$G$46,3)</f>
        <v>4.9177049565182762E-5</v>
      </c>
      <c r="EY672" s="30">
        <f t="shared" si="142"/>
        <v>0.9999508229504348</v>
      </c>
      <c r="FA672" s="284">
        <f t="shared" si="189"/>
        <v>4.5646240370093629</v>
      </c>
      <c r="FB672" s="31">
        <f t="shared" si="190"/>
        <v>4.9947980300259527</v>
      </c>
      <c r="FC672" s="31">
        <f t="shared" si="191"/>
        <v>2.611000067873873</v>
      </c>
      <c r="FD672" s="31">
        <f t="shared" si="192"/>
        <v>0.3698171265831664</v>
      </c>
      <c r="FE672" s="31">
        <f t="shared" si="193"/>
        <v>9.3934642359056593</v>
      </c>
      <c r="FF672" s="31">
        <f t="shared" si="194"/>
        <v>0.11975593654995167</v>
      </c>
      <c r="FG672" s="286">
        <f t="shared" si="195"/>
        <v>1.9455065078062668</v>
      </c>
      <c r="FH672" s="31"/>
      <c r="FI672" s="284">
        <f t="shared" si="196"/>
        <v>113.6883660939159</v>
      </c>
      <c r="FJ672" s="31">
        <f t="shared" si="197"/>
        <v>124.40245295093411</v>
      </c>
      <c r="FK672" s="31">
        <f t="shared" si="198"/>
        <v>65.379542974922941</v>
      </c>
      <c r="FL672" s="31">
        <f t="shared" si="199"/>
        <v>9.3098890897655338</v>
      </c>
      <c r="FM672" s="31">
        <f t="shared" si="200"/>
        <v>48.617958708077765</v>
      </c>
      <c r="FN672" s="31">
        <f t="shared" si="201"/>
        <v>2.0735620174088099</v>
      </c>
      <c r="FO672" s="286">
        <f t="shared" si="202"/>
        <v>48.1610885304394</v>
      </c>
      <c r="FQ672" s="30">
        <f t="shared" si="143"/>
        <v>999.99999999999977</v>
      </c>
      <c r="FR672" s="30" t="str">
        <f t="shared" si="78"/>
        <v>OKAY</v>
      </c>
      <c r="FT672" s="284">
        <f>($AB672-(VLOOKUP($A672,'Childhood asthma'!$A$36:$AG$50,7)*$AB672))+(SUM($AC672:$AG672)-(VLOOKUP($A672,'Childhood asthma'!$A$36:$AG$50,6)*SUM($AC672:$AG672)))+($AJ672-(VLOOKUP($A672,'Childhood asthma'!$A$36:$AG$50,9)*$AJ672))+(SUM($AK672:$AO672)-(VLOOKUP($A672,'Childhood asthma'!$A$36:$AG$50,8)*SUM($AK672:$AO672)))+($BS672-(VLOOKUP($A672,'Childhood asthma'!$A$36:$AG$50,3)*$BS672))+(SUM($BT672:$BX672)-(VLOOKUP($A672,'Childhood asthma'!$A$36:$AG$50,2)*SUM($BT672:$BX672)))+($CA672-(VLOOKUP($A672,'Childhood asthma'!$A$36:$AG$50,5)*$CA672))+(SUM($CB672:$CF672)-(VLOOKUP($A672,'Childhood asthma'!$A$36:$AG$50,4)*SUM($CB672:$CF672)))+($DJ672-(VLOOKUP($A672,'Childhood asthma'!$A$36:$AG$50,23)*$DJ672))+(SUM($DK672:$DO672)-(VLOOKUP($A672,'Childhood asthma'!$A$36:$AG$50,22)*SUM($DK672:$DO672)))+($DR672-(VLOOKUP($A672,'Childhood asthma'!$A$36:$AG$50,25)*$DR672))+(SUM($DS672:$DW672)-(VLOOKUP($A672,'Childhood asthma'!$A$36:$AG$50,24)*SUM($DS672:$DW672)))+($FA672-(VLOOKUP($A672,'Childhood asthma'!$A$36:$AG$50,19)*$FA672))+(SUM($FB672:$FF672)-(VLOOKUP($A672,'Childhood asthma'!$A$36:$AG$50,18)*SUM($FB672:$FF672)))+($FI672-(VLOOKUP($A672,'Childhood asthma'!$A$36:$AG$50,21)*$FI672))+(SUM($FJ672:$FN672)-(VLOOKUP($A672,'Childhood asthma'!$A$36:$AG$50,20)*SUM($FJ672:$FN672)))</f>
        <v>688.80210474512251</v>
      </c>
      <c r="FU672" s="31">
        <f>(VLOOKUP($A672,'Childhood asthma'!$A$36:$AG$50,7)*$AB672)+(VLOOKUP($A672,'Childhood asthma'!$A$36:$AG$50,6)*SUM($AC672:$AG672))+(VLOOKUP($A672,'Childhood asthma'!$A$36:$AG$50,9)*$AJ672)+(VLOOKUP($A672,'Childhood asthma'!$A$36:$AG$50,8)*SUM($AK672:$AO672))+(VLOOKUP($A672,'Childhood asthma'!$A$36:$AG$50,3)*$BS672)+(VLOOKUP($A672,'Childhood asthma'!$A$36:$AG$50,2)*SUM($BT672:$BX672))+(VLOOKUP($A672,'Childhood asthma'!$A$36:$AG$50,5)*$CA672)+(VLOOKUP($A672,'Childhood asthma'!$A$36:$AG$50,4)*SUM($CB672:$CF672))+(VLOOKUP($A672,'Childhood asthma'!$A$36:$AG$50,23)*$DJ672)+(VLOOKUP($A672,'Childhood asthma'!$A$36:$AG$50,22)*SUM($DK672:$DO672))+(VLOOKUP($A672,'Childhood asthma'!$A$36:$AG$50,25)*$DR672)+(VLOOKUP($A672,'Childhood asthma'!$A$36:$AG$50,24)*SUM($DS672:$DW672))+(VLOOKUP($A672,'Childhood asthma'!$A$36:$AG$50,19)*$FA672)+(VLOOKUP($A672,'Childhood asthma'!$A$36:$AG$50,18)*SUM($FB672:$FF672))+(VLOOKUP($A672,'Childhood asthma'!$A$36:$AG$50,21)*$FI672)+(VLOOKUP($A672,'Childhood asthma'!$A$36:$AG$50,20)*SUM($FJ672:$FN672))</f>
        <v>201.42587863868886</v>
      </c>
      <c r="FV672" s="31">
        <f t="shared" si="203"/>
        <v>890.22798338381131</v>
      </c>
      <c r="FW672" s="286">
        <f t="shared" si="204"/>
        <v>109.77201661618852</v>
      </c>
      <c r="FY672" s="265">
        <v>11</v>
      </c>
      <c r="FZ672" s="30">
        <f t="shared" si="205"/>
        <v>609.75784146057413</v>
      </c>
      <c r="GA672" s="281">
        <f t="shared" si="206"/>
        <v>8016.788578735056</v>
      </c>
      <c r="GC672" s="265">
        <v>11</v>
      </c>
      <c r="GD672" s="30">
        <f t="shared" si="144"/>
        <v>595.96126223980241</v>
      </c>
      <c r="GE672" s="281">
        <f t="shared" si="207"/>
        <v>7937.1691202194315</v>
      </c>
      <c r="GG672" s="265">
        <v>11</v>
      </c>
      <c r="GH672" s="303">
        <f t="shared" si="208"/>
        <v>224110.71530941359</v>
      </c>
      <c r="GI672" s="304">
        <f t="shared" si="209"/>
        <v>4572269.1312452806</v>
      </c>
      <c r="GK672" s="265">
        <v>11</v>
      </c>
      <c r="GL672" s="287">
        <f t="shared" si="145"/>
        <v>0.89022798338381126</v>
      </c>
      <c r="GM672" s="287">
        <f t="shared" si="145"/>
        <v>0.10977201661618852</v>
      </c>
      <c r="GN672" s="288">
        <f t="shared" si="146"/>
        <v>0.20142587863868885</v>
      </c>
      <c r="GP672" s="265">
        <v>11</v>
      </c>
      <c r="GQ672" s="303">
        <f t="shared" si="210"/>
        <v>224110.71530941359</v>
      </c>
      <c r="GR672" s="304">
        <f t="shared" si="211"/>
        <v>7674284.8552088188</v>
      </c>
      <c r="GT672" s="265">
        <v>11</v>
      </c>
      <c r="GU672" s="303">
        <f t="shared" si="212"/>
        <v>224110.71530941359</v>
      </c>
      <c r="GV672" s="304">
        <f t="shared" si="213"/>
        <v>4569229.1312452797</v>
      </c>
      <c r="GX672" s="265">
        <v>11</v>
      </c>
      <c r="GY672" s="303">
        <f t="shared" si="214"/>
        <v>224110.71530941359</v>
      </c>
      <c r="GZ672" s="304">
        <f t="shared" si="215"/>
        <v>7674284.8552088188</v>
      </c>
    </row>
    <row r="673" spans="1:208" s="30" customFormat="1" x14ac:dyDescent="0.25">
      <c r="A673" s="379">
        <v>12</v>
      </c>
      <c r="B673" s="30">
        <f>VLOOKUP($A673,'Childhood mortality'!$A$12:$G$27,4)</f>
        <v>8.2141357638925675E-5</v>
      </c>
      <c r="C673" s="30">
        <f t="shared" si="79"/>
        <v>0.27</v>
      </c>
      <c r="D673" s="30">
        <f t="shared" si="80"/>
        <v>9.7714867617107936E-4</v>
      </c>
      <c r="E673" s="30">
        <f t="shared" si="81"/>
        <v>0.72894070996618998</v>
      </c>
      <c r="F673" s="30">
        <f>VLOOKUP($A673,'Childhood mortality'!$A$12:$G$27,4)</f>
        <v>8.2141357638925675E-5</v>
      </c>
      <c r="G673" s="30">
        <f t="shared" si="82"/>
        <v>0.27</v>
      </c>
      <c r="H673" s="30">
        <f t="shared" si="83"/>
        <v>9.7714867617107936E-4</v>
      </c>
      <c r="I673" s="30">
        <f t="shared" si="84"/>
        <v>0.72894070996618998</v>
      </c>
      <c r="J673" s="30">
        <f>VLOOKUP($A673,'Childhood mortality'!$A$12:$G$27,4)</f>
        <v>8.2141357638925675E-5</v>
      </c>
      <c r="K673" s="30">
        <f t="shared" si="85"/>
        <v>0.14000000000000001</v>
      </c>
      <c r="L673" s="30">
        <f t="shared" si="86"/>
        <v>9.7714867617107936E-4</v>
      </c>
      <c r="M673" s="30">
        <f t="shared" si="66"/>
        <v>0.44879652095733424</v>
      </c>
      <c r="N673" s="30">
        <f t="shared" si="67"/>
        <v>0.41014418900885569</v>
      </c>
      <c r="O673" s="30">
        <f>VLOOKUP($A673,'Childhood mortality'!$A$12:$G$27,4)</f>
        <v>8.2141357638925675E-5</v>
      </c>
      <c r="P673" s="30">
        <f t="shared" si="87"/>
        <v>0.5714285714285714</v>
      </c>
      <c r="Q673" s="30">
        <f t="shared" si="88"/>
        <v>6.9796334012219962E-4</v>
      </c>
      <c r="R673" s="30">
        <f t="shared" si="68"/>
        <v>0.22352096672399127</v>
      </c>
      <c r="S673" s="30">
        <f t="shared" si="69"/>
        <v>0.20427035714967623</v>
      </c>
      <c r="T673" s="30">
        <f>VLOOKUP($A673,'Childhood mortality'!$A$12:$G$27,4)</f>
        <v>8.2141357638925675E-5</v>
      </c>
      <c r="U673" s="30">
        <f t="shared" si="89"/>
        <v>0.99059372842340576</v>
      </c>
      <c r="V673" s="30">
        <f t="shared" si="90"/>
        <v>6.9796334012219962E-4</v>
      </c>
      <c r="W673" s="30">
        <f t="shared" si="70"/>
        <v>4.5071721941902995E-3</v>
      </c>
      <c r="X673" s="30">
        <f t="shared" si="71"/>
        <v>4.1189946846428094E-3</v>
      </c>
      <c r="Y673" s="30">
        <f>VLOOKUP($A673,'Childhood mortality'!$A$12:$G$27,4)</f>
        <v>8.2141357638925675E-5</v>
      </c>
      <c r="Z673" s="30">
        <f t="shared" si="91"/>
        <v>0.99991785864236105</v>
      </c>
      <c r="AB673" s="284">
        <f t="shared" si="147"/>
        <v>0.29813441262613943</v>
      </c>
      <c r="AC673" s="31">
        <f t="shared" si="148"/>
        <v>0.32623084941813174</v>
      </c>
      <c r="AD673" s="31">
        <f t="shared" si="149"/>
        <v>0.17051844728526916</v>
      </c>
      <c r="AE673" s="31">
        <f t="shared" si="150"/>
        <v>2.4149305282132633E-2</v>
      </c>
      <c r="AF673" s="31">
        <f t="shared" si="151"/>
        <v>0.63273043413553087</v>
      </c>
      <c r="AG673" s="31">
        <f t="shared" si="152"/>
        <v>9.1820419396230965E-3</v>
      </c>
      <c r="AH673" s="286">
        <f t="shared" si="153"/>
        <v>8.0538937283254369E-2</v>
      </c>
      <c r="AI673" s="31"/>
      <c r="AJ673" s="284">
        <f t="shared" si="154"/>
        <v>15.816413431330096</v>
      </c>
      <c r="AK673" s="31">
        <f t="shared" si="155"/>
        <v>17.306965482450209</v>
      </c>
      <c r="AL673" s="31">
        <f t="shared" si="156"/>
        <v>9.0951741369059409</v>
      </c>
      <c r="AM673" s="31">
        <f t="shared" si="157"/>
        <v>1.2950521193434386</v>
      </c>
      <c r="AN673" s="31">
        <f t="shared" si="158"/>
        <v>7.5703039765228572</v>
      </c>
      <c r="AO673" s="31">
        <f t="shared" si="159"/>
        <v>0.34148489779821856</v>
      </c>
      <c r="AP673" s="286">
        <f t="shared" si="160"/>
        <v>3.6204043507779766</v>
      </c>
      <c r="AR673" s="30">
        <v>12</v>
      </c>
      <c r="AS673" s="30">
        <f>VLOOKUP($A673,'Childhood mortality'!$A$12:$G$27,3)</f>
        <v>5.6631051172503769E-5</v>
      </c>
      <c r="AT673" s="30">
        <f t="shared" si="92"/>
        <v>0.27</v>
      </c>
      <c r="AU673" s="30">
        <f t="shared" si="93"/>
        <v>9.7714867617107936E-4</v>
      </c>
      <c r="AV673" s="30">
        <f t="shared" si="94"/>
        <v>0.72896622027265645</v>
      </c>
      <c r="AW673" s="30">
        <f>VLOOKUP($A673,'Childhood mortality'!$A$12:$G$27,3)</f>
        <v>5.6631051172503769E-5</v>
      </c>
      <c r="AX673" s="30">
        <f t="shared" si="95"/>
        <v>0.27</v>
      </c>
      <c r="AY673" s="30">
        <f t="shared" si="96"/>
        <v>9.7714867617107936E-4</v>
      </c>
      <c r="AZ673" s="30">
        <f t="shared" si="97"/>
        <v>0.72896622027265645</v>
      </c>
      <c r="BA673" s="30">
        <f>VLOOKUP($A673,'Childhood mortality'!$A$12:$G$27,3)</f>
        <v>5.6631051172503769E-5</v>
      </c>
      <c r="BB673" s="30">
        <f t="shared" si="98"/>
        <v>0.14000000000000001</v>
      </c>
      <c r="BC673" s="30">
        <f t="shared" si="99"/>
        <v>9.7714867617107936E-4</v>
      </c>
      <c r="BD673" s="30">
        <f t="shared" si="100"/>
        <v>0.44880985009246299</v>
      </c>
      <c r="BE673" s="30">
        <f t="shared" si="101"/>
        <v>0.41015637018019346</v>
      </c>
      <c r="BF673" s="30">
        <f>VLOOKUP($A673,'Childhood mortality'!$A$12:$G$27,3)</f>
        <v>5.6631051172503769E-5</v>
      </c>
      <c r="BG673" s="30">
        <f t="shared" si="102"/>
        <v>0.5714285714285714</v>
      </c>
      <c r="BH673" s="30">
        <f t="shared" si="103"/>
        <v>6.9796334012219962E-4</v>
      </c>
      <c r="BI673" s="30">
        <f t="shared" si="104"/>
        <v>0.22353429585911996</v>
      </c>
      <c r="BJ673" s="30">
        <f t="shared" si="105"/>
        <v>0.20428253832101395</v>
      </c>
      <c r="BK673" s="30">
        <f>VLOOKUP($A673,'Childhood mortality'!$A$12:$G$27,3)</f>
        <v>5.6631051172503769E-5</v>
      </c>
      <c r="BL673" s="30">
        <f t="shared" si="106"/>
        <v>0.99061923872987223</v>
      </c>
      <c r="BM673" s="30">
        <f t="shared" si="107"/>
        <v>6.9796334012219962E-4</v>
      </c>
      <c r="BN673" s="30">
        <f t="shared" si="72"/>
        <v>4.5071721941902995E-3</v>
      </c>
      <c r="BO673" s="30">
        <f t="shared" si="73"/>
        <v>4.1189946846428094E-3</v>
      </c>
      <c r="BP673" s="30">
        <f>VLOOKUP($A673,'Childhood mortality'!$A$12:$G$27,3)</f>
        <v>5.6631051172503769E-5</v>
      </c>
      <c r="BQ673" s="30">
        <f t="shared" si="108"/>
        <v>0.99994336894882752</v>
      </c>
      <c r="BS673" s="284">
        <f t="shared" si="161"/>
        <v>4.6906280116771759</v>
      </c>
      <c r="BT673" s="31">
        <f t="shared" si="162"/>
        <v>5.132676724819528</v>
      </c>
      <c r="BU673" s="31">
        <f t="shared" si="163"/>
        <v>2.682839359969698</v>
      </c>
      <c r="BV673" s="31">
        <f t="shared" si="164"/>
        <v>0.37995577847687284</v>
      </c>
      <c r="BW673" s="31">
        <f t="shared" si="165"/>
        <v>9.9019872107694074</v>
      </c>
      <c r="BX673" s="31">
        <f t="shared" si="166"/>
        <v>0.14397911920895506</v>
      </c>
      <c r="BY673" s="286">
        <f t="shared" si="167"/>
        <v>0.16301575524237433</v>
      </c>
      <c r="BZ673" s="31"/>
      <c r="CA673" s="284">
        <f t="shared" si="168"/>
        <v>116.25224687857627</v>
      </c>
      <c r="CB673" s="31">
        <f t="shared" si="169"/>
        <v>127.20795600849449</v>
      </c>
      <c r="CC673" s="31">
        <f t="shared" si="170"/>
        <v>66.848688215494022</v>
      </c>
      <c r="CD673" s="31">
        <f t="shared" si="171"/>
        <v>9.5182752677243663</v>
      </c>
      <c r="CE673" s="31">
        <f t="shared" si="172"/>
        <v>55.618590068000003</v>
      </c>
      <c r="CF673" s="31">
        <f t="shared" si="173"/>
        <v>2.5066804710081287</v>
      </c>
      <c r="CG673" s="286">
        <f t="shared" si="174"/>
        <v>52.365198307439805</v>
      </c>
      <c r="CI673" s="30">
        <v>12</v>
      </c>
      <c r="CJ673" s="30">
        <f>VLOOKUP($A673,'Childhood mortality'!$A$31:$G$46,4)</f>
        <v>7.5682379089540058E-5</v>
      </c>
      <c r="CK673" s="30">
        <f t="shared" si="109"/>
        <v>0.27</v>
      </c>
      <c r="CL673" s="30">
        <f t="shared" si="110"/>
        <v>9.7714867617107936E-4</v>
      </c>
      <c r="CM673" s="30">
        <f t="shared" si="111"/>
        <v>0.72894716894473943</v>
      </c>
      <c r="CN673" s="30">
        <f>VLOOKUP($A673,'Childhood mortality'!$A$31:$G$46,4)</f>
        <v>7.5682379089540058E-5</v>
      </c>
      <c r="CO673" s="30">
        <f t="shared" si="112"/>
        <v>0.27</v>
      </c>
      <c r="CP673" s="30">
        <f t="shared" si="113"/>
        <v>9.7714867617107936E-4</v>
      </c>
      <c r="CQ673" s="30">
        <f t="shared" si="114"/>
        <v>0.72894716894473943</v>
      </c>
      <c r="CR673" s="30">
        <f>VLOOKUP($A673,'Childhood mortality'!$A$31:$G$46,4)</f>
        <v>7.5682379089540058E-5</v>
      </c>
      <c r="CS673" s="30">
        <f t="shared" si="115"/>
        <v>0.14000000000000001</v>
      </c>
      <c r="CT673" s="30">
        <f t="shared" si="116"/>
        <v>9.7714867617107936E-4</v>
      </c>
      <c r="CU673" s="30">
        <f t="shared" si="117"/>
        <v>0.44879989577362633</v>
      </c>
      <c r="CV673" s="30">
        <f t="shared" si="118"/>
        <v>0.41014727317111305</v>
      </c>
      <c r="CW673" s="30">
        <f>VLOOKUP($A673,'Childhood mortality'!$A$31:$G$46,4)</f>
        <v>7.5682379089540058E-5</v>
      </c>
      <c r="CX673" s="30">
        <f t="shared" si="119"/>
        <v>0.5714285714285714</v>
      </c>
      <c r="CY673" s="30">
        <f t="shared" si="120"/>
        <v>6.9796334012219962E-4</v>
      </c>
      <c r="CZ673" s="30">
        <f t="shared" si="121"/>
        <v>0.22352434154028331</v>
      </c>
      <c r="DA673" s="30">
        <f t="shared" si="122"/>
        <v>0.20427344131193353</v>
      </c>
      <c r="DB673" s="30">
        <f>VLOOKUP($A673,'Childhood mortality'!$A$31:$G$46,4)</f>
        <v>7.5682379089540058E-5</v>
      </c>
      <c r="DC673" s="30">
        <f t="shared" si="123"/>
        <v>0.99060018740195521</v>
      </c>
      <c r="DD673" s="30">
        <f t="shared" si="124"/>
        <v>6.9796334012219962E-4</v>
      </c>
      <c r="DE673" s="30">
        <f t="shared" si="74"/>
        <v>4.5071721941902995E-3</v>
      </c>
      <c r="DF673" s="30">
        <f t="shared" si="75"/>
        <v>4.1189946846428094E-3</v>
      </c>
      <c r="DG673" s="30">
        <f>VLOOKUP($A673,'Childhood mortality'!$A$31:$G$46,4)</f>
        <v>7.5682379089540058E-5</v>
      </c>
      <c r="DH673" s="30">
        <f t="shared" si="125"/>
        <v>0.9999243176209105</v>
      </c>
      <c r="DJ673" s="284">
        <f t="shared" si="175"/>
        <v>0.28719130121933306</v>
      </c>
      <c r="DK673" s="31">
        <f t="shared" si="176"/>
        <v>0.31425645002534341</v>
      </c>
      <c r="DL673" s="31">
        <f t="shared" si="177"/>
        <v>0.16426068533015437</v>
      </c>
      <c r="DM673" s="31">
        <f t="shared" si="178"/>
        <v>2.326323928469334E-2</v>
      </c>
      <c r="DN673" s="31">
        <f t="shared" si="179"/>
        <v>0.60829305934447719</v>
      </c>
      <c r="DO673" s="31">
        <f t="shared" si="180"/>
        <v>8.8374752016267231E-3</v>
      </c>
      <c r="DP673" s="286">
        <f t="shared" si="181"/>
        <v>7.4931847840136317E-2</v>
      </c>
      <c r="DQ673" s="31"/>
      <c r="DR673" s="284">
        <f t="shared" si="182"/>
        <v>15.222976378012202</v>
      </c>
      <c r="DS673" s="31">
        <f t="shared" si="183"/>
        <v>16.657602424107591</v>
      </c>
      <c r="DT673" s="31">
        <f t="shared" si="184"/>
        <v>8.7538621383483353</v>
      </c>
      <c r="DU673" s="31">
        <f t="shared" si="185"/>
        <v>1.2464452882990074</v>
      </c>
      <c r="DV673" s="31">
        <f t="shared" si="186"/>
        <v>7.285379380136777</v>
      </c>
      <c r="DW673" s="31">
        <f t="shared" si="187"/>
        <v>0.32864073612855738</v>
      </c>
      <c r="DX673" s="286">
        <f t="shared" si="188"/>
        <v>3.3922332895029701</v>
      </c>
      <c r="DZ673" s="30">
        <v>12</v>
      </c>
      <c r="EA673" s="30">
        <f>VLOOKUP($A673,'Childhood mortality'!$A$31:$G$46,3)</f>
        <v>5.2178011251247059E-5</v>
      </c>
      <c r="EB673" s="30">
        <f t="shared" si="126"/>
        <v>0.27</v>
      </c>
      <c r="EC673" s="30">
        <f t="shared" si="127"/>
        <v>9.7714867617107936E-4</v>
      </c>
      <c r="ED673" s="30">
        <f t="shared" si="128"/>
        <v>0.7289706733125777</v>
      </c>
      <c r="EE673" s="30">
        <f>VLOOKUP($A673,'Childhood mortality'!$A$31:$G$46,3)</f>
        <v>5.2178011251247059E-5</v>
      </c>
      <c r="EF673" s="30">
        <f t="shared" si="129"/>
        <v>0.27</v>
      </c>
      <c r="EG673" s="30">
        <f t="shared" si="130"/>
        <v>9.7714867617107936E-4</v>
      </c>
      <c r="EH673" s="30">
        <f t="shared" si="131"/>
        <v>0.7289706733125777</v>
      </c>
      <c r="EI673" s="30">
        <f>VLOOKUP($A673,'Childhood mortality'!$A$31:$G$46,3)</f>
        <v>5.2178011251247059E-5</v>
      </c>
      <c r="EJ673" s="30">
        <f t="shared" si="132"/>
        <v>0.14000000000000001</v>
      </c>
      <c r="EK673" s="30">
        <f t="shared" si="133"/>
        <v>9.7714867617107936E-4</v>
      </c>
      <c r="EL673" s="30">
        <f t="shared" si="134"/>
        <v>0.44881217680582181</v>
      </c>
      <c r="EM673" s="30">
        <f t="shared" si="135"/>
        <v>0.41015849650675584</v>
      </c>
      <c r="EN673" s="30">
        <f>VLOOKUP($A673,'Childhood mortality'!$A$31:$G$46,3)</f>
        <v>5.2178011251247059E-5</v>
      </c>
      <c r="EO673" s="30">
        <f t="shared" si="136"/>
        <v>0.5714285714285714</v>
      </c>
      <c r="EP673" s="30">
        <f t="shared" si="137"/>
        <v>6.9796334012219962E-4</v>
      </c>
      <c r="EQ673" s="30">
        <f t="shared" si="138"/>
        <v>0.22353662257247883</v>
      </c>
      <c r="ER673" s="30">
        <f t="shared" si="139"/>
        <v>0.20428466464757636</v>
      </c>
      <c r="ES673" s="30">
        <f>VLOOKUP($A673,'Childhood mortality'!$A$31:$G$46,3)</f>
        <v>5.2178011251247059E-5</v>
      </c>
      <c r="ET673" s="30">
        <f t="shared" si="140"/>
        <v>0.99062369176979348</v>
      </c>
      <c r="EU673" s="30">
        <f t="shared" si="141"/>
        <v>6.9796334012219962E-4</v>
      </c>
      <c r="EV673" s="30">
        <f t="shared" si="76"/>
        <v>4.5071721941902995E-3</v>
      </c>
      <c r="EW673" s="30">
        <f t="shared" si="77"/>
        <v>4.1189946846428094E-3</v>
      </c>
      <c r="EX673" s="30">
        <f>VLOOKUP($A673,'Childhood mortality'!$A$31:$G$46,3)</f>
        <v>5.2178011251247059E-5</v>
      </c>
      <c r="EY673" s="30">
        <f t="shared" si="142"/>
        <v>0.99994782198874876</v>
      </c>
      <c r="FA673" s="284">
        <f t="shared" si="189"/>
        <v>4.5126405168387267</v>
      </c>
      <c r="FB673" s="31">
        <f t="shared" si="190"/>
        <v>4.9379155393680314</v>
      </c>
      <c r="FC673" s="31">
        <f t="shared" si="191"/>
        <v>2.5810439580995355</v>
      </c>
      <c r="FD673" s="31">
        <f t="shared" si="192"/>
        <v>0.36554000950234222</v>
      </c>
      <c r="FE673" s="31">
        <f t="shared" si="193"/>
        <v>9.516712292213624</v>
      </c>
      <c r="FF673" s="31">
        <f t="shared" si="194"/>
        <v>0.1384564122712322</v>
      </c>
      <c r="FG673" s="286">
        <f t="shared" si="195"/>
        <v>1.9466572134607403</v>
      </c>
      <c r="FH673" s="31"/>
      <c r="FI673" s="284">
        <f t="shared" si="196"/>
        <v>111.79358451228758</v>
      </c>
      <c r="FJ673" s="31">
        <f t="shared" si="197"/>
        <v>122.32910556580156</v>
      </c>
      <c r="FK673" s="31">
        <f t="shared" si="198"/>
        <v>64.284521142109512</v>
      </c>
      <c r="FL673" s="31">
        <f t="shared" si="199"/>
        <v>9.1531360164892135</v>
      </c>
      <c r="FM673" s="31">
        <f t="shared" si="200"/>
        <v>53.482038364430537</v>
      </c>
      <c r="FN673" s="31">
        <f t="shared" si="201"/>
        <v>2.4104209997063881</v>
      </c>
      <c r="FO673" s="286">
        <f t="shared" si="202"/>
        <v>48.180053764639716</v>
      </c>
      <c r="FQ673" s="30">
        <f t="shared" si="143"/>
        <v>999.99999999999977</v>
      </c>
      <c r="FR673" s="30" t="str">
        <f t="shared" si="78"/>
        <v>OKAY</v>
      </c>
      <c r="FT673" s="284">
        <f>($AB673-(VLOOKUP($A673,'Childhood asthma'!$A$36:$AG$50,7)*$AB673))+(SUM($AC673:$AG673)-(VLOOKUP($A673,'Childhood asthma'!$A$36:$AG$50,6)*SUM($AC673:$AG673)))+($AJ673-(VLOOKUP($A673,'Childhood asthma'!$A$36:$AG$50,9)*$AJ673))+(SUM($AK673:$AO673)-(VLOOKUP($A673,'Childhood asthma'!$A$36:$AG$50,8)*SUM($AK673:$AO673)))+($BS673-(VLOOKUP($A673,'Childhood asthma'!$A$36:$AG$50,3)*$BS673))+(SUM($BT673:$BX673)-(VLOOKUP($A673,'Childhood asthma'!$A$36:$AG$50,2)*SUM($BT673:$BX673)))+($CA673-(VLOOKUP($A673,'Childhood asthma'!$A$36:$AG$50,5)*$CA673))+(SUM($CB673:$CF673)-(VLOOKUP($A673,'Childhood asthma'!$A$36:$AG$50,4)*SUM($CB673:$CF673)))+($DJ673-(VLOOKUP($A673,'Childhood asthma'!$A$36:$AG$50,23)*$DJ673))+(SUM($DK673:$DO673)-(VLOOKUP($A673,'Childhood asthma'!$A$36:$AG$50,22)*SUM($DK673:$DO673)))+($DR673-(VLOOKUP($A673,'Childhood asthma'!$A$36:$AG$50,25)*$DR673))+(SUM($DS673:$DW673)-(VLOOKUP($A673,'Childhood asthma'!$A$36:$AG$50,24)*SUM($DS673:$DW673)))+($FA673-(VLOOKUP($A673,'Childhood asthma'!$A$36:$AG$50,19)*$FA673))+(SUM($FB673:$FF673)-(VLOOKUP($A673,'Childhood asthma'!$A$36:$AG$50,18)*SUM($FB673:$FF673)))+($FI673-(VLOOKUP($A673,'Childhood asthma'!$A$36:$AG$50,21)*$FI673))+(SUM($FJ673:$FN673)-(VLOOKUP($A673,'Childhood asthma'!$A$36:$AG$50,20)*SUM($FJ673:$FN673)))</f>
        <v>688.93034933314323</v>
      </c>
      <c r="FU673" s="31">
        <f>(VLOOKUP($A673,'Childhood asthma'!$A$36:$AG$50,7)*$AB673)+(VLOOKUP($A673,'Childhood asthma'!$A$36:$AG$50,6)*SUM($AC673:$AG673))+(VLOOKUP($A673,'Childhood asthma'!$A$36:$AG$50,9)*$AJ673)+(VLOOKUP($A673,'Childhood asthma'!$A$36:$AG$50,8)*SUM($AK673:$AO673))+(VLOOKUP($A673,'Childhood asthma'!$A$36:$AG$50,3)*$BS673)+(VLOOKUP($A673,'Childhood asthma'!$A$36:$AG$50,2)*SUM($BT673:$BX673))+(VLOOKUP($A673,'Childhood asthma'!$A$36:$AG$50,5)*$CA673)+(VLOOKUP($A673,'Childhood asthma'!$A$36:$AG$50,4)*SUM($CB673:$CF673))+(VLOOKUP($A673,'Childhood asthma'!$A$36:$AG$50,23)*$DJ673)+(VLOOKUP($A673,'Childhood asthma'!$A$36:$AG$50,22)*SUM($DK673:$DO673))+(VLOOKUP($A673,'Childhood asthma'!$A$36:$AG$50,25)*$DR673)+(VLOOKUP($A673,'Childhood asthma'!$A$36:$AG$50,24)*SUM($DS673:$DW673))+(VLOOKUP($A673,'Childhood asthma'!$A$36:$AG$50,19)*$FA673)+(VLOOKUP($A673,'Childhood asthma'!$A$36:$AG$50,18)*SUM($FB673:$FF673))+(VLOOKUP($A673,'Childhood asthma'!$A$36:$AG$50,21)*$FI673)+(VLOOKUP($A673,'Childhood asthma'!$A$36:$AG$50,20)*SUM($FJ673:$FN673))</f>
        <v>201.24661720066962</v>
      </c>
      <c r="FV673" s="31">
        <f t="shared" si="203"/>
        <v>890.1769665338129</v>
      </c>
      <c r="FW673" s="286">
        <f t="shared" si="204"/>
        <v>109.82303346618696</v>
      </c>
      <c r="FY673" s="265">
        <v>12</v>
      </c>
      <c r="FZ673" s="30">
        <f t="shared" si="205"/>
        <v>589.10424897375833</v>
      </c>
      <c r="GA673" s="281">
        <f t="shared" si="206"/>
        <v>8605.8928277088144</v>
      </c>
      <c r="GC673" s="265">
        <v>12</v>
      </c>
      <c r="GD673" s="30">
        <f t="shared" si="144"/>
        <v>575.78608396369941</v>
      </c>
      <c r="GE673" s="281">
        <f t="shared" si="207"/>
        <v>8512.9552041831303</v>
      </c>
      <c r="GG673" s="265">
        <v>12</v>
      </c>
      <c r="GH673" s="303">
        <f t="shared" si="208"/>
        <v>216342.36537486195</v>
      </c>
      <c r="GI673" s="304">
        <f t="shared" si="209"/>
        <v>4788611.4966201428</v>
      </c>
      <c r="GK673" s="265">
        <v>12</v>
      </c>
      <c r="GL673" s="287">
        <f t="shared" si="145"/>
        <v>0.89017696653381295</v>
      </c>
      <c r="GM673" s="287">
        <f t="shared" si="145"/>
        <v>0.10982303346618695</v>
      </c>
      <c r="GN673" s="288">
        <f t="shared" si="146"/>
        <v>0.20124661720066961</v>
      </c>
      <c r="GP673" s="265">
        <v>12</v>
      </c>
      <c r="GQ673" s="303">
        <f t="shared" si="210"/>
        <v>216342.36537486195</v>
      </c>
      <c r="GR673" s="304">
        <f t="shared" si="211"/>
        <v>7890627.220583681</v>
      </c>
      <c r="GT673" s="265">
        <v>12</v>
      </c>
      <c r="GU673" s="303">
        <f t="shared" si="212"/>
        <v>216342.36537486195</v>
      </c>
      <c r="GV673" s="304">
        <f t="shared" si="213"/>
        <v>4785571.4966201419</v>
      </c>
      <c r="GX673" s="265">
        <v>12</v>
      </c>
      <c r="GY673" s="303">
        <f t="shared" si="214"/>
        <v>216342.36537486195</v>
      </c>
      <c r="GZ673" s="304">
        <f t="shared" si="215"/>
        <v>7890627.220583681</v>
      </c>
    </row>
    <row r="674" spans="1:208" s="30" customFormat="1" x14ac:dyDescent="0.25">
      <c r="A674" s="379">
        <v>13</v>
      </c>
      <c r="B674" s="30">
        <f>VLOOKUP($A674,'Childhood mortality'!$A$12:$G$27,4)</f>
        <v>9.3655188966091334E-5</v>
      </c>
      <c r="C674" s="30">
        <f t="shared" si="79"/>
        <v>0.27</v>
      </c>
      <c r="D674" s="30">
        <f t="shared" si="80"/>
        <v>1.0535641547861506E-3</v>
      </c>
      <c r="E674" s="30">
        <f t="shared" si="81"/>
        <v>0.7288527806562477</v>
      </c>
      <c r="F674" s="30">
        <f>VLOOKUP($A674,'Childhood mortality'!$A$12:$G$27,4)</f>
        <v>9.3655188966091334E-5</v>
      </c>
      <c r="G674" s="30">
        <f t="shared" si="82"/>
        <v>0.27</v>
      </c>
      <c r="H674" s="30">
        <f t="shared" si="83"/>
        <v>1.0535641547861506E-3</v>
      </c>
      <c r="I674" s="30">
        <f t="shared" si="84"/>
        <v>0.7288527806562477</v>
      </c>
      <c r="J674" s="30">
        <f>VLOOKUP($A674,'Childhood mortality'!$A$12:$G$27,4)</f>
        <v>9.3655188966091334E-5</v>
      </c>
      <c r="K674" s="30">
        <f t="shared" si="85"/>
        <v>0.14000000000000001</v>
      </c>
      <c r="L674" s="30">
        <f t="shared" si="86"/>
        <v>1.0535641547861506E-3</v>
      </c>
      <c r="M674" s="30">
        <f t="shared" si="66"/>
        <v>0.44875057789288941</v>
      </c>
      <c r="N674" s="30">
        <f t="shared" si="67"/>
        <v>0.41010220276335824</v>
      </c>
      <c r="O674" s="30">
        <f>VLOOKUP($A674,'Childhood mortality'!$A$12:$G$27,4)</f>
        <v>9.3655188966091334E-5</v>
      </c>
      <c r="P674" s="30">
        <f t="shared" si="87"/>
        <v>0.5714285714285714</v>
      </c>
      <c r="Q674" s="30">
        <f t="shared" si="88"/>
        <v>7.5254582484725048E-4</v>
      </c>
      <c r="R674" s="30">
        <f t="shared" si="68"/>
        <v>0.22348643139885394</v>
      </c>
      <c r="S674" s="30">
        <f t="shared" si="69"/>
        <v>0.20423879615876125</v>
      </c>
      <c r="T674" s="30">
        <f>VLOOKUP($A674,'Childhood mortality'!$A$12:$G$27,4)</f>
        <v>9.3655188966091334E-5</v>
      </c>
      <c r="U674" s="30">
        <f t="shared" si="89"/>
        <v>0.99052763210735351</v>
      </c>
      <c r="V674" s="30">
        <f t="shared" si="90"/>
        <v>7.5254582484725048E-4</v>
      </c>
      <c r="W674" s="30">
        <f t="shared" si="70"/>
        <v>4.5071721941902995E-3</v>
      </c>
      <c r="X674" s="30">
        <f t="shared" si="71"/>
        <v>4.1189946846428094E-3</v>
      </c>
      <c r="Y674" s="30">
        <f>VLOOKUP($A674,'Childhood mortality'!$A$12:$G$27,4)</f>
        <v>9.3655188966091334E-5</v>
      </c>
      <c r="Z674" s="30">
        <f t="shared" si="91"/>
        <v>0.99990634481103391</v>
      </c>
      <c r="AB674" s="284">
        <f t="shared" si="147"/>
        <v>0.29476452482926446</v>
      </c>
      <c r="AC674" s="31">
        <f t="shared" si="148"/>
        <v>0.32254338057233656</v>
      </c>
      <c r="AD674" s="31">
        <f t="shared" si="149"/>
        <v>0.16857862075195323</v>
      </c>
      <c r="AE674" s="31">
        <f t="shared" si="150"/>
        <v>2.3872582619937684E-2</v>
      </c>
      <c r="AF674" s="31">
        <f t="shared" si="151"/>
        <v>0.6405365817048867</v>
      </c>
      <c r="AG674" s="31">
        <f t="shared" si="152"/>
        <v>1.0512975082448717E-2</v>
      </c>
      <c r="AH674" s="286">
        <f t="shared" si="153"/>
        <v>8.0675762409253796E-2</v>
      </c>
      <c r="AI674" s="31"/>
      <c r="AJ674" s="284">
        <f t="shared" si="154"/>
        <v>15.553469785153201</v>
      </c>
      <c r="AK674" s="31">
        <f t="shared" si="155"/>
        <v>17.019241806790674</v>
      </c>
      <c r="AL674" s="31">
        <f t="shared" si="156"/>
        <v>8.9433123067206814</v>
      </c>
      <c r="AM674" s="31">
        <f t="shared" si="157"/>
        <v>1.2733243791668318</v>
      </c>
      <c r="AN674" s="31">
        <f t="shared" si="158"/>
        <v>8.2386250546800337</v>
      </c>
      <c r="AO674" s="31">
        <f t="shared" si="159"/>
        <v>0.39260445684245504</v>
      </c>
      <c r="AP674" s="286">
        <f t="shared" si="160"/>
        <v>3.6252206057748562</v>
      </c>
      <c r="AR674" s="30">
        <v>13</v>
      </c>
      <c r="AS674" s="30">
        <f>VLOOKUP($A674,'Childhood mortality'!$A$12:$G$27,3)</f>
        <v>6.456907885822225E-5</v>
      </c>
      <c r="AT674" s="30">
        <f t="shared" si="92"/>
        <v>0.27</v>
      </c>
      <c r="AU674" s="30">
        <f t="shared" si="93"/>
        <v>1.0535641547861506E-3</v>
      </c>
      <c r="AV674" s="30">
        <f t="shared" si="94"/>
        <v>0.72888186676635558</v>
      </c>
      <c r="AW674" s="30">
        <f>VLOOKUP($A674,'Childhood mortality'!$A$12:$G$27,3)</f>
        <v>6.456907885822225E-5</v>
      </c>
      <c r="AX674" s="30">
        <f t="shared" si="95"/>
        <v>0.27</v>
      </c>
      <c r="AY674" s="30">
        <f t="shared" si="96"/>
        <v>1.0535641547861506E-3</v>
      </c>
      <c r="AZ674" s="30">
        <f t="shared" si="97"/>
        <v>0.72888186676635558</v>
      </c>
      <c r="BA674" s="30">
        <f>VLOOKUP($A674,'Childhood mortality'!$A$12:$G$27,3)</f>
        <v>6.456907885822225E-5</v>
      </c>
      <c r="BB674" s="30">
        <f t="shared" si="98"/>
        <v>0.14000000000000001</v>
      </c>
      <c r="BC674" s="30">
        <f t="shared" si="99"/>
        <v>1.0535641547861506E-3</v>
      </c>
      <c r="BD674" s="30">
        <f t="shared" si="100"/>
        <v>0.44876577538542078</v>
      </c>
      <c r="BE674" s="30">
        <f t="shared" si="101"/>
        <v>0.4101160913809348</v>
      </c>
      <c r="BF674" s="30">
        <f>VLOOKUP($A674,'Childhood mortality'!$A$12:$G$27,3)</f>
        <v>6.456907885822225E-5</v>
      </c>
      <c r="BG674" s="30">
        <f t="shared" si="102"/>
        <v>0.5714285714285714</v>
      </c>
      <c r="BH674" s="30">
        <f t="shared" si="103"/>
        <v>7.5254582484725048E-4</v>
      </c>
      <c r="BI674" s="30">
        <f t="shared" si="104"/>
        <v>0.22350162889138531</v>
      </c>
      <c r="BJ674" s="30">
        <f t="shared" si="105"/>
        <v>0.20425268477633776</v>
      </c>
      <c r="BK674" s="30">
        <f>VLOOKUP($A674,'Childhood mortality'!$A$12:$G$27,3)</f>
        <v>6.456907885822225E-5</v>
      </c>
      <c r="BL674" s="30">
        <f t="shared" si="106"/>
        <v>0.99055671821746138</v>
      </c>
      <c r="BM674" s="30">
        <f t="shared" si="107"/>
        <v>7.5254582484725048E-4</v>
      </c>
      <c r="BN674" s="30">
        <f t="shared" si="72"/>
        <v>4.5071721941902995E-3</v>
      </c>
      <c r="BO674" s="30">
        <f t="shared" si="73"/>
        <v>4.1189946846428094E-3</v>
      </c>
      <c r="BP674" s="30">
        <f>VLOOKUP($A674,'Childhood mortality'!$A$12:$G$27,3)</f>
        <v>6.456907885822225E-5</v>
      </c>
      <c r="BQ674" s="30">
        <f t="shared" si="108"/>
        <v>0.99993543092114179</v>
      </c>
      <c r="BS674" s="284">
        <f t="shared" si="161"/>
        <v>4.6375825141102656</v>
      </c>
      <c r="BT674" s="31">
        <f t="shared" si="162"/>
        <v>5.0746321751258927</v>
      </c>
      <c r="BU674" s="31">
        <f t="shared" si="163"/>
        <v>2.6522922788541101</v>
      </c>
      <c r="BV674" s="31">
        <f t="shared" si="164"/>
        <v>0.37559751039575778</v>
      </c>
      <c r="BW674" s="31">
        <f t="shared" si="165"/>
        <v>10.025597543032088</v>
      </c>
      <c r="BX674" s="31">
        <f t="shared" si="166"/>
        <v>0.16488348101235509</v>
      </c>
      <c r="BY674" s="286">
        <f t="shared" si="167"/>
        <v>0.1644964576335419</v>
      </c>
      <c r="BZ674" s="31"/>
      <c r="CA674" s="284">
        <f t="shared" si="168"/>
        <v>114.32310340025141</v>
      </c>
      <c r="CB674" s="31">
        <f t="shared" si="169"/>
        <v>125.09700843273585</v>
      </c>
      <c r="CC674" s="31">
        <f t="shared" si="170"/>
        <v>65.734254779509115</v>
      </c>
      <c r="CD674" s="31">
        <f t="shared" si="171"/>
        <v>9.3588163501691639</v>
      </c>
      <c r="CE674" s="31">
        <f t="shared" si="172"/>
        <v>60.532382488340012</v>
      </c>
      <c r="CF674" s="31">
        <f t="shared" si="173"/>
        <v>2.8824674175882619</v>
      </c>
      <c r="CG674" s="286">
        <f t="shared" si="174"/>
        <v>52.389602348143256</v>
      </c>
      <c r="CI674" s="30">
        <v>13</v>
      </c>
      <c r="CJ674" s="30">
        <f>VLOOKUP($A674,'Childhood mortality'!$A$31:$G$46,4)</f>
        <v>8.354548341053125E-5</v>
      </c>
      <c r="CK674" s="30">
        <f t="shared" si="109"/>
        <v>0.27</v>
      </c>
      <c r="CL674" s="30">
        <f t="shared" si="110"/>
        <v>1.0535641547861506E-3</v>
      </c>
      <c r="CM674" s="30">
        <f t="shared" si="111"/>
        <v>0.7288628903618033</v>
      </c>
      <c r="CN674" s="30">
        <f>VLOOKUP($A674,'Childhood mortality'!$A$31:$G$46,4)</f>
        <v>8.354548341053125E-5</v>
      </c>
      <c r="CO674" s="30">
        <f t="shared" si="112"/>
        <v>0.27</v>
      </c>
      <c r="CP674" s="30">
        <f t="shared" si="113"/>
        <v>1.0535641547861506E-3</v>
      </c>
      <c r="CQ674" s="30">
        <f t="shared" si="114"/>
        <v>0.7288628903618033</v>
      </c>
      <c r="CR674" s="30">
        <f>VLOOKUP($A674,'Childhood mortality'!$A$31:$G$46,4)</f>
        <v>8.354548341053125E-5</v>
      </c>
      <c r="CS674" s="30">
        <f t="shared" si="115"/>
        <v>0.14000000000000001</v>
      </c>
      <c r="CT674" s="30">
        <f t="shared" si="116"/>
        <v>1.0535641547861506E-3</v>
      </c>
      <c r="CU674" s="30">
        <f t="shared" si="117"/>
        <v>0.44875586021404218</v>
      </c>
      <c r="CV674" s="30">
        <f t="shared" si="118"/>
        <v>0.41010703014776106</v>
      </c>
      <c r="CW674" s="30">
        <f>VLOOKUP($A674,'Childhood mortality'!$A$31:$G$46,4)</f>
        <v>8.354548341053125E-5</v>
      </c>
      <c r="CX674" s="30">
        <f t="shared" si="119"/>
        <v>0.5714285714285714</v>
      </c>
      <c r="CY674" s="30">
        <f t="shared" si="120"/>
        <v>7.5254582484725048E-4</v>
      </c>
      <c r="CZ674" s="30">
        <f t="shared" si="121"/>
        <v>0.2234917137200067</v>
      </c>
      <c r="DA674" s="30">
        <f t="shared" si="122"/>
        <v>0.20424362354316403</v>
      </c>
      <c r="DB674" s="30">
        <f>VLOOKUP($A674,'Childhood mortality'!$A$31:$G$46,4)</f>
        <v>8.354548341053125E-5</v>
      </c>
      <c r="DC674" s="30">
        <f t="shared" si="123"/>
        <v>0.9905377418129091</v>
      </c>
      <c r="DD674" s="30">
        <f t="shared" si="124"/>
        <v>7.5254582484725048E-4</v>
      </c>
      <c r="DE674" s="30">
        <f t="shared" si="74"/>
        <v>4.5071721941902995E-3</v>
      </c>
      <c r="DF674" s="30">
        <f t="shared" si="75"/>
        <v>4.1189946846428094E-3</v>
      </c>
      <c r="DG674" s="30">
        <f>VLOOKUP($A674,'Childhood mortality'!$A$31:$G$46,4)</f>
        <v>8.354548341053125E-5</v>
      </c>
      <c r="DH674" s="30">
        <f t="shared" si="125"/>
        <v>0.9999164545165895</v>
      </c>
      <c r="DJ674" s="284">
        <f t="shared" si="175"/>
        <v>0.28394446788927835</v>
      </c>
      <c r="DK674" s="31">
        <f t="shared" si="176"/>
        <v>0.31070363240240395</v>
      </c>
      <c r="DL674" s="31">
        <f t="shared" si="177"/>
        <v>0.16239089283606267</v>
      </c>
      <c r="DM674" s="31">
        <f t="shared" si="178"/>
        <v>2.2996495946221614E-2</v>
      </c>
      <c r="DN674" s="31">
        <f t="shared" si="179"/>
        <v>0.61583051295479774</v>
      </c>
      <c r="DO674" s="31">
        <f t="shared" si="180"/>
        <v>1.0118734887970828E-2</v>
      </c>
      <c r="DP674" s="286">
        <f t="shared" si="181"/>
        <v>7.5049321329029278E-2</v>
      </c>
      <c r="DQ674" s="31"/>
      <c r="DR674" s="284">
        <f t="shared" si="182"/>
        <v>14.970069907841276</v>
      </c>
      <c r="DS674" s="31">
        <f t="shared" si="183"/>
        <v>16.380861836328933</v>
      </c>
      <c r="DT674" s="31">
        <f t="shared" si="184"/>
        <v>8.6077562765723439</v>
      </c>
      <c r="DU674" s="31">
        <f t="shared" si="185"/>
        <v>1.225540699368767</v>
      </c>
      <c r="DV674" s="31">
        <f t="shared" si="186"/>
        <v>7.9286976899075903</v>
      </c>
      <c r="DW674" s="31">
        <f t="shared" si="187"/>
        <v>0.37784485913660132</v>
      </c>
      <c r="DX674" s="286">
        <f t="shared" si="188"/>
        <v>3.3963683653799248</v>
      </c>
      <c r="DZ674" s="30">
        <v>13</v>
      </c>
      <c r="EA674" s="30">
        <f>VLOOKUP($A674,'Childhood mortality'!$A$31:$G$46,3)</f>
        <v>5.7599103329298712E-5</v>
      </c>
      <c r="EB674" s="30">
        <f t="shared" si="126"/>
        <v>0.27</v>
      </c>
      <c r="EC674" s="30">
        <f t="shared" si="127"/>
        <v>1.0535641547861506E-3</v>
      </c>
      <c r="ED674" s="30">
        <f t="shared" si="128"/>
        <v>0.72888883674188454</v>
      </c>
      <c r="EE674" s="30">
        <f>VLOOKUP($A674,'Childhood mortality'!$A$31:$G$46,3)</f>
        <v>5.7599103329298712E-5</v>
      </c>
      <c r="EF674" s="30">
        <f t="shared" si="129"/>
        <v>0.27</v>
      </c>
      <c r="EG674" s="30">
        <f t="shared" si="130"/>
        <v>1.0535641547861506E-3</v>
      </c>
      <c r="EH674" s="30">
        <f t="shared" si="131"/>
        <v>0.72888883674188454</v>
      </c>
      <c r="EI674" s="30">
        <f>VLOOKUP($A674,'Childhood mortality'!$A$31:$G$46,3)</f>
        <v>5.7599103329298712E-5</v>
      </c>
      <c r="EJ674" s="30">
        <f t="shared" si="132"/>
        <v>0.14000000000000001</v>
      </c>
      <c r="EK674" s="30">
        <f t="shared" si="133"/>
        <v>1.0535641547861506E-3</v>
      </c>
      <c r="EL674" s="30">
        <f t="shared" si="134"/>
        <v>0.44876941719763463</v>
      </c>
      <c r="EM674" s="30">
        <f t="shared" si="135"/>
        <v>0.41011941954424985</v>
      </c>
      <c r="EN674" s="30">
        <f>VLOOKUP($A674,'Childhood mortality'!$A$31:$G$46,3)</f>
        <v>5.7599103329298712E-5</v>
      </c>
      <c r="EO674" s="30">
        <f t="shared" si="136"/>
        <v>0.5714285714285714</v>
      </c>
      <c r="EP674" s="30">
        <f t="shared" si="137"/>
        <v>7.5254582484725048E-4</v>
      </c>
      <c r="EQ674" s="30">
        <f t="shared" si="138"/>
        <v>0.22350527070359916</v>
      </c>
      <c r="ER674" s="30">
        <f t="shared" si="139"/>
        <v>0.20425601293965281</v>
      </c>
      <c r="ES674" s="30">
        <f>VLOOKUP($A674,'Childhood mortality'!$A$31:$G$46,3)</f>
        <v>5.7599103329298712E-5</v>
      </c>
      <c r="ET674" s="30">
        <f t="shared" si="140"/>
        <v>0.99056368819299034</v>
      </c>
      <c r="EU674" s="30">
        <f t="shared" si="141"/>
        <v>7.5254582484725048E-4</v>
      </c>
      <c r="EV674" s="30">
        <f t="shared" si="76"/>
        <v>4.5071721941902995E-3</v>
      </c>
      <c r="EW674" s="30">
        <f t="shared" si="77"/>
        <v>4.1189946846428094E-3</v>
      </c>
      <c r="EX674" s="30">
        <f>VLOOKUP($A674,'Childhood mortality'!$A$31:$G$46,3)</f>
        <v>5.7599103329298712E-5</v>
      </c>
      <c r="EY674" s="30">
        <f t="shared" si="142"/>
        <v>0.99994240089667075</v>
      </c>
      <c r="FA674" s="284">
        <f t="shared" si="189"/>
        <v>4.4616125791246244</v>
      </c>
      <c r="FB674" s="31">
        <f t="shared" si="190"/>
        <v>4.8820786860578362</v>
      </c>
      <c r="FC674" s="31">
        <f t="shared" si="191"/>
        <v>2.5516501351758247</v>
      </c>
      <c r="FD674" s="31">
        <f t="shared" si="192"/>
        <v>0.361346154133935</v>
      </c>
      <c r="FE674" s="31">
        <f t="shared" si="193"/>
        <v>9.6357896330766035</v>
      </c>
      <c r="FF674" s="31">
        <f t="shared" si="194"/>
        <v>0.15856134751557635</v>
      </c>
      <c r="FG674" s="286">
        <f t="shared" si="195"/>
        <v>1.9479274066698309</v>
      </c>
      <c r="FH674" s="31"/>
      <c r="FI674" s="284">
        <f t="shared" si="196"/>
        <v>109.93930156721824</v>
      </c>
      <c r="FJ674" s="31">
        <f t="shared" si="197"/>
        <v>120.30007344266286</v>
      </c>
      <c r="FK674" s="31">
        <f t="shared" si="198"/>
        <v>63.213126321084076</v>
      </c>
      <c r="FL674" s="31">
        <f t="shared" si="199"/>
        <v>8.9998329598953326</v>
      </c>
      <c r="FM674" s="31">
        <f t="shared" si="200"/>
        <v>58.207728612343153</v>
      </c>
      <c r="FN674" s="31">
        <f t="shared" si="201"/>
        <v>2.7718091418584003</v>
      </c>
      <c r="FO674" s="286">
        <f t="shared" si="202"/>
        <v>48.200988320402438</v>
      </c>
      <c r="FQ674" s="30">
        <f t="shared" si="143"/>
        <v>999.99999999999977</v>
      </c>
      <c r="FR674" s="30" t="str">
        <f t="shared" si="78"/>
        <v>OKAY</v>
      </c>
      <c r="FT674" s="284">
        <f>($AB674-(VLOOKUP($A674,'Childhood asthma'!$A$36:$AG$50,7)*$AB674))+(SUM($AC674:$AG674)-(VLOOKUP($A674,'Childhood asthma'!$A$36:$AG$50,6)*SUM($AC674:$AG674)))+($AJ674-(VLOOKUP($A674,'Childhood asthma'!$A$36:$AG$50,9)*$AJ674))+(SUM($AK674:$AO674)-(VLOOKUP($A674,'Childhood asthma'!$A$36:$AG$50,8)*SUM($AK674:$AO674)))+($BS674-(VLOOKUP($A674,'Childhood asthma'!$A$36:$AG$50,3)*$BS674))+(SUM($BT674:$BX674)-(VLOOKUP($A674,'Childhood asthma'!$A$36:$AG$50,2)*SUM($BT674:$BX674)))+($CA674-(VLOOKUP($A674,'Childhood asthma'!$A$36:$AG$50,5)*$CA674))+(SUM($CB674:$CF674)-(VLOOKUP($A674,'Childhood asthma'!$A$36:$AG$50,4)*SUM($CB674:$CF674)))+($DJ674-(VLOOKUP($A674,'Childhood asthma'!$A$36:$AG$50,23)*$DJ674))+(SUM($DK674:$DO674)-(VLOOKUP($A674,'Childhood asthma'!$A$36:$AG$50,22)*SUM($DK674:$DO674)))+($DR674-(VLOOKUP($A674,'Childhood asthma'!$A$36:$AG$50,25)*$DR674))+(SUM($DS674:$DW674)-(VLOOKUP($A674,'Childhood asthma'!$A$36:$AG$50,24)*SUM($DS674:$DW674)))+($FA674-(VLOOKUP($A674,'Childhood asthma'!$A$36:$AG$50,19)*$FA674))+(SUM($FB674:$FF674)-(VLOOKUP($A674,'Childhood asthma'!$A$36:$AG$50,18)*SUM($FB674:$FF674)))+($FI674-(VLOOKUP($A674,'Childhood asthma'!$A$36:$AG$50,21)*$FI674))+(SUM($FJ674:$FN674)-(VLOOKUP($A674,'Childhood asthma'!$A$36:$AG$50,20)*SUM($FJ674:$FN674)))</f>
        <v>689.05014714133426</v>
      </c>
      <c r="FU674" s="31">
        <f>(VLOOKUP($A674,'Childhood asthma'!$A$36:$AG$50,7)*$AB674)+(VLOOKUP($A674,'Childhood asthma'!$A$36:$AG$50,6)*SUM($AC674:$AG674))+(VLOOKUP($A674,'Childhood asthma'!$A$36:$AG$50,9)*$AJ674)+(VLOOKUP($A674,'Childhood asthma'!$A$36:$AG$50,8)*SUM($AK674:$AO674))+(VLOOKUP($A674,'Childhood asthma'!$A$36:$AG$50,3)*$BS674)+(VLOOKUP($A674,'Childhood asthma'!$A$36:$AG$50,2)*SUM($BT674:$BX674))+(VLOOKUP($A674,'Childhood asthma'!$A$36:$AG$50,5)*$CA674)+(VLOOKUP($A674,'Childhood asthma'!$A$36:$AG$50,4)*SUM($CB674:$CF674))+(VLOOKUP($A674,'Childhood asthma'!$A$36:$AG$50,23)*$DJ674)+(VLOOKUP($A674,'Childhood asthma'!$A$36:$AG$50,22)*SUM($DK674:$DO674))+(VLOOKUP($A674,'Childhood asthma'!$A$36:$AG$50,25)*$DR674)+(VLOOKUP($A674,'Childhood asthma'!$A$36:$AG$50,24)*SUM($DS674:$DW674))+(VLOOKUP($A674,'Childhood asthma'!$A$36:$AG$50,19)*$FA674)+(VLOOKUP($A674,'Childhood asthma'!$A$36:$AG$50,18)*SUM($FB674:$FF674))+(VLOOKUP($A674,'Childhood asthma'!$A$36:$AG$50,21)*$FI674)+(VLOOKUP($A674,'Childhood asthma'!$A$36:$AG$50,20)*SUM($FJ674:$FN674))</f>
        <v>201.06952427092344</v>
      </c>
      <c r="FV674" s="31">
        <f t="shared" si="203"/>
        <v>890.11967141225773</v>
      </c>
      <c r="FW674" s="286">
        <f t="shared" si="204"/>
        <v>109.88032858774214</v>
      </c>
      <c r="FY674" s="265">
        <v>13</v>
      </c>
      <c r="FZ674" s="30">
        <f t="shared" si="205"/>
        <v>569.14621451134281</v>
      </c>
      <c r="GA674" s="281">
        <f t="shared" si="206"/>
        <v>9175.0390422201563</v>
      </c>
      <c r="GC674" s="265">
        <v>13</v>
      </c>
      <c r="GD674" s="30">
        <f t="shared" si="144"/>
        <v>556.28974562656606</v>
      </c>
      <c r="GE674" s="281">
        <f t="shared" si="207"/>
        <v>9069.2449498096958</v>
      </c>
      <c r="GG674" s="265">
        <v>13</v>
      </c>
      <c r="GH674" s="303">
        <f t="shared" si="208"/>
        <v>208849.09510671187</v>
      </c>
      <c r="GI674" s="304">
        <f t="shared" si="209"/>
        <v>4997460.5917268544</v>
      </c>
      <c r="GK674" s="265">
        <v>13</v>
      </c>
      <c r="GL674" s="287">
        <f t="shared" si="145"/>
        <v>0.89011967141225778</v>
      </c>
      <c r="GM674" s="287">
        <f t="shared" si="145"/>
        <v>0.10988032858774215</v>
      </c>
      <c r="GN674" s="288">
        <f t="shared" si="146"/>
        <v>0.20106952427092345</v>
      </c>
      <c r="GP674" s="265">
        <v>13</v>
      </c>
      <c r="GQ674" s="303">
        <f t="shared" si="210"/>
        <v>208849.09510671187</v>
      </c>
      <c r="GR674" s="304">
        <f t="shared" si="211"/>
        <v>8099476.3156903926</v>
      </c>
      <c r="GT674" s="265">
        <v>13</v>
      </c>
      <c r="GU674" s="303">
        <f t="shared" si="212"/>
        <v>208849.09510671187</v>
      </c>
      <c r="GV674" s="304">
        <f t="shared" si="213"/>
        <v>4994420.5917268535</v>
      </c>
      <c r="GX674" s="265">
        <v>13</v>
      </c>
      <c r="GY674" s="303">
        <f t="shared" si="214"/>
        <v>208849.09510671187</v>
      </c>
      <c r="GZ674" s="304">
        <f t="shared" si="215"/>
        <v>8099476.3156903926</v>
      </c>
    </row>
    <row r="675" spans="1:208" s="30" customFormat="1" x14ac:dyDescent="0.25">
      <c r="A675" s="379">
        <v>14</v>
      </c>
      <c r="B675" s="30">
        <f>VLOOKUP($A675,'Childhood mortality'!$A$12:$G$27,4)</f>
        <v>1.0867933472227089E-4</v>
      </c>
      <c r="C675" s="30">
        <f t="shared" si="79"/>
        <v>0.27</v>
      </c>
      <c r="D675" s="30">
        <f t="shared" si="80"/>
        <v>1.1221384928716902E-3</v>
      </c>
      <c r="E675" s="30">
        <f t="shared" si="81"/>
        <v>0.72876918217240605</v>
      </c>
      <c r="F675" s="30">
        <f>VLOOKUP($A675,'Childhood mortality'!$A$12:$G$27,4)</f>
        <v>1.0867933472227089E-4</v>
      </c>
      <c r="G675" s="30">
        <f t="shared" si="82"/>
        <v>0.27</v>
      </c>
      <c r="H675" s="30">
        <f t="shared" si="83"/>
        <v>1.1221384928716902E-3</v>
      </c>
      <c r="I675" s="30">
        <f t="shared" si="84"/>
        <v>0.72876918217240605</v>
      </c>
      <c r="J675" s="30">
        <f>VLOOKUP($A675,'Childhood mortality'!$A$12:$G$27,4)</f>
        <v>1.0867933472227089E-4</v>
      </c>
      <c r="K675" s="30">
        <f t="shared" si="85"/>
        <v>0.14000000000000001</v>
      </c>
      <c r="L675" s="30">
        <f t="shared" si="86"/>
        <v>1.1221384928716902E-3</v>
      </c>
      <c r="M675" s="30">
        <f t="shared" si="66"/>
        <v>0.44870689768508215</v>
      </c>
      <c r="N675" s="30">
        <f t="shared" si="67"/>
        <v>0.41006228448732385</v>
      </c>
      <c r="O675" s="30">
        <f>VLOOKUP($A675,'Childhood mortality'!$A$12:$G$27,4)</f>
        <v>1.0867933472227089E-4</v>
      </c>
      <c r="P675" s="30">
        <f t="shared" si="87"/>
        <v>0.5714285714285714</v>
      </c>
      <c r="Q675" s="30">
        <f t="shared" si="88"/>
        <v>8.0152749490835021E-4</v>
      </c>
      <c r="R675" s="30">
        <f t="shared" si="68"/>
        <v>0.22345298836008945</v>
      </c>
      <c r="S675" s="30">
        <f t="shared" si="69"/>
        <v>0.20420823338170854</v>
      </c>
      <c r="T675" s="30">
        <f>VLOOKUP($A675,'Childhood mortality'!$A$12:$G$27,4)</f>
        <v>1.0867933472227089E-4</v>
      </c>
      <c r="U675" s="30">
        <f t="shared" si="89"/>
        <v>0.99046362629153628</v>
      </c>
      <c r="V675" s="30">
        <f t="shared" si="90"/>
        <v>8.0152749490835021E-4</v>
      </c>
      <c r="W675" s="30">
        <f t="shared" si="70"/>
        <v>4.5071721941902995E-3</v>
      </c>
      <c r="X675" s="30">
        <f t="shared" si="71"/>
        <v>4.1189946846428094E-3</v>
      </c>
      <c r="Y675" s="30">
        <f>VLOOKUP($A675,'Childhood mortality'!$A$12:$G$27,4)</f>
        <v>1.0867933472227089E-4</v>
      </c>
      <c r="Z675" s="30">
        <f t="shared" si="91"/>
        <v>0.99989132066527775</v>
      </c>
      <c r="AB675" s="284">
        <f t="shared" si="147"/>
        <v>0.29145638073296715</v>
      </c>
      <c r="AC675" s="31">
        <f t="shared" si="148"/>
        <v>0.31892347420518397</v>
      </c>
      <c r="AD675" s="31">
        <f t="shared" si="149"/>
        <v>0.16667313445843229</v>
      </c>
      <c r="AE675" s="31">
        <f t="shared" si="150"/>
        <v>2.3601006905273454E-2</v>
      </c>
      <c r="AF675" s="31">
        <f t="shared" si="151"/>
        <v>0.64806966127062848</v>
      </c>
      <c r="AG675" s="31">
        <f t="shared" si="152"/>
        <v>1.1926248274412347E-2</v>
      </c>
      <c r="AH675" s="286">
        <f t="shared" si="153"/>
        <v>8.0834522123183469E-2</v>
      </c>
      <c r="AI675" s="31"/>
      <c r="AJ675" s="284">
        <f t="shared" si="154"/>
        <v>15.296162705447319</v>
      </c>
      <c r="AK675" s="31">
        <f t="shared" si="155"/>
        <v>16.737685892348114</v>
      </c>
      <c r="AL675" s="31">
        <f t="shared" si="156"/>
        <v>8.7946321298248478</v>
      </c>
      <c r="AM675" s="31">
        <f t="shared" si="157"/>
        <v>1.2520637229408955</v>
      </c>
      <c r="AN675" s="31">
        <f t="shared" si="158"/>
        <v>8.8876723782671689</v>
      </c>
      <c r="AO675" s="31">
        <f t="shared" si="159"/>
        <v>0.44677260634035504</v>
      </c>
      <c r="AP675" s="286">
        <f t="shared" si="160"/>
        <v>3.6308089599600382</v>
      </c>
      <c r="AR675" s="30">
        <v>14</v>
      </c>
      <c r="AS675" s="30">
        <f>VLOOKUP($A675,'Childhood mortality'!$A$12:$G$27,3)</f>
        <v>7.4927236935928067E-5</v>
      </c>
      <c r="AT675" s="30">
        <f t="shared" si="92"/>
        <v>0.27</v>
      </c>
      <c r="AU675" s="30">
        <f t="shared" si="93"/>
        <v>1.1221384928716902E-3</v>
      </c>
      <c r="AV675" s="30">
        <f t="shared" si="94"/>
        <v>0.72880293427019238</v>
      </c>
      <c r="AW675" s="30">
        <f>VLOOKUP($A675,'Childhood mortality'!$A$12:$G$27,3)</f>
        <v>7.4927236935928067E-5</v>
      </c>
      <c r="AX675" s="30">
        <f t="shared" si="95"/>
        <v>0.27</v>
      </c>
      <c r="AY675" s="30">
        <f t="shared" si="96"/>
        <v>1.1221384928716902E-3</v>
      </c>
      <c r="AZ675" s="30">
        <f t="shared" si="97"/>
        <v>0.72880293427019238</v>
      </c>
      <c r="BA675" s="30">
        <f>VLOOKUP($A675,'Childhood mortality'!$A$12:$G$27,3)</f>
        <v>7.4927236935928067E-5</v>
      </c>
      <c r="BB675" s="30">
        <f t="shared" si="98"/>
        <v>0.14000000000000001</v>
      </c>
      <c r="BC675" s="30">
        <f t="shared" si="99"/>
        <v>1.1221384928716902E-3</v>
      </c>
      <c r="BD675" s="30">
        <f t="shared" si="100"/>
        <v>0.4487245331561755</v>
      </c>
      <c r="BE675" s="30">
        <f t="shared" si="101"/>
        <v>0.41007840111401683</v>
      </c>
      <c r="BF675" s="30">
        <f>VLOOKUP($A675,'Childhood mortality'!$A$12:$G$27,3)</f>
        <v>7.4927236935928067E-5</v>
      </c>
      <c r="BG675" s="30">
        <f t="shared" si="102"/>
        <v>0.5714285714285714</v>
      </c>
      <c r="BH675" s="30">
        <f t="shared" si="103"/>
        <v>8.0152749490835021E-4</v>
      </c>
      <c r="BI675" s="30">
        <f t="shared" si="104"/>
        <v>0.2234706238311828</v>
      </c>
      <c r="BJ675" s="30">
        <f t="shared" si="105"/>
        <v>0.2042243500084015</v>
      </c>
      <c r="BK675" s="30">
        <f>VLOOKUP($A675,'Childhood mortality'!$A$12:$G$27,3)</f>
        <v>7.4927236935928067E-5</v>
      </c>
      <c r="BL675" s="30">
        <f t="shared" si="106"/>
        <v>0.99049737838932261</v>
      </c>
      <c r="BM675" s="30">
        <f t="shared" si="107"/>
        <v>8.0152749490835021E-4</v>
      </c>
      <c r="BN675" s="30">
        <f t="shared" si="72"/>
        <v>4.5071721941902995E-3</v>
      </c>
      <c r="BO675" s="30">
        <f t="shared" si="73"/>
        <v>4.1189946846428094E-3</v>
      </c>
      <c r="BP675" s="30">
        <f>VLOOKUP($A675,'Childhood mortality'!$A$12:$G$27,3)</f>
        <v>7.4927236935928067E-5</v>
      </c>
      <c r="BQ675" s="30">
        <f t="shared" si="108"/>
        <v>0.99992507276306408</v>
      </c>
      <c r="BS675" s="284">
        <f t="shared" si="161"/>
        <v>4.5855330616187073</v>
      </c>
      <c r="BT675" s="31">
        <f t="shared" si="162"/>
        <v>5.0176775386298944</v>
      </c>
      <c r="BU675" s="31">
        <f t="shared" si="163"/>
        <v>2.6222979660937629</v>
      </c>
      <c r="BV675" s="31">
        <f t="shared" si="164"/>
        <v>0.37132091903957543</v>
      </c>
      <c r="BW675" s="31">
        <f t="shared" si="165"/>
        <v>10.144955231957292</v>
      </c>
      <c r="BX675" s="31">
        <f t="shared" si="166"/>
        <v>0.18708265977820793</v>
      </c>
      <c r="BY675" s="286">
        <f t="shared" si="167"/>
        <v>0.16621458304656953</v>
      </c>
      <c r="BZ675" s="31"/>
      <c r="CA675" s="284">
        <f t="shared" si="168"/>
        <v>112.43584205905989</v>
      </c>
      <c r="CB675" s="31">
        <f t="shared" si="169"/>
        <v>123.03189000179852</v>
      </c>
      <c r="CC675" s="31">
        <f t="shared" si="170"/>
        <v>64.643430194906557</v>
      </c>
      <c r="CD675" s="31">
        <f t="shared" si="171"/>
        <v>9.2027956691312767</v>
      </c>
      <c r="CE675" s="31">
        <f t="shared" si="172"/>
        <v>65.305061219600049</v>
      </c>
      <c r="CF675" s="31">
        <f t="shared" si="173"/>
        <v>3.2806966208340378</v>
      </c>
      <c r="CG675" s="286">
        <f t="shared" si="174"/>
        <v>52.417919451406732</v>
      </c>
      <c r="CI675" s="30">
        <v>14</v>
      </c>
      <c r="CJ675" s="30">
        <f>VLOOKUP($A675,'Childhood mortality'!$A$31:$G$46,4)</f>
        <v>9.3233951234609656E-5</v>
      </c>
      <c r="CK675" s="30">
        <f t="shared" si="109"/>
        <v>0.27</v>
      </c>
      <c r="CL675" s="30">
        <f t="shared" si="110"/>
        <v>1.1221384928716902E-3</v>
      </c>
      <c r="CM675" s="30">
        <f t="shared" si="111"/>
        <v>0.72878462755589368</v>
      </c>
      <c r="CN675" s="30">
        <f>VLOOKUP($A675,'Childhood mortality'!$A$31:$G$46,4)</f>
        <v>9.3233951234609656E-5</v>
      </c>
      <c r="CO675" s="30">
        <f t="shared" si="112"/>
        <v>0.27</v>
      </c>
      <c r="CP675" s="30">
        <f t="shared" si="113"/>
        <v>1.1221384928716902E-3</v>
      </c>
      <c r="CQ675" s="30">
        <f t="shared" si="114"/>
        <v>0.72878462755589368</v>
      </c>
      <c r="CR675" s="30">
        <f>VLOOKUP($A675,'Childhood mortality'!$A$31:$G$46,4)</f>
        <v>9.3233951234609656E-5</v>
      </c>
      <c r="CS675" s="30">
        <f t="shared" si="115"/>
        <v>0.14000000000000001</v>
      </c>
      <c r="CT675" s="30">
        <f t="shared" si="116"/>
        <v>1.1221384928716902E-3</v>
      </c>
      <c r="CU675" s="30">
        <f t="shared" si="117"/>
        <v>0.4487149678979544</v>
      </c>
      <c r="CV675" s="30">
        <f t="shared" si="118"/>
        <v>0.41006965965793923</v>
      </c>
      <c r="CW675" s="30">
        <f>VLOOKUP($A675,'Childhood mortality'!$A$31:$G$46,4)</f>
        <v>9.3233951234609656E-5</v>
      </c>
      <c r="CX675" s="30">
        <f t="shared" si="119"/>
        <v>0.5714285714285714</v>
      </c>
      <c r="CY675" s="30">
        <f t="shared" si="120"/>
        <v>8.0152749490835021E-4</v>
      </c>
      <c r="CZ675" s="30">
        <f t="shared" si="121"/>
        <v>0.22346105857296172</v>
      </c>
      <c r="DA675" s="30">
        <f t="shared" si="122"/>
        <v>0.20421560855232387</v>
      </c>
      <c r="DB675" s="30">
        <f>VLOOKUP($A675,'Childhood mortality'!$A$31:$G$46,4)</f>
        <v>9.3233951234609656E-5</v>
      </c>
      <c r="DC675" s="30">
        <f t="shared" si="123"/>
        <v>0.99047907167502391</v>
      </c>
      <c r="DD675" s="30">
        <f t="shared" si="124"/>
        <v>8.0152749490835021E-4</v>
      </c>
      <c r="DE675" s="30">
        <f t="shared" si="74"/>
        <v>4.5071721941902995E-3</v>
      </c>
      <c r="DF675" s="30">
        <f t="shared" si="75"/>
        <v>4.1189946846428094E-3</v>
      </c>
      <c r="DG675" s="30">
        <f>VLOOKUP($A675,'Childhood mortality'!$A$31:$G$46,4)</f>
        <v>9.3233951234609656E-5</v>
      </c>
      <c r="DH675" s="30">
        <f t="shared" si="125"/>
        <v>0.99990676604876538</v>
      </c>
      <c r="DJ675" s="284">
        <f t="shared" si="175"/>
        <v>0.28075878745780758</v>
      </c>
      <c r="DK675" s="31">
        <f t="shared" si="176"/>
        <v>0.30721773077843856</v>
      </c>
      <c r="DL675" s="31">
        <f t="shared" si="177"/>
        <v>0.16055498707875424</v>
      </c>
      <c r="DM675" s="31">
        <f t="shared" si="178"/>
        <v>2.2734724997048775E-2</v>
      </c>
      <c r="DN675" s="31">
        <f t="shared" si="179"/>
        <v>0.62310808960703423</v>
      </c>
      <c r="DO675" s="31">
        <f t="shared" si="180"/>
        <v>1.1479331485253425E-2</v>
      </c>
      <c r="DP675" s="286">
        <f t="shared" si="181"/>
        <v>7.5180406841427586E-2</v>
      </c>
      <c r="DQ675" s="31"/>
      <c r="DR675" s="284">
        <f t="shared" si="182"/>
        <v>14.722669312392409</v>
      </c>
      <c r="DS675" s="31">
        <f t="shared" si="183"/>
        <v>16.110146001518395</v>
      </c>
      <c r="DT675" s="31">
        <f t="shared" si="184"/>
        <v>8.4647515709259569</v>
      </c>
      <c r="DU675" s="31">
        <f t="shared" si="185"/>
        <v>1.2050858787201282</v>
      </c>
      <c r="DV675" s="31">
        <f t="shared" si="186"/>
        <v>8.5535180985594437</v>
      </c>
      <c r="DW675" s="31">
        <f t="shared" si="187"/>
        <v>0.42998618688410695</v>
      </c>
      <c r="DX675" s="286">
        <f t="shared" si="188"/>
        <v>3.4009825855349964</v>
      </c>
      <c r="DZ675" s="30">
        <v>14</v>
      </c>
      <c r="EA675" s="30">
        <f>VLOOKUP($A675,'Childhood mortality'!$A$31:$G$46,3)</f>
        <v>6.4278663211183763E-5</v>
      </c>
      <c r="EB675" s="30">
        <f t="shared" si="126"/>
        <v>0.27</v>
      </c>
      <c r="EC675" s="30">
        <f t="shared" si="127"/>
        <v>1.1221384928716902E-3</v>
      </c>
      <c r="ED675" s="30">
        <f t="shared" si="128"/>
        <v>0.72881358284391706</v>
      </c>
      <c r="EE675" s="30">
        <f>VLOOKUP($A675,'Childhood mortality'!$A$31:$G$46,3)</f>
        <v>6.4278663211183763E-5</v>
      </c>
      <c r="EF675" s="30">
        <f t="shared" si="129"/>
        <v>0.27</v>
      </c>
      <c r="EG675" s="30">
        <f t="shared" si="130"/>
        <v>1.1221384928716902E-3</v>
      </c>
      <c r="EH675" s="30">
        <f t="shared" si="131"/>
        <v>0.72881358284391706</v>
      </c>
      <c r="EI675" s="30">
        <f>VLOOKUP($A675,'Childhood mortality'!$A$31:$G$46,3)</f>
        <v>6.4278663211183763E-5</v>
      </c>
      <c r="EJ675" s="30">
        <f t="shared" si="132"/>
        <v>0.14000000000000001</v>
      </c>
      <c r="EK675" s="30">
        <f t="shared" si="133"/>
        <v>1.1221384928716902E-3</v>
      </c>
      <c r="EL675" s="30">
        <f t="shared" si="134"/>
        <v>0.44873009703594663</v>
      </c>
      <c r="EM675" s="30">
        <f t="shared" si="135"/>
        <v>0.41008348580797038</v>
      </c>
      <c r="EN675" s="30">
        <f>VLOOKUP($A675,'Childhood mortality'!$A$31:$G$46,3)</f>
        <v>6.4278663211183763E-5</v>
      </c>
      <c r="EO675" s="30">
        <f t="shared" si="136"/>
        <v>0.5714285714285714</v>
      </c>
      <c r="EP675" s="30">
        <f t="shared" si="137"/>
        <v>8.0152749490835021E-4</v>
      </c>
      <c r="EQ675" s="30">
        <f t="shared" si="138"/>
        <v>0.22347618771095398</v>
      </c>
      <c r="ER675" s="30">
        <f t="shared" si="139"/>
        <v>0.20422943470235508</v>
      </c>
      <c r="ES675" s="30">
        <f>VLOOKUP($A675,'Childhood mortality'!$A$31:$G$46,3)</f>
        <v>6.4278663211183763E-5</v>
      </c>
      <c r="ET675" s="30">
        <f t="shared" si="140"/>
        <v>0.99050802696304729</v>
      </c>
      <c r="EU675" s="30">
        <f t="shared" si="141"/>
        <v>8.0152749490835021E-4</v>
      </c>
      <c r="EV675" s="30">
        <f t="shared" si="76"/>
        <v>4.5071721941902995E-3</v>
      </c>
      <c r="EW675" s="30">
        <f t="shared" si="77"/>
        <v>4.1189946846428094E-3</v>
      </c>
      <c r="EX675" s="30">
        <f>VLOOKUP($A675,'Childhood mortality'!$A$31:$G$46,3)</f>
        <v>6.4278663211183763E-5</v>
      </c>
      <c r="EY675" s="30">
        <f t="shared" si="142"/>
        <v>0.99993572133678876</v>
      </c>
      <c r="FA675" s="284">
        <f t="shared" si="189"/>
        <v>4.411560718120211</v>
      </c>
      <c r="FB675" s="31">
        <f t="shared" si="190"/>
        <v>4.8273098957441061</v>
      </c>
      <c r="FC675" s="31">
        <f t="shared" si="191"/>
        <v>2.5227966415992649</v>
      </c>
      <c r="FD675" s="31">
        <f t="shared" si="192"/>
        <v>0.35723101892461551</v>
      </c>
      <c r="FE675" s="31">
        <f t="shared" si="193"/>
        <v>9.7508104943376548</v>
      </c>
      <c r="FF675" s="31">
        <f t="shared" si="194"/>
        <v>0.17991235507909484</v>
      </c>
      <c r="FG675" s="286">
        <f t="shared" si="195"/>
        <v>1.9493448179492845</v>
      </c>
      <c r="FH675" s="31"/>
      <c r="FI675" s="284">
        <f t="shared" si="196"/>
        <v>108.12570358370633</v>
      </c>
      <c r="FJ675" s="31">
        <f t="shared" si="197"/>
        <v>118.31556046594041</v>
      </c>
      <c r="FK675" s="31">
        <f t="shared" si="198"/>
        <v>62.164631252667903</v>
      </c>
      <c r="FL675" s="31">
        <f t="shared" si="199"/>
        <v>8.8498376849517708</v>
      </c>
      <c r="FM675" s="31">
        <f t="shared" si="200"/>
        <v>62.797984113181293</v>
      </c>
      <c r="FN675" s="31">
        <f t="shared" si="201"/>
        <v>3.1547940297109371</v>
      </c>
      <c r="FO675" s="286">
        <f t="shared" si="202"/>
        <v>48.22434923530583</v>
      </c>
      <c r="FQ675" s="30">
        <f t="shared" si="143"/>
        <v>999.99999999999977</v>
      </c>
      <c r="FR675" s="30" t="str">
        <f t="shared" si="78"/>
        <v>OKAY</v>
      </c>
      <c r="FT675" s="284">
        <f>($AB675-(VLOOKUP($A675,'Childhood asthma'!$A$36:$AG$50,7)*$AB675))+(SUM($AC675:$AG675)-(VLOOKUP($A675,'Childhood asthma'!$A$36:$AG$50,6)*SUM($AC675:$AG675)))+($AJ675-(VLOOKUP($A675,'Childhood asthma'!$A$36:$AG$50,9)*$AJ675))+(SUM($AK675:$AO675)-(VLOOKUP($A675,'Childhood asthma'!$A$36:$AG$50,8)*SUM($AK675:$AO675)))+($BS675-(VLOOKUP($A675,'Childhood asthma'!$A$36:$AG$50,3)*$BS675))+(SUM($BT675:$BX675)-(VLOOKUP($A675,'Childhood asthma'!$A$36:$AG$50,2)*SUM($BT675:$BX675)))+($CA675-(VLOOKUP($A675,'Childhood asthma'!$A$36:$AG$50,5)*$CA675))+(SUM($CB675:$CF675)-(VLOOKUP($A675,'Childhood asthma'!$A$36:$AG$50,4)*SUM($CB675:$CF675)))+($DJ675-(VLOOKUP($A675,'Childhood asthma'!$A$36:$AG$50,23)*$DJ675))+(SUM($DK675:$DO675)-(VLOOKUP($A675,'Childhood asthma'!$A$36:$AG$50,22)*SUM($DK675:$DO675)))+($DR675-(VLOOKUP($A675,'Childhood asthma'!$A$36:$AG$50,25)*$DR675))+(SUM($DS675:$DW675)-(VLOOKUP($A675,'Childhood asthma'!$A$36:$AG$50,24)*SUM($DS675:$DW675)))+($FA675-(VLOOKUP($A675,'Childhood asthma'!$A$36:$AG$50,19)*$FA675))+(SUM($FB675:$FF675)-(VLOOKUP($A675,'Childhood asthma'!$A$36:$AG$50,18)*SUM($FB675:$FF675)))+($FI675-(VLOOKUP($A675,'Childhood asthma'!$A$36:$AG$50,21)*$FI675))+(SUM($FJ675:$FN675)-(VLOOKUP($A675,'Childhood asthma'!$A$36:$AG$50,20)*SUM($FJ675:$FN675)))</f>
        <v>689.16014392873944</v>
      </c>
      <c r="FU675" s="31">
        <f>(VLOOKUP($A675,'Childhood asthma'!$A$36:$AG$50,7)*$AB675)+(VLOOKUP($A675,'Childhood asthma'!$A$36:$AG$50,6)*SUM($AC675:$AG675))+(VLOOKUP($A675,'Childhood asthma'!$A$36:$AG$50,9)*$AJ675)+(VLOOKUP($A675,'Childhood asthma'!$A$36:$AG$50,8)*SUM($AK675:$AO675))+(VLOOKUP($A675,'Childhood asthma'!$A$36:$AG$50,3)*$BS675)+(VLOOKUP($A675,'Childhood asthma'!$A$36:$AG$50,2)*SUM($BT675:$BX675))+(VLOOKUP($A675,'Childhood asthma'!$A$36:$AG$50,5)*$CA675)+(VLOOKUP($A675,'Childhood asthma'!$A$36:$AG$50,4)*SUM($CB675:$CF675))+(VLOOKUP($A675,'Childhood asthma'!$A$36:$AG$50,23)*$DJ675)+(VLOOKUP($A675,'Childhood asthma'!$A$36:$AG$50,22)*SUM($DK675:$DO675))+(VLOOKUP($A675,'Childhood asthma'!$A$36:$AG$50,25)*$DR675)+(VLOOKUP($A675,'Childhood asthma'!$A$36:$AG$50,24)*SUM($DS675:$DW675))+(VLOOKUP($A675,'Childhood asthma'!$A$36:$AG$50,19)*$FA675)+(VLOOKUP($A675,'Childhood asthma'!$A$36:$AG$50,18)*SUM($FB675:$FF675))+(VLOOKUP($A675,'Childhood asthma'!$A$36:$AG$50,21)*$FI675)+(VLOOKUP($A675,'Childhood asthma'!$A$36:$AG$50,20)*SUM($FJ675:$FN675))</f>
        <v>200.89422150909209</v>
      </c>
      <c r="FV675" s="31">
        <f t="shared" si="203"/>
        <v>890.05436543783151</v>
      </c>
      <c r="FW675" s="286">
        <f t="shared" si="204"/>
        <v>109.94563456216805</v>
      </c>
      <c r="FY675" s="265">
        <v>14</v>
      </c>
      <c r="FZ675" s="30">
        <f t="shared" si="205"/>
        <v>549.85937932375168</v>
      </c>
      <c r="GA675" s="281">
        <f t="shared" si="206"/>
        <v>9724.8984215439086</v>
      </c>
      <c r="GC675" s="265">
        <v>14</v>
      </c>
      <c r="GD675" s="30">
        <f t="shared" si="144"/>
        <v>537.44850014173915</v>
      </c>
      <c r="GE675" s="281">
        <f t="shared" si="207"/>
        <v>9606.6934499514355</v>
      </c>
      <c r="GG675" s="265">
        <v>14</v>
      </c>
      <c r="GH675" s="303">
        <f t="shared" si="208"/>
        <v>201618.75938992301</v>
      </c>
      <c r="GI675" s="304">
        <f t="shared" si="209"/>
        <v>5199079.3511167774</v>
      </c>
      <c r="GK675" s="265">
        <v>14</v>
      </c>
      <c r="GL675" s="287">
        <f t="shared" si="145"/>
        <v>0.89005436543783145</v>
      </c>
      <c r="GM675" s="287">
        <f t="shared" si="145"/>
        <v>0.10994563456216805</v>
      </c>
      <c r="GN675" s="288">
        <f t="shared" si="146"/>
        <v>0.20089422150909209</v>
      </c>
      <c r="GP675" s="265">
        <v>14</v>
      </c>
      <c r="GQ675" s="303">
        <f t="shared" si="210"/>
        <v>201618.75938992301</v>
      </c>
      <c r="GR675" s="304">
        <f t="shared" si="211"/>
        <v>8301095.0750803156</v>
      </c>
      <c r="GT675" s="265">
        <v>14</v>
      </c>
      <c r="GU675" s="303">
        <f t="shared" si="212"/>
        <v>201618.75938992301</v>
      </c>
      <c r="GV675" s="304">
        <f t="shared" si="213"/>
        <v>5196039.3511167765</v>
      </c>
      <c r="GX675" s="265">
        <v>14</v>
      </c>
      <c r="GY675" s="303">
        <f t="shared" si="214"/>
        <v>201618.75938992301</v>
      </c>
      <c r="GZ675" s="304">
        <f t="shared" si="215"/>
        <v>8301095.0750803156</v>
      </c>
    </row>
    <row r="676" spans="1:208" s="30" customFormat="1" x14ac:dyDescent="0.25">
      <c r="A676" s="379">
        <v>15</v>
      </c>
      <c r="B676" s="30">
        <f>VLOOKUP($A676,'Childhood mortality'!$A$12:$G$27,4)</f>
        <v>8.4253455255202671E-5</v>
      </c>
      <c r="C676" s="30">
        <f t="shared" si="79"/>
        <v>0.27</v>
      </c>
      <c r="D676" s="30">
        <f t="shared" si="80"/>
        <v>1.1838696537678206E-3</v>
      </c>
      <c r="E676" s="30">
        <f t="shared" si="81"/>
        <v>0.72873187689097696</v>
      </c>
      <c r="F676" s="30">
        <f>VLOOKUP($A676,'Childhood mortality'!$A$12:$G$27,4)</f>
        <v>8.4253455255202671E-5</v>
      </c>
      <c r="G676" s="30">
        <f t="shared" si="82"/>
        <v>0.27</v>
      </c>
      <c r="H676" s="30">
        <f t="shared" si="83"/>
        <v>1.1838696537678206E-3</v>
      </c>
      <c r="I676" s="30">
        <f t="shared" si="84"/>
        <v>0.72873187689097696</v>
      </c>
      <c r="J676" s="30">
        <f>VLOOKUP($A676,'Childhood mortality'!$A$12:$G$27,4)</f>
        <v>8.4253455255202671E-5</v>
      </c>
      <c r="K676" s="30">
        <f t="shared" si="85"/>
        <v>0.14000000000000001</v>
      </c>
      <c r="L676" s="30">
        <f t="shared" si="86"/>
        <v>1.1838696537678206E-3</v>
      </c>
      <c r="M676" s="30">
        <f t="shared" si="66"/>
        <v>0.44868740567553544</v>
      </c>
      <c r="N676" s="30">
        <f t="shared" si="67"/>
        <v>0.41004447121544146</v>
      </c>
      <c r="O676" s="30">
        <f>VLOOKUP($A676,'Childhood mortality'!$A$12:$G$27,4)</f>
        <v>8.4253455255202671E-5</v>
      </c>
      <c r="P676" s="30">
        <f t="shared" si="87"/>
        <v>0.5714285714285714</v>
      </c>
      <c r="Q676" s="30">
        <f t="shared" si="88"/>
        <v>8.4562118126272918E-4</v>
      </c>
      <c r="R676" s="30">
        <f t="shared" si="68"/>
        <v>0.2234427119309908</v>
      </c>
      <c r="S676" s="30">
        <f t="shared" si="69"/>
        <v>0.20419884200391983</v>
      </c>
      <c r="T676" s="30">
        <f>VLOOKUP($A676,'Childhood mortality'!$A$12:$G$27,4)</f>
        <v>8.4253455255202671E-5</v>
      </c>
      <c r="U676" s="30">
        <f t="shared" si="89"/>
        <v>0.99044395848464895</v>
      </c>
      <c r="V676" s="30">
        <f t="shared" si="90"/>
        <v>8.4562118126272918E-4</v>
      </c>
      <c r="W676" s="30">
        <f t="shared" si="70"/>
        <v>4.5071721941902995E-3</v>
      </c>
      <c r="X676" s="30">
        <f t="shared" si="71"/>
        <v>4.1189946846428094E-3</v>
      </c>
      <c r="Y676" s="30">
        <f>VLOOKUP($A676,'Childhood mortality'!$A$12:$G$27,4)</f>
        <v>8.4253455255202671E-5</v>
      </c>
      <c r="Z676" s="30">
        <f t="shared" si="91"/>
        <v>0.9999157465447448</v>
      </c>
      <c r="AB676" s="284">
        <f t="shared" si="147"/>
        <v>0.28822564641844972</v>
      </c>
      <c r="AC676" s="31">
        <f t="shared" si="148"/>
        <v>0.3153882727824921</v>
      </c>
      <c r="AD676" s="31">
        <f t="shared" si="149"/>
        <v>0.1648025608333008</v>
      </c>
      <c r="AE676" s="31">
        <f t="shared" si="150"/>
        <v>2.3334238824180523E-2</v>
      </c>
      <c r="AF676" s="31">
        <f t="shared" si="151"/>
        <v>0.65536297034284319</v>
      </c>
      <c r="AG676" s="31">
        <f t="shared" si="152"/>
        <v>1.3413151844145614E-2</v>
      </c>
      <c r="AH676" s="286">
        <f t="shared" si="153"/>
        <v>8.0957586924669284E-2</v>
      </c>
      <c r="AI676" s="31"/>
      <c r="AJ676" s="284">
        <f t="shared" si="154"/>
        <v>15.045269876403326</v>
      </c>
      <c r="AK676" s="31">
        <f t="shared" si="155"/>
        <v>16.463148712923012</v>
      </c>
      <c r="AL676" s="31">
        <f t="shared" si="156"/>
        <v>8.649139121404767</v>
      </c>
      <c r="AM676" s="31">
        <f t="shared" si="157"/>
        <v>1.2312484981754788</v>
      </c>
      <c r="AN676" s="31">
        <f t="shared" si="158"/>
        <v>9.5182063965832633</v>
      </c>
      <c r="AO676" s="31">
        <f t="shared" si="159"/>
        <v>0.50364493916702735</v>
      </c>
      <c r="AP676" s="286">
        <f t="shared" si="160"/>
        <v>3.6351408504718612</v>
      </c>
      <c r="AR676" s="30">
        <v>15</v>
      </c>
      <c r="AS676" s="30">
        <f>VLOOKUP($A676,'Childhood mortality'!$A$12:$G$27,3)</f>
        <v>9.2720302388071837E-5</v>
      </c>
      <c r="AT676" s="30">
        <f t="shared" si="92"/>
        <v>0.27</v>
      </c>
      <c r="AU676" s="30">
        <f t="shared" si="93"/>
        <v>1.1838696537678206E-3</v>
      </c>
      <c r="AV676" s="30">
        <f t="shared" si="94"/>
        <v>0.72872341004384411</v>
      </c>
      <c r="AW676" s="30">
        <f>VLOOKUP($A676,'Childhood mortality'!$A$12:$G$27,3)</f>
        <v>9.2720302388071837E-5</v>
      </c>
      <c r="AX676" s="30">
        <f t="shared" si="95"/>
        <v>0.27</v>
      </c>
      <c r="AY676" s="30">
        <f t="shared" si="96"/>
        <v>1.1838696537678206E-3</v>
      </c>
      <c r="AZ676" s="30">
        <f t="shared" si="97"/>
        <v>0.72872341004384411</v>
      </c>
      <c r="BA676" s="30">
        <f>VLOOKUP($A676,'Childhood mortality'!$A$12:$G$27,3)</f>
        <v>9.2720302388071837E-5</v>
      </c>
      <c r="BB676" s="30">
        <f t="shared" si="98"/>
        <v>0.14000000000000001</v>
      </c>
      <c r="BC676" s="30">
        <f t="shared" si="99"/>
        <v>1.1838696537678206E-3</v>
      </c>
      <c r="BD676" s="30">
        <f t="shared" si="100"/>
        <v>0.44868298174790849</v>
      </c>
      <c r="BE676" s="30">
        <f t="shared" si="101"/>
        <v>0.41004042829593557</v>
      </c>
      <c r="BF676" s="30">
        <f>VLOOKUP($A676,'Childhood mortality'!$A$12:$G$27,3)</f>
        <v>9.2720302388071837E-5</v>
      </c>
      <c r="BG676" s="30">
        <f t="shared" si="102"/>
        <v>0.5714285714285714</v>
      </c>
      <c r="BH676" s="30">
        <f t="shared" si="103"/>
        <v>8.4562118126272918E-4</v>
      </c>
      <c r="BI676" s="30">
        <f t="shared" si="104"/>
        <v>0.22343828800336388</v>
      </c>
      <c r="BJ676" s="30">
        <f t="shared" si="105"/>
        <v>0.2041947990844139</v>
      </c>
      <c r="BK676" s="30">
        <f>VLOOKUP($A676,'Childhood mortality'!$A$12:$G$27,3)</f>
        <v>9.2720302388071837E-5</v>
      </c>
      <c r="BL676" s="30">
        <f t="shared" si="106"/>
        <v>0.9904354916375161</v>
      </c>
      <c r="BM676" s="30">
        <f t="shared" si="107"/>
        <v>8.4562118126272918E-4</v>
      </c>
      <c r="BN676" s="30">
        <f t="shared" si="72"/>
        <v>4.5071721941902995E-3</v>
      </c>
      <c r="BO676" s="30">
        <f t="shared" si="73"/>
        <v>4.1189946846428094E-3</v>
      </c>
      <c r="BP676" s="30">
        <f>VLOOKUP($A676,'Childhood mortality'!$A$12:$G$27,3)</f>
        <v>9.2720302388071837E-5</v>
      </c>
      <c r="BQ676" s="30">
        <f t="shared" si="108"/>
        <v>0.99990727969761195</v>
      </c>
      <c r="BS676" s="284">
        <f t="shared" si="161"/>
        <v>4.5344422878037181</v>
      </c>
      <c r="BT676" s="31">
        <f t="shared" si="162"/>
        <v>4.961771927492026</v>
      </c>
      <c r="BU676" s="31">
        <f t="shared" si="163"/>
        <v>2.5928668620671225</v>
      </c>
      <c r="BV676" s="31">
        <f t="shared" si="164"/>
        <v>0.36712171525312681</v>
      </c>
      <c r="BW676" s="31">
        <f t="shared" si="165"/>
        <v>10.260107105112541</v>
      </c>
      <c r="BX676" s="31">
        <f t="shared" si="166"/>
        <v>0.21043150787228404</v>
      </c>
      <c r="BY676" s="286">
        <f t="shared" si="167"/>
        <v>0.16834055456319186</v>
      </c>
      <c r="BZ676" s="31"/>
      <c r="CA676" s="284">
        <f t="shared" si="168"/>
        <v>110.58920425278407</v>
      </c>
      <c r="CB676" s="31">
        <f t="shared" si="169"/>
        <v>121.01122350173756</v>
      </c>
      <c r="CC676" s="31">
        <f t="shared" si="170"/>
        <v>63.576287656431774</v>
      </c>
      <c r="CD676" s="31">
        <f t="shared" si="171"/>
        <v>9.0500802272869194</v>
      </c>
      <c r="CE676" s="31">
        <f t="shared" si="172"/>
        <v>69.939190797813382</v>
      </c>
      <c r="CF676" s="31">
        <f t="shared" si="173"/>
        <v>3.6986903533585043</v>
      </c>
      <c r="CG676" s="286">
        <f t="shared" si="174"/>
        <v>52.452958427324859</v>
      </c>
      <c r="CI676" s="30">
        <v>15</v>
      </c>
      <c r="CJ676" s="30">
        <f>VLOOKUP($A676,'Childhood mortality'!$A$31:$G$46,4)</f>
        <v>6.8701785989855807E-5</v>
      </c>
      <c r="CK676" s="30">
        <f t="shared" si="109"/>
        <v>0.27</v>
      </c>
      <c r="CL676" s="30">
        <f t="shared" si="110"/>
        <v>1.1838696537678206E-3</v>
      </c>
      <c r="CM676" s="30">
        <f t="shared" si="111"/>
        <v>0.72874742856024233</v>
      </c>
      <c r="CN676" s="30">
        <f>VLOOKUP($A676,'Childhood mortality'!$A$31:$G$46,4)</f>
        <v>6.8701785989855807E-5</v>
      </c>
      <c r="CO676" s="30">
        <f t="shared" si="112"/>
        <v>0.27</v>
      </c>
      <c r="CP676" s="30">
        <f t="shared" si="113"/>
        <v>1.1838696537678206E-3</v>
      </c>
      <c r="CQ676" s="30">
        <f t="shared" si="114"/>
        <v>0.72874742856024233</v>
      </c>
      <c r="CR676" s="30">
        <f>VLOOKUP($A676,'Childhood mortality'!$A$31:$G$46,4)</f>
        <v>6.8701785989855807E-5</v>
      </c>
      <c r="CS676" s="30">
        <f t="shared" si="115"/>
        <v>0.14000000000000001</v>
      </c>
      <c r="CT676" s="30">
        <f t="shared" si="116"/>
        <v>1.1838696537678206E-3</v>
      </c>
      <c r="CU676" s="30">
        <f t="shared" si="117"/>
        <v>0.44869553142272661</v>
      </c>
      <c r="CV676" s="30">
        <f t="shared" si="118"/>
        <v>0.41005189713751572</v>
      </c>
      <c r="CW676" s="30">
        <f>VLOOKUP($A676,'Childhood mortality'!$A$31:$G$46,4)</f>
        <v>6.8701785989855807E-5</v>
      </c>
      <c r="CX676" s="30">
        <f t="shared" si="119"/>
        <v>0.5714285714285714</v>
      </c>
      <c r="CY676" s="30">
        <f t="shared" si="120"/>
        <v>8.4562118126272918E-4</v>
      </c>
      <c r="CZ676" s="30">
        <f t="shared" si="121"/>
        <v>0.22345083767818197</v>
      </c>
      <c r="DA676" s="30">
        <f t="shared" si="122"/>
        <v>0.20420626792599406</v>
      </c>
      <c r="DB676" s="30">
        <f>VLOOKUP($A676,'Childhood mortality'!$A$31:$G$46,4)</f>
        <v>6.8701785989855807E-5</v>
      </c>
      <c r="DC676" s="30">
        <f t="shared" si="123"/>
        <v>0.99045951015391431</v>
      </c>
      <c r="DD676" s="30">
        <f t="shared" si="124"/>
        <v>8.4562118126272918E-4</v>
      </c>
      <c r="DE676" s="30">
        <f t="shared" si="74"/>
        <v>4.5071721941902995E-3</v>
      </c>
      <c r="DF676" s="30">
        <f t="shared" si="75"/>
        <v>4.1189946846428094E-3</v>
      </c>
      <c r="DG676" s="30">
        <f>VLOOKUP($A676,'Childhood mortality'!$A$31:$G$46,4)</f>
        <v>6.8701785989855807E-5</v>
      </c>
      <c r="DH676" s="30">
        <f t="shared" si="125"/>
        <v>0.99993129821401017</v>
      </c>
      <c r="DJ676" s="284">
        <f t="shared" si="175"/>
        <v>0.27764727370512182</v>
      </c>
      <c r="DK676" s="31">
        <f t="shared" si="176"/>
        <v>0.30381298536319612</v>
      </c>
      <c r="DL676" s="31">
        <f t="shared" si="177"/>
        <v>0.15875365992378648</v>
      </c>
      <c r="DM676" s="31">
        <f t="shared" si="178"/>
        <v>2.2477698191025595E-2</v>
      </c>
      <c r="DN676" s="31">
        <f t="shared" si="179"/>
        <v>0.63015460463200956</v>
      </c>
      <c r="DO676" s="31">
        <f t="shared" si="180"/>
        <v>1.2910844932505543E-2</v>
      </c>
      <c r="DP676" s="286">
        <f t="shared" si="181"/>
        <v>7.5276991498119436E-2</v>
      </c>
      <c r="DQ676" s="31"/>
      <c r="DR676" s="284">
        <f t="shared" si="182"/>
        <v>14.481412828811431</v>
      </c>
      <c r="DS676" s="31">
        <f t="shared" si="183"/>
        <v>15.846153304825071</v>
      </c>
      <c r="DT676" s="31">
        <f t="shared" si="184"/>
        <v>8.3248601347559177</v>
      </c>
      <c r="DU676" s="31">
        <f t="shared" si="185"/>
        <v>1.1850652199296341</v>
      </c>
      <c r="DV676" s="31">
        <f t="shared" si="186"/>
        <v>9.1605338481176162</v>
      </c>
      <c r="DW676" s="31">
        <f t="shared" si="187"/>
        <v>0.48473192518972885</v>
      </c>
      <c r="DX676" s="286">
        <f t="shared" si="188"/>
        <v>3.4043823729060372</v>
      </c>
      <c r="DZ676" s="30">
        <v>15</v>
      </c>
      <c r="EA676" s="30">
        <f>VLOOKUP($A676,'Childhood mortality'!$A$31:$G$46,3)</f>
        <v>7.5605805747493959E-5</v>
      </c>
      <c r="EB676" s="30">
        <f t="shared" si="126"/>
        <v>0.27</v>
      </c>
      <c r="EC676" s="30">
        <f t="shared" si="127"/>
        <v>1.1838696537678206E-3</v>
      </c>
      <c r="ED676" s="30">
        <f t="shared" si="128"/>
        <v>0.72874052454048466</v>
      </c>
      <c r="EE676" s="30">
        <f>VLOOKUP($A676,'Childhood mortality'!$A$31:$G$46,3)</f>
        <v>7.5605805747493959E-5</v>
      </c>
      <c r="EF676" s="30">
        <f t="shared" si="129"/>
        <v>0.27</v>
      </c>
      <c r="EG676" s="30">
        <f t="shared" si="130"/>
        <v>1.1838696537678206E-3</v>
      </c>
      <c r="EH676" s="30">
        <f t="shared" si="131"/>
        <v>0.72874052454048466</v>
      </c>
      <c r="EI676" s="30">
        <f>VLOOKUP($A676,'Childhood mortality'!$A$31:$G$46,3)</f>
        <v>7.5605805747493959E-5</v>
      </c>
      <c r="EJ676" s="30">
        <f t="shared" si="132"/>
        <v>0.14000000000000001</v>
      </c>
      <c r="EK676" s="30">
        <f t="shared" si="133"/>
        <v>1.1838696537678206E-3</v>
      </c>
      <c r="EL676" s="30">
        <f t="shared" si="134"/>
        <v>0.44869192407240321</v>
      </c>
      <c r="EM676" s="30">
        <f t="shared" si="135"/>
        <v>0.41004860046808139</v>
      </c>
      <c r="EN676" s="30">
        <f>VLOOKUP($A676,'Childhood mortality'!$A$31:$G$46,3)</f>
        <v>7.5605805747493959E-5</v>
      </c>
      <c r="EO676" s="30">
        <f t="shared" si="136"/>
        <v>0.5714285714285714</v>
      </c>
      <c r="EP676" s="30">
        <f t="shared" si="137"/>
        <v>8.4562118126272918E-4</v>
      </c>
      <c r="EQ676" s="30">
        <f t="shared" si="138"/>
        <v>0.22344723032785857</v>
      </c>
      <c r="ER676" s="30">
        <f t="shared" si="139"/>
        <v>0.20420297125655976</v>
      </c>
      <c r="ES676" s="30">
        <f>VLOOKUP($A676,'Childhood mortality'!$A$31:$G$46,3)</f>
        <v>7.5605805747493959E-5</v>
      </c>
      <c r="ET676" s="30">
        <f t="shared" si="140"/>
        <v>0.99045260613415664</v>
      </c>
      <c r="EU676" s="30">
        <f t="shared" si="141"/>
        <v>8.4562118126272918E-4</v>
      </c>
      <c r="EV676" s="30">
        <f t="shared" si="76"/>
        <v>4.5071721941902995E-3</v>
      </c>
      <c r="EW676" s="30">
        <f t="shared" si="77"/>
        <v>4.1189946846428094E-3</v>
      </c>
      <c r="EX676" s="30">
        <f>VLOOKUP($A676,'Childhood mortality'!$A$31:$G$46,3)</f>
        <v>7.5605805747493959E-5</v>
      </c>
      <c r="EY676" s="30">
        <f t="shared" si="142"/>
        <v>0.9999243941942525</v>
      </c>
      <c r="FA676" s="284">
        <f t="shared" si="189"/>
        <v>4.3624634760050256</v>
      </c>
      <c r="FB676" s="31">
        <f t="shared" si="190"/>
        <v>4.7735856884034051</v>
      </c>
      <c r="FC676" s="31">
        <f t="shared" si="191"/>
        <v>2.494495065743366</v>
      </c>
      <c r="FD676" s="31">
        <f t="shared" si="192"/>
        <v>0.35319152982389712</v>
      </c>
      <c r="FE676" s="31">
        <f t="shared" si="193"/>
        <v>9.8618476768510792</v>
      </c>
      <c r="FF676" s="31">
        <f t="shared" si="194"/>
        <v>0.20237060760668069</v>
      </c>
      <c r="FG676" s="286">
        <f t="shared" si="195"/>
        <v>1.9510118973207768</v>
      </c>
      <c r="FH676" s="31"/>
      <c r="FI676" s="284">
        <f t="shared" si="196"/>
        <v>106.35192970284385</v>
      </c>
      <c r="FJ676" s="31">
        <f t="shared" si="197"/>
        <v>116.37462464866157</v>
      </c>
      <c r="FK676" s="31">
        <f t="shared" si="198"/>
        <v>61.13914129340462</v>
      </c>
      <c r="FL676" s="31">
        <f t="shared" si="199"/>
        <v>8.7030483753735073</v>
      </c>
      <c r="FM676" s="31">
        <f t="shared" si="200"/>
        <v>67.255477130558504</v>
      </c>
      <c r="FN676" s="31">
        <f t="shared" si="201"/>
        <v>3.5568141860170952</v>
      </c>
      <c r="FO676" s="286">
        <f t="shared" si="202"/>
        <v>48.251825028605325</v>
      </c>
      <c r="FQ676" s="30">
        <f t="shared" si="143"/>
        <v>999.99999999999977</v>
      </c>
      <c r="FR676" s="30" t="str">
        <f t="shared" si="78"/>
        <v>OKAY</v>
      </c>
      <c r="FT676" s="284">
        <f>($AB676-(VLOOKUP($A676,'Childhood asthma'!$A$36:$AG$50,7)*$AB676))+(SUM($AC676:$AG676)-(VLOOKUP($A676,'Childhood asthma'!$A$36:$AG$50,6)*SUM($AC676:$AG676)))+($AJ676-(VLOOKUP($A676,'Childhood asthma'!$A$36:$AG$50,9)*$AJ676))+(SUM($AK676:$AO676)-(VLOOKUP($A676,'Childhood asthma'!$A$36:$AG$50,8)*SUM($AK676:$AO676)))+($BS676-(VLOOKUP($A676,'Childhood asthma'!$A$36:$AG$50,3)*$BS676))+(SUM($BT676:$BX676)-(VLOOKUP($A676,'Childhood asthma'!$A$36:$AG$50,2)*SUM($BT676:$BX676)))+($CA676-(VLOOKUP($A676,'Childhood asthma'!$A$36:$AG$50,5)*$CA676))+(SUM($CB676:$CF676)-(VLOOKUP($A676,'Childhood asthma'!$A$36:$AG$50,4)*SUM($CB676:$CF676)))+($DJ676-(VLOOKUP($A676,'Childhood asthma'!$A$36:$AG$50,23)*$DJ676))+(SUM($DK676:$DO676)-(VLOOKUP($A676,'Childhood asthma'!$A$36:$AG$50,22)*SUM($DK676:$DO676)))+($DR676-(VLOOKUP($A676,'Childhood asthma'!$A$36:$AG$50,25)*$DR676))+(SUM($DS676:$DW676)-(VLOOKUP($A676,'Childhood asthma'!$A$36:$AG$50,24)*SUM($DS676:$DW676)))+($FA676-(VLOOKUP($A676,'Childhood asthma'!$A$36:$AG$50,19)*$FA676))+(SUM($FB676:$FF676)-(VLOOKUP($A676,'Childhood asthma'!$A$36:$AG$50,18)*SUM($FB676:$FF676)))+($FI676-(VLOOKUP($A676,'Childhood asthma'!$A$36:$AG$50,21)*$FI676))+(SUM($FJ676:$FN676)-(VLOOKUP($A676,'Childhood asthma'!$A$36:$AG$50,20)*SUM($FJ676:$FN676)))</f>
        <v>644.83656887291522</v>
      </c>
      <c r="FU676" s="31">
        <f>(VLOOKUP($A676,'Childhood asthma'!$A$36:$AG$50,7)*$AB676)+(VLOOKUP($A676,'Childhood asthma'!$A$36:$AG$50,6)*SUM($AC676:$AG676))+(VLOOKUP($A676,'Childhood asthma'!$A$36:$AG$50,9)*$AJ676)+(VLOOKUP($A676,'Childhood asthma'!$A$36:$AG$50,8)*SUM($AK676:$AO676))+(VLOOKUP($A676,'Childhood asthma'!$A$36:$AG$50,3)*$BS676)+(VLOOKUP($A676,'Childhood asthma'!$A$36:$AG$50,2)*SUM($BT676:$BX676))+(VLOOKUP($A676,'Childhood asthma'!$A$36:$AG$50,5)*$CA676)+(VLOOKUP($A676,'Childhood asthma'!$A$36:$AG$50,4)*SUM($CB676:$CF676))+(VLOOKUP($A676,'Childhood asthma'!$A$36:$AG$50,23)*$DJ676)+(VLOOKUP($A676,'Childhood asthma'!$A$36:$AG$50,22)*SUM($DK676:$DO676))+(VLOOKUP($A676,'Childhood asthma'!$A$36:$AG$50,25)*$DR676)+(VLOOKUP($A676,'Childhood asthma'!$A$36:$AG$50,24)*SUM($DS676:$DW676))+(VLOOKUP($A676,'Childhood asthma'!$A$36:$AG$50,19)*$FA676)+(VLOOKUP($A676,'Childhood asthma'!$A$36:$AG$50,18)*SUM($FB676:$FF676))+(VLOOKUP($A676,'Childhood asthma'!$A$36:$AG$50,21)*$FI676)+(VLOOKUP($A676,'Childhood asthma'!$A$36:$AG$50,20)*SUM($FJ676:$FN676))</f>
        <v>245.14353741746976</v>
      </c>
      <c r="FV676" s="31">
        <f t="shared" si="203"/>
        <v>889.98010629038504</v>
      </c>
      <c r="FW676" s="286">
        <f t="shared" si="204"/>
        <v>110.01989370961482</v>
      </c>
      <c r="FY676" s="265">
        <v>15</v>
      </c>
      <c r="FZ676" s="30">
        <f t="shared" si="205"/>
        <v>531.22077620743755</v>
      </c>
      <c r="GA676" s="281">
        <f t="shared" si="206"/>
        <v>10256.119197751346</v>
      </c>
      <c r="GC676" s="265">
        <v>15</v>
      </c>
      <c r="GD676" s="30">
        <f t="shared" si="144"/>
        <v>516.58838843733884</v>
      </c>
      <c r="GE676" s="281">
        <f t="shared" si="207"/>
        <v>10123.281838388775</v>
      </c>
      <c r="GG676" s="265">
        <v>15</v>
      </c>
      <c r="GH676" s="303">
        <f t="shared" si="208"/>
        <v>237702.59983923921</v>
      </c>
      <c r="GI676" s="304">
        <f t="shared" si="209"/>
        <v>5436781.9509560168</v>
      </c>
      <c r="GK676" s="265">
        <v>15</v>
      </c>
      <c r="GL676" s="287">
        <f t="shared" si="145"/>
        <v>0.88998010629038504</v>
      </c>
      <c r="GM676" s="287">
        <f t="shared" si="145"/>
        <v>0.11001989370961482</v>
      </c>
      <c r="GN676" s="288">
        <f t="shared" si="146"/>
        <v>0.24514353741746975</v>
      </c>
      <c r="GP676" s="265">
        <v>15</v>
      </c>
      <c r="GQ676" s="303">
        <f t="shared" si="210"/>
        <v>237702.59983923921</v>
      </c>
      <c r="GR676" s="304">
        <f t="shared" si="211"/>
        <v>8538797.674919555</v>
      </c>
      <c r="GT676" s="265">
        <v>15</v>
      </c>
      <c r="GU676" s="303">
        <f t="shared" si="212"/>
        <v>237702.59983923921</v>
      </c>
      <c r="GV676" s="304">
        <f t="shared" si="213"/>
        <v>5433741.9509560158</v>
      </c>
      <c r="GX676" s="265">
        <v>15</v>
      </c>
      <c r="GY676" s="303">
        <f t="shared" si="214"/>
        <v>237702.59983923921</v>
      </c>
      <c r="GZ676" s="304">
        <f t="shared" si="215"/>
        <v>8538797.674919555</v>
      </c>
    </row>
    <row r="677" spans="1:208" s="382" customFormat="1" ht="15.75" thickBot="1" x14ac:dyDescent="0.3">
      <c r="A677" s="381"/>
      <c r="AB677" s="383"/>
      <c r="AC677" s="384"/>
      <c r="AD677" s="384"/>
      <c r="AE677" s="384"/>
      <c r="AF677" s="384"/>
      <c r="AG677" s="384"/>
      <c r="AH677" s="385"/>
      <c r="AI677" s="384"/>
      <c r="AJ677" s="383"/>
      <c r="AK677" s="384"/>
      <c r="AL677" s="384"/>
      <c r="AM677" s="384"/>
      <c r="AN677" s="384"/>
      <c r="AO677" s="384"/>
      <c r="AP677" s="385"/>
      <c r="BS677" s="383"/>
      <c r="BT677" s="384"/>
      <c r="BU677" s="384"/>
      <c r="BV677" s="384"/>
      <c r="BW677" s="384"/>
      <c r="BX677" s="384"/>
      <c r="BY677" s="385"/>
      <c r="BZ677" s="384"/>
      <c r="CA677" s="383"/>
      <c r="CB677" s="384"/>
      <c r="CC677" s="384"/>
      <c r="CD677" s="384"/>
      <c r="CE677" s="384"/>
      <c r="CF677" s="384"/>
      <c r="CG677" s="385"/>
      <c r="DJ677" s="383"/>
      <c r="DK677" s="384"/>
      <c r="DL677" s="384"/>
      <c r="DM677" s="384"/>
      <c r="DN677" s="384"/>
      <c r="DO677" s="384"/>
      <c r="DP677" s="385"/>
      <c r="DQ677" s="384"/>
      <c r="DR677" s="383"/>
      <c r="DS677" s="384"/>
      <c r="DT677" s="384"/>
      <c r="DU677" s="384"/>
      <c r="DV677" s="384"/>
      <c r="DW677" s="384"/>
      <c r="DX677" s="385"/>
      <c r="FA677" s="383"/>
      <c r="FB677" s="384"/>
      <c r="FC677" s="384"/>
      <c r="FD677" s="384"/>
      <c r="FE677" s="384"/>
      <c r="FF677" s="384"/>
      <c r="FG677" s="385"/>
      <c r="FH677" s="384"/>
      <c r="FI677" s="383"/>
      <c r="FJ677" s="384"/>
      <c r="FK677" s="384"/>
      <c r="FL677" s="384"/>
      <c r="FM677" s="384"/>
      <c r="FN677" s="384"/>
      <c r="FO677" s="385"/>
      <c r="FT677" s="383"/>
      <c r="FU677" s="384"/>
      <c r="FV677" s="384"/>
      <c r="FW677" s="385"/>
      <c r="FY677" s="386"/>
      <c r="GA677" s="387"/>
      <c r="GC677" s="386"/>
      <c r="GE677" s="387"/>
      <c r="GG677" s="386"/>
      <c r="GI677" s="387"/>
      <c r="GK677" s="386"/>
      <c r="GN677" s="387"/>
      <c r="GP677" s="386"/>
      <c r="GR677" s="387"/>
      <c r="GT677" s="386"/>
      <c r="GV677" s="387"/>
      <c r="GX677" s="386"/>
      <c r="GZ677" s="387"/>
    </row>
    <row r="678" spans="1:208" s="391" customFormat="1" x14ac:dyDescent="0.25">
      <c r="A678" s="388" t="s">
        <v>954</v>
      </c>
      <c r="AB678" s="392"/>
      <c r="AC678" s="392"/>
      <c r="AD678" s="392"/>
      <c r="AE678" s="392"/>
      <c r="AF678" s="392"/>
      <c r="AG678" s="392"/>
      <c r="AH678" s="392"/>
      <c r="AI678" s="392"/>
      <c r="AJ678" s="392"/>
      <c r="AK678" s="392"/>
      <c r="AL678" s="392"/>
      <c r="AM678" s="392"/>
      <c r="AN678" s="392"/>
      <c r="AO678" s="392"/>
      <c r="AP678" s="392"/>
      <c r="BS678" s="392"/>
      <c r="BT678" s="392"/>
      <c r="BU678" s="392"/>
      <c r="BV678" s="392"/>
      <c r="BW678" s="392"/>
      <c r="BX678" s="392"/>
      <c r="BY678" s="392"/>
      <c r="BZ678" s="392"/>
      <c r="CA678" s="392"/>
      <c r="CB678" s="392"/>
      <c r="CC678" s="392"/>
      <c r="CD678" s="392"/>
      <c r="CE678" s="392"/>
      <c r="CF678" s="392"/>
      <c r="CG678" s="392"/>
      <c r="DJ678" s="392"/>
      <c r="DK678" s="392"/>
      <c r="DL678" s="392"/>
      <c r="DM678" s="392"/>
      <c r="DN678" s="392"/>
      <c r="DO678" s="392"/>
      <c r="DP678" s="393"/>
      <c r="DQ678" s="392"/>
      <c r="DR678" s="394"/>
      <c r="DS678" s="392"/>
      <c r="DT678" s="392"/>
      <c r="DU678" s="392"/>
      <c r="DV678" s="392"/>
      <c r="DW678" s="392"/>
      <c r="DX678" s="393"/>
      <c r="EJ678" s="591" t="s">
        <v>1087</v>
      </c>
      <c r="EK678" s="592"/>
      <c r="EL678" s="592"/>
      <c r="EM678" s="592"/>
      <c r="EN678" s="592"/>
      <c r="EO678" s="592"/>
      <c r="EP678" s="592"/>
      <c r="FA678" s="392"/>
      <c r="FB678" s="392"/>
      <c r="FC678" s="392"/>
      <c r="FD678" s="392"/>
      <c r="FE678" s="392"/>
      <c r="FF678" s="392"/>
      <c r="FG678" s="392"/>
      <c r="FH678" s="392"/>
      <c r="FI678" s="392"/>
      <c r="FJ678" s="392"/>
      <c r="FK678" s="392"/>
      <c r="FL678" s="392"/>
      <c r="FM678" s="392"/>
      <c r="FN678" s="392"/>
      <c r="FO678" s="392"/>
      <c r="FT678" s="392"/>
      <c r="FU678" s="392"/>
      <c r="FV678" s="392"/>
      <c r="FW678" s="392"/>
    </row>
    <row r="679" spans="1:208" s="389" customFormat="1" x14ac:dyDescent="0.25">
      <c r="C679" s="584" t="s">
        <v>78</v>
      </c>
      <c r="D679" s="585"/>
      <c r="E679" s="585"/>
      <c r="F679" s="585"/>
      <c r="G679" s="585"/>
      <c r="H679" s="585"/>
      <c r="I679" s="585"/>
      <c r="J679" s="585"/>
      <c r="K679" s="585"/>
      <c r="L679" s="585"/>
      <c r="M679" s="585"/>
      <c r="N679" s="585"/>
      <c r="O679" s="585"/>
      <c r="P679" s="585"/>
      <c r="Q679" s="585"/>
      <c r="R679" s="585"/>
      <c r="S679" s="585"/>
      <c r="T679" s="585"/>
      <c r="U679" s="585"/>
      <c r="V679" s="585"/>
      <c r="W679" s="585"/>
      <c r="X679" s="585"/>
      <c r="Y679" s="585"/>
      <c r="Z679" s="585"/>
      <c r="AA679" s="585"/>
      <c r="AB679" s="585"/>
      <c r="AC679" s="585"/>
      <c r="AD679" s="585"/>
      <c r="AE679" s="585"/>
      <c r="AF679" s="585"/>
      <c r="AG679" s="585"/>
      <c r="AH679" s="585"/>
      <c r="AI679" s="585"/>
      <c r="AJ679" s="585"/>
      <c r="AK679" s="585"/>
      <c r="AL679" s="585"/>
      <c r="AM679" s="585"/>
      <c r="AN679" s="585"/>
      <c r="AO679" s="585"/>
      <c r="AP679" s="585"/>
      <c r="AQ679" s="585"/>
      <c r="AR679" s="585"/>
      <c r="AS679" s="585"/>
      <c r="AT679" s="585"/>
      <c r="AU679" s="585"/>
      <c r="AV679" s="585"/>
      <c r="AW679" s="586"/>
      <c r="AY679" s="584" t="s">
        <v>79</v>
      </c>
      <c r="AZ679" s="585"/>
      <c r="BA679" s="585"/>
      <c r="BB679" s="585"/>
      <c r="BC679" s="585"/>
      <c r="BD679" s="585"/>
      <c r="BE679" s="585"/>
      <c r="BF679" s="585"/>
      <c r="BG679" s="585"/>
      <c r="BH679" s="585"/>
      <c r="BI679" s="585"/>
      <c r="BJ679" s="585"/>
      <c r="BK679" s="585"/>
      <c r="BL679" s="585"/>
      <c r="BM679" s="585"/>
      <c r="BN679" s="585"/>
      <c r="BO679" s="585"/>
      <c r="BP679" s="585"/>
      <c r="BQ679" s="585"/>
      <c r="BR679" s="585"/>
      <c r="BS679" s="585"/>
      <c r="BT679" s="585"/>
      <c r="BU679" s="585"/>
      <c r="BV679" s="585"/>
      <c r="BW679" s="585"/>
      <c r="BX679" s="585"/>
      <c r="BY679" s="585"/>
      <c r="BZ679" s="585"/>
      <c r="CA679" s="585"/>
      <c r="CB679" s="585"/>
      <c r="CC679" s="585"/>
      <c r="CD679" s="585"/>
      <c r="CE679" s="585"/>
      <c r="CF679" s="585"/>
      <c r="CG679" s="585"/>
      <c r="CH679" s="585"/>
      <c r="CI679" s="585"/>
      <c r="CJ679" s="585"/>
      <c r="CK679" s="585"/>
      <c r="CL679" s="585"/>
      <c r="CM679" s="585"/>
      <c r="CN679" s="585"/>
      <c r="CO679" s="585"/>
      <c r="CP679" s="585"/>
      <c r="CQ679" s="585"/>
      <c r="CR679" s="585"/>
      <c r="CS679" s="586"/>
      <c r="CX679" s="584" t="s">
        <v>1028</v>
      </c>
      <c r="CY679" s="585"/>
      <c r="CZ679" s="585"/>
      <c r="DA679" s="585"/>
      <c r="DB679" s="585"/>
      <c r="DC679" s="585"/>
      <c r="DD679" s="586"/>
      <c r="DE679" s="390"/>
      <c r="DF679" s="584" t="s">
        <v>1027</v>
      </c>
      <c r="DG679" s="585"/>
      <c r="DH679" s="585"/>
      <c r="DI679" s="585"/>
      <c r="DJ679" s="585"/>
      <c r="DK679" s="585"/>
      <c r="DL679" s="586"/>
      <c r="DN679" s="584" t="s">
        <v>823</v>
      </c>
      <c r="DO679" s="585"/>
      <c r="DP679" s="586"/>
      <c r="DR679" s="584" t="s">
        <v>824</v>
      </c>
      <c r="DS679" s="585"/>
      <c r="DT679" s="586"/>
      <c r="DV679" s="584" t="s">
        <v>1032</v>
      </c>
      <c r="DW679" s="585"/>
      <c r="DX679" s="586"/>
      <c r="DZ679" s="584" t="s">
        <v>829</v>
      </c>
      <c r="EA679" s="585"/>
      <c r="EB679" s="585"/>
      <c r="EC679" s="585"/>
      <c r="ED679" s="586"/>
      <c r="EF679" s="584" t="s">
        <v>1033</v>
      </c>
      <c r="EG679" s="585"/>
      <c r="EH679" s="586"/>
      <c r="EJ679" s="584" t="s">
        <v>1032</v>
      </c>
      <c r="EK679" s="585"/>
      <c r="EL679" s="586"/>
      <c r="EN679" s="584" t="s">
        <v>1033</v>
      </c>
      <c r="EO679" s="585"/>
      <c r="EP679" s="586"/>
    </row>
    <row r="680" spans="1:208" s="269" customFormat="1" ht="15.75" thickBot="1" x14ac:dyDescent="0.3">
      <c r="A680" s="311" t="s">
        <v>45</v>
      </c>
      <c r="B680" s="312" t="s">
        <v>48</v>
      </c>
      <c r="C680" s="305" t="s">
        <v>957</v>
      </c>
      <c r="D680" s="306" t="s">
        <v>958</v>
      </c>
      <c r="E680" s="306" t="s">
        <v>959</v>
      </c>
      <c r="F680" s="306" t="s">
        <v>960</v>
      </c>
      <c r="G680" s="306" t="s">
        <v>961</v>
      </c>
      <c r="H680" s="306" t="s">
        <v>962</v>
      </c>
      <c r="I680" s="306" t="s">
        <v>963</v>
      </c>
      <c r="J680" s="306" t="s">
        <v>964</v>
      </c>
      <c r="K680" s="306" t="s">
        <v>965</v>
      </c>
      <c r="L680" s="306" t="s">
        <v>966</v>
      </c>
      <c r="M680" s="306" t="s">
        <v>967</v>
      </c>
      <c r="N680" s="306" t="s">
        <v>968</v>
      </c>
      <c r="O680" s="306" t="s">
        <v>969</v>
      </c>
      <c r="P680" s="306" t="s">
        <v>970</v>
      </c>
      <c r="Q680" s="306" t="s">
        <v>971</v>
      </c>
      <c r="R680" s="306" t="s">
        <v>972</v>
      </c>
      <c r="S680" s="306" t="s">
        <v>973</v>
      </c>
      <c r="T680" s="306" t="s">
        <v>974</v>
      </c>
      <c r="U680" s="306" t="s">
        <v>975</v>
      </c>
      <c r="V680" s="306" t="s">
        <v>976</v>
      </c>
      <c r="W680" s="306" t="s">
        <v>977</v>
      </c>
      <c r="X680" s="306" t="s">
        <v>978</v>
      </c>
      <c r="Y680" s="306" t="s">
        <v>979</v>
      </c>
      <c r="Z680" s="306" t="s">
        <v>980</v>
      </c>
      <c r="AA680" s="306" t="s">
        <v>981</v>
      </c>
      <c r="AB680" s="306" t="s">
        <v>982</v>
      </c>
      <c r="AC680" s="306" t="s">
        <v>983</v>
      </c>
      <c r="AD680" s="306" t="s">
        <v>984</v>
      </c>
      <c r="AE680" s="306" t="s">
        <v>985</v>
      </c>
      <c r="AF680" s="306" t="s">
        <v>986</v>
      </c>
      <c r="AG680" s="306" t="s">
        <v>987</v>
      </c>
      <c r="AH680" s="306" t="s">
        <v>988</v>
      </c>
      <c r="AI680" s="306" t="s">
        <v>989</v>
      </c>
      <c r="AJ680" s="306" t="s">
        <v>990</v>
      </c>
      <c r="AK680" s="306" t="s">
        <v>991</v>
      </c>
      <c r="AL680" s="306"/>
      <c r="AM680" s="305" t="s">
        <v>937</v>
      </c>
      <c r="AN680" s="306" t="s">
        <v>938</v>
      </c>
      <c r="AO680" s="306" t="s">
        <v>939</v>
      </c>
      <c r="AP680" s="306" t="s">
        <v>940</v>
      </c>
      <c r="AQ680" s="306" t="s">
        <v>941</v>
      </c>
      <c r="AR680" s="306" t="s">
        <v>942</v>
      </c>
      <c r="AS680" s="306" t="s">
        <v>943</v>
      </c>
      <c r="AT680" s="306" t="s">
        <v>944</v>
      </c>
      <c r="AU680" s="306" t="s">
        <v>945</v>
      </c>
      <c r="AV680" s="306" t="s">
        <v>946</v>
      </c>
      <c r="AW680" s="307" t="s">
        <v>71</v>
      </c>
      <c r="AX680" s="306"/>
      <c r="AY680" s="305" t="s">
        <v>957</v>
      </c>
      <c r="AZ680" s="306" t="s">
        <v>958</v>
      </c>
      <c r="BA680" s="306" t="s">
        <v>959</v>
      </c>
      <c r="BB680" s="306" t="s">
        <v>960</v>
      </c>
      <c r="BC680" s="306" t="s">
        <v>961</v>
      </c>
      <c r="BD680" s="306" t="s">
        <v>962</v>
      </c>
      <c r="BE680" s="306" t="s">
        <v>963</v>
      </c>
      <c r="BF680" s="306" t="s">
        <v>964</v>
      </c>
      <c r="BG680" s="306" t="s">
        <v>965</v>
      </c>
      <c r="BH680" s="306" t="s">
        <v>966</v>
      </c>
      <c r="BI680" s="306" t="s">
        <v>967</v>
      </c>
      <c r="BJ680" s="306" t="s">
        <v>968</v>
      </c>
      <c r="BK680" s="306" t="s">
        <v>969</v>
      </c>
      <c r="BL680" s="306" t="s">
        <v>970</v>
      </c>
      <c r="BM680" s="306" t="s">
        <v>971</v>
      </c>
      <c r="BN680" s="306" t="s">
        <v>972</v>
      </c>
      <c r="BO680" s="306" t="s">
        <v>973</v>
      </c>
      <c r="BP680" s="306" t="s">
        <v>974</v>
      </c>
      <c r="BQ680" s="306" t="s">
        <v>975</v>
      </c>
      <c r="BR680" s="306" t="s">
        <v>976</v>
      </c>
      <c r="BS680" s="306" t="s">
        <v>977</v>
      </c>
      <c r="BT680" s="306" t="s">
        <v>978</v>
      </c>
      <c r="BU680" s="306" t="s">
        <v>979</v>
      </c>
      <c r="BV680" s="306" t="s">
        <v>980</v>
      </c>
      <c r="BW680" s="306" t="s">
        <v>981</v>
      </c>
      <c r="BX680" s="306" t="s">
        <v>982</v>
      </c>
      <c r="BY680" s="306" t="s">
        <v>983</v>
      </c>
      <c r="BZ680" s="306" t="s">
        <v>984</v>
      </c>
      <c r="CA680" s="306" t="s">
        <v>985</v>
      </c>
      <c r="CB680" s="306" t="s">
        <v>986</v>
      </c>
      <c r="CC680" s="306" t="s">
        <v>987</v>
      </c>
      <c r="CD680" s="306" t="s">
        <v>988</v>
      </c>
      <c r="CE680" s="306" t="s">
        <v>989</v>
      </c>
      <c r="CF680" s="306" t="s">
        <v>990</v>
      </c>
      <c r="CG680" s="306" t="s">
        <v>991</v>
      </c>
      <c r="CH680" s="306"/>
      <c r="CI680" s="305" t="s">
        <v>937</v>
      </c>
      <c r="CJ680" s="306" t="s">
        <v>938</v>
      </c>
      <c r="CK680" s="306" t="s">
        <v>939</v>
      </c>
      <c r="CL680" s="306" t="s">
        <v>940</v>
      </c>
      <c r="CM680" s="306" t="s">
        <v>941</v>
      </c>
      <c r="CN680" s="306" t="s">
        <v>942</v>
      </c>
      <c r="CO680" s="306" t="s">
        <v>943</v>
      </c>
      <c r="CP680" s="306" t="s">
        <v>944</v>
      </c>
      <c r="CQ680" s="306" t="s">
        <v>945</v>
      </c>
      <c r="CR680" s="306" t="s">
        <v>946</v>
      </c>
      <c r="CS680" s="307" t="s">
        <v>71</v>
      </c>
      <c r="CT680" s="306"/>
      <c r="CU680" s="306" t="s">
        <v>71</v>
      </c>
      <c r="CV680" s="306"/>
      <c r="CW680" s="306"/>
      <c r="CX680" s="305" t="s">
        <v>56</v>
      </c>
      <c r="CY680" s="306" t="s">
        <v>57</v>
      </c>
      <c r="CZ680" s="306" t="s">
        <v>947</v>
      </c>
      <c r="DA680" s="306" t="s">
        <v>5</v>
      </c>
      <c r="DB680" s="306" t="s">
        <v>6</v>
      </c>
      <c r="DC680" s="306" t="s">
        <v>53</v>
      </c>
      <c r="DD680" s="307" t="s">
        <v>8</v>
      </c>
      <c r="DE680" s="306"/>
      <c r="DF680" s="305" t="s">
        <v>56</v>
      </c>
      <c r="DG680" s="306" t="s">
        <v>57</v>
      </c>
      <c r="DH680" s="306" t="s">
        <v>947</v>
      </c>
      <c r="DI680" s="306" t="s">
        <v>5</v>
      </c>
      <c r="DJ680" s="306" t="s">
        <v>6</v>
      </c>
      <c r="DK680" s="306" t="s">
        <v>53</v>
      </c>
      <c r="DL680" s="307" t="s">
        <v>8</v>
      </c>
      <c r="DM680" s="306"/>
      <c r="DN680" s="305" t="s">
        <v>48</v>
      </c>
      <c r="DO680" s="306" t="s">
        <v>80</v>
      </c>
      <c r="DP680" s="307" t="s">
        <v>20</v>
      </c>
      <c r="DQ680" s="306"/>
      <c r="DR680" s="305" t="s">
        <v>48</v>
      </c>
      <c r="DS680" s="306" t="s">
        <v>80</v>
      </c>
      <c r="DT680" s="307" t="s">
        <v>20</v>
      </c>
      <c r="DU680" s="306"/>
      <c r="DV680" s="305" t="s">
        <v>48</v>
      </c>
      <c r="DW680" s="306" t="s">
        <v>80</v>
      </c>
      <c r="DX680" s="307" t="s">
        <v>20</v>
      </c>
      <c r="DZ680" s="270" t="s">
        <v>48</v>
      </c>
      <c r="EA680" s="269" t="s">
        <v>826</v>
      </c>
      <c r="EB680" s="269" t="s">
        <v>827</v>
      </c>
      <c r="EC680" s="269" t="s">
        <v>828</v>
      </c>
      <c r="ED680" s="289" t="s">
        <v>948</v>
      </c>
      <c r="EF680" s="305" t="s">
        <v>48</v>
      </c>
      <c r="EG680" s="306" t="s">
        <v>80</v>
      </c>
      <c r="EH680" s="307" t="s">
        <v>20</v>
      </c>
      <c r="EJ680" s="305" t="s">
        <v>48</v>
      </c>
      <c r="EK680" s="306" t="s">
        <v>80</v>
      </c>
      <c r="EL680" s="307" t="s">
        <v>20</v>
      </c>
      <c r="EN680" s="305" t="s">
        <v>48</v>
      </c>
      <c r="EO680" s="306" t="s">
        <v>80</v>
      </c>
      <c r="EP680" s="307" t="s">
        <v>20</v>
      </c>
    </row>
    <row r="681" spans="1:208" s="266" customFormat="1" x14ac:dyDescent="0.25">
      <c r="A681" s="313">
        <v>15</v>
      </c>
      <c r="B681" s="314">
        <v>15</v>
      </c>
      <c r="C681" s="308"/>
      <c r="D681" s="309"/>
      <c r="E681" s="309">
        <f>VLOOKUP($B681,'Infant pick up smoking rates'!$A$19:$I$104,3)</f>
        <v>0.35017899041879663</v>
      </c>
      <c r="F681" s="309"/>
      <c r="G681" s="309">
        <f>1-E681</f>
        <v>0.64982100958120337</v>
      </c>
      <c r="H681" s="309"/>
      <c r="I681" s="309"/>
      <c r="J681" s="309">
        <f>VLOOKUP($B681,'Infant pick up smoking rates'!$A$19:$I$104,2)</f>
        <v>0.18808420110295784</v>
      </c>
      <c r="K681" s="309"/>
      <c r="L681" s="309">
        <f>1-J681</f>
        <v>0.81191579889704213</v>
      </c>
      <c r="M681" s="309"/>
      <c r="N681" s="309"/>
      <c r="O681" s="309">
        <f>VLOOKUP($B681,'Infant pick up smoking rates'!$A$19:$I$104,2)</f>
        <v>0.18808420110295784</v>
      </c>
      <c r="P681" s="309"/>
      <c r="Q681" s="309">
        <f>1-O681</f>
        <v>0.81191579889704213</v>
      </c>
      <c r="R681" s="309"/>
      <c r="S681" s="309"/>
      <c r="T681" s="309">
        <f>VLOOKUP($B681,'Infant pick up smoking rates'!$A$19:$I$104,2)</f>
        <v>0.18808420110295784</v>
      </c>
      <c r="U681" s="309"/>
      <c r="V681" s="309">
        <f>1-T681</f>
        <v>0.81191579889704213</v>
      </c>
      <c r="W681" s="309"/>
      <c r="X681" s="309">
        <f>VLOOKUP($B681,'Infant pick up smoking rates'!$A$19:$I$104,2)</f>
        <v>0.18808420110295784</v>
      </c>
      <c r="Y681" s="309">
        <f>1-X681</f>
        <v>0.81191579889704213</v>
      </c>
      <c r="Z681" s="309"/>
      <c r="AA681" s="309"/>
      <c r="AB681" s="309"/>
      <c r="AC681" s="309"/>
      <c r="AD681" s="309"/>
      <c r="AE681" s="309"/>
      <c r="AF681" s="309"/>
      <c r="AG681" s="309"/>
      <c r="AH681" s="309"/>
      <c r="AI681" s="309"/>
      <c r="AJ681" s="309"/>
      <c r="AK681" s="309"/>
      <c r="AL681" s="309"/>
      <c r="AM681" s="315">
        <f>G681*(AB676+AC676+AJ676+AK676+BS676+BT676+CA676+CB676)</f>
        <v>177.53673667586025</v>
      </c>
      <c r="AN681" s="316">
        <f>L681*(AD676+AL676+BU676+CC676)</f>
        <v>60.879960455595118</v>
      </c>
      <c r="AO681" s="316">
        <f>Q681*(AE676+AM676+BV676+CD676)</f>
        <v>8.664590583745694</v>
      </c>
      <c r="AP681" s="316">
        <f>V681*(AF676+AN676+BW676+CE676)</f>
        <v>73.375158728018263</v>
      </c>
      <c r="AQ681" s="316">
        <f>Y681*(AG676+AO676+BX676+CF676)</f>
        <v>3.5936854319866036</v>
      </c>
      <c r="AR681" s="316">
        <f>(E681*(AB676+AC676+AJ676+AK676+BS676+BT676+CA676+CB676))+(J681*(AD676+AL676+BU676+CC676))+(O681*(AE676+AM676+BV676+CD676))+(T681*(AF676+AN676+BW676+CE676))+(X681*(AG676+AO676+BX676+CF676))</f>
        <v>129.61247070550934</v>
      </c>
      <c r="AS681" s="316"/>
      <c r="AT681" s="316"/>
      <c r="AU681" s="316"/>
      <c r="AV681" s="316">
        <f>AH676+AP676+BY676+CG676</f>
        <v>56.337397419284585</v>
      </c>
      <c r="AW681" s="317">
        <f>SUM(AM681:AV681)</f>
        <v>509.99999999999989</v>
      </c>
      <c r="AX681" s="309"/>
      <c r="AY681" s="308"/>
      <c r="AZ681" s="309"/>
      <c r="BA681" s="309">
        <f ca="1">VLOOKUP($B681,'Infant pick up smoking rates'!$A$19:$I$104,7)</f>
        <v>0.21475506379963841</v>
      </c>
      <c r="BB681" s="309"/>
      <c r="BC681" s="309">
        <f ca="1">1-BA681</f>
        <v>0.78524493620036162</v>
      </c>
      <c r="BD681" s="309"/>
      <c r="BE681" s="309"/>
      <c r="BF681" s="309">
        <f>VLOOKUP($B681,'Infant pick up smoking rates'!$A$19:$I$104,6)</f>
        <v>0.11534682466033405</v>
      </c>
      <c r="BG681" s="309"/>
      <c r="BH681" s="309">
        <f>1-BF681</f>
        <v>0.88465317533966592</v>
      </c>
      <c r="BI681" s="309"/>
      <c r="BJ681" s="309"/>
      <c r="BK681" s="309">
        <f>VLOOKUP($B681,'Infant pick up smoking rates'!$A$19:$I$104,6)</f>
        <v>0.11534682466033405</v>
      </c>
      <c r="BL681" s="309"/>
      <c r="BM681" s="309">
        <f>1-BK681</f>
        <v>0.88465317533966592</v>
      </c>
      <c r="BN681" s="309"/>
      <c r="BO681" s="309"/>
      <c r="BP681" s="309">
        <f>VLOOKUP($B681,'Infant pick up smoking rates'!$A$19:$I$104,6)</f>
        <v>0.11534682466033405</v>
      </c>
      <c r="BQ681" s="309"/>
      <c r="BR681" s="309">
        <f>1-BP681</f>
        <v>0.88465317533966592</v>
      </c>
      <c r="BS681" s="309"/>
      <c r="BT681" s="309">
        <f>VLOOKUP($B681,'Infant pick up smoking rates'!$A$19:$I$104,6)</f>
        <v>0.11534682466033405</v>
      </c>
      <c r="BU681" s="309">
        <f>1-BT681</f>
        <v>0.88465317533966592</v>
      </c>
      <c r="BV681" s="309"/>
      <c r="BW681" s="309"/>
      <c r="BX681" s="309"/>
      <c r="BY681" s="309"/>
      <c r="BZ681" s="309"/>
      <c r="CA681" s="309"/>
      <c r="CB681" s="309"/>
      <c r="CC681" s="309"/>
      <c r="CD681" s="309"/>
      <c r="CE681" s="309"/>
      <c r="CF681" s="309"/>
      <c r="CG681" s="309"/>
      <c r="CH681" s="309"/>
      <c r="CI681" s="315">
        <f ca="1">BC681*(DJ676+DK676+DR676+DS676+FA676+FB676+FI676+FJ676)</f>
        <v>206.34009176285829</v>
      </c>
      <c r="CJ681" s="316">
        <f>BH681*(DL676+DT676+FC676+FK676)</f>
        <v>63.798754345348669</v>
      </c>
      <c r="CK681" s="316">
        <f>BM681*(DM676+DU676+FD676+FL676)</f>
        <v>9.0798880656450454</v>
      </c>
      <c r="CL681" s="316">
        <f>BR681*(DN676+DV676+FE676+FM676)</f>
        <v>76.883449893061638</v>
      </c>
      <c r="CM681" s="316">
        <f>BU681*(DO676+DW676+FF676+FN676)</f>
        <v>3.7658160211413221</v>
      </c>
      <c r="CN681" s="316">
        <f ca="1">(BA681*(DJ676+DK676+DR676+DS676+FA676+FB676+FI676+FJ676))+(BF681*(DL676+DT676+FC676+FK676))+(BK681*(DM676+DU676+FD676+FL676))+(BP681*(DN676+DV676+FE676+FM676))+(BT681*(DO676+DW676+FF676+FN676))</f>
        <v>76.449503621614653</v>
      </c>
      <c r="CO681" s="316"/>
      <c r="CP681" s="316"/>
      <c r="CQ681" s="316"/>
      <c r="CR681" s="316">
        <f>DP676+DX676+FG676+FO676</f>
        <v>53.682496290330256</v>
      </c>
      <c r="CS681" s="317">
        <f ca="1">SUM(CI681:CR681)</f>
        <v>489.99999999999994</v>
      </c>
      <c r="CT681" s="309"/>
      <c r="CU681" s="309">
        <f ca="1">CS681+AW681</f>
        <v>999.99999999999977</v>
      </c>
      <c r="CV681" s="309" t="str">
        <f t="shared" ref="CV681:CV744" ca="1" si="216">IF(CU681=Cohort,"OKAY",IF(CU681&lt;Cohort,"Too few","Too many"))</f>
        <v>OKAY</v>
      </c>
      <c r="CW681" s="309"/>
      <c r="CX681" s="315"/>
      <c r="CY681" s="316"/>
      <c r="CZ681" s="316"/>
      <c r="DA681" s="316"/>
      <c r="DB681" s="316"/>
      <c r="DC681" s="316"/>
      <c r="DD681" s="317"/>
      <c r="DE681" s="309"/>
      <c r="DF681" s="315"/>
      <c r="DG681" s="316"/>
      <c r="DH681" s="316"/>
      <c r="DI681" s="316"/>
      <c r="DJ681" s="316"/>
      <c r="DK681" s="316"/>
      <c r="DL681" s="317"/>
      <c r="DM681" s="309"/>
      <c r="DN681" s="308">
        <f>$B681</f>
        <v>15</v>
      </c>
      <c r="DO681" s="309"/>
      <c r="DP681" s="310">
        <f>GA676</f>
        <v>10256.119197751346</v>
      </c>
      <c r="DQ681" s="309"/>
      <c r="DR681" s="308">
        <f>$B681</f>
        <v>15</v>
      </c>
      <c r="DS681" s="309"/>
      <c r="DT681" s="310">
        <f>GE676</f>
        <v>10123.281838388775</v>
      </c>
      <c r="DU681" s="309"/>
      <c r="DV681" s="308">
        <f>$B681</f>
        <v>15</v>
      </c>
      <c r="DW681" s="318"/>
      <c r="DX681" s="319">
        <f>$GI$676</f>
        <v>5436781.9509560168</v>
      </c>
      <c r="DZ681" s="95">
        <f>$A681</f>
        <v>15</v>
      </c>
      <c r="EA681" s="268">
        <f t="shared" ref="EA681:EA712" ca="1" si="217">(SUM($AM681:$AU681)+SUM($CI681:$CQ681))/Cohort</f>
        <v>0.88998010629038504</v>
      </c>
      <c r="EB681" s="268">
        <f t="shared" ref="EB681:EB744" si="218">($AV681+$CR681)/Cohort</f>
        <v>0.11001989370961485</v>
      </c>
      <c r="EC681" s="268">
        <f t="shared" ref="EC681:EC744" si="219">(SUM($DA681:$DD681)+SUM($DI681:$DL681))/Cohort</f>
        <v>0</v>
      </c>
      <c r="ED681" s="290">
        <f t="shared" ref="ED681:ED744" ca="1" si="220">(SUM($AR681:$AU681)+SUM($CN681:$CQ681))/Cohort</f>
        <v>0.206061974327124</v>
      </c>
      <c r="EF681" s="95">
        <f>$A681</f>
        <v>15</v>
      </c>
      <c r="EG681" s="318"/>
      <c r="EH681" s="340">
        <f>$GR$676</f>
        <v>8538797.674919555</v>
      </c>
      <c r="EJ681" s="308">
        <f>$B681</f>
        <v>15</v>
      </c>
      <c r="EK681" s="318"/>
      <c r="EL681" s="319">
        <f>$GV$676</f>
        <v>5433741.9509560158</v>
      </c>
      <c r="EN681" s="95">
        <f>$A681</f>
        <v>15</v>
      </c>
      <c r="EO681" s="318"/>
      <c r="EP681" s="395">
        <f>$GZ$676</f>
        <v>8538797.674919555</v>
      </c>
    </row>
    <row r="682" spans="1:208" s="266" customFormat="1" x14ac:dyDescent="0.25">
      <c r="A682" s="313">
        <v>16</v>
      </c>
      <c r="B682" s="314">
        <v>16</v>
      </c>
      <c r="C682" s="308">
        <f>VLOOKUP($B682,'Infant adult mortality'!$A$27:$I$128,3)</f>
        <v>1.155E-4</v>
      </c>
      <c r="D682" s="309">
        <f t="shared" ref="D682:D745" si="221">VLOOKUP($A682,$A$555:$N$655,4)</f>
        <v>0.27</v>
      </c>
      <c r="E682" s="309">
        <f>VLOOKUP($B682,'Infant pick up smoking rates'!$A$19:$I$104,3)</f>
        <v>0.16381478843644798</v>
      </c>
      <c r="F682" s="309">
        <f t="shared" ref="F682:F745" si="222">VLOOKUP($A682,$A$555:$N$655,3)</f>
        <v>1.2351934826883909E-3</v>
      </c>
      <c r="G682" s="309">
        <f t="shared" ref="G682:G745" si="223">1-F682-E682-D682-C682</f>
        <v>0.56483451808086349</v>
      </c>
      <c r="H682" s="309">
        <f>VLOOKUP($B682,'Infant adult mortality'!$A$27:$I$128,3)</f>
        <v>1.155E-4</v>
      </c>
      <c r="I682" s="309">
        <f t="shared" ref="I682:I745" si="224">VLOOKUP($A682,$A$555:$N$655,7)</f>
        <v>0.14000000000000001</v>
      </c>
      <c r="J682" s="309">
        <f>VLOOKUP($B682,'Infant pick up smoking rates'!$A$19:$I$104,2)</f>
        <v>8.0322003553876822E-2</v>
      </c>
      <c r="K682" s="309">
        <f t="shared" ref="K682:K745" si="225">VLOOKUP($A682,$A$555:$N$655,6)</f>
        <v>1.2351934826883909E-3</v>
      </c>
      <c r="L682" s="309">
        <f t="shared" ref="L682:L745" si="226">1-K682-J682-I682-H682</f>
        <v>0.77832730296343466</v>
      </c>
      <c r="M682" s="309">
        <f>VLOOKUP($B682,'Infant adult mortality'!$A$27:$I$128,3)</f>
        <v>1.155E-4</v>
      </c>
      <c r="N682" s="309">
        <f t="shared" ref="N682:N745" si="227">VLOOKUP($A682,$A$555:$N$655,11)</f>
        <v>0.5714285714285714</v>
      </c>
      <c r="O682" s="309">
        <f>VLOOKUP($B682,'Infant pick up smoking rates'!$A$19:$I$104,2)</f>
        <v>8.0322003553876822E-2</v>
      </c>
      <c r="P682" s="309">
        <f t="shared" ref="P682:P745" si="228">VLOOKUP($A682,$A$555:$N$655,9)</f>
        <v>8.8228105906313649E-4</v>
      </c>
      <c r="Q682" s="309">
        <f t="shared" ref="Q682:Q745" si="229">1-P682-O682-N682-M682</f>
        <v>0.34725164395848857</v>
      </c>
      <c r="R682" s="309">
        <f>VLOOKUP($B682,'Infant adult mortality'!$A$27:$I$128,3)</f>
        <v>1.155E-4</v>
      </c>
      <c r="S682" s="309">
        <f t="shared" ref="S682:S745" si="230">VLOOKUP($A682,$A$555:$N$655,13)</f>
        <v>8.6261668788331098E-3</v>
      </c>
      <c r="T682" s="309">
        <f>VLOOKUP($B682,'Infant pick up smoking rates'!$A$19:$I$104,2)</f>
        <v>8.0322003553876822E-2</v>
      </c>
      <c r="U682" s="309">
        <f t="shared" ref="U682:U745" si="231">VLOOKUP($A682,$A$555:$N$655,12)</f>
        <v>8.8228105906313649E-4</v>
      </c>
      <c r="V682" s="309">
        <f t="shared" ref="V682:V745" si="232">1-U682-T682-S682-R682</f>
        <v>0.9100540485082268</v>
      </c>
      <c r="W682" s="309">
        <f>VLOOKUP($B682,'Infant adult mortality'!$A$27:$I$128,3)</f>
        <v>1.155E-4</v>
      </c>
      <c r="X682" s="309">
        <f>VLOOKUP($B682,'Infant pick up smoking rates'!$A$19:$I$104,2)</f>
        <v>8.0322003553876822E-2</v>
      </c>
      <c r="Y682" s="309">
        <f t="shared" ref="Y682:Y745" si="233">1-X682-W682</f>
        <v>0.91956249644612309</v>
      </c>
      <c r="Z682" s="309">
        <f>VLOOKUP($B682,'Infant adult mortality'!$A$27:$I$128,5)</f>
        <v>1.155E-4</v>
      </c>
      <c r="AA682" s="309">
        <f t="shared" ref="AA682:AA745" si="234">DET_P_01Q_CS_MALE</f>
        <v>0.25</v>
      </c>
      <c r="AB682" s="309">
        <f t="shared" ref="AB682:AB745" si="235">1-AA682-Z682</f>
        <v>0.74988449999999995</v>
      </c>
      <c r="AC682" s="309">
        <f>VLOOKUP($B682,'Infant adult mortality'!$A$27:$I$128,5)</f>
        <v>1.155E-4</v>
      </c>
      <c r="AD682" s="309">
        <f t="shared" ref="AD682:AD745" si="236">DET_P_12Q_01Q</f>
        <v>0.14000000000000001</v>
      </c>
      <c r="AE682" s="309">
        <f t="shared" ref="AE682:AE745" si="237">1-AD682-AC682</f>
        <v>0.85988449999999994</v>
      </c>
      <c r="AF682" s="309">
        <f>VLOOKUP($B682,'Infant adult mortality'!$A$27:$I$128,4)</f>
        <v>1.155E-4</v>
      </c>
      <c r="AG682" s="309">
        <f t="shared" ref="AG682:AG745" si="238">DET_P_LTQ_12Q</f>
        <v>0.5714285714285714</v>
      </c>
      <c r="AH682" s="309">
        <f t="shared" ref="AH682:AH745" si="239">1-AG682-AF682</f>
        <v>0.42845592857142861</v>
      </c>
      <c r="AI682" s="309">
        <f>VLOOKUP($B682,'Infant adult mortality'!$A$27:$I$128,4)</f>
        <v>1.155E-4</v>
      </c>
      <c r="AJ682" s="309">
        <f t="shared" ref="AJ682:AJ745" si="240">DET_P_CS_LTQ</f>
        <v>8.6261668788331098E-3</v>
      </c>
      <c r="AK682" s="309">
        <f t="shared" ref="AK682:AK745" si="241">1-AJ682-AI682</f>
        <v>0.99125833312116685</v>
      </c>
      <c r="AL682" s="309"/>
      <c r="AM682" s="315">
        <f>(AM681*G682)+(AN681*L682)+(AO681*Q682)+(AP681*S682)</f>
        <v>151.30515221626428</v>
      </c>
      <c r="AN682" s="316">
        <f>AM681*D682</f>
        <v>47.934918902482273</v>
      </c>
      <c r="AO682" s="316">
        <f>AN681*I682</f>
        <v>8.5231944637833177</v>
      </c>
      <c r="AP682" s="316">
        <f>(AO681*N682)+(AP681*V682)</f>
        <v>71.726554879650024</v>
      </c>
      <c r="AQ682" s="316">
        <f>(AM681*F682)+(AN681*K682)+(AO681*P682)+(AP681*U682)+(AQ681*Y682)</f>
        <v>3.6714912146485883</v>
      </c>
      <c r="AR682" s="316">
        <f>(AR681*AB682)+(AS681*AE682)+(AT681*AH682)+(AU681*AJ682)+(AM681*E682)+(AN681*J682)+(AO681*O682)+(AP681*T682)+(AQ681*X682)</f>
        <v>138.04577519691134</v>
      </c>
      <c r="AS682" s="316">
        <f>AR681*AA682</f>
        <v>32.403117676377335</v>
      </c>
      <c r="AT682" s="316">
        <f>AS681*AD682</f>
        <v>0</v>
      </c>
      <c r="AU682" s="316">
        <f>(AT681*AG682)+(AU681*AK682)</f>
        <v>0</v>
      </c>
      <c r="AV682" s="316">
        <f>AV681+(AM681*C682)+(AN681*H682)+(AO681*M682)+(AP681*R682)+(AQ681*W682)+(AR681*Z682)+(AS681*AC682)+(AT681*AF682)+(AU681*AI682)</f>
        <v>56.389795449882655</v>
      </c>
      <c r="AW682" s="317">
        <f t="shared" ref="AW682:AW745" si="242">SUM(AM682:AV682)</f>
        <v>509.99999999999977</v>
      </c>
      <c r="AX682" s="309"/>
      <c r="AY682" s="308">
        <f>VLOOKUP($B682,'Infant adult mortality'!$A$134:$I$234,3)</f>
        <v>8.7399999999999997E-5</v>
      </c>
      <c r="AZ682" s="309">
        <f t="shared" ref="AZ682:AZ745" si="243">VLOOKUP($A682,$A$555:$N$655,4)</f>
        <v>0.27</v>
      </c>
      <c r="BA682" s="309">
        <f ca="1">VLOOKUP($B682,'Infant pick up smoking rates'!$A$19:$I$104,7)</f>
        <v>0.10585873855306706</v>
      </c>
      <c r="BB682" s="309">
        <f t="shared" ref="BB682:BB745" si="244">VLOOKUP($A682,$A$555:$N$655,3)</f>
        <v>1.2351934826883909E-3</v>
      </c>
      <c r="BC682" s="309">
        <f t="shared" ref="BC682:BC745" ca="1" si="245">1-BB682-BA682-AZ682-AY682</f>
        <v>0.62281866796424457</v>
      </c>
      <c r="BD682" s="309">
        <f>VLOOKUP($B682,'Infant adult mortality'!$A$134:$I$234,3)</f>
        <v>8.7399999999999997E-5</v>
      </c>
      <c r="BE682" s="309">
        <f t="shared" ref="BE682:BE745" si="246">VLOOKUP($A682,$A$555:$N$655,7)</f>
        <v>0.14000000000000001</v>
      </c>
      <c r="BF682" s="309">
        <f>VLOOKUP($B682,'Infant pick up smoking rates'!$A$19:$I$104,6)</f>
        <v>5.1904874129035238E-2</v>
      </c>
      <c r="BG682" s="309">
        <f t="shared" ref="BG682:BG745" si="247">VLOOKUP($A682,$A$555:$N$655,6)</f>
        <v>1.2351934826883909E-3</v>
      </c>
      <c r="BH682" s="309">
        <f t="shared" ref="BH682:BH745" si="248">1-BG682-BF682-BE682-BD682</f>
        <v>0.8067725323882764</v>
      </c>
      <c r="BI682" s="309">
        <f>VLOOKUP($B682,'Infant adult mortality'!$A$134:$I$234,3)</f>
        <v>8.7399999999999997E-5</v>
      </c>
      <c r="BJ682" s="309">
        <f t="shared" ref="BJ682:BJ745" si="249">VLOOKUP($A682,$A$555:$N$655,11)</f>
        <v>0.5714285714285714</v>
      </c>
      <c r="BK682" s="309">
        <f>VLOOKUP($B682,'Infant pick up smoking rates'!$A$19:$I$104,6)</f>
        <v>5.1904874129035238E-2</v>
      </c>
      <c r="BL682" s="309">
        <f t="shared" ref="BL682:BL745" si="250">VLOOKUP($A682,$A$555:$N$655,9)</f>
        <v>8.8228105906313649E-4</v>
      </c>
      <c r="BM682" s="309">
        <f t="shared" ref="BM682:BM745" si="251">1-BL682-BK682-BJ682-BI682</f>
        <v>0.37569687338333019</v>
      </c>
      <c r="BN682" s="309">
        <f>VLOOKUP($B682,'Infant adult mortality'!$A$134:$I$234,3)</f>
        <v>8.7399999999999997E-5</v>
      </c>
      <c r="BO682" s="309">
        <f t="shared" ref="BO682:BO745" si="252">VLOOKUP($A682,$A$555:$N$655,13)</f>
        <v>8.6261668788331098E-3</v>
      </c>
      <c r="BP682" s="309">
        <f>VLOOKUP($B682,'Infant pick up smoking rates'!$A$19:$I$104,6)</f>
        <v>5.1904874129035238E-2</v>
      </c>
      <c r="BQ682" s="309">
        <f t="shared" ref="BQ682:BQ745" si="253">VLOOKUP($A682,$A$555:$N$655,12)</f>
        <v>8.8228105906313649E-4</v>
      </c>
      <c r="BR682" s="309">
        <f t="shared" ref="BR682:BR745" si="254">1-BQ682-BP682-BO682-BN682</f>
        <v>0.93849927793306853</v>
      </c>
      <c r="BS682" s="309">
        <f>VLOOKUP($B682,'Infant adult mortality'!$A$134:$I$234,3)</f>
        <v>8.7399999999999997E-5</v>
      </c>
      <c r="BT682" s="309">
        <f>VLOOKUP($B682,'Infant pick up smoking rates'!$A$19:$I$104,6)</f>
        <v>5.1904874129035238E-2</v>
      </c>
      <c r="BU682" s="309">
        <f t="shared" ref="BU682:BU745" si="255">1-BT682-BS682</f>
        <v>0.94800772587096482</v>
      </c>
      <c r="BV682" s="309">
        <f>VLOOKUP($B682,'Infant adult mortality'!$A$134:$I$234,5)</f>
        <v>8.7399999999999997E-5</v>
      </c>
      <c r="BW682" s="309">
        <f t="shared" ref="BW682:BW745" si="256">DET_P_01Q_CS_FEMALE</f>
        <v>0.27</v>
      </c>
      <c r="BX682" s="309">
        <f t="shared" ref="BX682:BX745" si="257">1-BW682-BV682</f>
        <v>0.72991260000000002</v>
      </c>
      <c r="BY682" s="309">
        <f>VLOOKUP($B682,'Infant adult mortality'!$A$134:$I$234,5)</f>
        <v>8.7399999999999997E-5</v>
      </c>
      <c r="BZ682" s="309">
        <f t="shared" ref="BZ682:BZ745" si="258">DET_P_12Q_01Q</f>
        <v>0.14000000000000001</v>
      </c>
      <c r="CA682" s="309">
        <f t="shared" ref="CA682:CA745" si="259">1-BZ682-BY682</f>
        <v>0.85991260000000003</v>
      </c>
      <c r="CB682" s="309">
        <f>VLOOKUP($B682,'Infant adult mortality'!$A$134:$I$234,4)</f>
        <v>8.7399999999999997E-5</v>
      </c>
      <c r="CC682" s="309">
        <f t="shared" ref="CC682:CC745" si="260">DET_P_LTQ_12Q</f>
        <v>0.5714285714285714</v>
      </c>
      <c r="CD682" s="309">
        <f t="shared" ref="CD682:CD745" si="261">1-CC682-CB682</f>
        <v>0.42848402857142859</v>
      </c>
      <c r="CE682" s="309">
        <f>VLOOKUP($B682,'Infant adult mortality'!$A$134:$I$234,4)</f>
        <v>8.7399999999999997E-5</v>
      </c>
      <c r="CF682" s="309">
        <f t="shared" ref="CF682:CF745" si="262">DET_P_CS_LTQ</f>
        <v>8.6261668788331098E-3</v>
      </c>
      <c r="CG682" s="309">
        <f t="shared" ref="CG682:CG745" si="263">1-CF682-CE682</f>
        <v>0.99128643312116693</v>
      </c>
      <c r="CH682" s="309"/>
      <c r="CI682" s="315">
        <f ca="1">(CI681*BC682)+(CJ681*BH682)+(CK681*BM682)+(CL681*BO682)</f>
        <v>184.0580387317093</v>
      </c>
      <c r="CJ682" s="316">
        <f ca="1">CI681*AZ682</f>
        <v>55.711824775971742</v>
      </c>
      <c r="CK682" s="316">
        <f>CJ681*BE682</f>
        <v>8.9318256083488148</v>
      </c>
      <c r="CL682" s="316">
        <f>(CK681*BJ682)+(CL681*BR682)</f>
        <v>77.343569675724481</v>
      </c>
      <c r="CM682" s="316">
        <f ca="1">(CI681*BB682)+(CJ681*BG682)+(CK681*BL682)+(CL681*BQ682)+(CM681*BU682)</f>
        <v>3.9795402492392595</v>
      </c>
      <c r="CN682" s="316">
        <f ca="1">(CN681*BX682)+(CO681*CA682)+(CP681*CD682)+(CQ681*CF682)+(CI681*BA682)+(CJ681*BF682)+(CK681*BK682)+(CL681*BP682)+(CM681*BT682)</f>
        <v>85.613204541015861</v>
      </c>
      <c r="CO682" s="316">
        <f ca="1">CN681*BW682</f>
        <v>20.641365977835957</v>
      </c>
      <c r="CP682" s="316">
        <f>CO681*BZ682</f>
        <v>0</v>
      </c>
      <c r="CQ682" s="316">
        <f>(CP681*CC682)+(CQ681*CG682)</f>
        <v>0</v>
      </c>
      <c r="CR682" s="316">
        <f ca="1">CR681+(CI681*AY682)+(CJ681*BD682)+(CK681*BI682)+(CL681*BN682)+(CM681*BS682)+(CN681*BV682)+(CO681*BY682)+(CP681*CB682)+(CQ681*CE682)</f>
        <v>53.72063044015448</v>
      </c>
      <c r="CS682" s="317">
        <f t="shared" ref="CS682:CS745" ca="1" si="264">SUM(CI682:CR682)</f>
        <v>489.99999999999994</v>
      </c>
      <c r="CT682" s="309"/>
      <c r="CU682" s="309">
        <f t="shared" ref="CU682:CU745" ca="1" si="265">CS682+AW682</f>
        <v>999.99999999999977</v>
      </c>
      <c r="CV682" s="309" t="str">
        <f t="shared" ca="1" si="216"/>
        <v>OKAY</v>
      </c>
      <c r="CW682" s="309"/>
      <c r="CX682" s="315">
        <f>(SUM($AR682:$AS682))-((SUM($AR682:$AS682)*VLOOKUP($B682,Lifetime_morbidity_array!$A$30:$Y$48,4))+(SUM($AR682:$AS682)*VLOOKUP($B682,Lifetime_morbidity_array!$A$30:$Y$48,7))+(SUM($AR682:$AS682)*VLOOKUP($B682,Lifetime_morbidity_array!$A$30:$Y$48,10))+(SUM($AR682:$AS682)*VLOOKUP($B682,Lifetime_morbidity_array!$A$30:$Y$48,13)))</f>
        <v>170.2239493232629</v>
      </c>
      <c r="CY682" s="316">
        <f>(SUM($AT682:$AU682))-((SUM($AT682:$AU682)*(VLOOKUP($B682,Lifetime_morbidity_array!$A$30:$Y$48,3)))+(SUM($AT682:$AU682)*(VLOOKUP($B682,Lifetime_morbidity_array!$A$30:$Y$48,6)))+(SUM($AT682:$AU682)*(VLOOKUP($B682,Lifetime_morbidity_array!$A$30:$Y$48,9)))+(SUM($AT682:$AU682)*(VLOOKUP($B682,Lifetime_morbidity_array!$A$30:$Y$48,12))))</f>
        <v>0</v>
      </c>
      <c r="CZ682" s="316">
        <f>(SUM($AM682:$AQ682))-((SUM($AM682:$AQ682)*VLOOKUP($B682,Lifetime_morbidity_array!$A$30:$Y$48,2))+(SUM($AM682:$AQ682)*VLOOKUP($B682,Lifetime_morbidity_array!$A$30:$Y$48,5))+(SUM($AM682:$AQ682)*VLOOKUP($B682,Lifetime_morbidity_array!$A$30:$Y$48,8))+(SUM($AM682:$AQ682)*VLOOKUP($B682,Lifetime_morbidity_array!$A$30:$Y$48,11)))</f>
        <v>282.78762012855952</v>
      </c>
      <c r="DA682" s="316">
        <f>(SUM($AM682:$AQ682)*VLOOKUP($B682,Lifetime_morbidity_array!$A$30:$Y$48,2))+(SUM($AR682:$AS682)*VLOOKUP($B682,Lifetime_morbidity_array!$A$30:$Y$48,4))+(SUM($AT682:$AU682)*(VLOOKUP($B682,Lifetime_morbidity_array!$A$30:$Y$48,3)))</f>
        <v>0.4536094994949742</v>
      </c>
      <c r="DB682" s="316">
        <f>(SUM($AM682:$AQ682)*VLOOKUP($B682,Lifetime_morbidity_array!$A$30:$Y$48,5))+(SUM($AR682:$AS682)*VLOOKUP($B682,Lifetime_morbidity_array!$A$30:$Y$48,7))+(SUM($AT682:$AU682)*(VLOOKUP($B682,Lifetime_morbidity_array!$A$30:$Y$48,6)))</f>
        <v>0.13595305399714111</v>
      </c>
      <c r="DC682" s="316">
        <f>(SUM($AM682:$AQ682)*VLOOKUP($B682,Lifetime_morbidity_array!$A$30:$Y$48,8))+(SUM($AR682:$AS682)*VLOOKUP($B682,Lifetime_morbidity_array!$A$30:$Y$48,10))+(SUM($AT682:$AU682)*(VLOOKUP($B682,Lifetime_morbidity_array!$A$30:$Y$48,9)))</f>
        <v>9.0725448025818084E-3</v>
      </c>
      <c r="DD682" s="317">
        <f>(SUM($AM682:$AQ682)*VLOOKUP($B682,Lifetime_morbidity_array!$A$30:$Y$48,11))+(SUM($AR682:$AS682)*VLOOKUP($B682,Lifetime_morbidity_array!$A$30:$Y$48,13))+(SUM($AT682:$AU682)*(VLOOKUP($B682,Lifetime_morbidity_array!$A$30:$Y$48,12)))</f>
        <v>0</v>
      </c>
      <c r="DE682" s="309"/>
      <c r="DF682" s="315">
        <f ca="1">(SUM($CN682:$CO682))-((SUM($CN682:$CO682)*VLOOKUP($B682,Lifetime_morbidity_array!$A$6:$Y$24,4))+(SUM($CN682:$CO682)*VLOOKUP($B682,Lifetime_morbidity_array!$A$6:$Y$24,7))+(SUM($CN682:$CO682)*VLOOKUP($B682,Lifetime_morbidity_array!$A$6:$Y$24,10))+(SUM($CN682:$CO682)*VLOOKUP($B682,Lifetime_morbidity_array!$A$6:$Y$24,13)))</f>
        <v>105.90056909041688</v>
      </c>
      <c r="DG682" s="316">
        <f>(SUM($CP682:$CQ682))-(((SUM($CP682:$CQ682)*VLOOKUP($B682,Lifetime_morbidity_array!$A$6:$Y$24,3))+(SUM($CP682:$CQ682)*VLOOKUP($B682,Lifetime_morbidity_array!$A$6:$Y$24,6))+(SUM($CP682:$CQ682)*VLOOKUP($B682,Lifetime_morbidity_array!$A$6:$Y$24,9))+(SUM($CP682:$CQ682)*VLOOKUP($B682,Lifetime_morbidity_array!$A$6:$Y$24,12))))</f>
        <v>0</v>
      </c>
      <c r="DH682" s="316">
        <f ca="1">(SUM($CI682:$CM682))-((SUM($CI682:$CM682)*VLOOKUP($B682,Lifetime_morbidity_array!$A$6:$Y$24,2))+(SUM($CI682:$CM682)*VLOOKUP($B682,Lifetime_morbidity_array!$A$6:$Y$24,5))+(SUM($CI682:$CM682)*VLOOKUP($B682,Lifetime_morbidity_array!$A$6:$Y$24,8))+(SUM($CI682:$CM682)*VLOOKUP($B682,Lifetime_morbidity_array!$A$6:$Y$24,11)))</f>
        <v>328.92527692435453</v>
      </c>
      <c r="DI682" s="316">
        <f ca="1">(SUM($CI682:$CM682)*VLOOKUP($B682,Lifetime_morbidity_array!$A$6:$Y$24,2))+(SUM($CN682:$CO682)*VLOOKUP($B682,Lifetime_morbidity_array!$A$6:$Y$24,4))+(SUM($CP682:$CQ682)*VLOOKUP($B682,Lifetime_morbidity_array!$A$6:$Y$24,3))</f>
        <v>0.43621643333548565</v>
      </c>
      <c r="DJ682" s="316">
        <f ca="1">(SUM($CI682:$CM682)*VLOOKUP($B682,Lifetime_morbidity_array!$A$6:$Y$24,5))+(SUM($CN682:$CO682)*VLOOKUP($B682,Lifetime_morbidity_array!$A$6:$Y$24,7))+(SUM($CP682:$CQ682)*VLOOKUP($B682,Lifetime_morbidity_array!$A$6:$Y$24,6))</f>
        <v>0.13666275439500614</v>
      </c>
      <c r="DK682" s="316">
        <f ca="1">(SUM($CI682:$CM682)*VLOOKUP($B682,Lifetime_morbidity_array!$A$6:$Y$24,8))+(SUM($CN682:$CO682)*VLOOKUP($B682,Lifetime_morbidity_array!$A$6:$Y$24,10))+(SUM($CP682:$CQ682)*VLOOKUP($B682,Lifetime_morbidity_array!$A$6:$Y$24,9))</f>
        <v>8.7276719551308713E-3</v>
      </c>
      <c r="DL682" s="317">
        <f ca="1">(SUM($CI682:$CM682)*VLOOKUP($B682,Lifetime_morbidity_array!$A$6:$Y$24,11))+(SUM($CN682:$CO682)*VLOOKUP($B682,Lifetime_morbidity_array!$A$6:$Y$24,13))+(SUM($CP682:$CQ682)*VLOOKUP($B682,Lifetime_morbidity_array!$A$6:$Y$24,12))</f>
        <v>0.87191668538843958</v>
      </c>
      <c r="DM682" s="309"/>
      <c r="DN682" s="308">
        <f t="shared" ref="DN682:DN745" si="266">$B682</f>
        <v>16</v>
      </c>
      <c r="DO682" s="309">
        <f t="shared" ref="DO682:DO745" ca="1" si="267">((SUM($CX682:$DD682)+SUM($DF682:$DL682))/((1+Discount_rate_QALYs)^$A682))</f>
        <v>513.20457816256987</v>
      </c>
      <c r="DP682" s="310">
        <f ca="1">DO682+DP681</f>
        <v>10769.323775913916</v>
      </c>
      <c r="DQ682" s="309"/>
      <c r="DR682" s="308">
        <f t="shared" ref="DR682:DR745" si="268">$B682</f>
        <v>16</v>
      </c>
      <c r="DS682" s="309">
        <f ca="1">((VLOOKUP($B682,'Mahawesran Tariff'!$A$21:$M$120,4)*'Experimental (DET)'!$CX682)+(VLOOKUP($B682,'Mahawesran Tariff'!$A$21:$M$120,3)*'Experimental (DET)'!$CY682)+(VLOOKUP($B682,'Mahawesran Tariff'!$A$21:$M$120,2)*'Experimental (DET)'!$CZ682)+(VLOOKUP($B682,'Mahawesran Tariff'!$A$21:$M$120,7)*'Experimental (DET)'!$DF682)+(VLOOKUP($B682,'Mahawesran Tariff'!$A$21:$M$120,6)*'Experimental (DET)'!$DG682)+(VLOOKUP($B682,'Mahawesran Tariff'!$A$21:$M$120,5)*'Experimental (DET)'!$DH682)+(DET_UTIL_chd*('Experimental (DET)'!$DA682+'Experimental (DET)'!$DI682))+(DET_UTIL_copd*('Experimental (DET)'!$DB682+'Experimental (DET)'!$DJ682))+(DET_UTIL_lc*('Experimental (DET)'!$DC682+'Experimental (DET)'!$DK682))+(DET_UTIL_stroke*('Experimental (DET)'!$DD682+'Experimental (DET)'!$DL682)))/((1+Discount_rate_QALYs)^$A682)</f>
        <v>532.23937950897357</v>
      </c>
      <c r="DT682" s="310">
        <f ca="1">DS682+DT681</f>
        <v>10655.521217897749</v>
      </c>
      <c r="DU682" s="309"/>
      <c r="DV682" s="308">
        <f t="shared" ref="DV682:DV745" si="269">$B682</f>
        <v>16</v>
      </c>
      <c r="DW682" s="318">
        <f t="shared" ref="DW682:DW745" ca="1" si="270">((DET_COST_chd*($DA682+$DI682))+(DET_COST_copd*($DB682+$DJ682))+(DET_cost_lc*($DC682+$DK682))+(DET_COST_stroke*($DD682+$DL682)))/((1+Discount_rate_costs)^$A682)</f>
        <v>12098.376974329254</v>
      </c>
      <c r="DX682" s="319">
        <f ca="1">DW682+DX681</f>
        <v>5448880.3279303461</v>
      </c>
      <c r="DZ682" s="95">
        <f t="shared" ref="DZ682:DZ745" si="271">$A682</f>
        <v>16</v>
      </c>
      <c r="EA682" s="268">
        <f t="shared" ca="1" si="217"/>
        <v>0.88988957410996261</v>
      </c>
      <c r="EB682" s="268">
        <f t="shared" ca="1" si="218"/>
        <v>0.11011042589003714</v>
      </c>
      <c r="EC682" s="268">
        <f t="shared" ca="1" si="219"/>
        <v>2.0521586433687594E-3</v>
      </c>
      <c r="ED682" s="290">
        <f t="shared" ca="1" si="220"/>
        <v>0.27670346339214053</v>
      </c>
      <c r="EF682" s="95">
        <f t="shared" ref="EF682:EF745" si="272">$A682</f>
        <v>16</v>
      </c>
      <c r="EG682" s="339">
        <f t="shared" ref="EG682:EG745" ca="1" si="273">((DET_COST_chd*($DA682+$DI682))+(DET_COST_copd*($DB682+$DJ682))+(DET_cost_lc*($DC682+$DK682))+(DET_COST_stroke*($DD682+$DL682)))/((1+Discount_rate_costs)^$A682)</f>
        <v>12098.376974329254</v>
      </c>
      <c r="EH682" s="341">
        <f ca="1">EG682+EH681</f>
        <v>8550896.0518938843</v>
      </c>
      <c r="EJ682" s="308">
        <f t="shared" ref="EJ682:EJ745" si="274">$B682</f>
        <v>16</v>
      </c>
      <c r="EK682" s="318">
        <f t="shared" ref="EK682:EK745" ca="1" si="275">((DET_COST_chd*($DA682+$DI682))+(DET_COST_copd*($DB682+$DJ682))+(DET_cost_lc*($DC682+$DK682))+(DET_COST_stroke*($DD682+$DL682)))/((1+Discount_rate_costs)^$A682)</f>
        <v>12098.376974329254</v>
      </c>
      <c r="EL682" s="319">
        <f ca="1">EK682+EL681</f>
        <v>5445840.3279303452</v>
      </c>
      <c r="EN682" s="95">
        <f t="shared" ref="EN682:EN745" si="276">$A682</f>
        <v>16</v>
      </c>
      <c r="EO682" s="339">
        <f t="shared" ref="EO682:EO745" ca="1" si="277">((DET_COST_chd*($DA682+$DI682))+(DET_COST_copd*($DB682+$DJ682))+(DET_cost_lc*($DC682+$DK682))+(DET_COST_stroke*($DD682+$DL682)))/((1+Discount_rate_costs)^$A682)</f>
        <v>12098.376974329254</v>
      </c>
      <c r="EP682" s="341">
        <f ca="1">EO682+EP681</f>
        <v>8550896.0518938843</v>
      </c>
    </row>
    <row r="683" spans="1:208" s="266" customFormat="1" x14ac:dyDescent="0.25">
      <c r="A683" s="313">
        <v>17</v>
      </c>
      <c r="B683" s="314">
        <v>17</v>
      </c>
      <c r="C683" s="308">
        <f>VLOOKUP($B683,'Infant adult mortality'!$A$27:$I$128,3)</f>
        <v>1.4800000000000002E-4</v>
      </c>
      <c r="D683" s="309">
        <f t="shared" si="221"/>
        <v>0.27</v>
      </c>
      <c r="E683" s="309">
        <f>VLOOKUP($B683,'Infant pick up smoking rates'!$A$19:$I$104,3)</f>
        <v>0.16381478843644798</v>
      </c>
      <c r="F683" s="309">
        <f t="shared" si="222"/>
        <v>1.2819551934826882E-3</v>
      </c>
      <c r="G683" s="309">
        <f t="shared" si="223"/>
        <v>0.56475525637006929</v>
      </c>
      <c r="H683" s="309">
        <f>VLOOKUP($B683,'Infant adult mortality'!$A$27:$I$128,3)</f>
        <v>1.4800000000000002E-4</v>
      </c>
      <c r="I683" s="309">
        <f t="shared" si="224"/>
        <v>0.14000000000000001</v>
      </c>
      <c r="J683" s="309">
        <f>VLOOKUP($B683,'Infant pick up smoking rates'!$A$19:$I$104,2)</f>
        <v>8.0322003553876822E-2</v>
      </c>
      <c r="K683" s="309">
        <f t="shared" si="225"/>
        <v>1.2819551934826882E-3</v>
      </c>
      <c r="L683" s="309">
        <f t="shared" si="226"/>
        <v>0.77824804125264035</v>
      </c>
      <c r="M683" s="309">
        <f>VLOOKUP($B683,'Infant adult mortality'!$A$27:$I$128,3)</f>
        <v>1.4800000000000002E-4</v>
      </c>
      <c r="N683" s="309">
        <f t="shared" si="227"/>
        <v>0.5714285714285714</v>
      </c>
      <c r="O683" s="309">
        <f>VLOOKUP($B683,'Infant pick up smoking rates'!$A$19:$I$104,2)</f>
        <v>8.0322003553876822E-2</v>
      </c>
      <c r="P683" s="309">
        <f t="shared" si="228"/>
        <v>9.156822810590632E-4</v>
      </c>
      <c r="Q683" s="309">
        <f t="shared" si="229"/>
        <v>0.34718574273649266</v>
      </c>
      <c r="R683" s="309">
        <f>VLOOKUP($B683,'Infant adult mortality'!$A$27:$I$128,3)</f>
        <v>1.4800000000000002E-4</v>
      </c>
      <c r="S683" s="309">
        <f t="shared" si="230"/>
        <v>8.6261668788331098E-3</v>
      </c>
      <c r="T683" s="309">
        <f>VLOOKUP($B683,'Infant pick up smoking rates'!$A$19:$I$104,2)</f>
        <v>8.0322003553876822E-2</v>
      </c>
      <c r="U683" s="309">
        <f t="shared" si="231"/>
        <v>9.156822810590632E-4</v>
      </c>
      <c r="V683" s="309">
        <f t="shared" si="232"/>
        <v>0.9099881472862309</v>
      </c>
      <c r="W683" s="309">
        <f>VLOOKUP($B683,'Infant adult mortality'!$A$27:$I$128,3)</f>
        <v>1.4800000000000002E-4</v>
      </c>
      <c r="X683" s="309">
        <f>VLOOKUP($B683,'Infant pick up smoking rates'!$A$19:$I$104,2)</f>
        <v>8.0322003553876822E-2</v>
      </c>
      <c r="Y683" s="309">
        <f t="shared" si="233"/>
        <v>0.9195299964461231</v>
      </c>
      <c r="Z683" s="309">
        <f>VLOOKUP($B683,'Infant adult mortality'!$A$27:$I$128,5)</f>
        <v>1.4800000000000002E-4</v>
      </c>
      <c r="AA683" s="309">
        <f t="shared" si="234"/>
        <v>0.25</v>
      </c>
      <c r="AB683" s="309">
        <f t="shared" si="235"/>
        <v>0.74985199999999996</v>
      </c>
      <c r="AC683" s="309">
        <f>VLOOKUP($B683,'Infant adult mortality'!$A$27:$I$128,5)</f>
        <v>1.4800000000000002E-4</v>
      </c>
      <c r="AD683" s="309">
        <f t="shared" si="236"/>
        <v>0.14000000000000001</v>
      </c>
      <c r="AE683" s="309">
        <f t="shared" si="237"/>
        <v>0.85985199999999995</v>
      </c>
      <c r="AF683" s="309">
        <f>VLOOKUP($B683,'Infant adult mortality'!$A$27:$I$128,4)</f>
        <v>1.4800000000000002E-4</v>
      </c>
      <c r="AG683" s="309">
        <f t="shared" si="238"/>
        <v>0.5714285714285714</v>
      </c>
      <c r="AH683" s="309">
        <f t="shared" si="239"/>
        <v>0.42842342857142862</v>
      </c>
      <c r="AI683" s="309">
        <f>VLOOKUP($B683,'Infant adult mortality'!$A$27:$I$128,4)</f>
        <v>1.4800000000000002E-4</v>
      </c>
      <c r="AJ683" s="309">
        <f t="shared" si="240"/>
        <v>8.6261668788331098E-3</v>
      </c>
      <c r="AK683" s="309">
        <f t="shared" si="241"/>
        <v>0.99122583312116685</v>
      </c>
      <c r="AL683" s="309"/>
      <c r="AM683" s="315">
        <f t="shared" ref="AM683:AM746" si="278">(AM682*G683)+(AN682*L683)+(AO682*Q683)+(AP682*S683)</f>
        <v>126.33349360590151</v>
      </c>
      <c r="AN683" s="316">
        <f t="shared" ref="AN683:AN746" si="279">AM682*D683</f>
        <v>40.852391098391358</v>
      </c>
      <c r="AO683" s="316">
        <f t="shared" ref="AO683:AO746" si="280">AN682*I683</f>
        <v>6.7108886463475192</v>
      </c>
      <c r="AP683" s="316">
        <f t="shared" ref="AP683:AP746" si="281">(AO682*N683)+(AP682*V683)</f>
        <v>70.140711622604499</v>
      </c>
      <c r="AQ683" s="316">
        <f t="shared" ref="AQ683:AQ746" si="282">(AM682*F683)+(AN682*K683)+(AO682*P683)+(AP682*U683)+(AQ682*Y683)</f>
        <v>3.704946421011539</v>
      </c>
      <c r="AR683" s="316">
        <f t="shared" ref="AR683:AR746" si="283">(AR682*AB683)+(AS682*AE683)+(AT682*AH683)+(AU682*AJ683)+(AM682*E683)+(AN682*J683)+(AO682*O683)+(AP682*T683)+(AQ682*X683)</f>
        <v>166.75275857166665</v>
      </c>
      <c r="AS683" s="316">
        <f t="shared" ref="AS683:AS746" si="284">AR682*AA683</f>
        <v>34.511443799227834</v>
      </c>
      <c r="AT683" s="316">
        <f t="shared" ref="AT683:AT746" si="285">AS682*AD683</f>
        <v>4.5364364746928274</v>
      </c>
      <c r="AU683" s="316">
        <f t="shared" ref="AU683:AU746" si="286">(AT682*AG683)+(AU682*AK683)</f>
        <v>0</v>
      </c>
      <c r="AV683" s="316">
        <f t="shared" ref="AV683:AV746" si="287">AV682+(AM682*C683)+(AN682*H683)+(AO682*M683)+(AP682*R683)+(AQ682*W683)+(AR682*Z683)+(AS682*AC683)+(AT682*AF683)+(AU682*AI683)</f>
        <v>56.456929760156065</v>
      </c>
      <c r="AW683" s="317">
        <f t="shared" si="242"/>
        <v>509.99999999999977</v>
      </c>
      <c r="AX683" s="309"/>
      <c r="AY683" s="308">
        <f>VLOOKUP($B683,'Infant adult mortality'!$A$134:$I$234,3)</f>
        <v>9.8900000000000005E-5</v>
      </c>
      <c r="AZ683" s="309">
        <f t="shared" si="243"/>
        <v>0.27</v>
      </c>
      <c r="BA683" s="309">
        <f ca="1">VLOOKUP($B683,'Infant pick up smoking rates'!$A$19:$I$104,7)</f>
        <v>0.10585873855306706</v>
      </c>
      <c r="BB683" s="309">
        <f t="shared" si="244"/>
        <v>1.2819551934826882E-3</v>
      </c>
      <c r="BC683" s="309">
        <f t="shared" ca="1" si="245"/>
        <v>0.62276040625345019</v>
      </c>
      <c r="BD683" s="309">
        <f>VLOOKUP($B683,'Infant adult mortality'!$A$134:$I$234,3)</f>
        <v>9.8900000000000005E-5</v>
      </c>
      <c r="BE683" s="309">
        <f t="shared" si="246"/>
        <v>0.14000000000000001</v>
      </c>
      <c r="BF683" s="309">
        <f>VLOOKUP($B683,'Infant pick up smoking rates'!$A$19:$I$104,6)</f>
        <v>5.1904874129035238E-2</v>
      </c>
      <c r="BG683" s="309">
        <f t="shared" si="247"/>
        <v>1.2819551934826882E-3</v>
      </c>
      <c r="BH683" s="309">
        <f t="shared" si="248"/>
        <v>0.80671427067748203</v>
      </c>
      <c r="BI683" s="309">
        <f>VLOOKUP($B683,'Infant adult mortality'!$A$134:$I$234,3)</f>
        <v>9.8900000000000005E-5</v>
      </c>
      <c r="BJ683" s="309">
        <f t="shared" si="249"/>
        <v>0.5714285714285714</v>
      </c>
      <c r="BK683" s="309">
        <f>VLOOKUP($B683,'Infant pick up smoking rates'!$A$19:$I$104,6)</f>
        <v>5.1904874129035238E-2</v>
      </c>
      <c r="BL683" s="309">
        <f t="shared" si="250"/>
        <v>9.156822810590632E-4</v>
      </c>
      <c r="BM683" s="309">
        <f t="shared" si="251"/>
        <v>0.37565197216133428</v>
      </c>
      <c r="BN683" s="309">
        <f>VLOOKUP($B683,'Infant adult mortality'!$A$134:$I$234,3)</f>
        <v>9.8900000000000005E-5</v>
      </c>
      <c r="BO683" s="309">
        <f t="shared" si="252"/>
        <v>8.6261668788331098E-3</v>
      </c>
      <c r="BP683" s="309">
        <f>VLOOKUP($B683,'Infant pick up smoking rates'!$A$19:$I$104,6)</f>
        <v>5.1904874129035238E-2</v>
      </c>
      <c r="BQ683" s="309">
        <f t="shared" si="253"/>
        <v>9.156822810590632E-4</v>
      </c>
      <c r="BR683" s="309">
        <f t="shared" si="254"/>
        <v>0.93845437671107257</v>
      </c>
      <c r="BS683" s="309">
        <f>VLOOKUP($B683,'Infant adult mortality'!$A$134:$I$234,3)</f>
        <v>9.8900000000000005E-5</v>
      </c>
      <c r="BT683" s="309">
        <f>VLOOKUP($B683,'Infant pick up smoking rates'!$A$19:$I$104,6)</f>
        <v>5.1904874129035238E-2</v>
      </c>
      <c r="BU683" s="309">
        <f t="shared" si="255"/>
        <v>0.94799622587096477</v>
      </c>
      <c r="BV683" s="309">
        <f>VLOOKUP($B683,'Infant adult mortality'!$A$134:$I$234,5)</f>
        <v>9.8900000000000005E-5</v>
      </c>
      <c r="BW683" s="309">
        <f t="shared" si="256"/>
        <v>0.27</v>
      </c>
      <c r="BX683" s="309">
        <f t="shared" si="257"/>
        <v>0.72990109999999997</v>
      </c>
      <c r="BY683" s="309">
        <f>VLOOKUP($B683,'Infant adult mortality'!$A$134:$I$234,5)</f>
        <v>9.8900000000000005E-5</v>
      </c>
      <c r="BZ683" s="309">
        <f t="shared" si="258"/>
        <v>0.14000000000000001</v>
      </c>
      <c r="CA683" s="309">
        <f t="shared" si="259"/>
        <v>0.85990109999999997</v>
      </c>
      <c r="CB683" s="309">
        <f>VLOOKUP($B683,'Infant adult mortality'!$A$134:$I$234,4)</f>
        <v>9.8900000000000005E-5</v>
      </c>
      <c r="CC683" s="309">
        <f t="shared" si="260"/>
        <v>0.5714285714285714</v>
      </c>
      <c r="CD683" s="309">
        <f t="shared" si="261"/>
        <v>0.42847252857142859</v>
      </c>
      <c r="CE683" s="309">
        <f>VLOOKUP($B683,'Infant adult mortality'!$A$134:$I$234,4)</f>
        <v>9.8900000000000005E-5</v>
      </c>
      <c r="CF683" s="309">
        <f t="shared" si="262"/>
        <v>8.6261668788331098E-3</v>
      </c>
      <c r="CG683" s="309">
        <f t="shared" si="263"/>
        <v>0.99127493312116688</v>
      </c>
      <c r="CH683" s="309"/>
      <c r="CI683" s="315">
        <f t="shared" ref="CI683:CI746" ca="1" si="288">(CI682*BC683)+(CJ682*BH683)+(CK682*BM683)+(CL682*BO683)</f>
        <v>163.59001951083707</v>
      </c>
      <c r="CJ683" s="316">
        <f t="shared" ref="CJ683:CJ746" ca="1" si="289">CI682*AZ683</f>
        <v>49.695670457561512</v>
      </c>
      <c r="CK683" s="316">
        <f t="shared" ref="CK683:CK746" ca="1" si="290">CJ682*BE683</f>
        <v>7.7996554686360442</v>
      </c>
      <c r="CL683" s="316">
        <f t="shared" ref="CL683:CL746" si="291">(CK682*BJ683)+(CL682*BR683)</f>
        <v>77.687311820269329</v>
      </c>
      <c r="CM683" s="316">
        <f t="shared" ref="CM683:CM746" ca="1" si="292">(CI682*BB683)+(CJ682*BG683)+(CK682*BL683)+(CL682*BQ683)+(CM682*BU683)</f>
        <v>4.1589642094977162</v>
      </c>
      <c r="CN683" s="316">
        <f t="shared" ref="CN683:CN746" ca="1" si="293">(CN682*BX683)+(CO682*CA683)+(CP682*CD683)+(CQ682*CF683)+(CI682*BA683)+(CJ682*BF683)+(CK682*BK683)+(CL682*BP683)+(CM682*BT683)</f>
        <v>107.29924360042297</v>
      </c>
      <c r="CO683" s="316">
        <f t="shared" ref="CO683:CO746" ca="1" si="294">CN682*BW683</f>
        <v>23.115565226074285</v>
      </c>
      <c r="CP683" s="316">
        <f t="shared" ref="CP683:CP746" ca="1" si="295">CO682*BZ683</f>
        <v>2.8897912368970342</v>
      </c>
      <c r="CQ683" s="316">
        <f t="shared" ref="CQ683:CQ746" si="296">(CP682*CC683)+(CQ682*CG683)</f>
        <v>0</v>
      </c>
      <c r="CR683" s="316">
        <f t="shared" ref="CR683:CR746" ca="1" si="297">CR682+(CI682*AY683)+(CJ682*BD683)+(CK682*BI683)+(CL682*BN683)+(CM682*BS683)+(CN682*BV683)+(CO682*BY683)+(CP682*CB683)+(CQ682*CE683)</f>
        <v>53.763778469803945</v>
      </c>
      <c r="CS683" s="317">
        <f t="shared" ca="1" si="264"/>
        <v>489.99999999999989</v>
      </c>
      <c r="CT683" s="309"/>
      <c r="CU683" s="309">
        <f t="shared" ca="1" si="265"/>
        <v>999.99999999999966</v>
      </c>
      <c r="CV683" s="309" t="str">
        <f t="shared" ca="1" si="216"/>
        <v>OKAY</v>
      </c>
      <c r="CW683" s="309"/>
      <c r="CX683" s="315">
        <f>(SUM($AR683:$AS683))-((SUM($AR683:$AS683)*VLOOKUP($B683,Lifetime_morbidity_array!$A$30:$Y$48,4))+(SUM($AR683:$AS683)*VLOOKUP($B683,Lifetime_morbidity_array!$A$30:$Y$48,7))+(SUM($AR683:$AS683)*VLOOKUP($B683,Lifetime_morbidity_array!$A$30:$Y$48,10))+(SUM($AR683:$AS683)*VLOOKUP($B683,Lifetime_morbidity_array!$A$30:$Y$48,13)))</f>
        <v>200.99859146893297</v>
      </c>
      <c r="CY683" s="316">
        <f>(SUM($AT683:$AU683))-((SUM($AT683:$AU683)*(VLOOKUP($B683,Lifetime_morbidity_array!$A$30:$Y$48,3)))+(SUM($AT683:$AU683)*(VLOOKUP($B683,Lifetime_morbidity_array!$A$30:$Y$48,6)))+(SUM($AT683:$AU683)*(VLOOKUP($B683,Lifetime_morbidity_array!$A$30:$Y$48,9)))+(SUM($AT683:$AU683)*(VLOOKUP($B683,Lifetime_morbidity_array!$A$30:$Y$48,12))))</f>
        <v>4.5304496823594658</v>
      </c>
      <c r="CZ683" s="316">
        <f>(SUM($AM683:$AQ683))-((SUM($AM683:$AQ683)*VLOOKUP($B683,Lifetime_morbidity_array!$A$30:$Y$48,2))+(SUM($AM683:$AQ683)*VLOOKUP($B683,Lifetime_morbidity_array!$A$30:$Y$48,5))+(SUM($AM683:$AQ683)*VLOOKUP($B683,Lifetime_morbidity_array!$A$30:$Y$48,8))+(SUM($AM683:$AQ683)*VLOOKUP($B683,Lifetime_morbidity_array!$A$30:$Y$48,11)))</f>
        <v>247.41548258825114</v>
      </c>
      <c r="DA683" s="316">
        <f>(SUM($AM683:$AQ683)*VLOOKUP($B683,Lifetime_morbidity_array!$A$30:$Y$48,2))+(SUM($AR683:$AS683)*VLOOKUP($B683,Lifetime_morbidity_array!$A$30:$Y$48,4))+(SUM($AT683:$AU683)*(VLOOKUP($B683,Lifetime_morbidity_array!$A$30:$Y$48,3)))</f>
        <v>0.45354236528904895</v>
      </c>
      <c r="DB683" s="316">
        <f>(SUM($AM683:$AQ683)*VLOOKUP($B683,Lifetime_morbidity_array!$A$30:$Y$48,5))+(SUM($AR683:$AS683)*VLOOKUP($B683,Lifetime_morbidity_array!$A$30:$Y$48,7))+(SUM($AT683:$AU683)*(VLOOKUP($B683,Lifetime_morbidity_array!$A$30:$Y$48,6)))</f>
        <v>0.13593293294514952</v>
      </c>
      <c r="DC683" s="316">
        <f>(SUM($AM683:$AQ683)*VLOOKUP($B683,Lifetime_morbidity_array!$A$30:$Y$48,8))+(SUM($AR683:$AS683)*VLOOKUP($B683,Lifetime_morbidity_array!$A$30:$Y$48,10))+(SUM($AT683:$AU683)*(VLOOKUP($B683,Lifetime_morbidity_array!$A$30:$Y$48,9)))</f>
        <v>9.0712020659510263E-3</v>
      </c>
      <c r="DD683" s="317">
        <f>(SUM($AM683:$AQ683)*VLOOKUP($B683,Lifetime_morbidity_array!$A$30:$Y$48,11))+(SUM($AR683:$AS683)*VLOOKUP($B683,Lifetime_morbidity_array!$A$30:$Y$48,13))+(SUM($AT683:$AU683)*(VLOOKUP($B683,Lifetime_morbidity_array!$A$30:$Y$48,12)))</f>
        <v>0</v>
      </c>
      <c r="DE683" s="309"/>
      <c r="DF683" s="315">
        <f ca="1">(SUM($CN683:$CO683))-((SUM($CN683:$CO683)*VLOOKUP($B683,Lifetime_morbidity_array!$A$6:$Y$24,4))+(SUM($CN683:$CO683)*VLOOKUP($B683,Lifetime_morbidity_array!$A$6:$Y$24,7))+(SUM($CN683:$CO683)*VLOOKUP($B683,Lifetime_morbidity_array!$A$6:$Y$24,10))+(SUM($CN683:$CO683)*VLOOKUP($B683,Lifetime_morbidity_array!$A$6:$Y$24,13)))</f>
        <v>129.98031430651366</v>
      </c>
      <c r="DG683" s="316">
        <f ca="1">(SUM($CP683:$CQ683))-(((SUM($CP683:$CQ683)*VLOOKUP($B683,Lifetime_morbidity_array!$A$6:$Y$24,3))+(SUM($CP683:$CQ683)*VLOOKUP($B683,Lifetime_morbidity_array!$A$6:$Y$24,6))+(SUM($CP683:$CQ683)*VLOOKUP($B683,Lifetime_morbidity_array!$A$6:$Y$24,9))+(SUM($CP683:$CQ683)*VLOOKUP($B683,Lifetime_morbidity_array!$A$6:$Y$24,12))))</f>
        <v>2.8801635077485845</v>
      </c>
      <c r="DH683" s="316">
        <f ca="1">(SUM($CI683:$CM683))-((SUM($CI683:$CM683)*VLOOKUP($B683,Lifetime_morbidity_array!$A$6:$Y$24,2))+(SUM($CI683:$CM683)*VLOOKUP($B683,Lifetime_morbidity_array!$A$6:$Y$24,5))+(SUM($CI683:$CM683)*VLOOKUP($B683,Lifetime_morbidity_array!$A$6:$Y$24,8))+(SUM($CI683:$CM683)*VLOOKUP($B683,Lifetime_morbidity_array!$A$6:$Y$24,11)))</f>
        <v>301.92236392433819</v>
      </c>
      <c r="DI683" s="316">
        <f ca="1">(SUM($CI683:$CM683)*VLOOKUP($B683,Lifetime_morbidity_array!$A$6:$Y$24,2))+(SUM($CN683:$CO683)*VLOOKUP($B683,Lifetime_morbidity_array!$A$6:$Y$24,4))+(SUM($CP683:$CQ683)*VLOOKUP($B683,Lifetime_morbidity_array!$A$6:$Y$24,3))</f>
        <v>0.43617329153022871</v>
      </c>
      <c r="DJ683" s="316">
        <f ca="1">(SUM($CI683:$CM683)*VLOOKUP($B683,Lifetime_morbidity_array!$A$6:$Y$24,5))+(SUM($CN683:$CO683)*VLOOKUP($B683,Lifetime_morbidity_array!$A$6:$Y$24,7))+(SUM($CP683:$CQ683)*VLOOKUP($B683,Lifetime_morbidity_array!$A$6:$Y$24,6))</f>
        <v>0.13664923844859647</v>
      </c>
      <c r="DK683" s="316">
        <f ca="1">(SUM($CI683:$CM683)*VLOOKUP($B683,Lifetime_morbidity_array!$A$6:$Y$24,8))+(SUM($CN683:$CO683)*VLOOKUP($B683,Lifetime_morbidity_array!$A$6:$Y$24,10))+(SUM($CP683:$CQ683)*VLOOKUP($B683,Lifetime_morbidity_array!$A$6:$Y$24,9))</f>
        <v>8.7268087883745071E-3</v>
      </c>
      <c r="DL683" s="317">
        <f ca="1">(SUM($CI683:$CM683)*VLOOKUP($B683,Lifetime_morbidity_array!$A$6:$Y$24,11))+(SUM($CN683:$CO683)*VLOOKUP($B683,Lifetime_morbidity_array!$A$6:$Y$24,13))+(SUM($CP683:$CQ683)*VLOOKUP($B683,Lifetime_morbidity_array!$A$6:$Y$24,12))</f>
        <v>0.87183045282825444</v>
      </c>
      <c r="DM683" s="309"/>
      <c r="DN683" s="308">
        <f t="shared" si="266"/>
        <v>17</v>
      </c>
      <c r="DO683" s="309">
        <f t="shared" ca="1" si="267"/>
        <v>495.78838423688751</v>
      </c>
      <c r="DP683" s="310">
        <f t="shared" ref="DP683:DP746" ca="1" si="298">DO683+DP682</f>
        <v>11265.112160150804</v>
      </c>
      <c r="DQ683" s="309"/>
      <c r="DR683" s="308">
        <f t="shared" si="268"/>
        <v>17</v>
      </c>
      <c r="DS683" s="309">
        <f ca="1">((VLOOKUP($B683,'Mahawesran Tariff'!$A$21:$M$120,4)*'Experimental (DET)'!$CX683)+(VLOOKUP($B683,'Mahawesran Tariff'!$A$21:$M$120,3)*'Experimental (DET)'!$CY683)+(VLOOKUP($B683,'Mahawesran Tariff'!$A$21:$M$120,2)*'Experimental (DET)'!$CZ683)+(VLOOKUP($B683,'Mahawesran Tariff'!$A$21:$M$120,7)*'Experimental (DET)'!$DF683)+(VLOOKUP($B683,'Mahawesran Tariff'!$A$21:$M$120,6)*'Experimental (DET)'!$DG683)+(VLOOKUP($B683,'Mahawesran Tariff'!$A$21:$M$120,5)*'Experimental (DET)'!$DH683)+(DET_UTIL_chd*('Experimental (DET)'!$DA683+'Experimental (DET)'!$DI683))+(DET_UTIL_copd*('Experimental (DET)'!$DB683+'Experimental (DET)'!$DJ683))+(DET_UTIL_lc*('Experimental (DET)'!$DC683+'Experimental (DET)'!$DK683))+(DET_UTIL_stroke*('Experimental (DET)'!$DD683+'Experimental (DET)'!$DL683)))/((1+Discount_rate_QALYs)^$A683)</f>
        <v>512.86939733471763</v>
      </c>
      <c r="DT683" s="310">
        <f t="shared" ref="DT683:DT746" ca="1" si="299">DS683+DT682</f>
        <v>11168.390615232467</v>
      </c>
      <c r="DU683" s="309"/>
      <c r="DV683" s="308">
        <f t="shared" si="269"/>
        <v>17</v>
      </c>
      <c r="DW683" s="318">
        <f t="shared" ca="1" si="270"/>
        <v>11688.068720896901</v>
      </c>
      <c r="DX683" s="319">
        <f t="shared" ref="DX683:DX746" ca="1" si="300">DW683+DX682</f>
        <v>5460568.3966512429</v>
      </c>
      <c r="DZ683" s="95">
        <f t="shared" si="271"/>
        <v>17</v>
      </c>
      <c r="EA683" s="268">
        <f t="shared" ca="1" si="217"/>
        <v>0.88977929177003967</v>
      </c>
      <c r="EB683" s="268">
        <f t="shared" ca="1" si="218"/>
        <v>0.11022070822996001</v>
      </c>
      <c r="EC683" s="268">
        <f t="shared" ca="1" si="219"/>
        <v>2.0519262918956035E-3</v>
      </c>
      <c r="ED683" s="290">
        <f t="shared" ca="1" si="220"/>
        <v>0.33910523890898164</v>
      </c>
      <c r="EF683" s="95">
        <f t="shared" si="272"/>
        <v>17</v>
      </c>
      <c r="EG683" s="339">
        <f t="shared" ca="1" si="273"/>
        <v>11688.068720896901</v>
      </c>
      <c r="EH683" s="341">
        <f t="shared" ref="EH683:EH746" ca="1" si="301">EG683+EH682</f>
        <v>8562584.120614782</v>
      </c>
      <c r="EJ683" s="308">
        <f t="shared" si="274"/>
        <v>17</v>
      </c>
      <c r="EK683" s="318">
        <f t="shared" ca="1" si="275"/>
        <v>11688.068720896901</v>
      </c>
      <c r="EL683" s="319">
        <f t="shared" ref="EL683:EL746" ca="1" si="302">EK683+EL682</f>
        <v>5457528.3966512419</v>
      </c>
      <c r="EN683" s="95">
        <f t="shared" si="276"/>
        <v>17</v>
      </c>
      <c r="EO683" s="339">
        <f t="shared" ca="1" si="277"/>
        <v>11688.068720896901</v>
      </c>
      <c r="EP683" s="341">
        <f t="shared" ref="EP683:EP746" ca="1" si="303">EO683+EP682</f>
        <v>8562584.120614782</v>
      </c>
    </row>
    <row r="684" spans="1:208" s="266" customFormat="1" x14ac:dyDescent="0.25">
      <c r="A684" s="313">
        <v>18</v>
      </c>
      <c r="B684" s="314">
        <v>18</v>
      </c>
      <c r="C684" s="308">
        <f>VLOOKUP($B684,'Infant adult mortality'!$A$27:$I$128,3)</f>
        <v>1.8770000000000001E-4</v>
      </c>
      <c r="D684" s="309">
        <f t="shared" si="221"/>
        <v>0.27</v>
      </c>
      <c r="E684" s="309">
        <f>VLOOKUP($B684,'Infant pick up smoking rates'!$A$19:$I$104,3)</f>
        <v>0.13570367821769846</v>
      </c>
      <c r="F684" s="309">
        <f t="shared" si="222"/>
        <v>1.4701633923361213E-3</v>
      </c>
      <c r="G684" s="309">
        <f t="shared" si="223"/>
        <v>0.59263845838996543</v>
      </c>
      <c r="H684" s="309">
        <f>VLOOKUP($B684,'Infant adult mortality'!$A$27:$I$128,3)</f>
        <v>1.8770000000000001E-4</v>
      </c>
      <c r="I684" s="309">
        <f t="shared" si="224"/>
        <v>0.14000000000000001</v>
      </c>
      <c r="J684" s="309">
        <f>VLOOKUP($B684,'Infant pick up smoking rates'!$A$19:$I$104,2)</f>
        <v>6.5575634584596809E-2</v>
      </c>
      <c r="K684" s="309">
        <f t="shared" si="225"/>
        <v>1.4701633923361213E-3</v>
      </c>
      <c r="L684" s="309">
        <f t="shared" si="226"/>
        <v>0.79276650202306709</v>
      </c>
      <c r="M684" s="309">
        <f>VLOOKUP($B684,'Infant adult mortality'!$A$27:$I$128,3)</f>
        <v>1.8770000000000001E-4</v>
      </c>
      <c r="N684" s="309">
        <f t="shared" si="227"/>
        <v>0.5714285714285714</v>
      </c>
      <c r="O684" s="309">
        <f>VLOOKUP($B684,'Infant pick up smoking rates'!$A$19:$I$104,2)</f>
        <v>6.5575634584596809E-2</v>
      </c>
      <c r="P684" s="309">
        <f t="shared" si="228"/>
        <v>8.8935810153666615E-4</v>
      </c>
      <c r="Q684" s="309">
        <f t="shared" si="229"/>
        <v>0.36191873588529511</v>
      </c>
      <c r="R684" s="309">
        <f>VLOOKUP($B684,'Infant adult mortality'!$A$27:$I$128,3)</f>
        <v>1.8770000000000001E-4</v>
      </c>
      <c r="S684" s="309">
        <f t="shared" si="230"/>
        <v>8.6261668788331098E-3</v>
      </c>
      <c r="T684" s="309">
        <f>VLOOKUP($B684,'Infant pick up smoking rates'!$A$19:$I$104,2)</f>
        <v>6.5575634584596809E-2</v>
      </c>
      <c r="U684" s="309">
        <f t="shared" si="231"/>
        <v>8.8935810153666615E-4</v>
      </c>
      <c r="V684" s="309">
        <f t="shared" si="232"/>
        <v>0.9247211404350334</v>
      </c>
      <c r="W684" s="309">
        <f>VLOOKUP($B684,'Infant adult mortality'!$A$27:$I$128,3)</f>
        <v>1.8770000000000001E-4</v>
      </c>
      <c r="X684" s="309">
        <f>VLOOKUP($B684,'Infant pick up smoking rates'!$A$19:$I$104,2)</f>
        <v>6.5575634584596809E-2</v>
      </c>
      <c r="Y684" s="309">
        <f t="shared" si="233"/>
        <v>0.93423666541540318</v>
      </c>
      <c r="Z684" s="309">
        <f>VLOOKUP($B684,'Infant adult mortality'!$A$27:$I$128,5)</f>
        <v>1.8770000000000001E-4</v>
      </c>
      <c r="AA684" s="309">
        <f t="shared" si="234"/>
        <v>0.25</v>
      </c>
      <c r="AB684" s="309">
        <f t="shared" si="235"/>
        <v>0.74981229999999999</v>
      </c>
      <c r="AC684" s="309">
        <f>VLOOKUP($B684,'Infant adult mortality'!$A$27:$I$128,5)</f>
        <v>1.8770000000000001E-4</v>
      </c>
      <c r="AD684" s="309">
        <f t="shared" si="236"/>
        <v>0.14000000000000001</v>
      </c>
      <c r="AE684" s="309">
        <f t="shared" si="237"/>
        <v>0.85981229999999997</v>
      </c>
      <c r="AF684" s="309">
        <f>VLOOKUP($B684,'Infant adult mortality'!$A$27:$I$128,4)</f>
        <v>1.8770000000000001E-4</v>
      </c>
      <c r="AG684" s="309">
        <f t="shared" si="238"/>
        <v>0.5714285714285714</v>
      </c>
      <c r="AH684" s="309">
        <f t="shared" si="239"/>
        <v>0.42838372857142859</v>
      </c>
      <c r="AI684" s="309">
        <f>VLOOKUP($B684,'Infant adult mortality'!$A$27:$I$128,4)</f>
        <v>1.8770000000000001E-4</v>
      </c>
      <c r="AJ684" s="309">
        <f t="shared" si="240"/>
        <v>8.6261668788331098E-3</v>
      </c>
      <c r="AK684" s="309">
        <f t="shared" si="241"/>
        <v>0.99118613312116688</v>
      </c>
      <c r="AL684" s="309"/>
      <c r="AM684" s="315">
        <f t="shared" si="278"/>
        <v>110.29033590297979</v>
      </c>
      <c r="AN684" s="316">
        <f t="shared" si="279"/>
        <v>34.110043273593412</v>
      </c>
      <c r="AO684" s="316">
        <f t="shared" si="280"/>
        <v>5.7193347537747909</v>
      </c>
      <c r="AP684" s="316">
        <f t="shared" si="281"/>
        <v>68.695392354778221</v>
      </c>
      <c r="AQ684" s="316">
        <f t="shared" si="282"/>
        <v>3.7754359506313815</v>
      </c>
      <c r="AR684" s="316">
        <f t="shared" si="283"/>
        <v>181.75535678088337</v>
      </c>
      <c r="AS684" s="316">
        <f t="shared" si="284"/>
        <v>41.688189642916662</v>
      </c>
      <c r="AT684" s="316">
        <f t="shared" si="285"/>
        <v>4.8316021318918976</v>
      </c>
      <c r="AU684" s="316">
        <f t="shared" si="286"/>
        <v>2.5922494141101868</v>
      </c>
      <c r="AV684" s="316">
        <f t="shared" si="287"/>
        <v>56.542059794440078</v>
      </c>
      <c r="AW684" s="317">
        <f t="shared" si="242"/>
        <v>509.99999999999983</v>
      </c>
      <c r="AX684" s="309"/>
      <c r="AY684" s="308">
        <f>VLOOKUP($B684,'Infant adult mortality'!$A$134:$I$234,3)</f>
        <v>1.083E-4</v>
      </c>
      <c r="AZ684" s="309">
        <f t="shared" si="243"/>
        <v>0.27</v>
      </c>
      <c r="BA684" s="309">
        <f ca="1">VLOOKUP($B684,'Infant pick up smoking rates'!$A$19:$I$104,7)</f>
        <v>8.4697080549516759E-2</v>
      </c>
      <c r="BB684" s="309">
        <f t="shared" si="244"/>
        <v>1.4701633923361213E-3</v>
      </c>
      <c r="BC684" s="309">
        <f t="shared" ca="1" si="245"/>
        <v>0.64372445605814721</v>
      </c>
      <c r="BD684" s="309">
        <f>VLOOKUP($B684,'Infant adult mortality'!$A$134:$I$234,3)</f>
        <v>1.083E-4</v>
      </c>
      <c r="BE684" s="309">
        <f t="shared" si="246"/>
        <v>0.14000000000000001</v>
      </c>
      <c r="BF684" s="309">
        <f>VLOOKUP($B684,'Infant pick up smoking rates'!$A$19:$I$104,6)</f>
        <v>4.0927886977295748E-2</v>
      </c>
      <c r="BG684" s="309">
        <f t="shared" si="247"/>
        <v>1.4701633923361213E-3</v>
      </c>
      <c r="BH684" s="309">
        <f t="shared" si="248"/>
        <v>0.81749364963036819</v>
      </c>
      <c r="BI684" s="309">
        <f>VLOOKUP($B684,'Infant adult mortality'!$A$134:$I$234,3)</f>
        <v>1.083E-4</v>
      </c>
      <c r="BJ684" s="309">
        <f t="shared" si="249"/>
        <v>0.5714285714285714</v>
      </c>
      <c r="BK684" s="309">
        <f>VLOOKUP($B684,'Infant pick up smoking rates'!$A$19:$I$104,6)</f>
        <v>4.0927886977295748E-2</v>
      </c>
      <c r="BL684" s="309">
        <f t="shared" si="250"/>
        <v>8.8935810153666615E-4</v>
      </c>
      <c r="BM684" s="309">
        <f t="shared" si="251"/>
        <v>0.38664588349259615</v>
      </c>
      <c r="BN684" s="309">
        <f>VLOOKUP($B684,'Infant adult mortality'!$A$134:$I$234,3)</f>
        <v>1.083E-4</v>
      </c>
      <c r="BO684" s="309">
        <f t="shared" si="252"/>
        <v>8.6261668788331098E-3</v>
      </c>
      <c r="BP684" s="309">
        <f>VLOOKUP($B684,'Infant pick up smoking rates'!$A$19:$I$104,6)</f>
        <v>4.0927886977295748E-2</v>
      </c>
      <c r="BQ684" s="309">
        <f t="shared" si="253"/>
        <v>8.8935810153666615E-4</v>
      </c>
      <c r="BR684" s="309">
        <f t="shared" si="254"/>
        <v>0.9494482880423345</v>
      </c>
      <c r="BS684" s="309">
        <f>VLOOKUP($B684,'Infant adult mortality'!$A$134:$I$234,3)</f>
        <v>1.083E-4</v>
      </c>
      <c r="BT684" s="309">
        <f>VLOOKUP($B684,'Infant pick up smoking rates'!$A$19:$I$104,6)</f>
        <v>4.0927886977295748E-2</v>
      </c>
      <c r="BU684" s="309">
        <f t="shared" si="255"/>
        <v>0.95896381302270428</v>
      </c>
      <c r="BV684" s="309">
        <f>VLOOKUP($B684,'Infant adult mortality'!$A$134:$I$234,5)</f>
        <v>1.083E-4</v>
      </c>
      <c r="BW684" s="309">
        <f t="shared" si="256"/>
        <v>0.27</v>
      </c>
      <c r="BX684" s="309">
        <f t="shared" si="257"/>
        <v>0.72989170000000003</v>
      </c>
      <c r="BY684" s="309">
        <f>VLOOKUP($B684,'Infant adult mortality'!$A$134:$I$234,5)</f>
        <v>1.083E-4</v>
      </c>
      <c r="BZ684" s="309">
        <f t="shared" si="258"/>
        <v>0.14000000000000001</v>
      </c>
      <c r="CA684" s="309">
        <f t="shared" si="259"/>
        <v>0.85989170000000004</v>
      </c>
      <c r="CB684" s="309">
        <f>VLOOKUP($B684,'Infant adult mortality'!$A$134:$I$234,4)</f>
        <v>1.083E-4</v>
      </c>
      <c r="CC684" s="309">
        <f t="shared" si="260"/>
        <v>0.5714285714285714</v>
      </c>
      <c r="CD684" s="309">
        <f t="shared" si="261"/>
        <v>0.4284631285714286</v>
      </c>
      <c r="CE684" s="309">
        <f>VLOOKUP($B684,'Infant adult mortality'!$A$134:$I$234,4)</f>
        <v>1.083E-4</v>
      </c>
      <c r="CF684" s="309">
        <f t="shared" si="262"/>
        <v>8.6261668788331098E-3</v>
      </c>
      <c r="CG684" s="309">
        <f t="shared" si="263"/>
        <v>0.99126553312116694</v>
      </c>
      <c r="CH684" s="309"/>
      <c r="CI684" s="315">
        <f t="shared" ca="1" si="288"/>
        <v>149.61863973507354</v>
      </c>
      <c r="CJ684" s="316">
        <f t="shared" ca="1" si="289"/>
        <v>44.169305267926013</v>
      </c>
      <c r="CK684" s="316">
        <f t="shared" ca="1" si="290"/>
        <v>6.9573938640586119</v>
      </c>
      <c r="CL684" s="316">
        <f t="shared" ca="1" si="291"/>
        <v>78.217031192443471</v>
      </c>
      <c r="CM684" s="316">
        <f t="shared" ca="1" si="292"/>
        <v>4.3778895169997663</v>
      </c>
      <c r="CN684" s="316">
        <f t="shared" ca="1" si="293"/>
        <v>118.9904333889114</v>
      </c>
      <c r="CO684" s="316">
        <f t="shared" ca="1" si="294"/>
        <v>28.970795772114204</v>
      </c>
      <c r="CP684" s="316">
        <f t="shared" ca="1" si="295"/>
        <v>3.2361791316504003</v>
      </c>
      <c r="CQ684" s="316">
        <f t="shared" ca="1" si="296"/>
        <v>1.6513092782268766</v>
      </c>
      <c r="CR684" s="316">
        <f t="shared" ca="1" si="297"/>
        <v>53.811022852595663</v>
      </c>
      <c r="CS684" s="317">
        <f t="shared" ca="1" si="264"/>
        <v>489.99999999999994</v>
      </c>
      <c r="CT684" s="309"/>
      <c r="CU684" s="309">
        <f t="shared" ca="1" si="265"/>
        <v>999.99999999999977</v>
      </c>
      <c r="CV684" s="309" t="str">
        <f t="shared" ca="1" si="216"/>
        <v>OKAY</v>
      </c>
      <c r="CW684" s="309"/>
      <c r="CX684" s="315">
        <f>(SUM($AR684:$AS684))-((SUM($AR684:$AS684)*VLOOKUP($B684,Lifetime_morbidity_array!$A$30:$Y$48,4))+(SUM($AR684:$AS684)*VLOOKUP($B684,Lifetime_morbidity_array!$A$30:$Y$48,7))+(SUM($AR684:$AS684)*VLOOKUP($B684,Lifetime_morbidity_array!$A$30:$Y$48,10))+(SUM($AR684:$AS684)*VLOOKUP($B684,Lifetime_morbidity_array!$A$30:$Y$48,13)))</f>
        <v>223.14866516223452</v>
      </c>
      <c r="CY684" s="316">
        <f>(SUM($AT684:$AU684))-((SUM($AT684:$AU684)*(VLOOKUP($B684,Lifetime_morbidity_array!$A$30:$Y$48,3)))+(SUM($AT684:$AU684)*(VLOOKUP($B684,Lifetime_morbidity_array!$A$30:$Y$48,6)))+(SUM($AT684:$AU684)*(VLOOKUP($B684,Lifetime_morbidity_array!$A$30:$Y$48,9)))+(SUM($AT684:$AU684)*(VLOOKUP($B684,Lifetime_morbidity_array!$A$30:$Y$48,12))))</f>
        <v>7.41405419564403</v>
      </c>
      <c r="CZ684" s="316">
        <f>(SUM($AM684:$AQ684))-((SUM($AM684:$AQ684)*VLOOKUP($B684,Lifetime_morbidity_array!$A$30:$Y$48,2))+(SUM($AM684:$AQ684)*VLOOKUP($B684,Lifetime_morbidity_array!$A$30:$Y$48,5))+(SUM($AM684:$AQ684)*VLOOKUP($B684,Lifetime_morbidity_array!$A$30:$Y$48,8))+(SUM($AM684:$AQ684)*VLOOKUP($B684,Lifetime_morbidity_array!$A$30:$Y$48,11)))</f>
        <v>222.29678669455913</v>
      </c>
      <c r="DA684" s="316">
        <f>(SUM($AM684:$AQ684)*VLOOKUP($B684,Lifetime_morbidity_array!$A$30:$Y$48,2))+(SUM($AR684:$AS684)*VLOOKUP($B684,Lifetime_morbidity_array!$A$30:$Y$48,4))+(SUM($AT684:$AU684)*(VLOOKUP($B684,Lifetime_morbidity_array!$A$30:$Y$48,3)))</f>
        <v>0.45345723538708421</v>
      </c>
      <c r="DB684" s="316">
        <f>(SUM($AM684:$AQ684)*VLOOKUP($B684,Lifetime_morbidity_array!$A$30:$Y$48,5))+(SUM($AR684:$AS684)*VLOOKUP($B684,Lifetime_morbidity_array!$A$30:$Y$48,7))+(SUM($AT684:$AU684)*(VLOOKUP($B684,Lifetime_morbidity_array!$A$30:$Y$48,6)))</f>
        <v>0.13590741833363573</v>
      </c>
      <c r="DC684" s="316">
        <f>(SUM($AM684:$AQ684)*VLOOKUP($B684,Lifetime_morbidity_array!$A$30:$Y$48,8))+(SUM($AR684:$AS684)*VLOOKUP($B684,Lifetime_morbidity_array!$A$30:$Y$48,10))+(SUM($AT684:$AU684)*(VLOOKUP($B684,Lifetime_morbidity_array!$A$30:$Y$48,9)))</f>
        <v>9.0694994013232472E-3</v>
      </c>
      <c r="DD684" s="317">
        <f>(SUM($AM684:$AQ684)*VLOOKUP($B684,Lifetime_morbidity_array!$A$30:$Y$48,11))+(SUM($AR684:$AS684)*VLOOKUP($B684,Lifetime_morbidity_array!$A$30:$Y$48,13))+(SUM($AT684:$AU684)*(VLOOKUP($B684,Lifetime_morbidity_array!$A$30:$Y$48,12)))</f>
        <v>0</v>
      </c>
      <c r="DE684" s="309"/>
      <c r="DF684" s="315">
        <f ca="1">(SUM($CN684:$CO684))-((SUM($CN684:$CO684)*VLOOKUP($B684,Lifetime_morbidity_array!$A$6:$Y$24,4))+(SUM($CN684:$CO684)*VLOOKUP($B684,Lifetime_morbidity_array!$A$6:$Y$24,7))+(SUM($CN684:$CO684)*VLOOKUP($B684,Lifetime_morbidity_array!$A$6:$Y$24,10))+(SUM($CN684:$CO684)*VLOOKUP($B684,Lifetime_morbidity_array!$A$6:$Y$24,13)))</f>
        <v>147.46827637583976</v>
      </c>
      <c r="DG684" s="316">
        <f ca="1">(SUM($CP684:$CQ684))-(((SUM($CP684:$CQ684)*VLOOKUP($B684,Lifetime_morbidity_array!$A$6:$Y$24,3))+(SUM($CP684:$CQ684)*VLOOKUP($B684,Lifetime_morbidity_array!$A$6:$Y$24,6))+(SUM($CP684:$CQ684)*VLOOKUP($B684,Lifetime_morbidity_array!$A$6:$Y$24,9))+(SUM($CP684:$CQ684)*VLOOKUP($B684,Lifetime_morbidity_array!$A$6:$Y$24,12))))</f>
        <v>4.8712050832391167</v>
      </c>
      <c r="DH684" s="316">
        <f ca="1">(SUM($CI684:$CM684))-((SUM($CI684:$CM684)*VLOOKUP($B684,Lifetime_morbidity_array!$A$6:$Y$24,2))+(SUM($CI684:$CM684)*VLOOKUP($B684,Lifetime_morbidity_array!$A$6:$Y$24,5))+(SUM($CI684:$CM684)*VLOOKUP($B684,Lifetime_morbidity_array!$A$6:$Y$24,8))+(SUM($CI684:$CM684)*VLOOKUP($B684,Lifetime_morbidity_array!$A$6:$Y$24,11)))</f>
        <v>282.39627329776135</v>
      </c>
      <c r="DI684" s="316">
        <f ca="1">(SUM($CI684:$CM684)*VLOOKUP($B684,Lifetime_morbidity_array!$A$6:$Y$24,2))+(SUM($CN684:$CO684)*VLOOKUP($B684,Lifetime_morbidity_array!$A$6:$Y$24,4))+(SUM($CP684:$CQ684)*VLOOKUP($B684,Lifetime_morbidity_array!$A$6:$Y$24,3))</f>
        <v>0.43612605396275606</v>
      </c>
      <c r="DJ684" s="316">
        <f ca="1">(SUM($CI684:$CM684)*VLOOKUP($B684,Lifetime_morbidity_array!$A$6:$Y$24,5))+(SUM($CN684:$CO684)*VLOOKUP($B684,Lifetime_morbidity_array!$A$6:$Y$24,7))+(SUM($CP684:$CQ684)*VLOOKUP($B684,Lifetime_morbidity_array!$A$6:$Y$24,6))</f>
        <v>0.1366344393360725</v>
      </c>
      <c r="DK684" s="316">
        <f ca="1">(SUM($CI684:$CM684)*VLOOKUP($B684,Lifetime_morbidity_array!$A$6:$Y$24,8))+(SUM($CN684:$CO684)*VLOOKUP($B684,Lifetime_morbidity_array!$A$6:$Y$24,10))+(SUM($CP684:$CQ684)*VLOOKUP($B684,Lifetime_morbidity_array!$A$6:$Y$24,9))</f>
        <v>8.7258636749827281E-3</v>
      </c>
      <c r="DL684" s="317">
        <f ca="1">(SUM($CI684:$CM684)*VLOOKUP($B684,Lifetime_morbidity_array!$A$6:$Y$24,11))+(SUM($CN684:$CO684)*VLOOKUP($B684,Lifetime_morbidity_array!$A$6:$Y$24,13))+(SUM($CP684:$CQ684)*VLOOKUP($B684,Lifetime_morbidity_array!$A$6:$Y$24,12))</f>
        <v>0.87173603359021334</v>
      </c>
      <c r="DM684" s="309"/>
      <c r="DN684" s="308">
        <f t="shared" si="266"/>
        <v>18</v>
      </c>
      <c r="DO684" s="309">
        <f t="shared" ca="1" si="267"/>
        <v>478.95132822356783</v>
      </c>
      <c r="DP684" s="310">
        <f t="shared" ca="1" si="298"/>
        <v>11744.063488374371</v>
      </c>
      <c r="DQ684" s="309"/>
      <c r="DR684" s="308">
        <f t="shared" si="268"/>
        <v>18</v>
      </c>
      <c r="DS684" s="309">
        <f ca="1">((VLOOKUP($B684,'Mahawesran Tariff'!$A$21:$M$120,4)*'Experimental (DET)'!$CX684)+(VLOOKUP($B684,'Mahawesran Tariff'!$A$21:$M$120,3)*'Experimental (DET)'!$CY684)+(VLOOKUP($B684,'Mahawesran Tariff'!$A$21:$M$120,2)*'Experimental (DET)'!$CZ684)+(VLOOKUP($B684,'Mahawesran Tariff'!$A$21:$M$120,7)*'Experimental (DET)'!$DF684)+(VLOOKUP($B684,'Mahawesran Tariff'!$A$21:$M$120,6)*'Experimental (DET)'!$DG684)+(VLOOKUP($B684,'Mahawesran Tariff'!$A$21:$M$120,5)*'Experimental (DET)'!$DH684)+(DET_UTIL_chd*('Experimental (DET)'!$DA684+'Experimental (DET)'!$DI684))+(DET_UTIL_copd*('Experimental (DET)'!$DB684+'Experimental (DET)'!$DJ684))+(DET_UTIL_lc*('Experimental (DET)'!$DC684+'Experimental (DET)'!$DK684))+(DET_UTIL_stroke*('Experimental (DET)'!$DD684+'Experimental (DET)'!$DL684)))/((1+Discount_rate_QALYs)^$A684)</f>
        <v>494.54452144141914</v>
      </c>
      <c r="DT684" s="310">
        <f t="shared" ca="1" si="299"/>
        <v>11662.935136673887</v>
      </c>
      <c r="DU684" s="309"/>
      <c r="DV684" s="308">
        <f t="shared" si="269"/>
        <v>18</v>
      </c>
      <c r="DW684" s="318">
        <f t="shared" ca="1" si="270"/>
        <v>11291.552755159904</v>
      </c>
      <c r="DX684" s="319">
        <f t="shared" ca="1" si="300"/>
        <v>5471859.9494064031</v>
      </c>
      <c r="DZ684" s="95">
        <f t="shared" si="271"/>
        <v>18</v>
      </c>
      <c r="EA684" s="268">
        <f t="shared" ca="1" si="217"/>
        <v>0.88964691735296397</v>
      </c>
      <c r="EB684" s="268">
        <f t="shared" ca="1" si="218"/>
        <v>0.11035308264703574</v>
      </c>
      <c r="EC684" s="268">
        <f t="shared" ca="1" si="219"/>
        <v>2.0516565436860682E-3</v>
      </c>
      <c r="ED684" s="290">
        <f t="shared" ca="1" si="220"/>
        <v>0.38371611554070501</v>
      </c>
      <c r="EF684" s="95">
        <f t="shared" si="272"/>
        <v>18</v>
      </c>
      <c r="EG684" s="339">
        <f t="shared" ca="1" si="273"/>
        <v>11291.552755159904</v>
      </c>
      <c r="EH684" s="341">
        <f t="shared" ca="1" si="301"/>
        <v>8573875.6733699422</v>
      </c>
      <c r="EJ684" s="308">
        <f t="shared" si="274"/>
        <v>18</v>
      </c>
      <c r="EK684" s="318">
        <f t="shared" ca="1" si="275"/>
        <v>11291.552755159904</v>
      </c>
      <c r="EL684" s="319">
        <f t="shared" ca="1" si="302"/>
        <v>5468819.9494064022</v>
      </c>
      <c r="EN684" s="95">
        <f t="shared" si="276"/>
        <v>18</v>
      </c>
      <c r="EO684" s="339">
        <f t="shared" ca="1" si="277"/>
        <v>11291.552755159904</v>
      </c>
      <c r="EP684" s="341">
        <f t="shared" ca="1" si="303"/>
        <v>8573875.6733699422</v>
      </c>
    </row>
    <row r="685" spans="1:208" s="266" customFormat="1" x14ac:dyDescent="0.25">
      <c r="A685" s="313">
        <v>19</v>
      </c>
      <c r="B685" s="314">
        <v>19</v>
      </c>
      <c r="C685" s="308">
        <f>VLOOKUP($B685,'Infant adult mortality'!$A$27:$I$128,3)</f>
        <v>2.309E-4</v>
      </c>
      <c r="D685" s="309">
        <f t="shared" si="221"/>
        <v>0.27</v>
      </c>
      <c r="E685" s="309">
        <f>VLOOKUP($B685,'Infant pick up smoking rates'!$A$19:$I$104,3)</f>
        <v>0.13570367821769846</v>
      </c>
      <c r="F685" s="309">
        <f t="shared" si="222"/>
        <v>1.5360221746741876E-3</v>
      </c>
      <c r="G685" s="309">
        <f t="shared" si="223"/>
        <v>0.59252939960762729</v>
      </c>
      <c r="H685" s="309">
        <f>VLOOKUP($B685,'Infant adult mortality'!$A$27:$I$128,3)</f>
        <v>2.309E-4</v>
      </c>
      <c r="I685" s="309">
        <f t="shared" si="224"/>
        <v>0.14000000000000001</v>
      </c>
      <c r="J685" s="309">
        <f>VLOOKUP($B685,'Infant pick up smoking rates'!$A$19:$I$104,2)</f>
        <v>6.5575634584596809E-2</v>
      </c>
      <c r="K685" s="309">
        <f t="shared" si="225"/>
        <v>1.5360221746741876E-3</v>
      </c>
      <c r="L685" s="309">
        <f t="shared" si="226"/>
        <v>0.79265744324072895</v>
      </c>
      <c r="M685" s="309">
        <f>VLOOKUP($B685,'Infant adult mortality'!$A$27:$I$128,3)</f>
        <v>2.309E-4</v>
      </c>
      <c r="N685" s="309">
        <f t="shared" si="227"/>
        <v>0.5714285714285714</v>
      </c>
      <c r="O685" s="309">
        <f>VLOOKUP($B685,'Infant pick up smoking rates'!$A$19:$I$104,2)</f>
        <v>6.5575634584596809E-2</v>
      </c>
      <c r="P685" s="309">
        <f t="shared" si="228"/>
        <v>9.2919859949426174E-4</v>
      </c>
      <c r="Q685" s="309">
        <f t="shared" si="229"/>
        <v>0.36183569538733756</v>
      </c>
      <c r="R685" s="309">
        <f>VLOOKUP($B685,'Infant adult mortality'!$A$27:$I$128,3)</f>
        <v>2.309E-4</v>
      </c>
      <c r="S685" s="309">
        <f t="shared" si="230"/>
        <v>8.6261668788331098E-3</v>
      </c>
      <c r="T685" s="309">
        <f>VLOOKUP($B685,'Infant pick up smoking rates'!$A$19:$I$104,2)</f>
        <v>6.5575634584596809E-2</v>
      </c>
      <c r="U685" s="309">
        <f t="shared" si="231"/>
        <v>9.2919859949426174E-4</v>
      </c>
      <c r="V685" s="309">
        <f t="shared" si="232"/>
        <v>0.9246380999370758</v>
      </c>
      <c r="W685" s="309">
        <f>VLOOKUP($B685,'Infant adult mortality'!$A$27:$I$128,3)</f>
        <v>2.309E-4</v>
      </c>
      <c r="X685" s="309">
        <f>VLOOKUP($B685,'Infant pick up smoking rates'!$A$19:$I$104,2)</f>
        <v>6.5575634584596809E-2</v>
      </c>
      <c r="Y685" s="309">
        <f t="shared" si="233"/>
        <v>0.93419346541540316</v>
      </c>
      <c r="Z685" s="309">
        <f>VLOOKUP($B685,'Infant adult mortality'!$A$27:$I$128,5)</f>
        <v>2.309E-4</v>
      </c>
      <c r="AA685" s="309">
        <f t="shared" si="234"/>
        <v>0.25</v>
      </c>
      <c r="AB685" s="309">
        <f t="shared" si="235"/>
        <v>0.74976909999999997</v>
      </c>
      <c r="AC685" s="309">
        <f>VLOOKUP($B685,'Infant adult mortality'!$A$27:$I$128,5)</f>
        <v>2.309E-4</v>
      </c>
      <c r="AD685" s="309">
        <f t="shared" si="236"/>
        <v>0.14000000000000001</v>
      </c>
      <c r="AE685" s="309">
        <f t="shared" si="237"/>
        <v>0.85976909999999995</v>
      </c>
      <c r="AF685" s="309">
        <f>VLOOKUP($B685,'Infant adult mortality'!$A$27:$I$128,4)</f>
        <v>2.309E-4</v>
      </c>
      <c r="AG685" s="309">
        <f t="shared" si="238"/>
        <v>0.5714285714285714</v>
      </c>
      <c r="AH685" s="309">
        <f t="shared" si="239"/>
        <v>0.42834052857142862</v>
      </c>
      <c r="AI685" s="309">
        <f>VLOOKUP($B685,'Infant adult mortality'!$A$27:$I$128,4)</f>
        <v>2.309E-4</v>
      </c>
      <c r="AJ685" s="309">
        <f t="shared" si="240"/>
        <v>8.6261668788331098E-3</v>
      </c>
      <c r="AK685" s="309">
        <f t="shared" si="241"/>
        <v>0.99114293312116686</v>
      </c>
      <c r="AL685" s="309"/>
      <c r="AM685" s="315">
        <f t="shared" si="278"/>
        <v>95.049883591237645</v>
      </c>
      <c r="AN685" s="316">
        <f t="shared" si="279"/>
        <v>29.778390693804546</v>
      </c>
      <c r="AO685" s="316">
        <f t="shared" si="280"/>
        <v>4.7754060583030782</v>
      </c>
      <c r="AP685" s="316">
        <f t="shared" si="281"/>
        <v>66.786568349225362</v>
      </c>
      <c r="AQ685" s="316">
        <f t="shared" si="282"/>
        <v>3.8179358388318194</v>
      </c>
      <c r="AR685" s="316">
        <f t="shared" si="283"/>
        <v>196.53966129891359</v>
      </c>
      <c r="AS685" s="316">
        <f t="shared" si="284"/>
        <v>45.438839195220844</v>
      </c>
      <c r="AT685" s="316">
        <f t="shared" si="285"/>
        <v>5.8363465500083329</v>
      </c>
      <c r="AU685" s="316">
        <f t="shared" si="286"/>
        <v>5.3302051916210242</v>
      </c>
      <c r="AV685" s="316">
        <f t="shared" si="287"/>
        <v>56.646763232833543</v>
      </c>
      <c r="AW685" s="317">
        <f t="shared" si="242"/>
        <v>509.99999999999983</v>
      </c>
      <c r="AX685" s="309"/>
      <c r="AY685" s="308">
        <f>VLOOKUP($B685,'Infant adult mortality'!$A$134:$I$234,3)</f>
        <v>1.1779999999999999E-4</v>
      </c>
      <c r="AZ685" s="309">
        <f t="shared" si="243"/>
        <v>0.27</v>
      </c>
      <c r="BA685" s="309">
        <f ca="1">VLOOKUP($B685,'Infant pick up smoking rates'!$A$19:$I$104,7)</f>
        <v>8.4697080549516759E-2</v>
      </c>
      <c r="BB685" s="309">
        <f t="shared" si="244"/>
        <v>1.5360221746741876E-3</v>
      </c>
      <c r="BC685" s="309">
        <f t="shared" ca="1" si="245"/>
        <v>0.6436490972758091</v>
      </c>
      <c r="BD685" s="309">
        <f>VLOOKUP($B685,'Infant adult mortality'!$A$134:$I$234,3)</f>
        <v>1.1779999999999999E-4</v>
      </c>
      <c r="BE685" s="309">
        <f t="shared" si="246"/>
        <v>0.14000000000000001</v>
      </c>
      <c r="BF685" s="309">
        <f>VLOOKUP($B685,'Infant pick up smoking rates'!$A$19:$I$104,6)</f>
        <v>4.0927886977295748E-2</v>
      </c>
      <c r="BG685" s="309">
        <f t="shared" si="247"/>
        <v>1.5360221746741876E-3</v>
      </c>
      <c r="BH685" s="309">
        <f t="shared" si="248"/>
        <v>0.81741829084803008</v>
      </c>
      <c r="BI685" s="309">
        <f>VLOOKUP($B685,'Infant adult mortality'!$A$134:$I$234,3)</f>
        <v>1.1779999999999999E-4</v>
      </c>
      <c r="BJ685" s="309">
        <f t="shared" si="249"/>
        <v>0.5714285714285714</v>
      </c>
      <c r="BK685" s="309">
        <f>VLOOKUP($B685,'Infant pick up smoking rates'!$A$19:$I$104,6)</f>
        <v>4.0927886977295748E-2</v>
      </c>
      <c r="BL685" s="309">
        <f t="shared" si="250"/>
        <v>9.2919859949426174E-4</v>
      </c>
      <c r="BM685" s="309">
        <f t="shared" si="251"/>
        <v>0.38659654299463858</v>
      </c>
      <c r="BN685" s="309">
        <f>VLOOKUP($B685,'Infant adult mortality'!$A$134:$I$234,3)</f>
        <v>1.1779999999999999E-4</v>
      </c>
      <c r="BO685" s="309">
        <f t="shared" si="252"/>
        <v>8.6261668788331098E-3</v>
      </c>
      <c r="BP685" s="309">
        <f>VLOOKUP($B685,'Infant pick up smoking rates'!$A$19:$I$104,6)</f>
        <v>4.0927886977295748E-2</v>
      </c>
      <c r="BQ685" s="309">
        <f t="shared" si="253"/>
        <v>9.2919859949426174E-4</v>
      </c>
      <c r="BR685" s="309">
        <f t="shared" si="254"/>
        <v>0.94939894754437693</v>
      </c>
      <c r="BS685" s="309">
        <f>VLOOKUP($B685,'Infant adult mortality'!$A$134:$I$234,3)</f>
        <v>1.1779999999999999E-4</v>
      </c>
      <c r="BT685" s="309">
        <f>VLOOKUP($B685,'Infant pick up smoking rates'!$A$19:$I$104,6)</f>
        <v>4.0927886977295748E-2</v>
      </c>
      <c r="BU685" s="309">
        <f t="shared" si="255"/>
        <v>0.95895431302270429</v>
      </c>
      <c r="BV685" s="309">
        <f>VLOOKUP($B685,'Infant adult mortality'!$A$134:$I$234,5)</f>
        <v>1.1779999999999999E-4</v>
      </c>
      <c r="BW685" s="309">
        <f t="shared" si="256"/>
        <v>0.27</v>
      </c>
      <c r="BX685" s="309">
        <f t="shared" si="257"/>
        <v>0.72988220000000004</v>
      </c>
      <c r="BY685" s="309">
        <f>VLOOKUP($B685,'Infant adult mortality'!$A$134:$I$234,5)</f>
        <v>1.1779999999999999E-4</v>
      </c>
      <c r="BZ685" s="309">
        <f t="shared" si="258"/>
        <v>0.14000000000000001</v>
      </c>
      <c r="CA685" s="309">
        <f t="shared" si="259"/>
        <v>0.85988220000000004</v>
      </c>
      <c r="CB685" s="309">
        <f>VLOOKUP($B685,'Infant adult mortality'!$A$134:$I$234,4)</f>
        <v>1.1779999999999999E-4</v>
      </c>
      <c r="CC685" s="309">
        <f t="shared" si="260"/>
        <v>0.5714285714285714</v>
      </c>
      <c r="CD685" s="309">
        <f t="shared" si="261"/>
        <v>0.4284536285714286</v>
      </c>
      <c r="CE685" s="309">
        <f>VLOOKUP($B685,'Infant adult mortality'!$A$134:$I$234,4)</f>
        <v>1.1779999999999999E-4</v>
      </c>
      <c r="CF685" s="309">
        <f t="shared" si="262"/>
        <v>8.6261668788331098E-3</v>
      </c>
      <c r="CG685" s="309">
        <f t="shared" si="263"/>
        <v>0.99125603312116695</v>
      </c>
      <c r="CH685" s="309"/>
      <c r="CI685" s="315">
        <f t="shared" ca="1" si="288"/>
        <v>135.77111800109762</v>
      </c>
      <c r="CJ685" s="316">
        <f t="shared" ca="1" si="289"/>
        <v>40.39703272846986</v>
      </c>
      <c r="CK685" s="316">
        <f t="shared" ca="1" si="290"/>
        <v>6.1837027375096421</v>
      </c>
      <c r="CL685" s="316">
        <f t="shared" ca="1" si="291"/>
        <v>78.234820730756454</v>
      </c>
      <c r="CM685" s="316">
        <f t="shared" ca="1" si="292"/>
        <v>4.5750025714481897</v>
      </c>
      <c r="CN685" s="316">
        <f t="shared" ca="1" si="293"/>
        <v>131.30647339083521</v>
      </c>
      <c r="CO685" s="316">
        <f t="shared" ca="1" si="294"/>
        <v>32.127417015006081</v>
      </c>
      <c r="CP685" s="316">
        <f t="shared" ca="1" si="295"/>
        <v>4.055911408095989</v>
      </c>
      <c r="CQ685" s="316">
        <f t="shared" ca="1" si="296"/>
        <v>3.4861155026772939</v>
      </c>
      <c r="CR685" s="316">
        <f t="shared" ca="1" si="297"/>
        <v>53.862405914103626</v>
      </c>
      <c r="CS685" s="317">
        <f t="shared" ca="1" si="264"/>
        <v>490</v>
      </c>
      <c r="CT685" s="309"/>
      <c r="CU685" s="309">
        <f t="shared" ca="1" si="265"/>
        <v>999.99999999999977</v>
      </c>
      <c r="CV685" s="309" t="str">
        <f t="shared" ca="1" si="216"/>
        <v>OKAY</v>
      </c>
      <c r="CW685" s="309"/>
      <c r="CX685" s="315">
        <f>(SUM($AR685:$AS685))-((SUM($AR685:$AS685)*VLOOKUP($B685,Lifetime_morbidity_array!$A$30:$Y$48,4))+(SUM($AR685:$AS685)*VLOOKUP($B685,Lifetime_morbidity_array!$A$30:$Y$48,7))+(SUM($AR685:$AS685)*VLOOKUP($B685,Lifetime_morbidity_array!$A$30:$Y$48,10))+(SUM($AR685:$AS685)*VLOOKUP($B685,Lifetime_morbidity_array!$A$30:$Y$48,13)))</f>
        <v>241.659158420311</v>
      </c>
      <c r="CY685" s="316">
        <f>(SUM($AT685:$AU685))-((SUM($AT685:$AU685)*(VLOOKUP($B685,Lifetime_morbidity_array!$A$30:$Y$48,3)))+(SUM($AT685:$AU685)*(VLOOKUP($B685,Lifetime_morbidity_array!$A$30:$Y$48,6)))+(SUM($AT685:$AU685)*(VLOOKUP($B685,Lifetime_morbidity_array!$A$30:$Y$48,9)))+(SUM($AT685:$AU685)*(VLOOKUP($B685,Lifetime_morbidity_array!$A$30:$Y$48,12))))</f>
        <v>11.151815102699258</v>
      </c>
      <c r="CZ685" s="316">
        <f>(SUM($AM685:$AQ685))-((SUM($AM685:$AQ685)*VLOOKUP($B685,Lifetime_morbidity_array!$A$30:$Y$48,2))+(SUM($AM685:$AQ685)*VLOOKUP($B685,Lifetime_morbidity_array!$A$30:$Y$48,5))+(SUM($AM685:$AQ685)*VLOOKUP($B685,Lifetime_morbidity_array!$A$30:$Y$48,8))+(SUM($AM685:$AQ685)*VLOOKUP($B685,Lifetime_morbidity_array!$A$30:$Y$48,11)))</f>
        <v>199.94396726947994</v>
      </c>
      <c r="DA685" s="316">
        <f>(SUM($AM685:$AQ685)*VLOOKUP($B685,Lifetime_morbidity_array!$A$30:$Y$48,2))+(SUM($AR685:$AS685)*VLOOKUP($B685,Lifetime_morbidity_array!$A$30:$Y$48,4))+(SUM($AT685:$AU685)*(VLOOKUP($B685,Lifetime_morbidity_array!$A$30:$Y$48,3)))</f>
        <v>0.45335253211143334</v>
      </c>
      <c r="DB685" s="316">
        <f>(SUM($AM685:$AQ685)*VLOOKUP($B685,Lifetime_morbidity_array!$A$30:$Y$48,5))+(SUM($AR685:$AS685)*VLOOKUP($B685,Lifetime_morbidity_array!$A$30:$Y$48,7))+(SUM($AT685:$AU685)*(VLOOKUP($B685,Lifetime_morbidity_array!$A$30:$Y$48,6)))</f>
        <v>0.13587603731074249</v>
      </c>
      <c r="DC685" s="316">
        <f>(SUM($AM685:$AQ685)*VLOOKUP($B685,Lifetime_morbidity_array!$A$30:$Y$48,8))+(SUM($AR685:$AS685)*VLOOKUP($B685,Lifetime_morbidity_array!$A$30:$Y$48,10))+(SUM($AT685:$AU685)*(VLOOKUP($B685,Lifetime_morbidity_array!$A$30:$Y$48,9)))</f>
        <v>9.067405253911481E-3</v>
      </c>
      <c r="DD685" s="317">
        <f>(SUM($AM685:$AQ685)*VLOOKUP($B685,Lifetime_morbidity_array!$A$30:$Y$48,11))+(SUM($AR685:$AS685)*VLOOKUP($B685,Lifetime_morbidity_array!$A$30:$Y$48,13))+(SUM($AT685:$AU685)*(VLOOKUP($B685,Lifetime_morbidity_array!$A$30:$Y$48,12)))</f>
        <v>0</v>
      </c>
      <c r="DE685" s="309"/>
      <c r="DF685" s="315">
        <f ca="1">(SUM($CN685:$CO685))-((SUM($CN685:$CO685)*VLOOKUP($B685,Lifetime_morbidity_array!$A$6:$Y$24,4))+(SUM($CN685:$CO685)*VLOOKUP($B685,Lifetime_morbidity_array!$A$6:$Y$24,7))+(SUM($CN685:$CO685)*VLOOKUP($B685,Lifetime_morbidity_array!$A$6:$Y$24,10))+(SUM($CN685:$CO685)*VLOOKUP($B685,Lifetime_morbidity_array!$A$6:$Y$24,13)))</f>
        <v>162.88938836347424</v>
      </c>
      <c r="DG685" s="316">
        <f ca="1">(SUM($CP685:$CQ685))-(((SUM($CP685:$CQ685)*VLOOKUP($B685,Lifetime_morbidity_array!$A$6:$Y$24,3))+(SUM($CP685:$CQ685)*VLOOKUP($B685,Lifetime_morbidity_array!$A$6:$Y$24,6))+(SUM($CP685:$CQ685)*VLOOKUP($B685,Lifetime_morbidity_array!$A$6:$Y$24,9))+(SUM($CP685:$CQ685)*VLOOKUP($B685,Lifetime_morbidity_array!$A$6:$Y$24,12))))</f>
        <v>7.5168996311967788</v>
      </c>
      <c r="DH685" s="316">
        <f ca="1">(SUM($CI685:$CM685))-((SUM($CI685:$CM685)*VLOOKUP($B685,Lifetime_morbidity_array!$A$6:$Y$24,2))+(SUM($CI685:$CM685)*VLOOKUP($B685,Lifetime_morbidity_array!$A$6:$Y$24,5))+(SUM($CI685:$CM685)*VLOOKUP($B685,Lifetime_morbidity_array!$A$6:$Y$24,8))+(SUM($CI685:$CM685)*VLOOKUP($B685,Lifetime_morbidity_array!$A$6:$Y$24,11)))</f>
        <v>264.27825489025889</v>
      </c>
      <c r="DI685" s="316">
        <f ca="1">(SUM($CI685:$CM685)*VLOOKUP($B685,Lifetime_morbidity_array!$A$6:$Y$24,2))+(SUM($CN685:$CO685)*VLOOKUP($B685,Lifetime_morbidity_array!$A$6:$Y$24,4))+(SUM($CP685:$CQ685)*VLOOKUP($B685,Lifetime_morbidity_array!$A$6:$Y$24,3))</f>
        <v>0.43607467831359931</v>
      </c>
      <c r="DJ685" s="316">
        <f ca="1">(SUM($CI685:$CM685)*VLOOKUP($B685,Lifetime_morbidity_array!$A$6:$Y$24,5))+(SUM($CN685:$CO685)*VLOOKUP($B685,Lifetime_morbidity_array!$A$6:$Y$24,7))+(SUM($CP685:$CQ685)*VLOOKUP($B685,Lifetime_morbidity_array!$A$6:$Y$24,6))</f>
        <v>0.13661834379911872</v>
      </c>
      <c r="DK685" s="316">
        <f ca="1">(SUM($CI685:$CM685)*VLOOKUP($B685,Lifetime_morbidity_array!$A$6:$Y$24,8))+(SUM($CN685:$CO685)*VLOOKUP($B685,Lifetime_morbidity_array!$A$6:$Y$24,10))+(SUM($CP685:$CQ685)*VLOOKUP($B685,Lifetime_morbidity_array!$A$6:$Y$24,9))</f>
        <v>8.7248357682418176E-3</v>
      </c>
      <c r="DL685" s="317">
        <f ca="1">(SUM($CI685:$CM685)*VLOOKUP($B685,Lifetime_morbidity_array!$A$6:$Y$24,11))+(SUM($CN685:$CO685)*VLOOKUP($B685,Lifetime_morbidity_array!$A$6:$Y$24,13))+(SUM($CP685:$CQ685)*VLOOKUP($B685,Lifetime_morbidity_array!$A$6:$Y$24,12))</f>
        <v>0.87163334308545648</v>
      </c>
      <c r="DM685" s="309"/>
      <c r="DN685" s="308">
        <f t="shared" si="266"/>
        <v>19</v>
      </c>
      <c r="DO685" s="309">
        <f t="shared" ca="1" si="267"/>
        <v>462.67371721508448</v>
      </c>
      <c r="DP685" s="310">
        <f t="shared" ca="1" si="298"/>
        <v>12206.737205589456</v>
      </c>
      <c r="DQ685" s="309"/>
      <c r="DR685" s="308">
        <f t="shared" si="268"/>
        <v>19</v>
      </c>
      <c r="DS685" s="309">
        <f ca="1">((VLOOKUP($B685,'Mahawesran Tariff'!$A$21:$M$120,4)*'Experimental (DET)'!$CX685)+(VLOOKUP($B685,'Mahawesran Tariff'!$A$21:$M$120,3)*'Experimental (DET)'!$CY685)+(VLOOKUP($B685,'Mahawesran Tariff'!$A$21:$M$120,2)*'Experimental (DET)'!$CZ685)+(VLOOKUP($B685,'Mahawesran Tariff'!$A$21:$M$120,7)*'Experimental (DET)'!$DF685)+(VLOOKUP($B685,'Mahawesran Tariff'!$A$21:$M$120,6)*'Experimental (DET)'!$DG685)+(VLOOKUP($B685,'Mahawesran Tariff'!$A$21:$M$120,5)*'Experimental (DET)'!$DH685)+(DET_UTIL_chd*('Experimental (DET)'!$DA685+'Experimental (DET)'!$DI685))+(DET_UTIL_copd*('Experimental (DET)'!$DB685+'Experimental (DET)'!$DJ685))+(DET_UTIL_lc*('Experimental (DET)'!$DC685+'Experimental (DET)'!$DK685))+(DET_UTIL_stroke*('Experimental (DET)'!$DD685+'Experimental (DET)'!$DL685)))/((1+Discount_rate_QALYs)^$A685)</f>
        <v>476.95916599680453</v>
      </c>
      <c r="DT685" s="310">
        <f t="shared" ca="1" si="299"/>
        <v>12139.894302670691</v>
      </c>
      <c r="DU685" s="309"/>
      <c r="DV685" s="308">
        <f t="shared" si="269"/>
        <v>19</v>
      </c>
      <c r="DW685" s="318">
        <f t="shared" ca="1" si="270"/>
        <v>10908.366750889498</v>
      </c>
      <c r="DX685" s="319">
        <f t="shared" ca="1" si="300"/>
        <v>5482768.3161572926</v>
      </c>
      <c r="DZ685" s="95">
        <f t="shared" si="271"/>
        <v>19</v>
      </c>
      <c r="EA685" s="268">
        <f t="shared" ca="1" si="217"/>
        <v>0.88949083085306258</v>
      </c>
      <c r="EB685" s="268">
        <f t="shared" ca="1" si="218"/>
        <v>0.11050916914693718</v>
      </c>
      <c r="EC685" s="268">
        <f t="shared" ca="1" si="219"/>
        <v>2.0513471756425034E-3</v>
      </c>
      <c r="ED685" s="290">
        <f t="shared" ca="1" si="220"/>
        <v>0.42412096955237838</v>
      </c>
      <c r="EF685" s="95">
        <f t="shared" si="272"/>
        <v>19</v>
      </c>
      <c r="EG685" s="339">
        <f t="shared" ca="1" si="273"/>
        <v>10908.366750889498</v>
      </c>
      <c r="EH685" s="341">
        <f t="shared" ca="1" si="301"/>
        <v>8584784.0401208326</v>
      </c>
      <c r="EJ685" s="308">
        <f t="shared" si="274"/>
        <v>19</v>
      </c>
      <c r="EK685" s="318">
        <f t="shared" ca="1" si="275"/>
        <v>10908.366750889498</v>
      </c>
      <c r="EL685" s="319">
        <f t="shared" ca="1" si="302"/>
        <v>5479728.3161572916</v>
      </c>
      <c r="EN685" s="95">
        <f t="shared" si="276"/>
        <v>19</v>
      </c>
      <c r="EO685" s="339">
        <f t="shared" ca="1" si="277"/>
        <v>10908.366750889498</v>
      </c>
      <c r="EP685" s="341">
        <f t="shared" ca="1" si="303"/>
        <v>8584784.0401208326</v>
      </c>
    </row>
    <row r="686" spans="1:208" s="266" customFormat="1" x14ac:dyDescent="0.25">
      <c r="A686" s="313">
        <v>20</v>
      </c>
      <c r="B686" s="314">
        <v>20</v>
      </c>
      <c r="C686" s="308">
        <f>VLOOKUP($B686,'Infant adult mortality'!$A$27:$I$128,3)</f>
        <v>2.7339999999999998E-4</v>
      </c>
      <c r="D686" s="309">
        <f t="shared" si="221"/>
        <v>0.27</v>
      </c>
      <c r="E686" s="309">
        <f>VLOOKUP($B686,'Infant pick up smoking rates'!$A$19:$I$104,3)</f>
        <v>2.6500909529550587E-2</v>
      </c>
      <c r="F686" s="309">
        <f t="shared" si="222"/>
        <v>1.6225209103287296E-3</v>
      </c>
      <c r="G686" s="309">
        <f t="shared" si="223"/>
        <v>0.70160316956012059</v>
      </c>
      <c r="H686" s="309">
        <f>VLOOKUP($B686,'Infant adult mortality'!$A$27:$I$128,3)</f>
        <v>2.7339999999999998E-4</v>
      </c>
      <c r="I686" s="309">
        <f t="shared" si="224"/>
        <v>0.14000000000000001</v>
      </c>
      <c r="J686" s="309">
        <f>VLOOKUP($B686,'Infant pick up smoking rates'!$A$19:$I$104,2)</f>
        <v>2.6500909529550587E-2</v>
      </c>
      <c r="K686" s="309">
        <f t="shared" si="225"/>
        <v>1.6225209103287296E-3</v>
      </c>
      <c r="L686" s="309">
        <f t="shared" si="226"/>
        <v>0.83160316956012059</v>
      </c>
      <c r="M686" s="309">
        <f>VLOOKUP($B686,'Infant adult mortality'!$A$27:$I$128,3)</f>
        <v>2.7339999999999998E-4</v>
      </c>
      <c r="N686" s="309">
        <f t="shared" si="227"/>
        <v>0.5714285714285714</v>
      </c>
      <c r="O686" s="309">
        <f>VLOOKUP($B686,'Infant pick up smoking rates'!$A$19:$I$104,2)</f>
        <v>2.6500909529550587E-2</v>
      </c>
      <c r="P686" s="309">
        <f t="shared" si="228"/>
        <v>9.8152499513713275E-4</v>
      </c>
      <c r="Q686" s="309">
        <f t="shared" si="229"/>
        <v>0.40081559404674083</v>
      </c>
      <c r="R686" s="309">
        <f>VLOOKUP($B686,'Infant adult mortality'!$A$27:$I$128,3)</f>
        <v>2.7339999999999998E-4</v>
      </c>
      <c r="S686" s="309">
        <f t="shared" si="230"/>
        <v>8.6261668788331098E-3</v>
      </c>
      <c r="T686" s="309">
        <f>VLOOKUP($B686,'Infant pick up smoking rates'!$A$19:$I$104,2)</f>
        <v>2.6500909529550587E-2</v>
      </c>
      <c r="U686" s="309">
        <f t="shared" si="231"/>
        <v>9.8152499513713275E-4</v>
      </c>
      <c r="V686" s="309">
        <f t="shared" si="232"/>
        <v>0.96361799859647912</v>
      </c>
      <c r="W686" s="309">
        <f>VLOOKUP($B686,'Infant adult mortality'!$A$27:$I$128,3)</f>
        <v>2.7339999999999998E-4</v>
      </c>
      <c r="X686" s="309">
        <f>VLOOKUP($B686,'Infant pick up smoking rates'!$A$19:$I$104,2)</f>
        <v>2.6500909529550587E-2</v>
      </c>
      <c r="Y686" s="309">
        <f t="shared" si="233"/>
        <v>0.97322569047044949</v>
      </c>
      <c r="Z686" s="309">
        <f>VLOOKUP($B686,'Infant adult mortality'!$A$27:$I$128,5)</f>
        <v>2.7339999999999998E-4</v>
      </c>
      <c r="AA686" s="309">
        <f t="shared" si="234"/>
        <v>0.25</v>
      </c>
      <c r="AB686" s="309">
        <f t="shared" si="235"/>
        <v>0.74972660000000002</v>
      </c>
      <c r="AC686" s="309">
        <f>VLOOKUP($B686,'Infant adult mortality'!$A$27:$I$128,5)</f>
        <v>2.7339999999999998E-4</v>
      </c>
      <c r="AD686" s="309">
        <f t="shared" si="236"/>
        <v>0.14000000000000001</v>
      </c>
      <c r="AE686" s="309">
        <f t="shared" si="237"/>
        <v>0.85972660000000001</v>
      </c>
      <c r="AF686" s="309">
        <f>VLOOKUP($B686,'Infant adult mortality'!$A$27:$I$128,4)</f>
        <v>2.7339999999999998E-4</v>
      </c>
      <c r="AG686" s="309">
        <f t="shared" si="238"/>
        <v>0.5714285714285714</v>
      </c>
      <c r="AH686" s="309">
        <f t="shared" si="239"/>
        <v>0.42829802857142862</v>
      </c>
      <c r="AI686" s="309">
        <f>VLOOKUP($B686,'Infant adult mortality'!$A$27:$I$128,4)</f>
        <v>2.7339999999999998E-4</v>
      </c>
      <c r="AJ686" s="309">
        <f t="shared" si="240"/>
        <v>8.6261668788331098E-3</v>
      </c>
      <c r="AK686" s="309">
        <f t="shared" si="241"/>
        <v>0.99110043312116691</v>
      </c>
      <c r="AL686" s="309"/>
      <c r="AM686" s="315">
        <f t="shared" si="278"/>
        <v>93.941272979218454</v>
      </c>
      <c r="AN686" s="316">
        <f t="shared" si="279"/>
        <v>25.663468569634166</v>
      </c>
      <c r="AO686" s="316">
        <f t="shared" si="280"/>
        <v>4.1689746971326365</v>
      </c>
      <c r="AP686" s="316">
        <f t="shared" si="281"/>
        <v>67.085542787694976</v>
      </c>
      <c r="AQ686" s="316">
        <f t="shared" si="282"/>
        <v>3.9884895947290562</v>
      </c>
      <c r="AR686" s="316">
        <f t="shared" si="283"/>
        <v>194.26736470629183</v>
      </c>
      <c r="AS686" s="316">
        <f t="shared" si="284"/>
        <v>49.134915324728397</v>
      </c>
      <c r="AT686" s="316">
        <f t="shared" si="285"/>
        <v>6.3614374873309183</v>
      </c>
      <c r="AU686" s="316">
        <f t="shared" si="286"/>
        <v>8.6178238454736231</v>
      </c>
      <c r="AV686" s="316">
        <f t="shared" si="287"/>
        <v>56.770710007765686</v>
      </c>
      <c r="AW686" s="317">
        <f t="shared" si="242"/>
        <v>509.99999999999983</v>
      </c>
      <c r="AX686" s="309"/>
      <c r="AY686" s="308">
        <f>VLOOKUP($B686,'Infant adult mortality'!$A$134:$I$234,3)</f>
        <v>1.2460000000000002E-4</v>
      </c>
      <c r="AZ686" s="309">
        <f t="shared" si="243"/>
        <v>0.27</v>
      </c>
      <c r="BA686" s="309">
        <f ca="1">VLOOKUP($B686,'Infant pick up smoking rates'!$A$19:$I$104,7)</f>
        <v>3.2485004477810379E-2</v>
      </c>
      <c r="BB686" s="309">
        <f t="shared" si="244"/>
        <v>1.6225209103287296E-3</v>
      </c>
      <c r="BC686" s="309">
        <f t="shared" ca="1" si="245"/>
        <v>0.69576787461186085</v>
      </c>
      <c r="BD686" s="309">
        <f>VLOOKUP($B686,'Infant adult mortality'!$A$134:$I$234,3)</f>
        <v>1.2460000000000002E-4</v>
      </c>
      <c r="BE686" s="309">
        <f t="shared" si="246"/>
        <v>0.14000000000000001</v>
      </c>
      <c r="BF686" s="309">
        <f>VLOOKUP($B686,'Infant pick up smoking rates'!$A$19:$I$104,6)</f>
        <v>1.5697620072600664E-2</v>
      </c>
      <c r="BG686" s="309">
        <f t="shared" si="247"/>
        <v>1.6225209103287296E-3</v>
      </c>
      <c r="BH686" s="309">
        <f t="shared" si="248"/>
        <v>0.84255525901707051</v>
      </c>
      <c r="BI686" s="309">
        <f>VLOOKUP($B686,'Infant adult mortality'!$A$134:$I$234,3)</f>
        <v>1.2460000000000002E-4</v>
      </c>
      <c r="BJ686" s="309">
        <f t="shared" si="249"/>
        <v>0.5714285714285714</v>
      </c>
      <c r="BK686" s="309">
        <f>VLOOKUP($B686,'Infant pick up smoking rates'!$A$19:$I$104,6)</f>
        <v>1.5697620072600664E-2</v>
      </c>
      <c r="BL686" s="309">
        <f t="shared" si="250"/>
        <v>9.8152499513713275E-4</v>
      </c>
      <c r="BM686" s="309">
        <f t="shared" si="251"/>
        <v>0.41176768350369081</v>
      </c>
      <c r="BN686" s="309">
        <f>VLOOKUP($B686,'Infant adult mortality'!$A$134:$I$234,3)</f>
        <v>1.2460000000000002E-4</v>
      </c>
      <c r="BO686" s="309">
        <f t="shared" si="252"/>
        <v>8.6261668788331098E-3</v>
      </c>
      <c r="BP686" s="309">
        <f>VLOOKUP($B686,'Infant pick up smoking rates'!$A$19:$I$104,6)</f>
        <v>1.5697620072600664E-2</v>
      </c>
      <c r="BQ686" s="309">
        <f t="shared" si="253"/>
        <v>9.8152499513713275E-4</v>
      </c>
      <c r="BR686" s="309">
        <f t="shared" si="254"/>
        <v>0.97457008805342904</v>
      </c>
      <c r="BS686" s="309">
        <f>VLOOKUP($B686,'Infant adult mortality'!$A$134:$I$234,3)</f>
        <v>1.2460000000000002E-4</v>
      </c>
      <c r="BT686" s="309">
        <f>VLOOKUP($B686,'Infant pick up smoking rates'!$A$19:$I$104,6)</f>
        <v>1.5697620072600664E-2</v>
      </c>
      <c r="BU686" s="309">
        <f t="shared" si="255"/>
        <v>0.9841777799273993</v>
      </c>
      <c r="BV686" s="309">
        <f>VLOOKUP($B686,'Infant adult mortality'!$A$134:$I$234,5)</f>
        <v>1.2460000000000002E-4</v>
      </c>
      <c r="BW686" s="309">
        <f t="shared" si="256"/>
        <v>0.27</v>
      </c>
      <c r="BX686" s="309">
        <f t="shared" si="257"/>
        <v>0.72987539999999995</v>
      </c>
      <c r="BY686" s="309">
        <f>VLOOKUP($B686,'Infant adult mortality'!$A$134:$I$234,5)</f>
        <v>1.2460000000000002E-4</v>
      </c>
      <c r="BZ686" s="309">
        <f t="shared" si="258"/>
        <v>0.14000000000000001</v>
      </c>
      <c r="CA686" s="309">
        <f t="shared" si="259"/>
        <v>0.85987539999999996</v>
      </c>
      <c r="CB686" s="309">
        <f>VLOOKUP($B686,'Infant adult mortality'!$A$134:$I$234,4)</f>
        <v>1.2460000000000002E-4</v>
      </c>
      <c r="CC686" s="309">
        <f t="shared" si="260"/>
        <v>0.5714285714285714</v>
      </c>
      <c r="CD686" s="309">
        <f t="shared" si="261"/>
        <v>0.42844682857142863</v>
      </c>
      <c r="CE686" s="309">
        <f>VLOOKUP($B686,'Infant adult mortality'!$A$134:$I$234,4)</f>
        <v>1.2460000000000002E-4</v>
      </c>
      <c r="CF686" s="309">
        <f t="shared" si="262"/>
        <v>8.6261668788331098E-3</v>
      </c>
      <c r="CG686" s="309">
        <f t="shared" si="263"/>
        <v>0.99124923312116686</v>
      </c>
      <c r="CH686" s="309"/>
      <c r="CI686" s="315">
        <f t="shared" ca="1" si="288"/>
        <v>131.72303015041572</v>
      </c>
      <c r="CJ686" s="316">
        <f t="shared" ca="1" si="289"/>
        <v>36.658201860296359</v>
      </c>
      <c r="CK686" s="316">
        <f t="shared" ca="1" si="290"/>
        <v>5.6555845819857806</v>
      </c>
      <c r="CL686" s="316">
        <f t="shared" ca="1" si="291"/>
        <v>79.778860549851643</v>
      </c>
      <c r="CM686" s="316">
        <f t="shared" ca="1" si="292"/>
        <v>4.8713112730593631</v>
      </c>
      <c r="CN686" s="316">
        <f t="shared" ca="1" si="293"/>
        <v>131.67240374806818</v>
      </c>
      <c r="CO686" s="316">
        <f t="shared" ca="1" si="294"/>
        <v>35.452747815525505</v>
      </c>
      <c r="CP686" s="316">
        <f t="shared" ca="1" si="295"/>
        <v>4.4978383821008521</v>
      </c>
      <c r="CQ686" s="316">
        <f t="shared" ca="1" si="296"/>
        <v>5.7732729803698151</v>
      </c>
      <c r="CR686" s="316">
        <f t="shared" ca="1" si="297"/>
        <v>53.916748658326718</v>
      </c>
      <c r="CS686" s="317">
        <f t="shared" ca="1" si="264"/>
        <v>489.99999999999994</v>
      </c>
      <c r="CT686" s="309"/>
      <c r="CU686" s="309">
        <f t="shared" ca="1" si="265"/>
        <v>999.99999999999977</v>
      </c>
      <c r="CV686" s="309" t="str">
        <f t="shared" ca="1" si="216"/>
        <v>OKAY</v>
      </c>
      <c r="CW686" s="309"/>
      <c r="CX686" s="315">
        <f>(SUM($AR686:$AS686))-((SUM($AR686:$AS686)*VLOOKUP($B686,Lifetime_morbidity_array!$A$30:$Y$48,4))+(SUM($AR686:$AS686)*VLOOKUP($B686,Lifetime_morbidity_array!$A$30:$Y$48,7))+(SUM($AR686:$AS686)*VLOOKUP($B686,Lifetime_morbidity_array!$A$30:$Y$48,10))+(SUM($AR686:$AS686)*VLOOKUP($B686,Lifetime_morbidity_array!$A$30:$Y$48,13)))</f>
        <v>243.08121692117996</v>
      </c>
      <c r="CY686" s="316">
        <f>(SUM($AT686:$AU686))-((SUM($AT686:$AU686)*(VLOOKUP($B686,Lifetime_morbidity_array!$A$30:$Y$48,3)))+(SUM($AT686:$AU686)*(VLOOKUP($B686,Lifetime_morbidity_array!$A$30:$Y$48,6)))+(SUM($AT686:$AU686)*(VLOOKUP($B686,Lifetime_morbidity_array!$A$30:$Y$48,9)))+(SUM($AT686:$AU686)*(VLOOKUP($B686,Lifetime_morbidity_array!$A$30:$Y$48,12))))</f>
        <v>14.95950273306584</v>
      </c>
      <c r="CZ686" s="316">
        <f>(SUM($AM686:$AQ686))-((SUM($AM686:$AQ686)*VLOOKUP($B686,Lifetime_morbidity_array!$A$30:$Y$48,2))+(SUM($AM686:$AQ686)*VLOOKUP($B686,Lifetime_morbidity_array!$A$30:$Y$48,5))+(SUM($AM686:$AQ686)*VLOOKUP($B686,Lifetime_morbidity_array!$A$30:$Y$48,8))+(SUM($AM686:$AQ686)*VLOOKUP($B686,Lifetime_morbidity_array!$A$30:$Y$48,11)))</f>
        <v>194.59073203796473</v>
      </c>
      <c r="DA686" s="316">
        <f>(SUM($AM686:$AQ686)*VLOOKUP($B686,Lifetime_morbidity_array!$A$30:$Y$48,2))+(SUM($AR686:$AS686)*VLOOKUP($B686,Lifetime_morbidity_array!$A$30:$Y$48,4))+(SUM($AT686:$AU686)*(VLOOKUP($B686,Lifetime_morbidity_array!$A$30:$Y$48,3)))</f>
        <v>0.45268469954865859</v>
      </c>
      <c r="DB686" s="316">
        <f>(SUM($AM686:$AQ686)*VLOOKUP($B686,Lifetime_morbidity_array!$A$30:$Y$48,5))+(SUM($AR686:$AS686)*VLOOKUP($B686,Lifetime_morbidity_array!$A$30:$Y$48,7))+(SUM($AT686:$AU686)*(VLOOKUP($B686,Lifetime_morbidity_array!$A$30:$Y$48,6)))</f>
        <v>0.13609787390876144</v>
      </c>
      <c r="DC686" s="316">
        <f>(SUM($AM686:$AQ686)*VLOOKUP($B686,Lifetime_morbidity_array!$A$30:$Y$48,8))+(SUM($AR686:$AS686)*VLOOKUP($B686,Lifetime_morbidity_array!$A$30:$Y$48,10))+(SUM($AT686:$AU686)*(VLOOKUP($B686,Lifetime_morbidity_array!$A$30:$Y$48,9)))</f>
        <v>9.0557265660949921E-3</v>
      </c>
      <c r="DD686" s="317">
        <f>(SUM($AM686:$AQ686)*VLOOKUP($B686,Lifetime_morbidity_array!$A$30:$Y$48,11))+(SUM($AR686:$AS686)*VLOOKUP($B686,Lifetime_morbidity_array!$A$30:$Y$48,13))+(SUM($AT686:$AU686)*(VLOOKUP($B686,Lifetime_morbidity_array!$A$30:$Y$48,12)))</f>
        <v>0</v>
      </c>
      <c r="DE686" s="309"/>
      <c r="DF686" s="315">
        <f ca="1">(SUM($CN686:$CO686))-((SUM($CN686:$CO686)*VLOOKUP($B686,Lifetime_morbidity_array!$A$6:$Y$24,4))+(SUM($CN686:$CO686)*VLOOKUP($B686,Lifetime_morbidity_array!$A$6:$Y$24,7))+(SUM($CN686:$CO686)*VLOOKUP($B686,Lifetime_morbidity_array!$A$6:$Y$24,10))+(SUM($CN686:$CO686)*VLOOKUP($B686,Lifetime_morbidity_array!$A$6:$Y$24,13)))</f>
        <v>166.59876729400369</v>
      </c>
      <c r="DG686" s="316">
        <f ca="1">(SUM($CP686:$CQ686))-(((SUM($CP686:$CQ686)*VLOOKUP($B686,Lifetime_morbidity_array!$A$6:$Y$24,3))+(SUM($CP686:$CQ686)*VLOOKUP($B686,Lifetime_morbidity_array!$A$6:$Y$24,6))+(SUM($CP686:$CQ686)*VLOOKUP($B686,Lifetime_morbidity_array!$A$6:$Y$24,9))+(SUM($CP686:$CQ686)*VLOOKUP($B686,Lifetime_morbidity_array!$A$6:$Y$24,12))))</f>
        <v>10.238761046543777</v>
      </c>
      <c r="DH686" s="316">
        <f ca="1">(SUM($CI686:$CM686))-((SUM($CI686:$CM686)*VLOOKUP($B686,Lifetime_morbidity_array!$A$6:$Y$24,2))+(SUM($CI686:$CM686)*VLOOKUP($B686,Lifetime_morbidity_array!$A$6:$Y$24,5))+(SUM($CI686:$CM686)*VLOOKUP($B686,Lifetime_morbidity_array!$A$6:$Y$24,8))+(SUM($CI686:$CM686)*VLOOKUP($B686,Lifetime_morbidity_array!$A$6:$Y$24,11)))</f>
        <v>257.87221720866836</v>
      </c>
      <c r="DI686" s="316">
        <f ca="1">(SUM($CI686:$CM686)*VLOOKUP($B686,Lifetime_morbidity_array!$A$6:$Y$24,2))+(SUM($CN686:$CO686)*VLOOKUP($B686,Lifetime_morbidity_array!$A$6:$Y$24,4))+(SUM($CP686:$CQ686)*VLOOKUP($B686,Lifetime_morbidity_array!$A$6:$Y$24,3))</f>
        <v>0.4365287957257929</v>
      </c>
      <c r="DJ686" s="316">
        <f ca="1">(SUM($CI686:$CM686)*VLOOKUP($B686,Lifetime_morbidity_array!$A$6:$Y$24,5))+(SUM($CN686:$CO686)*VLOOKUP($B686,Lifetime_morbidity_array!$A$6:$Y$24,7))+(SUM($CP686:$CQ686)*VLOOKUP($B686,Lifetime_morbidity_array!$A$6:$Y$24,6))</f>
        <v>5.6350575449136048E-2</v>
      </c>
      <c r="DK686" s="316">
        <f ca="1">(SUM($CI686:$CM686)*VLOOKUP($B686,Lifetime_morbidity_array!$A$6:$Y$24,8))+(SUM($CN686:$CO686)*VLOOKUP($B686,Lifetime_morbidity_array!$A$6:$Y$24,10))+(SUM($CP686:$CQ686)*VLOOKUP($B686,Lifetime_morbidity_array!$A$6:$Y$24,9))</f>
        <v>8.717034201289461E-3</v>
      </c>
      <c r="DL686" s="317">
        <f ca="1">(SUM($CI686:$CM686)*VLOOKUP($B686,Lifetime_morbidity_array!$A$6:$Y$24,11))+(SUM($CN686:$CO686)*VLOOKUP($B686,Lifetime_morbidity_array!$A$6:$Y$24,13))+(SUM($CP686:$CQ686)*VLOOKUP($B686,Lifetime_morbidity_array!$A$6:$Y$24,12))</f>
        <v>0.87190938708114996</v>
      </c>
      <c r="DM686" s="309"/>
      <c r="DN686" s="308">
        <f t="shared" si="266"/>
        <v>20</v>
      </c>
      <c r="DO686" s="309">
        <f t="shared" ca="1" si="267"/>
        <v>446.93814387165168</v>
      </c>
      <c r="DP686" s="310">
        <f t="shared" ca="1" si="298"/>
        <v>12653.675349461108</v>
      </c>
      <c r="DQ686" s="309"/>
      <c r="DR686" s="308">
        <f t="shared" si="268"/>
        <v>20</v>
      </c>
      <c r="DS686" s="309">
        <f ca="1">((VLOOKUP($B686,'Mahawesran Tariff'!$A$21:$M$120,4)*'Experimental (DET)'!$CX686)+(VLOOKUP($B686,'Mahawesran Tariff'!$A$21:$M$120,3)*'Experimental (DET)'!$CY686)+(VLOOKUP($B686,'Mahawesran Tariff'!$A$21:$M$120,2)*'Experimental (DET)'!$CZ686)+(VLOOKUP($B686,'Mahawesran Tariff'!$A$21:$M$120,7)*'Experimental (DET)'!$DF686)+(VLOOKUP($B686,'Mahawesran Tariff'!$A$21:$M$120,6)*'Experimental (DET)'!$DG686)+(VLOOKUP($B686,'Mahawesran Tariff'!$A$21:$M$120,5)*'Experimental (DET)'!$DH686)+(DET_UTIL_chd*('Experimental (DET)'!$DA686+'Experimental (DET)'!$DI686))+(DET_UTIL_copd*('Experimental (DET)'!$DB686+'Experimental (DET)'!$DJ686))+(DET_UTIL_lc*('Experimental (DET)'!$DC686+'Experimental (DET)'!$DK686))+(DET_UTIL_stroke*('Experimental (DET)'!$DD686+'Experimental (DET)'!$DL686)))/((1+Discount_rate_QALYs)^$A686)</f>
        <v>460.57063580530127</v>
      </c>
      <c r="DT686" s="310">
        <f t="shared" ca="1" si="299"/>
        <v>12600.464938475992</v>
      </c>
      <c r="DU686" s="309"/>
      <c r="DV686" s="308">
        <f t="shared" si="269"/>
        <v>20</v>
      </c>
      <c r="DW686" s="318">
        <f t="shared" ca="1" si="270"/>
        <v>10508.268978459184</v>
      </c>
      <c r="DX686" s="319">
        <f t="shared" ca="1" si="300"/>
        <v>5493276.5851357514</v>
      </c>
      <c r="DZ686" s="95">
        <f t="shared" si="271"/>
        <v>20</v>
      </c>
      <c r="EA686" s="268">
        <f t="shared" ca="1" si="217"/>
        <v>0.88931254133390736</v>
      </c>
      <c r="EB686" s="268">
        <f t="shared" ca="1" si="218"/>
        <v>0.11068745866609239</v>
      </c>
      <c r="EC686" s="268">
        <f t="shared" ca="1" si="219"/>
        <v>1.9713440924808835E-3</v>
      </c>
      <c r="ED686" s="290">
        <f t="shared" ca="1" si="220"/>
        <v>0.43577780428988916</v>
      </c>
      <c r="EF686" s="95">
        <f t="shared" si="272"/>
        <v>20</v>
      </c>
      <c r="EG686" s="339">
        <f t="shared" ca="1" si="273"/>
        <v>10508.268978459184</v>
      </c>
      <c r="EH686" s="341">
        <f t="shared" ca="1" si="301"/>
        <v>8595292.3090992924</v>
      </c>
      <c r="EJ686" s="308">
        <f t="shared" si="274"/>
        <v>20</v>
      </c>
      <c r="EK686" s="318">
        <f t="shared" ca="1" si="275"/>
        <v>10508.268978459184</v>
      </c>
      <c r="EL686" s="319">
        <f t="shared" ca="1" si="302"/>
        <v>5490236.5851357505</v>
      </c>
      <c r="EN686" s="95">
        <f t="shared" si="276"/>
        <v>20</v>
      </c>
      <c r="EO686" s="339">
        <f t="shared" ca="1" si="277"/>
        <v>10508.268978459184</v>
      </c>
      <c r="EP686" s="341">
        <f t="shared" ca="1" si="303"/>
        <v>8595292.3090992924</v>
      </c>
    </row>
    <row r="687" spans="1:208" s="266" customFormat="1" x14ac:dyDescent="0.25">
      <c r="A687" s="313">
        <v>21</v>
      </c>
      <c r="B687" s="314">
        <v>21</v>
      </c>
      <c r="C687" s="308">
        <f>VLOOKUP($B687,'Infant adult mortality'!$A$27:$I$128,3)</f>
        <v>3.035E-4</v>
      </c>
      <c r="D687" s="309">
        <f t="shared" si="221"/>
        <v>0.27</v>
      </c>
      <c r="E687" s="309">
        <f>VLOOKUP($B687,'Infant pick up smoking rates'!$A$19:$I$104,3)</f>
        <v>2.6500909529550587E-2</v>
      </c>
      <c r="F687" s="309">
        <f t="shared" si="222"/>
        <v>1.7296595992997469E-3</v>
      </c>
      <c r="G687" s="309">
        <f t="shared" si="223"/>
        <v>0.70146593087114972</v>
      </c>
      <c r="H687" s="309">
        <f>VLOOKUP($B687,'Infant adult mortality'!$A$27:$I$128,3)</f>
        <v>3.035E-4</v>
      </c>
      <c r="I687" s="309">
        <f t="shared" si="224"/>
        <v>0.14000000000000001</v>
      </c>
      <c r="J687" s="309">
        <f>VLOOKUP($B687,'Infant pick up smoking rates'!$A$19:$I$104,2)</f>
        <v>2.6500909529550587E-2</v>
      </c>
      <c r="K687" s="309">
        <f t="shared" si="225"/>
        <v>1.7296595992997469E-3</v>
      </c>
      <c r="L687" s="309">
        <f t="shared" si="226"/>
        <v>0.83146593087114973</v>
      </c>
      <c r="M687" s="309">
        <f>VLOOKUP($B687,'Infant adult mortality'!$A$27:$I$128,3)</f>
        <v>3.035E-4</v>
      </c>
      <c r="N687" s="309">
        <f t="shared" si="227"/>
        <v>0.5714285714285714</v>
      </c>
      <c r="O687" s="309">
        <f>VLOOKUP($B687,'Infant pick up smoking rates'!$A$19:$I$104,2)</f>
        <v>2.6500909529550587E-2</v>
      </c>
      <c r="P687" s="309">
        <f t="shared" si="228"/>
        <v>1.0463372884652793E-3</v>
      </c>
      <c r="Q687" s="309">
        <f t="shared" si="229"/>
        <v>0.4007206817534128</v>
      </c>
      <c r="R687" s="309">
        <f>VLOOKUP($B687,'Infant adult mortality'!$A$27:$I$128,3)</f>
        <v>3.035E-4</v>
      </c>
      <c r="S687" s="309">
        <f t="shared" si="230"/>
        <v>8.6261668788331098E-3</v>
      </c>
      <c r="T687" s="309">
        <f>VLOOKUP($B687,'Infant pick up smoking rates'!$A$19:$I$104,2)</f>
        <v>2.6500909529550587E-2</v>
      </c>
      <c r="U687" s="309">
        <f t="shared" si="231"/>
        <v>1.0463372884652793E-3</v>
      </c>
      <c r="V687" s="309">
        <f t="shared" si="232"/>
        <v>0.96352308630315109</v>
      </c>
      <c r="W687" s="309">
        <f>VLOOKUP($B687,'Infant adult mortality'!$A$27:$I$128,3)</f>
        <v>3.035E-4</v>
      </c>
      <c r="X687" s="309">
        <f>VLOOKUP($B687,'Infant pick up smoking rates'!$A$19:$I$104,2)</f>
        <v>2.6500909529550587E-2</v>
      </c>
      <c r="Y687" s="309">
        <f t="shared" si="233"/>
        <v>0.97319559047044946</v>
      </c>
      <c r="Z687" s="309">
        <f>VLOOKUP($B687,'Infant adult mortality'!$A$27:$I$128,5)</f>
        <v>3.035E-4</v>
      </c>
      <c r="AA687" s="309">
        <f t="shared" si="234"/>
        <v>0.25</v>
      </c>
      <c r="AB687" s="309">
        <f t="shared" si="235"/>
        <v>0.74969649999999999</v>
      </c>
      <c r="AC687" s="309">
        <f>VLOOKUP($B687,'Infant adult mortality'!$A$27:$I$128,5)</f>
        <v>3.035E-4</v>
      </c>
      <c r="AD687" s="309">
        <f t="shared" si="236"/>
        <v>0.14000000000000001</v>
      </c>
      <c r="AE687" s="309">
        <f t="shared" si="237"/>
        <v>0.85969649999999997</v>
      </c>
      <c r="AF687" s="309">
        <f>VLOOKUP($B687,'Infant adult mortality'!$A$27:$I$128,4)</f>
        <v>3.035E-4</v>
      </c>
      <c r="AG687" s="309">
        <f t="shared" si="238"/>
        <v>0.5714285714285714</v>
      </c>
      <c r="AH687" s="309">
        <f t="shared" si="239"/>
        <v>0.42826792857142859</v>
      </c>
      <c r="AI687" s="309">
        <f>VLOOKUP($B687,'Infant adult mortality'!$A$27:$I$128,4)</f>
        <v>3.035E-4</v>
      </c>
      <c r="AJ687" s="309">
        <f t="shared" si="240"/>
        <v>8.6261668788331098E-3</v>
      </c>
      <c r="AK687" s="309">
        <f t="shared" si="241"/>
        <v>0.99107033312116688</v>
      </c>
      <c r="AL687" s="309"/>
      <c r="AM687" s="315">
        <f t="shared" si="278"/>
        <v>89.484187751313101</v>
      </c>
      <c r="AN687" s="316">
        <f t="shared" si="279"/>
        <v>25.364143704388983</v>
      </c>
      <c r="AO687" s="316">
        <f t="shared" si="280"/>
        <v>3.5928855997487834</v>
      </c>
      <c r="AP687" s="316">
        <f t="shared" si="281"/>
        <v>67.02074048862633</v>
      </c>
      <c r="AQ687" s="316">
        <f t="shared" si="282"/>
        <v>4.1630122341853024</v>
      </c>
      <c r="AR687" s="316">
        <f t="shared" si="283"/>
        <v>195.84505911749318</v>
      </c>
      <c r="AS687" s="316">
        <f t="shared" si="284"/>
        <v>48.566841176572957</v>
      </c>
      <c r="AT687" s="316">
        <f t="shared" si="285"/>
        <v>6.8788881454619766</v>
      </c>
      <c r="AU687" s="316">
        <f t="shared" si="286"/>
        <v>12.175976684930747</v>
      </c>
      <c r="AV687" s="316">
        <f t="shared" si="287"/>
        <v>56.908265097278324</v>
      </c>
      <c r="AW687" s="317">
        <f t="shared" si="242"/>
        <v>509.99999999999966</v>
      </c>
      <c r="AX687" s="309"/>
      <c r="AY687" s="308">
        <f>VLOOKUP($B687,'Infant adult mortality'!$A$134:$I$234,3)</f>
        <v>1.2909999999999999E-4</v>
      </c>
      <c r="AZ687" s="309">
        <f t="shared" si="243"/>
        <v>0.27</v>
      </c>
      <c r="BA687" s="309">
        <f ca="1">VLOOKUP($B687,'Infant pick up smoking rates'!$A$19:$I$104,7)</f>
        <v>3.2485004477810379E-2</v>
      </c>
      <c r="BB687" s="309">
        <f t="shared" si="244"/>
        <v>1.7296595992997469E-3</v>
      </c>
      <c r="BC687" s="309">
        <f t="shared" ca="1" si="245"/>
        <v>0.69565623592288994</v>
      </c>
      <c r="BD687" s="309">
        <f>VLOOKUP($B687,'Infant adult mortality'!$A$134:$I$234,3)</f>
        <v>1.2909999999999999E-4</v>
      </c>
      <c r="BE687" s="309">
        <f t="shared" si="246"/>
        <v>0.14000000000000001</v>
      </c>
      <c r="BF687" s="309">
        <f>VLOOKUP($B687,'Infant pick up smoking rates'!$A$19:$I$104,6)</f>
        <v>1.5697620072600664E-2</v>
      </c>
      <c r="BG687" s="309">
        <f t="shared" si="247"/>
        <v>1.7296595992997469E-3</v>
      </c>
      <c r="BH687" s="309">
        <f t="shared" si="248"/>
        <v>0.84244362032809961</v>
      </c>
      <c r="BI687" s="309">
        <f>VLOOKUP($B687,'Infant adult mortality'!$A$134:$I$234,3)</f>
        <v>1.2909999999999999E-4</v>
      </c>
      <c r="BJ687" s="309">
        <f t="shared" si="249"/>
        <v>0.5714285714285714</v>
      </c>
      <c r="BK687" s="309">
        <f>VLOOKUP($B687,'Infant pick up smoking rates'!$A$19:$I$104,6)</f>
        <v>1.5697620072600664E-2</v>
      </c>
      <c r="BL687" s="309">
        <f t="shared" si="250"/>
        <v>1.0463372884652793E-3</v>
      </c>
      <c r="BM687" s="309">
        <f t="shared" si="251"/>
        <v>0.41169837121036268</v>
      </c>
      <c r="BN687" s="309">
        <f>VLOOKUP($B687,'Infant adult mortality'!$A$134:$I$234,3)</f>
        <v>1.2909999999999999E-4</v>
      </c>
      <c r="BO687" s="309">
        <f t="shared" si="252"/>
        <v>8.6261668788331098E-3</v>
      </c>
      <c r="BP687" s="309">
        <f>VLOOKUP($B687,'Infant pick up smoking rates'!$A$19:$I$104,6)</f>
        <v>1.5697620072600664E-2</v>
      </c>
      <c r="BQ687" s="309">
        <f t="shared" si="253"/>
        <v>1.0463372884652793E-3</v>
      </c>
      <c r="BR687" s="309">
        <f t="shared" si="254"/>
        <v>0.97450077576010097</v>
      </c>
      <c r="BS687" s="309">
        <f>VLOOKUP($B687,'Infant adult mortality'!$A$134:$I$234,3)</f>
        <v>1.2909999999999999E-4</v>
      </c>
      <c r="BT687" s="309">
        <f>VLOOKUP($B687,'Infant pick up smoking rates'!$A$19:$I$104,6)</f>
        <v>1.5697620072600664E-2</v>
      </c>
      <c r="BU687" s="309">
        <f t="shared" si="255"/>
        <v>0.98417327992739934</v>
      </c>
      <c r="BV687" s="309">
        <f>VLOOKUP($B687,'Infant adult mortality'!$A$134:$I$234,5)</f>
        <v>1.2909999999999999E-4</v>
      </c>
      <c r="BW687" s="309">
        <f t="shared" si="256"/>
        <v>0.27</v>
      </c>
      <c r="BX687" s="309">
        <f t="shared" si="257"/>
        <v>0.72987089999999999</v>
      </c>
      <c r="BY687" s="309">
        <f>VLOOKUP($B687,'Infant adult mortality'!$A$134:$I$234,5)</f>
        <v>1.2909999999999999E-4</v>
      </c>
      <c r="BZ687" s="309">
        <f t="shared" si="258"/>
        <v>0.14000000000000001</v>
      </c>
      <c r="CA687" s="309">
        <f t="shared" si="259"/>
        <v>0.85987089999999999</v>
      </c>
      <c r="CB687" s="309">
        <f>VLOOKUP($B687,'Infant adult mortality'!$A$134:$I$234,4)</f>
        <v>1.2909999999999999E-4</v>
      </c>
      <c r="CC687" s="309">
        <f t="shared" si="260"/>
        <v>0.5714285714285714</v>
      </c>
      <c r="CD687" s="309">
        <f t="shared" si="261"/>
        <v>0.42844232857142861</v>
      </c>
      <c r="CE687" s="309">
        <f>VLOOKUP($B687,'Infant adult mortality'!$A$134:$I$234,4)</f>
        <v>1.2909999999999999E-4</v>
      </c>
      <c r="CF687" s="309">
        <f t="shared" si="262"/>
        <v>8.6261668788331098E-3</v>
      </c>
      <c r="CG687" s="309">
        <f t="shared" si="263"/>
        <v>0.9912447331211669</v>
      </c>
      <c r="CH687" s="309"/>
      <c r="CI687" s="315">
        <f t="shared" ca="1" si="288"/>
        <v>125.53299635385405</v>
      </c>
      <c r="CJ687" s="316">
        <f t="shared" ca="1" si="289"/>
        <v>35.565218140612245</v>
      </c>
      <c r="CK687" s="316">
        <f t="shared" ca="1" si="290"/>
        <v>5.1321482604414905</v>
      </c>
      <c r="CL687" s="316">
        <f t="shared" ca="1" si="291"/>
        <v>80.976324113364925</v>
      </c>
      <c r="CM687" s="316">
        <f t="shared" ca="1" si="292"/>
        <v>5.1748498531041767</v>
      </c>
      <c r="CN687" s="316">
        <f t="shared" ca="1" si="293"/>
        <v>134.83756277053334</v>
      </c>
      <c r="CO687" s="316">
        <f t="shared" ca="1" si="294"/>
        <v>35.551549011978409</v>
      </c>
      <c r="CP687" s="316">
        <f t="shared" ca="1" si="295"/>
        <v>4.9633846941735715</v>
      </c>
      <c r="CQ687" s="316">
        <f t="shared" ca="1" si="296"/>
        <v>8.292919795862808</v>
      </c>
      <c r="CR687" s="316">
        <f t="shared" ca="1" si="297"/>
        <v>53.973047006074928</v>
      </c>
      <c r="CS687" s="317">
        <f t="shared" ca="1" si="264"/>
        <v>489.99999999999994</v>
      </c>
      <c r="CT687" s="309"/>
      <c r="CU687" s="309">
        <f t="shared" ca="1" si="265"/>
        <v>999.99999999999955</v>
      </c>
      <c r="CV687" s="309" t="str">
        <f t="shared" ca="1" si="216"/>
        <v>OKAY</v>
      </c>
      <c r="CW687" s="309"/>
      <c r="CX687" s="315">
        <f>(SUM($AR687:$AS687))-((SUM($AR687:$AS687)*VLOOKUP($B687,Lifetime_morbidity_array!$A$30:$Y$48,4))+(SUM($AR687:$AS687)*VLOOKUP($B687,Lifetime_morbidity_array!$A$30:$Y$48,7))+(SUM($AR687:$AS687)*VLOOKUP($B687,Lifetime_morbidity_array!$A$30:$Y$48,10))+(SUM($AR687:$AS687)*VLOOKUP($B687,Lifetime_morbidity_array!$A$30:$Y$48,13)))</f>
        <v>244.08950543079544</v>
      </c>
      <c r="CY687" s="316">
        <f>(SUM($AT687:$AU687))-((SUM($AT687:$AU687)*(VLOOKUP($B687,Lifetime_morbidity_array!$A$30:$Y$48,3)))+(SUM($AT687:$AU687)*(VLOOKUP($B687,Lifetime_morbidity_array!$A$30:$Y$48,6)))+(SUM($AT687:$AU687)*(VLOOKUP($B687,Lifetime_morbidity_array!$A$30:$Y$48,9)))+(SUM($AT687:$AU687)*(VLOOKUP($B687,Lifetime_morbidity_array!$A$30:$Y$48,12))))</f>
        <v>19.029730250062368</v>
      </c>
      <c r="CZ687" s="316">
        <f>(SUM($AM687:$AQ687))-((SUM($AM687:$AQ687)*VLOOKUP($B687,Lifetime_morbidity_array!$A$30:$Y$48,2))+(SUM($AM687:$AQ687)*VLOOKUP($B687,Lifetime_morbidity_array!$A$30:$Y$48,5))+(SUM($AM687:$AQ687)*VLOOKUP($B687,Lifetime_morbidity_array!$A$30:$Y$48,8))+(SUM($AM687:$AQ687)*VLOOKUP($B687,Lifetime_morbidity_array!$A$30:$Y$48,11)))</f>
        <v>189.37484236576407</v>
      </c>
      <c r="DA687" s="316">
        <f>(SUM($AM687:$AQ687)*VLOOKUP($B687,Lifetime_morbidity_array!$A$30:$Y$48,2))+(SUM($AR687:$AS687)*VLOOKUP($B687,Lifetime_morbidity_array!$A$30:$Y$48,4))+(SUM($AT687:$AU687)*(VLOOKUP($B687,Lifetime_morbidity_array!$A$30:$Y$48,3)))</f>
        <v>0.45254730974234547</v>
      </c>
      <c r="DB687" s="316">
        <f>(SUM($AM687:$AQ687)*VLOOKUP($B687,Lifetime_morbidity_array!$A$30:$Y$48,5))+(SUM($AR687:$AS687)*VLOOKUP($B687,Lifetime_morbidity_array!$A$30:$Y$48,7))+(SUM($AT687:$AU687)*(VLOOKUP($B687,Lifetime_morbidity_array!$A$30:$Y$48,6)))</f>
        <v>0.13605656820403009</v>
      </c>
      <c r="DC687" s="316">
        <f>(SUM($AM687:$AQ687)*VLOOKUP($B687,Lifetime_morbidity_array!$A$30:$Y$48,8))+(SUM($AR687:$AS687)*VLOOKUP($B687,Lifetime_morbidity_array!$A$30:$Y$48,10))+(SUM($AT687:$AU687)*(VLOOKUP($B687,Lifetime_morbidity_array!$A$30:$Y$48,9)))</f>
        <v>9.0529781530821821E-3</v>
      </c>
      <c r="DD687" s="317">
        <f>(SUM($AM687:$AQ687)*VLOOKUP($B687,Lifetime_morbidity_array!$A$30:$Y$48,11))+(SUM($AR687:$AS687)*VLOOKUP($B687,Lifetime_morbidity_array!$A$30:$Y$48,13))+(SUM($AT687:$AU687)*(VLOOKUP($B687,Lifetime_morbidity_array!$A$30:$Y$48,12)))</f>
        <v>0</v>
      </c>
      <c r="DE687" s="309"/>
      <c r="DF687" s="315">
        <f ca="1">(SUM($CN687:$CO687))-((SUM($CN687:$CO687)*VLOOKUP($B687,Lifetime_morbidity_array!$A$6:$Y$24,4))+(SUM($CN687:$CO687)*VLOOKUP($B687,Lifetime_morbidity_array!$A$6:$Y$24,7))+(SUM($CN687:$CO687)*VLOOKUP($B687,Lifetime_morbidity_array!$A$6:$Y$24,10))+(SUM($CN687:$CO687)*VLOOKUP($B687,Lifetime_morbidity_array!$A$6:$Y$24,13)))</f>
        <v>169.85244720921085</v>
      </c>
      <c r="DG687" s="316">
        <f ca="1">(SUM($CP687:$CQ687))-(((SUM($CP687:$CQ687)*VLOOKUP($B687,Lifetime_morbidity_array!$A$6:$Y$24,3))+(SUM($CP687:$CQ687)*VLOOKUP($B687,Lifetime_morbidity_array!$A$6:$Y$24,6))+(SUM($CP687:$CQ687)*VLOOKUP($B687,Lifetime_morbidity_array!$A$6:$Y$24,9))+(SUM($CP687:$CQ687)*VLOOKUP($B687,Lifetime_morbidity_array!$A$6:$Y$24,12))))</f>
        <v>13.214551886725831</v>
      </c>
      <c r="DH687" s="316">
        <f ca="1">(SUM($CI687:$CM687))-((SUM($CI687:$CM687)*VLOOKUP($B687,Lifetime_morbidity_array!$A$6:$Y$24,2))+(SUM($CI687:$CM687)*VLOOKUP($B687,Lifetime_morbidity_array!$A$6:$Y$24,5))+(SUM($CI687:$CM687)*VLOOKUP($B687,Lifetime_morbidity_array!$A$6:$Y$24,8))+(SUM($CI687:$CM687)*VLOOKUP($B687,Lifetime_morbidity_array!$A$6:$Y$24,11)))</f>
        <v>251.58662542512874</v>
      </c>
      <c r="DI687" s="316">
        <f ca="1">(SUM($CI687:$CM687)*VLOOKUP($B687,Lifetime_morbidity_array!$A$6:$Y$24,2))+(SUM($CN687:$CO687)*VLOOKUP($B687,Lifetime_morbidity_array!$A$6:$Y$24,4))+(SUM($CP687:$CQ687)*VLOOKUP($B687,Lifetime_morbidity_array!$A$6:$Y$24,3))</f>
        <v>0.43647243985826467</v>
      </c>
      <c r="DJ687" s="316">
        <f ca="1">(SUM($CI687:$CM687)*VLOOKUP($B687,Lifetime_morbidity_array!$A$6:$Y$24,5))+(SUM($CN687:$CO687)*VLOOKUP($B687,Lifetime_morbidity_array!$A$6:$Y$24,7))+(SUM($CP687:$CQ687)*VLOOKUP($B687,Lifetime_morbidity_array!$A$6:$Y$24,6))</f>
        <v>5.634330058984556E-2</v>
      </c>
      <c r="DK687" s="316">
        <f ca="1">(SUM($CI687:$CM687)*VLOOKUP($B687,Lifetime_morbidity_array!$A$6:$Y$24,8))+(SUM($CN687:$CO687)*VLOOKUP($B687,Lifetime_morbidity_array!$A$6:$Y$24,10))+(SUM($CP687:$CQ687)*VLOOKUP($B687,Lifetime_morbidity_array!$A$6:$Y$24,9))</f>
        <v>8.7159088321740741E-3</v>
      </c>
      <c r="DL687" s="317">
        <f ca="1">(SUM($CI687:$CM687)*VLOOKUP($B687,Lifetime_morbidity_array!$A$6:$Y$24,11))+(SUM($CN687:$CO687)*VLOOKUP($B687,Lifetime_morbidity_array!$A$6:$Y$24,13))+(SUM($CP687:$CQ687)*VLOOKUP($B687,Lifetime_morbidity_array!$A$6:$Y$24,12))</f>
        <v>0.87179682357927779</v>
      </c>
      <c r="DM687" s="309"/>
      <c r="DN687" s="308">
        <f t="shared" si="266"/>
        <v>21</v>
      </c>
      <c r="DO687" s="309">
        <f t="shared" ca="1" si="267"/>
        <v>431.73016400725095</v>
      </c>
      <c r="DP687" s="310">
        <f t="shared" ca="1" si="298"/>
        <v>13085.405513468359</v>
      </c>
      <c r="DQ687" s="309"/>
      <c r="DR687" s="308">
        <f t="shared" si="268"/>
        <v>21</v>
      </c>
      <c r="DS687" s="309">
        <f ca="1">((VLOOKUP($B687,'Mahawesran Tariff'!$A$21:$M$120,4)*'Experimental (DET)'!$CX687)+(VLOOKUP($B687,'Mahawesran Tariff'!$A$21:$M$120,3)*'Experimental (DET)'!$CY687)+(VLOOKUP($B687,'Mahawesran Tariff'!$A$21:$M$120,2)*'Experimental (DET)'!$CZ687)+(VLOOKUP($B687,'Mahawesran Tariff'!$A$21:$M$120,7)*'Experimental (DET)'!$DF687)+(VLOOKUP($B687,'Mahawesran Tariff'!$A$21:$M$120,6)*'Experimental (DET)'!$DG687)+(VLOOKUP($B687,'Mahawesran Tariff'!$A$21:$M$120,5)*'Experimental (DET)'!$DH687)+(DET_UTIL_chd*('Experimental (DET)'!$DA687+'Experimental (DET)'!$DI687))+(DET_UTIL_copd*('Experimental (DET)'!$DB687+'Experimental (DET)'!$DJ687))+(DET_UTIL_lc*('Experimental (DET)'!$DC687+'Experimental (DET)'!$DK687))+(DET_UTIL_stroke*('Experimental (DET)'!$DD687+'Experimental (DET)'!$DL687)))/((1+Discount_rate_QALYs)^$A687)</f>
        <v>444.73597487430033</v>
      </c>
      <c r="DT687" s="310">
        <f t="shared" ca="1" si="299"/>
        <v>13045.200913350292</v>
      </c>
      <c r="DU687" s="309"/>
      <c r="DV687" s="308">
        <f t="shared" si="269"/>
        <v>21</v>
      </c>
      <c r="DW687" s="318">
        <f t="shared" ca="1" si="270"/>
        <v>10151.518611534522</v>
      </c>
      <c r="DX687" s="319">
        <f t="shared" ca="1" si="300"/>
        <v>5503428.1037472859</v>
      </c>
      <c r="DZ687" s="95">
        <f t="shared" si="271"/>
        <v>21</v>
      </c>
      <c r="EA687" s="268">
        <f t="shared" ca="1" si="217"/>
        <v>0.88911868789664639</v>
      </c>
      <c r="EB687" s="268">
        <f t="shared" ca="1" si="218"/>
        <v>0.11088131210335325</v>
      </c>
      <c r="EC687" s="268">
        <f t="shared" ca="1" si="219"/>
        <v>1.9709853289590199E-3</v>
      </c>
      <c r="ED687" s="290">
        <f t="shared" ca="1" si="220"/>
        <v>0.44711218139700704</v>
      </c>
      <c r="EF687" s="95">
        <f t="shared" si="272"/>
        <v>21</v>
      </c>
      <c r="EG687" s="339">
        <f t="shared" ca="1" si="273"/>
        <v>10151.518611534522</v>
      </c>
      <c r="EH687" s="341">
        <f t="shared" ca="1" si="301"/>
        <v>8605443.8277108278</v>
      </c>
      <c r="EJ687" s="308">
        <f t="shared" si="274"/>
        <v>21</v>
      </c>
      <c r="EK687" s="318">
        <f t="shared" ca="1" si="275"/>
        <v>10151.518611534522</v>
      </c>
      <c r="EL687" s="319">
        <f t="shared" ca="1" si="302"/>
        <v>5500388.103747285</v>
      </c>
      <c r="EN687" s="95">
        <f t="shared" si="276"/>
        <v>21</v>
      </c>
      <c r="EO687" s="339">
        <f t="shared" ca="1" si="277"/>
        <v>10151.518611534522</v>
      </c>
      <c r="EP687" s="341">
        <f t="shared" ca="1" si="303"/>
        <v>8605443.8277108278</v>
      </c>
    </row>
    <row r="688" spans="1:208" s="266" customFormat="1" x14ac:dyDescent="0.25">
      <c r="A688" s="313">
        <v>22</v>
      </c>
      <c r="B688" s="314">
        <v>22</v>
      </c>
      <c r="C688" s="308">
        <f>VLOOKUP($B688,'Infant adult mortality'!$A$27:$I$128,3)</f>
        <v>3.1710000000000001E-4</v>
      </c>
      <c r="D688" s="309">
        <f t="shared" si="221"/>
        <v>0.27</v>
      </c>
      <c r="E688" s="309">
        <f>VLOOKUP($B688,'Infant pick up smoking rates'!$A$19:$I$104,3)</f>
        <v>2.6500909529550587E-2</v>
      </c>
      <c r="F688" s="309">
        <f t="shared" si="222"/>
        <v>1.8664189846333396E-3</v>
      </c>
      <c r="G688" s="309">
        <f t="shared" si="223"/>
        <v>0.70131557148581614</v>
      </c>
      <c r="H688" s="309">
        <f>VLOOKUP($B688,'Infant adult mortality'!$A$27:$I$128,3)</f>
        <v>3.1710000000000001E-4</v>
      </c>
      <c r="I688" s="309">
        <f t="shared" si="224"/>
        <v>0.14000000000000001</v>
      </c>
      <c r="J688" s="309">
        <f>VLOOKUP($B688,'Infant pick up smoking rates'!$A$19:$I$104,2)</f>
        <v>2.6500909529550587E-2</v>
      </c>
      <c r="K688" s="309">
        <f t="shared" si="225"/>
        <v>1.8664189846333396E-3</v>
      </c>
      <c r="L688" s="309">
        <f t="shared" si="226"/>
        <v>0.83131557148581614</v>
      </c>
      <c r="M688" s="309">
        <f>VLOOKUP($B688,'Infant adult mortality'!$A$27:$I$128,3)</f>
        <v>3.1710000000000001E-4</v>
      </c>
      <c r="N688" s="309">
        <f t="shared" si="227"/>
        <v>0.5714285714285714</v>
      </c>
      <c r="O688" s="309">
        <f>VLOOKUP($B688,'Infant pick up smoking rates'!$A$19:$I$104,2)</f>
        <v>2.6500909529550587E-2</v>
      </c>
      <c r="P688" s="309">
        <f t="shared" si="228"/>
        <v>1.1290682746547365E-3</v>
      </c>
      <c r="Q688" s="309">
        <f t="shared" si="229"/>
        <v>0.4006243507672233</v>
      </c>
      <c r="R688" s="309">
        <f>VLOOKUP($B688,'Infant adult mortality'!$A$27:$I$128,3)</f>
        <v>3.1710000000000001E-4</v>
      </c>
      <c r="S688" s="309">
        <f t="shared" si="230"/>
        <v>8.6261668788331098E-3</v>
      </c>
      <c r="T688" s="309">
        <f>VLOOKUP($B688,'Infant pick up smoking rates'!$A$19:$I$104,2)</f>
        <v>2.6500909529550587E-2</v>
      </c>
      <c r="U688" s="309">
        <f t="shared" si="231"/>
        <v>1.1290682746547365E-3</v>
      </c>
      <c r="V688" s="309">
        <f t="shared" si="232"/>
        <v>0.96342675531696165</v>
      </c>
      <c r="W688" s="309">
        <f>VLOOKUP($B688,'Infant adult mortality'!$A$27:$I$128,3)</f>
        <v>3.1710000000000001E-4</v>
      </c>
      <c r="X688" s="309">
        <f>VLOOKUP($B688,'Infant pick up smoking rates'!$A$19:$I$104,2)</f>
        <v>2.6500909529550587E-2</v>
      </c>
      <c r="Y688" s="309">
        <f t="shared" si="233"/>
        <v>0.97318199047044951</v>
      </c>
      <c r="Z688" s="309">
        <f>VLOOKUP($B688,'Infant adult mortality'!$A$27:$I$128,5)</f>
        <v>3.1710000000000001E-4</v>
      </c>
      <c r="AA688" s="309">
        <f t="shared" si="234"/>
        <v>0.25</v>
      </c>
      <c r="AB688" s="309">
        <f t="shared" si="235"/>
        <v>0.74968290000000004</v>
      </c>
      <c r="AC688" s="309">
        <f>VLOOKUP($B688,'Infant adult mortality'!$A$27:$I$128,5)</f>
        <v>3.1710000000000001E-4</v>
      </c>
      <c r="AD688" s="309">
        <f t="shared" si="236"/>
        <v>0.14000000000000001</v>
      </c>
      <c r="AE688" s="309">
        <f t="shared" si="237"/>
        <v>0.85968290000000003</v>
      </c>
      <c r="AF688" s="309">
        <f>VLOOKUP($B688,'Infant adult mortality'!$A$27:$I$128,4)</f>
        <v>3.1710000000000001E-4</v>
      </c>
      <c r="AG688" s="309">
        <f t="shared" si="238"/>
        <v>0.5714285714285714</v>
      </c>
      <c r="AH688" s="309">
        <f t="shared" si="239"/>
        <v>0.42825432857142859</v>
      </c>
      <c r="AI688" s="309">
        <f>VLOOKUP($B688,'Infant adult mortality'!$A$27:$I$128,4)</f>
        <v>3.1710000000000001E-4</v>
      </c>
      <c r="AJ688" s="309">
        <f t="shared" si="240"/>
        <v>8.6261668788331098E-3</v>
      </c>
      <c r="AK688" s="309">
        <f t="shared" si="241"/>
        <v>0.99105673312116693</v>
      </c>
      <c r="AL688" s="309"/>
      <c r="AM688" s="315">
        <f t="shared" si="278"/>
        <v>85.859791443196826</v>
      </c>
      <c r="AN688" s="316">
        <f t="shared" si="279"/>
        <v>24.160730692854539</v>
      </c>
      <c r="AO688" s="316">
        <f t="shared" si="280"/>
        <v>3.5509801186144578</v>
      </c>
      <c r="AP688" s="316">
        <f t="shared" si="281"/>
        <v>66.622652033468128</v>
      </c>
      <c r="AQ688" s="316">
        <f t="shared" si="282"/>
        <v>4.3454512435743862</v>
      </c>
      <c r="AR688" s="316">
        <f t="shared" si="283"/>
        <v>196.64995453587665</v>
      </c>
      <c r="AS688" s="316">
        <f t="shared" si="284"/>
        <v>48.961264779373295</v>
      </c>
      <c r="AT688" s="316">
        <f t="shared" si="285"/>
        <v>6.7993577647202148</v>
      </c>
      <c r="AU688" s="316">
        <f t="shared" si="286"/>
        <v>15.997876901905235</v>
      </c>
      <c r="AV688" s="316">
        <f t="shared" si="287"/>
        <v>57.05194048641598</v>
      </c>
      <c r="AW688" s="317">
        <f t="shared" si="242"/>
        <v>509.99999999999977</v>
      </c>
      <c r="AX688" s="309"/>
      <c r="AY688" s="308">
        <f>VLOOKUP($B688,'Infant adult mortality'!$A$134:$I$234,3)</f>
        <v>1.337E-4</v>
      </c>
      <c r="AZ688" s="309">
        <f t="shared" si="243"/>
        <v>0.27</v>
      </c>
      <c r="BA688" s="309">
        <f ca="1">VLOOKUP($B688,'Infant pick up smoking rates'!$A$19:$I$104,7)</f>
        <v>3.2485004477810379E-2</v>
      </c>
      <c r="BB688" s="309">
        <f t="shared" si="244"/>
        <v>1.8664189846333396E-3</v>
      </c>
      <c r="BC688" s="309">
        <f t="shared" ca="1" si="245"/>
        <v>0.69551487653755628</v>
      </c>
      <c r="BD688" s="309">
        <f>VLOOKUP($B688,'Infant adult mortality'!$A$134:$I$234,3)</f>
        <v>1.337E-4</v>
      </c>
      <c r="BE688" s="309">
        <f t="shared" si="246"/>
        <v>0.14000000000000001</v>
      </c>
      <c r="BF688" s="309">
        <f>VLOOKUP($B688,'Infant pick up smoking rates'!$A$19:$I$104,6)</f>
        <v>1.5697620072600664E-2</v>
      </c>
      <c r="BG688" s="309">
        <f t="shared" si="247"/>
        <v>1.8664189846333396E-3</v>
      </c>
      <c r="BH688" s="309">
        <f t="shared" si="248"/>
        <v>0.84230226094276595</v>
      </c>
      <c r="BI688" s="309">
        <f>VLOOKUP($B688,'Infant adult mortality'!$A$134:$I$234,3)</f>
        <v>1.337E-4</v>
      </c>
      <c r="BJ688" s="309">
        <f t="shared" si="249"/>
        <v>0.5714285714285714</v>
      </c>
      <c r="BK688" s="309">
        <f>VLOOKUP($B688,'Infant pick up smoking rates'!$A$19:$I$104,6)</f>
        <v>1.5697620072600664E-2</v>
      </c>
      <c r="BL688" s="309">
        <f t="shared" si="250"/>
        <v>1.1290682746547365E-3</v>
      </c>
      <c r="BM688" s="309">
        <f t="shared" si="251"/>
        <v>0.41161104022417316</v>
      </c>
      <c r="BN688" s="309">
        <f>VLOOKUP($B688,'Infant adult mortality'!$A$134:$I$234,3)</f>
        <v>1.337E-4</v>
      </c>
      <c r="BO688" s="309">
        <f t="shared" si="252"/>
        <v>8.6261668788331098E-3</v>
      </c>
      <c r="BP688" s="309">
        <f>VLOOKUP($B688,'Infant pick up smoking rates'!$A$19:$I$104,6)</f>
        <v>1.5697620072600664E-2</v>
      </c>
      <c r="BQ688" s="309">
        <f t="shared" si="253"/>
        <v>1.1290682746547365E-3</v>
      </c>
      <c r="BR688" s="309">
        <f t="shared" si="254"/>
        <v>0.97441344477391145</v>
      </c>
      <c r="BS688" s="309">
        <f>VLOOKUP($B688,'Infant adult mortality'!$A$134:$I$234,3)</f>
        <v>1.337E-4</v>
      </c>
      <c r="BT688" s="309">
        <f>VLOOKUP($B688,'Infant pick up smoking rates'!$A$19:$I$104,6)</f>
        <v>1.5697620072600664E-2</v>
      </c>
      <c r="BU688" s="309">
        <f t="shared" si="255"/>
        <v>0.98416867992739931</v>
      </c>
      <c r="BV688" s="309">
        <f>VLOOKUP($B688,'Infant adult mortality'!$A$134:$I$234,5)</f>
        <v>1.337E-4</v>
      </c>
      <c r="BW688" s="309">
        <f t="shared" si="256"/>
        <v>0.27</v>
      </c>
      <c r="BX688" s="309">
        <f t="shared" si="257"/>
        <v>0.72986629999999997</v>
      </c>
      <c r="BY688" s="309">
        <f>VLOOKUP($B688,'Infant adult mortality'!$A$134:$I$234,5)</f>
        <v>1.337E-4</v>
      </c>
      <c r="BZ688" s="309">
        <f t="shared" si="258"/>
        <v>0.14000000000000001</v>
      </c>
      <c r="CA688" s="309">
        <f t="shared" si="259"/>
        <v>0.85986629999999997</v>
      </c>
      <c r="CB688" s="309">
        <f>VLOOKUP($B688,'Infant adult mortality'!$A$134:$I$234,4)</f>
        <v>1.337E-4</v>
      </c>
      <c r="CC688" s="309">
        <f t="shared" si="260"/>
        <v>0.5714285714285714</v>
      </c>
      <c r="CD688" s="309">
        <f t="shared" si="261"/>
        <v>0.42843772857142859</v>
      </c>
      <c r="CE688" s="309">
        <f>VLOOKUP($B688,'Infant adult mortality'!$A$134:$I$234,4)</f>
        <v>1.337E-4</v>
      </c>
      <c r="CF688" s="309">
        <f t="shared" si="262"/>
        <v>8.6261668788331098E-3</v>
      </c>
      <c r="CG688" s="309">
        <f t="shared" si="263"/>
        <v>0.99124013312116688</v>
      </c>
      <c r="CH688" s="309"/>
      <c r="CI688" s="315">
        <f t="shared" ca="1" si="288"/>
        <v>120.07769428030204</v>
      </c>
      <c r="CJ688" s="316">
        <f t="shared" ca="1" si="289"/>
        <v>33.893909015540594</v>
      </c>
      <c r="CK688" s="316">
        <f t="shared" ca="1" si="290"/>
        <v>4.9791305396857144</v>
      </c>
      <c r="CL688" s="316">
        <f t="shared" ca="1" si="291"/>
        <v>81.837075073256372</v>
      </c>
      <c r="CM688" s="316">
        <f t="shared" ca="1" si="292"/>
        <v>5.4908242590112888</v>
      </c>
      <c r="CN688" s="316">
        <f t="shared" ca="1" si="293"/>
        <v>137.25016946513651</v>
      </c>
      <c r="CO688" s="316">
        <f t="shared" ca="1" si="294"/>
        <v>36.406141948044002</v>
      </c>
      <c r="CP688" s="316">
        <f t="shared" ca="1" si="295"/>
        <v>4.9772168616769781</v>
      </c>
      <c r="CQ688" s="316">
        <f t="shared" ca="1" si="296"/>
        <v>11.056494747656252</v>
      </c>
      <c r="CR688" s="316">
        <f t="shared" ca="1" si="297"/>
        <v>54.031343809690213</v>
      </c>
      <c r="CS688" s="317">
        <f t="shared" ca="1" si="264"/>
        <v>490</v>
      </c>
      <c r="CT688" s="309"/>
      <c r="CU688" s="309">
        <f t="shared" ca="1" si="265"/>
        <v>999.99999999999977</v>
      </c>
      <c r="CV688" s="309" t="str">
        <f t="shared" ca="1" si="216"/>
        <v>OKAY</v>
      </c>
      <c r="CW688" s="309"/>
      <c r="CX688" s="315">
        <f>(SUM($AR688:$AS688))-((SUM($AR688:$AS688)*VLOOKUP($B688,Lifetime_morbidity_array!$A$30:$Y$48,4))+(SUM($AR688:$AS688)*VLOOKUP($B688,Lifetime_morbidity_array!$A$30:$Y$48,7))+(SUM($AR688:$AS688)*VLOOKUP($B688,Lifetime_morbidity_array!$A$30:$Y$48,10))+(SUM($AR688:$AS688)*VLOOKUP($B688,Lifetime_morbidity_array!$A$30:$Y$48,13)))</f>
        <v>245.28724247380475</v>
      </c>
      <c r="CY688" s="316">
        <f>(SUM($AT688:$AU688))-((SUM($AT688:$AU688)*(VLOOKUP($B688,Lifetime_morbidity_array!$A$30:$Y$48,3)))+(SUM($AT688:$AU688)*(VLOOKUP($B688,Lifetime_morbidity_array!$A$30:$Y$48,6)))+(SUM($AT688:$AU688)*(VLOOKUP($B688,Lifetime_morbidity_array!$A$30:$Y$48,9)))+(SUM($AT688:$AU688)*(VLOOKUP($B688,Lifetime_morbidity_array!$A$30:$Y$48,12))))</f>
        <v>22.767163662126677</v>
      </c>
      <c r="CZ688" s="316">
        <f>(SUM($AM688:$AQ688))-((SUM($AM688:$AQ688)*VLOOKUP($B688,Lifetime_morbidity_array!$A$30:$Y$48,2))+(SUM($AM688:$AQ688)*VLOOKUP($B688,Lifetime_morbidity_array!$A$30:$Y$48,5))+(SUM($AM688:$AQ688)*VLOOKUP($B688,Lifetime_morbidity_array!$A$30:$Y$48,8))+(SUM($AM688:$AQ688)*VLOOKUP($B688,Lifetime_morbidity_array!$A$30:$Y$48,11)))</f>
        <v>184.29618603854195</v>
      </c>
      <c r="DA688" s="316">
        <f>(SUM($AM688:$AQ688)*VLOOKUP($B688,Lifetime_morbidity_array!$A$30:$Y$48,2))+(SUM($AR688:$AS688)*VLOOKUP($B688,Lifetime_morbidity_array!$A$30:$Y$48,4))+(SUM($AT688:$AU688)*(VLOOKUP($B688,Lifetime_morbidity_array!$A$30:$Y$48,3)))</f>
        <v>0.4524038069904262</v>
      </c>
      <c r="DB688" s="316">
        <f>(SUM($AM688:$AQ688)*VLOOKUP($B688,Lifetime_morbidity_array!$A$30:$Y$48,5))+(SUM($AR688:$AS688)*VLOOKUP($B688,Lifetime_morbidity_array!$A$30:$Y$48,7))+(SUM($AT688:$AU688)*(VLOOKUP($B688,Lifetime_morbidity_array!$A$30:$Y$48,6)))</f>
        <v>0.1360134246662526</v>
      </c>
      <c r="DC688" s="316">
        <f>(SUM($AM688:$AQ688)*VLOOKUP($B688,Lifetime_morbidity_array!$A$30:$Y$48,8))+(SUM($AR688:$AS688)*VLOOKUP($B688,Lifetime_morbidity_array!$A$30:$Y$48,10))+(SUM($AT688:$AU688)*(VLOOKUP($B688,Lifetime_morbidity_array!$A$30:$Y$48,9)))</f>
        <v>9.0501074537098405E-3</v>
      </c>
      <c r="DD688" s="317">
        <f>(SUM($AM688:$AQ688)*VLOOKUP($B688,Lifetime_morbidity_array!$A$30:$Y$48,11))+(SUM($AR688:$AS688)*VLOOKUP($B688,Lifetime_morbidity_array!$A$30:$Y$48,13))+(SUM($AT688:$AU688)*(VLOOKUP($B688,Lifetime_morbidity_array!$A$30:$Y$48,12)))</f>
        <v>0</v>
      </c>
      <c r="DE688" s="309"/>
      <c r="DF688" s="315">
        <f ca="1">(SUM($CN688:$CO688))-((SUM($CN688:$CO688)*VLOOKUP($B688,Lifetime_morbidity_array!$A$6:$Y$24,4))+(SUM($CN688:$CO688)*VLOOKUP($B688,Lifetime_morbidity_array!$A$6:$Y$24,7))+(SUM($CN688:$CO688)*VLOOKUP($B688,Lifetime_morbidity_array!$A$6:$Y$24,10))+(SUM($CN688:$CO688)*VLOOKUP($B688,Lifetime_morbidity_array!$A$6:$Y$24,13)))</f>
        <v>173.10935633318385</v>
      </c>
      <c r="DG688" s="316">
        <f ca="1">(SUM($CP688:$CQ688))-(((SUM($CP688:$CQ688)*VLOOKUP($B688,Lifetime_morbidity_array!$A$6:$Y$24,3))+(SUM($CP688:$CQ688)*VLOOKUP($B688,Lifetime_morbidity_array!$A$6:$Y$24,6))+(SUM($CP688:$CQ688)*VLOOKUP($B688,Lifetime_morbidity_array!$A$6:$Y$24,9))+(SUM($CP688:$CQ688)*VLOOKUP($B688,Lifetime_morbidity_array!$A$6:$Y$24,12))))</f>
        <v>15.983211170019739</v>
      </c>
      <c r="DH688" s="316">
        <f ca="1">(SUM($CI688:$CM688))-((SUM($CI688:$CM688)*VLOOKUP($B688,Lifetime_morbidity_array!$A$6:$Y$24,2))+(SUM($CI688:$CM688)*VLOOKUP($B688,Lifetime_morbidity_array!$A$6:$Y$24,5))+(SUM($CI688:$CM688)*VLOOKUP($B688,Lifetime_morbidity_array!$A$6:$Y$24,8))+(SUM($CI688:$CM688)*VLOOKUP($B688,Lifetime_morbidity_array!$A$6:$Y$24,11)))</f>
        <v>245.5029438282634</v>
      </c>
      <c r="DI688" s="316">
        <f ca="1">(SUM($CI688:$CM688)*VLOOKUP($B688,Lifetime_morbidity_array!$A$6:$Y$24,2))+(SUM($CN688:$CO688)*VLOOKUP($B688,Lifetime_morbidity_array!$A$6:$Y$24,4))+(SUM($CP688:$CQ688)*VLOOKUP($B688,Lifetime_morbidity_array!$A$6:$Y$24,3))</f>
        <v>0.43641408349305566</v>
      </c>
      <c r="DJ688" s="316">
        <f ca="1">(SUM($CI688:$CM688)*VLOOKUP($B688,Lifetime_morbidity_array!$A$6:$Y$24,5))+(SUM($CN688:$CO688)*VLOOKUP($B688,Lifetime_morbidity_array!$A$6:$Y$24,7))+(SUM($CP688:$CQ688)*VLOOKUP($B688,Lifetime_morbidity_array!$A$6:$Y$24,6))</f>
        <v>5.6335767490556694E-2</v>
      </c>
      <c r="DK688" s="316">
        <f ca="1">(SUM($CI688:$CM688)*VLOOKUP($B688,Lifetime_morbidity_array!$A$6:$Y$24,8))+(SUM($CN688:$CO688)*VLOOKUP($B688,Lifetime_morbidity_array!$A$6:$Y$24,10))+(SUM($CP688:$CQ688)*VLOOKUP($B688,Lifetime_morbidity_array!$A$6:$Y$24,9))</f>
        <v>8.7147435151632129E-3</v>
      </c>
      <c r="DL688" s="317">
        <f ca="1">(SUM($CI688:$CM688)*VLOOKUP($B688,Lifetime_morbidity_array!$A$6:$Y$24,11))+(SUM($CN688:$CO688)*VLOOKUP($B688,Lifetime_morbidity_array!$A$6:$Y$24,13))+(SUM($CP688:$CQ688)*VLOOKUP($B688,Lifetime_morbidity_array!$A$6:$Y$24,12))</f>
        <v>0.87168026434396528</v>
      </c>
      <c r="DM688" s="309"/>
      <c r="DN688" s="308">
        <f t="shared" si="266"/>
        <v>22</v>
      </c>
      <c r="DO688" s="309">
        <f t="shared" ca="1" si="267"/>
        <v>417.03583786209549</v>
      </c>
      <c r="DP688" s="310">
        <f t="shared" ca="1" si="298"/>
        <v>13502.441351330453</v>
      </c>
      <c r="DQ688" s="309"/>
      <c r="DR688" s="308">
        <f t="shared" si="268"/>
        <v>22</v>
      </c>
      <c r="DS688" s="309">
        <f ca="1">((VLOOKUP($B688,'Mahawesran Tariff'!$A$21:$M$120,4)*'Experimental (DET)'!$CX688)+(VLOOKUP($B688,'Mahawesran Tariff'!$A$21:$M$120,3)*'Experimental (DET)'!$CY688)+(VLOOKUP($B688,'Mahawesran Tariff'!$A$21:$M$120,2)*'Experimental (DET)'!$CZ688)+(VLOOKUP($B688,'Mahawesran Tariff'!$A$21:$M$120,7)*'Experimental (DET)'!$DF688)+(VLOOKUP($B688,'Mahawesran Tariff'!$A$21:$M$120,6)*'Experimental (DET)'!$DG688)+(VLOOKUP($B688,'Mahawesran Tariff'!$A$21:$M$120,5)*'Experimental (DET)'!$DH688)+(DET_UTIL_chd*('Experimental (DET)'!$DA688+'Experimental (DET)'!$DI688))+(DET_UTIL_copd*('Experimental (DET)'!$DB688+'Experimental (DET)'!$DJ688))+(DET_UTIL_lc*('Experimental (DET)'!$DC688+'Experimental (DET)'!$DK688))+(DET_UTIL_stroke*('Experimental (DET)'!$DD688+'Experimental (DET)'!$DL688)))/((1+Discount_rate_QALYs)^$A688)</f>
        <v>429.44380225080812</v>
      </c>
      <c r="DT688" s="310">
        <f t="shared" ca="1" si="299"/>
        <v>13474.6447156011</v>
      </c>
      <c r="DU688" s="309"/>
      <c r="DV688" s="308">
        <f t="shared" si="269"/>
        <v>22</v>
      </c>
      <c r="DW688" s="318">
        <f t="shared" ca="1" si="270"/>
        <v>9806.8302704220496</v>
      </c>
      <c r="DX688" s="319">
        <f t="shared" ca="1" si="300"/>
        <v>5513234.9340177076</v>
      </c>
      <c r="DZ688" s="95">
        <f t="shared" si="271"/>
        <v>22</v>
      </c>
      <c r="EA688" s="268">
        <f t="shared" ca="1" si="217"/>
        <v>0.88891671570389363</v>
      </c>
      <c r="EB688" s="268">
        <f t="shared" ca="1" si="218"/>
        <v>0.1110832842961062</v>
      </c>
      <c r="EC688" s="268">
        <f t="shared" ca="1" si="219"/>
        <v>1.9706121979531296E-3</v>
      </c>
      <c r="ED688" s="290">
        <f t="shared" ca="1" si="220"/>
        <v>0.4580984770043891</v>
      </c>
      <c r="EF688" s="95">
        <f t="shared" si="272"/>
        <v>22</v>
      </c>
      <c r="EG688" s="339">
        <f t="shared" ca="1" si="273"/>
        <v>9806.8302704220496</v>
      </c>
      <c r="EH688" s="341">
        <f t="shared" ca="1" si="301"/>
        <v>8615250.6579812504</v>
      </c>
      <c r="EJ688" s="308">
        <f t="shared" si="274"/>
        <v>22</v>
      </c>
      <c r="EK688" s="318">
        <f t="shared" ca="1" si="275"/>
        <v>9806.8302704220496</v>
      </c>
      <c r="EL688" s="319">
        <f t="shared" ca="1" si="302"/>
        <v>5510194.9340177067</v>
      </c>
      <c r="EN688" s="95">
        <f t="shared" si="276"/>
        <v>22</v>
      </c>
      <c r="EO688" s="339">
        <f t="shared" ca="1" si="277"/>
        <v>9806.8302704220496</v>
      </c>
      <c r="EP688" s="341">
        <f t="shared" ca="1" si="303"/>
        <v>8615250.6579812504</v>
      </c>
    </row>
    <row r="689" spans="1:146" s="266" customFormat="1" x14ac:dyDescent="0.25">
      <c r="A689" s="313">
        <v>23</v>
      </c>
      <c r="B689" s="314">
        <v>23</v>
      </c>
      <c r="C689" s="308">
        <f>VLOOKUP($B689,'Infant adult mortality'!$A$27:$I$128,3)</f>
        <v>3.1639999999999999E-4</v>
      </c>
      <c r="D689" s="309">
        <f t="shared" si="221"/>
        <v>0.27</v>
      </c>
      <c r="E689" s="309">
        <f>VLOOKUP($B689,'Infant pick up smoking rates'!$A$19:$I$104,3)</f>
        <v>2.6500909529550587E-2</v>
      </c>
      <c r="F689" s="309">
        <f t="shared" si="222"/>
        <v>2.1116572466693584E-3</v>
      </c>
      <c r="G689" s="309">
        <f t="shared" si="223"/>
        <v>0.70107103322377995</v>
      </c>
      <c r="H689" s="309">
        <f>VLOOKUP($B689,'Infant adult mortality'!$A$27:$I$128,3)</f>
        <v>3.1639999999999999E-4</v>
      </c>
      <c r="I689" s="309">
        <f t="shared" si="224"/>
        <v>0.14000000000000001</v>
      </c>
      <c r="J689" s="309">
        <f>VLOOKUP($B689,'Infant pick up smoking rates'!$A$19:$I$104,2)</f>
        <v>2.6500909529550587E-2</v>
      </c>
      <c r="K689" s="309">
        <f t="shared" si="225"/>
        <v>2.1116572466693584E-3</v>
      </c>
      <c r="L689" s="309">
        <f t="shared" si="226"/>
        <v>0.83107103322377995</v>
      </c>
      <c r="M689" s="309">
        <f>VLOOKUP($B689,'Infant adult mortality'!$A$27:$I$128,3)</f>
        <v>3.1639999999999999E-4</v>
      </c>
      <c r="N689" s="309">
        <f t="shared" si="227"/>
        <v>0.5714285714285714</v>
      </c>
      <c r="O689" s="309">
        <f>VLOOKUP($B689,'Infant pick up smoking rates'!$A$19:$I$104,2)</f>
        <v>2.6500909529550587E-2</v>
      </c>
      <c r="P689" s="309">
        <f t="shared" si="228"/>
        <v>1.2774222850222045E-3</v>
      </c>
      <c r="Q689" s="309">
        <f t="shared" si="229"/>
        <v>0.40047669675685582</v>
      </c>
      <c r="R689" s="309">
        <f>VLOOKUP($B689,'Infant adult mortality'!$A$27:$I$128,3)</f>
        <v>3.1639999999999999E-4</v>
      </c>
      <c r="S689" s="309">
        <f t="shared" si="230"/>
        <v>8.6261668788331098E-3</v>
      </c>
      <c r="T689" s="309">
        <f>VLOOKUP($B689,'Infant pick up smoking rates'!$A$19:$I$104,2)</f>
        <v>2.6500909529550587E-2</v>
      </c>
      <c r="U689" s="309">
        <f t="shared" si="231"/>
        <v>1.2774222850222045E-3</v>
      </c>
      <c r="V689" s="309">
        <f t="shared" si="232"/>
        <v>0.96327910130659411</v>
      </c>
      <c r="W689" s="309">
        <f>VLOOKUP($B689,'Infant adult mortality'!$A$27:$I$128,3)</f>
        <v>3.1639999999999999E-4</v>
      </c>
      <c r="X689" s="309">
        <f>VLOOKUP($B689,'Infant pick up smoking rates'!$A$19:$I$104,2)</f>
        <v>2.6500909529550587E-2</v>
      </c>
      <c r="Y689" s="309">
        <f t="shared" si="233"/>
        <v>0.97318269047044947</v>
      </c>
      <c r="Z689" s="309">
        <f>VLOOKUP($B689,'Infant adult mortality'!$A$27:$I$128,5)</f>
        <v>3.1639999999999999E-4</v>
      </c>
      <c r="AA689" s="309">
        <f t="shared" si="234"/>
        <v>0.25</v>
      </c>
      <c r="AB689" s="309">
        <f t="shared" si="235"/>
        <v>0.74968360000000001</v>
      </c>
      <c r="AC689" s="309">
        <f>VLOOKUP($B689,'Infant adult mortality'!$A$27:$I$128,5)</f>
        <v>3.1639999999999999E-4</v>
      </c>
      <c r="AD689" s="309">
        <f t="shared" si="236"/>
        <v>0.14000000000000001</v>
      </c>
      <c r="AE689" s="309">
        <f t="shared" si="237"/>
        <v>0.85968359999999999</v>
      </c>
      <c r="AF689" s="309">
        <f>VLOOKUP($B689,'Infant adult mortality'!$A$27:$I$128,4)</f>
        <v>3.1639999999999999E-4</v>
      </c>
      <c r="AG689" s="309">
        <f t="shared" si="238"/>
        <v>0.5714285714285714</v>
      </c>
      <c r="AH689" s="309">
        <f t="shared" si="239"/>
        <v>0.42825502857142861</v>
      </c>
      <c r="AI689" s="309">
        <f>VLOOKUP($B689,'Infant adult mortality'!$A$27:$I$128,4)</f>
        <v>3.1639999999999999E-4</v>
      </c>
      <c r="AJ689" s="309">
        <f t="shared" si="240"/>
        <v>8.6261668788331098E-3</v>
      </c>
      <c r="AK689" s="309">
        <f t="shared" si="241"/>
        <v>0.9910574331211669</v>
      </c>
      <c r="AL689" s="309"/>
      <c r="AM689" s="315">
        <f t="shared" si="278"/>
        <v>82.269879022315493</v>
      </c>
      <c r="AN689" s="316">
        <f t="shared" si="279"/>
        <v>23.182143689663146</v>
      </c>
      <c r="AO689" s="316">
        <f t="shared" si="280"/>
        <v>3.3825022969996357</v>
      </c>
      <c r="AP689" s="316">
        <f t="shared" si="281"/>
        <v>66.205339873812221</v>
      </c>
      <c r="AQ689" s="316">
        <f t="shared" si="282"/>
        <v>4.5508849269128424</v>
      </c>
      <c r="AR689" s="316">
        <f t="shared" si="283"/>
        <v>197.45676912285239</v>
      </c>
      <c r="AS689" s="316">
        <f t="shared" si="284"/>
        <v>49.162488633969161</v>
      </c>
      <c r="AT689" s="316">
        <f t="shared" si="285"/>
        <v>6.8545770691122616</v>
      </c>
      <c r="AU689" s="316">
        <f t="shared" si="286"/>
        <v>19.740162111916444</v>
      </c>
      <c r="AV689" s="316">
        <f t="shared" si="287"/>
        <v>57.195253252446072</v>
      </c>
      <c r="AW689" s="317">
        <f t="shared" si="242"/>
        <v>509.99999999999966</v>
      </c>
      <c r="AX689" s="309"/>
      <c r="AY689" s="308">
        <f>VLOOKUP($B689,'Infant adult mortality'!$A$134:$I$234,3)</f>
        <v>1.3779999999999999E-4</v>
      </c>
      <c r="AZ689" s="309">
        <f t="shared" si="243"/>
        <v>0.27</v>
      </c>
      <c r="BA689" s="309">
        <f ca="1">VLOOKUP($B689,'Infant pick up smoking rates'!$A$19:$I$104,7)</f>
        <v>3.2485004477810379E-2</v>
      </c>
      <c r="BB689" s="309">
        <f t="shared" si="244"/>
        <v>2.1116572466693584E-3</v>
      </c>
      <c r="BC689" s="309">
        <f t="shared" ca="1" si="245"/>
        <v>0.69526553827552029</v>
      </c>
      <c r="BD689" s="309">
        <f>VLOOKUP($B689,'Infant adult mortality'!$A$134:$I$234,3)</f>
        <v>1.3779999999999999E-4</v>
      </c>
      <c r="BE689" s="309">
        <f t="shared" si="246"/>
        <v>0.14000000000000001</v>
      </c>
      <c r="BF689" s="309">
        <f>VLOOKUP($B689,'Infant pick up smoking rates'!$A$19:$I$104,6)</f>
        <v>1.5697620072600664E-2</v>
      </c>
      <c r="BG689" s="309">
        <f t="shared" si="247"/>
        <v>2.1116572466693584E-3</v>
      </c>
      <c r="BH689" s="309">
        <f t="shared" si="248"/>
        <v>0.84205292268072995</v>
      </c>
      <c r="BI689" s="309">
        <f>VLOOKUP($B689,'Infant adult mortality'!$A$134:$I$234,3)</f>
        <v>1.3779999999999999E-4</v>
      </c>
      <c r="BJ689" s="309">
        <f t="shared" si="249"/>
        <v>0.5714285714285714</v>
      </c>
      <c r="BK689" s="309">
        <f>VLOOKUP($B689,'Infant pick up smoking rates'!$A$19:$I$104,6)</f>
        <v>1.5697620072600664E-2</v>
      </c>
      <c r="BL689" s="309">
        <f t="shared" si="250"/>
        <v>1.2774222850222045E-3</v>
      </c>
      <c r="BM689" s="309">
        <f t="shared" si="251"/>
        <v>0.41145858621380565</v>
      </c>
      <c r="BN689" s="309">
        <f>VLOOKUP($B689,'Infant adult mortality'!$A$134:$I$234,3)</f>
        <v>1.3779999999999999E-4</v>
      </c>
      <c r="BO689" s="309">
        <f t="shared" si="252"/>
        <v>8.6261668788331098E-3</v>
      </c>
      <c r="BP689" s="309">
        <f>VLOOKUP($B689,'Infant pick up smoking rates'!$A$19:$I$104,6)</f>
        <v>1.5697620072600664E-2</v>
      </c>
      <c r="BQ689" s="309">
        <f t="shared" si="253"/>
        <v>1.2774222850222045E-3</v>
      </c>
      <c r="BR689" s="309">
        <f t="shared" si="254"/>
        <v>0.974260990763544</v>
      </c>
      <c r="BS689" s="309">
        <f>VLOOKUP($B689,'Infant adult mortality'!$A$134:$I$234,3)</f>
        <v>1.3779999999999999E-4</v>
      </c>
      <c r="BT689" s="309">
        <f>VLOOKUP($B689,'Infant pick up smoking rates'!$A$19:$I$104,6)</f>
        <v>1.5697620072600664E-2</v>
      </c>
      <c r="BU689" s="309">
        <f t="shared" si="255"/>
        <v>0.98416457992739936</v>
      </c>
      <c r="BV689" s="309">
        <f>VLOOKUP($B689,'Infant adult mortality'!$A$134:$I$234,5)</f>
        <v>1.3779999999999999E-4</v>
      </c>
      <c r="BW689" s="309">
        <f t="shared" si="256"/>
        <v>0.27</v>
      </c>
      <c r="BX689" s="309">
        <f t="shared" si="257"/>
        <v>0.72986220000000002</v>
      </c>
      <c r="BY689" s="309">
        <f>VLOOKUP($B689,'Infant adult mortality'!$A$134:$I$234,5)</f>
        <v>1.3779999999999999E-4</v>
      </c>
      <c r="BZ689" s="309">
        <f t="shared" si="258"/>
        <v>0.14000000000000001</v>
      </c>
      <c r="CA689" s="309">
        <f t="shared" si="259"/>
        <v>0.85986220000000002</v>
      </c>
      <c r="CB689" s="309">
        <f>VLOOKUP($B689,'Infant adult mortality'!$A$134:$I$234,4)</f>
        <v>1.3779999999999999E-4</v>
      </c>
      <c r="CC689" s="309">
        <f t="shared" si="260"/>
        <v>0.5714285714285714</v>
      </c>
      <c r="CD689" s="309">
        <f t="shared" si="261"/>
        <v>0.42843362857142858</v>
      </c>
      <c r="CE689" s="309">
        <f>VLOOKUP($B689,'Infant adult mortality'!$A$134:$I$234,4)</f>
        <v>1.3779999999999999E-4</v>
      </c>
      <c r="CF689" s="309">
        <f t="shared" si="262"/>
        <v>8.6261668788331098E-3</v>
      </c>
      <c r="CG689" s="309">
        <f t="shared" si="263"/>
        <v>0.99123603312116693</v>
      </c>
      <c r="CH689" s="309"/>
      <c r="CI689" s="315">
        <f t="shared" ca="1" si="288"/>
        <v>114.78099417517885</v>
      </c>
      <c r="CJ689" s="316">
        <f t="shared" ca="1" si="289"/>
        <v>32.420977455681552</v>
      </c>
      <c r="CK689" s="316">
        <f t="shared" ca="1" si="290"/>
        <v>4.7451472621756832</v>
      </c>
      <c r="CL689" s="316">
        <f t="shared" ca="1" si="291"/>
        <v>82.575887293310274</v>
      </c>
      <c r="CM689" s="316">
        <f t="shared" ca="1" si="292"/>
        <v>5.8399109579570272</v>
      </c>
      <c r="CN689" s="316">
        <f t="shared" ca="1" si="293"/>
        <v>139.58753702202029</v>
      </c>
      <c r="CO689" s="316">
        <f t="shared" ca="1" si="294"/>
        <v>37.057545755586858</v>
      </c>
      <c r="CP689" s="316">
        <f t="shared" ca="1" si="295"/>
        <v>5.0968598727261609</v>
      </c>
      <c r="CQ689" s="316">
        <f t="shared" ca="1" si="296"/>
        <v>13.803719914850074</v>
      </c>
      <c r="CR689" s="316">
        <f t="shared" ca="1" si="297"/>
        <v>54.091420290513234</v>
      </c>
      <c r="CS689" s="317">
        <f t="shared" ca="1" si="264"/>
        <v>489.99999999999994</v>
      </c>
      <c r="CT689" s="309"/>
      <c r="CU689" s="309">
        <f t="shared" ca="1" si="265"/>
        <v>999.99999999999955</v>
      </c>
      <c r="CV689" s="309" t="str">
        <f t="shared" ca="1" si="216"/>
        <v>OKAY</v>
      </c>
      <c r="CW689" s="309"/>
      <c r="CX689" s="315">
        <f>(SUM($AR689:$AS689))-((SUM($AR689:$AS689)*VLOOKUP($B689,Lifetime_morbidity_array!$A$30:$Y$48,4))+(SUM($AR689:$AS689)*VLOOKUP($B689,Lifetime_morbidity_array!$A$30:$Y$48,7))+(SUM($AR689:$AS689)*VLOOKUP($B689,Lifetime_morbidity_array!$A$30:$Y$48,10))+(SUM($AR689:$AS689)*VLOOKUP($B689,Lifetime_morbidity_array!$A$30:$Y$48,13)))</f>
        <v>246.29395124846917</v>
      </c>
      <c r="CY689" s="316">
        <f>(SUM($AT689:$AU689))-((SUM($AT689:$AU689)*(VLOOKUP($B689,Lifetime_morbidity_array!$A$30:$Y$48,3)))+(SUM($AT689:$AU689)*(VLOOKUP($B689,Lifetime_morbidity_array!$A$30:$Y$48,6)))+(SUM($AT689:$AU689)*(VLOOKUP($B689,Lifetime_morbidity_array!$A$30:$Y$48,9)))+(SUM($AT689:$AU689)*(VLOOKUP($B689,Lifetime_morbidity_array!$A$30:$Y$48,12))))</f>
        <v>26.559659026209438</v>
      </c>
      <c r="CZ689" s="316">
        <f>(SUM($AM689:$AQ689))-((SUM($AM689:$AQ689)*VLOOKUP($B689,Lifetime_morbidity_array!$A$30:$Y$48,2))+(SUM($AM689:$AQ689)*VLOOKUP($B689,Lifetime_morbidity_array!$A$30:$Y$48,5))+(SUM($AM689:$AQ689)*VLOOKUP($B689,Lifetime_morbidity_array!$A$30:$Y$48,8))+(SUM($AM689:$AQ689)*VLOOKUP($B689,Lifetime_morbidity_array!$A$30:$Y$48,11)))</f>
        <v>179.35385817243065</v>
      </c>
      <c r="DA689" s="316">
        <f>(SUM($AM689:$AQ689)*VLOOKUP($B689,Lifetime_morbidity_array!$A$30:$Y$48,2))+(SUM($AR689:$AS689)*VLOOKUP($B689,Lifetime_morbidity_array!$A$30:$Y$48,4))+(SUM($AT689:$AU689)*(VLOOKUP($B689,Lifetime_morbidity_array!$A$30:$Y$48,3)))</f>
        <v>0.45226066642589435</v>
      </c>
      <c r="DB689" s="316">
        <f>(SUM($AM689:$AQ689)*VLOOKUP($B689,Lifetime_morbidity_array!$A$30:$Y$48,5))+(SUM($AR689:$AS689)*VLOOKUP($B689,Lifetime_morbidity_array!$A$30:$Y$48,7))+(SUM($AT689:$AU689)*(VLOOKUP($B689,Lifetime_morbidity_array!$A$30:$Y$48,6)))</f>
        <v>0.13597039001868821</v>
      </c>
      <c r="DC689" s="316">
        <f>(SUM($AM689:$AQ689)*VLOOKUP($B689,Lifetime_morbidity_array!$A$30:$Y$48,8))+(SUM($AR689:$AS689)*VLOOKUP($B689,Lifetime_morbidity_array!$A$30:$Y$48,10))+(SUM($AT689:$AU689)*(VLOOKUP($B689,Lifetime_morbidity_array!$A$30:$Y$48,9)))</f>
        <v>9.0472439997114854E-3</v>
      </c>
      <c r="DD689" s="317">
        <f>(SUM($AM689:$AQ689)*VLOOKUP($B689,Lifetime_morbidity_array!$A$30:$Y$48,11))+(SUM($AR689:$AS689)*VLOOKUP($B689,Lifetime_morbidity_array!$A$30:$Y$48,13))+(SUM($AT689:$AU689)*(VLOOKUP($B689,Lifetime_morbidity_array!$A$30:$Y$48,12)))</f>
        <v>0</v>
      </c>
      <c r="DE689" s="309"/>
      <c r="DF689" s="315">
        <f ca="1">(SUM($CN689:$CO689))-((SUM($CN689:$CO689)*VLOOKUP($B689,Lifetime_morbidity_array!$A$6:$Y$24,4))+(SUM($CN689:$CO689)*VLOOKUP($B689,Lifetime_morbidity_array!$A$6:$Y$24,7))+(SUM($CN689:$CO689)*VLOOKUP($B689,Lifetime_morbidity_array!$A$6:$Y$24,10))+(SUM($CN689:$CO689)*VLOOKUP($B689,Lifetime_morbidity_array!$A$6:$Y$24,13)))</f>
        <v>176.08871414006444</v>
      </c>
      <c r="DG689" s="316">
        <f ca="1">(SUM($CP689:$CQ689))-(((SUM($CP689:$CQ689)*VLOOKUP($B689,Lifetime_morbidity_array!$A$6:$Y$24,3))+(SUM($CP689:$CQ689)*VLOOKUP($B689,Lifetime_morbidity_array!$A$6:$Y$24,6))+(SUM($CP689:$CQ689)*VLOOKUP($B689,Lifetime_morbidity_array!$A$6:$Y$24,9))+(SUM($CP689:$CQ689)*VLOOKUP($B689,Lifetime_morbidity_array!$A$6:$Y$24,12))))</f>
        <v>18.84104974201918</v>
      </c>
      <c r="DH689" s="316">
        <f ca="1">(SUM($CI689:$CM689))-((SUM($CI689:$CM689)*VLOOKUP($B689,Lifetime_morbidity_array!$A$6:$Y$24,2))+(SUM($CI689:$CM689)*VLOOKUP($B689,Lifetime_morbidity_array!$A$6:$Y$24,5))+(SUM($CI689:$CM689)*VLOOKUP($B689,Lifetime_morbidity_array!$A$6:$Y$24,8))+(SUM($CI689:$CM689)*VLOOKUP($B689,Lifetime_morbidity_array!$A$6:$Y$24,11)))</f>
        <v>239.60586018792193</v>
      </c>
      <c r="DI689" s="316">
        <f ca="1">(SUM($CI689:$CM689)*VLOOKUP($B689,Lifetime_morbidity_array!$A$6:$Y$24,2))+(SUM($CN689:$CO689)*VLOOKUP($B689,Lifetime_morbidity_array!$A$6:$Y$24,4))+(SUM($CP689:$CQ689)*VLOOKUP($B689,Lifetime_morbidity_array!$A$6:$Y$24,3))</f>
        <v>0.43635394563235036</v>
      </c>
      <c r="DJ689" s="316">
        <f ca="1">(SUM($CI689:$CM689)*VLOOKUP($B689,Lifetime_morbidity_array!$A$6:$Y$24,5))+(SUM($CN689:$CO689)*VLOOKUP($B689,Lifetime_morbidity_array!$A$6:$Y$24,7))+(SUM($CP689:$CQ689)*VLOOKUP($B689,Lifetime_morbidity_array!$A$6:$Y$24,6))</f>
        <v>5.6328004421796501E-2</v>
      </c>
      <c r="DK689" s="316">
        <f ca="1">(SUM($CI689:$CM689)*VLOOKUP($B689,Lifetime_morbidity_array!$A$6:$Y$24,8))+(SUM($CN689:$CO689)*VLOOKUP($B689,Lifetime_morbidity_array!$A$6:$Y$24,10))+(SUM($CP689:$CQ689)*VLOOKUP($B689,Lifetime_morbidity_array!$A$6:$Y$24,9))</f>
        <v>8.7135426235068255E-3</v>
      </c>
      <c r="DL689" s="317">
        <f ca="1">(SUM($CI689:$CM689)*VLOOKUP($B689,Lifetime_morbidity_array!$A$6:$Y$24,11))+(SUM($CN689:$CO689)*VLOOKUP($B689,Lifetime_morbidity_array!$A$6:$Y$24,13))+(SUM($CP689:$CQ689)*VLOOKUP($B689,Lifetime_morbidity_array!$A$6:$Y$24,12))</f>
        <v>0.87156014680353877</v>
      </c>
      <c r="DM689" s="309"/>
      <c r="DN689" s="308">
        <f t="shared" si="266"/>
        <v>23</v>
      </c>
      <c r="DO689" s="309">
        <f t="shared" ca="1" si="267"/>
        <v>402.84098325472974</v>
      </c>
      <c r="DP689" s="310">
        <f t="shared" ca="1" si="298"/>
        <v>13905.282334585183</v>
      </c>
      <c r="DQ689" s="309"/>
      <c r="DR689" s="308">
        <f t="shared" si="268"/>
        <v>23</v>
      </c>
      <c r="DS689" s="309">
        <f ca="1">((VLOOKUP($B689,'Mahawesran Tariff'!$A$21:$M$120,4)*'Experimental (DET)'!$CX689)+(VLOOKUP($B689,'Mahawesran Tariff'!$A$21:$M$120,3)*'Experimental (DET)'!$CY689)+(VLOOKUP($B689,'Mahawesran Tariff'!$A$21:$M$120,2)*'Experimental (DET)'!$CZ689)+(VLOOKUP($B689,'Mahawesran Tariff'!$A$21:$M$120,7)*'Experimental (DET)'!$DF689)+(VLOOKUP($B689,'Mahawesran Tariff'!$A$21:$M$120,6)*'Experimental (DET)'!$DG689)+(VLOOKUP($B689,'Mahawesran Tariff'!$A$21:$M$120,5)*'Experimental (DET)'!$DH689)+(DET_UTIL_chd*('Experimental (DET)'!$DA689+'Experimental (DET)'!$DI689))+(DET_UTIL_copd*('Experimental (DET)'!$DB689+'Experimental (DET)'!$DJ689))+(DET_UTIL_lc*('Experimental (DET)'!$DC689+'Experimental (DET)'!$DK689))+(DET_UTIL_stroke*('Experimental (DET)'!$DD689+'Experimental (DET)'!$DL689)))/((1+Discount_rate_QALYs)^$A689)</f>
        <v>414.683556404228</v>
      </c>
      <c r="DT689" s="310">
        <f t="shared" ca="1" si="299"/>
        <v>13889.328272005328</v>
      </c>
      <c r="DU689" s="309"/>
      <c r="DV689" s="308">
        <f t="shared" si="269"/>
        <v>23</v>
      </c>
      <c r="DW689" s="318">
        <f t="shared" ca="1" si="270"/>
        <v>9473.8090164161476</v>
      </c>
      <c r="DX689" s="319">
        <f t="shared" ca="1" si="300"/>
        <v>5522708.7430341234</v>
      </c>
      <c r="DZ689" s="95">
        <f t="shared" si="271"/>
        <v>23</v>
      </c>
      <c r="EA689" s="268">
        <f t="shared" ca="1" si="217"/>
        <v>0.88871332645704026</v>
      </c>
      <c r="EB689" s="268">
        <f t="shared" ca="1" si="218"/>
        <v>0.11128667354295931</v>
      </c>
      <c r="EC689" s="268">
        <f t="shared" ca="1" si="219"/>
        <v>1.9702339399254869E-3</v>
      </c>
      <c r="ED689" s="290">
        <f t="shared" ca="1" si="220"/>
        <v>0.46875965950303361</v>
      </c>
      <c r="EF689" s="95">
        <f t="shared" si="272"/>
        <v>23</v>
      </c>
      <c r="EG689" s="339">
        <f t="shared" ca="1" si="273"/>
        <v>9473.8090164161476</v>
      </c>
      <c r="EH689" s="341">
        <f t="shared" ca="1" si="301"/>
        <v>8624724.4669976663</v>
      </c>
      <c r="EJ689" s="308">
        <f t="shared" si="274"/>
        <v>23</v>
      </c>
      <c r="EK689" s="318">
        <f t="shared" ca="1" si="275"/>
        <v>9473.8090164161476</v>
      </c>
      <c r="EL689" s="319">
        <f t="shared" ca="1" si="302"/>
        <v>5519668.7430341225</v>
      </c>
      <c r="EN689" s="95">
        <f t="shared" si="276"/>
        <v>23</v>
      </c>
      <c r="EO689" s="339">
        <f t="shared" ca="1" si="277"/>
        <v>9473.8090164161476</v>
      </c>
      <c r="EP689" s="341">
        <f t="shared" ca="1" si="303"/>
        <v>8624724.4669976663</v>
      </c>
    </row>
    <row r="690" spans="1:146" s="266" customFormat="1" x14ac:dyDescent="0.25">
      <c r="A690" s="313">
        <v>24</v>
      </c>
      <c r="B690" s="314">
        <v>24</v>
      </c>
      <c r="C690" s="308">
        <f>VLOOKUP($B690,'Infant adult mortality'!$A$27:$I$128,3)</f>
        <v>3.0719999999999999E-4</v>
      </c>
      <c r="D690" s="309">
        <f t="shared" si="221"/>
        <v>0.27</v>
      </c>
      <c r="E690" s="309">
        <f>VLOOKUP($B690,'Infant pick up smoking rates'!$A$19:$I$104,3)</f>
        <v>2.6500909529550587E-2</v>
      </c>
      <c r="F690" s="309">
        <f t="shared" si="222"/>
        <v>2.3070448122729107E-3</v>
      </c>
      <c r="G690" s="309">
        <f t="shared" si="223"/>
        <v>0.70088484565817644</v>
      </c>
      <c r="H690" s="309">
        <f>VLOOKUP($B690,'Infant adult mortality'!$A$27:$I$128,3)</f>
        <v>3.0719999999999999E-4</v>
      </c>
      <c r="I690" s="309">
        <f t="shared" si="224"/>
        <v>0.14000000000000001</v>
      </c>
      <c r="J690" s="309">
        <f>VLOOKUP($B690,'Infant pick up smoking rates'!$A$19:$I$104,2)</f>
        <v>2.6500909529550587E-2</v>
      </c>
      <c r="K690" s="309">
        <f t="shared" si="225"/>
        <v>2.3070448122729107E-3</v>
      </c>
      <c r="L690" s="309">
        <f t="shared" si="226"/>
        <v>0.83088484565817644</v>
      </c>
      <c r="M690" s="309">
        <f>VLOOKUP($B690,'Infant adult mortality'!$A$27:$I$128,3)</f>
        <v>3.0719999999999999E-4</v>
      </c>
      <c r="N690" s="309">
        <f t="shared" si="227"/>
        <v>0.5714285714285714</v>
      </c>
      <c r="O690" s="309">
        <f>VLOOKUP($B690,'Infant pick up smoking rates'!$A$19:$I$104,2)</f>
        <v>2.6500909529550587E-2</v>
      </c>
      <c r="P690" s="309">
        <f t="shared" si="228"/>
        <v>1.395619701251514E-3</v>
      </c>
      <c r="Q690" s="309">
        <f t="shared" si="229"/>
        <v>0.4003676993406266</v>
      </c>
      <c r="R690" s="309">
        <f>VLOOKUP($B690,'Infant adult mortality'!$A$27:$I$128,3)</f>
        <v>3.0719999999999999E-4</v>
      </c>
      <c r="S690" s="309">
        <f t="shared" si="230"/>
        <v>8.6261668788331098E-3</v>
      </c>
      <c r="T690" s="309">
        <f>VLOOKUP($B690,'Infant pick up smoking rates'!$A$19:$I$104,2)</f>
        <v>2.6500909529550587E-2</v>
      </c>
      <c r="U690" s="309">
        <f t="shared" si="231"/>
        <v>1.395619701251514E-3</v>
      </c>
      <c r="V690" s="309">
        <f t="shared" si="232"/>
        <v>0.96317010389036495</v>
      </c>
      <c r="W690" s="309">
        <f>VLOOKUP($B690,'Infant adult mortality'!$A$27:$I$128,3)</f>
        <v>3.0719999999999999E-4</v>
      </c>
      <c r="X690" s="309">
        <f>VLOOKUP($B690,'Infant pick up smoking rates'!$A$19:$I$104,2)</f>
        <v>2.6500909529550587E-2</v>
      </c>
      <c r="Y690" s="309">
        <f t="shared" si="233"/>
        <v>0.97319189047044952</v>
      </c>
      <c r="Z690" s="309">
        <f>VLOOKUP($B690,'Infant adult mortality'!$A$27:$I$128,5)</f>
        <v>3.0719999999999999E-4</v>
      </c>
      <c r="AA690" s="309">
        <f t="shared" si="234"/>
        <v>0.25</v>
      </c>
      <c r="AB690" s="309">
        <f t="shared" si="235"/>
        <v>0.74969280000000005</v>
      </c>
      <c r="AC690" s="309">
        <f>VLOOKUP($B690,'Infant adult mortality'!$A$27:$I$128,5)</f>
        <v>3.0719999999999999E-4</v>
      </c>
      <c r="AD690" s="309">
        <f t="shared" si="236"/>
        <v>0.14000000000000001</v>
      </c>
      <c r="AE690" s="309">
        <f t="shared" si="237"/>
        <v>0.85969280000000003</v>
      </c>
      <c r="AF690" s="309">
        <f>VLOOKUP($B690,'Infant adult mortality'!$A$27:$I$128,4)</f>
        <v>3.0719999999999999E-4</v>
      </c>
      <c r="AG690" s="309">
        <f t="shared" si="238"/>
        <v>0.5714285714285714</v>
      </c>
      <c r="AH690" s="309">
        <f t="shared" si="239"/>
        <v>0.4282642285714286</v>
      </c>
      <c r="AI690" s="309">
        <f>VLOOKUP($B690,'Infant adult mortality'!$A$27:$I$128,4)</f>
        <v>3.0719999999999999E-4</v>
      </c>
      <c r="AJ690" s="309">
        <f t="shared" si="240"/>
        <v>8.6261668788331098E-3</v>
      </c>
      <c r="AK690" s="309">
        <f t="shared" si="241"/>
        <v>0.99106663312116694</v>
      </c>
      <c r="AL690" s="309"/>
      <c r="AM690" s="315">
        <f t="shared" si="278"/>
        <v>78.848746315169379</v>
      </c>
      <c r="AN690" s="316">
        <f t="shared" si="279"/>
        <v>22.212867336025184</v>
      </c>
      <c r="AO690" s="316">
        <f t="shared" si="280"/>
        <v>3.2455001165528405</v>
      </c>
      <c r="AP690" s="316">
        <f t="shared" si="281"/>
        <v>65.699862539785002</v>
      </c>
      <c r="AQ690" s="316">
        <f t="shared" si="282"/>
        <v>4.7692850107783036</v>
      </c>
      <c r="AR690" s="316">
        <f t="shared" si="283"/>
        <v>198.1617259377004</v>
      </c>
      <c r="AS690" s="316">
        <f t="shared" si="284"/>
        <v>49.364192280713098</v>
      </c>
      <c r="AT690" s="316">
        <f t="shared" si="285"/>
        <v>6.8827484087556829</v>
      </c>
      <c r="AU690" s="316">
        <f t="shared" si="286"/>
        <v>23.480717183872919</v>
      </c>
      <c r="AV690" s="316">
        <f t="shared" si="287"/>
        <v>57.334354870646919</v>
      </c>
      <c r="AW690" s="317">
        <f t="shared" si="242"/>
        <v>509.99999999999966</v>
      </c>
      <c r="AX690" s="309"/>
      <c r="AY690" s="308">
        <f>VLOOKUP($B690,'Infant adult mortality'!$A$134:$I$234,3)</f>
        <v>1.4230000000000002E-4</v>
      </c>
      <c r="AZ690" s="309">
        <f t="shared" si="243"/>
        <v>0.27</v>
      </c>
      <c r="BA690" s="309">
        <f ca="1">VLOOKUP($B690,'Infant pick up smoking rates'!$A$19:$I$104,7)</f>
        <v>3.2485004477810379E-2</v>
      </c>
      <c r="BB690" s="309">
        <f t="shared" si="244"/>
        <v>2.3070448122729107E-3</v>
      </c>
      <c r="BC690" s="309">
        <f t="shared" ca="1" si="245"/>
        <v>0.69506565070991666</v>
      </c>
      <c r="BD690" s="309">
        <f>VLOOKUP($B690,'Infant adult mortality'!$A$134:$I$234,3)</f>
        <v>1.4230000000000002E-4</v>
      </c>
      <c r="BE690" s="309">
        <f t="shared" si="246"/>
        <v>0.14000000000000001</v>
      </c>
      <c r="BF690" s="309">
        <f>VLOOKUP($B690,'Infant pick up smoking rates'!$A$19:$I$104,6)</f>
        <v>1.5697620072600664E-2</v>
      </c>
      <c r="BG690" s="309">
        <f t="shared" si="247"/>
        <v>2.3070448122729107E-3</v>
      </c>
      <c r="BH690" s="309">
        <f t="shared" si="248"/>
        <v>0.84185303511512632</v>
      </c>
      <c r="BI690" s="309">
        <f>VLOOKUP($B690,'Infant adult mortality'!$A$134:$I$234,3)</f>
        <v>1.4230000000000002E-4</v>
      </c>
      <c r="BJ690" s="309">
        <f t="shared" si="249"/>
        <v>0.5714285714285714</v>
      </c>
      <c r="BK690" s="309">
        <f>VLOOKUP($B690,'Infant pick up smoking rates'!$A$19:$I$104,6)</f>
        <v>1.5697620072600664E-2</v>
      </c>
      <c r="BL690" s="309">
        <f t="shared" si="250"/>
        <v>1.395619701251514E-3</v>
      </c>
      <c r="BM690" s="309">
        <f t="shared" si="251"/>
        <v>0.41133588879757649</v>
      </c>
      <c r="BN690" s="309">
        <f>VLOOKUP($B690,'Infant adult mortality'!$A$134:$I$234,3)</f>
        <v>1.4230000000000002E-4</v>
      </c>
      <c r="BO690" s="309">
        <f t="shared" si="252"/>
        <v>8.6261668788331098E-3</v>
      </c>
      <c r="BP690" s="309">
        <f>VLOOKUP($B690,'Infant pick up smoking rates'!$A$19:$I$104,6)</f>
        <v>1.5697620072600664E-2</v>
      </c>
      <c r="BQ690" s="309">
        <f t="shared" si="253"/>
        <v>1.395619701251514E-3</v>
      </c>
      <c r="BR690" s="309">
        <f t="shared" si="254"/>
        <v>0.97413829334731472</v>
      </c>
      <c r="BS690" s="309">
        <f>VLOOKUP($B690,'Infant adult mortality'!$A$134:$I$234,3)</f>
        <v>1.4230000000000002E-4</v>
      </c>
      <c r="BT690" s="309">
        <f>VLOOKUP($B690,'Infant pick up smoking rates'!$A$19:$I$104,6)</f>
        <v>1.5697620072600664E-2</v>
      </c>
      <c r="BU690" s="309">
        <f t="shared" si="255"/>
        <v>0.98416007992739929</v>
      </c>
      <c r="BV690" s="309">
        <f>VLOOKUP($B690,'Infant adult mortality'!$A$134:$I$234,5)</f>
        <v>1.4230000000000002E-4</v>
      </c>
      <c r="BW690" s="309">
        <f t="shared" si="256"/>
        <v>0.27</v>
      </c>
      <c r="BX690" s="309">
        <f t="shared" si="257"/>
        <v>0.72985769999999994</v>
      </c>
      <c r="BY690" s="309">
        <f>VLOOKUP($B690,'Infant adult mortality'!$A$134:$I$234,5)</f>
        <v>1.4230000000000002E-4</v>
      </c>
      <c r="BZ690" s="309">
        <f t="shared" si="258"/>
        <v>0.14000000000000001</v>
      </c>
      <c r="CA690" s="309">
        <f t="shared" si="259"/>
        <v>0.85985769999999995</v>
      </c>
      <c r="CB690" s="309">
        <f>VLOOKUP($B690,'Infant adult mortality'!$A$134:$I$234,4)</f>
        <v>1.4230000000000002E-4</v>
      </c>
      <c r="CC690" s="309">
        <f t="shared" si="260"/>
        <v>0.5714285714285714</v>
      </c>
      <c r="CD690" s="309">
        <f t="shared" si="261"/>
        <v>0.42842912857142862</v>
      </c>
      <c r="CE690" s="309">
        <f>VLOOKUP($B690,'Infant adult mortality'!$A$134:$I$234,4)</f>
        <v>1.4230000000000002E-4</v>
      </c>
      <c r="CF690" s="309">
        <f t="shared" si="262"/>
        <v>8.6261668788331098E-3</v>
      </c>
      <c r="CG690" s="309">
        <f t="shared" si="263"/>
        <v>0.99123153312116685</v>
      </c>
      <c r="CH690" s="309"/>
      <c r="CI690" s="315">
        <f t="shared" ca="1" si="288"/>
        <v>109.73818742848867</v>
      </c>
      <c r="CJ690" s="316">
        <f t="shared" ca="1" si="289"/>
        <v>30.990868427298292</v>
      </c>
      <c r="CK690" s="316">
        <f t="shared" ca="1" si="290"/>
        <v>4.5389368437954181</v>
      </c>
      <c r="CL690" s="316">
        <f t="shared" ca="1" si="291"/>
        <v>83.151846640788733</v>
      </c>
      <c r="CM690" s="316">
        <f t="shared" ca="1" si="292"/>
        <v>6.2088757363185039</v>
      </c>
      <c r="CN690" s="316">
        <f t="shared" ca="1" si="293"/>
        <v>141.74596963036132</v>
      </c>
      <c r="CO690" s="316">
        <f t="shared" ca="1" si="294"/>
        <v>37.688634995945478</v>
      </c>
      <c r="CP690" s="316">
        <f t="shared" ca="1" si="295"/>
        <v>5.1880564057821603</v>
      </c>
      <c r="CQ690" s="316">
        <f t="shared" ca="1" si="296"/>
        <v>16.595173809815542</v>
      </c>
      <c r="CR690" s="316">
        <f t="shared" ca="1" si="297"/>
        <v>54.153450081405893</v>
      </c>
      <c r="CS690" s="317">
        <f t="shared" ca="1" si="264"/>
        <v>490</v>
      </c>
      <c r="CT690" s="309"/>
      <c r="CU690" s="309">
        <f t="shared" ca="1" si="265"/>
        <v>999.99999999999966</v>
      </c>
      <c r="CV690" s="309" t="str">
        <f t="shared" ca="1" si="216"/>
        <v>OKAY</v>
      </c>
      <c r="CW690" s="309"/>
      <c r="CX690" s="315">
        <f>(SUM($AR690:$AS690))-((SUM($AR690:$AS690)*VLOOKUP($B690,Lifetime_morbidity_array!$A$30:$Y$48,4))+(SUM($AR690:$AS690)*VLOOKUP($B690,Lifetime_morbidity_array!$A$30:$Y$48,7))+(SUM($AR690:$AS690)*VLOOKUP($B690,Lifetime_morbidity_array!$A$30:$Y$48,10))+(SUM($AR690:$AS690)*VLOOKUP($B690,Lifetime_morbidity_array!$A$30:$Y$48,13)))</f>
        <v>247.19941576716639</v>
      </c>
      <c r="CY690" s="316">
        <f>(SUM($AT690:$AU690))-((SUM($AT690:$AU690)*(VLOOKUP($B690,Lifetime_morbidity_array!$A$30:$Y$48,3)))+(SUM($AT690:$AU690)*(VLOOKUP($B690,Lifetime_morbidity_array!$A$30:$Y$48,6)))+(SUM($AT690:$AU690)*(VLOOKUP($B690,Lifetime_morbidity_array!$A$30:$Y$48,9)))+(SUM($AT690:$AU690)*(VLOOKUP($B690,Lifetime_morbidity_array!$A$30:$Y$48,12))))</f>
        <v>30.323414247639334</v>
      </c>
      <c r="CZ690" s="316">
        <f>(SUM($AM690:$AQ690))-((SUM($AM690:$AQ690)*VLOOKUP($B690,Lifetime_morbidity_array!$A$30:$Y$48,2))+(SUM($AM690:$AQ690)*VLOOKUP($B690,Lifetime_morbidity_array!$A$30:$Y$48,5))+(SUM($AM690:$AQ690)*VLOOKUP($B690,Lifetime_morbidity_array!$A$30:$Y$48,8))+(SUM($AM690:$AQ690)*VLOOKUP($B690,Lifetime_morbidity_array!$A$30:$Y$48,11)))</f>
        <v>174.5457202979967</v>
      </c>
      <c r="DA690" s="316">
        <f>(SUM($AM690:$AQ690)*VLOOKUP($B690,Lifetime_morbidity_array!$A$30:$Y$48,2))+(SUM($AR690:$AS690)*VLOOKUP($B690,Lifetime_morbidity_array!$A$30:$Y$48,4))+(SUM($AT690:$AU690)*(VLOOKUP($B690,Lifetime_morbidity_array!$A$30:$Y$48,3)))</f>
        <v>0.45212173194916844</v>
      </c>
      <c r="DB690" s="316">
        <f>(SUM($AM690:$AQ690)*VLOOKUP($B690,Lifetime_morbidity_array!$A$30:$Y$48,5))+(SUM($AR690:$AS690)*VLOOKUP($B690,Lifetime_morbidity_array!$A$30:$Y$48,7))+(SUM($AT690:$AU690)*(VLOOKUP($B690,Lifetime_morbidity_array!$A$30:$Y$48,6)))</f>
        <v>0.13592861991487448</v>
      </c>
      <c r="DC690" s="316">
        <f>(SUM($AM690:$AQ690)*VLOOKUP($B690,Lifetime_morbidity_array!$A$30:$Y$48,8))+(SUM($AR690:$AS690)*VLOOKUP($B690,Lifetime_morbidity_array!$A$30:$Y$48,10))+(SUM($AT690:$AU690)*(VLOOKUP($B690,Lifetime_morbidity_array!$A$30:$Y$48,9)))</f>
        <v>9.0444646863547754E-3</v>
      </c>
      <c r="DD690" s="317">
        <f>(SUM($AM690:$AQ690)*VLOOKUP($B690,Lifetime_morbidity_array!$A$30:$Y$48,11))+(SUM($AR690:$AS690)*VLOOKUP($B690,Lifetime_morbidity_array!$A$30:$Y$48,13))+(SUM($AT690:$AU690)*(VLOOKUP($B690,Lifetime_morbidity_array!$A$30:$Y$48,12)))</f>
        <v>0</v>
      </c>
      <c r="DE690" s="309"/>
      <c r="DF690" s="315">
        <f ca="1">(SUM($CN690:$CO690))-((SUM($CN690:$CO690)*VLOOKUP($B690,Lifetime_morbidity_array!$A$6:$Y$24,4))+(SUM($CN690:$CO690)*VLOOKUP($B690,Lifetime_morbidity_array!$A$6:$Y$24,7))+(SUM($CN690:$CO690)*VLOOKUP($B690,Lifetime_morbidity_array!$A$6:$Y$24,10))+(SUM($CN690:$CO690)*VLOOKUP($B690,Lifetime_morbidity_array!$A$6:$Y$24,13)))</f>
        <v>178.86944999570983</v>
      </c>
      <c r="DG690" s="316">
        <f ca="1">(SUM($CP690:$CQ690))-(((SUM($CP690:$CQ690)*VLOOKUP($B690,Lifetime_morbidity_array!$A$6:$Y$24,3))+(SUM($CP690:$CQ690)*VLOOKUP($B690,Lifetime_morbidity_array!$A$6:$Y$24,6))+(SUM($CP690:$CQ690)*VLOOKUP($B690,Lifetime_morbidity_array!$A$6:$Y$24,9))+(SUM($CP690:$CQ690)*VLOOKUP($B690,Lifetime_morbidity_array!$A$6:$Y$24,12))))</f>
        <v>21.714620855372321</v>
      </c>
      <c r="DH690" s="316">
        <f ca="1">(SUM($CI690:$CM690))-((SUM($CI690:$CM690)*VLOOKUP($B690,Lifetime_morbidity_array!$A$6:$Y$24,2))+(SUM($CI690:$CM690)*VLOOKUP($B690,Lifetime_morbidity_array!$A$6:$Y$24,5))+(SUM($CI690:$CM690)*VLOOKUP($B690,Lifetime_morbidity_array!$A$6:$Y$24,8))+(SUM($CI690:$CM690)*VLOOKUP($B690,Lifetime_morbidity_array!$A$6:$Y$24,11)))</f>
        <v>233.88971879961827</v>
      </c>
      <c r="DI690" s="316">
        <f ca="1">(SUM($CI690:$CM690)*VLOOKUP($B690,Lifetime_morbidity_array!$A$6:$Y$24,2))+(SUM($CN690:$CO690)*VLOOKUP($B690,Lifetime_morbidity_array!$A$6:$Y$24,4))+(SUM($CP690:$CQ690)*VLOOKUP($B690,Lifetime_morbidity_array!$A$6:$Y$24,3))</f>
        <v>0.43629185246588686</v>
      </c>
      <c r="DJ690" s="316">
        <f ca="1">(SUM($CI690:$CM690)*VLOOKUP($B690,Lifetime_morbidity_array!$A$6:$Y$24,5))+(SUM($CN690:$CO690)*VLOOKUP($B690,Lifetime_morbidity_array!$A$6:$Y$24,7))+(SUM($CP690:$CQ690)*VLOOKUP($B690,Lifetime_morbidity_array!$A$6:$Y$24,6))</f>
        <v>5.6319988946767284E-2</v>
      </c>
      <c r="DK690" s="316">
        <f ca="1">(SUM($CI690:$CM690)*VLOOKUP($B690,Lifetime_morbidity_array!$A$6:$Y$24,8))+(SUM($CN690:$CO690)*VLOOKUP($B690,Lifetime_morbidity_array!$A$6:$Y$24,10))+(SUM($CP690:$CQ690)*VLOOKUP($B690,Lifetime_morbidity_array!$A$6:$Y$24,9))</f>
        <v>8.7123026863914991E-3</v>
      </c>
      <c r="DL690" s="317">
        <f ca="1">(SUM($CI690:$CM690)*VLOOKUP($B690,Lifetime_morbidity_array!$A$6:$Y$24,11))+(SUM($CN690:$CO690)*VLOOKUP($B690,Lifetime_morbidity_array!$A$6:$Y$24,13))+(SUM($CP690:$CQ690)*VLOOKUP($B690,Lifetime_morbidity_array!$A$6:$Y$24,12))</f>
        <v>0.87143612379464863</v>
      </c>
      <c r="DM690" s="309"/>
      <c r="DN690" s="308">
        <f t="shared" si="266"/>
        <v>24</v>
      </c>
      <c r="DO690" s="309">
        <f t="shared" ca="1" si="267"/>
        <v>389.13025437345505</v>
      </c>
      <c r="DP690" s="310">
        <f t="shared" ca="1" si="298"/>
        <v>14294.412588958638</v>
      </c>
      <c r="DQ690" s="309"/>
      <c r="DR690" s="308">
        <f t="shared" si="268"/>
        <v>24</v>
      </c>
      <c r="DS690" s="309">
        <f ca="1">((VLOOKUP($B690,'Mahawesran Tariff'!$A$21:$M$120,4)*'Experimental (DET)'!$CX690)+(VLOOKUP($B690,'Mahawesran Tariff'!$A$21:$M$120,3)*'Experimental (DET)'!$CY690)+(VLOOKUP($B690,'Mahawesran Tariff'!$A$21:$M$120,2)*'Experimental (DET)'!$CZ690)+(VLOOKUP($B690,'Mahawesran Tariff'!$A$21:$M$120,7)*'Experimental (DET)'!$DF690)+(VLOOKUP($B690,'Mahawesran Tariff'!$A$21:$M$120,6)*'Experimental (DET)'!$DG690)+(VLOOKUP($B690,'Mahawesran Tariff'!$A$21:$M$120,5)*'Experimental (DET)'!$DH690)+(DET_UTIL_chd*('Experimental (DET)'!$DA690+'Experimental (DET)'!$DI690))+(DET_UTIL_copd*('Experimental (DET)'!$DB690+'Experimental (DET)'!$DJ690))+(DET_UTIL_lc*('Experimental (DET)'!$DC690+'Experimental (DET)'!$DK690))+(DET_UTIL_stroke*('Experimental (DET)'!$DD690+'Experimental (DET)'!$DL690)))/((1+Discount_rate_QALYs)^$A690)</f>
        <v>400.43689319639844</v>
      </c>
      <c r="DT690" s="310">
        <f t="shared" ca="1" si="299"/>
        <v>14289.765165201727</v>
      </c>
      <c r="DU690" s="309"/>
      <c r="DV690" s="308">
        <f t="shared" si="269"/>
        <v>24</v>
      </c>
      <c r="DW690" s="318">
        <f t="shared" ca="1" si="270"/>
        <v>9152.0615485405178</v>
      </c>
      <c r="DX690" s="319">
        <f t="shared" ca="1" si="300"/>
        <v>5531860.8045826638</v>
      </c>
      <c r="DZ690" s="95">
        <f t="shared" si="271"/>
        <v>24</v>
      </c>
      <c r="EA690" s="268">
        <f t="shared" ca="1" si="217"/>
        <v>0.88851219504794687</v>
      </c>
      <c r="EB690" s="268">
        <f t="shared" ca="1" si="218"/>
        <v>0.11148780495205281</v>
      </c>
      <c r="EC690" s="268">
        <f t="shared" ca="1" si="219"/>
        <v>1.9698550844440919E-3</v>
      </c>
      <c r="ED690" s="290">
        <f t="shared" ca="1" si="220"/>
        <v>0.47910721865294659</v>
      </c>
      <c r="EF690" s="95">
        <f t="shared" si="272"/>
        <v>24</v>
      </c>
      <c r="EG690" s="339">
        <f t="shared" ca="1" si="273"/>
        <v>9152.0615485405178</v>
      </c>
      <c r="EH690" s="341">
        <f t="shared" ca="1" si="301"/>
        <v>8633876.5285462067</v>
      </c>
      <c r="EJ690" s="308">
        <f t="shared" si="274"/>
        <v>24</v>
      </c>
      <c r="EK690" s="318">
        <f t="shared" ca="1" si="275"/>
        <v>9152.0615485405178</v>
      </c>
      <c r="EL690" s="319">
        <f t="shared" ca="1" si="302"/>
        <v>5528820.8045826629</v>
      </c>
      <c r="EN690" s="95">
        <f t="shared" si="276"/>
        <v>24</v>
      </c>
      <c r="EO690" s="339">
        <f t="shared" ca="1" si="277"/>
        <v>9152.0615485405178</v>
      </c>
      <c r="EP690" s="341">
        <f t="shared" ca="1" si="303"/>
        <v>8633876.5285462067</v>
      </c>
    </row>
    <row r="691" spans="1:146" s="266" customFormat="1" x14ac:dyDescent="0.25">
      <c r="A691" s="313">
        <v>25</v>
      </c>
      <c r="B691" s="314">
        <v>25</v>
      </c>
      <c r="C691" s="308">
        <f>VLOOKUP($B691,'Infant adult mortality'!$A$27:$I$128,3)</f>
        <v>3.0219999999999997E-4</v>
      </c>
      <c r="D691" s="309">
        <f t="shared" si="221"/>
        <v>0.27</v>
      </c>
      <c r="E691" s="309">
        <f>VLOOKUP($B691,'Infant pick up smoking rates'!$A$19:$I$104,3)</f>
        <v>1.5201831243956284E-3</v>
      </c>
      <c r="F691" s="309">
        <f t="shared" si="222"/>
        <v>2.5178017763423494E-3</v>
      </c>
      <c r="G691" s="309">
        <f t="shared" si="223"/>
        <v>0.72565981509926203</v>
      </c>
      <c r="H691" s="309">
        <f>VLOOKUP($B691,'Infant adult mortality'!$A$27:$I$128,3)</f>
        <v>3.0219999999999997E-4</v>
      </c>
      <c r="I691" s="309">
        <f t="shared" si="224"/>
        <v>0.14000000000000001</v>
      </c>
      <c r="J691" s="309">
        <f>VLOOKUP($B691,'Infant pick up smoking rates'!$A$19:$I$104,2)</f>
        <v>1.5201831243956284E-3</v>
      </c>
      <c r="K691" s="309">
        <f t="shared" si="225"/>
        <v>2.5178017763423494E-3</v>
      </c>
      <c r="L691" s="309">
        <f t="shared" si="226"/>
        <v>0.85565981509926203</v>
      </c>
      <c r="M691" s="309">
        <f>VLOOKUP($B691,'Infant adult mortality'!$A$27:$I$128,3)</f>
        <v>3.0219999999999997E-4</v>
      </c>
      <c r="N691" s="309">
        <f t="shared" si="227"/>
        <v>0.5714285714285714</v>
      </c>
      <c r="O691" s="309">
        <f>VLOOKUP($B691,'Infant pick up smoking rates'!$A$19:$I$104,2)</f>
        <v>1.5201831243956284E-3</v>
      </c>
      <c r="P691" s="309">
        <f t="shared" si="228"/>
        <v>1.5231146548243845E-3</v>
      </c>
      <c r="Q691" s="309">
        <f t="shared" si="229"/>
        <v>0.42522593079220866</v>
      </c>
      <c r="R691" s="309">
        <f>VLOOKUP($B691,'Infant adult mortality'!$A$27:$I$128,3)</f>
        <v>3.0219999999999997E-4</v>
      </c>
      <c r="S691" s="309">
        <f t="shared" si="230"/>
        <v>8.6261668788331098E-3</v>
      </c>
      <c r="T691" s="309">
        <f>VLOOKUP($B691,'Infant pick up smoking rates'!$A$19:$I$104,2)</f>
        <v>1.5201831243956284E-3</v>
      </c>
      <c r="U691" s="309">
        <f t="shared" si="231"/>
        <v>1.5231146548243845E-3</v>
      </c>
      <c r="V691" s="309">
        <f t="shared" si="232"/>
        <v>0.9880283353419469</v>
      </c>
      <c r="W691" s="309">
        <f>VLOOKUP($B691,'Infant adult mortality'!$A$27:$I$128,3)</f>
        <v>3.0219999999999997E-4</v>
      </c>
      <c r="X691" s="309">
        <f>VLOOKUP($B691,'Infant pick up smoking rates'!$A$19:$I$104,2)</f>
        <v>1.5201831243956284E-3</v>
      </c>
      <c r="Y691" s="309">
        <f t="shared" si="233"/>
        <v>0.99817761687560436</v>
      </c>
      <c r="Z691" s="309">
        <f>VLOOKUP($B691,'Infant adult mortality'!$A$27:$I$128,5)</f>
        <v>3.0219999999999997E-4</v>
      </c>
      <c r="AA691" s="309">
        <f t="shared" si="234"/>
        <v>0.25</v>
      </c>
      <c r="AB691" s="309">
        <f t="shared" si="235"/>
        <v>0.74969779999999997</v>
      </c>
      <c r="AC691" s="309">
        <f>VLOOKUP($B691,'Infant adult mortality'!$A$27:$I$128,5)</f>
        <v>3.0219999999999997E-4</v>
      </c>
      <c r="AD691" s="309">
        <f t="shared" si="236"/>
        <v>0.14000000000000001</v>
      </c>
      <c r="AE691" s="309">
        <f t="shared" si="237"/>
        <v>0.85969779999999996</v>
      </c>
      <c r="AF691" s="309">
        <f>VLOOKUP($B691,'Infant adult mortality'!$A$27:$I$128,4)</f>
        <v>3.0219999999999997E-4</v>
      </c>
      <c r="AG691" s="309">
        <f t="shared" si="238"/>
        <v>0.5714285714285714</v>
      </c>
      <c r="AH691" s="309">
        <f t="shared" si="239"/>
        <v>0.42826922857142863</v>
      </c>
      <c r="AI691" s="309">
        <f>VLOOKUP($B691,'Infant adult mortality'!$A$27:$I$128,4)</f>
        <v>3.0219999999999997E-4</v>
      </c>
      <c r="AJ691" s="309">
        <f t="shared" si="240"/>
        <v>8.6261668788331098E-3</v>
      </c>
      <c r="AK691" s="309">
        <f t="shared" si="241"/>
        <v>0.99107163312116686</v>
      </c>
      <c r="AL691" s="309"/>
      <c r="AM691" s="315">
        <f t="shared" si="278"/>
        <v>78.170833415574151</v>
      </c>
      <c r="AN691" s="316">
        <f t="shared" si="279"/>
        <v>21.289161505095734</v>
      </c>
      <c r="AO691" s="316">
        <f t="shared" si="280"/>
        <v>3.1098014270435259</v>
      </c>
      <c r="AP691" s="316">
        <f t="shared" si="281"/>
        <v>66.767897312551554</v>
      </c>
      <c r="AQ691" s="316">
        <f t="shared" si="282"/>
        <v>5.1200583488742799</v>
      </c>
      <c r="AR691" s="316">
        <f t="shared" si="283"/>
        <v>194.41560734153578</v>
      </c>
      <c r="AS691" s="316">
        <f t="shared" si="284"/>
        <v>49.540431484425099</v>
      </c>
      <c r="AT691" s="316">
        <f t="shared" si="285"/>
        <v>6.9109869192998348</v>
      </c>
      <c r="AU691" s="316">
        <f t="shared" si="286"/>
        <v>27.204071816994713</v>
      </c>
      <c r="AV691" s="316">
        <f t="shared" si="287"/>
        <v>57.471150428605007</v>
      </c>
      <c r="AW691" s="317">
        <f t="shared" si="242"/>
        <v>509.99999999999966</v>
      </c>
      <c r="AX691" s="309"/>
      <c r="AY691" s="308">
        <f>VLOOKUP($B691,'Infant adult mortality'!$A$134:$I$234,3)</f>
        <v>1.482E-4</v>
      </c>
      <c r="AZ691" s="309">
        <f t="shared" si="243"/>
        <v>0.27</v>
      </c>
      <c r="BA691" s="309">
        <f ca="1">VLOOKUP($B691,'Infant pick up smoking rates'!$A$19:$I$104,7)</f>
        <v>3.9916955482353625E-3</v>
      </c>
      <c r="BB691" s="309">
        <f t="shared" si="244"/>
        <v>2.5178017763423494E-3</v>
      </c>
      <c r="BC691" s="309">
        <f t="shared" ca="1" si="245"/>
        <v>0.72334230267542232</v>
      </c>
      <c r="BD691" s="309">
        <f>VLOOKUP($B691,'Infant adult mortality'!$A$134:$I$234,3)</f>
        <v>1.482E-4</v>
      </c>
      <c r="BE691" s="309">
        <f t="shared" si="246"/>
        <v>0.14000000000000001</v>
      </c>
      <c r="BF691" s="309">
        <f>VLOOKUP($B691,'Infant pick up smoking rates'!$A$19:$I$104,6)</f>
        <v>1.9288936901483743E-3</v>
      </c>
      <c r="BG691" s="309">
        <f t="shared" si="247"/>
        <v>2.5178017763423494E-3</v>
      </c>
      <c r="BH691" s="309">
        <f t="shared" si="248"/>
        <v>0.85540510453350926</v>
      </c>
      <c r="BI691" s="309">
        <f>VLOOKUP($B691,'Infant adult mortality'!$A$134:$I$234,3)</f>
        <v>1.482E-4</v>
      </c>
      <c r="BJ691" s="309">
        <f t="shared" si="249"/>
        <v>0.5714285714285714</v>
      </c>
      <c r="BK691" s="309">
        <f>VLOOKUP($B691,'Infant pick up smoking rates'!$A$19:$I$104,6)</f>
        <v>1.9288936901483743E-3</v>
      </c>
      <c r="BL691" s="309">
        <f t="shared" si="250"/>
        <v>1.5231146548243845E-3</v>
      </c>
      <c r="BM691" s="309">
        <f t="shared" si="251"/>
        <v>0.42497122022645589</v>
      </c>
      <c r="BN691" s="309">
        <f>VLOOKUP($B691,'Infant adult mortality'!$A$134:$I$234,3)</f>
        <v>1.482E-4</v>
      </c>
      <c r="BO691" s="309">
        <f t="shared" si="252"/>
        <v>8.6261668788331098E-3</v>
      </c>
      <c r="BP691" s="309">
        <f>VLOOKUP($B691,'Infant pick up smoking rates'!$A$19:$I$104,6)</f>
        <v>1.9288936901483743E-3</v>
      </c>
      <c r="BQ691" s="309">
        <f t="shared" si="253"/>
        <v>1.5231146548243845E-3</v>
      </c>
      <c r="BR691" s="309">
        <f t="shared" si="254"/>
        <v>0.98777362477619413</v>
      </c>
      <c r="BS691" s="309">
        <f>VLOOKUP($B691,'Infant adult mortality'!$A$134:$I$234,3)</f>
        <v>1.482E-4</v>
      </c>
      <c r="BT691" s="309">
        <f>VLOOKUP($B691,'Infant pick up smoking rates'!$A$19:$I$104,6)</f>
        <v>1.9288936901483743E-3</v>
      </c>
      <c r="BU691" s="309">
        <f t="shared" si="255"/>
        <v>0.99792290630985159</v>
      </c>
      <c r="BV691" s="309">
        <f>VLOOKUP($B691,'Infant adult mortality'!$A$134:$I$234,5)</f>
        <v>1.482E-4</v>
      </c>
      <c r="BW691" s="309">
        <f t="shared" si="256"/>
        <v>0.27</v>
      </c>
      <c r="BX691" s="309">
        <f t="shared" si="257"/>
        <v>0.72985179999999994</v>
      </c>
      <c r="BY691" s="309">
        <f>VLOOKUP($B691,'Infant adult mortality'!$A$134:$I$234,5)</f>
        <v>1.482E-4</v>
      </c>
      <c r="BZ691" s="309">
        <f t="shared" si="258"/>
        <v>0.14000000000000001</v>
      </c>
      <c r="CA691" s="309">
        <f t="shared" si="259"/>
        <v>0.85985179999999994</v>
      </c>
      <c r="CB691" s="309">
        <f>VLOOKUP($B691,'Infant adult mortality'!$A$134:$I$234,4)</f>
        <v>1.482E-4</v>
      </c>
      <c r="CC691" s="309">
        <f t="shared" si="260"/>
        <v>0.5714285714285714</v>
      </c>
      <c r="CD691" s="309">
        <f t="shared" si="261"/>
        <v>0.42842322857142862</v>
      </c>
      <c r="CE691" s="309">
        <f>VLOOKUP($B691,'Infant adult mortality'!$A$134:$I$234,4)</f>
        <v>1.482E-4</v>
      </c>
      <c r="CF691" s="309">
        <f t="shared" si="262"/>
        <v>8.6261668788331098E-3</v>
      </c>
      <c r="CG691" s="309">
        <f t="shared" si="263"/>
        <v>0.99122563312116685</v>
      </c>
      <c r="CH691" s="309"/>
      <c r="CI691" s="315">
        <f t="shared" ca="1" si="288"/>
        <v>108.53421946703254</v>
      </c>
      <c r="CJ691" s="316">
        <f t="shared" ca="1" si="289"/>
        <v>29.629310605691945</v>
      </c>
      <c r="CK691" s="316">
        <f t="shared" ca="1" si="290"/>
        <v>4.3387215798217609</v>
      </c>
      <c r="CL691" s="316">
        <f t="shared" ca="1" si="291"/>
        <v>84.728879159660607</v>
      </c>
      <c r="CM691" s="316">
        <f t="shared" ca="1" si="292"/>
        <v>6.6838703039387655</v>
      </c>
      <c r="CN691" s="316">
        <f t="shared" ca="1" si="293"/>
        <v>138.90497031728344</v>
      </c>
      <c r="CO691" s="316">
        <f t="shared" ca="1" si="294"/>
        <v>38.271411800197555</v>
      </c>
      <c r="CP691" s="316">
        <f t="shared" ca="1" si="295"/>
        <v>5.2764088994323677</v>
      </c>
      <c r="CQ691" s="316">
        <f t="shared" ca="1" si="296"/>
        <v>19.414165326837164</v>
      </c>
      <c r="CR691" s="316">
        <f t="shared" ca="1" si="297"/>
        <v>54.218042540103838</v>
      </c>
      <c r="CS691" s="317">
        <f t="shared" ca="1" si="264"/>
        <v>489.99999999999994</v>
      </c>
      <c r="CT691" s="309"/>
      <c r="CU691" s="309">
        <f t="shared" ca="1" si="265"/>
        <v>999.99999999999955</v>
      </c>
      <c r="CV691" s="309" t="str">
        <f t="shared" ca="1" si="216"/>
        <v>OKAY</v>
      </c>
      <c r="CW691" s="309"/>
      <c r="CX691" s="315">
        <f>(SUM($AR691:$AS691))-((SUM($AR691:$AS691)*VLOOKUP($B691,Lifetime_morbidity_array!$A$30:$Y$48,4))+(SUM($AR691:$AS691)*VLOOKUP($B691,Lifetime_morbidity_array!$A$30:$Y$48,7))+(SUM($AR691:$AS691)*VLOOKUP($B691,Lifetime_morbidity_array!$A$30:$Y$48,10))+(SUM($AR691:$AS691)*VLOOKUP($B691,Lifetime_morbidity_array!$A$30:$Y$48,13)))</f>
        <v>243.36479291362704</v>
      </c>
      <c r="CY691" s="316">
        <f>(SUM($AT691:$AU691))-((SUM($AT691:$AU691)*(VLOOKUP($B691,Lifetime_morbidity_array!$A$30:$Y$48,3)))+(SUM($AT691:$AU691)*(VLOOKUP($B691,Lifetime_morbidity_array!$A$30:$Y$48,6)))+(SUM($AT691:$AU691)*(VLOOKUP($B691,Lifetime_morbidity_array!$A$30:$Y$48,9)))+(SUM($AT691:$AU691)*(VLOOKUP($B691,Lifetime_morbidity_array!$A$30:$Y$48,12))))</f>
        <v>34.03237831106739</v>
      </c>
      <c r="CZ691" s="316">
        <f>(SUM($AM691:$AQ691))-((SUM($AM691:$AQ691)*VLOOKUP($B691,Lifetime_morbidity_array!$A$30:$Y$48,2))+(SUM($AM691:$AQ691)*VLOOKUP($B691,Lifetime_morbidity_array!$A$30:$Y$48,5))+(SUM($AM691:$AQ691)*VLOOKUP($B691,Lifetime_morbidity_array!$A$30:$Y$48,8))+(SUM($AM691:$AQ691)*VLOOKUP($B691,Lifetime_morbidity_array!$A$30:$Y$48,11)))</f>
        <v>174.03494045158666</v>
      </c>
      <c r="DA691" s="316">
        <f>(SUM($AM691:$AQ691)*VLOOKUP($B691,Lifetime_morbidity_array!$A$30:$Y$48,2))+(SUM($AR691:$AS691)*VLOOKUP($B691,Lifetime_morbidity_array!$A$30:$Y$48,4))+(SUM($AT691:$AU691)*(VLOOKUP($B691,Lifetime_morbidity_array!$A$30:$Y$48,3)))</f>
        <v>0.90664953119960845</v>
      </c>
      <c r="DB691" s="316">
        <f>(SUM($AM691:$AQ691)*VLOOKUP($B691,Lifetime_morbidity_array!$A$30:$Y$48,5))+(SUM($AR691:$AS691)*VLOOKUP($B691,Lifetime_morbidity_array!$A$30:$Y$48,7))+(SUM($AT691:$AU691)*(VLOOKUP($B691,Lifetime_morbidity_array!$A$30:$Y$48,6)))</f>
        <v>0.18104453105415608</v>
      </c>
      <c r="DC691" s="316">
        <f>(SUM($AM691:$AQ691)*VLOOKUP($B691,Lifetime_morbidity_array!$A$30:$Y$48,8))+(SUM($AR691:$AS691)*VLOOKUP($B691,Lifetime_morbidity_array!$A$30:$Y$48,10))+(SUM($AT691:$AU691)*(VLOOKUP($B691,Lifetime_morbidity_array!$A$30:$Y$48,9)))</f>
        <v>9.0438328598095186E-3</v>
      </c>
      <c r="DD691" s="317">
        <f>(SUM($AM691:$AQ691)*VLOOKUP($B691,Lifetime_morbidity_array!$A$30:$Y$48,11))+(SUM($AR691:$AS691)*VLOOKUP($B691,Lifetime_morbidity_array!$A$30:$Y$48,13))+(SUM($AT691:$AU691)*(VLOOKUP($B691,Lifetime_morbidity_array!$A$30:$Y$48,12)))</f>
        <v>0</v>
      </c>
      <c r="DE691" s="309"/>
      <c r="DF691" s="315">
        <f ca="1">(SUM($CN691:$CO691))-((SUM($CN691:$CO691)*VLOOKUP($B691,Lifetime_morbidity_array!$A$6:$Y$24,4))+(SUM($CN691:$CO691)*VLOOKUP($B691,Lifetime_morbidity_array!$A$6:$Y$24,7))+(SUM($CN691:$CO691)*VLOOKUP($B691,Lifetime_morbidity_array!$A$6:$Y$24,10))+(SUM($CN691:$CO691)*VLOOKUP($B691,Lifetime_morbidity_array!$A$6:$Y$24,13)))</f>
        <v>176.78330820446007</v>
      </c>
      <c r="DG691" s="316">
        <f ca="1">(SUM($CP691:$CQ691))-(((SUM($CP691:$CQ691)*VLOOKUP($B691,Lifetime_morbidity_array!$A$6:$Y$24,3))+(SUM($CP691:$CQ691)*VLOOKUP($B691,Lifetime_morbidity_array!$A$6:$Y$24,6))+(SUM($CP691:$CQ691)*VLOOKUP($B691,Lifetime_morbidity_array!$A$6:$Y$24,9))+(SUM($CP691:$CQ691)*VLOOKUP($B691,Lifetime_morbidity_array!$A$6:$Y$24,12))))</f>
        <v>24.635797057270683</v>
      </c>
      <c r="DH691" s="316">
        <f ca="1">(SUM($CI691:$CM691))-((SUM($CI691:$CM691)*VLOOKUP($B691,Lifetime_morbidity_array!$A$6:$Y$24,2))+(SUM($CI691:$CM691)*VLOOKUP($B691,Lifetime_morbidity_array!$A$6:$Y$24,5))+(SUM($CI691:$CM691)*VLOOKUP($B691,Lifetime_morbidity_array!$A$6:$Y$24,8))+(SUM($CI691:$CM691)*VLOOKUP($B691,Lifetime_morbidity_array!$A$6:$Y$24,11)))</f>
        <v>233.39604997997188</v>
      </c>
      <c r="DI691" s="316">
        <f ca="1">(SUM($CI691:$CM691)*VLOOKUP($B691,Lifetime_morbidity_array!$A$6:$Y$24,2))+(SUM($CN691:$CO691)*VLOOKUP($B691,Lifetime_morbidity_array!$A$6:$Y$24,4))+(SUM($CP691:$CQ691)*VLOOKUP($B691,Lifetime_morbidity_array!$A$6:$Y$24,3))</f>
        <v>0.43641479673474498</v>
      </c>
      <c r="DJ691" s="316">
        <f ca="1">(SUM($CI691:$CM691)*VLOOKUP($B691,Lifetime_morbidity_array!$A$6:$Y$24,5))+(SUM($CN691:$CO691)*VLOOKUP($B691,Lifetime_morbidity_array!$A$6:$Y$24,7))+(SUM($CP691:$CQ691)*VLOOKUP($B691,Lifetime_morbidity_array!$A$6:$Y$24,6))</f>
        <v>8.5495358152738413E-2</v>
      </c>
      <c r="DK691" s="316">
        <f ca="1">(SUM($CI691:$CM691)*VLOOKUP($B691,Lifetime_morbidity_array!$A$6:$Y$24,8))+(SUM($CN691:$CO691)*VLOOKUP($B691,Lifetime_morbidity_array!$A$6:$Y$24,10))+(SUM($CP691:$CQ691)*VLOOKUP($B691,Lifetime_morbidity_array!$A$6:$Y$24,9))</f>
        <v>8.7291209552381576E-3</v>
      </c>
      <c r="DL691" s="317">
        <f ca="1">(SUM($CI691:$CM691)*VLOOKUP($B691,Lifetime_morbidity_array!$A$6:$Y$24,11))+(SUM($CN691:$CO691)*VLOOKUP($B691,Lifetime_morbidity_array!$A$6:$Y$24,13))+(SUM($CP691:$CQ691)*VLOOKUP($B691,Lifetime_morbidity_array!$A$6:$Y$24,12))</f>
        <v>0.43616294235082015</v>
      </c>
      <c r="DM691" s="309"/>
      <c r="DN691" s="308">
        <f t="shared" si="266"/>
        <v>25</v>
      </c>
      <c r="DO691" s="309">
        <f t="shared" ca="1" si="267"/>
        <v>375.88604353128483</v>
      </c>
      <c r="DP691" s="310">
        <f t="shared" ca="1" si="298"/>
        <v>14670.298632489923</v>
      </c>
      <c r="DQ691" s="309"/>
      <c r="DR691" s="308">
        <f t="shared" si="268"/>
        <v>25</v>
      </c>
      <c r="DS691" s="309">
        <f ca="1">((VLOOKUP($B691,'Mahawesran Tariff'!$A$21:$M$120,4)*'Experimental (DET)'!$CX691)+(VLOOKUP($B691,'Mahawesran Tariff'!$A$21:$M$120,3)*'Experimental (DET)'!$CY691)+(VLOOKUP($B691,'Mahawesran Tariff'!$A$21:$M$120,2)*'Experimental (DET)'!$CZ691)+(VLOOKUP($B691,'Mahawesran Tariff'!$A$21:$M$120,7)*'Experimental (DET)'!$DF691)+(VLOOKUP($B691,'Mahawesran Tariff'!$A$21:$M$120,6)*'Experimental (DET)'!$DG691)+(VLOOKUP($B691,'Mahawesran Tariff'!$A$21:$M$120,5)*'Experimental (DET)'!$DH691)+(DET_UTIL_chd*('Experimental (DET)'!$DA691+'Experimental (DET)'!$DI691))+(DET_UTIL_copd*('Experimental (DET)'!$DB691+'Experimental (DET)'!$DJ691))+(DET_UTIL_lc*('Experimental (DET)'!$DC691+'Experimental (DET)'!$DK691))+(DET_UTIL_stroke*('Experimental (DET)'!$DD691+'Experimental (DET)'!$DL691)))/((1+Discount_rate_QALYs)^$A691)</f>
        <v>374.45172472530612</v>
      </c>
      <c r="DT691" s="310">
        <f t="shared" ca="1" si="299"/>
        <v>14664.216889927033</v>
      </c>
      <c r="DU691" s="309"/>
      <c r="DV691" s="308">
        <f t="shared" si="269"/>
        <v>25</v>
      </c>
      <c r="DW691" s="318">
        <f t="shared" ca="1" si="270"/>
        <v>5221.4925838998497</v>
      </c>
      <c r="DX691" s="319">
        <f t="shared" ca="1" si="300"/>
        <v>5537082.2971665636</v>
      </c>
      <c r="DZ691" s="95">
        <f t="shared" si="271"/>
        <v>25</v>
      </c>
      <c r="EA691" s="268">
        <f t="shared" ca="1" si="217"/>
        <v>0.88831080703129073</v>
      </c>
      <c r="EB691" s="268">
        <f t="shared" ca="1" si="218"/>
        <v>0.11168919296870886</v>
      </c>
      <c r="EC691" s="268">
        <f t="shared" ca="1" si="219"/>
        <v>2.0635401133071154E-3</v>
      </c>
      <c r="ED691" s="290">
        <f t="shared" ca="1" si="220"/>
        <v>0.47993805390600597</v>
      </c>
      <c r="EF691" s="95">
        <f t="shared" si="272"/>
        <v>25</v>
      </c>
      <c r="EG691" s="339">
        <f t="shared" ca="1" si="273"/>
        <v>5221.4925838998497</v>
      </c>
      <c r="EH691" s="341">
        <f t="shared" ca="1" si="301"/>
        <v>8639098.0211301073</v>
      </c>
      <c r="EJ691" s="308">
        <f t="shared" si="274"/>
        <v>25</v>
      </c>
      <c r="EK691" s="318">
        <f t="shared" ca="1" si="275"/>
        <v>5221.4925838998497</v>
      </c>
      <c r="EL691" s="319">
        <f t="shared" ca="1" si="302"/>
        <v>5534042.2971665626</v>
      </c>
      <c r="EN691" s="95">
        <f t="shared" si="276"/>
        <v>25</v>
      </c>
      <c r="EO691" s="339">
        <f t="shared" ca="1" si="277"/>
        <v>5221.4925838998497</v>
      </c>
      <c r="EP691" s="341">
        <f t="shared" ca="1" si="303"/>
        <v>8639098.0211301073</v>
      </c>
    </row>
    <row r="692" spans="1:146" s="266" customFormat="1" x14ac:dyDescent="0.25">
      <c r="A692" s="313">
        <v>26</v>
      </c>
      <c r="B692" s="314">
        <v>26</v>
      </c>
      <c r="C692" s="308">
        <f>VLOOKUP($B692,'Infant adult mortality'!$A$27:$I$128,3)</f>
        <v>3.0370000000000001E-4</v>
      </c>
      <c r="D692" s="309">
        <f t="shared" si="221"/>
        <v>0.27</v>
      </c>
      <c r="E692" s="309">
        <f>VLOOKUP($B692,'Infant pick up smoking rates'!$A$19:$I$104,3)</f>
        <v>1.5201831243956284E-3</v>
      </c>
      <c r="F692" s="309">
        <f t="shared" si="222"/>
        <v>2.7506318126766247E-3</v>
      </c>
      <c r="G692" s="309">
        <f t="shared" si="223"/>
        <v>0.7254254850629277</v>
      </c>
      <c r="H692" s="309">
        <f>VLOOKUP($B692,'Infant adult mortality'!$A$27:$I$128,3)</f>
        <v>3.0370000000000001E-4</v>
      </c>
      <c r="I692" s="309">
        <f t="shared" si="224"/>
        <v>0.14000000000000001</v>
      </c>
      <c r="J692" s="309">
        <f>VLOOKUP($B692,'Infant pick up smoking rates'!$A$19:$I$104,2)</f>
        <v>1.5201831243956284E-3</v>
      </c>
      <c r="K692" s="309">
        <f t="shared" si="225"/>
        <v>2.7506318126766247E-3</v>
      </c>
      <c r="L692" s="309">
        <f t="shared" si="226"/>
        <v>0.8554254850629277</v>
      </c>
      <c r="M692" s="309">
        <f>VLOOKUP($B692,'Infant adult mortality'!$A$27:$I$128,3)</f>
        <v>3.0370000000000001E-4</v>
      </c>
      <c r="N692" s="309">
        <f t="shared" si="227"/>
        <v>0.5714285714285714</v>
      </c>
      <c r="O692" s="309">
        <f>VLOOKUP($B692,'Infant pick up smoking rates'!$A$19:$I$104,2)</f>
        <v>1.5201831243956284E-3</v>
      </c>
      <c r="P692" s="309">
        <f t="shared" si="228"/>
        <v>1.6639624545821557E-3</v>
      </c>
      <c r="Q692" s="309">
        <f t="shared" si="229"/>
        <v>0.42508358299245086</v>
      </c>
      <c r="R692" s="309">
        <f>VLOOKUP($B692,'Infant adult mortality'!$A$27:$I$128,3)</f>
        <v>3.0370000000000001E-4</v>
      </c>
      <c r="S692" s="309">
        <f t="shared" si="230"/>
        <v>8.6261668788331098E-3</v>
      </c>
      <c r="T692" s="309">
        <f>VLOOKUP($B692,'Infant pick up smoking rates'!$A$19:$I$104,2)</f>
        <v>1.5201831243956284E-3</v>
      </c>
      <c r="U692" s="309">
        <f t="shared" si="231"/>
        <v>1.6639624545821557E-3</v>
      </c>
      <c r="V692" s="309">
        <f t="shared" si="232"/>
        <v>0.98788598754218915</v>
      </c>
      <c r="W692" s="309">
        <f>VLOOKUP($B692,'Infant adult mortality'!$A$27:$I$128,3)</f>
        <v>3.0370000000000001E-4</v>
      </c>
      <c r="X692" s="309">
        <f>VLOOKUP($B692,'Infant pick up smoking rates'!$A$19:$I$104,2)</f>
        <v>1.5201831243956284E-3</v>
      </c>
      <c r="Y692" s="309">
        <f t="shared" si="233"/>
        <v>0.99817611687560437</v>
      </c>
      <c r="Z692" s="309">
        <f>VLOOKUP($B692,'Infant adult mortality'!$A$27:$I$128,5)</f>
        <v>3.0370000000000001E-4</v>
      </c>
      <c r="AA692" s="309">
        <f t="shared" si="234"/>
        <v>0.25</v>
      </c>
      <c r="AB692" s="309">
        <f t="shared" si="235"/>
        <v>0.74969629999999998</v>
      </c>
      <c r="AC692" s="309">
        <f>VLOOKUP($B692,'Infant adult mortality'!$A$27:$I$128,5)</f>
        <v>3.0370000000000001E-4</v>
      </c>
      <c r="AD692" s="309">
        <f t="shared" si="236"/>
        <v>0.14000000000000001</v>
      </c>
      <c r="AE692" s="309">
        <f t="shared" si="237"/>
        <v>0.85969629999999997</v>
      </c>
      <c r="AF692" s="309">
        <f>VLOOKUP($B692,'Infant adult mortality'!$A$27:$I$128,4)</f>
        <v>3.0370000000000001E-4</v>
      </c>
      <c r="AG692" s="309">
        <f t="shared" si="238"/>
        <v>0.5714285714285714</v>
      </c>
      <c r="AH692" s="309">
        <f t="shared" si="239"/>
        <v>0.42826772857142859</v>
      </c>
      <c r="AI692" s="309">
        <f>VLOOKUP($B692,'Infant adult mortality'!$A$27:$I$128,4)</f>
        <v>3.0370000000000001E-4</v>
      </c>
      <c r="AJ692" s="309">
        <f t="shared" si="240"/>
        <v>8.6261668788331098E-3</v>
      </c>
      <c r="AK692" s="309">
        <f t="shared" si="241"/>
        <v>0.99107013312116687</v>
      </c>
      <c r="AL692" s="309"/>
      <c r="AM692" s="315">
        <f t="shared" si="278"/>
        <v>76.81628261271527</v>
      </c>
      <c r="AN692" s="316">
        <f t="shared" si="279"/>
        <v>21.106125022205021</v>
      </c>
      <c r="AO692" s="316">
        <f t="shared" si="280"/>
        <v>2.9804826107134033</v>
      </c>
      <c r="AP692" s="316">
        <f t="shared" si="281"/>
        <v>67.736099559607496</v>
      </c>
      <c r="AQ692" s="316">
        <f t="shared" si="282"/>
        <v>5.5005716540885858</v>
      </c>
      <c r="AR692" s="316">
        <f t="shared" si="283"/>
        <v>191.80201439768285</v>
      </c>
      <c r="AS692" s="316">
        <f t="shared" si="284"/>
        <v>48.603901835383944</v>
      </c>
      <c r="AT692" s="316">
        <f t="shared" si="285"/>
        <v>6.9356604078195145</v>
      </c>
      <c r="AU692" s="316">
        <f t="shared" si="286"/>
        <v>30.910278459563781</v>
      </c>
      <c r="AV692" s="316">
        <f t="shared" si="287"/>
        <v>57.608583440219839</v>
      </c>
      <c r="AW692" s="317">
        <f t="shared" si="242"/>
        <v>509.99999999999966</v>
      </c>
      <c r="AX692" s="309"/>
      <c r="AY692" s="308">
        <f>VLOOKUP($B692,'Infant adult mortality'!$A$134:$I$234,3)</f>
        <v>1.585E-4</v>
      </c>
      <c r="AZ692" s="309">
        <f t="shared" si="243"/>
        <v>0.27</v>
      </c>
      <c r="BA692" s="309">
        <f ca="1">VLOOKUP($B692,'Infant pick up smoking rates'!$A$19:$I$104,7)</f>
        <v>3.9916955482353625E-3</v>
      </c>
      <c r="BB692" s="309">
        <f t="shared" si="244"/>
        <v>2.7506318126766247E-3</v>
      </c>
      <c r="BC692" s="309">
        <f t="shared" ca="1" si="245"/>
        <v>0.72309917263908807</v>
      </c>
      <c r="BD692" s="309">
        <f>VLOOKUP($B692,'Infant adult mortality'!$A$134:$I$234,3)</f>
        <v>1.585E-4</v>
      </c>
      <c r="BE692" s="309">
        <f t="shared" si="246"/>
        <v>0.14000000000000001</v>
      </c>
      <c r="BF692" s="309">
        <f>VLOOKUP($B692,'Infant pick up smoking rates'!$A$19:$I$104,6)</f>
        <v>1.9288936901483743E-3</v>
      </c>
      <c r="BG692" s="309">
        <f t="shared" si="247"/>
        <v>2.7506318126766247E-3</v>
      </c>
      <c r="BH692" s="309">
        <f t="shared" si="248"/>
        <v>0.85516197449717501</v>
      </c>
      <c r="BI692" s="309">
        <f>VLOOKUP($B692,'Infant adult mortality'!$A$134:$I$234,3)</f>
        <v>1.585E-4</v>
      </c>
      <c r="BJ692" s="309">
        <f t="shared" si="249"/>
        <v>0.5714285714285714</v>
      </c>
      <c r="BK692" s="309">
        <f>VLOOKUP($B692,'Infant pick up smoking rates'!$A$19:$I$104,6)</f>
        <v>1.9288936901483743E-3</v>
      </c>
      <c r="BL692" s="309">
        <f t="shared" si="250"/>
        <v>1.6639624545821557E-3</v>
      </c>
      <c r="BM692" s="309">
        <f t="shared" si="251"/>
        <v>0.42482007242669811</v>
      </c>
      <c r="BN692" s="309">
        <f>VLOOKUP($B692,'Infant adult mortality'!$A$134:$I$234,3)</f>
        <v>1.585E-4</v>
      </c>
      <c r="BO692" s="309">
        <f t="shared" si="252"/>
        <v>8.6261668788331098E-3</v>
      </c>
      <c r="BP692" s="309">
        <f>VLOOKUP($B692,'Infant pick up smoking rates'!$A$19:$I$104,6)</f>
        <v>1.9288936901483743E-3</v>
      </c>
      <c r="BQ692" s="309">
        <f t="shared" si="253"/>
        <v>1.6639624545821557E-3</v>
      </c>
      <c r="BR692" s="309">
        <f t="shared" si="254"/>
        <v>0.98762247697643646</v>
      </c>
      <c r="BS692" s="309">
        <f>VLOOKUP($B692,'Infant adult mortality'!$A$134:$I$234,3)</f>
        <v>1.585E-4</v>
      </c>
      <c r="BT692" s="309">
        <f>VLOOKUP($B692,'Infant pick up smoking rates'!$A$19:$I$104,6)</f>
        <v>1.9288936901483743E-3</v>
      </c>
      <c r="BU692" s="309">
        <f t="shared" si="255"/>
        <v>0.99791260630985168</v>
      </c>
      <c r="BV692" s="309">
        <f>VLOOKUP($B692,'Infant adult mortality'!$A$134:$I$234,5)</f>
        <v>1.585E-4</v>
      </c>
      <c r="BW692" s="309">
        <f t="shared" si="256"/>
        <v>0.27</v>
      </c>
      <c r="BX692" s="309">
        <f t="shared" si="257"/>
        <v>0.72984150000000003</v>
      </c>
      <c r="BY692" s="309">
        <f>VLOOKUP($B692,'Infant adult mortality'!$A$134:$I$234,5)</f>
        <v>1.585E-4</v>
      </c>
      <c r="BZ692" s="309">
        <f t="shared" si="258"/>
        <v>0.14000000000000001</v>
      </c>
      <c r="CA692" s="309">
        <f t="shared" si="259"/>
        <v>0.85984150000000004</v>
      </c>
      <c r="CB692" s="309">
        <f>VLOOKUP($B692,'Infant adult mortality'!$A$134:$I$234,4)</f>
        <v>1.585E-4</v>
      </c>
      <c r="CC692" s="309">
        <f t="shared" si="260"/>
        <v>0.5714285714285714</v>
      </c>
      <c r="CD692" s="309">
        <f t="shared" si="261"/>
        <v>0.4284129285714286</v>
      </c>
      <c r="CE692" s="309">
        <f>VLOOKUP($B692,'Infant adult mortality'!$A$134:$I$234,4)</f>
        <v>1.585E-4</v>
      </c>
      <c r="CF692" s="309">
        <f t="shared" si="262"/>
        <v>8.6261668788331098E-3</v>
      </c>
      <c r="CG692" s="309">
        <f t="shared" si="263"/>
        <v>0.99121533312116694</v>
      </c>
      <c r="CH692" s="309"/>
      <c r="CI692" s="315">
        <f t="shared" ca="1" si="288"/>
        <v>106.39292552706092</v>
      </c>
      <c r="CJ692" s="316">
        <f t="shared" ca="1" si="289"/>
        <v>29.304239256098789</v>
      </c>
      <c r="CK692" s="316">
        <f t="shared" ca="1" si="290"/>
        <v>4.1481034847968727</v>
      </c>
      <c r="CL692" s="316">
        <f t="shared" ca="1" si="291"/>
        <v>86.159414981285039</v>
      </c>
      <c r="CM692" s="316">
        <f t="shared" ca="1" si="292"/>
        <v>7.198160579960506</v>
      </c>
      <c r="CN692" s="316">
        <f t="shared" ca="1" si="293"/>
        <v>137.38899340135654</v>
      </c>
      <c r="CO692" s="316">
        <f t="shared" ca="1" si="294"/>
        <v>37.504341985666535</v>
      </c>
      <c r="CP692" s="316">
        <f t="shared" ca="1" si="295"/>
        <v>5.3579976520276578</v>
      </c>
      <c r="CQ692" s="316">
        <f t="shared" ca="1" si="296"/>
        <v>22.258709151385943</v>
      </c>
      <c r="CR692" s="316">
        <f t="shared" ca="1" si="297"/>
        <v>54.287113980361234</v>
      </c>
      <c r="CS692" s="317">
        <f t="shared" ca="1" si="264"/>
        <v>490.00000000000011</v>
      </c>
      <c r="CT692" s="309"/>
      <c r="CU692" s="309">
        <f t="shared" ca="1" si="265"/>
        <v>999.99999999999977</v>
      </c>
      <c r="CV692" s="309" t="str">
        <f t="shared" ca="1" si="216"/>
        <v>OKAY</v>
      </c>
      <c r="CW692" s="309"/>
      <c r="CX692" s="315">
        <f>(SUM($AR692:$AS692))-((SUM($AR692:$AS692)*VLOOKUP($B692,Lifetime_morbidity_array!$A$30:$Y$48,4))+(SUM($AR692:$AS692)*VLOOKUP($B692,Lifetime_morbidity_array!$A$30:$Y$48,7))+(SUM($AR692:$AS692)*VLOOKUP($B692,Lifetime_morbidity_array!$A$30:$Y$48,10))+(SUM($AR692:$AS692)*VLOOKUP($B692,Lifetime_morbidity_array!$A$30:$Y$48,13)))</f>
        <v>239.82327431135943</v>
      </c>
      <c r="CY692" s="316">
        <f>(SUM($AT692:$AU692))-((SUM($AT692:$AU692)*(VLOOKUP($B692,Lifetime_morbidity_array!$A$30:$Y$48,3)))+(SUM($AT692:$AU692)*(VLOOKUP($B692,Lifetime_morbidity_array!$A$30:$Y$48,6)))+(SUM($AT692:$AU692)*(VLOOKUP($B692,Lifetime_morbidity_array!$A$30:$Y$48,9)))+(SUM($AT692:$AU692)*(VLOOKUP($B692,Lifetime_morbidity_array!$A$30:$Y$48,12))))</f>
        <v>37.754216371963778</v>
      </c>
      <c r="CZ692" s="316">
        <f>(SUM($AM692:$AQ692))-((SUM($AM692:$AQ692)*VLOOKUP($B692,Lifetime_morbidity_array!$A$30:$Y$48,2))+(SUM($AM692:$AQ692)*VLOOKUP($B692,Lifetime_morbidity_array!$A$30:$Y$48,5))+(SUM($AM692:$AQ692)*VLOOKUP($B692,Lifetime_morbidity_array!$A$30:$Y$48,8))+(SUM($AM692:$AQ692)*VLOOKUP($B692,Lifetime_morbidity_array!$A$30:$Y$48,11)))</f>
        <v>173.71752106064184</v>
      </c>
      <c r="DA692" s="316">
        <f>(SUM($AM692:$AQ692)*VLOOKUP($B692,Lifetime_morbidity_array!$A$30:$Y$48,2))+(SUM($AR692:$AS692)*VLOOKUP($B692,Lifetime_morbidity_array!$A$30:$Y$48,4))+(SUM($AT692:$AU692)*(VLOOKUP($B692,Lifetime_morbidity_array!$A$30:$Y$48,3)))</f>
        <v>0.90637418173698314</v>
      </c>
      <c r="DB692" s="316">
        <f>(SUM($AM692:$AQ692)*VLOOKUP($B692,Lifetime_morbidity_array!$A$30:$Y$48,5))+(SUM($AR692:$AS692)*VLOOKUP($B692,Lifetime_morbidity_array!$A$30:$Y$48,7))+(SUM($AT692:$AU692)*(VLOOKUP($B692,Lifetime_morbidity_array!$A$30:$Y$48,6)))</f>
        <v>0.18098954783007493</v>
      </c>
      <c r="DC692" s="316">
        <f>(SUM($AM692:$AQ692)*VLOOKUP($B692,Lifetime_morbidity_array!$A$30:$Y$48,8))+(SUM($AR692:$AS692)*VLOOKUP($B692,Lifetime_morbidity_array!$A$30:$Y$48,10))+(SUM($AT692:$AU692)*(VLOOKUP($B692,Lifetime_morbidity_array!$A$30:$Y$48,9)))</f>
        <v>9.041086247769994E-3</v>
      </c>
      <c r="DD692" s="317">
        <f>(SUM($AM692:$AQ692)*VLOOKUP($B692,Lifetime_morbidity_array!$A$30:$Y$48,11))+(SUM($AR692:$AS692)*VLOOKUP($B692,Lifetime_morbidity_array!$A$30:$Y$48,13))+(SUM($AT692:$AU692)*(VLOOKUP($B692,Lifetime_morbidity_array!$A$30:$Y$48,12)))</f>
        <v>0</v>
      </c>
      <c r="DE692" s="309"/>
      <c r="DF692" s="315">
        <f ca="1">(SUM($CN692:$CO692))-((SUM($CN692:$CO692)*VLOOKUP($B692,Lifetime_morbidity_array!$A$6:$Y$24,4))+(SUM($CN692:$CO692)*VLOOKUP($B692,Lifetime_morbidity_array!$A$6:$Y$24,7))+(SUM($CN692:$CO692)*VLOOKUP($B692,Lifetime_morbidity_array!$A$6:$Y$24,10))+(SUM($CN692:$CO692)*VLOOKUP($B692,Lifetime_morbidity_array!$A$6:$Y$24,13)))</f>
        <v>174.50532651766781</v>
      </c>
      <c r="DG692" s="316">
        <f ca="1">(SUM($CP692:$CQ692))-(((SUM($CP692:$CQ692)*VLOOKUP($B692,Lifetime_morbidity_array!$A$6:$Y$24,3))+(SUM($CP692:$CQ692)*VLOOKUP($B692,Lifetime_morbidity_array!$A$6:$Y$24,6))+(SUM($CP692:$CQ692)*VLOOKUP($B692,Lifetime_morbidity_array!$A$6:$Y$24,9))+(SUM($CP692:$CQ692)*VLOOKUP($B692,Lifetime_morbidity_array!$A$6:$Y$24,12))))</f>
        <v>27.555437875364419</v>
      </c>
      <c r="DH692" s="316">
        <f ca="1">(SUM($CI692:$CM692))-((SUM($CI692:$CM692)*VLOOKUP($B692,Lifetime_morbidity_array!$A$6:$Y$24,2))+(SUM($CI692:$CM692)*VLOOKUP($B692,Lifetime_morbidity_array!$A$6:$Y$24,5))+(SUM($CI692:$CM692)*VLOOKUP($B692,Lifetime_morbidity_array!$A$6:$Y$24,8))+(SUM($CI692:$CM692)*VLOOKUP($B692,Lifetime_morbidity_array!$A$6:$Y$24,11)))</f>
        <v>232.68547264656462</v>
      </c>
      <c r="DI692" s="316">
        <f ca="1">(SUM($CI692:$CM692)*VLOOKUP($B692,Lifetime_morbidity_array!$A$6:$Y$24,2))+(SUM($CN692:$CO692)*VLOOKUP($B692,Lifetime_morbidity_array!$A$6:$Y$24,4))+(SUM($CP692:$CQ692)*VLOOKUP($B692,Lifetime_morbidity_array!$A$6:$Y$24,3))</f>
        <v>0.43634562498946255</v>
      </c>
      <c r="DJ692" s="316">
        <f ca="1">(SUM($CI692:$CM692)*VLOOKUP($B692,Lifetime_morbidity_array!$A$6:$Y$24,5))+(SUM($CN692:$CO692)*VLOOKUP($B692,Lifetime_morbidity_array!$A$6:$Y$24,7))+(SUM($CP692:$CQ692)*VLOOKUP($B692,Lifetime_morbidity_array!$A$6:$Y$24,6))</f>
        <v>8.54818071384712E-2</v>
      </c>
      <c r="DK692" s="316">
        <f ca="1">(SUM($CI692:$CM692)*VLOOKUP($B692,Lifetime_morbidity_array!$A$6:$Y$24,8))+(SUM($CN692:$CO692)*VLOOKUP($B692,Lifetime_morbidity_array!$A$6:$Y$24,10))+(SUM($CP692:$CQ692)*VLOOKUP($B692,Lifetime_morbidity_array!$A$6:$Y$24,9))</f>
        <v>8.7277373895667532E-3</v>
      </c>
      <c r="DL692" s="317">
        <f ca="1">(SUM($CI692:$CM692)*VLOOKUP($B692,Lifetime_morbidity_array!$A$6:$Y$24,11))+(SUM($CN692:$CO692)*VLOOKUP($B692,Lifetime_morbidity_array!$A$6:$Y$24,13))+(SUM($CP692:$CQ692)*VLOOKUP($B692,Lifetime_morbidity_array!$A$6:$Y$24,12))</f>
        <v>0.43609381052445756</v>
      </c>
      <c r="DM692" s="309"/>
      <c r="DN692" s="308">
        <f t="shared" si="266"/>
        <v>26</v>
      </c>
      <c r="DO692" s="309">
        <f t="shared" ca="1" si="267"/>
        <v>363.09049448715382</v>
      </c>
      <c r="DP692" s="310">
        <f t="shared" ca="1" si="298"/>
        <v>15033.389126977077</v>
      </c>
      <c r="DQ692" s="309"/>
      <c r="DR692" s="308">
        <f t="shared" si="268"/>
        <v>26</v>
      </c>
      <c r="DS692" s="309">
        <f ca="1">((VLOOKUP($B692,'Mahawesran Tariff'!$A$21:$M$120,4)*'Experimental (DET)'!$CX692)+(VLOOKUP($B692,'Mahawesran Tariff'!$A$21:$M$120,3)*'Experimental (DET)'!$CY692)+(VLOOKUP($B692,'Mahawesran Tariff'!$A$21:$M$120,2)*'Experimental (DET)'!$CZ692)+(VLOOKUP($B692,'Mahawesran Tariff'!$A$21:$M$120,7)*'Experimental (DET)'!$DF692)+(VLOOKUP($B692,'Mahawesran Tariff'!$A$21:$M$120,6)*'Experimental (DET)'!$DG692)+(VLOOKUP($B692,'Mahawesran Tariff'!$A$21:$M$120,5)*'Experimental (DET)'!$DH692)+(DET_UTIL_chd*('Experimental (DET)'!$DA692+'Experimental (DET)'!$DI692))+(DET_UTIL_copd*('Experimental (DET)'!$DB692+'Experimental (DET)'!$DJ692))+(DET_UTIL_lc*('Experimental (DET)'!$DC692+'Experimental (DET)'!$DK692))+(DET_UTIL_stroke*('Experimental (DET)'!$DD692+'Experimental (DET)'!$DL692)))/((1+Discount_rate_QALYs)^$A692)</f>
        <v>361.73499880731652</v>
      </c>
      <c r="DT692" s="310">
        <f t="shared" ca="1" si="299"/>
        <v>15025.951888734349</v>
      </c>
      <c r="DU692" s="309"/>
      <c r="DV692" s="308">
        <f t="shared" si="269"/>
        <v>26</v>
      </c>
      <c r="DW692" s="318">
        <f t="shared" ca="1" si="270"/>
        <v>5044.0075964341149</v>
      </c>
      <c r="DX692" s="319">
        <f t="shared" ca="1" si="300"/>
        <v>5542126.3047629977</v>
      </c>
      <c r="DZ692" s="95">
        <f t="shared" si="271"/>
        <v>26</v>
      </c>
      <c r="EA692" s="268">
        <f t="shared" ca="1" si="217"/>
        <v>0.88810430257941864</v>
      </c>
      <c r="EB692" s="268">
        <f t="shared" ca="1" si="218"/>
        <v>0.11189569742058107</v>
      </c>
      <c r="EC692" s="268">
        <f t="shared" ca="1" si="219"/>
        <v>2.0630537958567859E-3</v>
      </c>
      <c r="ED692" s="290">
        <f t="shared" ca="1" si="220"/>
        <v>0.48076189729088675</v>
      </c>
      <c r="EF692" s="95">
        <f t="shared" si="272"/>
        <v>26</v>
      </c>
      <c r="EG692" s="339">
        <f t="shared" ca="1" si="273"/>
        <v>5044.0075964341149</v>
      </c>
      <c r="EH692" s="341">
        <f t="shared" ca="1" si="301"/>
        <v>8644142.0287265424</v>
      </c>
      <c r="EJ692" s="308">
        <f t="shared" si="274"/>
        <v>26</v>
      </c>
      <c r="EK692" s="318">
        <f t="shared" ca="1" si="275"/>
        <v>5044.0075964341149</v>
      </c>
      <c r="EL692" s="319">
        <f t="shared" ca="1" si="302"/>
        <v>5539086.3047629967</v>
      </c>
      <c r="EN692" s="95">
        <f t="shared" si="276"/>
        <v>26</v>
      </c>
      <c r="EO692" s="339">
        <f t="shared" ca="1" si="277"/>
        <v>5044.0075964341149</v>
      </c>
      <c r="EP692" s="341">
        <f t="shared" ca="1" si="303"/>
        <v>8644142.0287265424</v>
      </c>
    </row>
    <row r="693" spans="1:146" s="266" customFormat="1" x14ac:dyDescent="0.25">
      <c r="A693" s="313">
        <v>27</v>
      </c>
      <c r="B693" s="314">
        <v>27</v>
      </c>
      <c r="C693" s="308">
        <f>VLOOKUP($B693,'Infant adult mortality'!$A$27:$I$128,3)</f>
        <v>3.1419999999999999E-4</v>
      </c>
      <c r="D693" s="309">
        <f t="shared" si="221"/>
        <v>0.27</v>
      </c>
      <c r="E693" s="309">
        <f>VLOOKUP($B693,'Infant pick up smoking rates'!$A$19:$I$104,3)</f>
        <v>1.5201831243956284E-3</v>
      </c>
      <c r="F693" s="309">
        <f t="shared" si="222"/>
        <v>3.0021013322567625E-3</v>
      </c>
      <c r="G693" s="309">
        <f t="shared" si="223"/>
        <v>0.72516351554334757</v>
      </c>
      <c r="H693" s="309">
        <f>VLOOKUP($B693,'Infant adult mortality'!$A$27:$I$128,3)</f>
        <v>3.1419999999999999E-4</v>
      </c>
      <c r="I693" s="309">
        <f t="shared" si="224"/>
        <v>0.14000000000000001</v>
      </c>
      <c r="J693" s="309">
        <f>VLOOKUP($B693,'Infant pick up smoking rates'!$A$19:$I$104,2)</f>
        <v>1.5201831243956284E-3</v>
      </c>
      <c r="K693" s="309">
        <f t="shared" si="225"/>
        <v>3.0021013322567625E-3</v>
      </c>
      <c r="L693" s="309">
        <f t="shared" si="226"/>
        <v>0.85516351554334757</v>
      </c>
      <c r="M693" s="309">
        <f>VLOOKUP($B693,'Infant adult mortality'!$A$27:$I$128,3)</f>
        <v>3.1419999999999999E-4</v>
      </c>
      <c r="N693" s="309">
        <f t="shared" si="227"/>
        <v>0.5714285714285714</v>
      </c>
      <c r="O693" s="309">
        <f>VLOOKUP($B693,'Infant pick up smoking rates'!$A$19:$I$104,2)</f>
        <v>1.5201831243956284E-3</v>
      </c>
      <c r="P693" s="309">
        <f t="shared" si="228"/>
        <v>1.8160859911182888E-3</v>
      </c>
      <c r="Q693" s="309">
        <f t="shared" si="229"/>
        <v>0.42492095945591474</v>
      </c>
      <c r="R693" s="309">
        <f>VLOOKUP($B693,'Infant adult mortality'!$A$27:$I$128,3)</f>
        <v>3.1419999999999999E-4</v>
      </c>
      <c r="S693" s="309">
        <f t="shared" si="230"/>
        <v>8.6261668788331098E-3</v>
      </c>
      <c r="T693" s="309">
        <f>VLOOKUP($B693,'Infant pick up smoking rates'!$A$19:$I$104,2)</f>
        <v>1.5201831243956284E-3</v>
      </c>
      <c r="U693" s="309">
        <f t="shared" si="231"/>
        <v>1.8160859911182888E-3</v>
      </c>
      <c r="V693" s="309">
        <f t="shared" si="232"/>
        <v>0.98772336400565297</v>
      </c>
      <c r="W693" s="309">
        <f>VLOOKUP($B693,'Infant adult mortality'!$A$27:$I$128,3)</f>
        <v>3.1419999999999999E-4</v>
      </c>
      <c r="X693" s="309">
        <f>VLOOKUP($B693,'Infant pick up smoking rates'!$A$19:$I$104,2)</f>
        <v>1.5201831243956284E-3</v>
      </c>
      <c r="Y693" s="309">
        <f t="shared" si="233"/>
        <v>0.99816561687560434</v>
      </c>
      <c r="Z693" s="309">
        <f>VLOOKUP($B693,'Infant adult mortality'!$A$27:$I$128,5)</f>
        <v>3.1419999999999999E-4</v>
      </c>
      <c r="AA693" s="309">
        <f t="shared" si="234"/>
        <v>0.25</v>
      </c>
      <c r="AB693" s="309">
        <f t="shared" si="235"/>
        <v>0.74968579999999996</v>
      </c>
      <c r="AC693" s="309">
        <f>VLOOKUP($B693,'Infant adult mortality'!$A$27:$I$128,5)</f>
        <v>3.1419999999999999E-4</v>
      </c>
      <c r="AD693" s="309">
        <f t="shared" si="236"/>
        <v>0.14000000000000001</v>
      </c>
      <c r="AE693" s="309">
        <f t="shared" si="237"/>
        <v>0.85968579999999994</v>
      </c>
      <c r="AF693" s="309">
        <f>VLOOKUP($B693,'Infant adult mortality'!$A$27:$I$128,4)</f>
        <v>3.1419999999999999E-4</v>
      </c>
      <c r="AG693" s="309">
        <f t="shared" si="238"/>
        <v>0.5714285714285714</v>
      </c>
      <c r="AH693" s="309">
        <f t="shared" si="239"/>
        <v>0.42825722857142862</v>
      </c>
      <c r="AI693" s="309">
        <f>VLOOKUP($B693,'Infant adult mortality'!$A$27:$I$128,4)</f>
        <v>3.1419999999999999E-4</v>
      </c>
      <c r="AJ693" s="309">
        <f t="shared" si="240"/>
        <v>8.6261668788331098E-3</v>
      </c>
      <c r="AK693" s="309">
        <f t="shared" si="241"/>
        <v>0.99105963312116685</v>
      </c>
      <c r="AL693" s="309"/>
      <c r="AM693" s="315">
        <f t="shared" si="278"/>
        <v>75.604326053002623</v>
      </c>
      <c r="AN693" s="316">
        <f t="shared" si="279"/>
        <v>20.740396305433123</v>
      </c>
      <c r="AO693" s="316">
        <f t="shared" si="280"/>
        <v>2.9548575031087032</v>
      </c>
      <c r="AP693" s="316">
        <f t="shared" si="281"/>
        <v>68.607661042044995</v>
      </c>
      <c r="AQ693" s="316">
        <f t="shared" si="282"/>
        <v>5.912881882909665</v>
      </c>
      <c r="AR693" s="316">
        <f t="shared" si="283"/>
        <v>189.07693878526078</v>
      </c>
      <c r="AS693" s="316">
        <f t="shared" si="284"/>
        <v>47.950503599420713</v>
      </c>
      <c r="AT693" s="316">
        <f t="shared" si="285"/>
        <v>6.8045462569537527</v>
      </c>
      <c r="AU693" s="316">
        <f t="shared" si="286"/>
        <v>34.597163748562394</v>
      </c>
      <c r="AV693" s="316">
        <f t="shared" si="287"/>
        <v>57.750724823302917</v>
      </c>
      <c r="AW693" s="317">
        <f t="shared" si="242"/>
        <v>509.99999999999966</v>
      </c>
      <c r="AX693" s="309"/>
      <c r="AY693" s="308">
        <f>VLOOKUP($B693,'Infant adult mortality'!$A$134:$I$234,3)</f>
        <v>1.7140000000000002E-4</v>
      </c>
      <c r="AZ693" s="309">
        <f t="shared" si="243"/>
        <v>0.27</v>
      </c>
      <c r="BA693" s="309">
        <f ca="1">VLOOKUP($B693,'Infant pick up smoking rates'!$A$19:$I$104,7)</f>
        <v>3.9916955482353625E-3</v>
      </c>
      <c r="BB693" s="309">
        <f t="shared" si="244"/>
        <v>3.0021013322567625E-3</v>
      </c>
      <c r="BC693" s="309">
        <f t="shared" ca="1" si="245"/>
        <v>0.72283480311950787</v>
      </c>
      <c r="BD693" s="309">
        <f>VLOOKUP($B693,'Infant adult mortality'!$A$134:$I$234,3)</f>
        <v>1.7140000000000002E-4</v>
      </c>
      <c r="BE693" s="309">
        <f t="shared" si="246"/>
        <v>0.14000000000000001</v>
      </c>
      <c r="BF693" s="309">
        <f>VLOOKUP($B693,'Infant pick up smoking rates'!$A$19:$I$104,6)</f>
        <v>1.9288936901483743E-3</v>
      </c>
      <c r="BG693" s="309">
        <f t="shared" si="247"/>
        <v>3.0021013322567625E-3</v>
      </c>
      <c r="BH693" s="309">
        <f t="shared" si="248"/>
        <v>0.85489760497759482</v>
      </c>
      <c r="BI693" s="309">
        <f>VLOOKUP($B693,'Infant adult mortality'!$A$134:$I$234,3)</f>
        <v>1.7140000000000002E-4</v>
      </c>
      <c r="BJ693" s="309">
        <f t="shared" si="249"/>
        <v>0.5714285714285714</v>
      </c>
      <c r="BK693" s="309">
        <f>VLOOKUP($B693,'Infant pick up smoking rates'!$A$19:$I$104,6)</f>
        <v>1.9288936901483743E-3</v>
      </c>
      <c r="BL693" s="309">
        <f t="shared" si="250"/>
        <v>1.8160859911182888E-3</v>
      </c>
      <c r="BM693" s="309">
        <f t="shared" si="251"/>
        <v>0.42465504889016198</v>
      </c>
      <c r="BN693" s="309">
        <f>VLOOKUP($B693,'Infant adult mortality'!$A$134:$I$234,3)</f>
        <v>1.7140000000000002E-4</v>
      </c>
      <c r="BO693" s="309">
        <f t="shared" si="252"/>
        <v>8.6261668788331098E-3</v>
      </c>
      <c r="BP693" s="309">
        <f>VLOOKUP($B693,'Infant pick up smoking rates'!$A$19:$I$104,6)</f>
        <v>1.9288936901483743E-3</v>
      </c>
      <c r="BQ693" s="309">
        <f t="shared" si="253"/>
        <v>1.8160859911182888E-3</v>
      </c>
      <c r="BR693" s="309">
        <f t="shared" si="254"/>
        <v>0.98745745343990021</v>
      </c>
      <c r="BS693" s="309">
        <f>VLOOKUP($B693,'Infant adult mortality'!$A$134:$I$234,3)</f>
        <v>1.7140000000000002E-4</v>
      </c>
      <c r="BT693" s="309">
        <f>VLOOKUP($B693,'Infant pick up smoking rates'!$A$19:$I$104,6)</f>
        <v>1.9288936901483743E-3</v>
      </c>
      <c r="BU693" s="309">
        <f t="shared" si="255"/>
        <v>0.99789970630985159</v>
      </c>
      <c r="BV693" s="309">
        <f>VLOOKUP($B693,'Infant adult mortality'!$A$134:$I$234,5)</f>
        <v>1.7140000000000002E-4</v>
      </c>
      <c r="BW693" s="309">
        <f t="shared" si="256"/>
        <v>0.27</v>
      </c>
      <c r="BX693" s="309">
        <f t="shared" si="257"/>
        <v>0.72982859999999994</v>
      </c>
      <c r="BY693" s="309">
        <f>VLOOKUP($B693,'Infant adult mortality'!$A$134:$I$234,5)</f>
        <v>1.7140000000000002E-4</v>
      </c>
      <c r="BZ693" s="309">
        <f t="shared" si="258"/>
        <v>0.14000000000000001</v>
      </c>
      <c r="CA693" s="309">
        <f t="shared" si="259"/>
        <v>0.85982859999999994</v>
      </c>
      <c r="CB693" s="309">
        <f>VLOOKUP($B693,'Infant adult mortality'!$A$134:$I$234,4)</f>
        <v>1.7140000000000002E-4</v>
      </c>
      <c r="CC693" s="309">
        <f t="shared" si="260"/>
        <v>0.5714285714285714</v>
      </c>
      <c r="CD693" s="309">
        <f t="shared" si="261"/>
        <v>0.42840002857142861</v>
      </c>
      <c r="CE693" s="309">
        <f>VLOOKUP($B693,'Infant adult mortality'!$A$134:$I$234,4)</f>
        <v>1.7140000000000002E-4</v>
      </c>
      <c r="CF693" s="309">
        <f t="shared" si="262"/>
        <v>8.6261668788331098E-3</v>
      </c>
      <c r="CG693" s="309">
        <f t="shared" si="263"/>
        <v>0.99120243312116685</v>
      </c>
      <c r="CH693" s="309"/>
      <c r="CI693" s="315">
        <f t="shared" ca="1" si="288"/>
        <v>104.46137191233989</v>
      </c>
      <c r="CJ693" s="316">
        <f t="shared" ca="1" si="289"/>
        <v>28.726089892306451</v>
      </c>
      <c r="CK693" s="316">
        <f t="shared" ca="1" si="290"/>
        <v>4.1025934958538306</v>
      </c>
      <c r="CL693" s="316">
        <f t="shared" ca="1" si="291"/>
        <v>87.449101355746677</v>
      </c>
      <c r="CM693" s="316">
        <f t="shared" ca="1" si="292"/>
        <v>7.7544251870716367</v>
      </c>
      <c r="CN693" s="316">
        <f t="shared" ca="1" si="293"/>
        <v>135.67438727829102</v>
      </c>
      <c r="CO693" s="316">
        <f t="shared" ca="1" si="294"/>
        <v>37.095028218366267</v>
      </c>
      <c r="CP693" s="316">
        <f t="shared" ca="1" si="295"/>
        <v>5.2506078779933159</v>
      </c>
      <c r="CQ693" s="316">
        <f t="shared" ca="1" si="296"/>
        <v>25.124599613005934</v>
      </c>
      <c r="CR693" s="316">
        <f t="shared" ca="1" si="297"/>
        <v>54.361795169025001</v>
      </c>
      <c r="CS693" s="317">
        <f t="shared" ca="1" si="264"/>
        <v>490.00000000000011</v>
      </c>
      <c r="CT693" s="309"/>
      <c r="CU693" s="309">
        <f t="shared" ca="1" si="265"/>
        <v>999.99999999999977</v>
      </c>
      <c r="CV693" s="309" t="str">
        <f t="shared" ca="1" si="216"/>
        <v>OKAY</v>
      </c>
      <c r="CW693" s="309"/>
      <c r="CX693" s="315">
        <f>(SUM($AR693:$AS693))-((SUM($AR693:$AS693)*VLOOKUP($B693,Lifetime_morbidity_array!$A$30:$Y$48,4))+(SUM($AR693:$AS693)*VLOOKUP($B693,Lifetime_morbidity_array!$A$30:$Y$48,7))+(SUM($AR693:$AS693)*VLOOKUP($B693,Lifetime_morbidity_array!$A$30:$Y$48,10))+(SUM($AR693:$AS693)*VLOOKUP($B693,Lifetime_morbidity_array!$A$30:$Y$48,13)))</f>
        <v>236.45298844988517</v>
      </c>
      <c r="CY693" s="316">
        <f>(SUM($AT693:$AU693))-((SUM($AT693:$AU693)*(VLOOKUP($B693,Lifetime_morbidity_array!$A$30:$Y$48,3)))+(SUM($AT693:$AU693)*(VLOOKUP($B693,Lifetime_morbidity_array!$A$30:$Y$48,6)))+(SUM($AT693:$AU693)*(VLOOKUP($B693,Lifetime_morbidity_array!$A$30:$Y$48,9)))+(SUM($AT693:$AU693)*(VLOOKUP($B693,Lifetime_morbidity_array!$A$30:$Y$48,12))))</f>
        <v>41.301369829793522</v>
      </c>
      <c r="CZ693" s="316">
        <f>(SUM($AM693:$AQ693))-((SUM($AM693:$AQ693)*VLOOKUP($B693,Lifetime_morbidity_array!$A$30:$Y$48,2))+(SUM($AM693:$AQ693)*VLOOKUP($B693,Lifetime_morbidity_array!$A$30:$Y$48,5))+(SUM($AM693:$AQ693)*VLOOKUP($B693,Lifetime_morbidity_array!$A$30:$Y$48,8))+(SUM($AM693:$AQ693)*VLOOKUP($B693,Lifetime_morbidity_array!$A$30:$Y$48,11)))</f>
        <v>173.39885657159633</v>
      </c>
      <c r="DA693" s="316">
        <f>(SUM($AM693:$AQ693)*VLOOKUP($B693,Lifetime_morbidity_array!$A$30:$Y$48,2))+(SUM($AR693:$AS693)*VLOOKUP($B693,Lifetime_morbidity_array!$A$30:$Y$48,4))+(SUM($AT693:$AU693)*(VLOOKUP($B693,Lifetime_morbidity_array!$A$30:$Y$48,3)))</f>
        <v>0.90608939896908147</v>
      </c>
      <c r="DB693" s="316">
        <f>(SUM($AM693:$AQ693)*VLOOKUP($B693,Lifetime_morbidity_array!$A$30:$Y$48,5))+(SUM($AR693:$AS693)*VLOOKUP($B693,Lifetime_morbidity_array!$A$30:$Y$48,7))+(SUM($AT693:$AU693)*(VLOOKUP($B693,Lifetime_morbidity_array!$A$30:$Y$48,6)))</f>
        <v>0.18093268091414672</v>
      </c>
      <c r="DC693" s="316">
        <f>(SUM($AM693:$AQ693)*VLOOKUP($B693,Lifetime_morbidity_array!$A$30:$Y$48,8))+(SUM($AR693:$AS693)*VLOOKUP($B693,Lifetime_morbidity_array!$A$30:$Y$48,10))+(SUM($AT693:$AU693)*(VLOOKUP($B693,Lifetime_morbidity_array!$A$30:$Y$48,9)))</f>
        <v>9.0382455384709452E-3</v>
      </c>
      <c r="DD693" s="317">
        <f>(SUM($AM693:$AQ693)*VLOOKUP($B693,Lifetime_morbidity_array!$A$30:$Y$48,11))+(SUM($AR693:$AS693)*VLOOKUP($B693,Lifetime_morbidity_array!$A$30:$Y$48,13))+(SUM($AT693:$AU693)*(VLOOKUP($B693,Lifetime_morbidity_array!$A$30:$Y$48,12)))</f>
        <v>0</v>
      </c>
      <c r="DE693" s="309"/>
      <c r="DF693" s="315">
        <f ca="1">(SUM($CN693:$CO693))-((SUM($CN693:$CO693)*VLOOKUP($B693,Lifetime_morbidity_array!$A$6:$Y$24,4))+(SUM($CN693:$CO693)*VLOOKUP($B693,Lifetime_morbidity_array!$A$6:$Y$24,7))+(SUM($CN693:$CO693)*VLOOKUP($B693,Lifetime_morbidity_array!$A$6:$Y$24,10))+(SUM($CN693:$CO693)*VLOOKUP($B693,Lifetime_morbidity_array!$A$6:$Y$24,13)))</f>
        <v>172.38611864078979</v>
      </c>
      <c r="DG693" s="316">
        <f ca="1">(SUM($CP693:$CQ693))-(((SUM($CP693:$CQ693)*VLOOKUP($B693,Lifetime_morbidity_array!$A$6:$Y$24,3))+(SUM($CP693:$CQ693)*VLOOKUP($B693,Lifetime_morbidity_array!$A$6:$Y$24,6))+(SUM($CP693:$CQ693)*VLOOKUP($B693,Lifetime_morbidity_array!$A$6:$Y$24,9))+(SUM($CP693:$CQ693)*VLOOKUP($B693,Lifetime_morbidity_array!$A$6:$Y$24,12))))</f>
        <v>30.307818702919171</v>
      </c>
      <c r="DH693" s="316">
        <f ca="1">(SUM($CI693:$CM693))-((SUM($CI693:$CM693)*VLOOKUP($B693,Lifetime_morbidity_array!$A$6:$Y$24,2))+(SUM($CI693:$CM693)*VLOOKUP($B693,Lifetime_morbidity_array!$A$6:$Y$24,5))+(SUM($CI693:$CM693)*VLOOKUP($B693,Lifetime_morbidity_array!$A$6:$Y$24,8))+(SUM($CI693:$CM693)*VLOOKUP($B693,Lifetime_morbidity_array!$A$6:$Y$24,11)))</f>
        <v>231.9777841908593</v>
      </c>
      <c r="DI693" s="316">
        <f ca="1">(SUM($CI693:$CM693)*VLOOKUP($B693,Lifetime_morbidity_array!$A$6:$Y$24,2))+(SUM($CN693:$CO693)*VLOOKUP($B693,Lifetime_morbidity_array!$A$6:$Y$24,4))+(SUM($CP693:$CQ693)*VLOOKUP($B693,Lifetime_morbidity_array!$A$6:$Y$24,3))</f>
        <v>0.43627083534933936</v>
      </c>
      <c r="DJ693" s="316">
        <f ca="1">(SUM($CI693:$CM693)*VLOOKUP($B693,Lifetime_morbidity_array!$A$6:$Y$24,5))+(SUM($CN693:$CO693)*VLOOKUP($B693,Lifetime_morbidity_array!$A$6:$Y$24,7))+(SUM($CP693:$CQ693)*VLOOKUP($B693,Lifetime_morbidity_array!$A$6:$Y$24,6))</f>
        <v>8.5467155556727681E-2</v>
      </c>
      <c r="DK693" s="316">
        <f ca="1">(SUM($CI693:$CM693)*VLOOKUP($B693,Lifetime_morbidity_array!$A$6:$Y$24,8))+(SUM($CN693:$CO693)*VLOOKUP($B693,Lifetime_morbidity_array!$A$6:$Y$24,10))+(SUM($CP693:$CQ693)*VLOOKUP($B693,Lifetime_morbidity_array!$A$6:$Y$24,9))</f>
        <v>8.7262414553781822E-3</v>
      </c>
      <c r="DL693" s="317">
        <f ca="1">(SUM($CI693:$CM693)*VLOOKUP($B693,Lifetime_morbidity_array!$A$6:$Y$24,11))+(SUM($CN693:$CO693)*VLOOKUP($B693,Lifetime_morbidity_array!$A$6:$Y$24,13))+(SUM($CP693:$CQ693)*VLOOKUP($B693,Lifetime_morbidity_array!$A$6:$Y$24,12))</f>
        <v>0.43601906404533364</v>
      </c>
      <c r="DM693" s="309"/>
      <c r="DN693" s="308">
        <f t="shared" si="266"/>
        <v>27</v>
      </c>
      <c r="DO693" s="309">
        <f t="shared" ca="1" si="267"/>
        <v>350.72642439801513</v>
      </c>
      <c r="DP693" s="310">
        <f t="shared" ca="1" si="298"/>
        <v>15384.115551375093</v>
      </c>
      <c r="DQ693" s="309"/>
      <c r="DR693" s="308">
        <f t="shared" si="268"/>
        <v>27</v>
      </c>
      <c r="DS693" s="309">
        <f ca="1">((VLOOKUP($B693,'Mahawesran Tariff'!$A$21:$M$120,4)*'Experimental (DET)'!$CX693)+(VLOOKUP($B693,'Mahawesran Tariff'!$A$21:$M$120,3)*'Experimental (DET)'!$CY693)+(VLOOKUP($B693,'Mahawesran Tariff'!$A$21:$M$120,2)*'Experimental (DET)'!$CZ693)+(VLOOKUP($B693,'Mahawesran Tariff'!$A$21:$M$120,7)*'Experimental (DET)'!$DF693)+(VLOOKUP($B693,'Mahawesran Tariff'!$A$21:$M$120,6)*'Experimental (DET)'!$DG693)+(VLOOKUP($B693,'Mahawesran Tariff'!$A$21:$M$120,5)*'Experimental (DET)'!$DH693)+(DET_UTIL_chd*('Experimental (DET)'!$DA693+'Experimental (DET)'!$DI693))+(DET_UTIL_copd*('Experimental (DET)'!$DB693+'Experimental (DET)'!$DJ693))+(DET_UTIL_lc*('Experimental (DET)'!$DC693+'Experimental (DET)'!$DK693))+(DET_UTIL_stroke*('Experimental (DET)'!$DD693+'Experimental (DET)'!$DL693)))/((1+Discount_rate_QALYs)^$A693)</f>
        <v>349.44393456600034</v>
      </c>
      <c r="DT693" s="310">
        <f t="shared" ca="1" si="299"/>
        <v>15375.39582330035</v>
      </c>
      <c r="DU693" s="309"/>
      <c r="DV693" s="308">
        <f t="shared" si="269"/>
        <v>27</v>
      </c>
      <c r="DW693" s="318">
        <f t="shared" ca="1" si="270"/>
        <v>4872.4944956988838</v>
      </c>
      <c r="DX693" s="319">
        <f t="shared" ca="1" si="300"/>
        <v>5546998.7992586968</v>
      </c>
      <c r="DZ693" s="95">
        <f t="shared" si="271"/>
        <v>27</v>
      </c>
      <c r="EA693" s="268">
        <f t="shared" ca="1" si="217"/>
        <v>0.88788748000767193</v>
      </c>
      <c r="EB693" s="268">
        <f t="shared" ca="1" si="218"/>
        <v>0.11211251999232792</v>
      </c>
      <c r="EC693" s="268">
        <f t="shared" ca="1" si="219"/>
        <v>2.0625436218284785E-3</v>
      </c>
      <c r="ED693" s="290">
        <f t="shared" ca="1" si="220"/>
        <v>0.48157377537785412</v>
      </c>
      <c r="EF693" s="95">
        <f t="shared" si="272"/>
        <v>27</v>
      </c>
      <c r="EG693" s="339">
        <f t="shared" ca="1" si="273"/>
        <v>4872.4944956988838</v>
      </c>
      <c r="EH693" s="341">
        <f t="shared" ca="1" si="301"/>
        <v>8649014.5232222416</v>
      </c>
      <c r="EJ693" s="308">
        <f t="shared" si="274"/>
        <v>27</v>
      </c>
      <c r="EK693" s="318">
        <f t="shared" ca="1" si="275"/>
        <v>4872.4944956988838</v>
      </c>
      <c r="EL693" s="319">
        <f t="shared" ca="1" si="302"/>
        <v>5543958.7992586959</v>
      </c>
      <c r="EN693" s="95">
        <f t="shared" si="276"/>
        <v>27</v>
      </c>
      <c r="EO693" s="339">
        <f t="shared" ca="1" si="277"/>
        <v>4872.4944956988838</v>
      </c>
      <c r="EP693" s="341">
        <f t="shared" ca="1" si="303"/>
        <v>8649014.5232222416</v>
      </c>
    </row>
    <row r="694" spans="1:146" s="266" customFormat="1" x14ac:dyDescent="0.25">
      <c r="A694" s="313">
        <v>28</v>
      </c>
      <c r="B694" s="314">
        <v>28</v>
      </c>
      <c r="C694" s="308">
        <f>VLOOKUP($B694,'Infant adult mortality'!$A$27:$I$128,3)</f>
        <v>3.3189999999999999E-4</v>
      </c>
      <c r="D694" s="309">
        <f t="shared" si="221"/>
        <v>0.27</v>
      </c>
      <c r="E694" s="309">
        <f>VLOOKUP($B694,'Infant pick up smoking rates'!$A$19:$I$104,3)</f>
        <v>1.5201831243956284E-3</v>
      </c>
      <c r="F694" s="309">
        <f t="shared" si="222"/>
        <v>3.2724321486268175E-3</v>
      </c>
      <c r="G694" s="309">
        <f t="shared" si="223"/>
        <v>0.72487548472697749</v>
      </c>
      <c r="H694" s="309">
        <f>VLOOKUP($B694,'Infant adult mortality'!$A$27:$I$128,3)</f>
        <v>3.3189999999999999E-4</v>
      </c>
      <c r="I694" s="309">
        <f t="shared" si="224"/>
        <v>0.14000000000000001</v>
      </c>
      <c r="J694" s="309">
        <f>VLOOKUP($B694,'Infant pick up smoking rates'!$A$19:$I$104,2)</f>
        <v>1.5201831243956284E-3</v>
      </c>
      <c r="K694" s="309">
        <f t="shared" si="225"/>
        <v>3.2724321486268175E-3</v>
      </c>
      <c r="L694" s="309">
        <f t="shared" si="226"/>
        <v>0.8548754847269775</v>
      </c>
      <c r="M694" s="309">
        <f>VLOOKUP($B694,'Infant adult mortality'!$A$27:$I$128,3)</f>
        <v>3.3189999999999999E-4</v>
      </c>
      <c r="N694" s="309">
        <f t="shared" si="227"/>
        <v>0.5714285714285714</v>
      </c>
      <c r="O694" s="309">
        <f>VLOOKUP($B694,'Infant pick up smoking rates'!$A$19:$I$104,2)</f>
        <v>1.5201831243956284E-3</v>
      </c>
      <c r="P694" s="309">
        <f t="shared" si="228"/>
        <v>2.1601276252019388E-3</v>
      </c>
      <c r="Q694" s="309">
        <f t="shared" si="229"/>
        <v>0.42455921782183109</v>
      </c>
      <c r="R694" s="309">
        <f>VLOOKUP($B694,'Infant adult mortality'!$A$27:$I$128,3)</f>
        <v>3.3189999999999999E-4</v>
      </c>
      <c r="S694" s="309">
        <f t="shared" si="230"/>
        <v>8.6261668788331098E-3</v>
      </c>
      <c r="T694" s="309">
        <f>VLOOKUP($B694,'Infant pick up smoking rates'!$A$19:$I$104,2)</f>
        <v>1.5201831243956284E-3</v>
      </c>
      <c r="U694" s="309">
        <f t="shared" si="231"/>
        <v>2.1601276252019388E-3</v>
      </c>
      <c r="V694" s="309">
        <f t="shared" si="232"/>
        <v>0.98736162237156933</v>
      </c>
      <c r="W694" s="309">
        <f>VLOOKUP($B694,'Infant adult mortality'!$A$27:$I$128,3)</f>
        <v>3.3189999999999999E-4</v>
      </c>
      <c r="X694" s="309">
        <f>VLOOKUP($B694,'Infant pick up smoking rates'!$A$19:$I$104,2)</f>
        <v>1.5201831243956284E-3</v>
      </c>
      <c r="Y694" s="309">
        <f t="shared" si="233"/>
        <v>0.99814791687560434</v>
      </c>
      <c r="Z694" s="309">
        <f>VLOOKUP($B694,'Infant adult mortality'!$A$27:$I$128,5)</f>
        <v>3.3189999999999999E-4</v>
      </c>
      <c r="AA694" s="309">
        <f t="shared" si="234"/>
        <v>0.25</v>
      </c>
      <c r="AB694" s="309">
        <f t="shared" si="235"/>
        <v>0.74966809999999995</v>
      </c>
      <c r="AC694" s="309">
        <f>VLOOKUP($B694,'Infant adult mortality'!$A$27:$I$128,5)</f>
        <v>3.3189999999999999E-4</v>
      </c>
      <c r="AD694" s="309">
        <f t="shared" si="236"/>
        <v>0.14000000000000001</v>
      </c>
      <c r="AE694" s="309">
        <f t="shared" si="237"/>
        <v>0.85966809999999994</v>
      </c>
      <c r="AF694" s="309">
        <f>VLOOKUP($B694,'Infant adult mortality'!$A$27:$I$128,4)</f>
        <v>3.3189999999999999E-4</v>
      </c>
      <c r="AG694" s="309">
        <f t="shared" si="238"/>
        <v>0.5714285714285714</v>
      </c>
      <c r="AH694" s="309">
        <f t="shared" si="239"/>
        <v>0.42823952857142861</v>
      </c>
      <c r="AI694" s="309">
        <f>VLOOKUP($B694,'Infant adult mortality'!$A$27:$I$128,4)</f>
        <v>3.3189999999999999E-4</v>
      </c>
      <c r="AJ694" s="309">
        <f t="shared" si="240"/>
        <v>8.6261668788331098E-3</v>
      </c>
      <c r="AK694" s="309">
        <f t="shared" si="241"/>
        <v>0.99104193312116684</v>
      </c>
      <c r="AL694" s="309"/>
      <c r="AM694" s="315">
        <f t="shared" si="278"/>
        <v>74.380511963773372</v>
      </c>
      <c r="AN694" s="316">
        <f t="shared" si="279"/>
        <v>20.413168034310708</v>
      </c>
      <c r="AO694" s="316">
        <f t="shared" si="280"/>
        <v>2.9036554827606373</v>
      </c>
      <c r="AP694" s="316">
        <f t="shared" si="281"/>
        <v>69.429061515368659</v>
      </c>
      <c r="AQ694" s="316">
        <f t="shared" si="282"/>
        <v>6.3717964741924664</v>
      </c>
      <c r="AR694" s="316">
        <f t="shared" si="283"/>
        <v>186.44312278291011</v>
      </c>
      <c r="AS694" s="316">
        <f t="shared" si="284"/>
        <v>47.269234696315195</v>
      </c>
      <c r="AT694" s="316">
        <f t="shared" si="285"/>
        <v>6.7130705039189005</v>
      </c>
      <c r="AU694" s="316">
        <f t="shared" si="286"/>
        <v>38.175552188715542</v>
      </c>
      <c r="AV694" s="316">
        <f t="shared" si="287"/>
        <v>57.900826357734061</v>
      </c>
      <c r="AW694" s="317">
        <f t="shared" si="242"/>
        <v>509.99999999999966</v>
      </c>
      <c r="AX694" s="309"/>
      <c r="AY694" s="308">
        <f>VLOOKUP($B694,'Infant adult mortality'!$A$134:$I$234,3)</f>
        <v>1.9100000000000001E-4</v>
      </c>
      <c r="AZ694" s="309">
        <f t="shared" si="243"/>
        <v>0.27</v>
      </c>
      <c r="BA694" s="309">
        <f ca="1">VLOOKUP($B694,'Infant pick up smoking rates'!$A$19:$I$104,7)</f>
        <v>3.9916955482353625E-3</v>
      </c>
      <c r="BB694" s="309">
        <f t="shared" si="244"/>
        <v>3.2724321486268175E-3</v>
      </c>
      <c r="BC694" s="309">
        <f t="shared" ca="1" si="245"/>
        <v>0.7225448723031378</v>
      </c>
      <c r="BD694" s="309">
        <f>VLOOKUP($B694,'Infant adult mortality'!$A$134:$I$234,3)</f>
        <v>1.9100000000000001E-4</v>
      </c>
      <c r="BE694" s="309">
        <f t="shared" si="246"/>
        <v>0.14000000000000001</v>
      </c>
      <c r="BF694" s="309">
        <f>VLOOKUP($B694,'Infant pick up smoking rates'!$A$19:$I$104,6)</f>
        <v>1.9288936901483743E-3</v>
      </c>
      <c r="BG694" s="309">
        <f t="shared" si="247"/>
        <v>3.2724321486268175E-3</v>
      </c>
      <c r="BH694" s="309">
        <f t="shared" si="248"/>
        <v>0.85460767416122474</v>
      </c>
      <c r="BI694" s="309">
        <f>VLOOKUP($B694,'Infant adult mortality'!$A$134:$I$234,3)</f>
        <v>1.9100000000000001E-4</v>
      </c>
      <c r="BJ694" s="309">
        <f t="shared" si="249"/>
        <v>0.5714285714285714</v>
      </c>
      <c r="BK694" s="309">
        <f>VLOOKUP($B694,'Infant pick up smoking rates'!$A$19:$I$104,6)</f>
        <v>1.9288936901483743E-3</v>
      </c>
      <c r="BL694" s="309">
        <f t="shared" si="250"/>
        <v>2.1601276252019388E-3</v>
      </c>
      <c r="BM694" s="309">
        <f t="shared" si="251"/>
        <v>0.42429140725607833</v>
      </c>
      <c r="BN694" s="309">
        <f>VLOOKUP($B694,'Infant adult mortality'!$A$134:$I$234,3)</f>
        <v>1.9100000000000001E-4</v>
      </c>
      <c r="BO694" s="309">
        <f t="shared" si="252"/>
        <v>8.6261668788331098E-3</v>
      </c>
      <c r="BP694" s="309">
        <f>VLOOKUP($B694,'Infant pick up smoking rates'!$A$19:$I$104,6)</f>
        <v>1.9288936901483743E-3</v>
      </c>
      <c r="BQ694" s="309">
        <f t="shared" si="253"/>
        <v>2.1601276252019388E-3</v>
      </c>
      <c r="BR694" s="309">
        <f t="shared" si="254"/>
        <v>0.98709381180581657</v>
      </c>
      <c r="BS694" s="309">
        <f>VLOOKUP($B694,'Infant adult mortality'!$A$134:$I$234,3)</f>
        <v>1.9100000000000001E-4</v>
      </c>
      <c r="BT694" s="309">
        <f>VLOOKUP($B694,'Infant pick up smoking rates'!$A$19:$I$104,6)</f>
        <v>1.9288936901483743E-3</v>
      </c>
      <c r="BU694" s="309">
        <f t="shared" si="255"/>
        <v>0.99788010630985158</v>
      </c>
      <c r="BV694" s="309">
        <f>VLOOKUP($B694,'Infant adult mortality'!$A$134:$I$234,5)</f>
        <v>1.9100000000000001E-4</v>
      </c>
      <c r="BW694" s="309">
        <f t="shared" si="256"/>
        <v>0.27</v>
      </c>
      <c r="BX694" s="309">
        <f t="shared" si="257"/>
        <v>0.72980899999999993</v>
      </c>
      <c r="BY694" s="309">
        <f>VLOOKUP($B694,'Infant adult mortality'!$A$134:$I$234,5)</f>
        <v>1.9100000000000001E-4</v>
      </c>
      <c r="BZ694" s="309">
        <f t="shared" si="258"/>
        <v>0.14000000000000001</v>
      </c>
      <c r="CA694" s="309">
        <f t="shared" si="259"/>
        <v>0.85980899999999993</v>
      </c>
      <c r="CB694" s="309">
        <f>VLOOKUP($B694,'Infant adult mortality'!$A$134:$I$234,4)</f>
        <v>1.9100000000000001E-4</v>
      </c>
      <c r="CC694" s="309">
        <f t="shared" si="260"/>
        <v>0.5714285714285714</v>
      </c>
      <c r="CD694" s="309">
        <f t="shared" si="261"/>
        <v>0.42838042857142861</v>
      </c>
      <c r="CE694" s="309">
        <f>VLOOKUP($B694,'Infant adult mortality'!$A$134:$I$234,4)</f>
        <v>1.9100000000000001E-4</v>
      </c>
      <c r="CF694" s="309">
        <f t="shared" si="262"/>
        <v>8.6261668788331098E-3</v>
      </c>
      <c r="CG694" s="309">
        <f t="shared" si="263"/>
        <v>0.99118283312116684</v>
      </c>
      <c r="CH694" s="309"/>
      <c r="CI694" s="315">
        <f t="shared" ca="1" si="288"/>
        <v>102.5226112090766</v>
      </c>
      <c r="CJ694" s="316">
        <f t="shared" ca="1" si="289"/>
        <v>28.204570416331769</v>
      </c>
      <c r="CK694" s="316">
        <f t="shared" ca="1" si="290"/>
        <v>4.0216525849229035</v>
      </c>
      <c r="CL694" s="316">
        <f t="shared" ca="1" si="291"/>
        <v>88.664805936725088</v>
      </c>
      <c r="CM694" s="316">
        <f t="shared" ca="1" si="292"/>
        <v>8.371596907033366</v>
      </c>
      <c r="CN694" s="316">
        <f t="shared" ca="1" si="293"/>
        <v>134.0409531797452</v>
      </c>
      <c r="CO694" s="316">
        <f t="shared" ca="1" si="294"/>
        <v>36.632084565138577</v>
      </c>
      <c r="CP694" s="316">
        <f t="shared" ca="1" si="295"/>
        <v>5.1933039505712779</v>
      </c>
      <c r="CQ694" s="316">
        <f t="shared" ca="1" si="296"/>
        <v>27.903419184307516</v>
      </c>
      <c r="CR694" s="316">
        <f t="shared" ca="1" si="297"/>
        <v>54.445002066147715</v>
      </c>
      <c r="CS694" s="317">
        <f t="shared" ca="1" si="264"/>
        <v>490.00000000000006</v>
      </c>
      <c r="CT694" s="309"/>
      <c r="CU694" s="309">
        <f t="shared" ca="1" si="265"/>
        <v>999.99999999999977</v>
      </c>
      <c r="CV694" s="309" t="str">
        <f t="shared" ca="1" si="216"/>
        <v>OKAY</v>
      </c>
      <c r="CW694" s="309"/>
      <c r="CX694" s="315">
        <f>(SUM($AR694:$AS694))-((SUM($AR694:$AS694)*VLOOKUP($B694,Lifetime_morbidity_array!$A$30:$Y$48,4))+(SUM($AR694:$AS694)*VLOOKUP($B694,Lifetime_morbidity_array!$A$30:$Y$48,7))+(SUM($AR694:$AS694)*VLOOKUP($B694,Lifetime_morbidity_array!$A$30:$Y$48,10))+(SUM($AR694:$AS694)*VLOOKUP($B694,Lifetime_morbidity_array!$A$30:$Y$48,13)))</f>
        <v>233.14593790344233</v>
      </c>
      <c r="CY694" s="316">
        <f>(SUM($AT694:$AU694))-((SUM($AT694:$AU694)*(VLOOKUP($B694,Lifetime_morbidity_array!$A$30:$Y$48,3)))+(SUM($AT694:$AU694)*(VLOOKUP($B694,Lifetime_morbidity_array!$A$30:$Y$48,6)))+(SUM($AT694:$AU694)*(VLOOKUP($B694,Lifetime_morbidity_array!$A$30:$Y$48,9)))+(SUM($AT694:$AU694)*(VLOOKUP($B694,Lifetime_morbidity_array!$A$30:$Y$48,12))))</f>
        <v>44.779831720273023</v>
      </c>
      <c r="CZ694" s="316">
        <f>(SUM($AM694:$AQ694))-((SUM($AM694:$AQ694)*VLOOKUP($B694,Lifetime_morbidity_array!$A$30:$Y$48,2))+(SUM($AM694:$AQ694)*VLOOKUP($B694,Lifetime_morbidity_array!$A$30:$Y$48,5))+(SUM($AM694:$AQ694)*VLOOKUP($B694,Lifetime_morbidity_array!$A$30:$Y$48,8))+(SUM($AM694:$AQ694)*VLOOKUP($B694,Lifetime_morbidity_array!$A$30:$Y$48,11)))</f>
        <v>173.07770747555057</v>
      </c>
      <c r="DA694" s="316">
        <f>(SUM($AM694:$AQ694)*VLOOKUP($B694,Lifetime_morbidity_array!$A$30:$Y$48,2))+(SUM($AR694:$AS694)*VLOOKUP($B694,Lifetime_morbidity_array!$A$30:$Y$48,4))+(SUM($AT694:$AU694)*(VLOOKUP($B694,Lifetime_morbidity_array!$A$30:$Y$48,3)))</f>
        <v>0.90578866789756352</v>
      </c>
      <c r="DB694" s="316">
        <f>(SUM($AM694:$AQ694)*VLOOKUP($B694,Lifetime_morbidity_array!$A$30:$Y$48,5))+(SUM($AR694:$AS694)*VLOOKUP($B694,Lifetime_morbidity_array!$A$30:$Y$48,7))+(SUM($AT694:$AU694)*(VLOOKUP($B694,Lifetime_morbidity_array!$A$30:$Y$48,6)))</f>
        <v>0.18087262935735129</v>
      </c>
      <c r="DC694" s="316">
        <f>(SUM($AM694:$AQ694)*VLOOKUP($B694,Lifetime_morbidity_array!$A$30:$Y$48,8))+(SUM($AR694:$AS694)*VLOOKUP($B694,Lifetime_morbidity_array!$A$30:$Y$48,10))+(SUM($AT694:$AU694)*(VLOOKUP($B694,Lifetime_morbidity_array!$A$30:$Y$48,9)))</f>
        <v>9.0352457447767272E-3</v>
      </c>
      <c r="DD694" s="317">
        <f>(SUM($AM694:$AQ694)*VLOOKUP($B694,Lifetime_morbidity_array!$A$30:$Y$48,11))+(SUM($AR694:$AS694)*VLOOKUP($B694,Lifetime_morbidity_array!$A$30:$Y$48,13))+(SUM($AT694:$AU694)*(VLOOKUP($B694,Lifetime_morbidity_array!$A$30:$Y$48,12)))</f>
        <v>0</v>
      </c>
      <c r="DE694" s="309"/>
      <c r="DF694" s="315">
        <f ca="1">(SUM($CN694:$CO694))-((SUM($CN694:$CO694)*VLOOKUP($B694,Lifetime_morbidity_array!$A$6:$Y$24,4))+(SUM($CN694:$CO694)*VLOOKUP($B694,Lifetime_morbidity_array!$A$6:$Y$24,7))+(SUM($CN694:$CO694)*VLOOKUP($B694,Lifetime_morbidity_array!$A$6:$Y$24,10))+(SUM($CN694:$CO694)*VLOOKUP($B694,Lifetime_morbidity_array!$A$6:$Y$24,13)))</f>
        <v>170.29439179900896</v>
      </c>
      <c r="DG694" s="316">
        <f ca="1">(SUM($CP694:$CQ694))-(((SUM($CP694:$CQ694)*VLOOKUP($B694,Lifetime_morbidity_array!$A$6:$Y$24,3))+(SUM($CP694:$CQ694)*VLOOKUP($B694,Lifetime_morbidity_array!$A$6:$Y$24,6))+(SUM($CP694:$CQ694)*VLOOKUP($B694,Lifetime_morbidity_array!$A$6:$Y$24,9))+(SUM($CP694:$CQ694)*VLOOKUP($B694,Lifetime_morbidity_array!$A$6:$Y$24,12))))</f>
        <v>33.02329653978007</v>
      </c>
      <c r="DH694" s="316">
        <f ca="1">(SUM($CI694:$CM694))-((SUM($CI694:$CM694)*VLOOKUP($B694,Lifetime_morbidity_array!$A$6:$Y$24,2))+(SUM($CI694:$CM694)*VLOOKUP($B694,Lifetime_morbidity_array!$A$6:$Y$24,5))+(SUM($CI694:$CM694)*VLOOKUP($B694,Lifetime_morbidity_array!$A$6:$Y$24,8))+(SUM($CI694:$CM694)*VLOOKUP($B694,Lifetime_morbidity_array!$A$6:$Y$24,11)))</f>
        <v>231.27101089696609</v>
      </c>
      <c r="DI694" s="316">
        <f ca="1">(SUM($CI694:$CM694)*VLOOKUP($B694,Lifetime_morbidity_array!$A$6:$Y$24,2))+(SUM($CN694:$CO694)*VLOOKUP($B694,Lifetime_morbidity_array!$A$6:$Y$24,4))+(SUM($CP694:$CQ694)*VLOOKUP($B694,Lifetime_morbidity_array!$A$6:$Y$24,3))</f>
        <v>0.43618750761978758</v>
      </c>
      <c r="DJ694" s="316">
        <f ca="1">(SUM($CI694:$CM694)*VLOOKUP($B694,Lifetime_morbidity_array!$A$6:$Y$24,5))+(SUM($CN694:$CO694)*VLOOKUP($B694,Lifetime_morbidity_array!$A$6:$Y$24,7))+(SUM($CP694:$CQ694)*VLOOKUP($B694,Lifetime_morbidity_array!$A$6:$Y$24,6))</f>
        <v>8.5450831330016325E-2</v>
      </c>
      <c r="DK694" s="316">
        <f ca="1">(SUM($CI694:$CM694)*VLOOKUP($B694,Lifetime_morbidity_array!$A$6:$Y$24,8))+(SUM($CN694:$CO694)*VLOOKUP($B694,Lifetime_morbidity_array!$A$6:$Y$24,10))+(SUM($CP694:$CQ694)*VLOOKUP($B694,Lifetime_morbidity_array!$A$6:$Y$24,9))</f>
        <v>8.7245747432602039E-3</v>
      </c>
      <c r="DL694" s="317">
        <f ca="1">(SUM($CI694:$CM694)*VLOOKUP($B694,Lifetime_morbidity_array!$A$6:$Y$24,11))+(SUM($CN694:$CO694)*VLOOKUP($B694,Lifetime_morbidity_array!$A$6:$Y$24,13))+(SUM($CP694:$CQ694)*VLOOKUP($B694,Lifetime_morbidity_array!$A$6:$Y$24,12))</f>
        <v>0.43593578440410097</v>
      </c>
      <c r="DM694" s="309"/>
      <c r="DN694" s="308">
        <f t="shared" si="266"/>
        <v>28</v>
      </c>
      <c r="DO694" s="309">
        <f t="shared" ca="1" si="267"/>
        <v>338.77706735392934</v>
      </c>
      <c r="DP694" s="310">
        <f t="shared" ca="1" si="298"/>
        <v>15722.892618729022</v>
      </c>
      <c r="DQ694" s="309"/>
      <c r="DR694" s="308">
        <f t="shared" si="268"/>
        <v>28</v>
      </c>
      <c r="DS694" s="309">
        <f ca="1">((VLOOKUP($B694,'Mahawesran Tariff'!$A$21:$M$120,4)*'Experimental (DET)'!$CX694)+(VLOOKUP($B694,'Mahawesran Tariff'!$A$21:$M$120,3)*'Experimental (DET)'!$CY694)+(VLOOKUP($B694,'Mahawesran Tariff'!$A$21:$M$120,2)*'Experimental (DET)'!$CZ694)+(VLOOKUP($B694,'Mahawesran Tariff'!$A$21:$M$120,7)*'Experimental (DET)'!$DF694)+(VLOOKUP($B694,'Mahawesran Tariff'!$A$21:$M$120,6)*'Experimental (DET)'!$DG694)+(VLOOKUP($B694,'Mahawesran Tariff'!$A$21:$M$120,5)*'Experimental (DET)'!$DH694)+(DET_UTIL_chd*('Experimental (DET)'!$DA694+'Experimental (DET)'!$DI694))+(DET_UTIL_copd*('Experimental (DET)'!$DB694+'Experimental (DET)'!$DJ694))+(DET_UTIL_lc*('Experimental (DET)'!$DC694+'Experimental (DET)'!$DK694))+(DET_UTIL_stroke*('Experimental (DET)'!$DD694+'Experimental (DET)'!$DL694)))/((1+Discount_rate_QALYs)^$A694)</f>
        <v>337.56364865851572</v>
      </c>
      <c r="DT694" s="310">
        <f t="shared" ca="1" si="299"/>
        <v>15712.959471958866</v>
      </c>
      <c r="DU694" s="309"/>
      <c r="DV694" s="308">
        <f t="shared" si="269"/>
        <v>28</v>
      </c>
      <c r="DW694" s="318">
        <f t="shared" ca="1" si="270"/>
        <v>4706.7225356050867</v>
      </c>
      <c r="DX694" s="319">
        <f t="shared" ca="1" si="300"/>
        <v>5551705.5217943024</v>
      </c>
      <c r="DZ694" s="95">
        <f t="shared" si="271"/>
        <v>28</v>
      </c>
      <c r="EA694" s="268">
        <f t="shared" ca="1" si="217"/>
        <v>0.88765417157611792</v>
      </c>
      <c r="EB694" s="268">
        <f t="shared" ca="1" si="218"/>
        <v>0.11234582842388179</v>
      </c>
      <c r="EC694" s="268">
        <f t="shared" ca="1" si="219"/>
        <v>2.0619952410968565E-3</v>
      </c>
      <c r="ED694" s="290">
        <f t="shared" ca="1" si="220"/>
        <v>0.48237074105162231</v>
      </c>
      <c r="EF694" s="95">
        <f t="shared" si="272"/>
        <v>28</v>
      </c>
      <c r="EG694" s="339">
        <f t="shared" ca="1" si="273"/>
        <v>4706.7225356050867</v>
      </c>
      <c r="EH694" s="341">
        <f t="shared" ca="1" si="301"/>
        <v>8653721.2457578462</v>
      </c>
      <c r="EJ694" s="308">
        <f t="shared" si="274"/>
        <v>28</v>
      </c>
      <c r="EK694" s="318">
        <f t="shared" ca="1" si="275"/>
        <v>4706.7225356050867</v>
      </c>
      <c r="EL694" s="319">
        <f t="shared" ca="1" si="302"/>
        <v>5548665.5217943015</v>
      </c>
      <c r="EN694" s="95">
        <f t="shared" si="276"/>
        <v>28</v>
      </c>
      <c r="EO694" s="339">
        <f t="shared" ca="1" si="277"/>
        <v>4706.7225356050867</v>
      </c>
      <c r="EP694" s="341">
        <f t="shared" ca="1" si="303"/>
        <v>8653721.2457578462</v>
      </c>
    </row>
    <row r="695" spans="1:146" s="266" customFormat="1" x14ac:dyDescent="0.25">
      <c r="A695" s="313">
        <v>29</v>
      </c>
      <c r="B695" s="314">
        <v>29</v>
      </c>
      <c r="C695" s="308">
        <f>VLOOKUP($B695,'Infant adult mortality'!$A$27:$I$128,3)</f>
        <v>3.5729999999999996E-4</v>
      </c>
      <c r="D695" s="309">
        <f t="shared" si="221"/>
        <v>0.27</v>
      </c>
      <c r="E695" s="309">
        <f>VLOOKUP($B695,'Infant pick up smoking rates'!$A$19:$I$104,3)</f>
        <v>1.5201831243956284E-3</v>
      </c>
      <c r="F695" s="309">
        <f t="shared" si="222"/>
        <v>3.5480726978998384E-3</v>
      </c>
      <c r="G695" s="309">
        <f t="shared" si="223"/>
        <v>0.72457444417770456</v>
      </c>
      <c r="H695" s="309">
        <f>VLOOKUP($B695,'Infant adult mortality'!$A$27:$I$128,3)</f>
        <v>3.5729999999999996E-4</v>
      </c>
      <c r="I695" s="309">
        <f t="shared" si="224"/>
        <v>0.14000000000000001</v>
      </c>
      <c r="J695" s="309">
        <f>VLOOKUP($B695,'Infant pick up smoking rates'!$A$19:$I$104,2)</f>
        <v>1.5201831243956284E-3</v>
      </c>
      <c r="K695" s="309">
        <f t="shared" si="225"/>
        <v>3.5480726978998384E-3</v>
      </c>
      <c r="L695" s="309">
        <f t="shared" si="226"/>
        <v>0.85457444417770456</v>
      </c>
      <c r="M695" s="309">
        <f>VLOOKUP($B695,'Infant adult mortality'!$A$27:$I$128,3)</f>
        <v>3.5729999999999996E-4</v>
      </c>
      <c r="N695" s="309">
        <f t="shared" si="227"/>
        <v>0.5714285714285714</v>
      </c>
      <c r="O695" s="309">
        <f>VLOOKUP($B695,'Infant pick up smoking rates'!$A$19:$I$104,2)</f>
        <v>1.5201831243956284E-3</v>
      </c>
      <c r="P695" s="309">
        <f t="shared" si="228"/>
        <v>2.342077544426494E-3</v>
      </c>
      <c r="Q695" s="309">
        <f t="shared" si="229"/>
        <v>0.42435186790260648</v>
      </c>
      <c r="R695" s="309">
        <f>VLOOKUP($B695,'Infant adult mortality'!$A$27:$I$128,3)</f>
        <v>3.5729999999999996E-4</v>
      </c>
      <c r="S695" s="309">
        <f t="shared" si="230"/>
        <v>8.6261668788331098E-3</v>
      </c>
      <c r="T695" s="309">
        <f>VLOOKUP($B695,'Infant pick up smoking rates'!$A$19:$I$104,2)</f>
        <v>1.5201831243956284E-3</v>
      </c>
      <c r="U695" s="309">
        <f t="shared" si="231"/>
        <v>2.342077544426494E-3</v>
      </c>
      <c r="V695" s="309">
        <f t="shared" si="232"/>
        <v>0.98715427245234477</v>
      </c>
      <c r="W695" s="309">
        <f>VLOOKUP($B695,'Infant adult mortality'!$A$27:$I$128,3)</f>
        <v>3.5729999999999996E-4</v>
      </c>
      <c r="X695" s="309">
        <f>VLOOKUP($B695,'Infant pick up smoking rates'!$A$19:$I$104,2)</f>
        <v>1.5201831243956284E-3</v>
      </c>
      <c r="Y695" s="309">
        <f t="shared" si="233"/>
        <v>0.99812251687560438</v>
      </c>
      <c r="Z695" s="309">
        <f>VLOOKUP($B695,'Infant adult mortality'!$A$27:$I$128,5)</f>
        <v>3.5729999999999996E-4</v>
      </c>
      <c r="AA695" s="309">
        <f t="shared" si="234"/>
        <v>0.25</v>
      </c>
      <c r="AB695" s="309">
        <f t="shared" si="235"/>
        <v>0.7496427</v>
      </c>
      <c r="AC695" s="309">
        <f>VLOOKUP($B695,'Infant adult mortality'!$A$27:$I$128,5)</f>
        <v>3.5729999999999996E-4</v>
      </c>
      <c r="AD695" s="309">
        <f t="shared" si="236"/>
        <v>0.14000000000000001</v>
      </c>
      <c r="AE695" s="309">
        <f t="shared" si="237"/>
        <v>0.85964269999999998</v>
      </c>
      <c r="AF695" s="309">
        <f>VLOOKUP($B695,'Infant adult mortality'!$A$27:$I$128,4)</f>
        <v>3.5729999999999996E-4</v>
      </c>
      <c r="AG695" s="309">
        <f t="shared" si="238"/>
        <v>0.5714285714285714</v>
      </c>
      <c r="AH695" s="309">
        <f t="shared" si="239"/>
        <v>0.4282141285714286</v>
      </c>
      <c r="AI695" s="309">
        <f>VLOOKUP($B695,'Infant adult mortality'!$A$27:$I$128,4)</f>
        <v>3.5729999999999996E-4</v>
      </c>
      <c r="AJ695" s="309">
        <f t="shared" si="240"/>
        <v>8.6261668788331098E-3</v>
      </c>
      <c r="AK695" s="309">
        <f t="shared" si="241"/>
        <v>0.99101653312116689</v>
      </c>
      <c r="AL695" s="309"/>
      <c r="AM695" s="315">
        <f t="shared" si="278"/>
        <v>73.169868139358812</v>
      </c>
      <c r="AN695" s="316">
        <f t="shared" si="279"/>
        <v>20.082738230218812</v>
      </c>
      <c r="AO695" s="316">
        <f t="shared" si="280"/>
        <v>2.8578435248034992</v>
      </c>
      <c r="AP695" s="316">
        <f t="shared" si="281"/>
        <v>70.196426411687483</v>
      </c>
      <c r="AQ695" s="316">
        <f t="shared" si="282"/>
        <v>6.8655772339834185</v>
      </c>
      <c r="AR695" s="316">
        <f t="shared" si="283"/>
        <v>183.86806784625878</v>
      </c>
      <c r="AS695" s="316">
        <f t="shared" si="284"/>
        <v>46.610780695727527</v>
      </c>
      <c r="AT695" s="316">
        <f t="shared" si="285"/>
        <v>6.6176928574841281</v>
      </c>
      <c r="AU695" s="316">
        <f t="shared" si="286"/>
        <v>41.668643668000712</v>
      </c>
      <c r="AV695" s="316">
        <f t="shared" si="287"/>
        <v>58.06236139247644</v>
      </c>
      <c r="AW695" s="317">
        <f t="shared" si="242"/>
        <v>509.9999999999996</v>
      </c>
      <c r="AX695" s="309"/>
      <c r="AY695" s="308">
        <f>VLOOKUP($B695,'Infant adult mortality'!$A$134:$I$234,3)</f>
        <v>2.1320000000000001E-4</v>
      </c>
      <c r="AZ695" s="309">
        <f t="shared" si="243"/>
        <v>0.27</v>
      </c>
      <c r="BA695" s="309">
        <f ca="1">VLOOKUP($B695,'Infant pick up smoking rates'!$A$19:$I$104,7)</f>
        <v>3.9916955482353625E-3</v>
      </c>
      <c r="BB695" s="309">
        <f t="shared" si="244"/>
        <v>3.5480726978998384E-3</v>
      </c>
      <c r="BC695" s="309">
        <f t="shared" ca="1" si="245"/>
        <v>0.72224703175386484</v>
      </c>
      <c r="BD695" s="309">
        <f>VLOOKUP($B695,'Infant adult mortality'!$A$134:$I$234,3)</f>
        <v>2.1320000000000001E-4</v>
      </c>
      <c r="BE695" s="309">
        <f t="shared" si="246"/>
        <v>0.14000000000000001</v>
      </c>
      <c r="BF695" s="309">
        <f>VLOOKUP($B695,'Infant pick up smoking rates'!$A$19:$I$104,6)</f>
        <v>1.9288936901483743E-3</v>
      </c>
      <c r="BG695" s="309">
        <f t="shared" si="247"/>
        <v>3.5480726978998384E-3</v>
      </c>
      <c r="BH695" s="309">
        <f t="shared" si="248"/>
        <v>0.85430983361195179</v>
      </c>
      <c r="BI695" s="309">
        <f>VLOOKUP($B695,'Infant adult mortality'!$A$134:$I$234,3)</f>
        <v>2.1320000000000001E-4</v>
      </c>
      <c r="BJ695" s="309">
        <f t="shared" si="249"/>
        <v>0.5714285714285714</v>
      </c>
      <c r="BK695" s="309">
        <f>VLOOKUP($B695,'Infant pick up smoking rates'!$A$19:$I$104,6)</f>
        <v>1.9288936901483743E-3</v>
      </c>
      <c r="BL695" s="309">
        <f t="shared" si="250"/>
        <v>2.342077544426494E-3</v>
      </c>
      <c r="BM695" s="309">
        <f t="shared" si="251"/>
        <v>0.42408725733685371</v>
      </c>
      <c r="BN695" s="309">
        <f>VLOOKUP($B695,'Infant adult mortality'!$A$134:$I$234,3)</f>
        <v>2.1320000000000001E-4</v>
      </c>
      <c r="BO695" s="309">
        <f t="shared" si="252"/>
        <v>8.6261668788331098E-3</v>
      </c>
      <c r="BP695" s="309">
        <f>VLOOKUP($B695,'Infant pick up smoking rates'!$A$19:$I$104,6)</f>
        <v>1.9288936901483743E-3</v>
      </c>
      <c r="BQ695" s="309">
        <f t="shared" si="253"/>
        <v>2.342077544426494E-3</v>
      </c>
      <c r="BR695" s="309">
        <f t="shared" si="254"/>
        <v>0.986889661886592</v>
      </c>
      <c r="BS695" s="309">
        <f>VLOOKUP($B695,'Infant adult mortality'!$A$134:$I$234,3)</f>
        <v>2.1320000000000001E-4</v>
      </c>
      <c r="BT695" s="309">
        <f>VLOOKUP($B695,'Infant pick up smoking rates'!$A$19:$I$104,6)</f>
        <v>1.9288936901483743E-3</v>
      </c>
      <c r="BU695" s="309">
        <f t="shared" si="255"/>
        <v>0.99785790630985161</v>
      </c>
      <c r="BV695" s="309">
        <f>VLOOKUP($B695,'Infant adult mortality'!$A$134:$I$234,5)</f>
        <v>2.1320000000000001E-4</v>
      </c>
      <c r="BW695" s="309">
        <f t="shared" si="256"/>
        <v>0.27</v>
      </c>
      <c r="BX695" s="309">
        <f t="shared" si="257"/>
        <v>0.72978679999999996</v>
      </c>
      <c r="BY695" s="309">
        <f>VLOOKUP($B695,'Infant adult mortality'!$A$134:$I$234,5)</f>
        <v>2.1320000000000001E-4</v>
      </c>
      <c r="BZ695" s="309">
        <f t="shared" si="258"/>
        <v>0.14000000000000001</v>
      </c>
      <c r="CA695" s="309">
        <f t="shared" si="259"/>
        <v>0.85978679999999996</v>
      </c>
      <c r="CB695" s="309">
        <f>VLOOKUP($B695,'Infant adult mortality'!$A$134:$I$234,4)</f>
        <v>2.1320000000000001E-4</v>
      </c>
      <c r="CC695" s="309">
        <f t="shared" si="260"/>
        <v>0.5714285714285714</v>
      </c>
      <c r="CD695" s="309">
        <f t="shared" si="261"/>
        <v>0.42835822857142858</v>
      </c>
      <c r="CE695" s="309">
        <f>VLOOKUP($B695,'Infant adult mortality'!$A$134:$I$234,4)</f>
        <v>2.1320000000000001E-4</v>
      </c>
      <c r="CF695" s="309">
        <f t="shared" si="262"/>
        <v>8.6261668788331098E-3</v>
      </c>
      <c r="CG695" s="309">
        <f t="shared" si="263"/>
        <v>0.99116063312116687</v>
      </c>
      <c r="CH695" s="309"/>
      <c r="CI695" s="315">
        <f t="shared" ca="1" si="288"/>
        <v>100.61246251987522</v>
      </c>
      <c r="CJ695" s="316">
        <f t="shared" ca="1" si="289"/>
        <v>27.681105026450684</v>
      </c>
      <c r="CK695" s="316">
        <f t="shared" ca="1" si="290"/>
        <v>3.9486398582864481</v>
      </c>
      <c r="CL695" s="316">
        <f t="shared" ca="1" si="291"/>
        <v>89.800467543519432</v>
      </c>
      <c r="CM695" s="316">
        <f t="shared" ca="1" si="292"/>
        <v>9.0345725792968192</v>
      </c>
      <c r="CN695" s="316">
        <f t="shared" ca="1" si="293"/>
        <v>132.44096800078074</v>
      </c>
      <c r="CO695" s="316">
        <f t="shared" ca="1" si="294"/>
        <v>36.191057358531204</v>
      </c>
      <c r="CP695" s="316">
        <f t="shared" ca="1" si="295"/>
        <v>5.128491839119401</v>
      </c>
      <c r="CQ695" s="316">
        <f t="shared" ca="1" si="296"/>
        <v>30.624372882432855</v>
      </c>
      <c r="CR695" s="316">
        <f t="shared" ca="1" si="297"/>
        <v>54.537862391707208</v>
      </c>
      <c r="CS695" s="317">
        <f t="shared" ca="1" si="264"/>
        <v>490.00000000000006</v>
      </c>
      <c r="CT695" s="309"/>
      <c r="CU695" s="309">
        <f t="shared" ca="1" si="265"/>
        <v>999.99999999999966</v>
      </c>
      <c r="CV695" s="309" t="str">
        <f t="shared" ca="1" si="216"/>
        <v>OKAY</v>
      </c>
      <c r="CW695" s="309"/>
      <c r="CX695" s="315">
        <f>(SUM($AR695:$AS695))-((SUM($AR695:$AS695)*VLOOKUP($B695,Lifetime_morbidity_array!$A$30:$Y$48,4))+(SUM($AR695:$AS695)*VLOOKUP($B695,Lifetime_morbidity_array!$A$30:$Y$48,7))+(SUM($AR695:$AS695)*VLOOKUP($B695,Lifetime_morbidity_array!$A$30:$Y$48,10))+(SUM($AR695:$AS695)*VLOOKUP($B695,Lifetime_morbidity_array!$A$30:$Y$48,13)))</f>
        <v>229.92026561968743</v>
      </c>
      <c r="CY695" s="316">
        <f>(SUM($AT695:$AU695))-((SUM($AT695:$AU695)*(VLOOKUP($B695,Lifetime_morbidity_array!$A$30:$Y$48,3)))+(SUM($AT695:$AU695)*(VLOOKUP($B695,Lifetime_morbidity_array!$A$30:$Y$48,6)))+(SUM($AT695:$AU695)*(VLOOKUP($B695,Lifetime_morbidity_array!$A$30:$Y$48,9)))+(SUM($AT695:$AU695)*(VLOOKUP($B695,Lifetime_morbidity_array!$A$30:$Y$48,12))))</f>
        <v>48.169310936654732</v>
      </c>
      <c r="CZ695" s="316">
        <f>(SUM($AM695:$AQ695))-((SUM($AM695:$AQ695)*VLOOKUP($B695,Lifetime_morbidity_array!$A$30:$Y$48,2))+(SUM($AM695:$AQ695)*VLOOKUP($B695,Lifetime_morbidity_array!$A$30:$Y$48,5))+(SUM($AM695:$AQ695)*VLOOKUP($B695,Lifetime_morbidity_array!$A$30:$Y$48,8))+(SUM($AM695:$AQ695)*VLOOKUP($B695,Lifetime_morbidity_array!$A$30:$Y$48,11)))</f>
        <v>172.75275700055613</v>
      </c>
      <c r="DA695" s="316">
        <f>(SUM($AM695:$AQ695)*VLOOKUP($B695,Lifetime_morbidity_array!$A$30:$Y$48,2))+(SUM($AR695:$AS695)*VLOOKUP($B695,Lifetime_morbidity_array!$A$30:$Y$48,4))+(SUM($AT695:$AU695)*(VLOOKUP($B695,Lifetime_morbidity_array!$A$30:$Y$48,3)))</f>
        <v>0.90546502960652364</v>
      </c>
      <c r="DB695" s="316">
        <f>(SUM($AM695:$AQ695)*VLOOKUP($B695,Lifetime_morbidity_array!$A$30:$Y$48,5))+(SUM($AR695:$AS695)*VLOOKUP($B695,Lifetime_morbidity_array!$A$30:$Y$48,7))+(SUM($AT695:$AU695)*(VLOOKUP($B695,Lifetime_morbidity_array!$A$30:$Y$48,6)))</f>
        <v>0.18080800356688193</v>
      </c>
      <c r="DC695" s="316">
        <f>(SUM($AM695:$AQ695)*VLOOKUP($B695,Lifetime_morbidity_array!$A$30:$Y$48,8))+(SUM($AR695:$AS695)*VLOOKUP($B695,Lifetime_morbidity_array!$A$30:$Y$48,10))+(SUM($AT695:$AU695)*(VLOOKUP($B695,Lifetime_morbidity_array!$A$30:$Y$48,9)))</f>
        <v>9.0320174514721182E-3</v>
      </c>
      <c r="DD695" s="317">
        <f>(SUM($AM695:$AQ695)*VLOOKUP($B695,Lifetime_morbidity_array!$A$30:$Y$48,11))+(SUM($AR695:$AS695)*VLOOKUP($B695,Lifetime_morbidity_array!$A$30:$Y$48,13))+(SUM($AT695:$AU695)*(VLOOKUP($B695,Lifetime_morbidity_array!$A$30:$Y$48,12)))</f>
        <v>0</v>
      </c>
      <c r="DE695" s="309"/>
      <c r="DF695" s="315">
        <f ca="1">(SUM($CN695:$CO695))-((SUM($CN695:$CO695)*VLOOKUP($B695,Lifetime_morbidity_array!$A$6:$Y$24,4))+(SUM($CN695:$CO695)*VLOOKUP($B695,Lifetime_morbidity_array!$A$6:$Y$24,7))+(SUM($CN695:$CO695)*VLOOKUP($B695,Lifetime_morbidity_array!$A$6:$Y$24,10))+(SUM($CN695:$CO695)*VLOOKUP($B695,Lifetime_morbidity_array!$A$6:$Y$24,13)))</f>
        <v>168.25790749283084</v>
      </c>
      <c r="DG695" s="316">
        <f ca="1">(SUM($CP695:$CQ695))-(((SUM($CP695:$CQ695)*VLOOKUP($B695,Lifetime_morbidity_array!$A$6:$Y$24,3))+(SUM($CP695:$CQ695)*VLOOKUP($B695,Lifetime_morbidity_array!$A$6:$Y$24,6))+(SUM($CP695:$CQ695)*VLOOKUP($B695,Lifetime_morbidity_array!$A$6:$Y$24,9))+(SUM($CP695:$CQ695)*VLOOKUP($B695,Lifetime_morbidity_array!$A$6:$Y$24,12))))</f>
        <v>35.673545354772941</v>
      </c>
      <c r="DH695" s="316">
        <f ca="1">(SUM($CI695:$CM695))-((SUM($CI695:$CM695)*VLOOKUP($B695,Lifetime_morbidity_array!$A$6:$Y$24,2))+(SUM($CI695:$CM695)*VLOOKUP($B695,Lifetime_morbidity_array!$A$6:$Y$24,5))+(SUM($CI695:$CM695)*VLOOKUP($B695,Lifetime_morbidity_array!$A$6:$Y$24,8))+(SUM($CI695:$CM695)*VLOOKUP($B695,Lifetime_morbidity_array!$A$6:$Y$24,11)))</f>
        <v>230.56459207747429</v>
      </c>
      <c r="DI695" s="316">
        <f ca="1">(SUM($CI695:$CM695)*VLOOKUP($B695,Lifetime_morbidity_array!$A$6:$Y$24,2))+(SUM($CN695:$CO695)*VLOOKUP($B695,Lifetime_morbidity_array!$A$6:$Y$24,4))+(SUM($CP695:$CQ695)*VLOOKUP($B695,Lifetime_morbidity_array!$A$6:$Y$24,3))</f>
        <v>0.43609451244316305</v>
      </c>
      <c r="DJ695" s="316">
        <f ca="1">(SUM($CI695:$CM695)*VLOOKUP($B695,Lifetime_morbidity_array!$A$6:$Y$24,5))+(SUM($CN695:$CO695)*VLOOKUP($B695,Lifetime_morbidity_array!$A$6:$Y$24,7))+(SUM($CP695:$CQ695)*VLOOKUP($B695,Lifetime_morbidity_array!$A$6:$Y$24,6))</f>
        <v>8.5432613212776759E-2</v>
      </c>
      <c r="DK695" s="316">
        <f ca="1">(SUM($CI695:$CM695)*VLOOKUP($B695,Lifetime_morbidity_array!$A$6:$Y$24,8))+(SUM($CN695:$CO695)*VLOOKUP($B695,Lifetime_morbidity_array!$A$6:$Y$24,10))+(SUM($CP695:$CQ695)*VLOOKUP($B695,Lifetime_morbidity_array!$A$6:$Y$24,9))</f>
        <v>8.7227146639249423E-3</v>
      </c>
      <c r="DL695" s="317">
        <f ca="1">(SUM($CI695:$CM695)*VLOOKUP($B695,Lifetime_morbidity_array!$A$6:$Y$24,11))+(SUM($CN695:$CO695)*VLOOKUP($B695,Lifetime_morbidity_array!$A$6:$Y$24,13))+(SUM($CP695:$CQ695)*VLOOKUP($B695,Lifetime_morbidity_array!$A$6:$Y$24,12))</f>
        <v>0.43584284289486602</v>
      </c>
      <c r="DM695" s="309"/>
      <c r="DN695" s="308">
        <f t="shared" si="266"/>
        <v>29</v>
      </c>
      <c r="DO695" s="309">
        <f t="shared" ca="1" si="267"/>
        <v>327.22703020337508</v>
      </c>
      <c r="DP695" s="310">
        <f t="shared" ca="1" si="298"/>
        <v>16050.119648932397</v>
      </c>
      <c r="DQ695" s="309"/>
      <c r="DR695" s="308">
        <f t="shared" si="268"/>
        <v>29</v>
      </c>
      <c r="DS695" s="309">
        <f ca="1">((VLOOKUP($B695,'Mahawesran Tariff'!$A$21:$M$120,4)*'Experimental (DET)'!$CX695)+(VLOOKUP($B695,'Mahawesran Tariff'!$A$21:$M$120,3)*'Experimental (DET)'!$CY695)+(VLOOKUP($B695,'Mahawesran Tariff'!$A$21:$M$120,2)*'Experimental (DET)'!$CZ695)+(VLOOKUP($B695,'Mahawesran Tariff'!$A$21:$M$120,7)*'Experimental (DET)'!$DF695)+(VLOOKUP($B695,'Mahawesran Tariff'!$A$21:$M$120,6)*'Experimental (DET)'!$DG695)+(VLOOKUP($B695,'Mahawesran Tariff'!$A$21:$M$120,5)*'Experimental (DET)'!$DH695)+(DET_UTIL_chd*('Experimental (DET)'!$DA695+'Experimental (DET)'!$DI695))+(DET_UTIL_copd*('Experimental (DET)'!$DB695+'Experimental (DET)'!$DJ695))+(DET_UTIL_lc*('Experimental (DET)'!$DC695+'Experimental (DET)'!$DK695))+(DET_UTIL_stroke*('Experimental (DET)'!$DD695+'Experimental (DET)'!$DL695)))/((1+Discount_rate_QALYs)^$A695)</f>
        <v>326.07865646222712</v>
      </c>
      <c r="DT695" s="310">
        <f t="shared" ca="1" si="299"/>
        <v>16039.038128421093</v>
      </c>
      <c r="DU695" s="309"/>
      <c r="DV695" s="308">
        <f t="shared" si="269"/>
        <v>29</v>
      </c>
      <c r="DW695" s="318">
        <f t="shared" ca="1" si="270"/>
        <v>4546.4872764231886</v>
      </c>
      <c r="DX695" s="319">
        <f t="shared" ca="1" si="300"/>
        <v>5556252.0090707252</v>
      </c>
      <c r="DZ695" s="95">
        <f t="shared" si="271"/>
        <v>29</v>
      </c>
      <c r="EA695" s="268">
        <f t="shared" ca="1" si="217"/>
        <v>0.88739977621581601</v>
      </c>
      <c r="EB695" s="268">
        <f t="shared" ca="1" si="218"/>
        <v>0.11260022378418363</v>
      </c>
      <c r="EC695" s="268">
        <f t="shared" ca="1" si="219"/>
        <v>2.0613977338396084E-3</v>
      </c>
      <c r="ED695" s="290">
        <f t="shared" ca="1" si="220"/>
        <v>0.4831500751483353</v>
      </c>
      <c r="EF695" s="95">
        <f t="shared" si="272"/>
        <v>29</v>
      </c>
      <c r="EG695" s="339">
        <f t="shared" ca="1" si="273"/>
        <v>4546.4872764231886</v>
      </c>
      <c r="EH695" s="341">
        <f t="shared" ca="1" si="301"/>
        <v>8658267.7330342699</v>
      </c>
      <c r="EJ695" s="308">
        <f t="shared" si="274"/>
        <v>29</v>
      </c>
      <c r="EK695" s="318">
        <f t="shared" ca="1" si="275"/>
        <v>4546.4872764231886</v>
      </c>
      <c r="EL695" s="319">
        <f t="shared" ca="1" si="302"/>
        <v>5553212.0090707242</v>
      </c>
      <c r="EN695" s="95">
        <f t="shared" si="276"/>
        <v>29</v>
      </c>
      <c r="EO695" s="339">
        <f t="shared" ca="1" si="277"/>
        <v>4546.4872764231886</v>
      </c>
      <c r="EP695" s="341">
        <f t="shared" ca="1" si="303"/>
        <v>8658267.7330342699</v>
      </c>
    </row>
    <row r="696" spans="1:146" s="266" customFormat="1" x14ac:dyDescent="0.25">
      <c r="A696" s="313">
        <v>30</v>
      </c>
      <c r="B696" s="314">
        <v>30</v>
      </c>
      <c r="C696" s="308">
        <f>VLOOKUP($B696,'Infant adult mortality'!$A$27:$I$128,3)</f>
        <v>3.8759999999999999E-4</v>
      </c>
      <c r="D696" s="309">
        <f t="shared" si="221"/>
        <v>0.27</v>
      </c>
      <c r="E696" s="309">
        <f>VLOOKUP($B696,'Infant pick up smoking rates'!$A$19:$I$104,3)</f>
        <v>1.5201831243956284E-3</v>
      </c>
      <c r="F696" s="309">
        <f t="shared" si="222"/>
        <v>3.8415864297253635E-3</v>
      </c>
      <c r="G696" s="309">
        <f t="shared" si="223"/>
        <v>0.72425063044587901</v>
      </c>
      <c r="H696" s="309">
        <f>VLOOKUP($B696,'Infant adult mortality'!$A$27:$I$128,3)</f>
        <v>3.8759999999999999E-4</v>
      </c>
      <c r="I696" s="309">
        <f t="shared" si="224"/>
        <v>0.14000000000000001</v>
      </c>
      <c r="J696" s="309">
        <f>VLOOKUP($B696,'Infant pick up smoking rates'!$A$19:$I$104,2)</f>
        <v>1.5201831243956284E-3</v>
      </c>
      <c r="K696" s="309">
        <f t="shared" si="225"/>
        <v>3.8415864297253635E-3</v>
      </c>
      <c r="L696" s="309">
        <f t="shared" si="226"/>
        <v>0.85425063044587901</v>
      </c>
      <c r="M696" s="309">
        <f>VLOOKUP($B696,'Infant adult mortality'!$A$27:$I$128,3)</f>
        <v>3.8759999999999999E-4</v>
      </c>
      <c r="N696" s="309">
        <f t="shared" si="227"/>
        <v>0.5714285714285714</v>
      </c>
      <c r="O696" s="309">
        <f>VLOOKUP($B696,'Infant pick up smoking rates'!$A$19:$I$104,2)</f>
        <v>1.5201831243956284E-3</v>
      </c>
      <c r="P696" s="309">
        <f t="shared" si="228"/>
        <v>2.5358255250403877E-3</v>
      </c>
      <c r="Q696" s="309">
        <f t="shared" si="229"/>
        <v>0.42412781992199261</v>
      </c>
      <c r="R696" s="309">
        <f>VLOOKUP($B696,'Infant adult mortality'!$A$27:$I$128,3)</f>
        <v>3.8759999999999999E-4</v>
      </c>
      <c r="S696" s="309">
        <f t="shared" si="230"/>
        <v>8.6261668788331098E-3</v>
      </c>
      <c r="T696" s="309">
        <f>VLOOKUP($B696,'Infant pick up smoking rates'!$A$19:$I$104,2)</f>
        <v>1.5201831243956284E-3</v>
      </c>
      <c r="U696" s="309">
        <f t="shared" si="231"/>
        <v>2.5358255250403877E-3</v>
      </c>
      <c r="V696" s="309">
        <f t="shared" si="232"/>
        <v>0.98693022447173084</v>
      </c>
      <c r="W696" s="309">
        <f>VLOOKUP($B696,'Infant adult mortality'!$A$27:$I$128,3)</f>
        <v>3.8759999999999999E-4</v>
      </c>
      <c r="X696" s="309">
        <f>VLOOKUP($B696,'Infant pick up smoking rates'!$A$19:$I$104,2)</f>
        <v>1.5201831243956284E-3</v>
      </c>
      <c r="Y696" s="309">
        <f t="shared" si="233"/>
        <v>0.99809221687560434</v>
      </c>
      <c r="Z696" s="309">
        <f>VLOOKUP($B696,'Infant adult mortality'!$A$27:$I$128,5)</f>
        <v>3.8759999999999999E-4</v>
      </c>
      <c r="AA696" s="309">
        <f t="shared" si="234"/>
        <v>0.25</v>
      </c>
      <c r="AB696" s="309">
        <f t="shared" si="235"/>
        <v>0.74961239999999996</v>
      </c>
      <c r="AC696" s="309">
        <f>VLOOKUP($B696,'Infant adult mortality'!$A$27:$I$128,5)</f>
        <v>3.8759999999999999E-4</v>
      </c>
      <c r="AD696" s="309">
        <f t="shared" si="236"/>
        <v>0.14000000000000001</v>
      </c>
      <c r="AE696" s="309">
        <f t="shared" si="237"/>
        <v>0.85961239999999994</v>
      </c>
      <c r="AF696" s="309">
        <f>VLOOKUP($B696,'Infant adult mortality'!$A$27:$I$128,4)</f>
        <v>3.8759999999999999E-4</v>
      </c>
      <c r="AG696" s="309">
        <f t="shared" si="238"/>
        <v>0.5714285714285714</v>
      </c>
      <c r="AH696" s="309">
        <f t="shared" si="239"/>
        <v>0.42818382857142862</v>
      </c>
      <c r="AI696" s="309">
        <f>VLOOKUP($B696,'Infant adult mortality'!$A$27:$I$128,4)</f>
        <v>3.8759999999999999E-4</v>
      </c>
      <c r="AJ696" s="309">
        <f t="shared" si="240"/>
        <v>8.6261668788331098E-3</v>
      </c>
      <c r="AK696" s="309">
        <f t="shared" si="241"/>
        <v>0.99098623312116685</v>
      </c>
      <c r="AL696" s="309"/>
      <c r="AM696" s="315">
        <f t="shared" si="278"/>
        <v>71.966631956194448</v>
      </c>
      <c r="AN696" s="316">
        <f t="shared" si="279"/>
        <v>19.75586439762688</v>
      </c>
      <c r="AO696" s="316">
        <f t="shared" si="280"/>
        <v>2.8115833522306342</v>
      </c>
      <c r="AP696" s="316">
        <f t="shared" si="281"/>
        <v>70.912028318344909</v>
      </c>
      <c r="AQ696" s="316">
        <f t="shared" si="282"/>
        <v>7.3959700311812249</v>
      </c>
      <c r="AR696" s="316">
        <f t="shared" si="283"/>
        <v>181.3532722607288</v>
      </c>
      <c r="AS696" s="316">
        <f t="shared" si="284"/>
        <v>45.967016961564696</v>
      </c>
      <c r="AT696" s="316">
        <f t="shared" si="285"/>
        <v>6.5255092974018547</v>
      </c>
      <c r="AU696" s="316">
        <f t="shared" si="286"/>
        <v>45.074591003525398</v>
      </c>
      <c r="AV696" s="316">
        <f t="shared" si="287"/>
        <v>58.237532421200719</v>
      </c>
      <c r="AW696" s="317">
        <f t="shared" si="242"/>
        <v>509.99999999999955</v>
      </c>
      <c r="AX696" s="309"/>
      <c r="AY696" s="308">
        <f>VLOOKUP($B696,'Infant adult mortality'!$A$134:$I$234,3)</f>
        <v>2.386E-4</v>
      </c>
      <c r="AZ696" s="309">
        <f t="shared" si="243"/>
        <v>0.27</v>
      </c>
      <c r="BA696" s="309">
        <f ca="1">VLOOKUP($B696,'Infant pick up smoking rates'!$A$19:$I$104,7)</f>
        <v>3.9916955482353625E-3</v>
      </c>
      <c r="BB696" s="309">
        <f t="shared" si="244"/>
        <v>3.8415864297253635E-3</v>
      </c>
      <c r="BC696" s="309">
        <f t="shared" ca="1" si="245"/>
        <v>0.72192811802203938</v>
      </c>
      <c r="BD696" s="309">
        <f>VLOOKUP($B696,'Infant adult mortality'!$A$134:$I$234,3)</f>
        <v>2.386E-4</v>
      </c>
      <c r="BE696" s="309">
        <f t="shared" si="246"/>
        <v>0.14000000000000001</v>
      </c>
      <c r="BF696" s="309">
        <f>VLOOKUP($B696,'Infant pick up smoking rates'!$A$19:$I$104,6)</f>
        <v>1.9288936901483743E-3</v>
      </c>
      <c r="BG696" s="309">
        <f t="shared" si="247"/>
        <v>3.8415864297253635E-3</v>
      </c>
      <c r="BH696" s="309">
        <f t="shared" si="248"/>
        <v>0.85399091988012632</v>
      </c>
      <c r="BI696" s="309">
        <f>VLOOKUP($B696,'Infant adult mortality'!$A$134:$I$234,3)</f>
        <v>2.386E-4</v>
      </c>
      <c r="BJ696" s="309">
        <f t="shared" si="249"/>
        <v>0.5714285714285714</v>
      </c>
      <c r="BK696" s="309">
        <f>VLOOKUP($B696,'Infant pick up smoking rates'!$A$19:$I$104,6)</f>
        <v>1.9288936901483743E-3</v>
      </c>
      <c r="BL696" s="309">
        <f t="shared" si="250"/>
        <v>2.5358255250403877E-3</v>
      </c>
      <c r="BM696" s="309">
        <f t="shared" si="251"/>
        <v>0.42386810935623986</v>
      </c>
      <c r="BN696" s="309">
        <f>VLOOKUP($B696,'Infant adult mortality'!$A$134:$I$234,3)</f>
        <v>2.386E-4</v>
      </c>
      <c r="BO696" s="309">
        <f t="shared" si="252"/>
        <v>8.6261668788331098E-3</v>
      </c>
      <c r="BP696" s="309">
        <f>VLOOKUP($B696,'Infant pick up smoking rates'!$A$19:$I$104,6)</f>
        <v>1.9288936901483743E-3</v>
      </c>
      <c r="BQ696" s="309">
        <f t="shared" si="253"/>
        <v>2.5358255250403877E-3</v>
      </c>
      <c r="BR696" s="309">
        <f t="shared" si="254"/>
        <v>0.98667051390597815</v>
      </c>
      <c r="BS696" s="309">
        <f>VLOOKUP($B696,'Infant adult mortality'!$A$134:$I$234,3)</f>
        <v>2.386E-4</v>
      </c>
      <c r="BT696" s="309">
        <f>VLOOKUP($B696,'Infant pick up smoking rates'!$A$19:$I$104,6)</f>
        <v>1.9288936901483743E-3</v>
      </c>
      <c r="BU696" s="309">
        <f t="shared" si="255"/>
        <v>0.99783250630985165</v>
      </c>
      <c r="BV696" s="309">
        <f>VLOOKUP($B696,'Infant adult mortality'!$A$134:$I$234,5)</f>
        <v>2.386E-4</v>
      </c>
      <c r="BW696" s="309">
        <f t="shared" si="256"/>
        <v>0.27</v>
      </c>
      <c r="BX696" s="309">
        <f t="shared" si="257"/>
        <v>0.7297614</v>
      </c>
      <c r="BY696" s="309">
        <f>VLOOKUP($B696,'Infant adult mortality'!$A$134:$I$234,5)</f>
        <v>2.386E-4</v>
      </c>
      <c r="BZ696" s="309">
        <f t="shared" si="258"/>
        <v>0.14000000000000001</v>
      </c>
      <c r="CA696" s="309">
        <f t="shared" si="259"/>
        <v>0.85976140000000001</v>
      </c>
      <c r="CB696" s="309">
        <f>VLOOKUP($B696,'Infant adult mortality'!$A$134:$I$234,4)</f>
        <v>2.386E-4</v>
      </c>
      <c r="CC696" s="309">
        <f t="shared" si="260"/>
        <v>0.5714285714285714</v>
      </c>
      <c r="CD696" s="309">
        <f t="shared" si="261"/>
        <v>0.42833282857142863</v>
      </c>
      <c r="CE696" s="309">
        <f>VLOOKUP($B696,'Infant adult mortality'!$A$134:$I$234,4)</f>
        <v>2.386E-4</v>
      </c>
      <c r="CF696" s="309">
        <f t="shared" si="262"/>
        <v>8.6261668788331098E-3</v>
      </c>
      <c r="CG696" s="309">
        <f t="shared" si="263"/>
        <v>0.99113523312116691</v>
      </c>
      <c r="CH696" s="309"/>
      <c r="CI696" s="315">
        <f t="shared" ca="1" si="288"/>
        <v>98.722714391461722</v>
      </c>
      <c r="CJ696" s="316">
        <f t="shared" ca="1" si="289"/>
        <v>27.165364880366312</v>
      </c>
      <c r="CK696" s="316">
        <f t="shared" ca="1" si="290"/>
        <v>3.875354703703096</v>
      </c>
      <c r="CL696" s="316">
        <f t="shared" ca="1" si="291"/>
        <v>90.859839093467968</v>
      </c>
      <c r="CM696" s="316">
        <f t="shared" ca="1" si="292"/>
        <v>9.7455724078442785</v>
      </c>
      <c r="CN696" s="316">
        <f t="shared" ca="1" si="293"/>
        <v>130.88011975378021</v>
      </c>
      <c r="CO696" s="316">
        <f t="shared" ca="1" si="294"/>
        <v>35.759061360210801</v>
      </c>
      <c r="CP696" s="316">
        <f t="shared" ca="1" si="295"/>
        <v>5.0667480301943693</v>
      </c>
      <c r="CQ696" s="316">
        <f t="shared" ca="1" si="296"/>
        <v>33.283461721230715</v>
      </c>
      <c r="CR696" s="316">
        <f t="shared" ca="1" si="297"/>
        <v>54.641763657740547</v>
      </c>
      <c r="CS696" s="317">
        <f t="shared" ca="1" si="264"/>
        <v>490.00000000000006</v>
      </c>
      <c r="CT696" s="309"/>
      <c r="CU696" s="309">
        <f t="shared" ca="1" si="265"/>
        <v>999.99999999999955</v>
      </c>
      <c r="CV696" s="309" t="str">
        <f t="shared" ca="1" si="216"/>
        <v>OKAY</v>
      </c>
      <c r="CW696" s="309"/>
      <c r="CX696" s="315">
        <f>(SUM($AR696:$AS696))-((SUM($AR696:$AS696)*VLOOKUP($B696,Lifetime_morbidity_array!$A$30:$Y$48,4))+(SUM($AR696:$AS696)*VLOOKUP($B696,Lifetime_morbidity_array!$A$30:$Y$48,7))+(SUM($AR696:$AS696)*VLOOKUP($B696,Lifetime_morbidity_array!$A$30:$Y$48,10))+(SUM($AR696:$AS696)*VLOOKUP($B696,Lifetime_morbidity_array!$A$30:$Y$48,13)))</f>
        <v>226.74775732464622</v>
      </c>
      <c r="CY696" s="316">
        <f>(SUM($AT696:$AU696))-((SUM($AT696:$AU696)*(VLOOKUP($B696,Lifetime_morbidity_array!$A$30:$Y$48,3)))+(SUM($AT696:$AU696)*(VLOOKUP($B696,Lifetime_morbidity_array!$A$30:$Y$48,6)))+(SUM($AT696:$AU696)*(VLOOKUP($B696,Lifetime_morbidity_array!$A$30:$Y$48,9)))+(SUM($AT696:$AU696)*(VLOOKUP($B696,Lifetime_morbidity_array!$A$30:$Y$48,12))))</f>
        <v>51.470139603423519</v>
      </c>
      <c r="CZ696" s="316">
        <f>(SUM($AM696:$AQ696))-((SUM($AM696:$AQ696)*VLOOKUP($B696,Lifetime_morbidity_array!$A$30:$Y$48,2))+(SUM($AM696:$AQ696)*VLOOKUP($B696,Lifetime_morbidity_array!$A$30:$Y$48,5))+(SUM($AM696:$AQ696)*VLOOKUP($B696,Lifetime_morbidity_array!$A$30:$Y$48,8))+(SUM($AM696:$AQ696)*VLOOKUP($B696,Lifetime_morbidity_array!$A$30:$Y$48,11)))</f>
        <v>172.40675570366218</v>
      </c>
      <c r="DA696" s="316">
        <f>(SUM($AM696:$AQ696)*VLOOKUP($B696,Lifetime_morbidity_array!$A$30:$Y$48,2))+(SUM($AR696:$AS696)*VLOOKUP($B696,Lifetime_morbidity_array!$A$30:$Y$48,4))+(SUM($AT696:$AU696)*(VLOOKUP($B696,Lifetime_morbidity_array!$A$30:$Y$48,3)))</f>
        <v>0.90315627866842896</v>
      </c>
      <c r="DB696" s="316">
        <f>(SUM($AM696:$AQ696)*VLOOKUP($B696,Lifetime_morbidity_array!$A$30:$Y$48,5))+(SUM($AR696:$AS696)*VLOOKUP($B696,Lifetime_morbidity_array!$A$30:$Y$48,7))+(SUM($AT696:$AU696)*(VLOOKUP($B696,Lifetime_morbidity_array!$A$30:$Y$48,6)))</f>
        <v>0.22562998691062719</v>
      </c>
      <c r="DC696" s="316">
        <f>(SUM($AM696:$AQ696)*VLOOKUP($B696,Lifetime_morbidity_array!$A$30:$Y$48,8))+(SUM($AR696:$AS696)*VLOOKUP($B696,Lifetime_morbidity_array!$A$30:$Y$48,10))+(SUM($AT696:$AU696)*(VLOOKUP($B696,Lifetime_morbidity_array!$A$30:$Y$48,9)))</f>
        <v>9.0286814878695974E-3</v>
      </c>
      <c r="DD696" s="317">
        <f>(SUM($AM696:$AQ696)*VLOOKUP($B696,Lifetime_morbidity_array!$A$30:$Y$48,11))+(SUM($AR696:$AS696)*VLOOKUP($B696,Lifetime_morbidity_array!$A$30:$Y$48,13))+(SUM($AT696:$AU696)*(VLOOKUP($B696,Lifetime_morbidity_array!$A$30:$Y$48,12)))</f>
        <v>0</v>
      </c>
      <c r="DE696" s="309"/>
      <c r="DF696" s="315">
        <f ca="1">(SUM($CN696:$CO696))-((SUM($CN696:$CO696)*VLOOKUP($B696,Lifetime_morbidity_array!$A$6:$Y$24,4))+(SUM($CN696:$CO696)*VLOOKUP($B696,Lifetime_morbidity_array!$A$6:$Y$24,7))+(SUM($CN696:$CO696)*VLOOKUP($B696,Lifetime_morbidity_array!$A$6:$Y$24,10))+(SUM($CN696:$CO696)*VLOOKUP($B696,Lifetime_morbidity_array!$A$6:$Y$24,13)))</f>
        <v>166.24196882563601</v>
      </c>
      <c r="DG696" s="316">
        <f ca="1">(SUM($CP696:$CQ696))-(((SUM($CP696:$CQ696)*VLOOKUP($B696,Lifetime_morbidity_array!$A$6:$Y$24,3))+(SUM($CP696:$CQ696)*VLOOKUP($B696,Lifetime_morbidity_array!$A$6:$Y$24,6))+(SUM($CP696:$CQ696)*VLOOKUP($B696,Lifetime_morbidity_array!$A$6:$Y$24,9))+(SUM($CP696:$CQ696)*VLOOKUP($B696,Lifetime_morbidity_array!$A$6:$Y$24,12))))</f>
        <v>38.258795628573402</v>
      </c>
      <c r="DH696" s="316">
        <f ca="1">(SUM($CI696:$CM696))-((SUM($CI696:$CM696)*VLOOKUP($B696,Lifetime_morbidity_array!$A$6:$Y$24,2))+(SUM($CI696:$CM696)*VLOOKUP($B696,Lifetime_morbidity_array!$A$6:$Y$24,5))+(SUM($CI696:$CM696)*VLOOKUP($B696,Lifetime_morbidity_array!$A$6:$Y$24,8))+(SUM($CI696:$CM696)*VLOOKUP($B696,Lifetime_morbidity_array!$A$6:$Y$24,11)))</f>
        <v>229.81972290155321</v>
      </c>
      <c r="DI696" s="316">
        <f ca="1">(SUM($CI696:$CM696)*VLOOKUP($B696,Lifetime_morbidity_array!$A$6:$Y$24,2))+(SUM($CN696:$CO696)*VLOOKUP($B696,Lifetime_morbidity_array!$A$6:$Y$24,4))+(SUM($CP696:$CQ696)*VLOOKUP($B696,Lifetime_morbidity_array!$A$6:$Y$24,3))</f>
        <v>0.43388786144637481</v>
      </c>
      <c r="DJ696" s="316">
        <f ca="1">(SUM($CI696:$CM696)*VLOOKUP($B696,Lifetime_morbidity_array!$A$6:$Y$24,5))+(SUM($CN696:$CO696)*VLOOKUP($B696,Lifetime_morbidity_array!$A$6:$Y$24,7))+(SUM($CP696:$CQ696)*VLOOKUP($B696,Lifetime_morbidity_array!$A$6:$Y$24,6))</f>
        <v>0.15905708108481029</v>
      </c>
      <c r="DK696" s="316">
        <f ca="1">(SUM($CI696:$CM696)*VLOOKUP($B696,Lifetime_morbidity_array!$A$6:$Y$24,8))+(SUM($CN696:$CO696)*VLOOKUP($B696,Lifetime_morbidity_array!$A$6:$Y$24,10))+(SUM($CP696:$CQ696)*VLOOKUP($B696,Lifetime_morbidity_array!$A$6:$Y$24,9))</f>
        <v>8.7039161872265614E-3</v>
      </c>
      <c r="DL696" s="317">
        <f ca="1">(SUM($CI696:$CM696)*VLOOKUP($B696,Lifetime_morbidity_array!$A$6:$Y$24,11))+(SUM($CN696:$CO696)*VLOOKUP($B696,Lifetime_morbidity_array!$A$6:$Y$24,13))+(SUM($CP696:$CQ696)*VLOOKUP($B696,Lifetime_morbidity_array!$A$6:$Y$24,12))</f>
        <v>0.43610012777844803</v>
      </c>
      <c r="DM696" s="309"/>
      <c r="DN696" s="308">
        <f t="shared" si="266"/>
        <v>30</v>
      </c>
      <c r="DO696" s="309">
        <f t="shared" ca="1" si="267"/>
        <v>316.06195440539028</v>
      </c>
      <c r="DP696" s="310">
        <f t="shared" ca="1" si="298"/>
        <v>16366.181603337787</v>
      </c>
      <c r="DQ696" s="309"/>
      <c r="DR696" s="308">
        <f t="shared" si="268"/>
        <v>30</v>
      </c>
      <c r="DS696" s="309">
        <f ca="1">((VLOOKUP($B696,'Mahawesran Tariff'!$A$21:$M$120,4)*'Experimental (DET)'!$CX696)+(VLOOKUP($B696,'Mahawesran Tariff'!$A$21:$M$120,3)*'Experimental (DET)'!$CY696)+(VLOOKUP($B696,'Mahawesran Tariff'!$A$21:$M$120,2)*'Experimental (DET)'!$CZ696)+(VLOOKUP($B696,'Mahawesran Tariff'!$A$21:$M$120,7)*'Experimental (DET)'!$DF696)+(VLOOKUP($B696,'Mahawesran Tariff'!$A$21:$M$120,6)*'Experimental (DET)'!$DG696)+(VLOOKUP($B696,'Mahawesran Tariff'!$A$21:$M$120,5)*'Experimental (DET)'!$DH696)+(DET_UTIL_chd*('Experimental (DET)'!$DA696+'Experimental (DET)'!$DI696))+(DET_UTIL_copd*('Experimental (DET)'!$DB696+'Experimental (DET)'!$DJ696))+(DET_UTIL_lc*('Experimental (DET)'!$DC696+'Experimental (DET)'!$DK696))+(DET_UTIL_stroke*('Experimental (DET)'!$DD696+'Experimental (DET)'!$DL696)))/((1+Discount_rate_QALYs)^$A696)</f>
        <v>314.96401237518455</v>
      </c>
      <c r="DT696" s="310">
        <f t="shared" ca="1" si="299"/>
        <v>16354.002140796278</v>
      </c>
      <c r="DU696" s="309"/>
      <c r="DV696" s="308">
        <f t="shared" si="269"/>
        <v>30</v>
      </c>
      <c r="DW696" s="318">
        <f t="shared" ca="1" si="270"/>
        <v>4427.3015112302801</v>
      </c>
      <c r="DX696" s="319">
        <f t="shared" ca="1" si="300"/>
        <v>5560679.3105819551</v>
      </c>
      <c r="DZ696" s="95">
        <f t="shared" si="271"/>
        <v>30</v>
      </c>
      <c r="EA696" s="268">
        <f t="shared" ca="1" si="217"/>
        <v>0.88712070392105824</v>
      </c>
      <c r="EB696" s="268">
        <f t="shared" ca="1" si="218"/>
        <v>0.11287929607894126</v>
      </c>
      <c r="EC696" s="268">
        <f t="shared" ca="1" si="219"/>
        <v>2.1755639335637855E-3</v>
      </c>
      <c r="ED696" s="290">
        <f t="shared" ca="1" si="220"/>
        <v>0.4839097803886368</v>
      </c>
      <c r="EF696" s="95">
        <f t="shared" si="272"/>
        <v>30</v>
      </c>
      <c r="EG696" s="339">
        <f t="shared" ca="1" si="273"/>
        <v>4427.3015112302801</v>
      </c>
      <c r="EH696" s="341">
        <f t="shared" ca="1" si="301"/>
        <v>8662695.0345454998</v>
      </c>
      <c r="EJ696" s="308">
        <f t="shared" si="274"/>
        <v>30</v>
      </c>
      <c r="EK696" s="318">
        <f t="shared" ca="1" si="275"/>
        <v>4427.3015112302801</v>
      </c>
      <c r="EL696" s="319">
        <f t="shared" ca="1" si="302"/>
        <v>5557639.3105819542</v>
      </c>
      <c r="EN696" s="95">
        <f t="shared" si="276"/>
        <v>30</v>
      </c>
      <c r="EO696" s="339">
        <f t="shared" ca="1" si="277"/>
        <v>4427.3015112302801</v>
      </c>
      <c r="EP696" s="341">
        <f t="shared" ca="1" si="303"/>
        <v>8662695.0345454998</v>
      </c>
    </row>
    <row r="697" spans="1:146" s="266" customFormat="1" x14ac:dyDescent="0.25">
      <c r="A697" s="313">
        <v>31</v>
      </c>
      <c r="B697" s="314">
        <v>31</v>
      </c>
      <c r="C697" s="308">
        <f>VLOOKUP($B697,'Infant adult mortality'!$A$27:$I$128,3)</f>
        <v>4.2200000000000001E-4</v>
      </c>
      <c r="D697" s="309">
        <f t="shared" si="221"/>
        <v>0.27</v>
      </c>
      <c r="E697" s="309">
        <f>VLOOKUP($B697,'Infant pick up smoking rates'!$A$19:$I$104,3)</f>
        <v>1.5201831243956284E-3</v>
      </c>
      <c r="F697" s="309">
        <f t="shared" si="222"/>
        <v>4.1541211631663973E-3</v>
      </c>
      <c r="G697" s="309">
        <f t="shared" si="223"/>
        <v>0.72390369571243796</v>
      </c>
      <c r="H697" s="309">
        <f>VLOOKUP($B697,'Infant adult mortality'!$A$27:$I$128,3)</f>
        <v>4.2200000000000001E-4</v>
      </c>
      <c r="I697" s="309">
        <f t="shared" si="224"/>
        <v>0.14000000000000001</v>
      </c>
      <c r="J697" s="309">
        <f>VLOOKUP($B697,'Infant pick up smoking rates'!$A$19:$I$104,2)</f>
        <v>1.5201831243956284E-3</v>
      </c>
      <c r="K697" s="309">
        <f t="shared" si="225"/>
        <v>4.1541211631663973E-3</v>
      </c>
      <c r="L697" s="309">
        <f t="shared" si="226"/>
        <v>0.85390369571243796</v>
      </c>
      <c r="M697" s="309">
        <f>VLOOKUP($B697,'Infant adult mortality'!$A$27:$I$128,3)</f>
        <v>4.2200000000000001E-4</v>
      </c>
      <c r="N697" s="309">
        <f t="shared" si="227"/>
        <v>0.5714285714285714</v>
      </c>
      <c r="O697" s="309">
        <f>VLOOKUP($B697,'Infant pick up smoking rates'!$A$19:$I$104,2)</f>
        <v>1.5201831243956284E-3</v>
      </c>
      <c r="P697" s="309">
        <f t="shared" si="228"/>
        <v>2.7421292407108235E-3</v>
      </c>
      <c r="Q697" s="309">
        <f t="shared" si="229"/>
        <v>0.42388711620632219</v>
      </c>
      <c r="R697" s="309">
        <f>VLOOKUP($B697,'Infant adult mortality'!$A$27:$I$128,3)</f>
        <v>4.2200000000000001E-4</v>
      </c>
      <c r="S697" s="309">
        <f t="shared" si="230"/>
        <v>8.6261668788331098E-3</v>
      </c>
      <c r="T697" s="309">
        <f>VLOOKUP($B697,'Infant pick up smoking rates'!$A$19:$I$104,2)</f>
        <v>1.5201831243956284E-3</v>
      </c>
      <c r="U697" s="309">
        <f t="shared" si="231"/>
        <v>2.7421292407108235E-3</v>
      </c>
      <c r="V697" s="309">
        <f t="shared" si="232"/>
        <v>0.98668952075606042</v>
      </c>
      <c r="W697" s="309">
        <f>VLOOKUP($B697,'Infant adult mortality'!$A$27:$I$128,3)</f>
        <v>4.2200000000000001E-4</v>
      </c>
      <c r="X697" s="309">
        <f>VLOOKUP($B697,'Infant pick up smoking rates'!$A$19:$I$104,2)</f>
        <v>1.5201831243956284E-3</v>
      </c>
      <c r="Y697" s="309">
        <f t="shared" si="233"/>
        <v>0.99805781687560435</v>
      </c>
      <c r="Z697" s="309">
        <f>VLOOKUP($B697,'Infant adult mortality'!$A$27:$I$128,5)</f>
        <v>4.2200000000000001E-4</v>
      </c>
      <c r="AA697" s="309">
        <f t="shared" si="234"/>
        <v>0.25</v>
      </c>
      <c r="AB697" s="309">
        <f t="shared" si="235"/>
        <v>0.74957799999999997</v>
      </c>
      <c r="AC697" s="309">
        <f>VLOOKUP($B697,'Infant adult mortality'!$A$27:$I$128,5)</f>
        <v>4.2200000000000001E-4</v>
      </c>
      <c r="AD697" s="309">
        <f t="shared" si="236"/>
        <v>0.14000000000000001</v>
      </c>
      <c r="AE697" s="309">
        <f t="shared" si="237"/>
        <v>0.85957799999999995</v>
      </c>
      <c r="AF697" s="309">
        <f>VLOOKUP($B697,'Infant adult mortality'!$A$27:$I$128,4)</f>
        <v>4.2200000000000001E-4</v>
      </c>
      <c r="AG697" s="309">
        <f t="shared" si="238"/>
        <v>0.5714285714285714</v>
      </c>
      <c r="AH697" s="309">
        <f t="shared" si="239"/>
        <v>0.42814942857142863</v>
      </c>
      <c r="AI697" s="309">
        <f>VLOOKUP($B697,'Infant adult mortality'!$A$27:$I$128,4)</f>
        <v>4.2200000000000001E-4</v>
      </c>
      <c r="AJ697" s="309">
        <f t="shared" si="240"/>
        <v>8.6261668788331098E-3</v>
      </c>
      <c r="AK697" s="309">
        <f t="shared" si="241"/>
        <v>0.99095183312116686</v>
      </c>
      <c r="AL697" s="309"/>
      <c r="AM697" s="315">
        <f t="shared" si="278"/>
        <v>70.770009411334698</v>
      </c>
      <c r="AN697" s="316">
        <f t="shared" si="279"/>
        <v>19.430990628172502</v>
      </c>
      <c r="AO697" s="316">
        <f t="shared" si="280"/>
        <v>2.7658210156677634</v>
      </c>
      <c r="AP697" s="316">
        <f t="shared" si="281"/>
        <v>71.57477429568543</v>
      </c>
      <c r="AQ697" s="316">
        <f t="shared" si="282"/>
        <v>7.9647917375326855</v>
      </c>
      <c r="AR697" s="316">
        <f t="shared" si="283"/>
        <v>178.89612525149766</v>
      </c>
      <c r="AS697" s="316">
        <f t="shared" si="284"/>
        <v>45.3383180651822</v>
      </c>
      <c r="AT697" s="316">
        <f t="shared" si="285"/>
        <v>6.4353823746190582</v>
      </c>
      <c r="AU697" s="316">
        <f t="shared" si="286"/>
        <v>48.395611037788555</v>
      </c>
      <c r="AV697" s="316">
        <f t="shared" si="287"/>
        <v>58.428176182518975</v>
      </c>
      <c r="AW697" s="317">
        <f t="shared" si="242"/>
        <v>509.9999999999996</v>
      </c>
      <c r="AX697" s="309"/>
      <c r="AY697" s="308">
        <f>VLOOKUP($B697,'Infant adult mortality'!$A$134:$I$234,3)</f>
        <v>2.6340000000000001E-4</v>
      </c>
      <c r="AZ697" s="309">
        <f t="shared" si="243"/>
        <v>0.27</v>
      </c>
      <c r="BA697" s="309">
        <f ca="1">VLOOKUP($B697,'Infant pick up smoking rates'!$A$19:$I$104,7)</f>
        <v>3.9916955482353625E-3</v>
      </c>
      <c r="BB697" s="309">
        <f t="shared" si="244"/>
        <v>4.1541211631663973E-3</v>
      </c>
      <c r="BC697" s="309">
        <f t="shared" ca="1" si="245"/>
        <v>0.72159078328859827</v>
      </c>
      <c r="BD697" s="309">
        <f>VLOOKUP($B697,'Infant adult mortality'!$A$134:$I$234,3)</f>
        <v>2.6340000000000001E-4</v>
      </c>
      <c r="BE697" s="309">
        <f t="shared" si="246"/>
        <v>0.14000000000000001</v>
      </c>
      <c r="BF697" s="309">
        <f>VLOOKUP($B697,'Infant pick up smoking rates'!$A$19:$I$104,6)</f>
        <v>1.9288936901483743E-3</v>
      </c>
      <c r="BG697" s="309">
        <f t="shared" si="247"/>
        <v>4.1541211631663973E-3</v>
      </c>
      <c r="BH697" s="309">
        <f t="shared" si="248"/>
        <v>0.85365358514668521</v>
      </c>
      <c r="BI697" s="309">
        <f>VLOOKUP($B697,'Infant adult mortality'!$A$134:$I$234,3)</f>
        <v>2.6340000000000001E-4</v>
      </c>
      <c r="BJ697" s="309">
        <f t="shared" si="249"/>
        <v>0.5714285714285714</v>
      </c>
      <c r="BK697" s="309">
        <f>VLOOKUP($B697,'Infant pick up smoking rates'!$A$19:$I$104,6)</f>
        <v>1.9288936901483743E-3</v>
      </c>
      <c r="BL697" s="309">
        <f t="shared" si="250"/>
        <v>2.7421292407108235E-3</v>
      </c>
      <c r="BM697" s="309">
        <f t="shared" si="251"/>
        <v>0.42363700564056939</v>
      </c>
      <c r="BN697" s="309">
        <f>VLOOKUP($B697,'Infant adult mortality'!$A$134:$I$234,3)</f>
        <v>2.6340000000000001E-4</v>
      </c>
      <c r="BO697" s="309">
        <f t="shared" si="252"/>
        <v>8.6261668788331098E-3</v>
      </c>
      <c r="BP697" s="309">
        <f>VLOOKUP($B697,'Infant pick up smoking rates'!$A$19:$I$104,6)</f>
        <v>1.9288936901483743E-3</v>
      </c>
      <c r="BQ697" s="309">
        <f t="shared" si="253"/>
        <v>2.7421292407108235E-3</v>
      </c>
      <c r="BR697" s="309">
        <f t="shared" si="254"/>
        <v>0.98643941019030768</v>
      </c>
      <c r="BS697" s="309">
        <f>VLOOKUP($B697,'Infant adult mortality'!$A$134:$I$234,3)</f>
        <v>2.6340000000000001E-4</v>
      </c>
      <c r="BT697" s="309">
        <f>VLOOKUP($B697,'Infant pick up smoking rates'!$A$19:$I$104,6)</f>
        <v>1.9288936901483743E-3</v>
      </c>
      <c r="BU697" s="309">
        <f t="shared" si="255"/>
        <v>0.99780770630985161</v>
      </c>
      <c r="BV697" s="309">
        <f>VLOOKUP($B697,'Infant adult mortality'!$A$134:$I$234,5)</f>
        <v>2.6340000000000001E-4</v>
      </c>
      <c r="BW697" s="309">
        <f t="shared" si="256"/>
        <v>0.27</v>
      </c>
      <c r="BX697" s="309">
        <f t="shared" si="257"/>
        <v>0.72973659999999996</v>
      </c>
      <c r="BY697" s="309">
        <f>VLOOKUP($B697,'Infant adult mortality'!$A$134:$I$234,5)</f>
        <v>2.6340000000000001E-4</v>
      </c>
      <c r="BZ697" s="309">
        <f t="shared" si="258"/>
        <v>0.14000000000000001</v>
      </c>
      <c r="CA697" s="309">
        <f t="shared" si="259"/>
        <v>0.85973659999999996</v>
      </c>
      <c r="CB697" s="309">
        <f>VLOOKUP($B697,'Infant adult mortality'!$A$134:$I$234,4)</f>
        <v>2.6340000000000001E-4</v>
      </c>
      <c r="CC697" s="309">
        <f t="shared" si="260"/>
        <v>0.5714285714285714</v>
      </c>
      <c r="CD697" s="309">
        <f t="shared" si="261"/>
        <v>0.42830802857142858</v>
      </c>
      <c r="CE697" s="309">
        <f>VLOOKUP($B697,'Infant adult mortality'!$A$134:$I$234,4)</f>
        <v>2.6340000000000001E-4</v>
      </c>
      <c r="CF697" s="309">
        <f t="shared" si="262"/>
        <v>8.6261668788331098E-3</v>
      </c>
      <c r="CG697" s="309">
        <f t="shared" si="263"/>
        <v>0.99111043312116687</v>
      </c>
      <c r="CH697" s="309"/>
      <c r="CI697" s="315">
        <f t="shared" ca="1" si="288"/>
        <v>96.852727725130052</v>
      </c>
      <c r="CJ697" s="316">
        <f t="shared" ca="1" si="289"/>
        <v>26.655132885694666</v>
      </c>
      <c r="CK697" s="316">
        <f t="shared" ca="1" si="290"/>
        <v>3.8031510832512838</v>
      </c>
      <c r="CL697" s="316">
        <f t="shared" ca="1" si="291"/>
        <v>91.842214487462869</v>
      </c>
      <c r="CM697" s="316">
        <f t="shared" ca="1" si="292"/>
        <v>10.506937730276777</v>
      </c>
      <c r="CN697" s="316">
        <f t="shared" ca="1" si="293"/>
        <v>129.35662739605783</v>
      </c>
      <c r="CO697" s="316">
        <f t="shared" ca="1" si="294"/>
        <v>35.337632333520659</v>
      </c>
      <c r="CP697" s="316">
        <f t="shared" ca="1" si="295"/>
        <v>5.0062685904295128</v>
      </c>
      <c r="CQ697" s="316">
        <f t="shared" ca="1" si="296"/>
        <v>35.882870750983244</v>
      </c>
      <c r="CR697" s="316">
        <f t="shared" ca="1" si="297"/>
        <v>54.7564370171931</v>
      </c>
      <c r="CS697" s="317">
        <f t="shared" ca="1" si="264"/>
        <v>490</v>
      </c>
      <c r="CT697" s="309"/>
      <c r="CU697" s="309">
        <f t="shared" ca="1" si="265"/>
        <v>999.99999999999955</v>
      </c>
      <c r="CV697" s="309" t="str">
        <f t="shared" ca="1" si="216"/>
        <v>OKAY</v>
      </c>
      <c r="CW697" s="309"/>
      <c r="CX697" s="315">
        <f>(SUM($AR697:$AS697))-((SUM($AR697:$AS697)*VLOOKUP($B697,Lifetime_morbidity_array!$A$30:$Y$48,4))+(SUM($AR697:$AS697)*VLOOKUP($B697,Lifetime_morbidity_array!$A$30:$Y$48,7))+(SUM($AR697:$AS697)*VLOOKUP($B697,Lifetime_morbidity_array!$A$30:$Y$48,10))+(SUM($AR697:$AS697)*VLOOKUP($B697,Lifetime_morbidity_array!$A$30:$Y$48,13)))</f>
        <v>223.66968347148875</v>
      </c>
      <c r="CY697" s="316">
        <f>(SUM($AT697:$AU697))-((SUM($AT697:$AU697)*(VLOOKUP($B697,Lifetime_morbidity_array!$A$30:$Y$48,3)))+(SUM($AT697:$AU697)*(VLOOKUP($B697,Lifetime_morbidity_array!$A$30:$Y$48,6)))+(SUM($AT697:$AU697)*(VLOOKUP($B697,Lifetime_morbidity_array!$A$30:$Y$48,9)))+(SUM($AT697:$AU697)*(VLOOKUP($B697,Lifetime_morbidity_array!$A$30:$Y$48,12))))</f>
        <v>54.692895344629811</v>
      </c>
      <c r="CZ697" s="316">
        <f>(SUM($AM697:$AQ697))-((SUM($AM697:$AQ697)*VLOOKUP($B697,Lifetime_morbidity_array!$A$30:$Y$48,2))+(SUM($AM697:$AQ697)*VLOOKUP($B697,Lifetime_morbidity_array!$A$30:$Y$48,5))+(SUM($AM697:$AQ697)*VLOOKUP($B697,Lifetime_morbidity_array!$A$30:$Y$48,8))+(SUM($AM697:$AQ697)*VLOOKUP($B697,Lifetime_morbidity_array!$A$30:$Y$48,11)))</f>
        <v>172.07191021220274</v>
      </c>
      <c r="DA697" s="316">
        <f>(SUM($AM697:$AQ697)*VLOOKUP($B697,Lifetime_morbidity_array!$A$30:$Y$48,2))+(SUM($AR697:$AS697)*VLOOKUP($B697,Lifetime_morbidity_array!$A$30:$Y$48,4))+(SUM($AT697:$AU697)*(VLOOKUP($B697,Lifetime_morbidity_array!$A$30:$Y$48,3)))</f>
        <v>0.90277514671883086</v>
      </c>
      <c r="DB697" s="316">
        <f>(SUM($AM697:$AQ697)*VLOOKUP($B697,Lifetime_morbidity_array!$A$30:$Y$48,5))+(SUM($AR697:$AS697)*VLOOKUP($B697,Lifetime_morbidity_array!$A$30:$Y$48,7))+(SUM($AT697:$AU697)*(VLOOKUP($B697,Lifetime_morbidity_array!$A$30:$Y$48,6)))</f>
        <v>0.22553477105615088</v>
      </c>
      <c r="DC697" s="316">
        <f>(SUM($AM697:$AQ697)*VLOOKUP($B697,Lifetime_morbidity_array!$A$30:$Y$48,8))+(SUM($AR697:$AS697)*VLOOKUP($B697,Lifetime_morbidity_array!$A$30:$Y$48,10))+(SUM($AT697:$AU697)*(VLOOKUP($B697,Lifetime_morbidity_array!$A$30:$Y$48,9)))</f>
        <v>9.0248713842817178E-3</v>
      </c>
      <c r="DD697" s="317">
        <f>(SUM($AM697:$AQ697)*VLOOKUP($B697,Lifetime_morbidity_array!$A$30:$Y$48,11))+(SUM($AR697:$AS697)*VLOOKUP($B697,Lifetime_morbidity_array!$A$30:$Y$48,13))+(SUM($AT697:$AU697)*(VLOOKUP($B697,Lifetime_morbidity_array!$A$30:$Y$48,12)))</f>
        <v>0</v>
      </c>
      <c r="DE697" s="309"/>
      <c r="DF697" s="315">
        <f ca="1">(SUM($CN697:$CO697))-((SUM($CN697:$CO697)*VLOOKUP($B697,Lifetime_morbidity_array!$A$6:$Y$24,4))+(SUM($CN697:$CO697)*VLOOKUP($B697,Lifetime_morbidity_array!$A$6:$Y$24,7))+(SUM($CN697:$CO697)*VLOOKUP($B697,Lifetime_morbidity_array!$A$6:$Y$24,10))+(SUM($CN697:$CO697)*VLOOKUP($B697,Lifetime_morbidity_array!$A$6:$Y$24,13)))</f>
        <v>164.30168348581162</v>
      </c>
      <c r="DG697" s="316">
        <f ca="1">(SUM($CP697:$CQ697))-(((SUM($CP697:$CQ697)*VLOOKUP($B697,Lifetime_morbidity_array!$A$6:$Y$24,3))+(SUM($CP697:$CQ697)*VLOOKUP($B697,Lifetime_morbidity_array!$A$6:$Y$24,6))+(SUM($CP697:$CQ697)*VLOOKUP($B697,Lifetime_morbidity_array!$A$6:$Y$24,9))+(SUM($CP697:$CQ697)*VLOOKUP($B697,Lifetime_morbidity_array!$A$6:$Y$24,12))))</f>
        <v>40.791673256317445</v>
      </c>
      <c r="DH697" s="316">
        <f ca="1">(SUM($CI697:$CM697))-((SUM($CI697:$CM697)*VLOOKUP($B697,Lifetime_morbidity_array!$A$6:$Y$24,2))+(SUM($CI697:$CM697)*VLOOKUP($B697,Lifetime_morbidity_array!$A$6:$Y$24,5))+(SUM($CI697:$CM697)*VLOOKUP($B697,Lifetime_morbidity_array!$A$6:$Y$24,8))+(SUM($CI697:$CM697)*VLOOKUP($B697,Lifetime_morbidity_array!$A$6:$Y$24,11)))</f>
        <v>229.112730597264</v>
      </c>
      <c r="DI697" s="316">
        <f ca="1">(SUM($CI697:$CM697)*VLOOKUP($B697,Lifetime_morbidity_array!$A$6:$Y$24,2))+(SUM($CN697:$CO697)*VLOOKUP($B697,Lifetime_morbidity_array!$A$6:$Y$24,4))+(SUM($CP697:$CQ697)*VLOOKUP($B697,Lifetime_morbidity_array!$A$6:$Y$24,3))</f>
        <v>0.43377357538366978</v>
      </c>
      <c r="DJ697" s="316">
        <f ca="1">(SUM($CI697:$CM697)*VLOOKUP($B697,Lifetime_morbidity_array!$A$6:$Y$24,5))+(SUM($CN697:$CO697)*VLOOKUP($B697,Lifetime_morbidity_array!$A$6:$Y$24,7))+(SUM($CP697:$CQ697)*VLOOKUP($B697,Lifetime_morbidity_array!$A$6:$Y$24,6))</f>
        <v>0.15901518544965254</v>
      </c>
      <c r="DK697" s="316">
        <f ca="1">(SUM($CI697:$CM697)*VLOOKUP($B697,Lifetime_morbidity_array!$A$6:$Y$24,8))+(SUM($CN697:$CO697)*VLOOKUP($B697,Lifetime_morbidity_array!$A$6:$Y$24,10))+(SUM($CP697:$CQ697)*VLOOKUP($B697,Lifetime_morbidity_array!$A$6:$Y$24,9))</f>
        <v>8.7016235757028451E-3</v>
      </c>
      <c r="DL697" s="317">
        <f ca="1">(SUM($CI697:$CM697)*VLOOKUP($B697,Lifetime_morbidity_array!$A$6:$Y$24,11))+(SUM($CN697:$CO697)*VLOOKUP($B697,Lifetime_morbidity_array!$A$6:$Y$24,13))+(SUM($CP697:$CQ697)*VLOOKUP($B697,Lifetime_morbidity_array!$A$6:$Y$24,12))</f>
        <v>0.43598525900479113</v>
      </c>
      <c r="DM697" s="309"/>
      <c r="DN697" s="308">
        <f t="shared" si="266"/>
        <v>31</v>
      </c>
      <c r="DO697" s="309">
        <f t="shared" ca="1" si="267"/>
        <v>305.26876957185743</v>
      </c>
      <c r="DP697" s="310">
        <f t="shared" ca="1" si="298"/>
        <v>16671.450372909643</v>
      </c>
      <c r="DQ697" s="309"/>
      <c r="DR697" s="308">
        <f t="shared" si="268"/>
        <v>31</v>
      </c>
      <c r="DS697" s="309">
        <f ca="1">((VLOOKUP($B697,'Mahawesran Tariff'!$A$21:$M$120,4)*'Experimental (DET)'!$CX697)+(VLOOKUP($B697,'Mahawesran Tariff'!$A$21:$M$120,3)*'Experimental (DET)'!$CY697)+(VLOOKUP($B697,'Mahawesran Tariff'!$A$21:$M$120,2)*'Experimental (DET)'!$CZ697)+(VLOOKUP($B697,'Mahawesran Tariff'!$A$21:$M$120,7)*'Experimental (DET)'!$DF697)+(VLOOKUP($B697,'Mahawesran Tariff'!$A$21:$M$120,6)*'Experimental (DET)'!$DG697)+(VLOOKUP($B697,'Mahawesran Tariff'!$A$21:$M$120,5)*'Experimental (DET)'!$DH697)+(DET_UTIL_chd*('Experimental (DET)'!$DA697+'Experimental (DET)'!$DI697))+(DET_UTIL_copd*('Experimental (DET)'!$DB697+'Experimental (DET)'!$DJ697))+(DET_UTIL_lc*('Experimental (DET)'!$DC697+'Experimental (DET)'!$DK697))+(DET_UTIL_stroke*('Experimental (DET)'!$DD697+'Experimental (DET)'!$DL697)))/((1+Discount_rate_QALYs)^$A697)</f>
        <v>304.22899243924587</v>
      </c>
      <c r="DT697" s="310">
        <f t="shared" ca="1" si="299"/>
        <v>16658.231133235524</v>
      </c>
      <c r="DU697" s="309"/>
      <c r="DV697" s="308">
        <f t="shared" si="269"/>
        <v>31</v>
      </c>
      <c r="DW697" s="318">
        <f t="shared" ca="1" si="270"/>
        <v>4276.3535244610503</v>
      </c>
      <c r="DX697" s="319">
        <f t="shared" ca="1" si="300"/>
        <v>5564955.6641064165</v>
      </c>
      <c r="DZ697" s="95">
        <f t="shared" si="271"/>
        <v>31</v>
      </c>
      <c r="EA697" s="268">
        <f t="shared" ca="1" si="217"/>
        <v>0.8868153868002876</v>
      </c>
      <c r="EB697" s="268">
        <f t="shared" ca="1" si="218"/>
        <v>0.11318461319971207</v>
      </c>
      <c r="EC697" s="268">
        <f t="shared" ca="1" si="219"/>
        <v>2.1748104325730795E-3</v>
      </c>
      <c r="ED697" s="290">
        <f t="shared" ca="1" si="220"/>
        <v>0.48464883580007873</v>
      </c>
      <c r="EF697" s="95">
        <f t="shared" si="272"/>
        <v>31</v>
      </c>
      <c r="EG697" s="339">
        <f t="shared" ca="1" si="273"/>
        <v>4276.3535244610503</v>
      </c>
      <c r="EH697" s="341">
        <f t="shared" ca="1" si="301"/>
        <v>8666971.3880699612</v>
      </c>
      <c r="EJ697" s="308">
        <f t="shared" si="274"/>
        <v>31</v>
      </c>
      <c r="EK697" s="318">
        <f t="shared" ca="1" si="275"/>
        <v>4276.3535244610503</v>
      </c>
      <c r="EL697" s="319">
        <f t="shared" ca="1" si="302"/>
        <v>5561915.6641064156</v>
      </c>
      <c r="EN697" s="95">
        <f t="shared" si="276"/>
        <v>31</v>
      </c>
      <c r="EO697" s="339">
        <f t="shared" ca="1" si="277"/>
        <v>4276.3535244610503</v>
      </c>
      <c r="EP697" s="341">
        <f t="shared" ca="1" si="303"/>
        <v>8666971.3880699612</v>
      </c>
    </row>
    <row r="698" spans="1:146" s="266" customFormat="1" x14ac:dyDescent="0.25">
      <c r="A698" s="313">
        <v>32</v>
      </c>
      <c r="B698" s="314">
        <v>32</v>
      </c>
      <c r="C698" s="308">
        <f>VLOOKUP($B698,'Infant adult mortality'!$A$27:$I$128,3)</f>
        <v>4.55E-4</v>
      </c>
      <c r="D698" s="309">
        <f t="shared" si="221"/>
        <v>0.27</v>
      </c>
      <c r="E698" s="309">
        <f>VLOOKUP($B698,'Infant pick up smoking rates'!$A$19:$I$104,3)</f>
        <v>1.5201831243956284E-3</v>
      </c>
      <c r="F698" s="309">
        <f t="shared" si="222"/>
        <v>4.4855129240710823E-3</v>
      </c>
      <c r="G698" s="309">
        <f t="shared" si="223"/>
        <v>0.72353930395153332</v>
      </c>
      <c r="H698" s="309">
        <f>VLOOKUP($B698,'Infant adult mortality'!$A$27:$I$128,3)</f>
        <v>4.55E-4</v>
      </c>
      <c r="I698" s="309">
        <f t="shared" si="224"/>
        <v>0.14000000000000001</v>
      </c>
      <c r="J698" s="309">
        <f>VLOOKUP($B698,'Infant pick up smoking rates'!$A$19:$I$104,2)</f>
        <v>1.5201831243956284E-3</v>
      </c>
      <c r="K698" s="309">
        <f t="shared" si="225"/>
        <v>4.4855129240710823E-3</v>
      </c>
      <c r="L698" s="309">
        <f t="shared" si="226"/>
        <v>0.85353930395153332</v>
      </c>
      <c r="M698" s="309">
        <f>VLOOKUP($B698,'Infant adult mortality'!$A$27:$I$128,3)</f>
        <v>4.55E-4</v>
      </c>
      <c r="N698" s="309">
        <f t="shared" si="227"/>
        <v>0.5714285714285714</v>
      </c>
      <c r="O698" s="309">
        <f>VLOOKUP($B698,'Infant pick up smoking rates'!$A$19:$I$104,2)</f>
        <v>1.5201831243956284E-3</v>
      </c>
      <c r="P698" s="309">
        <f t="shared" si="228"/>
        <v>2.9608804523424876E-3</v>
      </c>
      <c r="Q698" s="309">
        <f t="shared" si="229"/>
        <v>0.42363536499469057</v>
      </c>
      <c r="R698" s="309">
        <f>VLOOKUP($B698,'Infant adult mortality'!$A$27:$I$128,3)</f>
        <v>4.55E-4</v>
      </c>
      <c r="S698" s="309">
        <f t="shared" si="230"/>
        <v>8.6261668788331098E-3</v>
      </c>
      <c r="T698" s="309">
        <f>VLOOKUP($B698,'Infant pick up smoking rates'!$A$19:$I$104,2)</f>
        <v>1.5201831243956284E-3</v>
      </c>
      <c r="U698" s="309">
        <f t="shared" si="231"/>
        <v>2.9608804523424876E-3</v>
      </c>
      <c r="V698" s="309">
        <f t="shared" si="232"/>
        <v>0.98643776954442886</v>
      </c>
      <c r="W698" s="309">
        <f>VLOOKUP($B698,'Infant adult mortality'!$A$27:$I$128,3)</f>
        <v>4.55E-4</v>
      </c>
      <c r="X698" s="309">
        <f>VLOOKUP($B698,'Infant pick up smoking rates'!$A$19:$I$104,2)</f>
        <v>1.5201831243956284E-3</v>
      </c>
      <c r="Y698" s="309">
        <f t="shared" si="233"/>
        <v>0.9980248168756044</v>
      </c>
      <c r="Z698" s="309">
        <f>VLOOKUP($B698,'Infant adult mortality'!$A$27:$I$128,5)</f>
        <v>4.55E-4</v>
      </c>
      <c r="AA698" s="309">
        <f t="shared" si="234"/>
        <v>0.25</v>
      </c>
      <c r="AB698" s="309">
        <f t="shared" si="235"/>
        <v>0.74954500000000002</v>
      </c>
      <c r="AC698" s="309">
        <f>VLOOKUP($B698,'Infant adult mortality'!$A$27:$I$128,5)</f>
        <v>4.55E-4</v>
      </c>
      <c r="AD698" s="309">
        <f t="shared" si="236"/>
        <v>0.14000000000000001</v>
      </c>
      <c r="AE698" s="309">
        <f t="shared" si="237"/>
        <v>0.859545</v>
      </c>
      <c r="AF698" s="309">
        <f>VLOOKUP($B698,'Infant adult mortality'!$A$27:$I$128,4)</f>
        <v>4.55E-4</v>
      </c>
      <c r="AG698" s="309">
        <f t="shared" si="238"/>
        <v>0.5714285714285714</v>
      </c>
      <c r="AH698" s="309">
        <f t="shared" si="239"/>
        <v>0.42811642857142862</v>
      </c>
      <c r="AI698" s="309">
        <f>VLOOKUP($B698,'Infant adult mortality'!$A$27:$I$128,4)</f>
        <v>4.55E-4</v>
      </c>
      <c r="AJ698" s="309">
        <f t="shared" si="240"/>
        <v>8.6261668788331098E-3</v>
      </c>
      <c r="AK698" s="309">
        <f t="shared" si="241"/>
        <v>0.99091883312116691</v>
      </c>
      <c r="AL698" s="309"/>
      <c r="AM698" s="315">
        <f t="shared" si="278"/>
        <v>69.579113108851487</v>
      </c>
      <c r="AN698" s="316">
        <f t="shared" si="279"/>
        <v>19.107902541060369</v>
      </c>
      <c r="AO698" s="316">
        <f t="shared" si="280"/>
        <v>2.7203386879441505</v>
      </c>
      <c r="AP698" s="316">
        <f t="shared" si="281"/>
        <v>72.184529863692006</v>
      </c>
      <c r="AQ698" s="316">
        <f t="shared" si="282"/>
        <v>8.5737711822176212</v>
      </c>
      <c r="AR698" s="316">
        <f t="shared" si="283"/>
        <v>176.4958236372016</v>
      </c>
      <c r="AS698" s="316">
        <f t="shared" si="284"/>
        <v>44.724031312874416</v>
      </c>
      <c r="AT698" s="316">
        <f t="shared" si="285"/>
        <v>6.3473645291255085</v>
      </c>
      <c r="AU698" s="316">
        <f t="shared" si="286"/>
        <v>51.633483774676478</v>
      </c>
      <c r="AV698" s="316">
        <f t="shared" si="287"/>
        <v>58.633641362355931</v>
      </c>
      <c r="AW698" s="317">
        <f t="shared" si="242"/>
        <v>509.9999999999996</v>
      </c>
      <c r="AX698" s="309"/>
      <c r="AY698" s="308">
        <f>VLOOKUP($B698,'Infant adult mortality'!$A$134:$I$234,3)</f>
        <v>2.8620000000000002E-4</v>
      </c>
      <c r="AZ698" s="309">
        <f t="shared" si="243"/>
        <v>0.27</v>
      </c>
      <c r="BA698" s="309">
        <f ca="1">VLOOKUP($B698,'Infant pick up smoking rates'!$A$19:$I$104,7)</f>
        <v>3.9916955482353625E-3</v>
      </c>
      <c r="BB698" s="309">
        <f t="shared" si="244"/>
        <v>4.4855129240710823E-3</v>
      </c>
      <c r="BC698" s="309">
        <f t="shared" ca="1" si="245"/>
        <v>0.72123659152769359</v>
      </c>
      <c r="BD698" s="309">
        <f>VLOOKUP($B698,'Infant adult mortality'!$A$134:$I$234,3)</f>
        <v>2.8620000000000002E-4</v>
      </c>
      <c r="BE698" s="309">
        <f t="shared" si="246"/>
        <v>0.14000000000000001</v>
      </c>
      <c r="BF698" s="309">
        <f>VLOOKUP($B698,'Infant pick up smoking rates'!$A$19:$I$104,6)</f>
        <v>1.9288936901483743E-3</v>
      </c>
      <c r="BG698" s="309">
        <f t="shared" si="247"/>
        <v>4.4855129240710823E-3</v>
      </c>
      <c r="BH698" s="309">
        <f t="shared" si="248"/>
        <v>0.85329939338578054</v>
      </c>
      <c r="BI698" s="309">
        <f>VLOOKUP($B698,'Infant adult mortality'!$A$134:$I$234,3)</f>
        <v>2.8620000000000002E-4</v>
      </c>
      <c r="BJ698" s="309">
        <f t="shared" si="249"/>
        <v>0.5714285714285714</v>
      </c>
      <c r="BK698" s="309">
        <f>VLOOKUP($B698,'Infant pick up smoking rates'!$A$19:$I$104,6)</f>
        <v>1.9288936901483743E-3</v>
      </c>
      <c r="BL698" s="309">
        <f t="shared" si="250"/>
        <v>2.9608804523424876E-3</v>
      </c>
      <c r="BM698" s="309">
        <f t="shared" si="251"/>
        <v>0.42339545442893778</v>
      </c>
      <c r="BN698" s="309">
        <f>VLOOKUP($B698,'Infant adult mortality'!$A$134:$I$234,3)</f>
        <v>2.8620000000000002E-4</v>
      </c>
      <c r="BO698" s="309">
        <f t="shared" si="252"/>
        <v>8.6261668788331098E-3</v>
      </c>
      <c r="BP698" s="309">
        <f>VLOOKUP($B698,'Infant pick up smoking rates'!$A$19:$I$104,6)</f>
        <v>1.9288936901483743E-3</v>
      </c>
      <c r="BQ698" s="309">
        <f t="shared" si="253"/>
        <v>2.9608804523424876E-3</v>
      </c>
      <c r="BR698" s="309">
        <f t="shared" si="254"/>
        <v>0.98619785897867607</v>
      </c>
      <c r="BS698" s="309">
        <f>VLOOKUP($B698,'Infant adult mortality'!$A$134:$I$234,3)</f>
        <v>2.8620000000000002E-4</v>
      </c>
      <c r="BT698" s="309">
        <f>VLOOKUP($B698,'Infant pick up smoking rates'!$A$19:$I$104,6)</f>
        <v>1.9288936901483743E-3</v>
      </c>
      <c r="BU698" s="309">
        <f t="shared" si="255"/>
        <v>0.99778490630985162</v>
      </c>
      <c r="BV698" s="309">
        <f>VLOOKUP($B698,'Infant adult mortality'!$A$134:$I$234,5)</f>
        <v>2.8620000000000002E-4</v>
      </c>
      <c r="BW698" s="309">
        <f t="shared" si="256"/>
        <v>0.27</v>
      </c>
      <c r="BX698" s="309">
        <f t="shared" si="257"/>
        <v>0.72971379999999997</v>
      </c>
      <c r="BY698" s="309">
        <f>VLOOKUP($B698,'Infant adult mortality'!$A$134:$I$234,5)</f>
        <v>2.8620000000000002E-4</v>
      </c>
      <c r="BZ698" s="309">
        <f t="shared" si="258"/>
        <v>0.14000000000000001</v>
      </c>
      <c r="CA698" s="309">
        <f t="shared" si="259"/>
        <v>0.85971379999999997</v>
      </c>
      <c r="CB698" s="309">
        <f>VLOOKUP($B698,'Infant adult mortality'!$A$134:$I$234,4)</f>
        <v>2.8620000000000002E-4</v>
      </c>
      <c r="CC698" s="309">
        <f t="shared" si="260"/>
        <v>0.5714285714285714</v>
      </c>
      <c r="CD698" s="309">
        <f t="shared" si="261"/>
        <v>0.42828522857142859</v>
      </c>
      <c r="CE698" s="309">
        <f>VLOOKUP($B698,'Infant adult mortality'!$A$134:$I$234,4)</f>
        <v>2.8620000000000002E-4</v>
      </c>
      <c r="CF698" s="309">
        <f t="shared" si="262"/>
        <v>8.6261668788331098E-3</v>
      </c>
      <c r="CG698" s="309">
        <f t="shared" si="263"/>
        <v>0.99108763312116688</v>
      </c>
      <c r="CH698" s="309"/>
      <c r="CI698" s="315">
        <f t="shared" ca="1" si="288"/>
        <v>95.001023096458709</v>
      </c>
      <c r="CJ698" s="316">
        <f t="shared" ca="1" si="289"/>
        <v>26.150236485785115</v>
      </c>
      <c r="CK698" s="316">
        <f t="shared" ca="1" si="290"/>
        <v>3.7317186039972534</v>
      </c>
      <c r="CL698" s="316">
        <f t="shared" ca="1" si="291"/>
        <v>92.747824481825532</v>
      </c>
      <c r="CM698" s="316">
        <f t="shared" ca="1" si="292"/>
        <v>11.320854477077361</v>
      </c>
      <c r="CN698" s="316">
        <f t="shared" ca="1" si="293"/>
        <v>127.86998685530716</v>
      </c>
      <c r="CO698" s="316">
        <f t="shared" ca="1" si="294"/>
        <v>34.926289396935616</v>
      </c>
      <c r="CP698" s="316">
        <f t="shared" ca="1" si="295"/>
        <v>4.9472685266928931</v>
      </c>
      <c r="CQ698" s="316">
        <f t="shared" ca="1" si="296"/>
        <v>38.423794351001597</v>
      </c>
      <c r="CR698" s="316">
        <f t="shared" ca="1" si="297"/>
        <v>54.881003724918777</v>
      </c>
      <c r="CS698" s="317">
        <f t="shared" ca="1" si="264"/>
        <v>490.00000000000006</v>
      </c>
      <c r="CT698" s="309"/>
      <c r="CU698" s="309">
        <f t="shared" ca="1" si="265"/>
        <v>999.99999999999966</v>
      </c>
      <c r="CV698" s="309" t="str">
        <f t="shared" ca="1" si="216"/>
        <v>OKAY</v>
      </c>
      <c r="CW698" s="309"/>
      <c r="CX698" s="315">
        <f>(SUM($AR698:$AS698))-((SUM($AR698:$AS698)*VLOOKUP($B698,Lifetime_morbidity_array!$A$30:$Y$48,4))+(SUM($AR698:$AS698)*VLOOKUP($B698,Lifetime_morbidity_array!$A$30:$Y$48,7))+(SUM($AR698:$AS698)*VLOOKUP($B698,Lifetime_morbidity_array!$A$30:$Y$48,10))+(SUM($AR698:$AS698)*VLOOKUP($B698,Lifetime_morbidity_array!$A$30:$Y$48,13)))</f>
        <v>220.66268768715753</v>
      </c>
      <c r="CY698" s="316">
        <f>(SUM($AT698:$AU698))-((SUM($AT698:$AU698)*(VLOOKUP($B698,Lifetime_morbidity_array!$A$30:$Y$48,3)))+(SUM($AT698:$AU698)*(VLOOKUP($B698,Lifetime_morbidity_array!$A$30:$Y$48,6)))+(SUM($AT698:$AU698)*(VLOOKUP($B698,Lifetime_morbidity_array!$A$30:$Y$48,9)))+(SUM($AT698:$AU698)*(VLOOKUP($B698,Lifetime_morbidity_array!$A$30:$Y$48,12))))</f>
        <v>57.834816969686834</v>
      </c>
      <c r="CZ698" s="316">
        <f>(SUM($AM698:$AQ698))-((SUM($AM698:$AQ698)*VLOOKUP($B698,Lifetime_morbidity_array!$A$30:$Y$48,2))+(SUM($AM698:$AQ698)*VLOOKUP($B698,Lifetime_morbidity_array!$A$30:$Y$48,5))+(SUM($AM698:$AQ698)*VLOOKUP($B698,Lifetime_morbidity_array!$A$30:$Y$48,8))+(SUM($AM698:$AQ698)*VLOOKUP($B698,Lifetime_morbidity_array!$A$30:$Y$48,11)))</f>
        <v>171.73203667896905</v>
      </c>
      <c r="DA698" s="316">
        <f>(SUM($AM698:$AQ698)*VLOOKUP($B698,Lifetime_morbidity_array!$A$30:$Y$48,2))+(SUM($AR698:$AS698)*VLOOKUP($B698,Lifetime_morbidity_array!$A$30:$Y$48,4))+(SUM($AT698:$AU698)*(VLOOKUP($B698,Lifetime_morbidity_array!$A$30:$Y$48,3)))</f>
        <v>0.90236438402707375</v>
      </c>
      <c r="DB698" s="316">
        <f>(SUM($AM698:$AQ698)*VLOOKUP($B698,Lifetime_morbidity_array!$A$30:$Y$48,5))+(SUM($AR698:$AS698)*VLOOKUP($B698,Lifetime_morbidity_array!$A$30:$Y$48,7))+(SUM($AT698:$AU698)*(VLOOKUP($B698,Lifetime_morbidity_array!$A$30:$Y$48,6)))</f>
        <v>0.22543215273532033</v>
      </c>
      <c r="DC698" s="316">
        <f>(SUM($AM698:$AQ698)*VLOOKUP($B698,Lifetime_morbidity_array!$A$30:$Y$48,8))+(SUM($AR698:$AS698)*VLOOKUP($B698,Lifetime_morbidity_array!$A$30:$Y$48,10))+(SUM($AT698:$AU698)*(VLOOKUP($B698,Lifetime_morbidity_array!$A$30:$Y$48,9)))</f>
        <v>9.0207650678018701E-3</v>
      </c>
      <c r="DD698" s="317">
        <f>(SUM($AM698:$AQ698)*VLOOKUP($B698,Lifetime_morbidity_array!$A$30:$Y$48,11))+(SUM($AR698:$AS698)*VLOOKUP($B698,Lifetime_morbidity_array!$A$30:$Y$48,13))+(SUM($AT698:$AU698)*(VLOOKUP($B698,Lifetime_morbidity_array!$A$30:$Y$48,12)))</f>
        <v>0</v>
      </c>
      <c r="DE698" s="309"/>
      <c r="DF698" s="315">
        <f ca="1">(SUM($CN698:$CO698))-((SUM($CN698:$CO698)*VLOOKUP($B698,Lifetime_morbidity_array!$A$6:$Y$24,4))+(SUM($CN698:$CO698)*VLOOKUP($B698,Lifetime_morbidity_array!$A$6:$Y$24,7))+(SUM($CN698:$CO698)*VLOOKUP($B698,Lifetime_morbidity_array!$A$6:$Y$24,10))+(SUM($CN698:$CO698)*VLOOKUP($B698,Lifetime_morbidity_array!$A$6:$Y$24,13)))</f>
        <v>162.40822416873189</v>
      </c>
      <c r="DG698" s="316">
        <f ca="1">(SUM($CP698:$CQ698))-(((SUM($CP698:$CQ698)*VLOOKUP($B698,Lifetime_morbidity_array!$A$6:$Y$24,3))+(SUM($CP698:$CQ698)*VLOOKUP($B698,Lifetime_morbidity_array!$A$6:$Y$24,6))+(SUM($CP698:$CQ698)*VLOOKUP($B698,Lifetime_morbidity_array!$A$6:$Y$24,9))+(SUM($CP698:$CQ698)*VLOOKUP($B698,Lifetime_morbidity_array!$A$6:$Y$24,12))))</f>
        <v>43.267680713794796</v>
      </c>
      <c r="DH698" s="316">
        <f ca="1">(SUM($CI698:$CM698))-((SUM($CI698:$CM698)*VLOOKUP($B698,Lifetime_morbidity_array!$A$6:$Y$24,2))+(SUM($CI698:$CM698)*VLOOKUP($B698,Lifetime_morbidity_array!$A$6:$Y$24,5))+(SUM($CI698:$CM698)*VLOOKUP($B698,Lifetime_morbidity_array!$A$6:$Y$24,8))+(SUM($CI698:$CM698)*VLOOKUP($B698,Lifetime_morbidity_array!$A$6:$Y$24,11)))</f>
        <v>228.40591267466988</v>
      </c>
      <c r="DI698" s="316">
        <f ca="1">(SUM($CI698:$CM698)*VLOOKUP($B698,Lifetime_morbidity_array!$A$6:$Y$24,2))+(SUM($CN698:$CO698)*VLOOKUP($B698,Lifetime_morbidity_array!$A$6:$Y$24,4))+(SUM($CP698:$CQ698)*VLOOKUP($B698,Lifetime_morbidity_array!$A$6:$Y$24,3))</f>
        <v>0.433649429386395</v>
      </c>
      <c r="DJ698" s="316">
        <f ca="1">(SUM($CI698:$CM698)*VLOOKUP($B698,Lifetime_morbidity_array!$A$6:$Y$24,5))+(SUM($CN698:$CO698)*VLOOKUP($B698,Lifetime_morbidity_array!$A$6:$Y$24,7))+(SUM($CP698:$CQ698)*VLOOKUP($B698,Lifetime_morbidity_array!$A$6:$Y$24,6))</f>
        <v>0.15896967530357686</v>
      </c>
      <c r="DK698" s="316">
        <f ca="1">(SUM($CI698:$CM698)*VLOOKUP($B698,Lifetime_morbidity_array!$A$6:$Y$24,8))+(SUM($CN698:$CO698)*VLOOKUP($B698,Lifetime_morbidity_array!$A$6:$Y$24,10))+(SUM($CP698:$CQ698)*VLOOKUP($B698,Lifetime_morbidity_array!$A$6:$Y$24,9))</f>
        <v>8.6991331710354787E-3</v>
      </c>
      <c r="DL698" s="317">
        <f ca="1">(SUM($CI698:$CM698)*VLOOKUP($B698,Lifetime_morbidity_array!$A$6:$Y$24,11))+(SUM($CN698:$CO698)*VLOOKUP($B698,Lifetime_morbidity_array!$A$6:$Y$24,13))+(SUM($CP698:$CQ698)*VLOOKUP($B698,Lifetime_morbidity_array!$A$6:$Y$24,12))</f>
        <v>0.43586048002366395</v>
      </c>
      <c r="DM698" s="309"/>
      <c r="DN698" s="308">
        <f t="shared" si="266"/>
        <v>32</v>
      </c>
      <c r="DO698" s="309">
        <f t="shared" ca="1" si="267"/>
        <v>294.83590587460492</v>
      </c>
      <c r="DP698" s="310">
        <f t="shared" ca="1" si="298"/>
        <v>16966.28627878425</v>
      </c>
      <c r="DQ698" s="309"/>
      <c r="DR698" s="308">
        <f t="shared" si="268"/>
        <v>32</v>
      </c>
      <c r="DS698" s="309">
        <f ca="1">((VLOOKUP($B698,'Mahawesran Tariff'!$A$21:$M$120,4)*'Experimental (DET)'!$CX698)+(VLOOKUP($B698,'Mahawesran Tariff'!$A$21:$M$120,3)*'Experimental (DET)'!$CY698)+(VLOOKUP($B698,'Mahawesran Tariff'!$A$21:$M$120,2)*'Experimental (DET)'!$CZ698)+(VLOOKUP($B698,'Mahawesran Tariff'!$A$21:$M$120,7)*'Experimental (DET)'!$DF698)+(VLOOKUP($B698,'Mahawesran Tariff'!$A$21:$M$120,6)*'Experimental (DET)'!$DG698)+(VLOOKUP($B698,'Mahawesran Tariff'!$A$21:$M$120,5)*'Experimental (DET)'!$DH698)+(DET_UTIL_chd*('Experimental (DET)'!$DA698+'Experimental (DET)'!$DI698))+(DET_UTIL_copd*('Experimental (DET)'!$DB698+'Experimental (DET)'!$DJ698))+(DET_UTIL_lc*('Experimental (DET)'!$DC698+'Experimental (DET)'!$DK698))+(DET_UTIL_stroke*('Experimental (DET)'!$DD698+'Experimental (DET)'!$DL698)))/((1+Discount_rate_QALYs)^$A698)</f>
        <v>293.85096844145164</v>
      </c>
      <c r="DT698" s="310">
        <f t="shared" ca="1" si="299"/>
        <v>16952.082101676977</v>
      </c>
      <c r="DU698" s="309"/>
      <c r="DV698" s="308">
        <f t="shared" si="269"/>
        <v>32</v>
      </c>
      <c r="DW698" s="318">
        <f t="shared" ca="1" si="270"/>
        <v>4130.4513210210234</v>
      </c>
      <c r="DX698" s="319">
        <f t="shared" ca="1" si="300"/>
        <v>5569086.1154274372</v>
      </c>
      <c r="DZ698" s="95">
        <f t="shared" si="271"/>
        <v>32</v>
      </c>
      <c r="EA698" s="268">
        <f t="shared" ca="1" si="217"/>
        <v>0.88648535491272495</v>
      </c>
      <c r="EB698" s="268">
        <f t="shared" ca="1" si="218"/>
        <v>0.11351464508727471</v>
      </c>
      <c r="EC698" s="268">
        <f t="shared" ca="1" si="219"/>
        <v>2.173996019714867E-3</v>
      </c>
      <c r="ED698" s="290">
        <f t="shared" ca="1" si="220"/>
        <v>0.48536804238381526</v>
      </c>
      <c r="EF698" s="95">
        <f t="shared" si="272"/>
        <v>32</v>
      </c>
      <c r="EG698" s="339">
        <f t="shared" ca="1" si="273"/>
        <v>4130.4513210210234</v>
      </c>
      <c r="EH698" s="341">
        <f t="shared" ca="1" si="301"/>
        <v>8671101.8393909819</v>
      </c>
      <c r="EJ698" s="308">
        <f t="shared" si="274"/>
        <v>32</v>
      </c>
      <c r="EK698" s="318">
        <f t="shared" ca="1" si="275"/>
        <v>4130.4513210210234</v>
      </c>
      <c r="EL698" s="319">
        <f t="shared" ca="1" si="302"/>
        <v>5566046.1154274363</v>
      </c>
      <c r="EN698" s="95">
        <f t="shared" si="276"/>
        <v>32</v>
      </c>
      <c r="EO698" s="339">
        <f t="shared" ca="1" si="277"/>
        <v>4130.4513210210234</v>
      </c>
      <c r="EP698" s="341">
        <f t="shared" ca="1" si="303"/>
        <v>8671101.8393909819</v>
      </c>
    </row>
    <row r="699" spans="1:146" s="266" customFormat="1" x14ac:dyDescent="0.25">
      <c r="A699" s="313">
        <v>33</v>
      </c>
      <c r="B699" s="314">
        <v>33</v>
      </c>
      <c r="C699" s="308">
        <f>VLOOKUP($B699,'Infant adult mortality'!$A$27:$I$128,3)</f>
        <v>4.9159999999999991E-4</v>
      </c>
      <c r="D699" s="309">
        <f t="shared" si="221"/>
        <v>0.27</v>
      </c>
      <c r="E699" s="309">
        <f>VLOOKUP($B699,'Infant pick up smoking rates'!$A$19:$I$104,3)</f>
        <v>1.5201831243956284E-3</v>
      </c>
      <c r="F699" s="309">
        <f t="shared" si="222"/>
        <v>5.0037481196724054E-3</v>
      </c>
      <c r="G699" s="309">
        <f t="shared" si="223"/>
        <v>0.72298446875593192</v>
      </c>
      <c r="H699" s="309">
        <f>VLOOKUP($B699,'Infant adult mortality'!$A$27:$I$128,3)</f>
        <v>4.9159999999999991E-4</v>
      </c>
      <c r="I699" s="309">
        <f t="shared" si="224"/>
        <v>0.14000000000000001</v>
      </c>
      <c r="J699" s="309">
        <f>VLOOKUP($B699,'Infant pick up smoking rates'!$A$19:$I$104,2)</f>
        <v>1.5201831243956284E-3</v>
      </c>
      <c r="K699" s="309">
        <f t="shared" si="225"/>
        <v>5.0037481196724054E-3</v>
      </c>
      <c r="L699" s="309">
        <f t="shared" si="226"/>
        <v>0.85298446875593192</v>
      </c>
      <c r="M699" s="309">
        <f>VLOOKUP($B699,'Infant adult mortality'!$A$27:$I$128,3)</f>
        <v>4.9159999999999991E-4</v>
      </c>
      <c r="N699" s="309">
        <f t="shared" si="227"/>
        <v>0.5714285714285714</v>
      </c>
      <c r="O699" s="309">
        <f>VLOOKUP($B699,'Infant pick up smoking rates'!$A$19:$I$104,2)</f>
        <v>1.5201831243956284E-3</v>
      </c>
      <c r="P699" s="309">
        <f t="shared" si="228"/>
        <v>3.3029667390941002E-3</v>
      </c>
      <c r="Q699" s="309">
        <f t="shared" si="229"/>
        <v>0.42325667870793887</v>
      </c>
      <c r="R699" s="309">
        <f>VLOOKUP($B699,'Infant adult mortality'!$A$27:$I$128,3)</f>
        <v>4.9159999999999991E-4</v>
      </c>
      <c r="S699" s="309">
        <f t="shared" si="230"/>
        <v>8.6261668788331098E-3</v>
      </c>
      <c r="T699" s="309">
        <f>VLOOKUP($B699,'Infant pick up smoking rates'!$A$19:$I$104,2)</f>
        <v>1.5201831243956284E-3</v>
      </c>
      <c r="U699" s="309">
        <f t="shared" si="231"/>
        <v>3.3029667390941002E-3</v>
      </c>
      <c r="V699" s="309">
        <f t="shared" si="232"/>
        <v>0.9860590832576771</v>
      </c>
      <c r="W699" s="309">
        <f>VLOOKUP($B699,'Infant adult mortality'!$A$27:$I$128,3)</f>
        <v>4.9159999999999991E-4</v>
      </c>
      <c r="X699" s="309">
        <f>VLOOKUP($B699,'Infant pick up smoking rates'!$A$19:$I$104,2)</f>
        <v>1.5201831243956284E-3</v>
      </c>
      <c r="Y699" s="309">
        <f t="shared" si="233"/>
        <v>0.99798821687560435</v>
      </c>
      <c r="Z699" s="309">
        <f>VLOOKUP($B699,'Infant adult mortality'!$A$27:$I$128,5)</f>
        <v>4.9159999999999991E-4</v>
      </c>
      <c r="AA699" s="309">
        <f t="shared" si="234"/>
        <v>0.25</v>
      </c>
      <c r="AB699" s="309">
        <f t="shared" si="235"/>
        <v>0.74950839999999996</v>
      </c>
      <c r="AC699" s="309">
        <f>VLOOKUP($B699,'Infant adult mortality'!$A$27:$I$128,5)</f>
        <v>4.9159999999999991E-4</v>
      </c>
      <c r="AD699" s="309">
        <f t="shared" si="236"/>
        <v>0.14000000000000001</v>
      </c>
      <c r="AE699" s="309">
        <f t="shared" si="237"/>
        <v>0.85950839999999995</v>
      </c>
      <c r="AF699" s="309">
        <f>VLOOKUP($B699,'Infant adult mortality'!$A$27:$I$128,4)</f>
        <v>4.9159999999999991E-4</v>
      </c>
      <c r="AG699" s="309">
        <f t="shared" si="238"/>
        <v>0.5714285714285714</v>
      </c>
      <c r="AH699" s="309">
        <f t="shared" si="239"/>
        <v>0.42807982857142862</v>
      </c>
      <c r="AI699" s="309">
        <f>VLOOKUP($B699,'Infant adult mortality'!$A$27:$I$128,4)</f>
        <v>4.9159999999999991E-4</v>
      </c>
      <c r="AJ699" s="309">
        <f t="shared" si="240"/>
        <v>8.6261668788331098E-3</v>
      </c>
      <c r="AK699" s="309">
        <f t="shared" si="241"/>
        <v>0.99088223312116686</v>
      </c>
      <c r="AL699" s="309"/>
      <c r="AM699" s="315">
        <f t="shared" si="278"/>
        <v>68.377439544232658</v>
      </c>
      <c r="AN699" s="316">
        <f t="shared" si="279"/>
        <v>18.786360539389904</v>
      </c>
      <c r="AO699" s="316">
        <f t="shared" si="280"/>
        <v>2.675106355748452</v>
      </c>
      <c r="AP699" s="316">
        <f t="shared" si="281"/>
        <v>72.732690593032359</v>
      </c>
      <c r="AQ699" s="316">
        <f t="shared" si="282"/>
        <v>9.2476983912606805</v>
      </c>
      <c r="AR699" s="316">
        <f t="shared" si="283"/>
        <v>174.15008406727895</v>
      </c>
      <c r="AS699" s="316">
        <f t="shared" si="284"/>
        <v>44.123955909300399</v>
      </c>
      <c r="AT699" s="316">
        <f t="shared" si="285"/>
        <v>6.2613643838024187</v>
      </c>
      <c r="AU699" s="316">
        <f t="shared" si="286"/>
        <v>54.789767151691542</v>
      </c>
      <c r="AV699" s="316">
        <f t="shared" si="287"/>
        <v>58.855533064262197</v>
      </c>
      <c r="AW699" s="317">
        <f t="shared" si="242"/>
        <v>509.99999999999949</v>
      </c>
      <c r="AX699" s="309"/>
      <c r="AY699" s="308">
        <f>VLOOKUP($B699,'Infant adult mortality'!$A$134:$I$234,3)</f>
        <v>3.0899999999999998E-4</v>
      </c>
      <c r="AZ699" s="309">
        <f t="shared" si="243"/>
        <v>0.27</v>
      </c>
      <c r="BA699" s="309">
        <f ca="1">VLOOKUP($B699,'Infant pick up smoking rates'!$A$19:$I$104,7)</f>
        <v>3.9916955482353625E-3</v>
      </c>
      <c r="BB699" s="309">
        <f t="shared" si="244"/>
        <v>5.0037481196724054E-3</v>
      </c>
      <c r="BC699" s="309">
        <f t="shared" ca="1" si="245"/>
        <v>0.72069555633209226</v>
      </c>
      <c r="BD699" s="309">
        <f>VLOOKUP($B699,'Infant adult mortality'!$A$134:$I$234,3)</f>
        <v>3.0899999999999998E-4</v>
      </c>
      <c r="BE699" s="309">
        <f t="shared" si="246"/>
        <v>0.14000000000000001</v>
      </c>
      <c r="BF699" s="309">
        <f>VLOOKUP($B699,'Infant pick up smoking rates'!$A$19:$I$104,6)</f>
        <v>1.9288936901483743E-3</v>
      </c>
      <c r="BG699" s="309">
        <f t="shared" si="247"/>
        <v>5.0037481196724054E-3</v>
      </c>
      <c r="BH699" s="309">
        <f t="shared" si="248"/>
        <v>0.8527583581901792</v>
      </c>
      <c r="BI699" s="309">
        <f>VLOOKUP($B699,'Infant adult mortality'!$A$134:$I$234,3)</f>
        <v>3.0899999999999998E-4</v>
      </c>
      <c r="BJ699" s="309">
        <f t="shared" si="249"/>
        <v>0.5714285714285714</v>
      </c>
      <c r="BK699" s="309">
        <f>VLOOKUP($B699,'Infant pick up smoking rates'!$A$19:$I$104,6)</f>
        <v>1.9288936901483743E-3</v>
      </c>
      <c r="BL699" s="309">
        <f t="shared" si="250"/>
        <v>3.3029667390941002E-3</v>
      </c>
      <c r="BM699" s="309">
        <f t="shared" si="251"/>
        <v>0.42303056814218609</v>
      </c>
      <c r="BN699" s="309">
        <f>VLOOKUP($B699,'Infant adult mortality'!$A$134:$I$234,3)</f>
        <v>3.0899999999999998E-4</v>
      </c>
      <c r="BO699" s="309">
        <f t="shared" si="252"/>
        <v>8.6261668788331098E-3</v>
      </c>
      <c r="BP699" s="309">
        <f>VLOOKUP($B699,'Infant pick up smoking rates'!$A$19:$I$104,6)</f>
        <v>1.9288936901483743E-3</v>
      </c>
      <c r="BQ699" s="309">
        <f t="shared" si="253"/>
        <v>3.3029667390941002E-3</v>
      </c>
      <c r="BR699" s="309">
        <f t="shared" si="254"/>
        <v>0.98583297269192438</v>
      </c>
      <c r="BS699" s="309">
        <f>VLOOKUP($B699,'Infant adult mortality'!$A$134:$I$234,3)</f>
        <v>3.0899999999999998E-4</v>
      </c>
      <c r="BT699" s="309">
        <f>VLOOKUP($B699,'Infant pick up smoking rates'!$A$19:$I$104,6)</f>
        <v>1.9288936901483743E-3</v>
      </c>
      <c r="BU699" s="309">
        <f t="shared" si="255"/>
        <v>0.99776210630985163</v>
      </c>
      <c r="BV699" s="309">
        <f>VLOOKUP($B699,'Infant adult mortality'!$A$134:$I$234,5)</f>
        <v>3.0899999999999998E-4</v>
      </c>
      <c r="BW699" s="309">
        <f t="shared" si="256"/>
        <v>0.27</v>
      </c>
      <c r="BX699" s="309">
        <f t="shared" si="257"/>
        <v>0.72969099999999998</v>
      </c>
      <c r="BY699" s="309">
        <f>VLOOKUP($B699,'Infant adult mortality'!$A$134:$I$234,5)</f>
        <v>3.0899999999999998E-4</v>
      </c>
      <c r="BZ699" s="309">
        <f t="shared" si="258"/>
        <v>0.14000000000000001</v>
      </c>
      <c r="CA699" s="309">
        <f t="shared" si="259"/>
        <v>0.85969099999999998</v>
      </c>
      <c r="CB699" s="309">
        <f>VLOOKUP($B699,'Infant adult mortality'!$A$134:$I$234,4)</f>
        <v>3.0899999999999998E-4</v>
      </c>
      <c r="CC699" s="309">
        <f t="shared" si="260"/>
        <v>0.5714285714285714</v>
      </c>
      <c r="CD699" s="309">
        <f t="shared" si="261"/>
        <v>0.4282624285714286</v>
      </c>
      <c r="CE699" s="309">
        <f>VLOOKUP($B699,'Infant adult mortality'!$A$134:$I$234,4)</f>
        <v>3.0899999999999998E-4</v>
      </c>
      <c r="CF699" s="309">
        <f t="shared" si="262"/>
        <v>8.6261668788331098E-3</v>
      </c>
      <c r="CG699" s="309">
        <f t="shared" si="263"/>
        <v>0.99106483312116689</v>
      </c>
      <c r="CH699" s="309"/>
      <c r="CI699" s="315">
        <f t="shared" ca="1" si="288"/>
        <v>93.145337177347969</v>
      </c>
      <c r="CJ699" s="316">
        <f t="shared" ca="1" si="289"/>
        <v>25.650276236043855</v>
      </c>
      <c r="CK699" s="316">
        <f t="shared" ca="1" si="290"/>
        <v>3.6610331080099163</v>
      </c>
      <c r="CL699" s="316">
        <f t="shared" ca="1" si="291"/>
        <v>93.566274150482485</v>
      </c>
      <c r="CM699" s="316">
        <f t="shared" ca="1" si="292"/>
        <v>12.220398717422087</v>
      </c>
      <c r="CN699" s="316">
        <f t="shared" ca="1" si="293"/>
        <v>126.41916622638294</v>
      </c>
      <c r="CO699" s="316">
        <f t="shared" ca="1" si="294"/>
        <v>34.524896450932935</v>
      </c>
      <c r="CP699" s="316">
        <f t="shared" ca="1" si="295"/>
        <v>4.889680515570987</v>
      </c>
      <c r="CQ699" s="316">
        <f t="shared" ca="1" si="296"/>
        <v>40.907481923039086</v>
      </c>
      <c r="CR699" s="316">
        <f t="shared" ca="1" si="297"/>
        <v>55.015455494767778</v>
      </c>
      <c r="CS699" s="317">
        <f t="shared" ca="1" si="264"/>
        <v>490</v>
      </c>
      <c r="CT699" s="309"/>
      <c r="CU699" s="309">
        <f t="shared" ca="1" si="265"/>
        <v>999.99999999999955</v>
      </c>
      <c r="CV699" s="309" t="str">
        <f t="shared" ca="1" si="216"/>
        <v>OKAY</v>
      </c>
      <c r="CW699" s="309"/>
      <c r="CX699" s="315">
        <f>(SUM($AR699:$AS699))-((SUM($AR699:$AS699)*VLOOKUP($B699,Lifetime_morbidity_array!$A$30:$Y$48,4))+(SUM($AR699:$AS699)*VLOOKUP($B699,Lifetime_morbidity_array!$A$30:$Y$48,7))+(SUM($AR699:$AS699)*VLOOKUP($B699,Lifetime_morbidity_array!$A$30:$Y$48,10))+(SUM($AR699:$AS699)*VLOOKUP($B699,Lifetime_morbidity_array!$A$30:$Y$48,13)))</f>
        <v>217.7242920823528</v>
      </c>
      <c r="CY699" s="316">
        <f>(SUM($AT699:$AU699))-((SUM($AT699:$AU699)*(VLOOKUP($B699,Lifetime_morbidity_array!$A$30:$Y$48,3)))+(SUM($AT699:$AU699)*(VLOOKUP($B699,Lifetime_morbidity_array!$A$30:$Y$48,6)))+(SUM($AT699:$AU699)*(VLOOKUP($B699,Lifetime_morbidity_array!$A$30:$Y$48,9)))+(SUM($AT699:$AU699)*(VLOOKUP($B699,Lifetime_morbidity_array!$A$30:$Y$48,12))))</f>
        <v>60.897367345279733</v>
      </c>
      <c r="CZ699" s="316">
        <f>(SUM($AM699:$AQ699))-((SUM($AM699:$AQ699)*VLOOKUP($B699,Lifetime_morbidity_array!$A$30:$Y$48,2))+(SUM($AM699:$AQ699)*VLOOKUP($B699,Lifetime_morbidity_array!$A$30:$Y$48,5))+(SUM($AM699:$AQ699)*VLOOKUP($B699,Lifetime_morbidity_array!$A$30:$Y$48,8))+(SUM($AM699:$AQ699)*VLOOKUP($B699,Lifetime_morbidity_array!$A$30:$Y$48,11)))</f>
        <v>171.3865490656602</v>
      </c>
      <c r="DA699" s="316">
        <f>(SUM($AM699:$AQ699)*VLOOKUP($B699,Lifetime_morbidity_array!$A$30:$Y$48,2))+(SUM($AR699:$AS699)*VLOOKUP($B699,Lifetime_morbidity_array!$A$30:$Y$48,4))+(SUM($AT699:$AU699)*(VLOOKUP($B699,Lifetime_morbidity_array!$A$30:$Y$48,3)))</f>
        <v>0.90192078169588608</v>
      </c>
      <c r="DB699" s="316">
        <f>(SUM($AM699:$AQ699)*VLOOKUP($B699,Lifetime_morbidity_array!$A$30:$Y$48,5))+(SUM($AR699:$AS699)*VLOOKUP($B699,Lifetime_morbidity_array!$A$30:$Y$48,7))+(SUM($AT699:$AU699)*(VLOOKUP($B699,Lifetime_morbidity_array!$A$30:$Y$48,6)))</f>
        <v>0.22532133028903564</v>
      </c>
      <c r="DC699" s="316">
        <f>(SUM($AM699:$AQ699)*VLOOKUP($B699,Lifetime_morbidity_array!$A$30:$Y$48,8))+(SUM($AR699:$AS699)*VLOOKUP($B699,Lifetime_morbidity_array!$A$30:$Y$48,10))+(SUM($AT699:$AU699)*(VLOOKUP($B699,Lifetime_morbidity_array!$A$30:$Y$48,9)))</f>
        <v>9.0163304596945389E-3</v>
      </c>
      <c r="DD699" s="317">
        <f>(SUM($AM699:$AQ699)*VLOOKUP($B699,Lifetime_morbidity_array!$A$30:$Y$48,11))+(SUM($AR699:$AS699)*VLOOKUP($B699,Lifetime_morbidity_array!$A$30:$Y$48,13))+(SUM($AT699:$AU699)*(VLOOKUP($B699,Lifetime_morbidity_array!$A$30:$Y$48,12)))</f>
        <v>0</v>
      </c>
      <c r="DE699" s="309"/>
      <c r="DF699" s="315">
        <f ca="1">(SUM($CN699:$CO699))-((SUM($CN699:$CO699)*VLOOKUP($B699,Lifetime_morbidity_array!$A$6:$Y$24,4))+(SUM($CN699:$CO699)*VLOOKUP($B699,Lifetime_morbidity_array!$A$6:$Y$24,7))+(SUM($CN699:$CO699)*VLOOKUP($B699,Lifetime_morbidity_array!$A$6:$Y$24,10))+(SUM($CN699:$CO699)*VLOOKUP($B699,Lifetime_morbidity_array!$A$6:$Y$24,13)))</f>
        <v>160.56042565386292</v>
      </c>
      <c r="DG699" s="316">
        <f ca="1">(SUM($CP699:$CQ699))-(((SUM($CP699:$CQ699)*VLOOKUP($B699,Lifetime_morbidity_array!$A$6:$Y$24,3))+(SUM($CP699:$CQ699)*VLOOKUP($B699,Lifetime_morbidity_array!$A$6:$Y$24,6))+(SUM($CP699:$CQ699)*VLOOKUP($B699,Lifetime_morbidity_array!$A$6:$Y$24,9))+(SUM($CP699:$CQ699)*VLOOKUP($B699,Lifetime_morbidity_array!$A$6:$Y$24,12))))</f>
        <v>45.687997261664307</v>
      </c>
      <c r="DH699" s="316">
        <f ca="1">(SUM($CI699:$CM699))-((SUM($CI699:$CM699)*VLOOKUP($B699,Lifetime_morbidity_array!$A$6:$Y$24,2))+(SUM($CI699:$CM699)*VLOOKUP($B699,Lifetime_morbidity_array!$A$6:$Y$24,5))+(SUM($CI699:$CM699)*VLOOKUP($B699,Lifetime_morbidity_array!$A$6:$Y$24,8))+(SUM($CI699:$CM699)*VLOOKUP($B699,Lifetime_morbidity_array!$A$6:$Y$24,11)))</f>
        <v>227.69926336004417</v>
      </c>
      <c r="DI699" s="316">
        <f ca="1">(SUM($CI699:$CM699)*VLOOKUP($B699,Lifetime_morbidity_array!$A$6:$Y$24,2))+(SUM($CN699:$CO699)*VLOOKUP($B699,Lifetime_morbidity_array!$A$6:$Y$24,4))+(SUM($CP699:$CQ699)*VLOOKUP($B699,Lifetime_morbidity_array!$A$6:$Y$24,3))</f>
        <v>0.43351543171271462</v>
      </c>
      <c r="DJ699" s="316">
        <f ca="1">(SUM($CI699:$CM699)*VLOOKUP($B699,Lifetime_morbidity_array!$A$6:$Y$24,5))+(SUM($CN699:$CO699)*VLOOKUP($B699,Lifetime_morbidity_array!$A$6:$Y$24,7))+(SUM($CP699:$CQ699)*VLOOKUP($B699,Lifetime_morbidity_array!$A$6:$Y$24,6))</f>
        <v>0.15892055367390806</v>
      </c>
      <c r="DK699" s="316">
        <f ca="1">(SUM($CI699:$CM699)*VLOOKUP($B699,Lifetime_morbidity_array!$A$6:$Y$24,8))+(SUM($CN699:$CO699)*VLOOKUP($B699,Lifetime_morbidity_array!$A$6:$Y$24,10))+(SUM($CP699:$CQ699)*VLOOKUP($B699,Lifetime_morbidity_array!$A$6:$Y$24,9))</f>
        <v>8.6964451388856293E-3</v>
      </c>
      <c r="DL699" s="317">
        <f ca="1">(SUM($CI699:$CM699)*VLOOKUP($B699,Lifetime_morbidity_array!$A$6:$Y$24,11))+(SUM($CN699:$CO699)*VLOOKUP($B699,Lifetime_morbidity_array!$A$6:$Y$24,13))+(SUM($CP699:$CQ699)*VLOOKUP($B699,Lifetime_morbidity_array!$A$6:$Y$24,12))</f>
        <v>0.43572579913533666</v>
      </c>
      <c r="DM699" s="309"/>
      <c r="DN699" s="308">
        <f t="shared" si="266"/>
        <v>33</v>
      </c>
      <c r="DO699" s="309">
        <f t="shared" ca="1" si="267"/>
        <v>284.751101162483</v>
      </c>
      <c r="DP699" s="310">
        <f t="shared" ca="1" si="298"/>
        <v>17251.037379946734</v>
      </c>
      <c r="DQ699" s="309"/>
      <c r="DR699" s="308">
        <f t="shared" si="268"/>
        <v>33</v>
      </c>
      <c r="DS699" s="309">
        <f ca="1">((VLOOKUP($B699,'Mahawesran Tariff'!$A$21:$M$120,4)*'Experimental (DET)'!$CX699)+(VLOOKUP($B699,'Mahawesran Tariff'!$A$21:$M$120,3)*'Experimental (DET)'!$CY699)+(VLOOKUP($B699,'Mahawesran Tariff'!$A$21:$M$120,2)*'Experimental (DET)'!$CZ699)+(VLOOKUP($B699,'Mahawesran Tariff'!$A$21:$M$120,7)*'Experimental (DET)'!$DF699)+(VLOOKUP($B699,'Mahawesran Tariff'!$A$21:$M$120,6)*'Experimental (DET)'!$DG699)+(VLOOKUP($B699,'Mahawesran Tariff'!$A$21:$M$120,5)*'Experimental (DET)'!$DH699)+(DET_UTIL_chd*('Experimental (DET)'!$DA699+'Experimental (DET)'!$DI699))+(DET_UTIL_copd*('Experimental (DET)'!$DB699+'Experimental (DET)'!$DJ699))+(DET_UTIL_lc*('Experimental (DET)'!$DC699+'Experimental (DET)'!$DK699))+(DET_UTIL_stroke*('Experimental (DET)'!$DD699+'Experimental (DET)'!$DL699)))/((1+Discount_rate_QALYs)^$A699)</f>
        <v>283.81787340664278</v>
      </c>
      <c r="DT699" s="310">
        <f t="shared" ca="1" si="299"/>
        <v>17235.899975083619</v>
      </c>
      <c r="DU699" s="309"/>
      <c r="DV699" s="308">
        <f t="shared" si="269"/>
        <v>33</v>
      </c>
      <c r="DW699" s="318">
        <f t="shared" ca="1" si="270"/>
        <v>3989.427504991545</v>
      </c>
      <c r="DX699" s="319">
        <f t="shared" ca="1" si="300"/>
        <v>5573075.5429324284</v>
      </c>
      <c r="DZ699" s="95">
        <f t="shared" si="271"/>
        <v>33</v>
      </c>
      <c r="EA699" s="268">
        <f t="shared" ca="1" si="217"/>
        <v>0.88612901144096956</v>
      </c>
      <c r="EB699" s="268">
        <f t="shared" ca="1" si="218"/>
        <v>0.11387098855902997</v>
      </c>
      <c r="EC699" s="268">
        <f t="shared" ca="1" si="219"/>
        <v>2.1731166721054612E-3</v>
      </c>
      <c r="ED699" s="290">
        <f t="shared" ca="1" si="220"/>
        <v>0.48606639662799928</v>
      </c>
      <c r="EF699" s="95">
        <f t="shared" si="272"/>
        <v>33</v>
      </c>
      <c r="EG699" s="339">
        <f t="shared" ca="1" si="273"/>
        <v>3989.427504991545</v>
      </c>
      <c r="EH699" s="341">
        <f t="shared" ca="1" si="301"/>
        <v>8675091.2668959741</v>
      </c>
      <c r="EJ699" s="308">
        <f t="shared" si="274"/>
        <v>33</v>
      </c>
      <c r="EK699" s="318">
        <f t="shared" ca="1" si="275"/>
        <v>3989.427504991545</v>
      </c>
      <c r="EL699" s="319">
        <f t="shared" ca="1" si="302"/>
        <v>5570035.5429324275</v>
      </c>
      <c r="EN699" s="95">
        <f t="shared" si="276"/>
        <v>33</v>
      </c>
      <c r="EO699" s="339">
        <f t="shared" ca="1" si="277"/>
        <v>3989.427504991545</v>
      </c>
      <c r="EP699" s="341">
        <f t="shared" ca="1" si="303"/>
        <v>8675091.2668959741</v>
      </c>
    </row>
    <row r="700" spans="1:146" s="266" customFormat="1" x14ac:dyDescent="0.25">
      <c r="A700" s="313">
        <v>34</v>
      </c>
      <c r="B700" s="314">
        <v>34</v>
      </c>
      <c r="C700" s="308">
        <f>VLOOKUP($B700,'Infant adult mortality'!$A$27:$I$128,3)</f>
        <v>5.3229999999999998E-4</v>
      </c>
      <c r="D700" s="309">
        <f t="shared" si="221"/>
        <v>0.27</v>
      </c>
      <c r="E700" s="309">
        <f>VLOOKUP($B700,'Infant pick up smoking rates'!$A$19:$I$104,3)</f>
        <v>1.5201831243956284E-3</v>
      </c>
      <c r="F700" s="309">
        <f t="shared" si="222"/>
        <v>5.3971602874811975E-3</v>
      </c>
      <c r="G700" s="309">
        <f t="shared" si="223"/>
        <v>0.72255035658812317</v>
      </c>
      <c r="H700" s="309">
        <f>VLOOKUP($B700,'Infant adult mortality'!$A$27:$I$128,3)</f>
        <v>5.3229999999999998E-4</v>
      </c>
      <c r="I700" s="309">
        <f t="shared" si="224"/>
        <v>0.14000000000000001</v>
      </c>
      <c r="J700" s="309">
        <f>VLOOKUP($B700,'Infant pick up smoking rates'!$A$19:$I$104,2)</f>
        <v>1.5201831243956284E-3</v>
      </c>
      <c r="K700" s="309">
        <f t="shared" si="225"/>
        <v>5.3971602874811975E-3</v>
      </c>
      <c r="L700" s="309">
        <f t="shared" si="226"/>
        <v>0.85255035658812317</v>
      </c>
      <c r="M700" s="309">
        <f>VLOOKUP($B700,'Infant adult mortality'!$A$27:$I$128,3)</f>
        <v>5.3229999999999998E-4</v>
      </c>
      <c r="N700" s="309">
        <f t="shared" si="227"/>
        <v>0.5714285714285714</v>
      </c>
      <c r="O700" s="309">
        <f>VLOOKUP($B700,'Infant pick up smoking rates'!$A$19:$I$104,2)</f>
        <v>1.5201831243956284E-3</v>
      </c>
      <c r="P700" s="309">
        <f t="shared" si="228"/>
        <v>3.562657529667391E-3</v>
      </c>
      <c r="Q700" s="309">
        <f t="shared" si="229"/>
        <v>0.42295628791736556</v>
      </c>
      <c r="R700" s="309">
        <f>VLOOKUP($B700,'Infant adult mortality'!$A$27:$I$128,3)</f>
        <v>5.3229999999999998E-4</v>
      </c>
      <c r="S700" s="309">
        <f t="shared" si="230"/>
        <v>8.6261668788331098E-3</v>
      </c>
      <c r="T700" s="309">
        <f>VLOOKUP($B700,'Infant pick up smoking rates'!$A$19:$I$104,2)</f>
        <v>1.5201831243956284E-3</v>
      </c>
      <c r="U700" s="309">
        <f t="shared" si="231"/>
        <v>3.562657529667391E-3</v>
      </c>
      <c r="V700" s="309">
        <f t="shared" si="232"/>
        <v>0.98575869246710379</v>
      </c>
      <c r="W700" s="309">
        <f>VLOOKUP($B700,'Infant adult mortality'!$A$27:$I$128,3)</f>
        <v>5.3229999999999998E-4</v>
      </c>
      <c r="X700" s="309">
        <f>VLOOKUP($B700,'Infant pick up smoking rates'!$A$19:$I$104,2)</f>
        <v>1.5201831243956284E-3</v>
      </c>
      <c r="Y700" s="309">
        <f t="shared" si="233"/>
        <v>0.99794751687560435</v>
      </c>
      <c r="Z700" s="309">
        <f>VLOOKUP($B700,'Infant adult mortality'!$A$27:$I$128,5)</f>
        <v>5.3229999999999998E-4</v>
      </c>
      <c r="AA700" s="309">
        <f t="shared" si="234"/>
        <v>0.25</v>
      </c>
      <c r="AB700" s="309">
        <f t="shared" si="235"/>
        <v>0.74946769999999996</v>
      </c>
      <c r="AC700" s="309">
        <f>VLOOKUP($B700,'Infant adult mortality'!$A$27:$I$128,5)</f>
        <v>5.3229999999999998E-4</v>
      </c>
      <c r="AD700" s="309">
        <f t="shared" si="236"/>
        <v>0.14000000000000001</v>
      </c>
      <c r="AE700" s="309">
        <f t="shared" si="237"/>
        <v>0.85946769999999995</v>
      </c>
      <c r="AF700" s="309">
        <f>VLOOKUP($B700,'Infant adult mortality'!$A$27:$I$128,4)</f>
        <v>5.3229999999999998E-4</v>
      </c>
      <c r="AG700" s="309">
        <f t="shared" si="238"/>
        <v>0.5714285714285714</v>
      </c>
      <c r="AH700" s="309">
        <f t="shared" si="239"/>
        <v>0.42803912857142862</v>
      </c>
      <c r="AI700" s="309">
        <f>VLOOKUP($B700,'Infant adult mortality'!$A$27:$I$128,4)</f>
        <v>5.3229999999999998E-4</v>
      </c>
      <c r="AJ700" s="309">
        <f t="shared" si="240"/>
        <v>8.6261668788331098E-3</v>
      </c>
      <c r="AK700" s="309">
        <f t="shared" si="241"/>
        <v>0.99084153312116685</v>
      </c>
      <c r="AL700" s="309"/>
      <c r="AM700" s="315">
        <f t="shared" si="278"/>
        <v>67.181319082731605</v>
      </c>
      <c r="AN700" s="316">
        <f t="shared" si="279"/>
        <v>18.461908676942819</v>
      </c>
      <c r="AO700" s="316">
        <f t="shared" si="280"/>
        <v>2.6300904755145869</v>
      </c>
      <c r="AP700" s="316">
        <f t="shared" si="281"/>
        <v>73.225514181886822</v>
      </c>
      <c r="AQ700" s="316">
        <f t="shared" si="282"/>
        <v>9.9678068022855975</v>
      </c>
      <c r="AR700" s="316">
        <f t="shared" si="283"/>
        <v>171.85690928354049</v>
      </c>
      <c r="AS700" s="316">
        <f t="shared" si="284"/>
        <v>43.537521016819738</v>
      </c>
      <c r="AT700" s="316">
        <f t="shared" si="285"/>
        <v>6.1773538273020563</v>
      </c>
      <c r="AU700" s="316">
        <f t="shared" si="286"/>
        <v>57.865899388963747</v>
      </c>
      <c r="AV700" s="316">
        <f t="shared" si="287"/>
        <v>59.095677264012096</v>
      </c>
      <c r="AW700" s="317">
        <f t="shared" si="242"/>
        <v>509.99999999999955</v>
      </c>
      <c r="AX700" s="309"/>
      <c r="AY700" s="308">
        <f>VLOOKUP($B700,'Infant adult mortality'!$A$134:$I$234,3)</f>
        <v>3.3179999999999999E-4</v>
      </c>
      <c r="AZ700" s="309">
        <f t="shared" si="243"/>
        <v>0.27</v>
      </c>
      <c r="BA700" s="309">
        <f ca="1">VLOOKUP($B700,'Infant pick up smoking rates'!$A$19:$I$104,7)</f>
        <v>3.9916955482353625E-3</v>
      </c>
      <c r="BB700" s="309">
        <f t="shared" si="244"/>
        <v>5.3971602874811975E-3</v>
      </c>
      <c r="BC700" s="309">
        <f t="shared" ca="1" si="245"/>
        <v>0.72027934416428352</v>
      </c>
      <c r="BD700" s="309">
        <f>VLOOKUP($B700,'Infant adult mortality'!$A$134:$I$234,3)</f>
        <v>3.3179999999999999E-4</v>
      </c>
      <c r="BE700" s="309">
        <f t="shared" si="246"/>
        <v>0.14000000000000001</v>
      </c>
      <c r="BF700" s="309">
        <f>VLOOKUP($B700,'Infant pick up smoking rates'!$A$19:$I$104,6)</f>
        <v>1.9288936901483743E-3</v>
      </c>
      <c r="BG700" s="309">
        <f t="shared" si="247"/>
        <v>5.3971602874811975E-3</v>
      </c>
      <c r="BH700" s="309">
        <f t="shared" si="248"/>
        <v>0.85234214602237046</v>
      </c>
      <c r="BI700" s="309">
        <f>VLOOKUP($B700,'Infant adult mortality'!$A$134:$I$234,3)</f>
        <v>3.3179999999999999E-4</v>
      </c>
      <c r="BJ700" s="309">
        <f t="shared" si="249"/>
        <v>0.5714285714285714</v>
      </c>
      <c r="BK700" s="309">
        <f>VLOOKUP($B700,'Infant pick up smoking rates'!$A$19:$I$104,6)</f>
        <v>1.9288936901483743E-3</v>
      </c>
      <c r="BL700" s="309">
        <f t="shared" si="250"/>
        <v>3.562657529667391E-3</v>
      </c>
      <c r="BM700" s="309">
        <f t="shared" si="251"/>
        <v>0.42274807735161279</v>
      </c>
      <c r="BN700" s="309">
        <f>VLOOKUP($B700,'Infant adult mortality'!$A$134:$I$234,3)</f>
        <v>3.3179999999999999E-4</v>
      </c>
      <c r="BO700" s="309">
        <f t="shared" si="252"/>
        <v>8.6261668788331098E-3</v>
      </c>
      <c r="BP700" s="309">
        <f>VLOOKUP($B700,'Infant pick up smoking rates'!$A$19:$I$104,6)</f>
        <v>1.9288936901483743E-3</v>
      </c>
      <c r="BQ700" s="309">
        <f t="shared" si="253"/>
        <v>3.562657529667391E-3</v>
      </c>
      <c r="BR700" s="309">
        <f t="shared" si="254"/>
        <v>0.98555048190135108</v>
      </c>
      <c r="BS700" s="309">
        <f>VLOOKUP($B700,'Infant adult mortality'!$A$134:$I$234,3)</f>
        <v>3.3179999999999999E-4</v>
      </c>
      <c r="BT700" s="309">
        <f>VLOOKUP($B700,'Infant pick up smoking rates'!$A$19:$I$104,6)</f>
        <v>1.9288936901483743E-3</v>
      </c>
      <c r="BU700" s="309">
        <f t="shared" si="255"/>
        <v>0.99773930630985164</v>
      </c>
      <c r="BV700" s="309">
        <f>VLOOKUP($B700,'Infant adult mortality'!$A$134:$I$234,5)</f>
        <v>3.3179999999999999E-4</v>
      </c>
      <c r="BW700" s="309">
        <f t="shared" si="256"/>
        <v>0.27</v>
      </c>
      <c r="BX700" s="309">
        <f t="shared" si="257"/>
        <v>0.72966819999999999</v>
      </c>
      <c r="BY700" s="309">
        <f>VLOOKUP($B700,'Infant adult mortality'!$A$134:$I$234,5)</f>
        <v>3.3179999999999999E-4</v>
      </c>
      <c r="BZ700" s="309">
        <f t="shared" si="258"/>
        <v>0.14000000000000001</v>
      </c>
      <c r="CA700" s="309">
        <f t="shared" si="259"/>
        <v>0.85966819999999999</v>
      </c>
      <c r="CB700" s="309">
        <f>VLOOKUP($B700,'Infant adult mortality'!$A$134:$I$234,4)</f>
        <v>3.3179999999999999E-4</v>
      </c>
      <c r="CC700" s="309">
        <f t="shared" si="260"/>
        <v>0.5714285714285714</v>
      </c>
      <c r="CD700" s="309">
        <f t="shared" si="261"/>
        <v>0.42823962857142861</v>
      </c>
      <c r="CE700" s="309">
        <f>VLOOKUP($B700,'Infant adult mortality'!$A$134:$I$234,4)</f>
        <v>3.3179999999999999E-4</v>
      </c>
      <c r="CF700" s="309">
        <f t="shared" si="262"/>
        <v>8.6261668788331098E-3</v>
      </c>
      <c r="CG700" s="309">
        <f t="shared" si="263"/>
        <v>0.9910420331211669</v>
      </c>
      <c r="CH700" s="309"/>
      <c r="CI700" s="315">
        <f t="shared" ca="1" si="288"/>
        <v>91.308286869741991</v>
      </c>
      <c r="CJ700" s="316">
        <f t="shared" ca="1" si="289"/>
        <v>25.149241037883954</v>
      </c>
      <c r="CK700" s="316">
        <f t="shared" ca="1" si="290"/>
        <v>3.5910386730461399</v>
      </c>
      <c r="CL700" s="316">
        <f t="shared" ca="1" si="291"/>
        <v>94.306305497584745</v>
      </c>
      <c r="CM700" s="316">
        <f t="shared" ca="1" si="292"/>
        <v>13.180318704485995</v>
      </c>
      <c r="CN700" s="316">
        <f t="shared" ca="1" si="293"/>
        <v>125.00322825973772</v>
      </c>
      <c r="CO700" s="316">
        <f t="shared" ca="1" si="294"/>
        <v>34.133174881123395</v>
      </c>
      <c r="CP700" s="316">
        <f t="shared" ca="1" si="295"/>
        <v>4.8334855031306114</v>
      </c>
      <c r="CQ700" s="316">
        <f t="shared" ca="1" si="296"/>
        <v>43.335137206630883</v>
      </c>
      <c r="CR700" s="316">
        <f t="shared" ca="1" si="297"/>
        <v>55.159783366634606</v>
      </c>
      <c r="CS700" s="317">
        <f t="shared" ca="1" si="264"/>
        <v>490</v>
      </c>
      <c r="CT700" s="309"/>
      <c r="CU700" s="309">
        <f t="shared" ca="1" si="265"/>
        <v>999.99999999999955</v>
      </c>
      <c r="CV700" s="309" t="str">
        <f t="shared" ca="1" si="216"/>
        <v>OKAY</v>
      </c>
      <c r="CW700" s="309"/>
      <c r="CX700" s="315">
        <f>(SUM($AR700:$AS700))-((SUM($AR700:$AS700)*VLOOKUP($B700,Lifetime_morbidity_array!$A$30:$Y$48,4))+(SUM($AR700:$AS700)*VLOOKUP($B700,Lifetime_morbidity_array!$A$30:$Y$48,7))+(SUM($AR700:$AS700)*VLOOKUP($B700,Lifetime_morbidity_array!$A$30:$Y$48,10))+(SUM($AR700:$AS700)*VLOOKUP($B700,Lifetime_morbidity_array!$A$30:$Y$48,13)))</f>
        <v>214.85193502928513</v>
      </c>
      <c r="CY700" s="316">
        <f>(SUM($AT700:$AU700))-((SUM($AT700:$AU700)*(VLOOKUP($B700,Lifetime_morbidity_array!$A$30:$Y$48,3)))+(SUM($AT700:$AU700)*(VLOOKUP($B700,Lifetime_morbidity_array!$A$30:$Y$48,6)))+(SUM($AT700:$AU700)*(VLOOKUP($B700,Lifetime_morbidity_array!$A$30:$Y$48,9)))+(SUM($AT700:$AU700)*(VLOOKUP($B700,Lifetime_morbidity_array!$A$30:$Y$48,12))))</f>
        <v>63.8819530286721</v>
      </c>
      <c r="CZ700" s="316">
        <f>(SUM($AM700:$AQ700))-((SUM($AM700:$AQ700)*VLOOKUP($B700,Lifetime_morbidity_array!$A$30:$Y$48,2))+(SUM($AM700:$AQ700)*VLOOKUP($B700,Lifetime_morbidity_array!$A$30:$Y$48,5))+(SUM($AM700:$AQ700)*VLOOKUP($B700,Lifetime_morbidity_array!$A$30:$Y$48,8))+(SUM($AM700:$AQ700)*VLOOKUP($B700,Lifetime_morbidity_array!$A$30:$Y$48,11)))</f>
        <v>171.03478106595455</v>
      </c>
      <c r="DA700" s="316">
        <f>(SUM($AM700:$AQ700)*VLOOKUP($B700,Lifetime_morbidity_array!$A$30:$Y$48,2))+(SUM($AR700:$AS700)*VLOOKUP($B700,Lifetime_morbidity_array!$A$30:$Y$48,4))+(SUM($AT700:$AU700)*(VLOOKUP($B700,Lifetime_morbidity_array!$A$30:$Y$48,3)))</f>
        <v>0.9014406892637894</v>
      </c>
      <c r="DB700" s="316">
        <f>(SUM($AM700:$AQ700)*VLOOKUP($B700,Lifetime_morbidity_array!$A$30:$Y$48,5))+(SUM($AR700:$AS700)*VLOOKUP($B700,Lifetime_morbidity_array!$A$30:$Y$48,7))+(SUM($AT700:$AU700)*(VLOOKUP($B700,Lifetime_morbidity_array!$A$30:$Y$48,6)))</f>
        <v>0.22520139174492282</v>
      </c>
      <c r="DC700" s="316">
        <f>(SUM($AM700:$AQ700)*VLOOKUP($B700,Lifetime_morbidity_array!$A$30:$Y$48,8))+(SUM($AR700:$AS700)*VLOOKUP($B700,Lifetime_morbidity_array!$A$30:$Y$48,10))+(SUM($AT700:$AU700)*(VLOOKUP($B700,Lifetime_morbidity_array!$A$30:$Y$48,9)))</f>
        <v>9.0115310669908431E-3</v>
      </c>
      <c r="DD700" s="317">
        <f>(SUM($AM700:$AQ700)*VLOOKUP($B700,Lifetime_morbidity_array!$A$30:$Y$48,11))+(SUM($AR700:$AS700)*VLOOKUP($B700,Lifetime_morbidity_array!$A$30:$Y$48,13))+(SUM($AT700:$AU700)*(VLOOKUP($B700,Lifetime_morbidity_array!$A$30:$Y$48,12)))</f>
        <v>0</v>
      </c>
      <c r="DE700" s="309"/>
      <c r="DF700" s="315">
        <f ca="1">(SUM($CN700:$CO700))-((SUM($CN700:$CO700)*VLOOKUP($B700,Lifetime_morbidity_array!$A$6:$Y$24,4))+(SUM($CN700:$CO700)*VLOOKUP($B700,Lifetime_morbidity_array!$A$6:$Y$24,7))+(SUM($CN700:$CO700)*VLOOKUP($B700,Lifetime_morbidity_array!$A$6:$Y$24,10))+(SUM($CN700:$CO700)*VLOOKUP($B700,Lifetime_morbidity_array!$A$6:$Y$24,13)))</f>
        <v>158.75707497548248</v>
      </c>
      <c r="DG700" s="316">
        <f ca="1">(SUM($CP700:$CQ700))-(((SUM($CP700:$CQ700)*VLOOKUP($B700,Lifetime_morbidity_array!$A$6:$Y$24,3))+(SUM($CP700:$CQ700)*VLOOKUP($B700,Lifetime_morbidity_array!$A$6:$Y$24,6))+(SUM($CP700:$CQ700)*VLOOKUP($B700,Lifetime_morbidity_array!$A$6:$Y$24,9))+(SUM($CP700:$CQ700)*VLOOKUP($B700,Lifetime_morbidity_array!$A$6:$Y$24,12))))</f>
        <v>48.0538047616322</v>
      </c>
      <c r="DH700" s="316">
        <f ca="1">(SUM($CI700:$CM700))-((SUM($CI700:$CM700)*VLOOKUP($B700,Lifetime_morbidity_array!$A$6:$Y$24,2))+(SUM($CI700:$CM700)*VLOOKUP($B700,Lifetime_morbidity_array!$A$6:$Y$24,5))+(SUM($CI700:$CM700)*VLOOKUP($B700,Lifetime_morbidity_array!$A$6:$Y$24,8))+(SUM($CI700:$CM700)*VLOOKUP($B700,Lifetime_morbidity_array!$A$6:$Y$24,11)))</f>
        <v>226.99282269615051</v>
      </c>
      <c r="DI700" s="316">
        <f ca="1">(SUM($CI700:$CM700)*VLOOKUP($B700,Lifetime_morbidity_array!$A$6:$Y$24,2))+(SUM($CN700:$CO700)*VLOOKUP($B700,Lifetime_morbidity_array!$A$6:$Y$24,4))+(SUM($CP700:$CQ700)*VLOOKUP($B700,Lifetime_morbidity_array!$A$6:$Y$24,3))</f>
        <v>0.43337159129247232</v>
      </c>
      <c r="DJ700" s="316">
        <f ca="1">(SUM($CI700:$CM700)*VLOOKUP($B700,Lifetime_morbidity_array!$A$6:$Y$24,5))+(SUM($CN700:$CO700)*VLOOKUP($B700,Lifetime_morbidity_array!$A$6:$Y$24,7))+(SUM($CP700:$CQ700)*VLOOKUP($B700,Lifetime_morbidity_array!$A$6:$Y$24,6))</f>
        <v>0.15886782383419903</v>
      </c>
      <c r="DK700" s="316">
        <f ca="1">(SUM($CI700:$CM700)*VLOOKUP($B700,Lifetime_morbidity_array!$A$6:$Y$24,8))+(SUM($CN700:$CO700)*VLOOKUP($B700,Lifetime_morbidity_array!$A$6:$Y$24,10))+(SUM($CP700:$CQ700)*VLOOKUP($B700,Lifetime_morbidity_array!$A$6:$Y$24,9))</f>
        <v>8.6935596583885485E-3</v>
      </c>
      <c r="DL700" s="317">
        <f ca="1">(SUM($CI700:$CM700)*VLOOKUP($B700,Lifetime_morbidity_array!$A$6:$Y$24,11))+(SUM($CN700:$CO700)*VLOOKUP($B700,Lifetime_morbidity_array!$A$6:$Y$24,13))+(SUM($CP700:$CQ700)*VLOOKUP($B700,Lifetime_morbidity_array!$A$6:$Y$24,12))</f>
        <v>0.43558122531518356</v>
      </c>
      <c r="DM700" s="309"/>
      <c r="DN700" s="308">
        <f t="shared" si="266"/>
        <v>34</v>
      </c>
      <c r="DO700" s="309">
        <f t="shared" ca="1" si="267"/>
        <v>275.00246750113513</v>
      </c>
      <c r="DP700" s="310">
        <f t="shared" ca="1" si="298"/>
        <v>17526.039847447868</v>
      </c>
      <c r="DQ700" s="309"/>
      <c r="DR700" s="308">
        <f t="shared" si="268"/>
        <v>34</v>
      </c>
      <c r="DS700" s="309">
        <f ca="1">((VLOOKUP($B700,'Mahawesran Tariff'!$A$21:$M$120,4)*'Experimental (DET)'!$CX700)+(VLOOKUP($B700,'Mahawesran Tariff'!$A$21:$M$120,3)*'Experimental (DET)'!$CY700)+(VLOOKUP($B700,'Mahawesran Tariff'!$A$21:$M$120,2)*'Experimental (DET)'!$CZ700)+(VLOOKUP($B700,'Mahawesran Tariff'!$A$21:$M$120,7)*'Experimental (DET)'!$DF700)+(VLOOKUP($B700,'Mahawesran Tariff'!$A$21:$M$120,6)*'Experimental (DET)'!$DG700)+(VLOOKUP($B700,'Mahawesran Tariff'!$A$21:$M$120,5)*'Experimental (DET)'!$DH700)+(DET_UTIL_chd*('Experimental (DET)'!$DA700+'Experimental (DET)'!$DI700))+(DET_UTIL_copd*('Experimental (DET)'!$DB700+'Experimental (DET)'!$DJ700))+(DET_UTIL_lc*('Experimental (DET)'!$DC700+'Experimental (DET)'!$DK700))+(DET_UTIL_stroke*('Experimental (DET)'!$DD700+'Experimental (DET)'!$DL700)))/((1+Discount_rate_QALYs)^$A700)</f>
        <v>274.11800383895803</v>
      </c>
      <c r="DT700" s="310">
        <f t="shared" ca="1" si="299"/>
        <v>17510.017978922577</v>
      </c>
      <c r="DU700" s="309"/>
      <c r="DV700" s="308">
        <f t="shared" si="269"/>
        <v>34</v>
      </c>
      <c r="DW700" s="318">
        <f t="shared" ca="1" si="270"/>
        <v>3853.1199732099099</v>
      </c>
      <c r="DX700" s="319">
        <f t="shared" ca="1" si="300"/>
        <v>5576928.6629056381</v>
      </c>
      <c r="DZ700" s="95">
        <f t="shared" si="271"/>
        <v>34</v>
      </c>
      <c r="EA700" s="268">
        <f t="shared" ca="1" si="217"/>
        <v>0.88574453936935282</v>
      </c>
      <c r="EB700" s="268">
        <f t="shared" ca="1" si="218"/>
        <v>0.11425546063064669</v>
      </c>
      <c r="EC700" s="268">
        <f t="shared" ca="1" si="219"/>
        <v>2.1721678121759463E-3</v>
      </c>
      <c r="ED700" s="290">
        <f t="shared" ca="1" si="220"/>
        <v>0.48674270936724862</v>
      </c>
      <c r="EF700" s="95">
        <f t="shared" si="272"/>
        <v>34</v>
      </c>
      <c r="EG700" s="339">
        <f t="shared" ca="1" si="273"/>
        <v>3853.1199732099099</v>
      </c>
      <c r="EH700" s="341">
        <f t="shared" ca="1" si="301"/>
        <v>8678944.3868691847</v>
      </c>
      <c r="EJ700" s="308">
        <f t="shared" si="274"/>
        <v>34</v>
      </c>
      <c r="EK700" s="318">
        <f t="shared" ca="1" si="275"/>
        <v>3853.1199732099099</v>
      </c>
      <c r="EL700" s="319">
        <f t="shared" ca="1" si="302"/>
        <v>5573888.6629056372</v>
      </c>
      <c r="EN700" s="95">
        <f t="shared" si="276"/>
        <v>34</v>
      </c>
      <c r="EO700" s="339">
        <f t="shared" ca="1" si="277"/>
        <v>3853.1199732099099</v>
      </c>
      <c r="EP700" s="341">
        <f t="shared" ca="1" si="303"/>
        <v>8678944.3868691847</v>
      </c>
    </row>
    <row r="701" spans="1:146" s="266" customFormat="1" x14ac:dyDescent="0.25">
      <c r="A701" s="313">
        <v>35</v>
      </c>
      <c r="B701" s="314">
        <v>35</v>
      </c>
      <c r="C701" s="308">
        <f>VLOOKUP($B701,'Infant adult mortality'!$A$27:$I$128,3)</f>
        <v>4.717718940936863E-4</v>
      </c>
      <c r="D701" s="309">
        <f t="shared" si="221"/>
        <v>0.27</v>
      </c>
      <c r="E701" s="309">
        <f>VLOOKUP($B701,'Infant pick up smoking rates'!$A$19:$I$104,3)</f>
        <v>1.5201831243956284E-3</v>
      </c>
      <c r="F701" s="309">
        <f t="shared" si="222"/>
        <v>5.8190732074210267E-3</v>
      </c>
      <c r="G701" s="309">
        <f t="shared" si="223"/>
        <v>0.72218897177408969</v>
      </c>
      <c r="H701" s="309">
        <f>VLOOKUP($B701,'Infant adult mortality'!$A$27:$I$128,3)</f>
        <v>4.717718940936863E-4</v>
      </c>
      <c r="I701" s="309">
        <f t="shared" si="224"/>
        <v>0.14000000000000001</v>
      </c>
      <c r="J701" s="309">
        <f>VLOOKUP($B701,'Infant pick up smoking rates'!$A$19:$I$104,2)</f>
        <v>1.5201831243956284E-3</v>
      </c>
      <c r="K701" s="309">
        <f t="shared" si="225"/>
        <v>5.8190732074210267E-3</v>
      </c>
      <c r="L701" s="309">
        <f t="shared" si="226"/>
        <v>0.8521889717740897</v>
      </c>
      <c r="M701" s="309">
        <f>VLOOKUP($B701,'Infant adult mortality'!$A$27:$I$128,3)</f>
        <v>4.717718940936863E-4</v>
      </c>
      <c r="N701" s="309">
        <f t="shared" si="227"/>
        <v>0.5714285714285714</v>
      </c>
      <c r="O701" s="309">
        <f>VLOOKUP($B701,'Infant pick up smoking rates'!$A$19:$I$104,2)</f>
        <v>1.5201831243956284E-3</v>
      </c>
      <c r="P701" s="309">
        <f t="shared" si="228"/>
        <v>3.8411616246030421E-3</v>
      </c>
      <c r="Q701" s="309">
        <f t="shared" si="229"/>
        <v>0.42273831192833627</v>
      </c>
      <c r="R701" s="309">
        <f>VLOOKUP($B701,'Infant adult mortality'!$A$27:$I$128,3)</f>
        <v>4.717718940936863E-4</v>
      </c>
      <c r="S701" s="309">
        <f t="shared" si="230"/>
        <v>8.6261668788331098E-3</v>
      </c>
      <c r="T701" s="309">
        <f>VLOOKUP($B701,'Infant pick up smoking rates'!$A$19:$I$104,2)</f>
        <v>1.5201831243956284E-3</v>
      </c>
      <c r="U701" s="309">
        <f t="shared" si="231"/>
        <v>3.8411616246030421E-3</v>
      </c>
      <c r="V701" s="309">
        <f t="shared" si="232"/>
        <v>0.98554071647807462</v>
      </c>
      <c r="W701" s="309">
        <f>VLOOKUP($B701,'Infant adult mortality'!$A$27:$I$128,3)</f>
        <v>4.717718940936863E-4</v>
      </c>
      <c r="X701" s="309">
        <f>VLOOKUP($B701,'Infant pick up smoking rates'!$A$19:$I$104,2)</f>
        <v>1.5201831243956284E-3</v>
      </c>
      <c r="Y701" s="309">
        <f t="shared" si="233"/>
        <v>0.99800804498151074</v>
      </c>
      <c r="Z701" s="309">
        <f>VLOOKUP($B701,'Infant adult mortality'!$A$27:$I$128,5)</f>
        <v>8.2560081466395089E-4</v>
      </c>
      <c r="AA701" s="309">
        <f t="shared" si="234"/>
        <v>0.25</v>
      </c>
      <c r="AB701" s="309">
        <f t="shared" si="235"/>
        <v>0.74917439918533602</v>
      </c>
      <c r="AC701" s="309">
        <f>VLOOKUP($B701,'Infant adult mortality'!$A$27:$I$128,5)</f>
        <v>8.2560081466395089E-4</v>
      </c>
      <c r="AD701" s="309">
        <f t="shared" si="236"/>
        <v>0.14000000000000001</v>
      </c>
      <c r="AE701" s="309">
        <f t="shared" si="237"/>
        <v>0.859174399185336</v>
      </c>
      <c r="AF701" s="309">
        <f>VLOOKUP($B701,'Infant adult mortality'!$A$27:$I$128,4)</f>
        <v>5.897148676171079E-4</v>
      </c>
      <c r="AG701" s="309">
        <f t="shared" si="238"/>
        <v>0.5714285714285714</v>
      </c>
      <c r="AH701" s="309">
        <f t="shared" si="239"/>
        <v>0.42798171370381149</v>
      </c>
      <c r="AI701" s="309">
        <f>VLOOKUP($B701,'Infant adult mortality'!$A$27:$I$128,4)</f>
        <v>5.897148676171079E-4</v>
      </c>
      <c r="AJ701" s="309">
        <f t="shared" si="240"/>
        <v>8.6261668788331098E-3</v>
      </c>
      <c r="AK701" s="309">
        <f t="shared" si="241"/>
        <v>0.99078411825354984</v>
      </c>
      <c r="AL701" s="309"/>
      <c r="AM701" s="315">
        <f t="shared" si="278"/>
        <v>65.994138236135157</v>
      </c>
      <c r="AN701" s="316">
        <f t="shared" si="279"/>
        <v>18.138956152337535</v>
      </c>
      <c r="AO701" s="316">
        <f t="shared" si="280"/>
        <v>2.5846672147719949</v>
      </c>
      <c r="AP701" s="316">
        <f t="shared" si="281"/>
        <v>73.669634554443348</v>
      </c>
      <c r="AQ701" s="316">
        <f t="shared" si="282"/>
        <v>10.737689229176903</v>
      </c>
      <c r="AR701" s="316">
        <f t="shared" si="283"/>
        <v>169.56073629321489</v>
      </c>
      <c r="AS701" s="316">
        <f t="shared" si="284"/>
        <v>42.964227320885122</v>
      </c>
      <c r="AT701" s="316">
        <f t="shared" si="285"/>
        <v>6.0952529423547643</v>
      </c>
      <c r="AU701" s="316">
        <f t="shared" si="286"/>
        <v>60.862530575787112</v>
      </c>
      <c r="AV701" s="316">
        <f t="shared" si="287"/>
        <v>59.392167480892752</v>
      </c>
      <c r="AW701" s="317">
        <f t="shared" si="242"/>
        <v>509.99999999999955</v>
      </c>
      <c r="AX701" s="309"/>
      <c r="AY701" s="308">
        <f>VLOOKUP($B701,'Infant adult mortality'!$A$134:$I$234,3)</f>
        <v>2.9287169042769857E-4</v>
      </c>
      <c r="AZ701" s="309">
        <f t="shared" si="243"/>
        <v>0.27</v>
      </c>
      <c r="BA701" s="309">
        <f ca="1">VLOOKUP($B701,'Infant pick up smoking rates'!$A$19:$I$104,7)</f>
        <v>3.9916955482353625E-3</v>
      </c>
      <c r="BB701" s="309">
        <f t="shared" si="244"/>
        <v>5.8190732074210267E-3</v>
      </c>
      <c r="BC701" s="309">
        <f t="shared" ca="1" si="245"/>
        <v>0.71989635955391595</v>
      </c>
      <c r="BD701" s="309">
        <f>VLOOKUP($B701,'Infant adult mortality'!$A$134:$I$234,3)</f>
        <v>2.9287169042769857E-4</v>
      </c>
      <c r="BE701" s="309">
        <f t="shared" si="246"/>
        <v>0.14000000000000001</v>
      </c>
      <c r="BF701" s="309">
        <f>VLOOKUP($B701,'Infant pick up smoking rates'!$A$19:$I$104,6)</f>
        <v>1.9288936901483743E-3</v>
      </c>
      <c r="BG701" s="309">
        <f t="shared" si="247"/>
        <v>5.8190732074210267E-3</v>
      </c>
      <c r="BH701" s="309">
        <f t="shared" si="248"/>
        <v>0.8519591614120029</v>
      </c>
      <c r="BI701" s="309">
        <f>VLOOKUP($B701,'Infant adult mortality'!$A$134:$I$234,3)</f>
        <v>2.9287169042769857E-4</v>
      </c>
      <c r="BJ701" s="309">
        <f t="shared" si="249"/>
        <v>0.5714285714285714</v>
      </c>
      <c r="BK701" s="309">
        <f>VLOOKUP($B701,'Infant pick up smoking rates'!$A$19:$I$104,6)</f>
        <v>1.9288936901483743E-3</v>
      </c>
      <c r="BL701" s="309">
        <f t="shared" si="250"/>
        <v>3.8411616246030421E-3</v>
      </c>
      <c r="BM701" s="309">
        <f t="shared" si="251"/>
        <v>0.42250850156624953</v>
      </c>
      <c r="BN701" s="309">
        <f>VLOOKUP($B701,'Infant adult mortality'!$A$134:$I$234,3)</f>
        <v>2.9287169042769857E-4</v>
      </c>
      <c r="BO701" s="309">
        <f t="shared" si="252"/>
        <v>8.6261668788331098E-3</v>
      </c>
      <c r="BP701" s="309">
        <f>VLOOKUP($B701,'Infant pick up smoking rates'!$A$19:$I$104,6)</f>
        <v>1.9288936901483743E-3</v>
      </c>
      <c r="BQ701" s="309">
        <f t="shared" si="253"/>
        <v>3.8411616246030421E-3</v>
      </c>
      <c r="BR701" s="309">
        <f t="shared" si="254"/>
        <v>0.98531090611598782</v>
      </c>
      <c r="BS701" s="309">
        <f>VLOOKUP($B701,'Infant adult mortality'!$A$134:$I$234,3)</f>
        <v>2.9287169042769857E-4</v>
      </c>
      <c r="BT701" s="309">
        <f>VLOOKUP($B701,'Infant pick up smoking rates'!$A$19:$I$104,6)</f>
        <v>1.9288936901483743E-3</v>
      </c>
      <c r="BU701" s="309">
        <f t="shared" si="255"/>
        <v>0.99777823461942394</v>
      </c>
      <c r="BV701" s="309">
        <f>VLOOKUP($B701,'Infant adult mortality'!$A$134:$I$234,5)</f>
        <v>5.1252545824847248E-4</v>
      </c>
      <c r="BW701" s="309">
        <f t="shared" si="256"/>
        <v>0.27</v>
      </c>
      <c r="BX701" s="309">
        <f t="shared" si="257"/>
        <v>0.72948747454175156</v>
      </c>
      <c r="BY701" s="309">
        <f>VLOOKUP($B701,'Infant adult mortality'!$A$134:$I$234,5)</f>
        <v>5.1252545824847248E-4</v>
      </c>
      <c r="BZ701" s="309">
        <f t="shared" si="258"/>
        <v>0.14000000000000001</v>
      </c>
      <c r="CA701" s="309">
        <f t="shared" si="259"/>
        <v>0.85948747454175156</v>
      </c>
      <c r="CB701" s="309">
        <f>VLOOKUP($B701,'Infant adult mortality'!$A$134:$I$234,4)</f>
        <v>3.6608961303462323E-4</v>
      </c>
      <c r="CC701" s="309">
        <f t="shared" si="260"/>
        <v>0.5714285714285714</v>
      </c>
      <c r="CD701" s="309">
        <f t="shared" si="261"/>
        <v>0.42820533895839397</v>
      </c>
      <c r="CE701" s="309">
        <f>VLOOKUP($B701,'Infant adult mortality'!$A$134:$I$234,4)</f>
        <v>3.6608961303462323E-4</v>
      </c>
      <c r="CF701" s="309">
        <f t="shared" si="262"/>
        <v>8.6261668788331098E-3</v>
      </c>
      <c r="CG701" s="309">
        <f t="shared" si="263"/>
        <v>0.99100774350813225</v>
      </c>
      <c r="CH701" s="309"/>
      <c r="CI701" s="315">
        <f t="shared" ca="1" si="288"/>
        <v>89.489375917179387</v>
      </c>
      <c r="CJ701" s="316">
        <f t="shared" ca="1" si="289"/>
        <v>24.653237454830339</v>
      </c>
      <c r="CK701" s="316">
        <f t="shared" ca="1" si="290"/>
        <v>3.5208937453037539</v>
      </c>
      <c r="CL701" s="316">
        <f t="shared" ca="1" si="291"/>
        <v>94.973053421159904</v>
      </c>
      <c r="CM701" s="316">
        <f t="shared" ca="1" si="292"/>
        <v>14.204749530711945</v>
      </c>
      <c r="CN701" s="316">
        <f t="shared" ca="1" si="293"/>
        <v>123.59610809051213</v>
      </c>
      <c r="CO701" s="316">
        <f t="shared" ca="1" si="294"/>
        <v>33.75087163012919</v>
      </c>
      <c r="CP701" s="316">
        <f t="shared" ca="1" si="295"/>
        <v>4.7786444833572759</v>
      </c>
      <c r="CQ701" s="316">
        <f t="shared" ca="1" si="296"/>
        <v>45.707448253833206</v>
      </c>
      <c r="CR701" s="316">
        <f t="shared" ca="1" si="297"/>
        <v>55.325617472982948</v>
      </c>
      <c r="CS701" s="317">
        <f t="shared" ca="1" si="264"/>
        <v>490.00000000000011</v>
      </c>
      <c r="CT701" s="309"/>
      <c r="CU701" s="309">
        <f t="shared" ca="1" si="265"/>
        <v>999.99999999999966</v>
      </c>
      <c r="CV701" s="309" t="str">
        <f t="shared" ca="1" si="216"/>
        <v>OKAY</v>
      </c>
      <c r="CW701" s="309"/>
      <c r="CX701" s="315">
        <f>(SUM($AR701:$AS701))-((SUM($AR701:$AS701)*VLOOKUP($B701,Lifetime_morbidity_array!$A$30:$Y$48,4))+(SUM($AR701:$AS701)*VLOOKUP($B701,Lifetime_morbidity_array!$A$30:$Y$48,7))+(SUM($AR701:$AS701)*VLOOKUP($B701,Lifetime_morbidity_array!$A$30:$Y$48,10))+(SUM($AR701:$AS701)*VLOOKUP($B701,Lifetime_morbidity_array!$A$30:$Y$48,13)))</f>
        <v>207.49779407696775</v>
      </c>
      <c r="CY701" s="316">
        <f>(SUM($AT701:$AU701))-((SUM($AT701:$AU701)*(VLOOKUP($B701,Lifetime_morbidity_array!$A$30:$Y$48,3)))+(SUM($AT701:$AU701)*(VLOOKUP($B701,Lifetime_morbidity_array!$A$30:$Y$48,6)))+(SUM($AT701:$AU701)*(VLOOKUP($B701,Lifetime_morbidity_array!$A$30:$Y$48,9)))+(SUM($AT701:$AU701)*(VLOOKUP($B701,Lifetime_morbidity_array!$A$30:$Y$48,12))))</f>
        <v>66.223732800870408</v>
      </c>
      <c r="CZ701" s="316">
        <f>(SUM($AM701:$AQ701))-((SUM($AM701:$AQ701)*VLOOKUP($B701,Lifetime_morbidity_array!$A$30:$Y$48,2))+(SUM($AM701:$AQ701)*VLOOKUP($B701,Lifetime_morbidity_array!$A$30:$Y$48,5))+(SUM($AM701:$AQ701)*VLOOKUP($B701,Lifetime_morbidity_array!$A$30:$Y$48,8))+(SUM($AM701:$AQ701)*VLOOKUP($B701,Lifetime_morbidity_array!$A$30:$Y$48,11)))</f>
        <v>169.85002435560025</v>
      </c>
      <c r="DA701" s="316">
        <f>(SUM($AM701:$AQ701)*VLOOKUP($B701,Lifetime_morbidity_array!$A$30:$Y$48,2))+(SUM($AR701:$AS701)*VLOOKUP($B701,Lifetime_morbidity_array!$A$30:$Y$48,4))+(SUM($AT701:$AU701)*(VLOOKUP($B701,Lifetime_morbidity_array!$A$30:$Y$48,3)))</f>
        <v>3.6409001764245548</v>
      </c>
      <c r="DB701" s="316">
        <f>(SUM($AM701:$AQ701)*VLOOKUP($B701,Lifetime_morbidity_array!$A$30:$Y$48,5))+(SUM($AR701:$AS701)*VLOOKUP($B701,Lifetime_morbidity_array!$A$30:$Y$48,7))+(SUM($AT701:$AU701)*(VLOOKUP($B701,Lifetime_morbidity_array!$A$30:$Y$48,6)))</f>
        <v>0.55413243276827973</v>
      </c>
      <c r="DC701" s="316">
        <f>(SUM($AM701:$AQ701)*VLOOKUP($B701,Lifetime_morbidity_array!$A$30:$Y$48,8))+(SUM($AR701:$AS701)*VLOOKUP($B701,Lifetime_morbidity_array!$A$30:$Y$48,10))+(SUM($AT701:$AU701)*(VLOOKUP($B701,Lifetime_morbidity_array!$A$30:$Y$48,9)))</f>
        <v>1.4690661683999708E-2</v>
      </c>
      <c r="DD701" s="317">
        <f>(SUM($AM701:$AQ701)*VLOOKUP($B701,Lifetime_morbidity_array!$A$30:$Y$48,11))+(SUM($AR701:$AS701)*VLOOKUP($B701,Lifetime_morbidity_array!$A$30:$Y$48,13))+(SUM($AT701:$AU701)*(VLOOKUP($B701,Lifetime_morbidity_array!$A$30:$Y$48,12)))</f>
        <v>2.8265580147916078</v>
      </c>
      <c r="DE701" s="309"/>
      <c r="DF701" s="315">
        <f ca="1">(SUM($CN701:$CO701))-((SUM($CN701:$CO701)*VLOOKUP($B701,Lifetime_morbidity_array!$A$6:$Y$24,4))+(SUM($CN701:$CO701)*VLOOKUP($B701,Lifetime_morbidity_array!$A$6:$Y$24,7))+(SUM($CN701:$CO701)*VLOOKUP($B701,Lifetime_morbidity_array!$A$6:$Y$24,10))+(SUM($CN701:$CO701)*VLOOKUP($B701,Lifetime_morbidity_array!$A$6:$Y$24,13)))</f>
        <v>154.5895105244457</v>
      </c>
      <c r="DG701" s="316">
        <f ca="1">(SUM($CP701:$CQ701))-(((SUM($CP701:$CQ701)*VLOOKUP($B701,Lifetime_morbidity_array!$A$6:$Y$24,3))+(SUM($CP701:$CQ701)*VLOOKUP($B701,Lifetime_morbidity_array!$A$6:$Y$24,6))+(SUM($CP701:$CQ701)*VLOOKUP($B701,Lifetime_morbidity_array!$A$6:$Y$24,9))+(SUM($CP701:$CQ701)*VLOOKUP($B701,Lifetime_morbidity_array!$A$6:$Y$24,12))))</f>
        <v>50.125280399017306</v>
      </c>
      <c r="DH701" s="316">
        <f ca="1">(SUM($CI701:$CM701))-((SUM($CI701:$CM701)*VLOOKUP($B701,Lifetime_morbidity_array!$A$6:$Y$24,2))+(SUM($CI701:$CM701)*VLOOKUP($B701,Lifetime_morbidity_array!$A$6:$Y$24,5))+(SUM($CI701:$CM701)*VLOOKUP($B701,Lifetime_morbidity_array!$A$6:$Y$24,8))+(SUM($CI701:$CM701)*VLOOKUP($B701,Lifetime_morbidity_array!$A$6:$Y$24,11)))</f>
        <v>225.70991928885377</v>
      </c>
      <c r="DI701" s="316">
        <f ca="1">(SUM($CI701:$CM701)*VLOOKUP($B701,Lifetime_morbidity_array!$A$6:$Y$24,2))+(SUM($CN701:$CO701)*VLOOKUP($B701,Lifetime_morbidity_array!$A$6:$Y$24,4))+(SUM($CP701:$CQ701)*VLOOKUP($B701,Lifetime_morbidity_array!$A$6:$Y$24,3))</f>
        <v>1.6660053502603016</v>
      </c>
      <c r="DJ701" s="316">
        <f ca="1">(SUM($CI701:$CM701)*VLOOKUP($B701,Lifetime_morbidity_array!$A$6:$Y$24,5))+(SUM($CN701:$CO701)*VLOOKUP($B701,Lifetime_morbidity_array!$A$6:$Y$24,7))+(SUM($CP701:$CQ701)*VLOOKUP($B701,Lifetime_morbidity_array!$A$6:$Y$24,6))</f>
        <v>0.51033553650781016</v>
      </c>
      <c r="DK701" s="316">
        <f ca="1">(SUM($CI701:$CM701)*VLOOKUP($B701,Lifetime_morbidity_array!$A$6:$Y$24,8))+(SUM($CN701:$CO701)*VLOOKUP($B701,Lifetime_morbidity_array!$A$6:$Y$24,10))+(SUM($CP701:$CQ701)*VLOOKUP($B701,Lifetime_morbidity_array!$A$6:$Y$24,9))</f>
        <v>1.3145423889973718E-2</v>
      </c>
      <c r="DL701" s="317">
        <f ca="1">(SUM($CI701:$CM701)*VLOOKUP($B701,Lifetime_morbidity_array!$A$6:$Y$24,11))+(SUM($CN701:$CO701)*VLOOKUP($B701,Lifetime_morbidity_array!$A$6:$Y$24,13))+(SUM($CP701:$CQ701)*VLOOKUP($B701,Lifetime_morbidity_array!$A$6:$Y$24,12))</f>
        <v>2.0601860040422628</v>
      </c>
      <c r="DM701" s="309"/>
      <c r="DN701" s="308">
        <f t="shared" si="266"/>
        <v>35</v>
      </c>
      <c r="DO701" s="309">
        <f t="shared" ca="1" si="267"/>
        <v>265.56418055130473</v>
      </c>
      <c r="DP701" s="310">
        <f t="shared" ca="1" si="298"/>
        <v>17791.604027999172</v>
      </c>
      <c r="DQ701" s="309"/>
      <c r="DR701" s="308">
        <f t="shared" si="268"/>
        <v>35</v>
      </c>
      <c r="DS701" s="309">
        <f ca="1">((VLOOKUP($B701,'Mahawesran Tariff'!$A$21:$M$120,4)*'Experimental (DET)'!$CX701)+(VLOOKUP($B701,'Mahawesran Tariff'!$A$21:$M$120,3)*'Experimental (DET)'!$CY701)+(VLOOKUP($B701,'Mahawesran Tariff'!$A$21:$M$120,2)*'Experimental (DET)'!$CZ701)+(VLOOKUP($B701,'Mahawesran Tariff'!$A$21:$M$120,7)*'Experimental (DET)'!$DF701)+(VLOOKUP($B701,'Mahawesran Tariff'!$A$21:$M$120,6)*'Experimental (DET)'!$DG701)+(VLOOKUP($B701,'Mahawesran Tariff'!$A$21:$M$120,5)*'Experimental (DET)'!$DH701)+(DET_UTIL_chd*('Experimental (DET)'!$DA701+'Experimental (DET)'!$DI701))+(DET_UTIL_copd*('Experimental (DET)'!$DB701+'Experimental (DET)'!$DJ701))+(DET_UTIL_lc*('Experimental (DET)'!$DC701+'Experimental (DET)'!$DK701))+(DET_UTIL_stroke*('Experimental (DET)'!$DD701+'Experimental (DET)'!$DL701)))/((1+Discount_rate_QALYs)^$A701)</f>
        <v>260.60145931403122</v>
      </c>
      <c r="DT701" s="310">
        <f t="shared" ca="1" si="299"/>
        <v>17770.619438236608</v>
      </c>
      <c r="DU701" s="309"/>
      <c r="DV701" s="308">
        <f t="shared" si="269"/>
        <v>35</v>
      </c>
      <c r="DW701" s="318">
        <f t="shared" ca="1" si="270"/>
        <v>35122.898827087367</v>
      </c>
      <c r="DX701" s="319">
        <f t="shared" ca="1" si="300"/>
        <v>5612051.5617327252</v>
      </c>
      <c r="DZ701" s="95">
        <f t="shared" si="271"/>
        <v>35</v>
      </c>
      <c r="EA701" s="268">
        <f t="shared" ca="1" si="217"/>
        <v>0.88528221504612392</v>
      </c>
      <c r="EB701" s="268">
        <f t="shared" ca="1" si="218"/>
        <v>0.1147177849538757</v>
      </c>
      <c r="EC701" s="268">
        <f t="shared" ca="1" si="219"/>
        <v>1.1285953600368791E-2</v>
      </c>
      <c r="ED701" s="290">
        <f t="shared" ca="1" si="220"/>
        <v>0.4873158195900737</v>
      </c>
      <c r="EF701" s="95">
        <f t="shared" si="272"/>
        <v>35</v>
      </c>
      <c r="EG701" s="339">
        <f t="shared" ca="1" si="273"/>
        <v>35122.898827087367</v>
      </c>
      <c r="EH701" s="341">
        <f t="shared" ca="1" si="301"/>
        <v>8714067.2856962718</v>
      </c>
      <c r="EJ701" s="308">
        <f t="shared" si="274"/>
        <v>35</v>
      </c>
      <c r="EK701" s="318">
        <f t="shared" ca="1" si="275"/>
        <v>35122.898827087367</v>
      </c>
      <c r="EL701" s="319">
        <f t="shared" ca="1" si="302"/>
        <v>5609011.5617327243</v>
      </c>
      <c r="EN701" s="95">
        <f t="shared" si="276"/>
        <v>35</v>
      </c>
      <c r="EO701" s="339">
        <f t="shared" ca="1" si="277"/>
        <v>35122.898827087367</v>
      </c>
      <c r="EP701" s="341">
        <f t="shared" ca="1" si="303"/>
        <v>8714067.2856962718</v>
      </c>
    </row>
    <row r="702" spans="1:146" s="266" customFormat="1" x14ac:dyDescent="0.25">
      <c r="A702" s="313">
        <v>36</v>
      </c>
      <c r="B702" s="314">
        <v>36</v>
      </c>
      <c r="C702" s="308">
        <f>VLOOKUP($B702,'Infant adult mortality'!$A$27:$I$128,3)</f>
        <v>5.1731160896130348E-4</v>
      </c>
      <c r="D702" s="309">
        <f t="shared" si="221"/>
        <v>0.27</v>
      </c>
      <c r="E702" s="309">
        <f>VLOOKUP($B702,'Infant pick up smoking rates'!$A$19:$I$104,3)</f>
        <v>1.5201831243956284E-3</v>
      </c>
      <c r="F702" s="309">
        <f t="shared" si="222"/>
        <v>6.2740673575129536E-3</v>
      </c>
      <c r="G702" s="309">
        <f t="shared" si="223"/>
        <v>0.72168843790913018</v>
      </c>
      <c r="H702" s="309">
        <f>VLOOKUP($B702,'Infant adult mortality'!$A$27:$I$128,3)</f>
        <v>5.1731160896130348E-4</v>
      </c>
      <c r="I702" s="309">
        <f t="shared" si="224"/>
        <v>0.14000000000000001</v>
      </c>
      <c r="J702" s="309">
        <f>VLOOKUP($B702,'Infant pick up smoking rates'!$A$19:$I$104,2)</f>
        <v>1.5201831243956284E-3</v>
      </c>
      <c r="K702" s="309">
        <f t="shared" si="225"/>
        <v>6.2740673575129536E-3</v>
      </c>
      <c r="L702" s="309">
        <f t="shared" si="226"/>
        <v>0.85168843790913018</v>
      </c>
      <c r="M702" s="309">
        <f>VLOOKUP($B702,'Infant adult mortality'!$A$27:$I$128,3)</f>
        <v>5.1731160896130348E-4</v>
      </c>
      <c r="N702" s="309">
        <f t="shared" si="227"/>
        <v>0.5714285714285714</v>
      </c>
      <c r="O702" s="309">
        <f>VLOOKUP($B702,'Infant pick up smoking rates'!$A$19:$I$104,2)</f>
        <v>1.5201831243956284E-3</v>
      </c>
      <c r="P702" s="309">
        <f t="shared" si="228"/>
        <v>4.1415025906735752E-3</v>
      </c>
      <c r="Q702" s="309">
        <f t="shared" si="229"/>
        <v>0.42239243124739811</v>
      </c>
      <c r="R702" s="309">
        <f>VLOOKUP($B702,'Infant adult mortality'!$A$27:$I$128,3)</f>
        <v>5.1731160896130348E-4</v>
      </c>
      <c r="S702" s="309">
        <f t="shared" si="230"/>
        <v>8.6261668788331098E-3</v>
      </c>
      <c r="T702" s="309">
        <f>VLOOKUP($B702,'Infant pick up smoking rates'!$A$19:$I$104,2)</f>
        <v>1.5201831243956284E-3</v>
      </c>
      <c r="U702" s="309">
        <f t="shared" si="231"/>
        <v>4.1415025906735752E-3</v>
      </c>
      <c r="V702" s="309">
        <f t="shared" si="232"/>
        <v>0.9851948357971364</v>
      </c>
      <c r="W702" s="309">
        <f>VLOOKUP($B702,'Infant adult mortality'!$A$27:$I$128,3)</f>
        <v>5.1731160896130348E-4</v>
      </c>
      <c r="X702" s="309">
        <f>VLOOKUP($B702,'Infant pick up smoking rates'!$A$19:$I$104,2)</f>
        <v>1.5201831243956284E-3</v>
      </c>
      <c r="Y702" s="309">
        <f t="shared" si="233"/>
        <v>0.9979625052666431</v>
      </c>
      <c r="Z702" s="309">
        <f>VLOOKUP($B702,'Infant adult mortality'!$A$27:$I$128,5)</f>
        <v>9.0529531568228096E-4</v>
      </c>
      <c r="AA702" s="309">
        <f t="shared" si="234"/>
        <v>0.25</v>
      </c>
      <c r="AB702" s="309">
        <f t="shared" si="235"/>
        <v>0.74909470468431771</v>
      </c>
      <c r="AC702" s="309">
        <f>VLOOKUP($B702,'Infant adult mortality'!$A$27:$I$128,5)</f>
        <v>9.0529531568228096E-4</v>
      </c>
      <c r="AD702" s="309">
        <f t="shared" si="236"/>
        <v>0.14000000000000001</v>
      </c>
      <c r="AE702" s="309">
        <f t="shared" si="237"/>
        <v>0.8590947046843177</v>
      </c>
      <c r="AF702" s="309">
        <f>VLOOKUP($B702,'Infant adult mortality'!$A$27:$I$128,4)</f>
        <v>6.4663951120162938E-4</v>
      </c>
      <c r="AG702" s="309">
        <f t="shared" si="238"/>
        <v>0.5714285714285714</v>
      </c>
      <c r="AH702" s="309">
        <f t="shared" si="239"/>
        <v>0.42792478906022696</v>
      </c>
      <c r="AI702" s="309">
        <f>VLOOKUP($B702,'Infant adult mortality'!$A$27:$I$128,4)</f>
        <v>6.4663951120162938E-4</v>
      </c>
      <c r="AJ702" s="309">
        <f t="shared" si="240"/>
        <v>8.6261668788331098E-3</v>
      </c>
      <c r="AK702" s="309">
        <f t="shared" si="241"/>
        <v>0.99072719360996531</v>
      </c>
      <c r="AL702" s="309"/>
      <c r="AM702" s="315">
        <f t="shared" si="278"/>
        <v>64.80317619586441</v>
      </c>
      <c r="AN702" s="316">
        <f t="shared" si="279"/>
        <v>17.818417323756492</v>
      </c>
      <c r="AO702" s="316">
        <f t="shared" si="280"/>
        <v>2.5394538613272553</v>
      </c>
      <c r="AP702" s="316">
        <f t="shared" si="281"/>
        <v>74.055896212255291</v>
      </c>
      <c r="AQ702" s="316">
        <f t="shared" si="282"/>
        <v>11.559475333440513</v>
      </c>
      <c r="AR702" s="316">
        <f t="shared" si="283"/>
        <v>167.3208515038535</v>
      </c>
      <c r="AS702" s="316">
        <f t="shared" si="284"/>
        <v>42.390184073303722</v>
      </c>
      <c r="AT702" s="316">
        <f t="shared" si="285"/>
        <v>6.0149918249239178</v>
      </c>
      <c r="AU702" s="316">
        <f t="shared" si="286"/>
        <v>63.781165794695845</v>
      </c>
      <c r="AV702" s="316">
        <f t="shared" si="287"/>
        <v>59.716387876578587</v>
      </c>
      <c r="AW702" s="317">
        <f t="shared" si="242"/>
        <v>509.99999999999955</v>
      </c>
      <c r="AX702" s="309"/>
      <c r="AY702" s="308">
        <f>VLOOKUP($B702,'Infant adult mortality'!$A$134:$I$234,3)</f>
        <v>3.1690427698574333E-4</v>
      </c>
      <c r="AZ702" s="309">
        <f t="shared" si="243"/>
        <v>0.27</v>
      </c>
      <c r="BA702" s="309">
        <f ca="1">VLOOKUP($B702,'Infant pick up smoking rates'!$A$19:$I$104,7)</f>
        <v>3.9916955482353625E-3</v>
      </c>
      <c r="BB702" s="309">
        <f t="shared" si="244"/>
        <v>6.2740673575129536E-3</v>
      </c>
      <c r="BC702" s="309">
        <f t="shared" ca="1" si="245"/>
        <v>0.71941733281726605</v>
      </c>
      <c r="BD702" s="309">
        <f>VLOOKUP($B702,'Infant adult mortality'!$A$134:$I$234,3)</f>
        <v>3.1690427698574333E-4</v>
      </c>
      <c r="BE702" s="309">
        <f t="shared" si="246"/>
        <v>0.14000000000000001</v>
      </c>
      <c r="BF702" s="309">
        <f>VLOOKUP($B702,'Infant pick up smoking rates'!$A$19:$I$104,6)</f>
        <v>1.9288936901483743E-3</v>
      </c>
      <c r="BG702" s="309">
        <f t="shared" si="247"/>
        <v>6.2740673575129536E-3</v>
      </c>
      <c r="BH702" s="309">
        <f t="shared" si="248"/>
        <v>0.851480134675353</v>
      </c>
      <c r="BI702" s="309">
        <f>VLOOKUP($B702,'Infant adult mortality'!$A$134:$I$234,3)</f>
        <v>3.1690427698574333E-4</v>
      </c>
      <c r="BJ702" s="309">
        <f t="shared" si="249"/>
        <v>0.5714285714285714</v>
      </c>
      <c r="BK702" s="309">
        <f>VLOOKUP($B702,'Infant pick up smoking rates'!$A$19:$I$104,6)</f>
        <v>1.9288936901483743E-3</v>
      </c>
      <c r="BL702" s="309">
        <f t="shared" si="250"/>
        <v>4.1415025906735752E-3</v>
      </c>
      <c r="BM702" s="309">
        <f t="shared" si="251"/>
        <v>0.42218412801362093</v>
      </c>
      <c r="BN702" s="309">
        <f>VLOOKUP($B702,'Infant adult mortality'!$A$134:$I$234,3)</f>
        <v>3.1690427698574333E-4</v>
      </c>
      <c r="BO702" s="309">
        <f t="shared" si="252"/>
        <v>8.6261668788331098E-3</v>
      </c>
      <c r="BP702" s="309">
        <f>VLOOKUP($B702,'Infant pick up smoking rates'!$A$19:$I$104,6)</f>
        <v>1.9288936901483743E-3</v>
      </c>
      <c r="BQ702" s="309">
        <f t="shared" si="253"/>
        <v>4.1415025906735752E-3</v>
      </c>
      <c r="BR702" s="309">
        <f t="shared" si="254"/>
        <v>0.98498653256335922</v>
      </c>
      <c r="BS702" s="309">
        <f>VLOOKUP($B702,'Infant adult mortality'!$A$134:$I$234,3)</f>
        <v>3.1690427698574333E-4</v>
      </c>
      <c r="BT702" s="309">
        <f>VLOOKUP($B702,'Infant pick up smoking rates'!$A$19:$I$104,6)</f>
        <v>1.9288936901483743E-3</v>
      </c>
      <c r="BU702" s="309">
        <f t="shared" si="255"/>
        <v>0.99775420203286591</v>
      </c>
      <c r="BV702" s="309">
        <f>VLOOKUP($B702,'Infant adult mortality'!$A$134:$I$234,5)</f>
        <v>5.5458248472505076E-4</v>
      </c>
      <c r="BW702" s="309">
        <f t="shared" si="256"/>
        <v>0.27</v>
      </c>
      <c r="BX702" s="309">
        <f t="shared" si="257"/>
        <v>0.72944541751527492</v>
      </c>
      <c r="BY702" s="309">
        <f>VLOOKUP($B702,'Infant adult mortality'!$A$134:$I$234,5)</f>
        <v>5.5458248472505076E-4</v>
      </c>
      <c r="BZ702" s="309">
        <f t="shared" si="258"/>
        <v>0.14000000000000001</v>
      </c>
      <c r="CA702" s="309">
        <f t="shared" si="259"/>
        <v>0.85944541751527492</v>
      </c>
      <c r="CB702" s="309">
        <f>VLOOKUP($B702,'Infant adult mortality'!$A$134:$I$234,4)</f>
        <v>3.9613034623217917E-4</v>
      </c>
      <c r="CC702" s="309">
        <f t="shared" si="260"/>
        <v>0.5714285714285714</v>
      </c>
      <c r="CD702" s="309">
        <f t="shared" si="261"/>
        <v>0.4281752982251964</v>
      </c>
      <c r="CE702" s="309">
        <f>VLOOKUP($B702,'Infant adult mortality'!$A$134:$I$234,4)</f>
        <v>3.9613034623217917E-4</v>
      </c>
      <c r="CF702" s="309">
        <f t="shared" si="262"/>
        <v>8.6261668788331098E-3</v>
      </c>
      <c r="CG702" s="309">
        <f t="shared" si="263"/>
        <v>0.99097770277493469</v>
      </c>
      <c r="CH702" s="309"/>
      <c r="CI702" s="315">
        <f t="shared" ca="1" si="288"/>
        <v>87.677668949534223</v>
      </c>
      <c r="CJ702" s="316">
        <f t="shared" ca="1" si="289"/>
        <v>24.162131497638438</v>
      </c>
      <c r="CK702" s="316">
        <f t="shared" ca="1" si="290"/>
        <v>3.451453243676248</v>
      </c>
      <c r="CL702" s="316">
        <f t="shared" ca="1" si="291"/>
        <v>95.559117859293693</v>
      </c>
      <c r="CM702" s="316">
        <f t="shared" ca="1" si="292"/>
        <v>15.296899915106346</v>
      </c>
      <c r="CN702" s="316">
        <f t="shared" ca="1" si="293"/>
        <v>122.22617585460284</v>
      </c>
      <c r="CO702" s="316">
        <f t="shared" ca="1" si="294"/>
        <v>33.370949184438281</v>
      </c>
      <c r="CP702" s="316">
        <f t="shared" ca="1" si="295"/>
        <v>4.7251220282180872</v>
      </c>
      <c r="CQ702" s="316">
        <f t="shared" ca="1" si="296"/>
        <v>48.025716060777704</v>
      </c>
      <c r="CR702" s="316">
        <f t="shared" ca="1" si="297"/>
        <v>55.50476540671427</v>
      </c>
      <c r="CS702" s="317">
        <f t="shared" ca="1" si="264"/>
        <v>490.00000000000017</v>
      </c>
      <c r="CT702" s="309"/>
      <c r="CU702" s="309">
        <f t="shared" ca="1" si="265"/>
        <v>999.99999999999977</v>
      </c>
      <c r="CV702" s="309" t="str">
        <f t="shared" ca="1" si="216"/>
        <v>OKAY</v>
      </c>
      <c r="CW702" s="309"/>
      <c r="CX702" s="315">
        <f>(SUM($AR702:$AS702))-((SUM($AR702:$AS702)*VLOOKUP($B702,Lifetime_morbidity_array!$A$30:$Y$48,4))+(SUM($AR702:$AS702)*VLOOKUP($B702,Lifetime_morbidity_array!$A$30:$Y$48,7))+(SUM($AR702:$AS702)*VLOOKUP($B702,Lifetime_morbidity_array!$A$30:$Y$48,10))+(SUM($AR702:$AS702)*VLOOKUP($B702,Lifetime_morbidity_array!$A$30:$Y$48,13)))</f>
        <v>204.75042807145147</v>
      </c>
      <c r="CY702" s="316">
        <f>(SUM($AT702:$AU702))-((SUM($AT702:$AU702)*(VLOOKUP($B702,Lifetime_morbidity_array!$A$30:$Y$48,3)))+(SUM($AT702:$AU702)*(VLOOKUP($B702,Lifetime_morbidity_array!$A$30:$Y$48,6)))+(SUM($AT702:$AU702)*(VLOOKUP($B702,Lifetime_morbidity_array!$A$30:$Y$48,9)))+(SUM($AT702:$AU702)*(VLOOKUP($B702,Lifetime_morbidity_array!$A$30:$Y$48,12))))</f>
        <v>69.030990123452668</v>
      </c>
      <c r="CZ702" s="316">
        <f>(SUM($AM702:$AQ702))-((SUM($AM702:$AQ702)*VLOOKUP($B702,Lifetime_morbidity_array!$A$30:$Y$48,2))+(SUM($AM702:$AQ702)*VLOOKUP($B702,Lifetime_morbidity_array!$A$30:$Y$48,5))+(SUM($AM702:$AQ702)*VLOOKUP($B702,Lifetime_morbidity_array!$A$30:$Y$48,8))+(SUM($AM702:$AQ702)*VLOOKUP($B702,Lifetime_morbidity_array!$A$30:$Y$48,11)))</f>
        <v>169.50395582551516</v>
      </c>
      <c r="DA702" s="316">
        <f>(SUM($AM702:$AQ702)*VLOOKUP($B702,Lifetime_morbidity_array!$A$30:$Y$48,2))+(SUM($AR702:$AS702)*VLOOKUP($B702,Lifetime_morbidity_array!$A$30:$Y$48,4))+(SUM($AT702:$AU702)*(VLOOKUP($B702,Lifetime_morbidity_array!$A$30:$Y$48,3)))</f>
        <v>3.6211289173868684</v>
      </c>
      <c r="DB702" s="316">
        <f>(SUM($AM702:$AQ702)*VLOOKUP($B702,Lifetime_morbidity_array!$A$30:$Y$48,5))+(SUM($AR702:$AS702)*VLOOKUP($B702,Lifetime_morbidity_array!$A$30:$Y$48,7))+(SUM($AT702:$AU702)*(VLOOKUP($B702,Lifetime_morbidity_array!$A$30:$Y$48,6)))</f>
        <v>0.55124090982150797</v>
      </c>
      <c r="DC702" s="316">
        <f>(SUM($AM702:$AQ702)*VLOOKUP($B702,Lifetime_morbidity_array!$A$30:$Y$48,8))+(SUM($AR702:$AS702)*VLOOKUP($B702,Lifetime_morbidity_array!$A$30:$Y$48,10))+(SUM($AT702:$AU702)*(VLOOKUP($B702,Lifetime_morbidity_array!$A$30:$Y$48,9)))</f>
        <v>1.4572744639117903E-2</v>
      </c>
      <c r="DD702" s="317">
        <f>(SUM($AM702:$AQ702)*VLOOKUP($B702,Lifetime_morbidity_array!$A$30:$Y$48,11))+(SUM($AR702:$AS702)*VLOOKUP($B702,Lifetime_morbidity_array!$A$30:$Y$48,13))+(SUM($AT702:$AU702)*(VLOOKUP($B702,Lifetime_morbidity_array!$A$30:$Y$48,12)))</f>
        <v>2.8112955311541366</v>
      </c>
      <c r="DE702" s="309"/>
      <c r="DF702" s="315">
        <f ca="1">(SUM($CN702:$CO702))-((SUM($CN702:$CO702)*VLOOKUP($B702,Lifetime_morbidity_array!$A$6:$Y$24,4))+(SUM($CN702:$CO702)*VLOOKUP($B702,Lifetime_morbidity_array!$A$6:$Y$24,7))+(SUM($CN702:$CO702)*VLOOKUP($B702,Lifetime_morbidity_array!$A$6:$Y$24,10))+(SUM($CN702:$CO702)*VLOOKUP($B702,Lifetime_morbidity_array!$A$6:$Y$24,13)))</f>
        <v>152.87032163885186</v>
      </c>
      <c r="DG702" s="316">
        <f ca="1">(SUM($CP702:$CQ702))-(((SUM($CP702:$CQ702)*VLOOKUP($B702,Lifetime_morbidity_array!$A$6:$Y$24,3))+(SUM($CP702:$CQ702)*VLOOKUP($B702,Lifetime_morbidity_array!$A$6:$Y$24,6))+(SUM($CP702:$CQ702)*VLOOKUP($B702,Lifetime_morbidity_array!$A$6:$Y$24,9))+(SUM($CP702:$CQ702)*VLOOKUP($B702,Lifetime_morbidity_array!$A$6:$Y$24,12))))</f>
        <v>52.37384014362965</v>
      </c>
      <c r="DH702" s="316">
        <f ca="1">(SUM($CI702:$CM702))-((SUM($CI702:$CM702)*VLOOKUP($B702,Lifetime_morbidity_array!$A$6:$Y$24,2))+(SUM($CI702:$CM702)*VLOOKUP($B702,Lifetime_morbidity_array!$A$6:$Y$24,5))+(SUM($CI702:$CM702)*VLOOKUP($B702,Lifetime_morbidity_array!$A$6:$Y$24,8))+(SUM($CI702:$CM702)*VLOOKUP($B702,Lifetime_morbidity_array!$A$6:$Y$24,11)))</f>
        <v>225.01934226287003</v>
      </c>
      <c r="DI702" s="316">
        <f ca="1">(SUM($CI702:$CM702)*VLOOKUP($B702,Lifetime_morbidity_array!$A$6:$Y$24,2))+(SUM($CN702:$CO702)*VLOOKUP($B702,Lifetime_morbidity_array!$A$6:$Y$24,4))+(SUM($CP702:$CQ702)*VLOOKUP($B702,Lifetime_morbidity_array!$A$6:$Y$24,3))</f>
        <v>1.6595402980484737</v>
      </c>
      <c r="DJ702" s="316">
        <f ca="1">(SUM($CI702:$CM702)*VLOOKUP($B702,Lifetime_morbidity_array!$A$6:$Y$24,5))+(SUM($CN702:$CO702)*VLOOKUP($B702,Lifetime_morbidity_array!$A$6:$Y$24,7))+(SUM($CP702:$CQ702)*VLOOKUP($B702,Lifetime_morbidity_array!$A$6:$Y$24,6))</f>
        <v>0.50736396911790038</v>
      </c>
      <c r="DK702" s="316">
        <f ca="1">(SUM($CI702:$CM702)*VLOOKUP($B702,Lifetime_morbidity_array!$A$6:$Y$24,8))+(SUM($CN702:$CO702)*VLOOKUP($B702,Lifetime_morbidity_array!$A$6:$Y$24,10))+(SUM($CP702:$CQ702)*VLOOKUP($B702,Lifetime_morbidity_array!$A$6:$Y$24,9))</f>
        <v>1.3049020422124502E-2</v>
      </c>
      <c r="DL702" s="317">
        <f ca="1">(SUM($CI702:$CM702)*VLOOKUP($B702,Lifetime_morbidity_array!$A$6:$Y$24,11))+(SUM($CN702:$CO702)*VLOOKUP($B702,Lifetime_morbidity_array!$A$6:$Y$24,13))+(SUM($CP702:$CQ702)*VLOOKUP($B702,Lifetime_morbidity_array!$A$6:$Y$24,12))</f>
        <v>2.0517772603457876</v>
      </c>
      <c r="DM702" s="309"/>
      <c r="DN702" s="308">
        <f t="shared" si="266"/>
        <v>36</v>
      </c>
      <c r="DO702" s="309">
        <f t="shared" ca="1" si="267"/>
        <v>256.43785671457783</v>
      </c>
      <c r="DP702" s="310">
        <f t="shared" ca="1" si="298"/>
        <v>18048.041884713752</v>
      </c>
      <c r="DQ702" s="309"/>
      <c r="DR702" s="308">
        <f t="shared" si="268"/>
        <v>36</v>
      </c>
      <c r="DS702" s="309">
        <f ca="1">((VLOOKUP($B702,'Mahawesran Tariff'!$A$21:$M$120,4)*'Experimental (DET)'!$CX702)+(VLOOKUP($B702,'Mahawesran Tariff'!$A$21:$M$120,3)*'Experimental (DET)'!$CY702)+(VLOOKUP($B702,'Mahawesran Tariff'!$A$21:$M$120,2)*'Experimental (DET)'!$CZ702)+(VLOOKUP($B702,'Mahawesran Tariff'!$A$21:$M$120,7)*'Experimental (DET)'!$DF702)+(VLOOKUP($B702,'Mahawesran Tariff'!$A$21:$M$120,6)*'Experimental (DET)'!$DG702)+(VLOOKUP($B702,'Mahawesran Tariff'!$A$21:$M$120,5)*'Experimental (DET)'!$DH702)+(DET_UTIL_chd*('Experimental (DET)'!$DA702+'Experimental (DET)'!$DI702))+(DET_UTIL_copd*('Experimental (DET)'!$DB702+'Experimental (DET)'!$DJ702))+(DET_UTIL_lc*('Experimental (DET)'!$DC702+'Experimental (DET)'!$DK702))+(DET_UTIL_stroke*('Experimental (DET)'!$DD702+'Experimental (DET)'!$DL702)))/((1+Discount_rate_QALYs)^$A702)</f>
        <v>251.66426853708657</v>
      </c>
      <c r="DT702" s="310">
        <f t="shared" ca="1" si="299"/>
        <v>18022.283706773695</v>
      </c>
      <c r="DU702" s="309"/>
      <c r="DV702" s="308">
        <f t="shared" si="269"/>
        <v>36</v>
      </c>
      <c r="DW702" s="318">
        <f t="shared" ca="1" si="270"/>
        <v>33770.111812997515</v>
      </c>
      <c r="DX702" s="319">
        <f t="shared" ca="1" si="300"/>
        <v>5645821.6735457228</v>
      </c>
      <c r="DZ702" s="95">
        <f t="shared" si="271"/>
        <v>36</v>
      </c>
      <c r="EA702" s="268">
        <f t="shared" ca="1" si="217"/>
        <v>0.88477884671670681</v>
      </c>
      <c r="EB702" s="268">
        <f t="shared" ca="1" si="218"/>
        <v>0.11522115328329287</v>
      </c>
      <c r="EC702" s="268">
        <f t="shared" ca="1" si="219"/>
        <v>1.1229968650935916E-2</v>
      </c>
      <c r="ED702" s="290">
        <f t="shared" ca="1" si="220"/>
        <v>0.48785515632481397</v>
      </c>
      <c r="EF702" s="95">
        <f t="shared" si="272"/>
        <v>36</v>
      </c>
      <c r="EG702" s="339">
        <f t="shared" ca="1" si="273"/>
        <v>33770.111812997515</v>
      </c>
      <c r="EH702" s="341">
        <f t="shared" ca="1" si="301"/>
        <v>8747837.3975092694</v>
      </c>
      <c r="EJ702" s="308">
        <f t="shared" si="274"/>
        <v>36</v>
      </c>
      <c r="EK702" s="318">
        <f t="shared" ca="1" si="275"/>
        <v>33770.111812997515</v>
      </c>
      <c r="EL702" s="319">
        <f t="shared" ca="1" si="302"/>
        <v>5642781.6735457219</v>
      </c>
      <c r="EN702" s="95">
        <f t="shared" si="276"/>
        <v>36</v>
      </c>
      <c r="EO702" s="339">
        <f t="shared" ca="1" si="277"/>
        <v>33770.111812997515</v>
      </c>
      <c r="EP702" s="341">
        <f t="shared" ca="1" si="303"/>
        <v>8747837.3975092694</v>
      </c>
    </row>
    <row r="703" spans="1:146" s="266" customFormat="1" x14ac:dyDescent="0.25">
      <c r="A703" s="313">
        <v>37</v>
      </c>
      <c r="B703" s="314">
        <v>37</v>
      </c>
      <c r="C703" s="308">
        <f>VLOOKUP($B703,'Infant adult mortality'!$A$27:$I$128,3)</f>
        <v>5.7401221995926667E-4</v>
      </c>
      <c r="D703" s="309">
        <f t="shared" si="221"/>
        <v>0.27</v>
      </c>
      <c r="E703" s="309">
        <f>VLOOKUP($B703,'Infant pick up smoking rates'!$A$19:$I$104,3)</f>
        <v>1.5201831243956284E-3</v>
      </c>
      <c r="F703" s="309">
        <f t="shared" si="222"/>
        <v>6.7594283804111657E-3</v>
      </c>
      <c r="G703" s="309">
        <f t="shared" si="223"/>
        <v>0.72114637627523392</v>
      </c>
      <c r="H703" s="309">
        <f>VLOOKUP($B703,'Infant adult mortality'!$A$27:$I$128,3)</f>
        <v>5.7401221995926667E-4</v>
      </c>
      <c r="I703" s="309">
        <f t="shared" si="224"/>
        <v>0.14000000000000001</v>
      </c>
      <c r="J703" s="309">
        <f>VLOOKUP($B703,'Infant pick up smoking rates'!$A$19:$I$104,2)</f>
        <v>1.5201831243956284E-3</v>
      </c>
      <c r="K703" s="309">
        <f t="shared" si="225"/>
        <v>6.7594283804111657E-3</v>
      </c>
      <c r="L703" s="309">
        <f t="shared" si="226"/>
        <v>0.85114637627523393</v>
      </c>
      <c r="M703" s="309">
        <f>VLOOKUP($B703,'Infant adult mortality'!$A$27:$I$128,3)</f>
        <v>5.7401221995926667E-4</v>
      </c>
      <c r="N703" s="309">
        <f t="shared" si="227"/>
        <v>0.5714285714285714</v>
      </c>
      <c r="O703" s="309">
        <f>VLOOKUP($B703,'Infant pick up smoking rates'!$A$19:$I$104,2)</f>
        <v>1.5201831243956284E-3</v>
      </c>
      <c r="P703" s="309">
        <f t="shared" si="228"/>
        <v>4.4618886846063853E-3</v>
      </c>
      <c r="Q703" s="309">
        <f t="shared" si="229"/>
        <v>0.42201534454246731</v>
      </c>
      <c r="R703" s="309">
        <f>VLOOKUP($B703,'Infant adult mortality'!$A$27:$I$128,3)</f>
        <v>5.7401221995926667E-4</v>
      </c>
      <c r="S703" s="309">
        <f t="shared" si="230"/>
        <v>8.6261668788331098E-3</v>
      </c>
      <c r="T703" s="309">
        <f>VLOOKUP($B703,'Infant pick up smoking rates'!$A$19:$I$104,2)</f>
        <v>1.5201831243956284E-3</v>
      </c>
      <c r="U703" s="309">
        <f t="shared" si="231"/>
        <v>4.4618886846063853E-3</v>
      </c>
      <c r="V703" s="309">
        <f t="shared" si="232"/>
        <v>0.98481774909220565</v>
      </c>
      <c r="W703" s="309">
        <f>VLOOKUP($B703,'Infant adult mortality'!$A$27:$I$128,3)</f>
        <v>5.7401221995926667E-4</v>
      </c>
      <c r="X703" s="309">
        <f>VLOOKUP($B703,'Infant pick up smoking rates'!$A$19:$I$104,2)</f>
        <v>1.5201831243956284E-3</v>
      </c>
      <c r="Y703" s="309">
        <f t="shared" si="233"/>
        <v>0.99790580465564516</v>
      </c>
      <c r="Z703" s="309">
        <f>VLOOKUP($B703,'Infant adult mortality'!$A$27:$I$128,5)</f>
        <v>1.0045213849287165E-3</v>
      </c>
      <c r="AA703" s="309">
        <f t="shared" si="234"/>
        <v>0.25</v>
      </c>
      <c r="AB703" s="309">
        <f t="shared" si="235"/>
        <v>0.74899547861507132</v>
      </c>
      <c r="AC703" s="309">
        <f>VLOOKUP($B703,'Infant adult mortality'!$A$27:$I$128,5)</f>
        <v>1.0045213849287165E-3</v>
      </c>
      <c r="AD703" s="309">
        <f t="shared" si="236"/>
        <v>0.14000000000000001</v>
      </c>
      <c r="AE703" s="309">
        <f t="shared" si="237"/>
        <v>0.85899547861507131</v>
      </c>
      <c r="AF703" s="309">
        <f>VLOOKUP($B703,'Infant adult mortality'!$A$27:$I$128,4)</f>
        <v>7.1751527494908331E-4</v>
      </c>
      <c r="AG703" s="309">
        <f t="shared" si="238"/>
        <v>0.5714285714285714</v>
      </c>
      <c r="AH703" s="309">
        <f t="shared" si="239"/>
        <v>0.42785391329647954</v>
      </c>
      <c r="AI703" s="309">
        <f>VLOOKUP($B703,'Infant adult mortality'!$A$27:$I$128,4)</f>
        <v>7.1751527494908331E-4</v>
      </c>
      <c r="AJ703" s="309">
        <f t="shared" si="240"/>
        <v>8.6261668788331098E-3</v>
      </c>
      <c r="AK703" s="309">
        <f t="shared" si="241"/>
        <v>0.99065631784621777</v>
      </c>
      <c r="AL703" s="309"/>
      <c r="AM703" s="315">
        <f t="shared" si="278"/>
        <v>63.609164036174484</v>
      </c>
      <c r="AN703" s="316">
        <f t="shared" si="279"/>
        <v>17.496857572883393</v>
      </c>
      <c r="AO703" s="316">
        <f t="shared" si="280"/>
        <v>2.4945784253259089</v>
      </c>
      <c r="AP703" s="316">
        <f t="shared" si="281"/>
        <v>74.382677506946251</v>
      </c>
      <c r="AQ703" s="316">
        <f t="shared" si="282"/>
        <v>12.435502203872142</v>
      </c>
      <c r="AR703" s="316">
        <f t="shared" si="283"/>
        <v>165.1188739117471</v>
      </c>
      <c r="AS703" s="316">
        <f t="shared" si="284"/>
        <v>41.830212875963376</v>
      </c>
      <c r="AT703" s="316">
        <f t="shared" si="285"/>
        <v>5.9346257702625218</v>
      </c>
      <c r="AU703" s="316">
        <f t="shared" si="286"/>
        <v>66.622353039783334</v>
      </c>
      <c r="AV703" s="316">
        <f t="shared" si="287"/>
        <v>60.07515465704099</v>
      </c>
      <c r="AW703" s="317">
        <f t="shared" si="242"/>
        <v>509.99999999999943</v>
      </c>
      <c r="AX703" s="309"/>
      <c r="AY703" s="308">
        <f>VLOOKUP($B703,'Infant adult mortality'!$A$134:$I$234,3)</f>
        <v>3.4386965376782076E-4</v>
      </c>
      <c r="AZ703" s="309">
        <f t="shared" si="243"/>
        <v>0.27</v>
      </c>
      <c r="BA703" s="309">
        <f ca="1">VLOOKUP($B703,'Infant pick up smoking rates'!$A$19:$I$104,7)</f>
        <v>3.9916955482353625E-3</v>
      </c>
      <c r="BB703" s="309">
        <f t="shared" si="244"/>
        <v>6.7594283804111657E-3</v>
      </c>
      <c r="BC703" s="309">
        <f t="shared" ca="1" si="245"/>
        <v>0.71890500641758559</v>
      </c>
      <c r="BD703" s="309">
        <f>VLOOKUP($B703,'Infant adult mortality'!$A$134:$I$234,3)</f>
        <v>3.4386965376782076E-4</v>
      </c>
      <c r="BE703" s="309">
        <f t="shared" si="246"/>
        <v>0.14000000000000001</v>
      </c>
      <c r="BF703" s="309">
        <f>VLOOKUP($B703,'Infant pick up smoking rates'!$A$19:$I$104,6)</f>
        <v>1.9288936901483743E-3</v>
      </c>
      <c r="BG703" s="309">
        <f t="shared" si="247"/>
        <v>6.7594283804111657E-3</v>
      </c>
      <c r="BH703" s="309">
        <f t="shared" si="248"/>
        <v>0.85096780827567253</v>
      </c>
      <c r="BI703" s="309">
        <f>VLOOKUP($B703,'Infant adult mortality'!$A$134:$I$234,3)</f>
        <v>3.4386965376782076E-4</v>
      </c>
      <c r="BJ703" s="309">
        <f t="shared" si="249"/>
        <v>0.5714285714285714</v>
      </c>
      <c r="BK703" s="309">
        <f>VLOOKUP($B703,'Infant pick up smoking rates'!$A$19:$I$104,6)</f>
        <v>1.9288936901483743E-3</v>
      </c>
      <c r="BL703" s="309">
        <f t="shared" si="250"/>
        <v>4.4618886846063853E-3</v>
      </c>
      <c r="BM703" s="309">
        <f t="shared" si="251"/>
        <v>0.42183677654290602</v>
      </c>
      <c r="BN703" s="309">
        <f>VLOOKUP($B703,'Infant adult mortality'!$A$134:$I$234,3)</f>
        <v>3.4386965376782076E-4</v>
      </c>
      <c r="BO703" s="309">
        <f t="shared" si="252"/>
        <v>8.6261668788331098E-3</v>
      </c>
      <c r="BP703" s="309">
        <f>VLOOKUP($B703,'Infant pick up smoking rates'!$A$19:$I$104,6)</f>
        <v>1.9288936901483743E-3</v>
      </c>
      <c r="BQ703" s="309">
        <f t="shared" si="253"/>
        <v>4.4618886846063853E-3</v>
      </c>
      <c r="BR703" s="309">
        <f t="shared" si="254"/>
        <v>0.98463918109264426</v>
      </c>
      <c r="BS703" s="309">
        <f>VLOOKUP($B703,'Infant adult mortality'!$A$134:$I$234,3)</f>
        <v>3.4386965376782076E-4</v>
      </c>
      <c r="BT703" s="309">
        <f>VLOOKUP($B703,'Infant pick up smoking rates'!$A$19:$I$104,6)</f>
        <v>1.9288936901483743E-3</v>
      </c>
      <c r="BU703" s="309">
        <f t="shared" si="255"/>
        <v>0.99772723665608376</v>
      </c>
      <c r="BV703" s="309">
        <f>VLOOKUP($B703,'Infant adult mortality'!$A$134:$I$234,5)</f>
        <v>6.0177189409368621E-4</v>
      </c>
      <c r="BW703" s="309">
        <f t="shared" si="256"/>
        <v>0.27</v>
      </c>
      <c r="BX703" s="309">
        <f t="shared" si="257"/>
        <v>0.72939822810590627</v>
      </c>
      <c r="BY703" s="309">
        <f>VLOOKUP($B703,'Infant adult mortality'!$A$134:$I$234,5)</f>
        <v>6.0177189409368621E-4</v>
      </c>
      <c r="BZ703" s="309">
        <f t="shared" si="258"/>
        <v>0.14000000000000001</v>
      </c>
      <c r="CA703" s="309">
        <f t="shared" si="259"/>
        <v>0.85939822810590627</v>
      </c>
      <c r="CB703" s="309">
        <f>VLOOKUP($B703,'Infant adult mortality'!$A$134:$I$234,4)</f>
        <v>4.2983706720977596E-4</v>
      </c>
      <c r="CC703" s="309">
        <f t="shared" si="260"/>
        <v>0.5714285714285714</v>
      </c>
      <c r="CD703" s="309">
        <f t="shared" si="261"/>
        <v>0.42814159150421882</v>
      </c>
      <c r="CE703" s="309">
        <f>VLOOKUP($B703,'Infant adult mortality'!$A$134:$I$234,4)</f>
        <v>4.2983706720977596E-4</v>
      </c>
      <c r="CF703" s="309">
        <f t="shared" si="262"/>
        <v>8.6261668788331098E-3</v>
      </c>
      <c r="CG703" s="309">
        <f t="shared" si="263"/>
        <v>0.99094399605395711</v>
      </c>
      <c r="CH703" s="309"/>
      <c r="CI703" s="315">
        <f t="shared" ca="1" si="288"/>
        <v>85.873370050807111</v>
      </c>
      <c r="CJ703" s="316">
        <f t="shared" ca="1" si="289"/>
        <v>23.67297061637424</v>
      </c>
      <c r="CK703" s="316">
        <f t="shared" ca="1" si="290"/>
        <v>3.3826984096693815</v>
      </c>
      <c r="CL703" s="316">
        <f t="shared" ca="1" si="291"/>
        <v>96.063510551296844</v>
      </c>
      <c r="CM703" s="316">
        <f t="shared" ca="1" si="292"/>
        <v>16.459880949766635</v>
      </c>
      <c r="CN703" s="316">
        <f t="shared" ca="1" si="293"/>
        <v>120.88486550565078</v>
      </c>
      <c r="CO703" s="316">
        <f t="shared" ca="1" si="294"/>
        <v>33.001067480742769</v>
      </c>
      <c r="CP703" s="316">
        <f t="shared" ca="1" si="295"/>
        <v>4.6719328858213602</v>
      </c>
      <c r="CQ703" s="316">
        <f t="shared" ca="1" si="296"/>
        <v>50.290864717030097</v>
      </c>
      <c r="CR703" s="316">
        <f t="shared" ca="1" si="297"/>
        <v>55.69883883284087</v>
      </c>
      <c r="CS703" s="317">
        <f t="shared" ca="1" si="264"/>
        <v>490.00000000000011</v>
      </c>
      <c r="CT703" s="309"/>
      <c r="CU703" s="309">
        <f t="shared" ca="1" si="265"/>
        <v>999.99999999999955</v>
      </c>
      <c r="CV703" s="309" t="str">
        <f t="shared" ca="1" si="216"/>
        <v>OKAY</v>
      </c>
      <c r="CW703" s="309"/>
      <c r="CX703" s="315">
        <f>(SUM($AR703:$AS703))-((SUM($AR703:$AS703)*VLOOKUP($B703,Lifetime_morbidity_array!$A$30:$Y$48,4))+(SUM($AR703:$AS703)*VLOOKUP($B703,Lifetime_morbidity_array!$A$30:$Y$48,7))+(SUM($AR703:$AS703)*VLOOKUP($B703,Lifetime_morbidity_array!$A$30:$Y$48,10))+(SUM($AR703:$AS703)*VLOOKUP($B703,Lifetime_morbidity_array!$A$30:$Y$48,13)))</f>
        <v>202.05381177086301</v>
      </c>
      <c r="CY703" s="316">
        <f>(SUM($AT703:$AU703))-((SUM($AT703:$AU703)*(VLOOKUP($B703,Lifetime_morbidity_array!$A$30:$Y$48,3)))+(SUM($AT703:$AU703)*(VLOOKUP($B703,Lifetime_morbidity_array!$A$30:$Y$48,6)))+(SUM($AT703:$AU703)*(VLOOKUP($B703,Lifetime_morbidity_array!$A$30:$Y$48,9)))+(SUM($AT703:$AU703)*(VLOOKUP($B703,Lifetime_morbidity_array!$A$30:$Y$48,12))))</f>
        <v>71.7615447389026</v>
      </c>
      <c r="CZ703" s="316">
        <f>(SUM($AM703:$AQ703))-((SUM($AM703:$AQ703)*VLOOKUP($B703,Lifetime_morbidity_array!$A$30:$Y$48,2))+(SUM($AM703:$AQ703)*VLOOKUP($B703,Lifetime_morbidity_array!$A$30:$Y$48,5))+(SUM($AM703:$AQ703)*VLOOKUP($B703,Lifetime_morbidity_array!$A$30:$Y$48,8))+(SUM($AM703:$AQ703)*VLOOKUP($B703,Lifetime_morbidity_array!$A$30:$Y$48,11)))</f>
        <v>169.14898143037564</v>
      </c>
      <c r="DA703" s="316">
        <f>(SUM($AM703:$AQ703)*VLOOKUP($B703,Lifetime_morbidity_array!$A$30:$Y$48,2))+(SUM($AR703:$AS703)*VLOOKUP($B703,Lifetime_morbidity_array!$A$30:$Y$48,4))+(SUM($AT703:$AU703)*(VLOOKUP($B703,Lifetime_morbidity_array!$A$30:$Y$48,3)))</f>
        <v>3.6015230078614797</v>
      </c>
      <c r="DB703" s="316">
        <f>(SUM($AM703:$AQ703)*VLOOKUP($B703,Lifetime_morbidity_array!$A$30:$Y$48,5))+(SUM($AR703:$AS703)*VLOOKUP($B703,Lifetime_morbidity_array!$A$30:$Y$48,7))+(SUM($AT703:$AU703)*(VLOOKUP($B703,Lifetime_morbidity_array!$A$30:$Y$48,6)))</f>
        <v>0.54837173403827033</v>
      </c>
      <c r="DC703" s="316">
        <f>(SUM($AM703:$AQ703)*VLOOKUP($B703,Lifetime_morbidity_array!$A$30:$Y$48,8))+(SUM($AR703:$AS703)*VLOOKUP($B703,Lifetime_morbidity_array!$A$30:$Y$48,10))+(SUM($AT703:$AU703)*(VLOOKUP($B703,Lifetime_morbidity_array!$A$30:$Y$48,9)))</f>
        <v>1.4456478806731763E-2</v>
      </c>
      <c r="DD703" s="317">
        <f>(SUM($AM703:$AQ703)*VLOOKUP($B703,Lifetime_morbidity_array!$A$30:$Y$48,11))+(SUM($AR703:$AS703)*VLOOKUP($B703,Lifetime_morbidity_array!$A$30:$Y$48,13))+(SUM($AT703:$AU703)*(VLOOKUP($B703,Lifetime_morbidity_array!$A$30:$Y$48,12)))</f>
        <v>2.7961561821107939</v>
      </c>
      <c r="DE703" s="309"/>
      <c r="DF703" s="315">
        <f ca="1">(SUM($CN703:$CO703))-((SUM($CN703:$CO703)*VLOOKUP($B703,Lifetime_morbidity_array!$A$6:$Y$24,4))+(SUM($CN703:$CO703)*VLOOKUP($B703,Lifetime_morbidity_array!$A$6:$Y$24,7))+(SUM($CN703:$CO703)*VLOOKUP($B703,Lifetime_morbidity_array!$A$6:$Y$24,10))+(SUM($CN703:$CO703)*VLOOKUP($B703,Lifetime_morbidity_array!$A$6:$Y$24,13)))</f>
        <v>151.18911782863722</v>
      </c>
      <c r="DG703" s="316">
        <f ca="1">(SUM($CP703:$CQ703))-(((SUM($CP703:$CQ703)*VLOOKUP($B703,Lifetime_morbidity_array!$A$6:$Y$24,3))+(SUM($CP703:$CQ703)*VLOOKUP($B703,Lifetime_morbidity_array!$A$6:$Y$24,6))+(SUM($CP703:$CQ703)*VLOOKUP($B703,Lifetime_morbidity_array!$A$6:$Y$24,9))+(SUM($CP703:$CQ703)*VLOOKUP($B703,Lifetime_morbidity_array!$A$6:$Y$24,12))))</f>
        <v>54.569991298373573</v>
      </c>
      <c r="DH703" s="316">
        <f ca="1">(SUM($CI703:$CM703))-((SUM($CI703:$CM703)*VLOOKUP($B703,Lifetime_morbidity_array!$A$6:$Y$24,2))+(SUM($CI703:$CM703)*VLOOKUP($B703,Lifetime_morbidity_array!$A$6:$Y$24,5))+(SUM($CI703:$CM703)*VLOOKUP($B703,Lifetime_morbidity_array!$A$6:$Y$24,8))+(SUM($CI703:$CM703)*VLOOKUP($B703,Lifetime_morbidity_array!$A$6:$Y$24,11)))</f>
        <v>224.32796695494628</v>
      </c>
      <c r="DI703" s="316">
        <f ca="1">(SUM($CI703:$CM703)*VLOOKUP($B703,Lifetime_morbidity_array!$A$6:$Y$24,2))+(SUM($CN703:$CO703)*VLOOKUP($B703,Lifetime_morbidity_array!$A$6:$Y$24,4))+(SUM($CP703:$CQ703)*VLOOKUP($B703,Lifetime_morbidity_array!$A$6:$Y$24,3))</f>
        <v>1.6531850632071992</v>
      </c>
      <c r="DJ703" s="316">
        <f ca="1">(SUM($CI703:$CM703)*VLOOKUP($B703,Lifetime_morbidity_array!$A$6:$Y$24,5))+(SUM($CN703:$CO703)*VLOOKUP($B703,Lifetime_morbidity_array!$A$6:$Y$24,7))+(SUM($CP703:$CQ703)*VLOOKUP($B703,Lifetime_morbidity_array!$A$6:$Y$24,6))</f>
        <v>0.50444992814724765</v>
      </c>
      <c r="DK703" s="316">
        <f ca="1">(SUM($CI703:$CM703)*VLOOKUP($B703,Lifetime_morbidity_array!$A$6:$Y$24,8))+(SUM($CN703:$CO703)*VLOOKUP($B703,Lifetime_morbidity_array!$A$6:$Y$24,10))+(SUM($CP703:$CQ703)*VLOOKUP($B703,Lifetime_morbidity_array!$A$6:$Y$24,9))</f>
        <v>1.2954621621006229E-2</v>
      </c>
      <c r="DL703" s="317">
        <f ca="1">(SUM($CI703:$CM703)*VLOOKUP($B703,Lifetime_morbidity_array!$A$6:$Y$24,11))+(SUM($CN703:$CO703)*VLOOKUP($B703,Lifetime_morbidity_array!$A$6:$Y$24,13))+(SUM($CP703:$CQ703)*VLOOKUP($B703,Lifetime_morbidity_array!$A$6:$Y$24,12))</f>
        <v>2.0434954722267169</v>
      </c>
      <c r="DM703" s="309"/>
      <c r="DN703" s="308">
        <f t="shared" si="266"/>
        <v>37</v>
      </c>
      <c r="DO703" s="309">
        <f t="shared" ca="1" si="267"/>
        <v>247.61123240161231</v>
      </c>
      <c r="DP703" s="310">
        <f t="shared" ca="1" si="298"/>
        <v>18295.653117115366</v>
      </c>
      <c r="DQ703" s="309"/>
      <c r="DR703" s="308">
        <f t="shared" si="268"/>
        <v>37</v>
      </c>
      <c r="DS703" s="309">
        <f ca="1">((VLOOKUP($B703,'Mahawesran Tariff'!$A$21:$M$120,4)*'Experimental (DET)'!$CX703)+(VLOOKUP($B703,'Mahawesran Tariff'!$A$21:$M$120,3)*'Experimental (DET)'!$CY703)+(VLOOKUP($B703,'Mahawesran Tariff'!$A$21:$M$120,2)*'Experimental (DET)'!$CZ703)+(VLOOKUP($B703,'Mahawesran Tariff'!$A$21:$M$120,7)*'Experimental (DET)'!$DF703)+(VLOOKUP($B703,'Mahawesran Tariff'!$A$21:$M$120,6)*'Experimental (DET)'!$DG703)+(VLOOKUP($B703,'Mahawesran Tariff'!$A$21:$M$120,5)*'Experimental (DET)'!$DH703)+(DET_UTIL_chd*('Experimental (DET)'!$DA703+'Experimental (DET)'!$DI703))+(DET_UTIL_copd*('Experimental (DET)'!$DB703+'Experimental (DET)'!$DJ703))+(DET_UTIL_lc*('Experimental (DET)'!$DC703+'Experimental (DET)'!$DK703))+(DET_UTIL_stroke*('Experimental (DET)'!$DD703+'Experimental (DET)'!$DL703)))/((1+Discount_rate_QALYs)^$A703)</f>
        <v>243.0193656643257</v>
      </c>
      <c r="DT703" s="310">
        <f t="shared" ca="1" si="299"/>
        <v>18265.303072438019</v>
      </c>
      <c r="DU703" s="309"/>
      <c r="DV703" s="308">
        <f t="shared" si="269"/>
        <v>37</v>
      </c>
      <c r="DW703" s="318">
        <f t="shared" ca="1" si="270"/>
        <v>32470.344618240688</v>
      </c>
      <c r="DX703" s="319">
        <f t="shared" ca="1" si="300"/>
        <v>5678292.0181639632</v>
      </c>
      <c r="DZ703" s="95">
        <f t="shared" si="271"/>
        <v>37</v>
      </c>
      <c r="EA703" s="268">
        <f t="shared" ca="1" si="217"/>
        <v>0.88422600651011773</v>
      </c>
      <c r="EB703" s="268">
        <f t="shared" ca="1" si="218"/>
        <v>0.11577399348988186</v>
      </c>
      <c r="EC703" s="268">
        <f t="shared" ca="1" si="219"/>
        <v>1.1174592488019447E-2</v>
      </c>
      <c r="ED703" s="290">
        <f t="shared" ca="1" si="220"/>
        <v>0.48835479618700134</v>
      </c>
      <c r="EF703" s="95">
        <f t="shared" si="272"/>
        <v>37</v>
      </c>
      <c r="EG703" s="339">
        <f t="shared" ca="1" si="273"/>
        <v>32470.344618240688</v>
      </c>
      <c r="EH703" s="341">
        <f t="shared" ca="1" si="301"/>
        <v>8780307.7421275098</v>
      </c>
      <c r="EJ703" s="308">
        <f t="shared" si="274"/>
        <v>37</v>
      </c>
      <c r="EK703" s="318">
        <f t="shared" ca="1" si="275"/>
        <v>32470.344618240688</v>
      </c>
      <c r="EL703" s="319">
        <f t="shared" ca="1" si="302"/>
        <v>5675252.0181639623</v>
      </c>
      <c r="EN703" s="95">
        <f t="shared" si="276"/>
        <v>37</v>
      </c>
      <c r="EO703" s="339">
        <f t="shared" ca="1" si="277"/>
        <v>32470.344618240688</v>
      </c>
      <c r="EP703" s="341">
        <f t="shared" ca="1" si="303"/>
        <v>8780307.7421275098</v>
      </c>
    </row>
    <row r="704" spans="1:146" s="266" customFormat="1" x14ac:dyDescent="0.25">
      <c r="A704" s="313">
        <v>38</v>
      </c>
      <c r="B704" s="314">
        <v>38</v>
      </c>
      <c r="C704" s="308">
        <f>VLOOKUP($B704,'Infant adult mortality'!$A$27:$I$128,3)</f>
        <v>6.3902240325865579E-4</v>
      </c>
      <c r="D704" s="309">
        <f t="shared" si="221"/>
        <v>0.27</v>
      </c>
      <c r="E704" s="309">
        <f>VLOOKUP($B704,'Infant pick up smoking rates'!$A$19:$I$104,3)</f>
        <v>1.5201831243956284E-3</v>
      </c>
      <c r="F704" s="309">
        <f t="shared" si="222"/>
        <v>6.991058684958083E-3</v>
      </c>
      <c r="G704" s="309">
        <f t="shared" si="223"/>
        <v>0.72084973578738765</v>
      </c>
      <c r="H704" s="309">
        <f>VLOOKUP($B704,'Infant adult mortality'!$A$27:$I$128,3)</f>
        <v>6.3902240325865579E-4</v>
      </c>
      <c r="I704" s="309">
        <f t="shared" si="224"/>
        <v>0.14000000000000001</v>
      </c>
      <c r="J704" s="309">
        <f>VLOOKUP($B704,'Infant pick up smoking rates'!$A$19:$I$104,2)</f>
        <v>1.5201831243956284E-3</v>
      </c>
      <c r="K704" s="309">
        <f t="shared" si="225"/>
        <v>6.991058684958083E-3</v>
      </c>
      <c r="L704" s="309">
        <f t="shared" si="226"/>
        <v>0.85084973578738765</v>
      </c>
      <c r="M704" s="309">
        <f>VLOOKUP($B704,'Infant adult mortality'!$A$27:$I$128,3)</f>
        <v>6.3902240325865579E-4</v>
      </c>
      <c r="N704" s="309">
        <f t="shared" si="227"/>
        <v>0.5714285714285714</v>
      </c>
      <c r="O704" s="309">
        <f>VLOOKUP($B704,'Infant pick up smoking rates'!$A$19:$I$104,2)</f>
        <v>1.5201831243956284E-3</v>
      </c>
      <c r="P704" s="309">
        <f t="shared" si="228"/>
        <v>4.7003713711633076E-3</v>
      </c>
      <c r="Q704" s="309">
        <f t="shared" si="229"/>
        <v>0.42171185167261105</v>
      </c>
      <c r="R704" s="309">
        <f>VLOOKUP($B704,'Infant adult mortality'!$A$27:$I$128,3)</f>
        <v>6.3902240325865579E-4</v>
      </c>
      <c r="S704" s="309">
        <f t="shared" si="230"/>
        <v>8.6261668788331098E-3</v>
      </c>
      <c r="T704" s="309">
        <f>VLOOKUP($B704,'Infant pick up smoking rates'!$A$19:$I$104,2)</f>
        <v>1.5201831243956284E-3</v>
      </c>
      <c r="U704" s="309">
        <f t="shared" si="231"/>
        <v>4.7003713711633076E-3</v>
      </c>
      <c r="V704" s="309">
        <f t="shared" si="232"/>
        <v>0.98451425622234934</v>
      </c>
      <c r="W704" s="309">
        <f>VLOOKUP($B704,'Infant adult mortality'!$A$27:$I$128,3)</f>
        <v>6.3902240325865579E-4</v>
      </c>
      <c r="X704" s="309">
        <f>VLOOKUP($B704,'Infant pick up smoking rates'!$A$19:$I$104,2)</f>
        <v>1.5201831243956284E-3</v>
      </c>
      <c r="Y704" s="309">
        <f t="shared" si="233"/>
        <v>0.99784079447234575</v>
      </c>
      <c r="Z704" s="309">
        <f>VLOOKUP($B704,'Infant adult mortality'!$A$27:$I$128,5)</f>
        <v>1.1182892057026476E-3</v>
      </c>
      <c r="AA704" s="309">
        <f t="shared" si="234"/>
        <v>0.25</v>
      </c>
      <c r="AB704" s="309">
        <f t="shared" si="235"/>
        <v>0.74888171079429733</v>
      </c>
      <c r="AC704" s="309">
        <f>VLOOKUP($B704,'Infant adult mortality'!$A$27:$I$128,5)</f>
        <v>1.1182892057026476E-3</v>
      </c>
      <c r="AD704" s="309">
        <f t="shared" si="236"/>
        <v>0.14000000000000001</v>
      </c>
      <c r="AE704" s="309">
        <f t="shared" si="237"/>
        <v>0.85888171079429732</v>
      </c>
      <c r="AF704" s="309">
        <f>VLOOKUP($B704,'Infant adult mortality'!$A$27:$I$128,4)</f>
        <v>7.9877800407331979E-4</v>
      </c>
      <c r="AG704" s="309">
        <f t="shared" si="238"/>
        <v>0.5714285714285714</v>
      </c>
      <c r="AH704" s="309">
        <f t="shared" si="239"/>
        <v>0.42777265056735531</v>
      </c>
      <c r="AI704" s="309">
        <f>VLOOKUP($B704,'Infant adult mortality'!$A$27:$I$128,4)</f>
        <v>7.9877800407331979E-4</v>
      </c>
      <c r="AJ704" s="309">
        <f t="shared" si="240"/>
        <v>8.6261668788331098E-3</v>
      </c>
      <c r="AK704" s="309">
        <f t="shared" si="241"/>
        <v>0.99057505511709354</v>
      </c>
      <c r="AL704" s="309"/>
      <c r="AM704" s="315">
        <f t="shared" si="278"/>
        <v>62.433476408086442</v>
      </c>
      <c r="AN704" s="316">
        <f t="shared" si="279"/>
        <v>17.174474289767112</v>
      </c>
      <c r="AO704" s="316">
        <f t="shared" si="280"/>
        <v>2.4495600602036753</v>
      </c>
      <c r="AP704" s="316">
        <f t="shared" si="281"/>
        <v>74.656279807478583</v>
      </c>
      <c r="AQ704" s="316">
        <f t="shared" si="282"/>
        <v>13.337020008424433</v>
      </c>
      <c r="AR704" s="316">
        <f t="shared" si="283"/>
        <v>162.95414346135513</v>
      </c>
      <c r="AS704" s="316">
        <f t="shared" si="284"/>
        <v>41.279718477936775</v>
      </c>
      <c r="AT704" s="316">
        <f t="shared" si="285"/>
        <v>5.8562298026348731</v>
      </c>
      <c r="AU704" s="316">
        <f t="shared" si="286"/>
        <v>69.385655760278141</v>
      </c>
      <c r="AV704" s="316">
        <f t="shared" si="287"/>
        <v>60.473441923834372</v>
      </c>
      <c r="AW704" s="317">
        <f t="shared" si="242"/>
        <v>509.99999999999955</v>
      </c>
      <c r="AX704" s="309"/>
      <c r="AY704" s="308">
        <f>VLOOKUP($B704,'Infant adult mortality'!$A$134:$I$234,3)</f>
        <v>3.7425661914460283E-4</v>
      </c>
      <c r="AZ704" s="309">
        <f t="shared" si="243"/>
        <v>0.27</v>
      </c>
      <c r="BA704" s="309">
        <f ca="1">VLOOKUP($B704,'Infant pick up smoking rates'!$A$19:$I$104,7)</f>
        <v>3.9916955482353625E-3</v>
      </c>
      <c r="BB704" s="309">
        <f t="shared" si="244"/>
        <v>6.991058684958083E-3</v>
      </c>
      <c r="BC704" s="309">
        <f t="shared" ca="1" si="245"/>
        <v>0.718642989147662</v>
      </c>
      <c r="BD704" s="309">
        <f>VLOOKUP($B704,'Infant adult mortality'!$A$134:$I$234,3)</f>
        <v>3.7425661914460283E-4</v>
      </c>
      <c r="BE704" s="309">
        <f t="shared" si="246"/>
        <v>0.14000000000000001</v>
      </c>
      <c r="BF704" s="309">
        <f>VLOOKUP($B704,'Infant pick up smoking rates'!$A$19:$I$104,6)</f>
        <v>1.9288936901483743E-3</v>
      </c>
      <c r="BG704" s="309">
        <f t="shared" si="247"/>
        <v>6.991058684958083E-3</v>
      </c>
      <c r="BH704" s="309">
        <f t="shared" si="248"/>
        <v>0.85070579100574895</v>
      </c>
      <c r="BI704" s="309">
        <f>VLOOKUP($B704,'Infant adult mortality'!$A$134:$I$234,3)</f>
        <v>3.7425661914460283E-4</v>
      </c>
      <c r="BJ704" s="309">
        <f t="shared" si="249"/>
        <v>0.5714285714285714</v>
      </c>
      <c r="BK704" s="309">
        <f>VLOOKUP($B704,'Infant pick up smoking rates'!$A$19:$I$104,6)</f>
        <v>1.9288936901483743E-3</v>
      </c>
      <c r="BL704" s="309">
        <f t="shared" si="250"/>
        <v>4.7003713711633076E-3</v>
      </c>
      <c r="BM704" s="309">
        <f t="shared" si="251"/>
        <v>0.42156790689097234</v>
      </c>
      <c r="BN704" s="309">
        <f>VLOOKUP($B704,'Infant adult mortality'!$A$134:$I$234,3)</f>
        <v>3.7425661914460283E-4</v>
      </c>
      <c r="BO704" s="309">
        <f t="shared" si="252"/>
        <v>8.6261668788331098E-3</v>
      </c>
      <c r="BP704" s="309">
        <f>VLOOKUP($B704,'Infant pick up smoking rates'!$A$19:$I$104,6)</f>
        <v>1.9288936901483743E-3</v>
      </c>
      <c r="BQ704" s="309">
        <f t="shared" si="253"/>
        <v>4.7003713711633076E-3</v>
      </c>
      <c r="BR704" s="309">
        <f t="shared" si="254"/>
        <v>0.98437031144071063</v>
      </c>
      <c r="BS704" s="309">
        <f>VLOOKUP($B704,'Infant adult mortality'!$A$134:$I$234,3)</f>
        <v>3.7425661914460283E-4</v>
      </c>
      <c r="BT704" s="309">
        <f>VLOOKUP($B704,'Infant pick up smoking rates'!$A$19:$I$104,6)</f>
        <v>1.9288936901483743E-3</v>
      </c>
      <c r="BU704" s="309">
        <f t="shared" si="255"/>
        <v>0.99769684969070704</v>
      </c>
      <c r="BV704" s="309">
        <f>VLOOKUP($B704,'Infant adult mortality'!$A$134:$I$234,5)</f>
        <v>6.5494908350305489E-4</v>
      </c>
      <c r="BW704" s="309">
        <f t="shared" si="256"/>
        <v>0.27</v>
      </c>
      <c r="BX704" s="309">
        <f t="shared" si="257"/>
        <v>0.72934505091649693</v>
      </c>
      <c r="BY704" s="309">
        <f>VLOOKUP($B704,'Infant adult mortality'!$A$134:$I$234,5)</f>
        <v>6.5494908350305489E-4</v>
      </c>
      <c r="BZ704" s="309">
        <f t="shared" si="258"/>
        <v>0.14000000000000001</v>
      </c>
      <c r="CA704" s="309">
        <f t="shared" si="259"/>
        <v>0.85934505091649693</v>
      </c>
      <c r="CB704" s="309">
        <f>VLOOKUP($B704,'Infant adult mortality'!$A$134:$I$234,4)</f>
        <v>4.6782077393075355E-4</v>
      </c>
      <c r="CC704" s="309">
        <f t="shared" si="260"/>
        <v>0.5714285714285714</v>
      </c>
      <c r="CD704" s="309">
        <f t="shared" si="261"/>
        <v>0.42810360779749784</v>
      </c>
      <c r="CE704" s="309">
        <f>VLOOKUP($B704,'Infant adult mortality'!$A$134:$I$234,4)</f>
        <v>4.6782077393075355E-4</v>
      </c>
      <c r="CF704" s="309">
        <f t="shared" si="262"/>
        <v>8.6261668788331098E-3</v>
      </c>
      <c r="CG704" s="309">
        <f t="shared" si="263"/>
        <v>0.99090601234723619</v>
      </c>
      <c r="CH704" s="309"/>
      <c r="CI704" s="315">
        <f t="shared" ca="1" si="288"/>
        <v>84.105725496343609</v>
      </c>
      <c r="CJ704" s="316">
        <f t="shared" ca="1" si="289"/>
        <v>23.185809913717922</v>
      </c>
      <c r="CK704" s="316">
        <f t="shared" ca="1" si="290"/>
        <v>3.3142158862923941</v>
      </c>
      <c r="CL704" s="316">
        <f t="shared" ca="1" si="291"/>
        <v>96.495038319279146</v>
      </c>
      <c r="CM704" s="316">
        <f t="shared" ca="1" si="292"/>
        <v>17.655250379763782</v>
      </c>
      <c r="CN704" s="316">
        <f t="shared" ca="1" si="293"/>
        <v>119.57198463519958</v>
      </c>
      <c r="CO704" s="316">
        <f t="shared" ca="1" si="294"/>
        <v>32.638913686525711</v>
      </c>
      <c r="CP704" s="316">
        <f t="shared" ca="1" si="295"/>
        <v>4.6201494473039881</v>
      </c>
      <c r="CQ704" s="316">
        <f t="shared" ca="1" si="296"/>
        <v>52.503196149001674</v>
      </c>
      <c r="CR704" s="316">
        <f t="shared" ca="1" si="297"/>
        <v>55.90971608657231</v>
      </c>
      <c r="CS704" s="317">
        <f t="shared" ca="1" si="264"/>
        <v>490.00000000000011</v>
      </c>
      <c r="CT704" s="309"/>
      <c r="CU704" s="309">
        <f t="shared" ca="1" si="265"/>
        <v>999.99999999999966</v>
      </c>
      <c r="CV704" s="309" t="str">
        <f t="shared" ca="1" si="216"/>
        <v>OKAY</v>
      </c>
      <c r="CW704" s="309"/>
      <c r="CX704" s="315">
        <f>(SUM($AR704:$AS704))-((SUM($AR704:$AS704)*VLOOKUP($B704,Lifetime_morbidity_array!$A$30:$Y$48,4))+(SUM($AR704:$AS704)*VLOOKUP($B704,Lifetime_morbidity_array!$A$30:$Y$48,7))+(SUM($AR704:$AS704)*VLOOKUP($B704,Lifetime_morbidity_array!$A$30:$Y$48,10))+(SUM($AR704:$AS704)*VLOOKUP($B704,Lifetime_morbidity_array!$A$30:$Y$48,13)))</f>
        <v>199.40281418032657</v>
      </c>
      <c r="CY704" s="316">
        <f>(SUM($AT704:$AU704))-((SUM($AT704:$AU704)*(VLOOKUP($B704,Lifetime_morbidity_array!$A$30:$Y$48,3)))+(SUM($AT704:$AU704)*(VLOOKUP($B704,Lifetime_morbidity_array!$A$30:$Y$48,6)))+(SUM($AT704:$AU704)*(VLOOKUP($B704,Lifetime_morbidity_array!$A$30:$Y$48,9)))+(SUM($AT704:$AU704)*(VLOOKUP($B704,Lifetime_morbidity_array!$A$30:$Y$48,12))))</f>
        <v>74.417017158310728</v>
      </c>
      <c r="CZ704" s="316">
        <f>(SUM($AM704:$AQ704))-((SUM($AM704:$AQ704)*VLOOKUP($B704,Lifetime_morbidity_array!$A$30:$Y$48,2))+(SUM($AM704:$AQ704)*VLOOKUP($B704,Lifetime_morbidity_array!$A$30:$Y$48,5))+(SUM($AM704:$AQ704)*VLOOKUP($B704,Lifetime_morbidity_array!$A$30:$Y$48,8))+(SUM($AM704:$AQ704)*VLOOKUP($B704,Lifetime_morbidity_array!$A$30:$Y$48,11)))</f>
        <v>168.78375401467412</v>
      </c>
      <c r="DA704" s="316">
        <f>(SUM($AM704:$AQ704)*VLOOKUP($B704,Lifetime_morbidity_array!$A$30:$Y$48,2))+(SUM($AR704:$AS704)*VLOOKUP($B704,Lifetime_morbidity_array!$A$30:$Y$48,4))+(SUM($AT704:$AU704)*(VLOOKUP($B704,Lifetime_morbidity_array!$A$30:$Y$48,3)))</f>
        <v>3.5820214019338481</v>
      </c>
      <c r="DB704" s="316">
        <f>(SUM($AM704:$AQ704)*VLOOKUP($B704,Lifetime_morbidity_array!$A$30:$Y$48,5))+(SUM($AR704:$AS704)*VLOOKUP($B704,Lifetime_morbidity_array!$A$30:$Y$48,7))+(SUM($AT704:$AU704)*(VLOOKUP($B704,Lifetime_morbidity_array!$A$30:$Y$48,6)))</f>
        <v>0.54551564873632552</v>
      </c>
      <c r="DC704" s="316">
        <f>(SUM($AM704:$AQ704)*VLOOKUP($B704,Lifetime_morbidity_array!$A$30:$Y$48,8))+(SUM($AR704:$AS704)*VLOOKUP($B704,Lifetime_morbidity_array!$A$30:$Y$48,10))+(SUM($AT704:$AU704)*(VLOOKUP($B704,Lifetime_morbidity_array!$A$30:$Y$48,9)))</f>
        <v>1.4341573586497441E-2</v>
      </c>
      <c r="DD704" s="317">
        <f>(SUM($AM704:$AQ704)*VLOOKUP($B704,Lifetime_morbidity_array!$A$30:$Y$48,11))+(SUM($AR704:$AS704)*VLOOKUP($B704,Lifetime_morbidity_array!$A$30:$Y$48,13))+(SUM($AT704:$AU704)*(VLOOKUP($B704,Lifetime_morbidity_array!$A$30:$Y$48,12)))</f>
        <v>2.7810940985970971</v>
      </c>
      <c r="DE704" s="309"/>
      <c r="DF704" s="315">
        <f ca="1">(SUM($CN704:$CO704))-((SUM($CN704:$CO704)*VLOOKUP($B704,Lifetime_morbidity_array!$A$6:$Y$24,4))+(SUM($CN704:$CO704)*VLOOKUP($B704,Lifetime_morbidity_array!$A$6:$Y$24,7))+(SUM($CN704:$CO704)*VLOOKUP($B704,Lifetime_morbidity_array!$A$6:$Y$24,10))+(SUM($CN704:$CO704)*VLOOKUP($B704,Lifetime_morbidity_array!$A$6:$Y$24,13)))</f>
        <v>149.54343775659339</v>
      </c>
      <c r="DG704" s="316">
        <f ca="1">(SUM($CP704:$CQ704))-(((SUM($CP704:$CQ704)*VLOOKUP($B704,Lifetime_morbidity_array!$A$6:$Y$24,3))+(SUM($CP704:$CQ704)*VLOOKUP($B704,Lifetime_morbidity_array!$A$6:$Y$24,6))+(SUM($CP704:$CQ704)*VLOOKUP($B704,Lifetime_morbidity_array!$A$6:$Y$24,9))+(SUM($CP704:$CQ704)*VLOOKUP($B704,Lifetime_morbidity_array!$A$6:$Y$24,12))))</f>
        <v>56.715098358870023</v>
      </c>
      <c r="DH704" s="316">
        <f ca="1">(SUM($CI704:$CM704))-((SUM($CI704:$CM704)*VLOOKUP($B704,Lifetime_morbidity_array!$A$6:$Y$24,2))+(SUM($CI704:$CM704)*VLOOKUP($B704,Lifetime_morbidity_array!$A$6:$Y$24,5))+(SUM($CI704:$CM704)*VLOOKUP($B704,Lifetime_morbidity_array!$A$6:$Y$24,8))+(SUM($CI704:$CM704)*VLOOKUP($B704,Lifetime_morbidity_array!$A$6:$Y$24,11)))</f>
        <v>223.63504968107947</v>
      </c>
      <c r="DI704" s="316">
        <f ca="1">(SUM($CI704:$CM704)*VLOOKUP($B704,Lifetime_morbidity_array!$A$6:$Y$24,2))+(SUM($CN704:$CO704)*VLOOKUP($B704,Lifetime_morbidity_array!$A$6:$Y$24,4))+(SUM($CP704:$CQ704)*VLOOKUP($B704,Lifetime_morbidity_array!$A$6:$Y$24,3))</f>
        <v>1.6469245750434951</v>
      </c>
      <c r="DJ704" s="316">
        <f ca="1">(SUM($CI704:$CM704)*VLOOKUP($B704,Lifetime_morbidity_array!$A$6:$Y$24,5))+(SUM($CN704:$CO704)*VLOOKUP($B704,Lifetime_morbidity_array!$A$6:$Y$24,7))+(SUM($CP704:$CQ704)*VLOOKUP($B704,Lifetime_morbidity_array!$A$6:$Y$24,6))</f>
        <v>0.5015879294731479</v>
      </c>
      <c r="DK704" s="316">
        <f ca="1">(SUM($CI704:$CM704)*VLOOKUP($B704,Lifetime_morbidity_array!$A$6:$Y$24,8))+(SUM($CN704:$CO704)*VLOOKUP($B704,Lifetime_morbidity_array!$A$6:$Y$24,10))+(SUM($CP704:$CQ704)*VLOOKUP($B704,Lifetime_morbidity_array!$A$6:$Y$24,9))</f>
        <v>1.2862064356296931E-2</v>
      </c>
      <c r="DL704" s="317">
        <f ca="1">(SUM($CI704:$CM704)*VLOOKUP($B704,Lifetime_morbidity_array!$A$6:$Y$24,11))+(SUM($CN704:$CO704)*VLOOKUP($B704,Lifetime_morbidity_array!$A$6:$Y$24,13))+(SUM($CP704:$CQ704)*VLOOKUP($B704,Lifetime_morbidity_array!$A$6:$Y$24,12))</f>
        <v>2.0353235480119856</v>
      </c>
      <c r="DM704" s="309"/>
      <c r="DN704" s="308">
        <f t="shared" si="266"/>
        <v>38</v>
      </c>
      <c r="DO704" s="309">
        <f t="shared" ca="1" si="267"/>
        <v>239.07308896622291</v>
      </c>
      <c r="DP704" s="310">
        <f t="shared" ca="1" si="298"/>
        <v>18534.726206081588</v>
      </c>
      <c r="DQ704" s="309"/>
      <c r="DR704" s="308">
        <f t="shared" si="268"/>
        <v>38</v>
      </c>
      <c r="DS704" s="309">
        <f ca="1">((VLOOKUP($B704,'Mahawesran Tariff'!$A$21:$M$120,4)*'Experimental (DET)'!$CX704)+(VLOOKUP($B704,'Mahawesran Tariff'!$A$21:$M$120,3)*'Experimental (DET)'!$CY704)+(VLOOKUP($B704,'Mahawesran Tariff'!$A$21:$M$120,2)*'Experimental (DET)'!$CZ704)+(VLOOKUP($B704,'Mahawesran Tariff'!$A$21:$M$120,7)*'Experimental (DET)'!$DF704)+(VLOOKUP($B704,'Mahawesran Tariff'!$A$21:$M$120,6)*'Experimental (DET)'!$DG704)+(VLOOKUP($B704,'Mahawesran Tariff'!$A$21:$M$120,5)*'Experimental (DET)'!$DH704)+(DET_UTIL_chd*('Experimental (DET)'!$DA704+'Experimental (DET)'!$DI704))+(DET_UTIL_copd*('Experimental (DET)'!$DB704+'Experimental (DET)'!$DJ704))+(DET_UTIL_lc*('Experimental (DET)'!$DC704+'Experimental (DET)'!$DK704))+(DET_UTIL_stroke*('Experimental (DET)'!$DD704+'Experimental (DET)'!$DL704)))/((1+Discount_rate_QALYs)^$A704)</f>
        <v>234.65588837992343</v>
      </c>
      <c r="DT704" s="310">
        <f t="shared" ca="1" si="299"/>
        <v>18499.958960817941</v>
      </c>
      <c r="DU704" s="309"/>
      <c r="DV704" s="308">
        <f t="shared" si="269"/>
        <v>38</v>
      </c>
      <c r="DW704" s="318">
        <f t="shared" ca="1" si="270"/>
        <v>31221.088650019883</v>
      </c>
      <c r="DX704" s="319">
        <f t="shared" ca="1" si="300"/>
        <v>5709513.1068139831</v>
      </c>
      <c r="DZ704" s="95">
        <f t="shared" si="271"/>
        <v>38</v>
      </c>
      <c r="EA704" s="268">
        <f t="shared" ca="1" si="217"/>
        <v>0.883616841989593</v>
      </c>
      <c r="EB704" s="268">
        <f t="shared" ca="1" si="218"/>
        <v>0.11638315801040668</v>
      </c>
      <c r="EC704" s="268">
        <f t="shared" ca="1" si="219"/>
        <v>1.1119670839738693E-2</v>
      </c>
      <c r="ED704" s="290">
        <f t="shared" ca="1" si="220"/>
        <v>0.48880999142023585</v>
      </c>
      <c r="EF704" s="95">
        <f t="shared" si="272"/>
        <v>38</v>
      </c>
      <c r="EG704" s="339">
        <f t="shared" ca="1" si="273"/>
        <v>31221.088650019883</v>
      </c>
      <c r="EH704" s="341">
        <f t="shared" ca="1" si="301"/>
        <v>8811528.8307775296</v>
      </c>
      <c r="EJ704" s="308">
        <f t="shared" si="274"/>
        <v>38</v>
      </c>
      <c r="EK704" s="318">
        <f t="shared" ca="1" si="275"/>
        <v>31221.088650019883</v>
      </c>
      <c r="EL704" s="319">
        <f t="shared" ca="1" si="302"/>
        <v>5706473.1068139821</v>
      </c>
      <c r="EN704" s="95">
        <f t="shared" si="276"/>
        <v>38</v>
      </c>
      <c r="EO704" s="339">
        <f t="shared" ca="1" si="277"/>
        <v>31221.088650019883</v>
      </c>
      <c r="EP704" s="341">
        <f t="shared" ca="1" si="303"/>
        <v>8811528.8307775296</v>
      </c>
    </row>
    <row r="705" spans="1:146" s="266" customFormat="1" x14ac:dyDescent="0.25">
      <c r="A705" s="313">
        <v>39</v>
      </c>
      <c r="B705" s="314">
        <v>39</v>
      </c>
      <c r="C705" s="308">
        <f>VLOOKUP($B705,'Infant adult mortality'!$A$27:$I$128,3)</f>
        <v>7.0989816700611004E-4</v>
      </c>
      <c r="D705" s="309">
        <f t="shared" si="221"/>
        <v>0.27</v>
      </c>
      <c r="E705" s="309">
        <f>VLOOKUP($B705,'Infant pick up smoking rates'!$A$19:$I$104,3)</f>
        <v>1.5201831243956284E-3</v>
      </c>
      <c r="F705" s="309">
        <f t="shared" si="222"/>
        <v>7.543511397491859E-3</v>
      </c>
      <c r="G705" s="309">
        <f t="shared" si="223"/>
        <v>0.72022640731110643</v>
      </c>
      <c r="H705" s="309">
        <f>VLOOKUP($B705,'Infant adult mortality'!$A$27:$I$128,3)</f>
        <v>7.0989816700611004E-4</v>
      </c>
      <c r="I705" s="309">
        <f t="shared" si="224"/>
        <v>0.14000000000000001</v>
      </c>
      <c r="J705" s="309">
        <f>VLOOKUP($B705,'Infant pick up smoking rates'!$A$19:$I$104,2)</f>
        <v>1.5201831243956284E-3</v>
      </c>
      <c r="K705" s="309">
        <f t="shared" si="225"/>
        <v>7.543511397491859E-3</v>
      </c>
      <c r="L705" s="309">
        <f t="shared" si="226"/>
        <v>0.85022640731110644</v>
      </c>
      <c r="M705" s="309">
        <f>VLOOKUP($B705,'Infant adult mortality'!$A$27:$I$128,3)</f>
        <v>7.0989816700611004E-4</v>
      </c>
      <c r="N705" s="309">
        <f t="shared" si="227"/>
        <v>0.5714285714285714</v>
      </c>
      <c r="O705" s="309">
        <f>VLOOKUP($B705,'Infant pick up smoking rates'!$A$19:$I$104,2)</f>
        <v>1.5201831243956284E-3</v>
      </c>
      <c r="P705" s="309">
        <f t="shared" si="228"/>
        <v>5.0718076629945276E-3</v>
      </c>
      <c r="Q705" s="309">
        <f t="shared" si="229"/>
        <v>0.42126953961703234</v>
      </c>
      <c r="R705" s="309">
        <f>VLOOKUP($B705,'Infant adult mortality'!$A$27:$I$128,3)</f>
        <v>7.0989816700611004E-4</v>
      </c>
      <c r="S705" s="309">
        <f t="shared" si="230"/>
        <v>8.6261668788331098E-3</v>
      </c>
      <c r="T705" s="309">
        <f>VLOOKUP($B705,'Infant pick up smoking rates'!$A$19:$I$104,2)</f>
        <v>1.5201831243956284E-3</v>
      </c>
      <c r="U705" s="309">
        <f t="shared" si="231"/>
        <v>5.0718076629945276E-3</v>
      </c>
      <c r="V705" s="309">
        <f t="shared" si="232"/>
        <v>0.98407194416677068</v>
      </c>
      <c r="W705" s="309">
        <f>VLOOKUP($B705,'Infant adult mortality'!$A$27:$I$128,3)</f>
        <v>7.0989816700611004E-4</v>
      </c>
      <c r="X705" s="309">
        <f>VLOOKUP($B705,'Infant pick up smoking rates'!$A$19:$I$104,2)</f>
        <v>1.5201831243956284E-3</v>
      </c>
      <c r="Y705" s="309">
        <f t="shared" si="233"/>
        <v>0.99776991870859832</v>
      </c>
      <c r="Z705" s="309">
        <f>VLOOKUP($B705,'Infant adult mortality'!$A$27:$I$128,5)</f>
        <v>1.2423217922606924E-3</v>
      </c>
      <c r="AA705" s="309">
        <f t="shared" si="234"/>
        <v>0.25</v>
      </c>
      <c r="AB705" s="309">
        <f t="shared" si="235"/>
        <v>0.74875767820773931</v>
      </c>
      <c r="AC705" s="309">
        <f>VLOOKUP($B705,'Infant adult mortality'!$A$27:$I$128,5)</f>
        <v>1.2423217922606924E-3</v>
      </c>
      <c r="AD705" s="309">
        <f t="shared" si="236"/>
        <v>0.14000000000000001</v>
      </c>
      <c r="AE705" s="309">
        <f t="shared" si="237"/>
        <v>0.85875767820773929</v>
      </c>
      <c r="AF705" s="309">
        <f>VLOOKUP($B705,'Infant adult mortality'!$A$27:$I$128,4)</f>
        <v>8.8737270875763753E-4</v>
      </c>
      <c r="AG705" s="309">
        <f t="shared" si="238"/>
        <v>0.5714285714285714</v>
      </c>
      <c r="AH705" s="309">
        <f t="shared" si="239"/>
        <v>0.42768405586267094</v>
      </c>
      <c r="AI705" s="309">
        <f>VLOOKUP($B705,'Infant adult mortality'!$A$27:$I$128,4)</f>
        <v>8.8737270875763753E-4</v>
      </c>
      <c r="AJ705" s="309">
        <f t="shared" si="240"/>
        <v>8.6261668788331098E-3</v>
      </c>
      <c r="AK705" s="309">
        <f t="shared" si="241"/>
        <v>0.99048646041240929</v>
      </c>
      <c r="AL705" s="309"/>
      <c r="AM705" s="315">
        <f t="shared" si="278"/>
        <v>61.244352549182928</v>
      </c>
      <c r="AN705" s="316">
        <f t="shared" si="279"/>
        <v>16.857038630183339</v>
      </c>
      <c r="AO705" s="316">
        <f t="shared" si="280"/>
        <v>2.4044264005673956</v>
      </c>
      <c r="AP705" s="316">
        <f t="shared" si="281"/>
        <v>74.866899020234541</v>
      </c>
      <c r="AQ705" s="316">
        <f t="shared" si="282"/>
        <v>14.298866842543365</v>
      </c>
      <c r="AR705" s="316">
        <f t="shared" si="283"/>
        <v>160.8240980418017</v>
      </c>
      <c r="AS705" s="316">
        <f t="shared" si="284"/>
        <v>40.738535865338783</v>
      </c>
      <c r="AT705" s="316">
        <f t="shared" si="285"/>
        <v>5.7791605869111491</v>
      </c>
      <c r="AU705" s="316">
        <f t="shared" si="286"/>
        <v>72.071969607468873</v>
      </c>
      <c r="AV705" s="316">
        <f t="shared" si="287"/>
        <v>60.914652455767467</v>
      </c>
      <c r="AW705" s="317">
        <f t="shared" si="242"/>
        <v>509.99999999999955</v>
      </c>
      <c r="AX705" s="309"/>
      <c r="AY705" s="308">
        <f>VLOOKUP($B705,'Infant adult mortality'!$A$134:$I$234,3)</f>
        <v>4.0562118126272911E-4</v>
      </c>
      <c r="AZ705" s="309">
        <f t="shared" si="243"/>
        <v>0.27</v>
      </c>
      <c r="BA705" s="309">
        <f ca="1">VLOOKUP($B705,'Infant pick up smoking rates'!$A$19:$I$104,7)</f>
        <v>3.9916955482353625E-3</v>
      </c>
      <c r="BB705" s="309">
        <f t="shared" si="244"/>
        <v>7.543511397491859E-3</v>
      </c>
      <c r="BC705" s="309">
        <f t="shared" ca="1" si="245"/>
        <v>0.71805917187301005</v>
      </c>
      <c r="BD705" s="309">
        <f>VLOOKUP($B705,'Infant adult mortality'!$A$134:$I$234,3)</f>
        <v>4.0562118126272911E-4</v>
      </c>
      <c r="BE705" s="309">
        <f t="shared" si="246"/>
        <v>0.14000000000000001</v>
      </c>
      <c r="BF705" s="309">
        <f>VLOOKUP($B705,'Infant pick up smoking rates'!$A$19:$I$104,6)</f>
        <v>1.9288936901483743E-3</v>
      </c>
      <c r="BG705" s="309">
        <f t="shared" si="247"/>
        <v>7.543511397491859E-3</v>
      </c>
      <c r="BH705" s="309">
        <f t="shared" si="248"/>
        <v>0.85012197373109699</v>
      </c>
      <c r="BI705" s="309">
        <f>VLOOKUP($B705,'Infant adult mortality'!$A$134:$I$234,3)</f>
        <v>4.0562118126272911E-4</v>
      </c>
      <c r="BJ705" s="309">
        <f t="shared" si="249"/>
        <v>0.5714285714285714</v>
      </c>
      <c r="BK705" s="309">
        <f>VLOOKUP($B705,'Infant pick up smoking rates'!$A$19:$I$104,6)</f>
        <v>1.9288936901483743E-3</v>
      </c>
      <c r="BL705" s="309">
        <f t="shared" si="250"/>
        <v>5.0718076629945276E-3</v>
      </c>
      <c r="BM705" s="309">
        <f t="shared" si="251"/>
        <v>0.42116510603702295</v>
      </c>
      <c r="BN705" s="309">
        <f>VLOOKUP($B705,'Infant adult mortality'!$A$134:$I$234,3)</f>
        <v>4.0562118126272911E-4</v>
      </c>
      <c r="BO705" s="309">
        <f t="shared" si="252"/>
        <v>8.6261668788331098E-3</v>
      </c>
      <c r="BP705" s="309">
        <f>VLOOKUP($B705,'Infant pick up smoking rates'!$A$19:$I$104,6)</f>
        <v>1.9288936901483743E-3</v>
      </c>
      <c r="BQ705" s="309">
        <f t="shared" si="253"/>
        <v>5.0718076629945276E-3</v>
      </c>
      <c r="BR705" s="309">
        <f t="shared" si="254"/>
        <v>0.98396751058676124</v>
      </c>
      <c r="BS705" s="309">
        <f>VLOOKUP($B705,'Infant adult mortality'!$A$134:$I$234,3)</f>
        <v>4.0562118126272911E-4</v>
      </c>
      <c r="BT705" s="309">
        <f>VLOOKUP($B705,'Infant pick up smoking rates'!$A$19:$I$104,6)</f>
        <v>1.9288936901483743E-3</v>
      </c>
      <c r="BU705" s="309">
        <f t="shared" si="255"/>
        <v>0.99766548512858888</v>
      </c>
      <c r="BV705" s="309">
        <f>VLOOKUP($B705,'Infant adult mortality'!$A$134:$I$234,5)</f>
        <v>7.0983706720977589E-4</v>
      </c>
      <c r="BW705" s="309">
        <f t="shared" si="256"/>
        <v>0.27</v>
      </c>
      <c r="BX705" s="309">
        <f t="shared" si="257"/>
        <v>0.72929016293279025</v>
      </c>
      <c r="BY705" s="309">
        <f>VLOOKUP($B705,'Infant adult mortality'!$A$134:$I$234,5)</f>
        <v>7.0983706720977589E-4</v>
      </c>
      <c r="BZ705" s="309">
        <f t="shared" si="258"/>
        <v>0.14000000000000001</v>
      </c>
      <c r="CA705" s="309">
        <f t="shared" si="259"/>
        <v>0.85929016293279026</v>
      </c>
      <c r="CB705" s="309">
        <f>VLOOKUP($B705,'Infant adult mortality'!$A$134:$I$234,4)</f>
        <v>5.0702647657841133E-4</v>
      </c>
      <c r="CC705" s="309">
        <f t="shared" si="260"/>
        <v>0.5714285714285714</v>
      </c>
      <c r="CD705" s="309">
        <f t="shared" si="261"/>
        <v>0.42806440209485019</v>
      </c>
      <c r="CE705" s="309">
        <f>VLOOKUP($B705,'Infant adult mortality'!$A$134:$I$234,4)</f>
        <v>5.0702647657841133E-4</v>
      </c>
      <c r="CF705" s="309">
        <f t="shared" si="262"/>
        <v>8.6261668788331098E-3</v>
      </c>
      <c r="CG705" s="309">
        <f t="shared" si="263"/>
        <v>0.99086680664458848</v>
      </c>
      <c r="CH705" s="309"/>
      <c r="CI705" s="315">
        <f t="shared" ca="1" si="288"/>
        <v>82.331868474788536</v>
      </c>
      <c r="CJ705" s="316">
        <f t="shared" ca="1" si="289"/>
        <v>22.708545884012775</v>
      </c>
      <c r="CK705" s="316">
        <f t="shared" ca="1" si="290"/>
        <v>3.2460133879205095</v>
      </c>
      <c r="CL705" s="316">
        <f t="shared" ca="1" si="291"/>
        <v>96.841820288305172</v>
      </c>
      <c r="CM705" s="316">
        <f t="shared" ca="1" si="292"/>
        <v>18.929602195731523</v>
      </c>
      <c r="CN705" s="316">
        <f t="shared" ca="1" si="293"/>
        <v>118.28661641304765</v>
      </c>
      <c r="CO705" s="316">
        <f t="shared" ca="1" si="294"/>
        <v>32.284435851503886</v>
      </c>
      <c r="CP705" s="316">
        <f t="shared" ca="1" si="295"/>
        <v>4.5694479161136003</v>
      </c>
      <c r="CQ705" s="316">
        <f t="shared" ca="1" si="296"/>
        <v>54.663759705255167</v>
      </c>
      <c r="CR705" s="316">
        <f t="shared" ca="1" si="297"/>
        <v>56.137889883321307</v>
      </c>
      <c r="CS705" s="317">
        <f t="shared" ca="1" si="264"/>
        <v>490.00000000000011</v>
      </c>
      <c r="CT705" s="309"/>
      <c r="CU705" s="309">
        <f t="shared" ca="1" si="265"/>
        <v>999.99999999999966</v>
      </c>
      <c r="CV705" s="309" t="str">
        <f t="shared" ca="1" si="216"/>
        <v>OKAY</v>
      </c>
      <c r="CW705" s="309"/>
      <c r="CX705" s="315">
        <f>(SUM($AR705:$AS705))-((SUM($AR705:$AS705)*VLOOKUP($B705,Lifetime_morbidity_array!$A$30:$Y$48,4))+(SUM($AR705:$AS705)*VLOOKUP($B705,Lifetime_morbidity_array!$A$30:$Y$48,7))+(SUM($AR705:$AS705)*VLOOKUP($B705,Lifetime_morbidity_array!$A$30:$Y$48,10))+(SUM($AR705:$AS705)*VLOOKUP($B705,Lifetime_morbidity_array!$A$30:$Y$48,13)))</f>
        <v>196.79477268382539</v>
      </c>
      <c r="CY705" s="316">
        <f>(SUM($AT705:$AU705))-((SUM($AT705:$AU705)*(VLOOKUP($B705,Lifetime_morbidity_array!$A$30:$Y$48,3)))+(SUM($AT705:$AU705)*(VLOOKUP($B705,Lifetime_morbidity_array!$A$30:$Y$48,6)))+(SUM($AT705:$AU705)*(VLOOKUP($B705,Lifetime_morbidity_array!$A$30:$Y$48,9)))+(SUM($AT705:$AU705)*(VLOOKUP($B705,Lifetime_morbidity_array!$A$30:$Y$48,12))))</f>
        <v>76.997656931721977</v>
      </c>
      <c r="CZ705" s="316">
        <f>(SUM($AM705:$AQ705))-((SUM($AM705:$AQ705)*VLOOKUP($B705,Lifetime_morbidity_array!$A$30:$Y$48,2))+(SUM($AM705:$AQ705)*VLOOKUP($B705,Lifetime_morbidity_array!$A$30:$Y$48,5))+(SUM($AM705:$AQ705)*VLOOKUP($B705,Lifetime_morbidity_array!$A$30:$Y$48,8))+(SUM($AM705:$AQ705)*VLOOKUP($B705,Lifetime_morbidity_array!$A$30:$Y$48,11)))</f>
        <v>168.4073525225534</v>
      </c>
      <c r="DA705" s="316">
        <f>(SUM($AM705:$AQ705)*VLOOKUP($B705,Lifetime_morbidity_array!$A$30:$Y$48,2))+(SUM($AR705:$AS705)*VLOOKUP($B705,Lifetime_morbidity_array!$A$30:$Y$48,4))+(SUM($AT705:$AU705)*(VLOOKUP($B705,Lifetime_morbidity_array!$A$30:$Y$48,3)))</f>
        <v>3.5625881303773879</v>
      </c>
      <c r="DB705" s="316">
        <f>(SUM($AM705:$AQ705)*VLOOKUP($B705,Lifetime_morbidity_array!$A$30:$Y$48,5))+(SUM($AR705:$AS705)*VLOOKUP($B705,Lifetime_morbidity_array!$A$30:$Y$48,7))+(SUM($AT705:$AU705)*(VLOOKUP($B705,Lifetime_morbidity_array!$A$30:$Y$48,6)))</f>
        <v>0.54266717347178117</v>
      </c>
      <c r="DC705" s="316">
        <f>(SUM($AM705:$AQ705)*VLOOKUP($B705,Lifetime_morbidity_array!$A$30:$Y$48,8))+(SUM($AR705:$AS705)*VLOOKUP($B705,Lifetime_morbidity_array!$A$30:$Y$48,10))+(SUM($AT705:$AU705)*(VLOOKUP($B705,Lifetime_morbidity_array!$A$30:$Y$48,9)))</f>
        <v>1.4227866234599828E-2</v>
      </c>
      <c r="DD705" s="317">
        <f>(SUM($AM705:$AQ705)*VLOOKUP($B705,Lifetime_morbidity_array!$A$30:$Y$48,11))+(SUM($AR705:$AS705)*VLOOKUP($B705,Lifetime_morbidity_array!$A$30:$Y$48,13))+(SUM($AT705:$AU705)*(VLOOKUP($B705,Lifetime_morbidity_array!$A$30:$Y$48,12)))</f>
        <v>2.7660822360475259</v>
      </c>
      <c r="DE705" s="309"/>
      <c r="DF705" s="315">
        <f ca="1">(SUM($CN705:$CO705))-((SUM($CN705:$CO705)*VLOOKUP($B705,Lifetime_morbidity_array!$A$6:$Y$24,4))+(SUM($CN705:$CO705)*VLOOKUP($B705,Lifetime_morbidity_array!$A$6:$Y$24,7))+(SUM($CN705:$CO705)*VLOOKUP($B705,Lifetime_morbidity_array!$A$6:$Y$24,10))+(SUM($CN705:$CO705)*VLOOKUP($B705,Lifetime_morbidity_array!$A$6:$Y$24,13)))</f>
        <v>147.93232961988807</v>
      </c>
      <c r="DG705" s="316">
        <f ca="1">(SUM($CP705:$CQ705))-(((SUM($CP705:$CQ705)*VLOOKUP($B705,Lifetime_morbidity_array!$A$6:$Y$24,3))+(SUM($CP705:$CQ705)*VLOOKUP($B705,Lifetime_morbidity_array!$A$6:$Y$24,6))+(SUM($CP705:$CQ705)*VLOOKUP($B705,Lifetime_morbidity_array!$A$6:$Y$24,9))+(SUM($CP705:$CQ705)*VLOOKUP($B705,Lifetime_morbidity_array!$A$6:$Y$24,12))))</f>
        <v>58.809881691778273</v>
      </c>
      <c r="DH705" s="316">
        <f ca="1">(SUM($CI705:$CM705))-((SUM($CI705:$CM705)*VLOOKUP($B705,Lifetime_morbidity_array!$A$6:$Y$24,2))+(SUM($CI705:$CM705)*VLOOKUP($B705,Lifetime_morbidity_array!$A$6:$Y$24,5))+(SUM($CI705:$CM705)*VLOOKUP($B705,Lifetime_morbidity_array!$A$6:$Y$24,8))+(SUM($CI705:$CM705)*VLOOKUP($B705,Lifetime_morbidity_array!$A$6:$Y$24,11)))</f>
        <v>222.94034219866916</v>
      </c>
      <c r="DI705" s="316">
        <f ca="1">(SUM($CI705:$CM705)*VLOOKUP($B705,Lifetime_morbidity_array!$A$6:$Y$24,2))+(SUM($CN705:$CO705)*VLOOKUP($B705,Lifetime_morbidity_array!$A$6:$Y$24,4))+(SUM($CP705:$CQ705)*VLOOKUP($B705,Lifetime_morbidity_array!$A$6:$Y$24,3))</f>
        <v>1.6407537064860165</v>
      </c>
      <c r="DJ705" s="316">
        <f ca="1">(SUM($CI705:$CM705)*VLOOKUP($B705,Lifetime_morbidity_array!$A$6:$Y$24,5))+(SUM($CN705:$CO705)*VLOOKUP($B705,Lifetime_morbidity_array!$A$6:$Y$24,7))+(SUM($CP705:$CQ705)*VLOOKUP($B705,Lifetime_morbidity_array!$A$6:$Y$24,6))</f>
        <v>0.49877600510654246</v>
      </c>
      <c r="DK705" s="316">
        <f ca="1">(SUM($CI705:$CM705)*VLOOKUP($B705,Lifetime_morbidity_array!$A$6:$Y$24,8))+(SUM($CN705:$CO705)*VLOOKUP($B705,Lifetime_morbidity_array!$A$6:$Y$24,10))+(SUM($CP705:$CQ705)*VLOOKUP($B705,Lifetime_morbidity_array!$A$6:$Y$24,9))</f>
        <v>1.2771288503386529E-2</v>
      </c>
      <c r="DL705" s="317">
        <f ca="1">(SUM($CI705:$CM705)*VLOOKUP($B705,Lifetime_morbidity_array!$A$6:$Y$24,11))+(SUM($CN705:$CO705)*VLOOKUP($B705,Lifetime_morbidity_array!$A$6:$Y$24,13))+(SUM($CP705:$CQ705)*VLOOKUP($B705,Lifetime_morbidity_array!$A$6:$Y$24,12))</f>
        <v>2.0272556062473948</v>
      </c>
      <c r="DM705" s="309"/>
      <c r="DN705" s="308">
        <f t="shared" si="266"/>
        <v>39</v>
      </c>
      <c r="DO705" s="309">
        <f t="shared" ca="1" si="267"/>
        <v>230.81350632091647</v>
      </c>
      <c r="DP705" s="310">
        <f t="shared" ca="1" si="298"/>
        <v>18765.539712402504</v>
      </c>
      <c r="DQ705" s="309"/>
      <c r="DR705" s="308">
        <f t="shared" si="268"/>
        <v>39</v>
      </c>
      <c r="DS705" s="309">
        <f ca="1">((VLOOKUP($B705,'Mahawesran Tariff'!$A$21:$M$120,4)*'Experimental (DET)'!$CX705)+(VLOOKUP($B705,'Mahawesran Tariff'!$A$21:$M$120,3)*'Experimental (DET)'!$CY705)+(VLOOKUP($B705,'Mahawesran Tariff'!$A$21:$M$120,2)*'Experimental (DET)'!$CZ705)+(VLOOKUP($B705,'Mahawesran Tariff'!$A$21:$M$120,7)*'Experimental (DET)'!$DF705)+(VLOOKUP($B705,'Mahawesran Tariff'!$A$21:$M$120,6)*'Experimental (DET)'!$DG705)+(VLOOKUP($B705,'Mahawesran Tariff'!$A$21:$M$120,5)*'Experimental (DET)'!$DH705)+(DET_UTIL_chd*('Experimental (DET)'!$DA705+'Experimental (DET)'!$DI705))+(DET_UTIL_copd*('Experimental (DET)'!$DB705+'Experimental (DET)'!$DJ705))+(DET_UTIL_lc*('Experimental (DET)'!$DC705+'Experimental (DET)'!$DK705))+(DET_UTIL_stroke*('Experimental (DET)'!$DD705+'Experimental (DET)'!$DL705)))/((1+Discount_rate_QALYs)^$A705)</f>
        <v>226.56422180510819</v>
      </c>
      <c r="DT705" s="310">
        <f t="shared" ca="1" si="299"/>
        <v>18726.523182623048</v>
      </c>
      <c r="DU705" s="309"/>
      <c r="DV705" s="308">
        <f t="shared" si="269"/>
        <v>39</v>
      </c>
      <c r="DW705" s="318">
        <f t="shared" ca="1" si="270"/>
        <v>30020.163768815568</v>
      </c>
      <c r="DX705" s="319">
        <f t="shared" ca="1" si="300"/>
        <v>5739533.2705827989</v>
      </c>
      <c r="DZ705" s="95">
        <f t="shared" si="271"/>
        <v>39</v>
      </c>
      <c r="EA705" s="268">
        <f t="shared" ca="1" si="217"/>
        <v>0.88294745766091087</v>
      </c>
      <c r="EB705" s="268">
        <f t="shared" ca="1" si="218"/>
        <v>0.11705254233908878</v>
      </c>
      <c r="EC705" s="268">
        <f t="shared" ca="1" si="219"/>
        <v>1.1065122012474636E-2</v>
      </c>
      <c r="ED705" s="290">
        <f t="shared" ca="1" si="220"/>
        <v>0.48921802398744085</v>
      </c>
      <c r="EF705" s="95">
        <f t="shared" si="272"/>
        <v>39</v>
      </c>
      <c r="EG705" s="339">
        <f t="shared" ca="1" si="273"/>
        <v>30020.163768815568</v>
      </c>
      <c r="EH705" s="341">
        <f t="shared" ca="1" si="301"/>
        <v>8841548.9945463445</v>
      </c>
      <c r="EJ705" s="308">
        <f t="shared" si="274"/>
        <v>39</v>
      </c>
      <c r="EK705" s="318">
        <f t="shared" ca="1" si="275"/>
        <v>30020.163768815568</v>
      </c>
      <c r="EL705" s="319">
        <f t="shared" ca="1" si="302"/>
        <v>5736493.2705827979</v>
      </c>
      <c r="EN705" s="95">
        <f t="shared" si="276"/>
        <v>39</v>
      </c>
      <c r="EO705" s="339">
        <f t="shared" ca="1" si="277"/>
        <v>30020.163768815568</v>
      </c>
      <c r="EP705" s="341">
        <f t="shared" ca="1" si="303"/>
        <v>8841548.9945463445</v>
      </c>
    </row>
    <row r="706" spans="1:146" s="266" customFormat="1" x14ac:dyDescent="0.25">
      <c r="A706" s="313">
        <v>40</v>
      </c>
      <c r="B706" s="314">
        <v>40</v>
      </c>
      <c r="C706" s="308">
        <f>VLOOKUP($B706,'Infant adult mortality'!$A$27:$I$128,3)</f>
        <v>7.8061099796334005E-4</v>
      </c>
      <c r="D706" s="309">
        <f t="shared" si="221"/>
        <v>0.27</v>
      </c>
      <c r="E706" s="309">
        <f>VLOOKUP($B706,'Infant pick up smoking rates'!$A$19:$I$104,3)</f>
        <v>1.5201831243956284E-3</v>
      </c>
      <c r="F706" s="309">
        <f t="shared" si="222"/>
        <v>8.146438716829487E-3</v>
      </c>
      <c r="G706" s="309">
        <f t="shared" si="223"/>
        <v>0.71955276716081151</v>
      </c>
      <c r="H706" s="309">
        <f>VLOOKUP($B706,'Infant adult mortality'!$A$27:$I$128,3)</f>
        <v>7.8061099796334005E-4</v>
      </c>
      <c r="I706" s="309">
        <f t="shared" si="224"/>
        <v>0.14000000000000001</v>
      </c>
      <c r="J706" s="309">
        <f>VLOOKUP($B706,'Infant pick up smoking rates'!$A$19:$I$104,2)</f>
        <v>1.5201831243956284E-3</v>
      </c>
      <c r="K706" s="309">
        <f t="shared" si="225"/>
        <v>8.146438716829487E-3</v>
      </c>
      <c r="L706" s="309">
        <f t="shared" si="226"/>
        <v>0.84955276716081152</v>
      </c>
      <c r="M706" s="309">
        <f>VLOOKUP($B706,'Infant adult mortality'!$A$27:$I$128,3)</f>
        <v>7.8061099796334005E-4</v>
      </c>
      <c r="N706" s="309">
        <f t="shared" si="227"/>
        <v>0.5714285714285714</v>
      </c>
      <c r="O706" s="309">
        <f>VLOOKUP($B706,'Infant pick up smoking rates'!$A$19:$I$104,2)</f>
        <v>1.5201831243956284E-3</v>
      </c>
      <c r="P706" s="309">
        <f t="shared" si="228"/>
        <v>5.4771800734428047E-3</v>
      </c>
      <c r="Q706" s="309">
        <f t="shared" si="229"/>
        <v>0.42079345437562687</v>
      </c>
      <c r="R706" s="309">
        <f>VLOOKUP($B706,'Infant adult mortality'!$A$27:$I$128,3)</f>
        <v>7.8061099796334005E-4</v>
      </c>
      <c r="S706" s="309">
        <f t="shared" si="230"/>
        <v>8.6261668788331098E-3</v>
      </c>
      <c r="T706" s="309">
        <f>VLOOKUP($B706,'Infant pick up smoking rates'!$A$19:$I$104,2)</f>
        <v>1.5201831243956284E-3</v>
      </c>
      <c r="U706" s="309">
        <f t="shared" si="231"/>
        <v>5.4771800734428047E-3</v>
      </c>
      <c r="V706" s="309">
        <f t="shared" si="232"/>
        <v>0.98359585892536516</v>
      </c>
      <c r="W706" s="309">
        <f>VLOOKUP($B706,'Infant adult mortality'!$A$27:$I$128,3)</f>
        <v>7.8061099796334005E-4</v>
      </c>
      <c r="X706" s="309">
        <f>VLOOKUP($B706,'Infant pick up smoking rates'!$A$19:$I$104,2)</f>
        <v>1.5201831243956284E-3</v>
      </c>
      <c r="Y706" s="309">
        <f t="shared" si="233"/>
        <v>0.99769920587764105</v>
      </c>
      <c r="Z706" s="309">
        <f>VLOOKUP($B706,'Infant adult mortality'!$A$27:$I$128,5)</f>
        <v>1.366069246435845E-3</v>
      </c>
      <c r="AA706" s="309">
        <f t="shared" si="234"/>
        <v>0.25</v>
      </c>
      <c r="AB706" s="309">
        <f t="shared" si="235"/>
        <v>0.7486339307535641</v>
      </c>
      <c r="AC706" s="309">
        <f>VLOOKUP($B706,'Infant adult mortality'!$A$27:$I$128,5)</f>
        <v>1.366069246435845E-3</v>
      </c>
      <c r="AD706" s="309">
        <f t="shared" si="236"/>
        <v>0.14000000000000001</v>
      </c>
      <c r="AE706" s="309">
        <f t="shared" si="237"/>
        <v>0.85863393075356409</v>
      </c>
      <c r="AF706" s="309">
        <f>VLOOKUP($B706,'Infant adult mortality'!$A$27:$I$128,4)</f>
        <v>9.7576374745417509E-4</v>
      </c>
      <c r="AG706" s="309">
        <f t="shared" si="238"/>
        <v>0.5714285714285714</v>
      </c>
      <c r="AH706" s="309">
        <f t="shared" si="239"/>
        <v>0.42759566482397443</v>
      </c>
      <c r="AI706" s="309">
        <f>VLOOKUP($B706,'Infant adult mortality'!$A$27:$I$128,4)</f>
        <v>9.7576374745417509E-4</v>
      </c>
      <c r="AJ706" s="309">
        <f t="shared" si="240"/>
        <v>8.6261668788331098E-3</v>
      </c>
      <c r="AK706" s="309">
        <f t="shared" si="241"/>
        <v>0.99039806937371266</v>
      </c>
      <c r="AL706" s="309"/>
      <c r="AM706" s="315">
        <f t="shared" si="278"/>
        <v>60.047068419681835</v>
      </c>
      <c r="AN706" s="316">
        <f t="shared" si="279"/>
        <v>16.535975188279391</v>
      </c>
      <c r="AO706" s="316">
        <f t="shared" si="280"/>
        <v>2.3599854082256679</v>
      </c>
      <c r="AP706" s="316">
        <f t="shared" si="281"/>
        <v>75.012729790067539</v>
      </c>
      <c r="AQ706" s="316">
        <f t="shared" si="282"/>
        <v>15.325445254540814</v>
      </c>
      <c r="AR706" s="316">
        <f t="shared" si="283"/>
        <v>158.72864658837554</v>
      </c>
      <c r="AS706" s="316">
        <f t="shared" si="284"/>
        <v>40.206024510450426</v>
      </c>
      <c r="AT706" s="316">
        <f t="shared" si="285"/>
        <v>5.70339502114743</v>
      </c>
      <c r="AU706" s="316">
        <f t="shared" si="286"/>
        <v>74.682317033433009</v>
      </c>
      <c r="AV706" s="316">
        <f t="shared" si="287"/>
        <v>61.398412785797859</v>
      </c>
      <c r="AW706" s="317">
        <f t="shared" si="242"/>
        <v>509.99999999999955</v>
      </c>
      <c r="AX706" s="309"/>
      <c r="AY706" s="308">
        <f>VLOOKUP($B706,'Infant adult mortality'!$A$134:$I$234,3)</f>
        <v>4.3657841140529538E-4</v>
      </c>
      <c r="AZ706" s="309">
        <f t="shared" si="243"/>
        <v>0.27</v>
      </c>
      <c r="BA706" s="309">
        <f ca="1">VLOOKUP($B706,'Infant pick up smoking rates'!$A$19:$I$104,7)</f>
        <v>3.9916955482353625E-3</v>
      </c>
      <c r="BB706" s="309">
        <f t="shared" si="244"/>
        <v>8.146438716829487E-3</v>
      </c>
      <c r="BC706" s="309">
        <f t="shared" ca="1" si="245"/>
        <v>0.71742528732352984</v>
      </c>
      <c r="BD706" s="309">
        <f>VLOOKUP($B706,'Infant adult mortality'!$A$134:$I$234,3)</f>
        <v>4.3657841140529538E-4</v>
      </c>
      <c r="BE706" s="309">
        <f t="shared" si="246"/>
        <v>0.14000000000000001</v>
      </c>
      <c r="BF706" s="309">
        <f>VLOOKUP($B706,'Infant pick up smoking rates'!$A$19:$I$104,6)</f>
        <v>1.9288936901483743E-3</v>
      </c>
      <c r="BG706" s="309">
        <f t="shared" si="247"/>
        <v>8.146438716829487E-3</v>
      </c>
      <c r="BH706" s="309">
        <f t="shared" si="248"/>
        <v>0.84948808918161678</v>
      </c>
      <c r="BI706" s="309">
        <f>VLOOKUP($B706,'Infant adult mortality'!$A$134:$I$234,3)</f>
        <v>4.3657841140529538E-4</v>
      </c>
      <c r="BJ706" s="309">
        <f t="shared" si="249"/>
        <v>0.5714285714285714</v>
      </c>
      <c r="BK706" s="309">
        <f>VLOOKUP($B706,'Infant pick up smoking rates'!$A$19:$I$104,6)</f>
        <v>1.9288936901483743E-3</v>
      </c>
      <c r="BL706" s="309">
        <f t="shared" si="250"/>
        <v>5.4771800734428047E-3</v>
      </c>
      <c r="BM706" s="309">
        <f t="shared" si="251"/>
        <v>0.42072877639643214</v>
      </c>
      <c r="BN706" s="309">
        <f>VLOOKUP($B706,'Infant adult mortality'!$A$134:$I$234,3)</f>
        <v>4.3657841140529538E-4</v>
      </c>
      <c r="BO706" s="309">
        <f t="shared" si="252"/>
        <v>8.6261668788331098E-3</v>
      </c>
      <c r="BP706" s="309">
        <f>VLOOKUP($B706,'Infant pick up smoking rates'!$A$19:$I$104,6)</f>
        <v>1.9288936901483743E-3</v>
      </c>
      <c r="BQ706" s="309">
        <f t="shared" si="253"/>
        <v>5.4771800734428047E-3</v>
      </c>
      <c r="BR706" s="309">
        <f t="shared" si="254"/>
        <v>0.98353118094617042</v>
      </c>
      <c r="BS706" s="309">
        <f>VLOOKUP($B706,'Infant adult mortality'!$A$134:$I$234,3)</f>
        <v>4.3657841140529538E-4</v>
      </c>
      <c r="BT706" s="309">
        <f>VLOOKUP($B706,'Infant pick up smoking rates'!$A$19:$I$104,6)</f>
        <v>1.9288936901483743E-3</v>
      </c>
      <c r="BU706" s="309">
        <f t="shared" si="255"/>
        <v>0.99763452789844631</v>
      </c>
      <c r="BV706" s="309">
        <f>VLOOKUP($B706,'Infant adult mortality'!$A$134:$I$234,5)</f>
        <v>7.6401221995926684E-4</v>
      </c>
      <c r="BW706" s="309">
        <f t="shared" si="256"/>
        <v>0.27</v>
      </c>
      <c r="BX706" s="309">
        <f t="shared" si="257"/>
        <v>0.72923598778004073</v>
      </c>
      <c r="BY706" s="309">
        <f>VLOOKUP($B706,'Infant adult mortality'!$A$134:$I$234,5)</f>
        <v>7.6401221995926684E-4</v>
      </c>
      <c r="BZ706" s="309">
        <f t="shared" si="258"/>
        <v>0.14000000000000001</v>
      </c>
      <c r="CA706" s="309">
        <f t="shared" si="259"/>
        <v>0.85923598778004073</v>
      </c>
      <c r="CB706" s="309">
        <f>VLOOKUP($B706,'Infant adult mortality'!$A$134:$I$234,4)</f>
        <v>5.4572301425661923E-4</v>
      </c>
      <c r="CC706" s="309">
        <f t="shared" si="260"/>
        <v>0.5714285714285714</v>
      </c>
      <c r="CD706" s="309">
        <f t="shared" si="261"/>
        <v>0.42802570555717201</v>
      </c>
      <c r="CE706" s="309">
        <f>VLOOKUP($B706,'Infant adult mortality'!$A$134:$I$234,4)</f>
        <v>5.4572301425661923E-4</v>
      </c>
      <c r="CF706" s="309">
        <f t="shared" si="262"/>
        <v>8.6261668788331098E-3</v>
      </c>
      <c r="CG706" s="309">
        <f t="shared" si="263"/>
        <v>0.9908281101069103</v>
      </c>
      <c r="CH706" s="309"/>
      <c r="CI706" s="315">
        <f t="shared" ca="1" si="288"/>
        <v>80.558668591034419</v>
      </c>
      <c r="CJ706" s="316">
        <f t="shared" ca="1" si="289"/>
        <v>22.229604488192905</v>
      </c>
      <c r="CK706" s="316">
        <f t="shared" ca="1" si="290"/>
        <v>3.1791964237617889</v>
      </c>
      <c r="CL706" s="316">
        <f t="shared" ca="1" si="291"/>
        <v>97.101814666231022</v>
      </c>
      <c r="CM706" s="316">
        <f t="shared" ca="1" si="292"/>
        <v>20.288729136413842</v>
      </c>
      <c r="CN706" s="316">
        <f t="shared" ca="1" si="293"/>
        <v>117.02820467646701</v>
      </c>
      <c r="CO706" s="316">
        <f t="shared" ca="1" si="294"/>
        <v>31.937386431522867</v>
      </c>
      <c r="CP706" s="316">
        <f t="shared" ca="1" si="295"/>
        <v>4.5198210192105446</v>
      </c>
      <c r="CQ706" s="316">
        <f t="shared" ca="1" si="296"/>
        <v>56.773502815018304</v>
      </c>
      <c r="CR706" s="316">
        <f t="shared" ca="1" si="297"/>
        <v>56.383071752147409</v>
      </c>
      <c r="CS706" s="317">
        <f t="shared" ca="1" si="264"/>
        <v>490.00000000000023</v>
      </c>
      <c r="CT706" s="309"/>
      <c r="CU706" s="309">
        <f t="shared" ca="1" si="265"/>
        <v>999.99999999999977</v>
      </c>
      <c r="CV706" s="309" t="str">
        <f t="shared" ca="1" si="216"/>
        <v>OKAY</v>
      </c>
      <c r="CW706" s="309"/>
      <c r="CX706" s="315">
        <f>(SUM($AR706:$AS706))-((SUM($AR706:$AS706)*VLOOKUP($B706,Lifetime_morbidity_array!$A$30:$Y$48,4))+(SUM($AR706:$AS706)*VLOOKUP($B706,Lifetime_morbidity_array!$A$30:$Y$48,7))+(SUM($AR706:$AS706)*VLOOKUP($B706,Lifetime_morbidity_array!$A$30:$Y$48,10))+(SUM($AR706:$AS706)*VLOOKUP($B706,Lifetime_morbidity_array!$A$30:$Y$48,13)))</f>
        <v>193.66169938260998</v>
      </c>
      <c r="CY706" s="316">
        <f>(SUM($AT706:$AU706))-((SUM($AT706:$AU706)*(VLOOKUP($B706,Lifetime_morbidity_array!$A$30:$Y$48,3)))+(SUM($AT706:$AU706)*(VLOOKUP($B706,Lifetime_morbidity_array!$A$30:$Y$48,6)))+(SUM($AT706:$AU706)*(VLOOKUP($B706,Lifetime_morbidity_array!$A$30:$Y$48,9)))+(SUM($AT706:$AU706)*(VLOOKUP($B706,Lifetime_morbidity_array!$A$30:$Y$48,12))))</f>
        <v>79.390659665267307</v>
      </c>
      <c r="CZ706" s="316">
        <f>(SUM($AM706:$AQ706))-((SUM($AM706:$AQ706)*VLOOKUP($B706,Lifetime_morbidity_array!$A$30:$Y$48,2))+(SUM($AM706:$AQ706)*VLOOKUP($B706,Lifetime_morbidity_array!$A$30:$Y$48,5))+(SUM($AM706:$AQ706)*VLOOKUP($B706,Lifetime_morbidity_array!$A$30:$Y$48,8))+(SUM($AM706:$AQ706)*VLOOKUP($B706,Lifetime_morbidity_array!$A$30:$Y$48,11)))</f>
        <v>167.91187805371135</v>
      </c>
      <c r="DA706" s="316">
        <f>(SUM($AM706:$AQ706)*VLOOKUP($B706,Lifetime_morbidity_array!$A$30:$Y$48,2))+(SUM($AR706:$AS706)*VLOOKUP($B706,Lifetime_morbidity_array!$A$30:$Y$48,4))+(SUM($AT706:$AU706)*(VLOOKUP($B706,Lifetime_morbidity_array!$A$30:$Y$48,3)))</f>
        <v>3.5534038040892462</v>
      </c>
      <c r="DB706" s="316">
        <f>(SUM($AM706:$AQ706)*VLOOKUP($B706,Lifetime_morbidity_array!$A$30:$Y$48,5))+(SUM($AR706:$AS706)*VLOOKUP($B706,Lifetime_morbidity_array!$A$30:$Y$48,7))+(SUM($AT706:$AU706)*(VLOOKUP($B706,Lifetime_morbidity_array!$A$30:$Y$48,6)))</f>
        <v>1.3204933404068984</v>
      </c>
      <c r="DC706" s="316">
        <f>(SUM($AM706:$AQ706)*VLOOKUP($B706,Lifetime_morbidity_array!$A$30:$Y$48,8))+(SUM($AR706:$AS706)*VLOOKUP($B706,Lifetime_morbidity_array!$A$30:$Y$48,10))+(SUM($AT706:$AU706)*(VLOOKUP($B706,Lifetime_morbidity_array!$A$30:$Y$48,9)))</f>
        <v>1.4136881268266493E-2</v>
      </c>
      <c r="DD706" s="317">
        <f>(SUM($AM706:$AQ706)*VLOOKUP($B706,Lifetime_morbidity_array!$A$30:$Y$48,11))+(SUM($AR706:$AS706)*VLOOKUP($B706,Lifetime_morbidity_array!$A$30:$Y$48,13))+(SUM($AT706:$AU706)*(VLOOKUP($B706,Lifetime_morbidity_array!$A$30:$Y$48,12)))</f>
        <v>2.7493160868485935</v>
      </c>
      <c r="DE706" s="309"/>
      <c r="DF706" s="315">
        <f ca="1">(SUM($CN706:$CO706))-((SUM($CN706:$CO706)*VLOOKUP($B706,Lifetime_morbidity_array!$A$6:$Y$24,4))+(SUM($CN706:$CO706)*VLOOKUP($B706,Lifetime_morbidity_array!$A$6:$Y$24,7))+(SUM($CN706:$CO706)*VLOOKUP($B706,Lifetime_morbidity_array!$A$6:$Y$24,10))+(SUM($CN706:$CO706)*VLOOKUP($B706,Lifetime_morbidity_array!$A$6:$Y$24,13)))</f>
        <v>145.75135367530206</v>
      </c>
      <c r="DG706" s="316">
        <f ca="1">(SUM($CP706:$CQ706))-(((SUM($CP706:$CQ706)*VLOOKUP($B706,Lifetime_morbidity_array!$A$6:$Y$24,3))+(SUM($CP706:$CQ706)*VLOOKUP($B706,Lifetime_morbidity_array!$A$6:$Y$24,6))+(SUM($CP706:$CQ706)*VLOOKUP($B706,Lifetime_morbidity_array!$A$6:$Y$24,9))+(SUM($CP706:$CQ706)*VLOOKUP($B706,Lifetime_morbidity_array!$A$6:$Y$24,12))))</f>
        <v>60.783785069761976</v>
      </c>
      <c r="DH706" s="316">
        <f ca="1">(SUM($CI706:$CM706))-((SUM($CI706:$CM706)*VLOOKUP($B706,Lifetime_morbidity_array!$A$6:$Y$24,2))+(SUM($CI706:$CM706)*VLOOKUP($B706,Lifetime_morbidity_array!$A$6:$Y$24,5))+(SUM($CI706:$CM706)*VLOOKUP($B706,Lifetime_morbidity_array!$A$6:$Y$24,8))+(SUM($CI706:$CM706)*VLOOKUP($B706,Lifetime_morbidity_array!$A$6:$Y$24,11)))</f>
        <v>222.10328059789583</v>
      </c>
      <c r="DI706" s="316">
        <f ca="1">(SUM($CI706:$CM706)*VLOOKUP($B706,Lifetime_morbidity_array!$A$6:$Y$24,2))+(SUM($CN706:$CO706)*VLOOKUP($B706,Lifetime_morbidity_array!$A$6:$Y$24,4))+(SUM($CP706:$CQ706)*VLOOKUP($B706,Lifetime_morbidity_array!$A$6:$Y$24,3))</f>
        <v>1.6355679391083082</v>
      </c>
      <c r="DJ706" s="316">
        <f ca="1">(SUM($CI706:$CM706)*VLOOKUP($B706,Lifetime_morbidity_array!$A$6:$Y$24,5))+(SUM($CN706:$CO706)*VLOOKUP($B706,Lifetime_morbidity_array!$A$6:$Y$24,7))+(SUM($CP706:$CQ706)*VLOOKUP($B706,Lifetime_morbidity_array!$A$6:$Y$24,6))</f>
        <v>1.3113811755123503</v>
      </c>
      <c r="DK706" s="316">
        <f ca="1">(SUM($CI706:$CM706)*VLOOKUP($B706,Lifetime_morbidity_array!$A$6:$Y$24,8))+(SUM($CN706:$CO706)*VLOOKUP($B706,Lifetime_morbidity_array!$A$6:$Y$24,10))+(SUM($CP706:$CQ706)*VLOOKUP($B706,Lifetime_morbidity_array!$A$6:$Y$24,9))</f>
        <v>1.2686538088895612E-2</v>
      </c>
      <c r="DL706" s="317">
        <f ca="1">(SUM($CI706:$CM706)*VLOOKUP($B706,Lifetime_morbidity_array!$A$6:$Y$24,11))+(SUM($CN706:$CO706)*VLOOKUP($B706,Lifetime_morbidity_array!$A$6:$Y$24,13))+(SUM($CP706:$CQ706)*VLOOKUP($B706,Lifetime_morbidity_array!$A$6:$Y$24,12))</f>
        <v>2.0188732521833193</v>
      </c>
      <c r="DM706" s="309"/>
      <c r="DN706" s="308">
        <f t="shared" si="266"/>
        <v>40</v>
      </c>
      <c r="DO706" s="309">
        <f t="shared" ca="1" si="267"/>
        <v>222.82410793721579</v>
      </c>
      <c r="DP706" s="310">
        <f t="shared" ca="1" si="298"/>
        <v>18988.36382033972</v>
      </c>
      <c r="DQ706" s="309"/>
      <c r="DR706" s="308">
        <f t="shared" si="268"/>
        <v>40</v>
      </c>
      <c r="DS706" s="309">
        <f ca="1">((VLOOKUP($B706,'Mahawesran Tariff'!$A$21:$M$120,4)*'Experimental (DET)'!$CX706)+(VLOOKUP($B706,'Mahawesran Tariff'!$A$21:$M$120,3)*'Experimental (DET)'!$CY706)+(VLOOKUP($B706,'Mahawesran Tariff'!$A$21:$M$120,2)*'Experimental (DET)'!$CZ706)+(VLOOKUP($B706,'Mahawesran Tariff'!$A$21:$M$120,7)*'Experimental (DET)'!$DF706)+(VLOOKUP($B706,'Mahawesran Tariff'!$A$21:$M$120,6)*'Experimental (DET)'!$DG706)+(VLOOKUP($B706,'Mahawesran Tariff'!$A$21:$M$120,5)*'Experimental (DET)'!$DH706)+(DET_UTIL_chd*('Experimental (DET)'!$DA706+'Experimental (DET)'!$DI706))+(DET_UTIL_copd*('Experimental (DET)'!$DB706+'Experimental (DET)'!$DJ706))+(DET_UTIL_lc*('Experimental (DET)'!$DC706+'Experimental (DET)'!$DK706))+(DET_UTIL_stroke*('Experimental (DET)'!$DD706+'Experimental (DET)'!$DL706)))/((1+Discount_rate_QALYs)^$A706)</f>
        <v>218.63804557198762</v>
      </c>
      <c r="DT706" s="310">
        <f t="shared" ca="1" si="299"/>
        <v>18945.161228195037</v>
      </c>
      <c r="DU706" s="309"/>
      <c r="DV706" s="308">
        <f t="shared" si="269"/>
        <v>40</v>
      </c>
      <c r="DW706" s="318">
        <f t="shared" ca="1" si="270"/>
        <v>29198.793037009233</v>
      </c>
      <c r="DX706" s="319">
        <f t="shared" ca="1" si="300"/>
        <v>5768732.0636198083</v>
      </c>
      <c r="DZ706" s="95">
        <f t="shared" si="271"/>
        <v>40</v>
      </c>
      <c r="EA706" s="268">
        <f t="shared" ca="1" si="217"/>
        <v>0.88221851546205443</v>
      </c>
      <c r="EB706" s="268">
        <f t="shared" ca="1" si="218"/>
        <v>0.11778148453794526</v>
      </c>
      <c r="EC706" s="268">
        <f t="shared" ca="1" si="219"/>
        <v>1.2615859017505877E-2</v>
      </c>
      <c r="ED706" s="290">
        <f t="shared" ca="1" si="220"/>
        <v>0.48957929809562517</v>
      </c>
      <c r="EF706" s="95">
        <f t="shared" si="272"/>
        <v>40</v>
      </c>
      <c r="EG706" s="339">
        <f t="shared" ca="1" si="273"/>
        <v>29198.793037009233</v>
      </c>
      <c r="EH706" s="341">
        <f t="shared" ca="1" si="301"/>
        <v>8870747.787583353</v>
      </c>
      <c r="EJ706" s="308">
        <f t="shared" si="274"/>
        <v>40</v>
      </c>
      <c r="EK706" s="318">
        <f t="shared" ca="1" si="275"/>
        <v>29198.793037009233</v>
      </c>
      <c r="EL706" s="319">
        <f t="shared" ca="1" si="302"/>
        <v>5765692.0636198074</v>
      </c>
      <c r="EN706" s="95">
        <f t="shared" si="276"/>
        <v>40</v>
      </c>
      <c r="EO706" s="339">
        <f t="shared" ca="1" si="277"/>
        <v>29198.793037009233</v>
      </c>
      <c r="EP706" s="341">
        <f t="shared" ca="1" si="303"/>
        <v>8870747.787583353</v>
      </c>
    </row>
    <row r="707" spans="1:146" s="266" customFormat="1" x14ac:dyDescent="0.25">
      <c r="A707" s="313">
        <v>41</v>
      </c>
      <c r="B707" s="314">
        <v>41</v>
      </c>
      <c r="C707" s="308">
        <f>VLOOKUP($B707,'Infant adult mortality'!$A$27:$I$128,3)</f>
        <v>8.4749490835030552E-4</v>
      </c>
      <c r="D707" s="309">
        <f t="shared" si="221"/>
        <v>0.27</v>
      </c>
      <c r="E707" s="309">
        <f>VLOOKUP($B707,'Infant pick up smoking rates'!$A$19:$I$104,3)</f>
        <v>1.5201831243956284E-3</v>
      </c>
      <c r="F707" s="309">
        <f t="shared" si="222"/>
        <v>8.8475472874662252E-3</v>
      </c>
      <c r="G707" s="309">
        <f t="shared" si="223"/>
        <v>0.71878477467978785</v>
      </c>
      <c r="H707" s="309">
        <f>VLOOKUP($B707,'Infant adult mortality'!$A$27:$I$128,3)</f>
        <v>8.4749490835030552E-4</v>
      </c>
      <c r="I707" s="309">
        <f t="shared" si="224"/>
        <v>0.14000000000000001</v>
      </c>
      <c r="J707" s="309">
        <f>VLOOKUP($B707,'Infant pick up smoking rates'!$A$19:$I$104,2)</f>
        <v>1.5201831243956284E-3</v>
      </c>
      <c r="K707" s="309">
        <f t="shared" si="225"/>
        <v>8.8475472874662252E-3</v>
      </c>
      <c r="L707" s="309">
        <f t="shared" si="226"/>
        <v>0.84878477467978786</v>
      </c>
      <c r="M707" s="309">
        <f>VLOOKUP($B707,'Infant adult mortality'!$A$27:$I$128,3)</f>
        <v>8.4749490835030552E-4</v>
      </c>
      <c r="N707" s="309">
        <f t="shared" si="227"/>
        <v>0.5714285714285714</v>
      </c>
      <c r="O707" s="309">
        <f>VLOOKUP($B707,'Infant pick up smoking rates'!$A$19:$I$104,2)</f>
        <v>1.5201831243956284E-3</v>
      </c>
      <c r="P707" s="309">
        <f t="shared" si="228"/>
        <v>5.9485637081687819E-3</v>
      </c>
      <c r="Q707" s="309">
        <f t="shared" si="229"/>
        <v>0.42025518683051394</v>
      </c>
      <c r="R707" s="309">
        <f>VLOOKUP($B707,'Infant adult mortality'!$A$27:$I$128,3)</f>
        <v>8.4749490835030552E-4</v>
      </c>
      <c r="S707" s="309">
        <f t="shared" si="230"/>
        <v>8.6261668788331098E-3</v>
      </c>
      <c r="T707" s="309">
        <f>VLOOKUP($B707,'Infant pick up smoking rates'!$A$19:$I$104,2)</f>
        <v>1.5201831243956284E-3</v>
      </c>
      <c r="U707" s="309">
        <f t="shared" si="231"/>
        <v>5.9485637081687819E-3</v>
      </c>
      <c r="V707" s="309">
        <f t="shared" si="232"/>
        <v>0.98305759138025217</v>
      </c>
      <c r="W707" s="309">
        <f>VLOOKUP($B707,'Infant adult mortality'!$A$27:$I$128,3)</f>
        <v>8.4749490835030552E-4</v>
      </c>
      <c r="X707" s="309">
        <f>VLOOKUP($B707,'Infant pick up smoking rates'!$A$19:$I$104,2)</f>
        <v>1.5201831243956284E-3</v>
      </c>
      <c r="Y707" s="309">
        <f t="shared" si="233"/>
        <v>0.99763232196725404</v>
      </c>
      <c r="Z707" s="309">
        <f>VLOOKUP($B707,'Infant adult mortality'!$A$27:$I$128,5)</f>
        <v>1.4831160896130345E-3</v>
      </c>
      <c r="AA707" s="309">
        <f t="shared" si="234"/>
        <v>0.25</v>
      </c>
      <c r="AB707" s="309">
        <f t="shared" si="235"/>
        <v>0.74851688391038695</v>
      </c>
      <c r="AC707" s="309">
        <f>VLOOKUP($B707,'Infant adult mortality'!$A$27:$I$128,5)</f>
        <v>1.4831160896130345E-3</v>
      </c>
      <c r="AD707" s="309">
        <f t="shared" si="236"/>
        <v>0.14000000000000001</v>
      </c>
      <c r="AE707" s="309">
        <f t="shared" si="237"/>
        <v>0.85851688391038694</v>
      </c>
      <c r="AF707" s="309">
        <f>VLOOKUP($B707,'Infant adult mortality'!$A$27:$I$128,4)</f>
        <v>1.059368635437882E-3</v>
      </c>
      <c r="AG707" s="309">
        <f t="shared" si="238"/>
        <v>0.5714285714285714</v>
      </c>
      <c r="AH707" s="309">
        <f t="shared" si="239"/>
        <v>0.42751205993599073</v>
      </c>
      <c r="AI707" s="309">
        <f>VLOOKUP($B707,'Infant adult mortality'!$A$27:$I$128,4)</f>
        <v>1.059368635437882E-3</v>
      </c>
      <c r="AJ707" s="309">
        <f t="shared" si="240"/>
        <v>8.6261668788331098E-3</v>
      </c>
      <c r="AK707" s="309">
        <f t="shared" si="241"/>
        <v>0.99031446448572902</v>
      </c>
      <c r="AL707" s="309"/>
      <c r="AM707" s="315">
        <f t="shared" si="278"/>
        <v>58.835270952374202</v>
      </c>
      <c r="AN707" s="316">
        <f t="shared" si="279"/>
        <v>16.212708473314098</v>
      </c>
      <c r="AO707" s="316">
        <f t="shared" si="280"/>
        <v>2.3150365263591151</v>
      </c>
      <c r="AP707" s="316">
        <f t="shared" si="281"/>
        <v>75.090396560696149</v>
      </c>
      <c r="AQ707" s="316">
        <f t="shared" si="282"/>
        <v>16.426988159840157</v>
      </c>
      <c r="AR707" s="316">
        <f t="shared" si="283"/>
        <v>156.66845352221878</v>
      </c>
      <c r="AS707" s="316">
        <f t="shared" si="284"/>
        <v>39.682161647093885</v>
      </c>
      <c r="AT707" s="316">
        <f t="shared" si="285"/>
        <v>5.6288434314630598</v>
      </c>
      <c r="AU707" s="316">
        <f t="shared" si="286"/>
        <v>77.218061668744753</v>
      </c>
      <c r="AV707" s="316">
        <f t="shared" si="287"/>
        <v>61.922079057895296</v>
      </c>
      <c r="AW707" s="317">
        <f t="shared" si="242"/>
        <v>509.99999999999955</v>
      </c>
      <c r="AX707" s="309"/>
      <c r="AY707" s="308">
        <f>VLOOKUP($B707,'Infant adult mortality'!$A$134:$I$234,3)</f>
        <v>4.6533604887983709E-4</v>
      </c>
      <c r="AZ707" s="309">
        <f t="shared" si="243"/>
        <v>0.27</v>
      </c>
      <c r="BA707" s="309">
        <f ca="1">VLOOKUP($B707,'Infant pick up smoking rates'!$A$19:$I$104,7)</f>
        <v>3.9916955482353625E-3</v>
      </c>
      <c r="BB707" s="309">
        <f t="shared" si="244"/>
        <v>8.8475472874662252E-3</v>
      </c>
      <c r="BC707" s="309">
        <f t="shared" ca="1" si="245"/>
        <v>0.71669542111541862</v>
      </c>
      <c r="BD707" s="309">
        <f>VLOOKUP($B707,'Infant adult mortality'!$A$134:$I$234,3)</f>
        <v>4.6533604887983709E-4</v>
      </c>
      <c r="BE707" s="309">
        <f t="shared" si="246"/>
        <v>0.14000000000000001</v>
      </c>
      <c r="BF707" s="309">
        <f>VLOOKUP($B707,'Infant pick up smoking rates'!$A$19:$I$104,6)</f>
        <v>1.9288936901483743E-3</v>
      </c>
      <c r="BG707" s="309">
        <f t="shared" si="247"/>
        <v>8.8475472874662252E-3</v>
      </c>
      <c r="BH707" s="309">
        <f t="shared" si="248"/>
        <v>0.84875822297350556</v>
      </c>
      <c r="BI707" s="309">
        <f>VLOOKUP($B707,'Infant adult mortality'!$A$134:$I$234,3)</f>
        <v>4.6533604887983709E-4</v>
      </c>
      <c r="BJ707" s="309">
        <f t="shared" si="249"/>
        <v>0.5714285714285714</v>
      </c>
      <c r="BK707" s="309">
        <f>VLOOKUP($B707,'Infant pick up smoking rates'!$A$19:$I$104,6)</f>
        <v>1.9288936901483743E-3</v>
      </c>
      <c r="BL707" s="309">
        <f t="shared" si="250"/>
        <v>5.9485637081687819E-3</v>
      </c>
      <c r="BM707" s="309">
        <f t="shared" si="251"/>
        <v>0.42022863512423164</v>
      </c>
      <c r="BN707" s="309">
        <f>VLOOKUP($B707,'Infant adult mortality'!$A$134:$I$234,3)</f>
        <v>4.6533604887983709E-4</v>
      </c>
      <c r="BO707" s="309">
        <f t="shared" si="252"/>
        <v>8.6261668788331098E-3</v>
      </c>
      <c r="BP707" s="309">
        <f>VLOOKUP($B707,'Infant pick up smoking rates'!$A$19:$I$104,6)</f>
        <v>1.9288936901483743E-3</v>
      </c>
      <c r="BQ707" s="309">
        <f t="shared" si="253"/>
        <v>5.9485637081687819E-3</v>
      </c>
      <c r="BR707" s="309">
        <f t="shared" si="254"/>
        <v>0.98303103967396988</v>
      </c>
      <c r="BS707" s="309">
        <f>VLOOKUP($B707,'Infant adult mortality'!$A$134:$I$234,3)</f>
        <v>4.6533604887983709E-4</v>
      </c>
      <c r="BT707" s="309">
        <f>VLOOKUP($B707,'Infant pick up smoking rates'!$A$19:$I$104,6)</f>
        <v>1.9288936901483743E-3</v>
      </c>
      <c r="BU707" s="309">
        <f t="shared" si="255"/>
        <v>0.99760577026097175</v>
      </c>
      <c r="BV707" s="309">
        <f>VLOOKUP($B707,'Infant adult mortality'!$A$134:$I$234,5)</f>
        <v>8.1433808553971481E-4</v>
      </c>
      <c r="BW707" s="309">
        <f t="shared" si="256"/>
        <v>0.27</v>
      </c>
      <c r="BX707" s="309">
        <f t="shared" si="257"/>
        <v>0.72918566191446021</v>
      </c>
      <c r="BY707" s="309">
        <f>VLOOKUP($B707,'Infant adult mortality'!$A$134:$I$234,5)</f>
        <v>8.1433808553971481E-4</v>
      </c>
      <c r="BZ707" s="309">
        <f t="shared" si="258"/>
        <v>0.14000000000000001</v>
      </c>
      <c r="CA707" s="309">
        <f t="shared" si="259"/>
        <v>0.85918566191446022</v>
      </c>
      <c r="CB707" s="309">
        <f>VLOOKUP($B707,'Infant adult mortality'!$A$134:$I$234,4)</f>
        <v>5.816700610997964E-4</v>
      </c>
      <c r="CC707" s="309">
        <f t="shared" si="260"/>
        <v>0.5714285714285714</v>
      </c>
      <c r="CD707" s="309">
        <f t="shared" si="261"/>
        <v>0.42798975851032883</v>
      </c>
      <c r="CE707" s="309">
        <f>VLOOKUP($B707,'Infant adult mortality'!$A$134:$I$234,4)</f>
        <v>5.816700610997964E-4</v>
      </c>
      <c r="CF707" s="309">
        <f t="shared" si="262"/>
        <v>8.6261668788331098E-3</v>
      </c>
      <c r="CG707" s="309">
        <f t="shared" si="263"/>
        <v>0.99079216306006712</v>
      </c>
      <c r="CH707" s="309"/>
      <c r="CI707" s="315">
        <f t="shared" ca="1" si="288"/>
        <v>78.777194344649018</v>
      </c>
      <c r="CJ707" s="316">
        <f t="shared" ca="1" si="289"/>
        <v>21.750840519579295</v>
      </c>
      <c r="CK707" s="316">
        <f t="shared" ca="1" si="290"/>
        <v>3.1121446283470071</v>
      </c>
      <c r="CL707" s="316">
        <f t="shared" ca="1" si="291"/>
        <v>97.270781496295243</v>
      </c>
      <c r="CM707" s="316">
        <f t="shared" ca="1" si="292"/>
        <v>21.746105347602207</v>
      </c>
      <c r="CN707" s="316">
        <f t="shared" ca="1" si="293"/>
        <v>115.79661864052041</v>
      </c>
      <c r="CO707" s="316">
        <f t="shared" ca="1" si="294"/>
        <v>31.597615262646094</v>
      </c>
      <c r="CP707" s="316">
        <f t="shared" ca="1" si="295"/>
        <v>4.4712341004132021</v>
      </c>
      <c r="CQ707" s="316">
        <f t="shared" ca="1" si="296"/>
        <v>58.833496526709105</v>
      </c>
      <c r="CR707" s="316">
        <f t="shared" ca="1" si="297"/>
        <v>56.643969133238528</v>
      </c>
      <c r="CS707" s="317">
        <f t="shared" ca="1" si="264"/>
        <v>490.00000000000011</v>
      </c>
      <c r="CT707" s="309"/>
      <c r="CU707" s="309">
        <f t="shared" ca="1" si="265"/>
        <v>999.99999999999966</v>
      </c>
      <c r="CV707" s="309" t="str">
        <f t="shared" ca="1" si="216"/>
        <v>OKAY</v>
      </c>
      <c r="CW707" s="309"/>
      <c r="CX707" s="315">
        <f>(SUM($AR707:$AS707))-((SUM($AR707:$AS707)*VLOOKUP($B707,Lifetime_morbidity_array!$A$30:$Y$48,4))+(SUM($AR707:$AS707)*VLOOKUP($B707,Lifetime_morbidity_array!$A$30:$Y$48,7))+(SUM($AR707:$AS707)*VLOOKUP($B707,Lifetime_morbidity_array!$A$30:$Y$48,10))+(SUM($AR707:$AS707)*VLOOKUP($B707,Lifetime_morbidity_array!$A$30:$Y$48,13)))</f>
        <v>191.14613656067911</v>
      </c>
      <c r="CY707" s="316">
        <f>(SUM($AT707:$AU707))-((SUM($AT707:$AU707)*(VLOOKUP($B707,Lifetime_morbidity_array!$A$30:$Y$48,3)))+(SUM($AT707:$AU707)*(VLOOKUP($B707,Lifetime_morbidity_array!$A$30:$Y$48,6)))+(SUM($AT707:$AU707)*(VLOOKUP($B707,Lifetime_morbidity_array!$A$30:$Y$48,9)))+(SUM($AT707:$AU707)*(VLOOKUP($B707,Lifetime_morbidity_array!$A$30:$Y$48,12))))</f>
        <v>81.82138689852556</v>
      </c>
      <c r="CZ707" s="316">
        <f>(SUM($AM707:$AQ707))-((SUM($AM707:$AQ707)*VLOOKUP($B707,Lifetime_morbidity_array!$A$30:$Y$48,2))+(SUM($AM707:$AQ707)*VLOOKUP($B707,Lifetime_morbidity_array!$A$30:$Y$48,5))+(SUM($AM707:$AQ707)*VLOOKUP($B707,Lifetime_morbidity_array!$A$30:$Y$48,8))+(SUM($AM707:$AQ707)*VLOOKUP($B707,Lifetime_morbidity_array!$A$30:$Y$48,11)))</f>
        <v>167.51431678860646</v>
      </c>
      <c r="DA707" s="316">
        <f>(SUM($AM707:$AQ707)*VLOOKUP($B707,Lifetime_morbidity_array!$A$30:$Y$48,2))+(SUM($AR707:$AS707)*VLOOKUP($B707,Lifetime_morbidity_array!$A$30:$Y$48,4))+(SUM($AT707:$AU707)*(VLOOKUP($B707,Lifetime_morbidity_array!$A$30:$Y$48,3)))</f>
        <v>3.5340639565263414</v>
      </c>
      <c r="DB707" s="316">
        <f>(SUM($AM707:$AQ707)*VLOOKUP($B707,Lifetime_morbidity_array!$A$30:$Y$48,5))+(SUM($AR707:$AS707)*VLOOKUP($B707,Lifetime_morbidity_array!$A$30:$Y$48,7))+(SUM($AT707:$AU707)*(VLOOKUP($B707,Lifetime_morbidity_array!$A$30:$Y$48,6)))</f>
        <v>1.3135676212960148</v>
      </c>
      <c r="DC707" s="316">
        <f>(SUM($AM707:$AQ707)*VLOOKUP($B707,Lifetime_morbidity_array!$A$30:$Y$48,8))+(SUM($AR707:$AS707)*VLOOKUP($B707,Lifetime_morbidity_array!$A$30:$Y$48,10))+(SUM($AT707:$AU707)*(VLOOKUP($B707,Lifetime_morbidity_array!$A$30:$Y$48,9)))</f>
        <v>1.4025414662355901E-2</v>
      </c>
      <c r="DD707" s="317">
        <f>(SUM($AM707:$AQ707)*VLOOKUP($B707,Lifetime_morbidity_array!$A$30:$Y$48,11))+(SUM($AR707:$AS707)*VLOOKUP($B707,Lifetime_morbidity_array!$A$30:$Y$48,13))+(SUM($AT707:$AU707)*(VLOOKUP($B707,Lifetime_morbidity_array!$A$30:$Y$48,12)))</f>
        <v>2.7344237018083524</v>
      </c>
      <c r="DE707" s="309"/>
      <c r="DF707" s="315">
        <f ca="1">(SUM($CN707:$CO707))-((SUM($CN707:$CO707)*VLOOKUP($B707,Lifetime_morbidity_array!$A$6:$Y$24,4))+(SUM($CN707:$CO707)*VLOOKUP($B707,Lifetime_morbidity_array!$A$6:$Y$24,7))+(SUM($CN707:$CO707)*VLOOKUP($B707,Lifetime_morbidity_array!$A$6:$Y$24,10))+(SUM($CN707:$CO707)*VLOOKUP($B707,Lifetime_morbidity_array!$A$6:$Y$24,13)))</f>
        <v>144.2139017173904</v>
      </c>
      <c r="DG707" s="316">
        <f ca="1">(SUM($CP707:$CQ707))-(((SUM($CP707:$CQ707)*VLOOKUP($B707,Lifetime_morbidity_array!$A$6:$Y$24,3))+(SUM($CP707:$CQ707)*VLOOKUP($B707,Lifetime_morbidity_array!$A$6:$Y$24,6))+(SUM($CP707:$CQ707)*VLOOKUP($B707,Lifetime_morbidity_array!$A$6:$Y$24,9))+(SUM($CP707:$CQ707)*VLOOKUP($B707,Lifetime_morbidity_array!$A$6:$Y$24,12))))</f>
        <v>62.778470796347086</v>
      </c>
      <c r="DH707" s="316">
        <f ca="1">(SUM($CI707:$CM707))-((SUM($CI707:$CM707)*VLOOKUP($B707,Lifetime_morbidity_array!$A$6:$Y$24,2))+(SUM($CI707:$CM707)*VLOOKUP($B707,Lifetime_morbidity_array!$A$6:$Y$24,5))+(SUM($CI707:$CM707)*VLOOKUP($B707,Lifetime_morbidity_array!$A$6:$Y$24,8))+(SUM($CI707:$CM707)*VLOOKUP($B707,Lifetime_morbidity_array!$A$6:$Y$24,11)))</f>
        <v>221.40627125817346</v>
      </c>
      <c r="DI707" s="316">
        <f ca="1">(SUM($CI707:$CM707)*VLOOKUP($B707,Lifetime_morbidity_array!$A$6:$Y$24,2))+(SUM($CN707:$CO707)*VLOOKUP($B707,Lifetime_morbidity_array!$A$6:$Y$24,4))+(SUM($CP707:$CQ707)*VLOOKUP($B707,Lifetime_morbidity_array!$A$6:$Y$24,3))</f>
        <v>1.6295699622866078</v>
      </c>
      <c r="DJ707" s="316">
        <f ca="1">(SUM($CI707:$CM707)*VLOOKUP($B707,Lifetime_morbidity_array!$A$6:$Y$24,5))+(SUM($CN707:$CO707)*VLOOKUP($B707,Lifetime_morbidity_array!$A$6:$Y$24,7))+(SUM($CP707:$CQ707)*VLOOKUP($B707,Lifetime_morbidity_array!$A$6:$Y$24,6))</f>
        <v>1.304205679363682</v>
      </c>
      <c r="DK707" s="316">
        <f ca="1">(SUM($CI707:$CM707)*VLOOKUP($B707,Lifetime_morbidity_array!$A$6:$Y$24,8))+(SUM($CN707:$CO707)*VLOOKUP($B707,Lifetime_morbidity_array!$A$6:$Y$24,10))+(SUM($CP707:$CQ707)*VLOOKUP($B707,Lifetime_morbidity_array!$A$6:$Y$24,9))</f>
        <v>1.2599206723141732E-2</v>
      </c>
      <c r="DL707" s="317">
        <f ca="1">(SUM($CI707:$CM707)*VLOOKUP($B707,Lifetime_morbidity_array!$A$6:$Y$24,11))+(SUM($CN707:$CO707)*VLOOKUP($B707,Lifetime_morbidity_array!$A$6:$Y$24,13))+(SUM($CP707:$CQ707)*VLOOKUP($B707,Lifetime_morbidity_array!$A$6:$Y$24,12))</f>
        <v>2.0110122464772124</v>
      </c>
      <c r="DM707" s="309"/>
      <c r="DN707" s="308">
        <f t="shared" si="266"/>
        <v>41</v>
      </c>
      <c r="DO707" s="309">
        <f t="shared" ca="1" si="267"/>
        <v>215.09753503272873</v>
      </c>
      <c r="DP707" s="310">
        <f t="shared" ca="1" si="298"/>
        <v>19203.461355372448</v>
      </c>
      <c r="DQ707" s="309"/>
      <c r="DR707" s="308">
        <f t="shared" si="268"/>
        <v>41</v>
      </c>
      <c r="DS707" s="309">
        <f ca="1">((VLOOKUP($B707,'Mahawesran Tariff'!$A$21:$M$120,4)*'Experimental (DET)'!$CX707)+(VLOOKUP($B707,'Mahawesran Tariff'!$A$21:$M$120,3)*'Experimental (DET)'!$CY707)+(VLOOKUP($B707,'Mahawesran Tariff'!$A$21:$M$120,2)*'Experimental (DET)'!$CZ707)+(VLOOKUP($B707,'Mahawesran Tariff'!$A$21:$M$120,7)*'Experimental (DET)'!$DF707)+(VLOOKUP($B707,'Mahawesran Tariff'!$A$21:$M$120,6)*'Experimental (DET)'!$DG707)+(VLOOKUP($B707,'Mahawesran Tariff'!$A$21:$M$120,5)*'Experimental (DET)'!$DH707)+(DET_UTIL_chd*('Experimental (DET)'!$DA707+'Experimental (DET)'!$DI707))+(DET_UTIL_copd*('Experimental (DET)'!$DB707+'Experimental (DET)'!$DJ707))+(DET_UTIL_lc*('Experimental (DET)'!$DC707+'Experimental (DET)'!$DK707))+(DET_UTIL_stroke*('Experimental (DET)'!$DD707+'Experimental (DET)'!$DL707)))/((1+Discount_rate_QALYs)^$A707)</f>
        <v>211.07046114291927</v>
      </c>
      <c r="DT707" s="310">
        <f t="shared" ca="1" si="299"/>
        <v>19156.231689337958</v>
      </c>
      <c r="DU707" s="309"/>
      <c r="DV707" s="308">
        <f t="shared" si="269"/>
        <v>41</v>
      </c>
      <c r="DW707" s="318">
        <f t="shared" ca="1" si="270"/>
        <v>28076.030647060881</v>
      </c>
      <c r="DX707" s="319">
        <f t="shared" ca="1" si="300"/>
        <v>5796808.0942668691</v>
      </c>
      <c r="DZ707" s="95">
        <f t="shared" si="271"/>
        <v>41</v>
      </c>
      <c r="EA707" s="268">
        <f t="shared" ca="1" si="217"/>
        <v>0.88143395180886575</v>
      </c>
      <c r="EB707" s="268">
        <f t="shared" ca="1" si="218"/>
        <v>0.11856604819113382</v>
      </c>
      <c r="EC707" s="268">
        <f t="shared" ca="1" si="219"/>
        <v>1.2553467789143707E-2</v>
      </c>
      <c r="ED707" s="290">
        <f t="shared" ca="1" si="220"/>
        <v>0.4898964847998093</v>
      </c>
      <c r="EF707" s="95">
        <f t="shared" si="272"/>
        <v>41</v>
      </c>
      <c r="EG707" s="339">
        <f t="shared" ca="1" si="273"/>
        <v>28076.030647060881</v>
      </c>
      <c r="EH707" s="341">
        <f t="shared" ca="1" si="301"/>
        <v>8898823.8182304148</v>
      </c>
      <c r="EJ707" s="308">
        <f t="shared" si="274"/>
        <v>41</v>
      </c>
      <c r="EK707" s="318">
        <f t="shared" ca="1" si="275"/>
        <v>28076.030647060881</v>
      </c>
      <c r="EL707" s="319">
        <f t="shared" ca="1" si="302"/>
        <v>5793768.0942668682</v>
      </c>
      <c r="EN707" s="95">
        <f t="shared" si="276"/>
        <v>41</v>
      </c>
      <c r="EO707" s="339">
        <f t="shared" ca="1" si="277"/>
        <v>28076.030647060881</v>
      </c>
      <c r="EP707" s="341">
        <f t="shared" ca="1" si="303"/>
        <v>8898823.8182304148</v>
      </c>
    </row>
    <row r="708" spans="1:146" s="266" customFormat="1" x14ac:dyDescent="0.25">
      <c r="A708" s="313">
        <v>42</v>
      </c>
      <c r="B708" s="314">
        <v>42</v>
      </c>
      <c r="C708" s="308">
        <f>VLOOKUP($B708,'Infant adult mortality'!$A$27:$I$128,3)</f>
        <v>9.0281059063136444E-4</v>
      </c>
      <c r="D708" s="309">
        <f t="shared" si="221"/>
        <v>0.27</v>
      </c>
      <c r="E708" s="309">
        <f>VLOOKUP($B708,'Infant pick up smoking rates'!$A$19:$I$104,3)</f>
        <v>1.5201831243956284E-3</v>
      </c>
      <c r="F708" s="309">
        <f t="shared" si="222"/>
        <v>9.6556294602646725E-3</v>
      </c>
      <c r="G708" s="309">
        <f t="shared" si="223"/>
        <v>0.71792137682470836</v>
      </c>
      <c r="H708" s="309">
        <f>VLOOKUP($B708,'Infant adult mortality'!$A$27:$I$128,3)</f>
        <v>9.0281059063136444E-4</v>
      </c>
      <c r="I708" s="309">
        <f t="shared" si="224"/>
        <v>0.14000000000000001</v>
      </c>
      <c r="J708" s="309">
        <f>VLOOKUP($B708,'Infant pick up smoking rates'!$A$19:$I$104,2)</f>
        <v>1.5201831243956284E-3</v>
      </c>
      <c r="K708" s="309">
        <f t="shared" si="225"/>
        <v>9.6556294602646725E-3</v>
      </c>
      <c r="L708" s="309">
        <f t="shared" si="226"/>
        <v>0.84792137682470836</v>
      </c>
      <c r="M708" s="309">
        <f>VLOOKUP($B708,'Infant adult mortality'!$A$27:$I$128,3)</f>
        <v>9.0281059063136444E-4</v>
      </c>
      <c r="N708" s="309">
        <f t="shared" si="227"/>
        <v>0.5714285714285714</v>
      </c>
      <c r="O708" s="309">
        <f>VLOOKUP($B708,'Infant pick up smoking rates'!$A$19:$I$104,2)</f>
        <v>1.5201831243956284E-3</v>
      </c>
      <c r="P708" s="309">
        <f t="shared" si="228"/>
        <v>6.4918700200928435E-3</v>
      </c>
      <c r="Q708" s="309">
        <f t="shared" si="229"/>
        <v>0.41965656483630875</v>
      </c>
      <c r="R708" s="309">
        <f>VLOOKUP($B708,'Infant adult mortality'!$A$27:$I$128,3)</f>
        <v>9.0281059063136444E-4</v>
      </c>
      <c r="S708" s="309">
        <f t="shared" si="230"/>
        <v>8.6261668788331098E-3</v>
      </c>
      <c r="T708" s="309">
        <f>VLOOKUP($B708,'Infant pick up smoking rates'!$A$19:$I$104,2)</f>
        <v>1.5201831243956284E-3</v>
      </c>
      <c r="U708" s="309">
        <f t="shared" si="231"/>
        <v>6.4918700200928435E-3</v>
      </c>
      <c r="V708" s="309">
        <f t="shared" si="232"/>
        <v>0.98245896938604704</v>
      </c>
      <c r="W708" s="309">
        <f>VLOOKUP($B708,'Infant adult mortality'!$A$27:$I$128,3)</f>
        <v>9.0281059063136444E-4</v>
      </c>
      <c r="X708" s="309">
        <f>VLOOKUP($B708,'Infant pick up smoking rates'!$A$19:$I$104,2)</f>
        <v>1.5201831243956284E-3</v>
      </c>
      <c r="Y708" s="309">
        <f t="shared" si="233"/>
        <v>0.99757700628497303</v>
      </c>
      <c r="Z708" s="309">
        <f>VLOOKUP($B708,'Infant adult mortality'!$A$27:$I$128,5)</f>
        <v>1.5799185336048875E-3</v>
      </c>
      <c r="AA708" s="309">
        <f t="shared" si="234"/>
        <v>0.25</v>
      </c>
      <c r="AB708" s="309">
        <f t="shared" si="235"/>
        <v>0.74842008146639516</v>
      </c>
      <c r="AC708" s="309">
        <f>VLOOKUP($B708,'Infant adult mortality'!$A$27:$I$128,5)</f>
        <v>1.5799185336048875E-3</v>
      </c>
      <c r="AD708" s="309">
        <f t="shared" si="236"/>
        <v>0.14000000000000001</v>
      </c>
      <c r="AE708" s="309">
        <f t="shared" si="237"/>
        <v>0.85842008146639515</v>
      </c>
      <c r="AF708" s="309">
        <f>VLOOKUP($B708,'Infant adult mortality'!$A$27:$I$128,4)</f>
        <v>1.1285132382892055E-3</v>
      </c>
      <c r="AG708" s="309">
        <f t="shared" si="238"/>
        <v>0.5714285714285714</v>
      </c>
      <c r="AH708" s="309">
        <f t="shared" si="239"/>
        <v>0.42744291533313938</v>
      </c>
      <c r="AI708" s="309">
        <f>VLOOKUP($B708,'Infant adult mortality'!$A$27:$I$128,4)</f>
        <v>1.1285132382892055E-3</v>
      </c>
      <c r="AJ708" s="309">
        <f t="shared" si="240"/>
        <v>8.6261668788331098E-3</v>
      </c>
      <c r="AK708" s="309">
        <f t="shared" si="241"/>
        <v>0.99024531988287767</v>
      </c>
      <c r="AL708" s="309"/>
      <c r="AM708" s="315">
        <f t="shared" si="278"/>
        <v>57.605463386586123</v>
      </c>
      <c r="AN708" s="316">
        <f t="shared" si="279"/>
        <v>15.885523157141035</v>
      </c>
      <c r="AO708" s="316">
        <f t="shared" si="280"/>
        <v>2.2697791862639738</v>
      </c>
      <c r="AP708" s="316">
        <f t="shared" si="281"/>
        <v>75.096111630873466</v>
      </c>
      <c r="AQ708" s="316">
        <f t="shared" si="282"/>
        <v>17.61432716229821</v>
      </c>
      <c r="AR708" s="316">
        <f t="shared" si="283"/>
        <v>154.64661544963076</v>
      </c>
      <c r="AS708" s="316">
        <f t="shared" si="284"/>
        <v>39.167113380554696</v>
      </c>
      <c r="AT708" s="316">
        <f t="shared" si="285"/>
        <v>5.5555026305931445</v>
      </c>
      <c r="AU708" s="316">
        <f t="shared" si="286"/>
        <v>79.681306138737952</v>
      </c>
      <c r="AV708" s="316">
        <f t="shared" si="287"/>
        <v>62.478257877320168</v>
      </c>
      <c r="AW708" s="317">
        <f t="shared" si="242"/>
        <v>509.99999999999955</v>
      </c>
      <c r="AX708" s="309"/>
      <c r="AY708" s="308">
        <f>VLOOKUP($B708,'Infant adult mortality'!$A$134:$I$234,3)</f>
        <v>4.8716904276985745E-4</v>
      </c>
      <c r="AZ708" s="309">
        <f t="shared" si="243"/>
        <v>0.27</v>
      </c>
      <c r="BA708" s="309">
        <f ca="1">VLOOKUP($B708,'Infant pick up smoking rates'!$A$19:$I$104,7)</f>
        <v>3.9916955482353625E-3</v>
      </c>
      <c r="BB708" s="309">
        <f t="shared" si="244"/>
        <v>9.6556294602646725E-3</v>
      </c>
      <c r="BC708" s="309">
        <f t="shared" ca="1" si="245"/>
        <v>0.71586550594873011</v>
      </c>
      <c r="BD708" s="309">
        <f>VLOOKUP($B708,'Infant adult mortality'!$A$134:$I$234,3)</f>
        <v>4.8716904276985745E-4</v>
      </c>
      <c r="BE708" s="309">
        <f t="shared" si="246"/>
        <v>0.14000000000000001</v>
      </c>
      <c r="BF708" s="309">
        <f>VLOOKUP($B708,'Infant pick up smoking rates'!$A$19:$I$104,6)</f>
        <v>1.9288936901483743E-3</v>
      </c>
      <c r="BG708" s="309">
        <f t="shared" si="247"/>
        <v>9.6556294602646725E-3</v>
      </c>
      <c r="BH708" s="309">
        <f t="shared" si="248"/>
        <v>0.84792830780681705</v>
      </c>
      <c r="BI708" s="309">
        <f>VLOOKUP($B708,'Infant adult mortality'!$A$134:$I$234,3)</f>
        <v>4.8716904276985745E-4</v>
      </c>
      <c r="BJ708" s="309">
        <f t="shared" si="249"/>
        <v>0.5714285714285714</v>
      </c>
      <c r="BK708" s="309">
        <f>VLOOKUP($B708,'Infant pick up smoking rates'!$A$19:$I$104,6)</f>
        <v>1.9288936901483743E-3</v>
      </c>
      <c r="BL708" s="309">
        <f t="shared" si="250"/>
        <v>6.4918700200928435E-3</v>
      </c>
      <c r="BM708" s="309">
        <f t="shared" si="251"/>
        <v>0.4196634958184175</v>
      </c>
      <c r="BN708" s="309">
        <f>VLOOKUP($B708,'Infant adult mortality'!$A$134:$I$234,3)</f>
        <v>4.8716904276985745E-4</v>
      </c>
      <c r="BO708" s="309">
        <f t="shared" si="252"/>
        <v>8.6261668788331098E-3</v>
      </c>
      <c r="BP708" s="309">
        <f>VLOOKUP($B708,'Infant pick up smoking rates'!$A$19:$I$104,6)</f>
        <v>1.9288936901483743E-3</v>
      </c>
      <c r="BQ708" s="309">
        <f t="shared" si="253"/>
        <v>6.4918700200928435E-3</v>
      </c>
      <c r="BR708" s="309">
        <f t="shared" si="254"/>
        <v>0.98246590036815573</v>
      </c>
      <c r="BS708" s="309">
        <f>VLOOKUP($B708,'Infant adult mortality'!$A$134:$I$234,3)</f>
        <v>4.8716904276985745E-4</v>
      </c>
      <c r="BT708" s="309">
        <f>VLOOKUP($B708,'Infant pick up smoking rates'!$A$19:$I$104,6)</f>
        <v>1.9288936901483743E-3</v>
      </c>
      <c r="BU708" s="309">
        <f t="shared" si="255"/>
        <v>0.99758393726708172</v>
      </c>
      <c r="BV708" s="309">
        <f>VLOOKUP($B708,'Infant adult mortality'!$A$134:$I$234,5)</f>
        <v>8.5254582484725042E-4</v>
      </c>
      <c r="BW708" s="309">
        <f t="shared" si="256"/>
        <v>0.27</v>
      </c>
      <c r="BX708" s="309">
        <f t="shared" si="257"/>
        <v>0.7291474541751527</v>
      </c>
      <c r="BY708" s="309">
        <f>VLOOKUP($B708,'Infant adult mortality'!$A$134:$I$234,5)</f>
        <v>8.5254582484725042E-4</v>
      </c>
      <c r="BZ708" s="309">
        <f t="shared" si="258"/>
        <v>0.14000000000000001</v>
      </c>
      <c r="CA708" s="309">
        <f t="shared" si="259"/>
        <v>0.8591474541751527</v>
      </c>
      <c r="CB708" s="309">
        <f>VLOOKUP($B708,'Infant adult mortality'!$A$134:$I$234,4)</f>
        <v>6.0896130346232177E-4</v>
      </c>
      <c r="CC708" s="309">
        <f t="shared" si="260"/>
        <v>0.5714285714285714</v>
      </c>
      <c r="CD708" s="309">
        <f t="shared" si="261"/>
        <v>0.42796246726796627</v>
      </c>
      <c r="CE708" s="309">
        <f>VLOOKUP($B708,'Infant adult mortality'!$A$134:$I$234,4)</f>
        <v>6.0896130346232177E-4</v>
      </c>
      <c r="CF708" s="309">
        <f t="shared" si="262"/>
        <v>8.6261668788331098E-3</v>
      </c>
      <c r="CG708" s="309">
        <f t="shared" si="263"/>
        <v>0.99076487181770456</v>
      </c>
      <c r="CH708" s="309"/>
      <c r="CI708" s="315">
        <f t="shared" ca="1" si="288"/>
        <v>76.98215696974259</v>
      </c>
      <c r="CJ708" s="316">
        <f t="shared" ca="1" si="289"/>
        <v>21.269842473055235</v>
      </c>
      <c r="CK708" s="316">
        <f t="shared" ca="1" si="290"/>
        <v>3.0451176727411018</v>
      </c>
      <c r="CL708" s="316">
        <f t="shared" ca="1" si="291"/>
        <v>97.343594281327285</v>
      </c>
      <c r="CM708" s="316">
        <f t="shared" ca="1" si="292"/>
        <v>23.315899756541064</v>
      </c>
      <c r="CN708" s="316">
        <f t="shared" ca="1" si="293"/>
        <v>114.59283188437738</v>
      </c>
      <c r="CO708" s="316">
        <f t="shared" ca="1" si="294"/>
        <v>31.26508703294051</v>
      </c>
      <c r="CP708" s="316">
        <f t="shared" ca="1" si="295"/>
        <v>4.4236661367704535</v>
      </c>
      <c r="CQ708" s="316">
        <f t="shared" ca="1" si="296"/>
        <v>60.845152559394144</v>
      </c>
      <c r="CR708" s="316">
        <f t="shared" ca="1" si="297"/>
        <v>56.916651233110343</v>
      </c>
      <c r="CS708" s="317">
        <f t="shared" ca="1" si="264"/>
        <v>490.00000000000011</v>
      </c>
      <c r="CT708" s="309"/>
      <c r="CU708" s="309">
        <f t="shared" ca="1" si="265"/>
        <v>999.99999999999966</v>
      </c>
      <c r="CV708" s="309" t="str">
        <f t="shared" ca="1" si="216"/>
        <v>OKAY</v>
      </c>
      <c r="CW708" s="309"/>
      <c r="CX708" s="315">
        <f>(SUM($AR708:$AS708))-((SUM($AR708:$AS708)*VLOOKUP($B708,Lifetime_morbidity_array!$A$30:$Y$48,4))+(SUM($AR708:$AS708)*VLOOKUP($B708,Lifetime_morbidity_array!$A$30:$Y$48,7))+(SUM($AR708:$AS708)*VLOOKUP($B708,Lifetime_morbidity_array!$A$30:$Y$48,10))+(SUM($AR708:$AS708)*VLOOKUP($B708,Lifetime_morbidity_array!$A$30:$Y$48,13)))</f>
        <v>188.67649304976069</v>
      </c>
      <c r="CY708" s="316">
        <f>(SUM($AT708:$AU708))-((SUM($AT708:$AU708)*(VLOOKUP($B708,Lifetime_morbidity_array!$A$30:$Y$48,3)))+(SUM($AT708:$AU708)*(VLOOKUP($B708,Lifetime_morbidity_array!$A$30:$Y$48,6)))+(SUM($AT708:$AU708)*(VLOOKUP($B708,Lifetime_morbidity_array!$A$30:$Y$48,9)))+(SUM($AT708:$AU708)*(VLOOKUP($B708,Lifetime_morbidity_array!$A$30:$Y$48,12))))</f>
        <v>84.181707208922433</v>
      </c>
      <c r="CZ708" s="316">
        <f>(SUM($AM708:$AQ708))-((SUM($AM708:$AQ708)*VLOOKUP($B708,Lifetime_morbidity_array!$A$30:$Y$48,2))+(SUM($AM708:$AQ708)*VLOOKUP($B708,Lifetime_morbidity_array!$A$30:$Y$48,5))+(SUM($AM708:$AQ708)*VLOOKUP($B708,Lifetime_morbidity_array!$A$30:$Y$48,8))+(SUM($AM708:$AQ708)*VLOOKUP($B708,Lifetime_morbidity_array!$A$30:$Y$48,11)))</f>
        <v>167.1084306518506</v>
      </c>
      <c r="DA708" s="316">
        <f>(SUM($AM708:$AQ708)*VLOOKUP($B708,Lifetime_morbidity_array!$A$30:$Y$48,2))+(SUM($AR708:$AS708)*VLOOKUP($B708,Lifetime_morbidity_array!$A$30:$Y$48,4))+(SUM($AT708:$AU708)*(VLOOKUP($B708,Lifetime_morbidity_array!$A$30:$Y$48,3)))</f>
        <v>3.5148683203267854</v>
      </c>
      <c r="DB708" s="316">
        <f>(SUM($AM708:$AQ708)*VLOOKUP($B708,Lifetime_morbidity_array!$A$30:$Y$48,5))+(SUM($AR708:$AS708)*VLOOKUP($B708,Lifetime_morbidity_array!$A$30:$Y$48,7))+(SUM($AT708:$AU708)*(VLOOKUP($B708,Lifetime_morbidity_array!$A$30:$Y$48,6)))</f>
        <v>1.3066890788844414</v>
      </c>
      <c r="DC708" s="316">
        <f>(SUM($AM708:$AQ708)*VLOOKUP($B708,Lifetime_morbidity_array!$A$30:$Y$48,8))+(SUM($AR708:$AS708)*VLOOKUP($B708,Lifetime_morbidity_array!$A$30:$Y$48,10))+(SUM($AT708:$AU708)*(VLOOKUP($B708,Lifetime_morbidity_array!$A$30:$Y$48,9)))</f>
        <v>1.3915430897146214E-2</v>
      </c>
      <c r="DD708" s="317">
        <f>(SUM($AM708:$AQ708)*VLOOKUP($B708,Lifetime_morbidity_array!$A$30:$Y$48,11))+(SUM($AR708:$AS708)*VLOOKUP($B708,Lifetime_morbidity_array!$A$30:$Y$48,13))+(SUM($AT708:$AU708)*(VLOOKUP($B708,Lifetime_morbidity_array!$A$30:$Y$48,12)))</f>
        <v>2.7196383820372341</v>
      </c>
      <c r="DE708" s="309"/>
      <c r="DF708" s="315">
        <f ca="1">(SUM($CN708:$CO708))-((SUM($CN708:$CO708)*VLOOKUP($B708,Lifetime_morbidity_array!$A$6:$Y$24,4))+(SUM($CN708:$CO708)*VLOOKUP($B708,Lifetime_morbidity_array!$A$6:$Y$24,7))+(SUM($CN708:$CO708)*VLOOKUP($B708,Lifetime_morbidity_array!$A$6:$Y$24,10))+(SUM($CN708:$CO708)*VLOOKUP($B708,Lifetime_morbidity_array!$A$6:$Y$24,13)))</f>
        <v>142.71073587087778</v>
      </c>
      <c r="DG708" s="316">
        <f ca="1">(SUM($CP708:$CQ708))-(((SUM($CP708:$CQ708)*VLOOKUP($B708,Lifetime_morbidity_array!$A$6:$Y$24,3))+(SUM($CP708:$CQ708)*VLOOKUP($B708,Lifetime_morbidity_array!$A$6:$Y$24,6))+(SUM($CP708:$CQ708)*VLOOKUP($B708,Lifetime_morbidity_array!$A$6:$Y$24,9))+(SUM($CP708:$CQ708)*VLOOKUP($B708,Lifetime_morbidity_array!$A$6:$Y$24,12))))</f>
        <v>64.726231165317003</v>
      </c>
      <c r="DH708" s="316">
        <f ca="1">(SUM($CI708:$CM708))-((SUM($CI708:$CM708)*VLOOKUP($B708,Lifetime_morbidity_array!$A$6:$Y$24,2))+(SUM($CI708:$CM708)*VLOOKUP($B708,Lifetime_morbidity_array!$A$6:$Y$24,5))+(SUM($CI708:$CM708)*VLOOKUP($B708,Lifetime_morbidity_array!$A$6:$Y$24,8))+(SUM($CI708:$CM708)*VLOOKUP($B708,Lifetime_morbidity_array!$A$6:$Y$24,11)))</f>
        <v>220.70975094189646</v>
      </c>
      <c r="DI708" s="316">
        <f ca="1">(SUM($CI708:$CM708)*VLOOKUP($B708,Lifetime_morbidity_array!$A$6:$Y$24,2))+(SUM($CN708:$CO708)*VLOOKUP($B708,Lifetime_morbidity_array!$A$6:$Y$24,4))+(SUM($CP708:$CQ708)*VLOOKUP($B708,Lifetime_morbidity_array!$A$6:$Y$24,3))</f>
        <v>1.6236751185167886</v>
      </c>
      <c r="DJ708" s="316">
        <f ca="1">(SUM($CI708:$CM708)*VLOOKUP($B708,Lifetime_morbidity_array!$A$6:$Y$24,5))+(SUM($CN708:$CO708)*VLOOKUP($B708,Lifetime_morbidity_array!$A$6:$Y$24,7))+(SUM($CP708:$CQ708)*VLOOKUP($B708,Lifetime_morbidity_array!$A$6:$Y$24,6))</f>
        <v>1.2971702492569888</v>
      </c>
      <c r="DK708" s="316">
        <f ca="1">(SUM($CI708:$CM708)*VLOOKUP($B708,Lifetime_morbidity_array!$A$6:$Y$24,8))+(SUM($CN708:$CO708)*VLOOKUP($B708,Lifetime_morbidity_array!$A$6:$Y$24,10))+(SUM($CP708:$CQ708)*VLOOKUP($B708,Lifetime_morbidity_array!$A$6:$Y$24,9))</f>
        <v>1.251370687305914E-2</v>
      </c>
      <c r="DL708" s="317">
        <f ca="1">(SUM($CI708:$CM708)*VLOOKUP($B708,Lifetime_morbidity_array!$A$6:$Y$24,11))+(SUM($CN708:$CO708)*VLOOKUP($B708,Lifetime_morbidity_array!$A$6:$Y$24,13))+(SUM($CP708:$CQ708)*VLOOKUP($B708,Lifetime_morbidity_array!$A$6:$Y$24,12))</f>
        <v>2.0032717141516612</v>
      </c>
      <c r="DM708" s="309"/>
      <c r="DN708" s="308">
        <f t="shared" si="266"/>
        <v>42</v>
      </c>
      <c r="DO708" s="309">
        <f t="shared" ca="1" si="267"/>
        <v>207.6282772626642</v>
      </c>
      <c r="DP708" s="310">
        <f t="shared" ca="1" si="298"/>
        <v>19411.089632635114</v>
      </c>
      <c r="DQ708" s="309"/>
      <c r="DR708" s="308">
        <f t="shared" si="268"/>
        <v>42</v>
      </c>
      <c r="DS708" s="309">
        <f ca="1">((VLOOKUP($B708,'Mahawesran Tariff'!$A$21:$M$120,4)*'Experimental (DET)'!$CX708)+(VLOOKUP($B708,'Mahawesran Tariff'!$A$21:$M$120,3)*'Experimental (DET)'!$CY708)+(VLOOKUP($B708,'Mahawesran Tariff'!$A$21:$M$120,2)*'Experimental (DET)'!$CZ708)+(VLOOKUP($B708,'Mahawesran Tariff'!$A$21:$M$120,7)*'Experimental (DET)'!$DF708)+(VLOOKUP($B708,'Mahawesran Tariff'!$A$21:$M$120,6)*'Experimental (DET)'!$DG708)+(VLOOKUP($B708,'Mahawesran Tariff'!$A$21:$M$120,5)*'Experimental (DET)'!$DH708)+(DET_UTIL_chd*('Experimental (DET)'!$DA708+'Experimental (DET)'!$DI708))+(DET_UTIL_copd*('Experimental (DET)'!$DB708+'Experimental (DET)'!$DJ708))+(DET_UTIL_lc*('Experimental (DET)'!$DC708+'Experimental (DET)'!$DK708))+(DET_UTIL_stroke*('Experimental (DET)'!$DD708+'Experimental (DET)'!$DL708)))/((1+Discount_rate_QALYs)^$A708)</f>
        <v>203.75399293721173</v>
      </c>
      <c r="DT708" s="310">
        <f t="shared" ca="1" si="299"/>
        <v>19359.985682275168</v>
      </c>
      <c r="DU708" s="309"/>
      <c r="DV708" s="308">
        <f t="shared" si="269"/>
        <v>42</v>
      </c>
      <c r="DW708" s="318">
        <f t="shared" ca="1" si="270"/>
        <v>26997.131033632868</v>
      </c>
      <c r="DX708" s="319">
        <f t="shared" ca="1" si="300"/>
        <v>5823805.225300502</v>
      </c>
      <c r="DZ708" s="95">
        <f t="shared" si="271"/>
        <v>42</v>
      </c>
      <c r="EA708" s="268">
        <f t="shared" ca="1" si="217"/>
        <v>0.88060509088956906</v>
      </c>
      <c r="EB708" s="268">
        <f t="shared" ca="1" si="218"/>
        <v>0.11939490911043052</v>
      </c>
      <c r="EC708" s="268">
        <f t="shared" ca="1" si="219"/>
        <v>1.2491742000944106E-2</v>
      </c>
      <c r="ED708" s="290">
        <f t="shared" ca="1" si="220"/>
        <v>0.49017727521299903</v>
      </c>
      <c r="EF708" s="95">
        <f t="shared" si="272"/>
        <v>42</v>
      </c>
      <c r="EG708" s="339">
        <f t="shared" ca="1" si="273"/>
        <v>26997.131033632868</v>
      </c>
      <c r="EH708" s="341">
        <f t="shared" ca="1" si="301"/>
        <v>8925820.9492640477</v>
      </c>
      <c r="EJ708" s="308">
        <f t="shared" si="274"/>
        <v>42</v>
      </c>
      <c r="EK708" s="318">
        <f t="shared" ca="1" si="275"/>
        <v>26997.131033632868</v>
      </c>
      <c r="EL708" s="319">
        <f t="shared" ca="1" si="302"/>
        <v>5820765.2253005011</v>
      </c>
      <c r="EN708" s="95">
        <f t="shared" si="276"/>
        <v>42</v>
      </c>
      <c r="EO708" s="339">
        <f t="shared" ca="1" si="277"/>
        <v>26997.131033632868</v>
      </c>
      <c r="EP708" s="341">
        <f t="shared" ca="1" si="303"/>
        <v>8925820.9492640477</v>
      </c>
    </row>
    <row r="709" spans="1:146" s="266" customFormat="1" x14ac:dyDescent="0.25">
      <c r="A709" s="313">
        <v>43</v>
      </c>
      <c r="B709" s="314">
        <v>43</v>
      </c>
      <c r="C709" s="308">
        <f>VLOOKUP($B709,'Infant adult mortality'!$A$27:$I$128,3)</f>
        <v>9.466395112016293E-4</v>
      </c>
      <c r="D709" s="309">
        <f t="shared" si="221"/>
        <v>0.27</v>
      </c>
      <c r="E709" s="309">
        <f>VLOOKUP($B709,'Infant pick up smoking rates'!$A$19:$I$104,3)</f>
        <v>1.5201831243956284E-3</v>
      </c>
      <c r="F709" s="309">
        <f t="shared" si="222"/>
        <v>1.0508487493937506E-2</v>
      </c>
      <c r="G709" s="309">
        <f t="shared" si="223"/>
        <v>0.71702468987046519</v>
      </c>
      <c r="H709" s="309">
        <f>VLOOKUP($B709,'Infant adult mortality'!$A$27:$I$128,3)</f>
        <v>9.466395112016293E-4</v>
      </c>
      <c r="I709" s="309">
        <f t="shared" si="224"/>
        <v>0.14000000000000001</v>
      </c>
      <c r="J709" s="309">
        <f>VLOOKUP($B709,'Infant pick up smoking rates'!$A$19:$I$104,2)</f>
        <v>1.5201831243956284E-3</v>
      </c>
      <c r="K709" s="309">
        <f t="shared" si="225"/>
        <v>1.0508487493937506E-2</v>
      </c>
      <c r="L709" s="309">
        <f t="shared" si="226"/>
        <v>0.8470246898704652</v>
      </c>
      <c r="M709" s="309">
        <f>VLOOKUP($B709,'Infant adult mortality'!$A$27:$I$128,3)</f>
        <v>9.466395112016293E-4</v>
      </c>
      <c r="N709" s="309">
        <f t="shared" si="227"/>
        <v>0.5714285714285714</v>
      </c>
      <c r="O709" s="309">
        <f>VLOOKUP($B709,'Infant pick up smoking rates'!$A$19:$I$104,2)</f>
        <v>1.5201831243956284E-3</v>
      </c>
      <c r="P709" s="309">
        <f t="shared" si="228"/>
        <v>7.0652809533707488E-3</v>
      </c>
      <c r="Q709" s="309">
        <f t="shared" si="229"/>
        <v>0.4190393249824606</v>
      </c>
      <c r="R709" s="309">
        <f>VLOOKUP($B709,'Infant adult mortality'!$A$27:$I$128,3)</f>
        <v>9.466395112016293E-4</v>
      </c>
      <c r="S709" s="309">
        <f t="shared" si="230"/>
        <v>8.6261668788331098E-3</v>
      </c>
      <c r="T709" s="309">
        <f>VLOOKUP($B709,'Infant pick up smoking rates'!$A$19:$I$104,2)</f>
        <v>1.5201831243956284E-3</v>
      </c>
      <c r="U709" s="309">
        <f t="shared" si="231"/>
        <v>7.0652809533707488E-3</v>
      </c>
      <c r="V709" s="309">
        <f t="shared" si="232"/>
        <v>0.98184172953219884</v>
      </c>
      <c r="W709" s="309">
        <f>VLOOKUP($B709,'Infant adult mortality'!$A$27:$I$128,3)</f>
        <v>9.466395112016293E-4</v>
      </c>
      <c r="X709" s="309">
        <f>VLOOKUP($B709,'Infant pick up smoking rates'!$A$19:$I$104,2)</f>
        <v>1.5201831243956284E-3</v>
      </c>
      <c r="Y709" s="309">
        <f t="shared" si="233"/>
        <v>0.99753317736440272</v>
      </c>
      <c r="Z709" s="309">
        <f>VLOOKUP($B709,'Infant adult mortality'!$A$27:$I$128,5)</f>
        <v>1.656619144602851E-3</v>
      </c>
      <c r="AA709" s="309">
        <f t="shared" si="234"/>
        <v>0.25</v>
      </c>
      <c r="AB709" s="309">
        <f t="shared" si="235"/>
        <v>0.7483433808553972</v>
      </c>
      <c r="AC709" s="309">
        <f>VLOOKUP($B709,'Infant adult mortality'!$A$27:$I$128,5)</f>
        <v>1.656619144602851E-3</v>
      </c>
      <c r="AD709" s="309">
        <f t="shared" si="236"/>
        <v>0.14000000000000001</v>
      </c>
      <c r="AE709" s="309">
        <f t="shared" si="237"/>
        <v>0.85834338085539719</v>
      </c>
      <c r="AF709" s="309">
        <f>VLOOKUP($B709,'Infant adult mortality'!$A$27:$I$128,4)</f>
        <v>1.1832993890020366E-3</v>
      </c>
      <c r="AG709" s="309">
        <f t="shared" si="238"/>
        <v>0.5714285714285714</v>
      </c>
      <c r="AH709" s="309">
        <f t="shared" si="239"/>
        <v>0.42738812918242658</v>
      </c>
      <c r="AI709" s="309">
        <f>VLOOKUP($B709,'Infant adult mortality'!$A$27:$I$128,4)</f>
        <v>1.1832993890020366E-3</v>
      </c>
      <c r="AJ709" s="309">
        <f t="shared" si="240"/>
        <v>8.6261668788331098E-3</v>
      </c>
      <c r="AK709" s="309">
        <f t="shared" si="241"/>
        <v>0.99019053373216481</v>
      </c>
      <c r="AL709" s="309"/>
      <c r="AM709" s="315">
        <f t="shared" si="278"/>
        <v>56.358888174169522</v>
      </c>
      <c r="AN709" s="316">
        <f t="shared" si="279"/>
        <v>15.553475114378255</v>
      </c>
      <c r="AO709" s="316">
        <f t="shared" si="280"/>
        <v>2.2239732419997451</v>
      </c>
      <c r="AP709" s="316">
        <f t="shared" si="281"/>
        <v>75.02951280266501</v>
      </c>
      <c r="AQ709" s="316">
        <f t="shared" si="282"/>
        <v>18.889766609186204</v>
      </c>
      <c r="AR709" s="316">
        <f t="shared" si="283"/>
        <v>152.66541076272929</v>
      </c>
      <c r="AS709" s="316">
        <f t="shared" si="284"/>
        <v>38.66165386240769</v>
      </c>
      <c r="AT709" s="316">
        <f t="shared" si="285"/>
        <v>5.483395873277658</v>
      </c>
      <c r="AU709" s="316">
        <f t="shared" si="286"/>
        <v>82.074247985760465</v>
      </c>
      <c r="AV709" s="316">
        <f t="shared" si="287"/>
        <v>63.059675573425707</v>
      </c>
      <c r="AW709" s="317">
        <f t="shared" si="242"/>
        <v>509.99999999999949</v>
      </c>
      <c r="AX709" s="309"/>
      <c r="AY709" s="308">
        <f>VLOOKUP($B709,'Infant adult mortality'!$A$134:$I$234,3)</f>
        <v>5.0639511201629325E-4</v>
      </c>
      <c r="AZ709" s="309">
        <f t="shared" si="243"/>
        <v>0.27</v>
      </c>
      <c r="BA709" s="309">
        <f ca="1">VLOOKUP($B709,'Infant pick up smoking rates'!$A$19:$I$104,7)</f>
        <v>3.9916955482353625E-3</v>
      </c>
      <c r="BB709" s="309">
        <f t="shared" si="244"/>
        <v>1.0508487493937506E-2</v>
      </c>
      <c r="BC709" s="309">
        <f t="shared" ca="1" si="245"/>
        <v>0.71499342184581083</v>
      </c>
      <c r="BD709" s="309">
        <f>VLOOKUP($B709,'Infant adult mortality'!$A$134:$I$234,3)</f>
        <v>5.0639511201629325E-4</v>
      </c>
      <c r="BE709" s="309">
        <f t="shared" si="246"/>
        <v>0.14000000000000001</v>
      </c>
      <c r="BF709" s="309">
        <f>VLOOKUP($B709,'Infant pick up smoking rates'!$A$19:$I$104,6)</f>
        <v>1.9288936901483743E-3</v>
      </c>
      <c r="BG709" s="309">
        <f t="shared" si="247"/>
        <v>1.0508487493937506E-2</v>
      </c>
      <c r="BH709" s="309">
        <f t="shared" si="248"/>
        <v>0.84705622370389777</v>
      </c>
      <c r="BI709" s="309">
        <f>VLOOKUP($B709,'Infant adult mortality'!$A$134:$I$234,3)</f>
        <v>5.0639511201629325E-4</v>
      </c>
      <c r="BJ709" s="309">
        <f t="shared" si="249"/>
        <v>0.5714285714285714</v>
      </c>
      <c r="BK709" s="309">
        <f>VLOOKUP($B709,'Infant pick up smoking rates'!$A$19:$I$104,6)</f>
        <v>1.9288936901483743E-3</v>
      </c>
      <c r="BL709" s="309">
        <f t="shared" si="250"/>
        <v>7.0652809533707488E-3</v>
      </c>
      <c r="BM709" s="309">
        <f t="shared" si="251"/>
        <v>0.41907085881589318</v>
      </c>
      <c r="BN709" s="309">
        <f>VLOOKUP($B709,'Infant adult mortality'!$A$134:$I$234,3)</f>
        <v>5.0639511201629325E-4</v>
      </c>
      <c r="BO709" s="309">
        <f t="shared" si="252"/>
        <v>8.6261668788331098E-3</v>
      </c>
      <c r="BP709" s="309">
        <f>VLOOKUP($B709,'Infant pick up smoking rates'!$A$19:$I$104,6)</f>
        <v>1.9288936901483743E-3</v>
      </c>
      <c r="BQ709" s="309">
        <f t="shared" si="253"/>
        <v>7.0652809533707488E-3</v>
      </c>
      <c r="BR709" s="309">
        <f t="shared" si="254"/>
        <v>0.98187326336563141</v>
      </c>
      <c r="BS709" s="309">
        <f>VLOOKUP($B709,'Infant adult mortality'!$A$134:$I$234,3)</f>
        <v>5.0639511201629325E-4</v>
      </c>
      <c r="BT709" s="309">
        <f>VLOOKUP($B709,'Infant pick up smoking rates'!$A$19:$I$104,6)</f>
        <v>1.9288936901483743E-3</v>
      </c>
      <c r="BU709" s="309">
        <f t="shared" si="255"/>
        <v>0.9975647111978353</v>
      </c>
      <c r="BV709" s="309">
        <f>VLOOKUP($B709,'Infant adult mortality'!$A$134:$I$234,5)</f>
        <v>8.861914460285131E-4</v>
      </c>
      <c r="BW709" s="309">
        <f t="shared" si="256"/>
        <v>0.27</v>
      </c>
      <c r="BX709" s="309">
        <f t="shared" si="257"/>
        <v>0.72911380855397145</v>
      </c>
      <c r="BY709" s="309">
        <f>VLOOKUP($B709,'Infant adult mortality'!$A$134:$I$234,5)</f>
        <v>8.861914460285131E-4</v>
      </c>
      <c r="BZ709" s="309">
        <f t="shared" si="258"/>
        <v>0.14000000000000001</v>
      </c>
      <c r="CA709" s="309">
        <f t="shared" si="259"/>
        <v>0.85911380855397146</v>
      </c>
      <c r="CB709" s="309">
        <f>VLOOKUP($B709,'Infant adult mortality'!$A$134:$I$234,4)</f>
        <v>6.3299389002036653E-4</v>
      </c>
      <c r="CC709" s="309">
        <f t="shared" si="260"/>
        <v>0.5714285714285714</v>
      </c>
      <c r="CD709" s="309">
        <f t="shared" si="261"/>
        <v>0.42793843468140824</v>
      </c>
      <c r="CE709" s="309">
        <f>VLOOKUP($B709,'Infant adult mortality'!$A$134:$I$234,4)</f>
        <v>6.3299389002036653E-4</v>
      </c>
      <c r="CF709" s="309">
        <f t="shared" si="262"/>
        <v>8.6261668788331098E-3</v>
      </c>
      <c r="CG709" s="309">
        <f t="shared" si="263"/>
        <v>0.99074083923114653</v>
      </c>
      <c r="CH709" s="309"/>
      <c r="CI709" s="315">
        <f t="shared" ca="1" si="288"/>
        <v>75.174310444037744</v>
      </c>
      <c r="CJ709" s="316">
        <f t="shared" ca="1" si="289"/>
        <v>20.785182381830502</v>
      </c>
      <c r="CK709" s="316">
        <f t="shared" ca="1" si="290"/>
        <v>2.9777779462277332</v>
      </c>
      <c r="CL709" s="316">
        <f t="shared" ca="1" si="291"/>
        <v>97.31913982631319</v>
      </c>
      <c r="CM709" s="316">
        <f t="shared" ca="1" si="292"/>
        <v>25.000873168853062</v>
      </c>
      <c r="CN709" s="316">
        <f t="shared" ca="1" si="293"/>
        <v>113.41633092888962</v>
      </c>
      <c r="CO709" s="316">
        <f t="shared" ca="1" si="294"/>
        <v>30.940064608781892</v>
      </c>
      <c r="CP709" s="316">
        <f t="shared" ca="1" si="295"/>
        <v>4.3771121846116721</v>
      </c>
      <c r="CQ709" s="316">
        <f t="shared" ca="1" si="296"/>
        <v>62.809586730852985</v>
      </c>
      <c r="CR709" s="316">
        <f t="shared" ca="1" si="297"/>
        <v>57.199621779601692</v>
      </c>
      <c r="CS709" s="317">
        <f t="shared" ca="1" si="264"/>
        <v>490.00000000000006</v>
      </c>
      <c r="CT709" s="309"/>
      <c r="CU709" s="309">
        <f t="shared" ca="1" si="265"/>
        <v>999.99999999999955</v>
      </c>
      <c r="CV709" s="309" t="str">
        <f t="shared" ca="1" si="216"/>
        <v>OKAY</v>
      </c>
      <c r="CW709" s="309"/>
      <c r="CX709" s="315">
        <f>(SUM($AR709:$AS709))-((SUM($AR709:$AS709)*VLOOKUP($B709,Lifetime_morbidity_array!$A$30:$Y$48,4))+(SUM($AR709:$AS709)*VLOOKUP($B709,Lifetime_morbidity_array!$A$30:$Y$48,7))+(SUM($AR709:$AS709)*VLOOKUP($B709,Lifetime_morbidity_array!$A$30:$Y$48,10))+(SUM($AR709:$AS709)*VLOOKUP($B709,Lifetime_morbidity_array!$A$30:$Y$48,13)))</f>
        <v>186.25574048268123</v>
      </c>
      <c r="CY709" s="316">
        <f>(SUM($AT709:$AU709))-((SUM($AT709:$AU709)*(VLOOKUP($B709,Lifetime_morbidity_array!$A$30:$Y$48,3)))+(SUM($AT709:$AU709)*(VLOOKUP($B709,Lifetime_morbidity_array!$A$30:$Y$48,6)))+(SUM($AT709:$AU709)*(VLOOKUP($B709,Lifetime_morbidity_array!$A$30:$Y$48,9)))+(SUM($AT709:$AU709)*(VLOOKUP($B709,Lifetime_morbidity_array!$A$30:$Y$48,12))))</f>
        <v>86.473813903468312</v>
      </c>
      <c r="CZ709" s="316">
        <f>(SUM($AM709:$AQ709))-((SUM($AM709:$AQ709)*VLOOKUP($B709,Lifetime_morbidity_array!$A$30:$Y$48,2))+(SUM($AM709:$AQ709)*VLOOKUP($B709,Lifetime_morbidity_array!$A$30:$Y$48,5))+(SUM($AM709:$AQ709)*VLOOKUP($B709,Lifetime_morbidity_array!$A$30:$Y$48,8))+(SUM($AM709:$AQ709)*VLOOKUP($B709,Lifetime_morbidity_array!$A$30:$Y$48,11)))</f>
        <v>166.6962037925195</v>
      </c>
      <c r="DA709" s="316">
        <f>(SUM($AM709:$AQ709)*VLOOKUP($B709,Lifetime_morbidity_array!$A$30:$Y$48,2))+(SUM($AR709:$AS709)*VLOOKUP($B709,Lifetime_morbidity_array!$A$30:$Y$48,4))+(SUM($AT709:$AU709)*(VLOOKUP($B709,Lifetime_morbidity_array!$A$30:$Y$48,3)))</f>
        <v>3.4958753701636178</v>
      </c>
      <c r="DB709" s="316">
        <f>(SUM($AM709:$AQ709)*VLOOKUP($B709,Lifetime_morbidity_array!$A$30:$Y$48,5))+(SUM($AR709:$AS709)*VLOOKUP($B709,Lifetime_morbidity_array!$A$30:$Y$48,7))+(SUM($AT709:$AU709)*(VLOOKUP($B709,Lifetime_morbidity_array!$A$30:$Y$48,6)))</f>
        <v>1.2998796777458117</v>
      </c>
      <c r="DC709" s="316">
        <f>(SUM($AM709:$AQ709)*VLOOKUP($B709,Lifetime_morbidity_array!$A$30:$Y$48,8))+(SUM($AR709:$AS709)*VLOOKUP($B709,Lifetime_morbidity_array!$A$30:$Y$48,10))+(SUM($AT709:$AU709)*(VLOOKUP($B709,Lifetime_morbidity_array!$A$30:$Y$48,9)))</f>
        <v>1.3807162596503525E-2</v>
      </c>
      <c r="DD709" s="317">
        <f>(SUM($AM709:$AQ709)*VLOOKUP($B709,Lifetime_morbidity_array!$A$30:$Y$48,11))+(SUM($AR709:$AS709)*VLOOKUP($B709,Lifetime_morbidity_array!$A$30:$Y$48,13))+(SUM($AT709:$AU709)*(VLOOKUP($B709,Lifetime_morbidity_array!$A$30:$Y$48,12)))</f>
        <v>2.7050040373988784</v>
      </c>
      <c r="DE709" s="309"/>
      <c r="DF709" s="315">
        <f ca="1">(SUM($CN709:$CO709))-((SUM($CN709:$CO709)*VLOOKUP($B709,Lifetime_morbidity_array!$A$6:$Y$24,4))+(SUM($CN709:$CO709)*VLOOKUP($B709,Lifetime_morbidity_array!$A$6:$Y$24,7))+(SUM($CN709:$CO709)*VLOOKUP($B709,Lifetime_morbidity_array!$A$6:$Y$24,10))+(SUM($CN709:$CO709)*VLOOKUP($B709,Lifetime_morbidity_array!$A$6:$Y$24,13)))</f>
        <v>141.24161093047513</v>
      </c>
      <c r="DG709" s="316">
        <f ca="1">(SUM($CP709:$CQ709))-(((SUM($CP709:$CQ709)*VLOOKUP($B709,Lifetime_morbidity_array!$A$6:$Y$24,3))+(SUM($CP709:$CQ709)*VLOOKUP($B709,Lifetime_morbidity_array!$A$6:$Y$24,6))+(SUM($CP709:$CQ709)*VLOOKUP($B709,Lifetime_morbidity_array!$A$6:$Y$24,9))+(SUM($CP709:$CQ709)*VLOOKUP($B709,Lifetime_morbidity_array!$A$6:$Y$24,12))))</f>
        <v>66.628167815950746</v>
      </c>
      <c r="DH709" s="316">
        <f ca="1">(SUM($CI709:$CM709))-((SUM($CI709:$CM709)*VLOOKUP($B709,Lifetime_morbidity_array!$A$6:$Y$24,2))+(SUM($CI709:$CM709)*VLOOKUP($B709,Lifetime_morbidity_array!$A$6:$Y$24,5))+(SUM($CI709:$CM709)*VLOOKUP($B709,Lifetime_morbidity_array!$A$6:$Y$24,8))+(SUM($CI709:$CM709)*VLOOKUP($B709,Lifetime_morbidity_array!$A$6:$Y$24,11)))</f>
        <v>220.01435208704439</v>
      </c>
      <c r="DI709" s="316">
        <f ca="1">(SUM($CI709:$CM709)*VLOOKUP($B709,Lifetime_morbidity_array!$A$6:$Y$24,2))+(SUM($CN709:$CO709)*VLOOKUP($B709,Lifetime_morbidity_array!$A$6:$Y$24,4))+(SUM($CP709:$CQ709)*VLOOKUP($B709,Lifetime_morbidity_array!$A$6:$Y$24,3))</f>
        <v>1.6178861763810697</v>
      </c>
      <c r="DJ709" s="316">
        <f ca="1">(SUM($CI709:$CM709)*VLOOKUP($B709,Lifetime_morbidity_array!$A$6:$Y$24,5))+(SUM($CN709:$CO709)*VLOOKUP($B709,Lifetime_morbidity_array!$A$6:$Y$24,7))+(SUM($CP709:$CQ709)*VLOOKUP($B709,Lifetime_morbidity_array!$A$6:$Y$24,6))</f>
        <v>1.2902759788759539</v>
      </c>
      <c r="DK709" s="316">
        <f ca="1">(SUM($CI709:$CM709)*VLOOKUP($B709,Lifetime_morbidity_array!$A$6:$Y$24,8))+(SUM($CN709:$CO709)*VLOOKUP($B709,Lifetime_morbidity_array!$A$6:$Y$24,10))+(SUM($CP709:$CQ709)*VLOOKUP($B709,Lifetime_morbidity_array!$A$6:$Y$24,9))</f>
        <v>1.2430039801549869E-2</v>
      </c>
      <c r="DL709" s="317">
        <f ca="1">(SUM($CI709:$CM709)*VLOOKUP($B709,Lifetime_morbidity_array!$A$6:$Y$24,11))+(SUM($CN709:$CO709)*VLOOKUP($B709,Lifetime_morbidity_array!$A$6:$Y$24,13))+(SUM($CP709:$CQ709)*VLOOKUP($B709,Lifetime_morbidity_array!$A$6:$Y$24,12))</f>
        <v>1.9956551918695307</v>
      </c>
      <c r="DM709" s="309"/>
      <c r="DN709" s="308">
        <f t="shared" si="266"/>
        <v>43</v>
      </c>
      <c r="DO709" s="309">
        <f t="shared" ca="1" si="267"/>
        <v>200.41011843412946</v>
      </c>
      <c r="DP709" s="310">
        <f t="shared" ca="1" si="298"/>
        <v>19611.499751069245</v>
      </c>
      <c r="DQ709" s="309"/>
      <c r="DR709" s="308">
        <f t="shared" si="268"/>
        <v>43</v>
      </c>
      <c r="DS709" s="309">
        <f ca="1">((VLOOKUP($B709,'Mahawesran Tariff'!$A$21:$M$120,4)*'Experimental (DET)'!$CX709)+(VLOOKUP($B709,'Mahawesran Tariff'!$A$21:$M$120,3)*'Experimental (DET)'!$CY709)+(VLOOKUP($B709,'Mahawesran Tariff'!$A$21:$M$120,2)*'Experimental (DET)'!$CZ709)+(VLOOKUP($B709,'Mahawesran Tariff'!$A$21:$M$120,7)*'Experimental (DET)'!$DF709)+(VLOOKUP($B709,'Mahawesran Tariff'!$A$21:$M$120,6)*'Experimental (DET)'!$DG709)+(VLOOKUP($B709,'Mahawesran Tariff'!$A$21:$M$120,5)*'Experimental (DET)'!$DH709)+(DET_UTIL_chd*('Experimental (DET)'!$DA709+'Experimental (DET)'!$DI709))+(DET_UTIL_copd*('Experimental (DET)'!$DB709+'Experimental (DET)'!$DJ709))+(DET_UTIL_lc*('Experimental (DET)'!$DC709+'Experimental (DET)'!$DK709))+(DET_UTIL_stroke*('Experimental (DET)'!$DD709+'Experimental (DET)'!$DL709)))/((1+Discount_rate_QALYs)^$A709)</f>
        <v>196.68263685677042</v>
      </c>
      <c r="DT709" s="310">
        <f t="shared" ca="1" si="299"/>
        <v>19556.668319131939</v>
      </c>
      <c r="DU709" s="309"/>
      <c r="DV709" s="308">
        <f t="shared" si="269"/>
        <v>43</v>
      </c>
      <c r="DW709" s="318">
        <f t="shared" ca="1" si="270"/>
        <v>25960.632424048188</v>
      </c>
      <c r="DX709" s="319">
        <f t="shared" ca="1" si="300"/>
        <v>5849765.8577245502</v>
      </c>
      <c r="DZ709" s="95">
        <f t="shared" si="271"/>
        <v>43</v>
      </c>
      <c r="EA709" s="268">
        <f t="shared" ca="1" si="217"/>
        <v>0.87974070264697213</v>
      </c>
      <c r="EB709" s="268">
        <f t="shared" ca="1" si="218"/>
        <v>0.12025929735302739</v>
      </c>
      <c r="EC709" s="268">
        <f t="shared" ca="1" si="219"/>
        <v>1.2430813634832916E-2</v>
      </c>
      <c r="ED709" s="290">
        <f t="shared" ca="1" si="220"/>
        <v>0.49042780293731131</v>
      </c>
      <c r="EF709" s="95">
        <f t="shared" si="272"/>
        <v>43</v>
      </c>
      <c r="EG709" s="339">
        <f t="shared" ca="1" si="273"/>
        <v>25960.632424048188</v>
      </c>
      <c r="EH709" s="341">
        <f t="shared" ca="1" si="301"/>
        <v>8951781.5816880967</v>
      </c>
      <c r="EJ709" s="308">
        <f t="shared" si="274"/>
        <v>43</v>
      </c>
      <c r="EK709" s="318">
        <f t="shared" ca="1" si="275"/>
        <v>25960.632424048188</v>
      </c>
      <c r="EL709" s="319">
        <f t="shared" ca="1" si="302"/>
        <v>5846725.8577245492</v>
      </c>
      <c r="EN709" s="95">
        <f t="shared" si="276"/>
        <v>43</v>
      </c>
      <c r="EO709" s="339">
        <f t="shared" ca="1" si="277"/>
        <v>25960.632424048188</v>
      </c>
      <c r="EP709" s="341">
        <f t="shared" ca="1" si="303"/>
        <v>8951781.5816880967</v>
      </c>
    </row>
    <row r="710" spans="1:146" s="266" customFormat="1" x14ac:dyDescent="0.25">
      <c r="A710" s="313">
        <v>44</v>
      </c>
      <c r="B710" s="314">
        <v>44</v>
      </c>
      <c r="C710" s="308">
        <f>VLOOKUP($B710,'Infant adult mortality'!$A$27:$I$128,3)</f>
        <v>9.765376782077393E-4</v>
      </c>
      <c r="D710" s="309">
        <f t="shared" si="221"/>
        <v>0.27</v>
      </c>
      <c r="E710" s="309">
        <f>VLOOKUP($B710,'Infant pick up smoking rates'!$A$19:$I$104,3)</f>
        <v>1.5201831243956284E-3</v>
      </c>
      <c r="F710" s="309">
        <f t="shared" si="222"/>
        <v>1.138218665558096E-2</v>
      </c>
      <c r="G710" s="309">
        <f t="shared" si="223"/>
        <v>0.71612109254181566</v>
      </c>
      <c r="H710" s="309">
        <f>VLOOKUP($B710,'Infant adult mortality'!$A$27:$I$128,3)</f>
        <v>9.765376782077393E-4</v>
      </c>
      <c r="I710" s="309">
        <f t="shared" si="224"/>
        <v>0.14000000000000001</v>
      </c>
      <c r="J710" s="309">
        <f>VLOOKUP($B710,'Infant pick up smoking rates'!$A$19:$I$104,2)</f>
        <v>1.5201831243956284E-3</v>
      </c>
      <c r="K710" s="309">
        <f t="shared" si="225"/>
        <v>1.138218665558096E-2</v>
      </c>
      <c r="L710" s="309">
        <f t="shared" si="226"/>
        <v>0.84612109254181567</v>
      </c>
      <c r="M710" s="309">
        <f>VLOOKUP($B710,'Infant adult mortality'!$A$27:$I$128,3)</f>
        <v>9.765376782077393E-4</v>
      </c>
      <c r="N710" s="309">
        <f t="shared" si="227"/>
        <v>0.5714285714285714</v>
      </c>
      <c r="O710" s="309">
        <f>VLOOKUP($B710,'Infant pick up smoking rates'!$A$19:$I$104,2)</f>
        <v>1.5201831243956284E-3</v>
      </c>
      <c r="P710" s="309">
        <f t="shared" si="228"/>
        <v>7.6527042194969872E-3</v>
      </c>
      <c r="Q710" s="309">
        <f t="shared" si="229"/>
        <v>0.41842200354932824</v>
      </c>
      <c r="R710" s="309">
        <f>VLOOKUP($B710,'Infant adult mortality'!$A$27:$I$128,3)</f>
        <v>9.765376782077393E-4</v>
      </c>
      <c r="S710" s="309">
        <f t="shared" si="230"/>
        <v>8.6261668788331098E-3</v>
      </c>
      <c r="T710" s="309">
        <f>VLOOKUP($B710,'Infant pick up smoking rates'!$A$19:$I$104,2)</f>
        <v>1.5201831243956284E-3</v>
      </c>
      <c r="U710" s="309">
        <f t="shared" si="231"/>
        <v>7.6527042194969872E-3</v>
      </c>
      <c r="V710" s="309">
        <f t="shared" si="232"/>
        <v>0.98122440809906653</v>
      </c>
      <c r="W710" s="309">
        <f>VLOOKUP($B710,'Infant adult mortality'!$A$27:$I$128,3)</f>
        <v>9.765376782077393E-4</v>
      </c>
      <c r="X710" s="309">
        <f>VLOOKUP($B710,'Infant pick up smoking rates'!$A$19:$I$104,2)</f>
        <v>1.5201831243956284E-3</v>
      </c>
      <c r="Y710" s="309">
        <f t="shared" si="233"/>
        <v>0.99750327919739668</v>
      </c>
      <c r="Z710" s="309">
        <f>VLOOKUP($B710,'Infant adult mortality'!$A$27:$I$128,5)</f>
        <v>1.7089409368635435E-3</v>
      </c>
      <c r="AA710" s="309">
        <f t="shared" si="234"/>
        <v>0.25</v>
      </c>
      <c r="AB710" s="309">
        <f t="shared" si="235"/>
        <v>0.74829105906313642</v>
      </c>
      <c r="AC710" s="309">
        <f>VLOOKUP($B710,'Infant adult mortality'!$A$27:$I$128,5)</f>
        <v>1.7089409368635435E-3</v>
      </c>
      <c r="AD710" s="309">
        <f t="shared" si="236"/>
        <v>0.14000000000000001</v>
      </c>
      <c r="AE710" s="309">
        <f t="shared" si="237"/>
        <v>0.85829105906313641</v>
      </c>
      <c r="AF710" s="309">
        <f>VLOOKUP($B710,'Infant adult mortality'!$A$27:$I$128,4)</f>
        <v>1.2206720977596742E-3</v>
      </c>
      <c r="AG710" s="309">
        <f t="shared" si="238"/>
        <v>0.5714285714285714</v>
      </c>
      <c r="AH710" s="309">
        <f t="shared" si="239"/>
        <v>0.42735075647366894</v>
      </c>
      <c r="AI710" s="309">
        <f>VLOOKUP($B710,'Infant adult mortality'!$A$27:$I$128,4)</f>
        <v>1.2206720977596742E-3</v>
      </c>
      <c r="AJ710" s="309">
        <f t="shared" si="240"/>
        <v>8.6261668788331098E-3</v>
      </c>
      <c r="AK710" s="309">
        <f t="shared" si="241"/>
        <v>0.99015316102340722</v>
      </c>
      <c r="AL710" s="309"/>
      <c r="AM710" s="315">
        <f t="shared" si="278"/>
        <v>55.097688368358924</v>
      </c>
      <c r="AN710" s="316">
        <f t="shared" si="279"/>
        <v>15.216899807025772</v>
      </c>
      <c r="AO710" s="316">
        <f t="shared" si="280"/>
        <v>2.177486516012956</v>
      </c>
      <c r="AP710" s="316">
        <f t="shared" si="281"/>
        <v>74.891631142327583</v>
      </c>
      <c r="AQ710" s="316">
        <f t="shared" si="282"/>
        <v>20.252322156355785</v>
      </c>
      <c r="AR710" s="316">
        <f t="shared" si="283"/>
        <v>150.72790858603494</v>
      </c>
      <c r="AS710" s="316">
        <f t="shared" si="284"/>
        <v>38.166352690682324</v>
      </c>
      <c r="AT710" s="316">
        <f t="shared" si="285"/>
        <v>5.4126315407370766</v>
      </c>
      <c r="AU710" s="316">
        <f t="shared" si="286"/>
        <v>84.399445152164105</v>
      </c>
      <c r="AV710" s="316">
        <f t="shared" si="287"/>
        <v>63.657634040299996</v>
      </c>
      <c r="AW710" s="317">
        <f t="shared" si="242"/>
        <v>509.99999999999955</v>
      </c>
      <c r="AX710" s="309"/>
      <c r="AY710" s="308">
        <f>VLOOKUP($B710,'Infant adult mortality'!$A$134:$I$234,3)</f>
        <v>5.2602851323828911E-4</v>
      </c>
      <c r="AZ710" s="309">
        <f t="shared" si="243"/>
        <v>0.27</v>
      </c>
      <c r="BA710" s="309">
        <f ca="1">VLOOKUP($B710,'Infant pick up smoking rates'!$A$19:$I$104,7)</f>
        <v>3.9916955482353625E-3</v>
      </c>
      <c r="BB710" s="309">
        <f t="shared" si="244"/>
        <v>1.138218665558096E-2</v>
      </c>
      <c r="BC710" s="309">
        <f t="shared" ca="1" si="245"/>
        <v>0.71410008928294544</v>
      </c>
      <c r="BD710" s="309">
        <f>VLOOKUP($B710,'Infant adult mortality'!$A$134:$I$234,3)</f>
        <v>5.2602851323828911E-4</v>
      </c>
      <c r="BE710" s="309">
        <f t="shared" si="246"/>
        <v>0.14000000000000001</v>
      </c>
      <c r="BF710" s="309">
        <f>VLOOKUP($B710,'Infant pick up smoking rates'!$A$19:$I$104,6)</f>
        <v>1.9288936901483743E-3</v>
      </c>
      <c r="BG710" s="309">
        <f t="shared" si="247"/>
        <v>1.138218665558096E-2</v>
      </c>
      <c r="BH710" s="309">
        <f t="shared" si="248"/>
        <v>0.84616289114103238</v>
      </c>
      <c r="BI710" s="309">
        <f>VLOOKUP($B710,'Infant adult mortality'!$A$134:$I$234,3)</f>
        <v>5.2602851323828911E-4</v>
      </c>
      <c r="BJ710" s="309">
        <f t="shared" si="249"/>
        <v>0.5714285714285714</v>
      </c>
      <c r="BK710" s="309">
        <f>VLOOKUP($B710,'Infant pick up smoking rates'!$A$19:$I$104,6)</f>
        <v>1.9288936901483743E-3</v>
      </c>
      <c r="BL710" s="309">
        <f t="shared" si="250"/>
        <v>7.6527042194969872E-3</v>
      </c>
      <c r="BM710" s="309">
        <f t="shared" si="251"/>
        <v>0.41846380214854489</v>
      </c>
      <c r="BN710" s="309">
        <f>VLOOKUP($B710,'Infant adult mortality'!$A$134:$I$234,3)</f>
        <v>5.2602851323828911E-4</v>
      </c>
      <c r="BO710" s="309">
        <f t="shared" si="252"/>
        <v>8.6261668788331098E-3</v>
      </c>
      <c r="BP710" s="309">
        <f>VLOOKUP($B710,'Infant pick up smoking rates'!$A$19:$I$104,6)</f>
        <v>1.9288936901483743E-3</v>
      </c>
      <c r="BQ710" s="309">
        <f t="shared" si="253"/>
        <v>7.6527042194969872E-3</v>
      </c>
      <c r="BR710" s="309">
        <f t="shared" si="254"/>
        <v>0.98126620669828324</v>
      </c>
      <c r="BS710" s="309">
        <f>VLOOKUP($B710,'Infant adult mortality'!$A$134:$I$234,3)</f>
        <v>5.2602851323828911E-4</v>
      </c>
      <c r="BT710" s="309">
        <f>VLOOKUP($B710,'Infant pick up smoking rates'!$A$19:$I$104,6)</f>
        <v>1.9288936901483743E-3</v>
      </c>
      <c r="BU710" s="309">
        <f t="shared" si="255"/>
        <v>0.99754507779661339</v>
      </c>
      <c r="BV710" s="309">
        <f>VLOOKUP($B710,'Infant adult mortality'!$A$134:$I$234,5)</f>
        <v>9.2054989816700583E-4</v>
      </c>
      <c r="BW710" s="309">
        <f t="shared" si="256"/>
        <v>0.27</v>
      </c>
      <c r="BX710" s="309">
        <f t="shared" si="257"/>
        <v>0.72907945010183295</v>
      </c>
      <c r="BY710" s="309">
        <f>VLOOKUP($B710,'Infant adult mortality'!$A$134:$I$234,5)</f>
        <v>9.2054989816700583E-4</v>
      </c>
      <c r="BZ710" s="309">
        <f t="shared" si="258"/>
        <v>0.14000000000000001</v>
      </c>
      <c r="CA710" s="309">
        <f t="shared" si="259"/>
        <v>0.85907945010183295</v>
      </c>
      <c r="CB710" s="309">
        <f>VLOOKUP($B710,'Infant adult mortality'!$A$134:$I$234,4)</f>
        <v>6.5753564154786138E-4</v>
      </c>
      <c r="CC710" s="309">
        <f t="shared" si="260"/>
        <v>0.5714285714285714</v>
      </c>
      <c r="CD710" s="309">
        <f t="shared" si="261"/>
        <v>0.42791389292988075</v>
      </c>
      <c r="CE710" s="309">
        <f>VLOOKUP($B710,'Infant adult mortality'!$A$134:$I$234,4)</f>
        <v>6.5753564154786138E-4</v>
      </c>
      <c r="CF710" s="309">
        <f t="shared" si="262"/>
        <v>8.6261668788331098E-3</v>
      </c>
      <c r="CG710" s="309">
        <f t="shared" si="263"/>
        <v>0.99071629747961898</v>
      </c>
      <c r="CH710" s="309"/>
      <c r="CI710" s="315">
        <f t="shared" ca="1" si="288"/>
        <v>73.355215238953363</v>
      </c>
      <c r="CJ710" s="316">
        <f t="shared" ca="1" si="289"/>
        <v>20.297063819890191</v>
      </c>
      <c r="CK710" s="316">
        <f t="shared" ca="1" si="290"/>
        <v>2.9099255334562706</v>
      </c>
      <c r="CL710" s="316">
        <f t="shared" ca="1" si="291"/>
        <v>97.197570574350593</v>
      </c>
      <c r="CM710" s="316">
        <f t="shared" ca="1" si="292"/>
        <v>26.79926947476617</v>
      </c>
      <c r="CN710" s="316">
        <f t="shared" ca="1" si="293"/>
        <v>112.26617445369118</v>
      </c>
      <c r="CO710" s="316">
        <f t="shared" ca="1" si="294"/>
        <v>30.622409350800201</v>
      </c>
      <c r="CP710" s="316">
        <f t="shared" ca="1" si="295"/>
        <v>4.3316090452294649</v>
      </c>
      <c r="CQ710" s="316">
        <f t="shared" ca="1" si="296"/>
        <v>64.727688174850911</v>
      </c>
      <c r="CR710" s="316">
        <f t="shared" ca="1" si="297"/>
        <v>57.493074334011744</v>
      </c>
      <c r="CS710" s="317">
        <f t="shared" ca="1" si="264"/>
        <v>490.00000000000006</v>
      </c>
      <c r="CT710" s="309"/>
      <c r="CU710" s="309">
        <f t="shared" ca="1" si="265"/>
        <v>999.99999999999955</v>
      </c>
      <c r="CV710" s="309" t="str">
        <f t="shared" ca="1" si="216"/>
        <v>OKAY</v>
      </c>
      <c r="CW710" s="309"/>
      <c r="CX710" s="315">
        <f>(SUM($AR710:$AS710))-((SUM($AR710:$AS710)*VLOOKUP($B710,Lifetime_morbidity_array!$A$30:$Y$48,4))+(SUM($AR710:$AS710)*VLOOKUP($B710,Lifetime_morbidity_array!$A$30:$Y$48,7))+(SUM($AR710:$AS710)*VLOOKUP($B710,Lifetime_morbidity_array!$A$30:$Y$48,10))+(SUM($AR710:$AS710)*VLOOKUP($B710,Lifetime_morbidity_array!$A$30:$Y$48,13)))</f>
        <v>183.88742113384023</v>
      </c>
      <c r="CY710" s="316">
        <f>(SUM($AT710:$AU710))-((SUM($AT710:$AU710)*(VLOOKUP($B710,Lifetime_morbidity_array!$A$30:$Y$48,3)))+(SUM($AT710:$AU710)*(VLOOKUP($B710,Lifetime_morbidity_array!$A$30:$Y$48,6)))+(SUM($AT710:$AU710)*(VLOOKUP($B710,Lifetime_morbidity_array!$A$30:$Y$48,9)))+(SUM($AT710:$AU710)*(VLOOKUP($B710,Lifetime_morbidity_array!$A$30:$Y$48,12))))</f>
        <v>88.70034030072037</v>
      </c>
      <c r="CZ710" s="316">
        <f>(SUM($AM710:$AQ710))-((SUM($AM710:$AQ710)*VLOOKUP($B710,Lifetime_morbidity_array!$A$30:$Y$48,2))+(SUM($AM710:$AQ710)*VLOOKUP($B710,Lifetime_morbidity_array!$A$30:$Y$48,5))+(SUM($AM710:$AQ710)*VLOOKUP($B710,Lifetime_morbidity_array!$A$30:$Y$48,8))+(SUM($AM710:$AQ710)*VLOOKUP($B710,Lifetime_morbidity_array!$A$30:$Y$48,11)))</f>
        <v>166.28000991279569</v>
      </c>
      <c r="DA710" s="316">
        <f>(SUM($AM710:$AQ710)*VLOOKUP($B710,Lifetime_morbidity_array!$A$30:$Y$48,2))+(SUM($AR710:$AS710)*VLOOKUP($B710,Lifetime_morbidity_array!$A$30:$Y$48,4))+(SUM($AT710:$AU710)*(VLOOKUP($B710,Lifetime_morbidity_array!$A$30:$Y$48,3)))</f>
        <v>3.4771549516213054</v>
      </c>
      <c r="DB710" s="316">
        <f>(SUM($AM710:$AQ710)*VLOOKUP($B710,Lifetime_morbidity_array!$A$30:$Y$48,5))+(SUM($AR710:$AS710)*VLOOKUP($B710,Lifetime_morbidity_array!$A$30:$Y$48,7))+(SUM($AT710:$AU710)*(VLOOKUP($B710,Lifetime_morbidity_array!$A$30:$Y$48,6)))</f>
        <v>1.2931656546794787</v>
      </c>
      <c r="DC710" s="316">
        <f>(SUM($AM710:$AQ710)*VLOOKUP($B710,Lifetime_morbidity_array!$A$30:$Y$48,8))+(SUM($AR710:$AS710)*VLOOKUP($B710,Lifetime_morbidity_array!$A$30:$Y$48,10))+(SUM($AT710:$AU710)*(VLOOKUP($B710,Lifetime_morbidity_array!$A$30:$Y$48,9)))</f>
        <v>1.370088744259401E-2</v>
      </c>
      <c r="DD710" s="317">
        <f>(SUM($AM710:$AQ710)*VLOOKUP($B710,Lifetime_morbidity_array!$A$30:$Y$48,11))+(SUM($AR710:$AS710)*VLOOKUP($B710,Lifetime_morbidity_array!$A$30:$Y$48,13))+(SUM($AT710:$AU710)*(VLOOKUP($B710,Lifetime_morbidity_array!$A$30:$Y$48,12)))</f>
        <v>2.6905731185997839</v>
      </c>
      <c r="DE710" s="309"/>
      <c r="DF710" s="315">
        <f ca="1">(SUM($CN710:$CO710))-((SUM($CN710:$CO710)*VLOOKUP($B710,Lifetime_morbidity_array!$A$6:$Y$24,4))+(SUM($CN710:$CO710)*VLOOKUP($B710,Lifetime_morbidity_array!$A$6:$Y$24,7))+(SUM($CN710:$CO710)*VLOOKUP($B710,Lifetime_morbidity_array!$A$6:$Y$24,10))+(SUM($CN710:$CO710)*VLOOKUP($B710,Lifetime_morbidity_array!$A$6:$Y$24,13)))</f>
        <v>139.80547023878745</v>
      </c>
      <c r="DG710" s="316">
        <f ca="1">(SUM($CP710:$CQ710))-(((SUM($CP710:$CQ710)*VLOOKUP($B710,Lifetime_morbidity_array!$A$6:$Y$24,3))+(SUM($CP710:$CQ710)*VLOOKUP($B710,Lifetime_morbidity_array!$A$6:$Y$24,6))+(SUM($CP710:$CQ710)*VLOOKUP($B710,Lifetime_morbidity_array!$A$6:$Y$24,9))+(SUM($CP710:$CQ710)*VLOOKUP($B710,Lifetime_morbidity_array!$A$6:$Y$24,12))))</f>
        <v>68.485198985896844</v>
      </c>
      <c r="DH710" s="316">
        <f ca="1">(SUM($CI710:$CM710))-((SUM($CI710:$CM710)*VLOOKUP($B710,Lifetime_morbidity_array!$A$6:$Y$24,2))+(SUM($CI710:$CM710)*VLOOKUP($B710,Lifetime_morbidity_array!$A$6:$Y$24,5))+(SUM($CI710:$CM710)*VLOOKUP($B710,Lifetime_morbidity_array!$A$6:$Y$24,8))+(SUM($CI710:$CM710)*VLOOKUP($B710,Lifetime_morbidity_array!$A$6:$Y$24,11)))</f>
        <v>219.32003537909662</v>
      </c>
      <c r="DI710" s="316">
        <f ca="1">(SUM($CI710:$CM710)*VLOOKUP($B710,Lifetime_morbidity_array!$A$6:$Y$24,2))+(SUM($CN710:$CO710)*VLOOKUP($B710,Lifetime_morbidity_array!$A$6:$Y$24,4))+(SUM($CP710:$CQ710)*VLOOKUP($B710,Lifetime_morbidity_array!$A$6:$Y$24,3))</f>
        <v>1.6121981590728445</v>
      </c>
      <c r="DJ710" s="316">
        <f ca="1">(SUM($CI710:$CM710)*VLOOKUP($B710,Lifetime_morbidity_array!$A$6:$Y$24,5))+(SUM($CN710:$CO710)*VLOOKUP($B710,Lifetime_morbidity_array!$A$6:$Y$24,7))+(SUM($CP710:$CQ710)*VLOOKUP($B710,Lifetime_morbidity_array!$A$6:$Y$24,6))</f>
        <v>1.2835175291991836</v>
      </c>
      <c r="DK710" s="316">
        <f ca="1">(SUM($CI710:$CM710)*VLOOKUP($B710,Lifetime_morbidity_array!$A$6:$Y$24,8))+(SUM($CN710:$CO710)*VLOOKUP($B710,Lifetime_morbidity_array!$A$6:$Y$24,10))+(SUM($CP710:$CQ710)*VLOOKUP($B710,Lifetime_morbidity_array!$A$6:$Y$24,9))</f>
        <v>1.2348141397967725E-2</v>
      </c>
      <c r="DL710" s="317">
        <f ca="1">(SUM($CI710:$CM710)*VLOOKUP($B710,Lifetime_morbidity_array!$A$6:$Y$24,11))+(SUM($CN710:$CO710)*VLOOKUP($B710,Lifetime_morbidity_array!$A$6:$Y$24,13))+(SUM($CP710:$CQ710)*VLOOKUP($B710,Lifetime_morbidity_array!$A$6:$Y$24,12))</f>
        <v>1.9881572325374426</v>
      </c>
      <c r="DM710" s="309"/>
      <c r="DN710" s="308">
        <f t="shared" si="266"/>
        <v>44</v>
      </c>
      <c r="DO710" s="309">
        <f t="shared" ca="1" si="267"/>
        <v>193.43676304184467</v>
      </c>
      <c r="DP710" s="310">
        <f t="shared" ca="1" si="298"/>
        <v>19804.93651411109</v>
      </c>
      <c r="DQ710" s="309"/>
      <c r="DR710" s="308">
        <f t="shared" si="268"/>
        <v>44</v>
      </c>
      <c r="DS710" s="309">
        <f ca="1">((VLOOKUP($B710,'Mahawesran Tariff'!$A$21:$M$120,4)*'Experimental (DET)'!$CX710)+(VLOOKUP($B710,'Mahawesran Tariff'!$A$21:$M$120,3)*'Experimental (DET)'!$CY710)+(VLOOKUP($B710,'Mahawesran Tariff'!$A$21:$M$120,2)*'Experimental (DET)'!$CZ710)+(VLOOKUP($B710,'Mahawesran Tariff'!$A$21:$M$120,7)*'Experimental (DET)'!$DF710)+(VLOOKUP($B710,'Mahawesran Tariff'!$A$21:$M$120,6)*'Experimental (DET)'!$DG710)+(VLOOKUP($B710,'Mahawesran Tariff'!$A$21:$M$120,5)*'Experimental (DET)'!$DH710)+(DET_UTIL_chd*('Experimental (DET)'!$DA710+'Experimental (DET)'!$DI710))+(DET_UTIL_copd*('Experimental (DET)'!$DB710+'Experimental (DET)'!$DJ710))+(DET_UTIL_lc*('Experimental (DET)'!$DC710+'Experimental (DET)'!$DK710))+(DET_UTIL_stroke*('Experimental (DET)'!$DD710+'Experimental (DET)'!$DL710)))/((1+Discount_rate_QALYs)^$A710)</f>
        <v>189.85030945081911</v>
      </c>
      <c r="DT710" s="310">
        <f t="shared" ca="1" si="299"/>
        <v>19746.518628582759</v>
      </c>
      <c r="DU710" s="309"/>
      <c r="DV710" s="308">
        <f t="shared" si="269"/>
        <v>44</v>
      </c>
      <c r="DW710" s="318">
        <f t="shared" ca="1" si="270"/>
        <v>24965.104211877286</v>
      </c>
      <c r="DX710" s="319">
        <f t="shared" ca="1" si="300"/>
        <v>5874730.9619364273</v>
      </c>
      <c r="DZ710" s="95">
        <f t="shared" si="271"/>
        <v>44</v>
      </c>
      <c r="EA710" s="268">
        <f t="shared" ca="1" si="217"/>
        <v>0.87884929162568781</v>
      </c>
      <c r="EB710" s="268">
        <f t="shared" ca="1" si="218"/>
        <v>0.12115070837431173</v>
      </c>
      <c r="EC710" s="268">
        <f t="shared" ca="1" si="219"/>
        <v>1.23708156745506E-2</v>
      </c>
      <c r="ED710" s="290">
        <f t="shared" ca="1" si="220"/>
        <v>0.49065421899419015</v>
      </c>
      <c r="EF710" s="95">
        <f t="shared" si="272"/>
        <v>44</v>
      </c>
      <c r="EG710" s="339">
        <f t="shared" ca="1" si="273"/>
        <v>24965.104211877286</v>
      </c>
      <c r="EH710" s="341">
        <f t="shared" ca="1" si="301"/>
        <v>8976746.6858999748</v>
      </c>
      <c r="EJ710" s="308">
        <f t="shared" si="274"/>
        <v>44</v>
      </c>
      <c r="EK710" s="318">
        <f t="shared" ca="1" si="275"/>
        <v>24965.104211877286</v>
      </c>
      <c r="EL710" s="319">
        <f t="shared" ca="1" si="302"/>
        <v>5871690.9619364263</v>
      </c>
      <c r="EN710" s="95">
        <f t="shared" si="276"/>
        <v>44</v>
      </c>
      <c r="EO710" s="339">
        <f t="shared" ca="1" si="277"/>
        <v>24965.104211877286</v>
      </c>
      <c r="EP710" s="341">
        <f t="shared" ca="1" si="303"/>
        <v>8976746.6858999748</v>
      </c>
    </row>
    <row r="711" spans="1:146" s="266" customFormat="1" x14ac:dyDescent="0.25">
      <c r="A711" s="313">
        <v>45</v>
      </c>
      <c r="B711" s="314">
        <v>45</v>
      </c>
      <c r="C711" s="308">
        <f>VLOOKUP($B711,'Infant adult mortality'!$A$27:$I$128,3)</f>
        <v>9.4853141412176614E-4</v>
      </c>
      <c r="D711" s="309">
        <f t="shared" si="221"/>
        <v>0.27</v>
      </c>
      <c r="E711" s="309">
        <f>VLOOKUP($B711,'Infant pick up smoking rates'!$A$19:$I$104,3)</f>
        <v>1.5201831243956284E-3</v>
      </c>
      <c r="F711" s="309">
        <f t="shared" si="222"/>
        <v>1.2306034781403729E-2</v>
      </c>
      <c r="G711" s="309">
        <f t="shared" si="223"/>
        <v>0.71522525068007892</v>
      </c>
      <c r="H711" s="309">
        <f>VLOOKUP($B711,'Infant adult mortality'!$A$27:$I$128,3)</f>
        <v>9.4853141412176614E-4</v>
      </c>
      <c r="I711" s="309">
        <f t="shared" si="224"/>
        <v>0.14000000000000001</v>
      </c>
      <c r="J711" s="309">
        <f>VLOOKUP($B711,'Infant pick up smoking rates'!$A$19:$I$104,2)</f>
        <v>1.5201831243956284E-3</v>
      </c>
      <c r="K711" s="309">
        <f t="shared" si="225"/>
        <v>1.2306034781403729E-2</v>
      </c>
      <c r="L711" s="309">
        <f t="shared" si="226"/>
        <v>0.84522525068007892</v>
      </c>
      <c r="M711" s="309">
        <f>VLOOKUP($B711,'Infant adult mortality'!$A$27:$I$128,3)</f>
        <v>9.4853141412176614E-4</v>
      </c>
      <c r="N711" s="309">
        <f t="shared" si="227"/>
        <v>0.5714285714285714</v>
      </c>
      <c r="O711" s="309">
        <f>VLOOKUP($B711,'Infant pick up smoking rates'!$A$19:$I$104,2)</f>
        <v>1.5201831243956284E-3</v>
      </c>
      <c r="P711" s="309">
        <f t="shared" si="228"/>
        <v>8.2738446615395287E-3</v>
      </c>
      <c r="Q711" s="309">
        <f t="shared" si="229"/>
        <v>0.41782886937137165</v>
      </c>
      <c r="R711" s="309">
        <f>VLOOKUP($B711,'Infant adult mortality'!$A$27:$I$128,3)</f>
        <v>9.4853141412176614E-4</v>
      </c>
      <c r="S711" s="309">
        <f t="shared" si="230"/>
        <v>8.6261668788331098E-3</v>
      </c>
      <c r="T711" s="309">
        <f>VLOOKUP($B711,'Infant pick up smoking rates'!$A$19:$I$104,2)</f>
        <v>1.5201831243956284E-3</v>
      </c>
      <c r="U711" s="309">
        <f t="shared" si="231"/>
        <v>8.2738446615395287E-3</v>
      </c>
      <c r="V711" s="309">
        <f t="shared" si="232"/>
        <v>0.98063127392110994</v>
      </c>
      <c r="W711" s="309">
        <f>VLOOKUP($B711,'Infant adult mortality'!$A$27:$I$128,3)</f>
        <v>9.4853141412176614E-4</v>
      </c>
      <c r="X711" s="309">
        <f>VLOOKUP($B711,'Infant pick up smoking rates'!$A$19:$I$104,2)</f>
        <v>1.5201831243956284E-3</v>
      </c>
      <c r="Y711" s="309">
        <f t="shared" si="233"/>
        <v>0.99753128546148262</v>
      </c>
      <c r="Z711" s="309">
        <f>VLOOKUP($B711,'Infant adult mortality'!$A$27:$I$128,5)</f>
        <v>1.9207761135965763E-3</v>
      </c>
      <c r="AA711" s="309">
        <f t="shared" si="234"/>
        <v>0.25</v>
      </c>
      <c r="AB711" s="309">
        <f t="shared" si="235"/>
        <v>0.74807922388640347</v>
      </c>
      <c r="AC711" s="309">
        <f>VLOOKUP($B711,'Infant adult mortality'!$A$27:$I$128,5)</f>
        <v>1.9207761135965763E-3</v>
      </c>
      <c r="AD711" s="309">
        <f t="shared" si="236"/>
        <v>0.14000000000000001</v>
      </c>
      <c r="AE711" s="309">
        <f t="shared" si="237"/>
        <v>0.85807922388640345</v>
      </c>
      <c r="AF711" s="309">
        <f>VLOOKUP($B711,'Infant adult mortality'!$A$27:$I$128,4)</f>
        <v>1.1619509822991636E-3</v>
      </c>
      <c r="AG711" s="309">
        <f t="shared" si="238"/>
        <v>0.5714285714285714</v>
      </c>
      <c r="AH711" s="309">
        <f t="shared" si="239"/>
        <v>0.42740947758912945</v>
      </c>
      <c r="AI711" s="309">
        <f>VLOOKUP($B711,'Infant adult mortality'!$A$27:$I$128,4)</f>
        <v>1.1619509822991636E-3</v>
      </c>
      <c r="AJ711" s="309">
        <f t="shared" si="240"/>
        <v>8.6261668788331098E-3</v>
      </c>
      <c r="AK711" s="309">
        <f t="shared" si="241"/>
        <v>0.99021188213886768</v>
      </c>
      <c r="AL711" s="309"/>
      <c r="AM711" s="315">
        <f t="shared" si="278"/>
        <v>53.824810366238204</v>
      </c>
      <c r="AN711" s="316">
        <f t="shared" si="279"/>
        <v>14.87637585945691</v>
      </c>
      <c r="AO711" s="316">
        <f t="shared" si="280"/>
        <v>2.1303659729836082</v>
      </c>
      <c r="AP711" s="316">
        <f t="shared" si="281"/>
        <v>74.685353662280832</v>
      </c>
      <c r="AQ711" s="316">
        <f t="shared" si="282"/>
        <v>21.705276629643038</v>
      </c>
      <c r="AR711" s="316">
        <f t="shared" si="283"/>
        <v>148.80246234682082</v>
      </c>
      <c r="AS711" s="316">
        <f t="shared" si="284"/>
        <v>37.681977146508736</v>
      </c>
      <c r="AT711" s="316">
        <f t="shared" si="285"/>
        <v>5.3432893766955258</v>
      </c>
      <c r="AU711" s="316">
        <f t="shared" si="286"/>
        <v>86.666265744593161</v>
      </c>
      <c r="AV711" s="316">
        <f t="shared" si="287"/>
        <v>64.283822894778609</v>
      </c>
      <c r="AW711" s="317">
        <f t="shared" si="242"/>
        <v>509.99999999999943</v>
      </c>
      <c r="AX711" s="309"/>
      <c r="AY711" s="308">
        <f>VLOOKUP($B711,'Infant adult mortality'!$A$134:$I$234,3)</f>
        <v>5.2122155222719311E-4</v>
      </c>
      <c r="AZ711" s="309">
        <f t="shared" si="243"/>
        <v>0.27</v>
      </c>
      <c r="BA711" s="309">
        <f ca="1">VLOOKUP($B711,'Infant pick up smoking rates'!$A$19:$I$104,7)</f>
        <v>3.9916955482353625E-3</v>
      </c>
      <c r="BB711" s="309">
        <f t="shared" si="244"/>
        <v>1.2306034781403729E-2</v>
      </c>
      <c r="BC711" s="309">
        <f t="shared" ca="1" si="245"/>
        <v>0.71318104811813376</v>
      </c>
      <c r="BD711" s="309">
        <f>VLOOKUP($B711,'Infant adult mortality'!$A$134:$I$234,3)</f>
        <v>5.2122155222719311E-4</v>
      </c>
      <c r="BE711" s="309">
        <f t="shared" si="246"/>
        <v>0.14000000000000001</v>
      </c>
      <c r="BF711" s="309">
        <f>VLOOKUP($B711,'Infant pick up smoking rates'!$A$19:$I$104,6)</f>
        <v>1.9288936901483743E-3</v>
      </c>
      <c r="BG711" s="309">
        <f t="shared" si="247"/>
        <v>1.2306034781403729E-2</v>
      </c>
      <c r="BH711" s="309">
        <f t="shared" si="248"/>
        <v>0.84524384997622071</v>
      </c>
      <c r="BI711" s="309">
        <f>VLOOKUP($B711,'Infant adult mortality'!$A$134:$I$234,3)</f>
        <v>5.2122155222719311E-4</v>
      </c>
      <c r="BJ711" s="309">
        <f t="shared" si="249"/>
        <v>0.5714285714285714</v>
      </c>
      <c r="BK711" s="309">
        <f>VLOOKUP($B711,'Infant pick up smoking rates'!$A$19:$I$104,6)</f>
        <v>1.9288936901483743E-3</v>
      </c>
      <c r="BL711" s="309">
        <f t="shared" si="250"/>
        <v>8.2738446615395287E-3</v>
      </c>
      <c r="BM711" s="309">
        <f t="shared" si="251"/>
        <v>0.41784746866751349</v>
      </c>
      <c r="BN711" s="309">
        <f>VLOOKUP($B711,'Infant adult mortality'!$A$134:$I$234,3)</f>
        <v>5.2122155222719311E-4</v>
      </c>
      <c r="BO711" s="309">
        <f t="shared" si="252"/>
        <v>8.6261668788331098E-3</v>
      </c>
      <c r="BP711" s="309">
        <f>VLOOKUP($B711,'Infant pick up smoking rates'!$A$19:$I$104,6)</f>
        <v>1.9288936901483743E-3</v>
      </c>
      <c r="BQ711" s="309">
        <f t="shared" si="253"/>
        <v>8.2738446615395287E-3</v>
      </c>
      <c r="BR711" s="309">
        <f t="shared" si="254"/>
        <v>0.98064987321725172</v>
      </c>
      <c r="BS711" s="309">
        <f>VLOOKUP($B711,'Infant adult mortality'!$A$134:$I$234,3)</f>
        <v>5.2122155222719311E-4</v>
      </c>
      <c r="BT711" s="309">
        <f>VLOOKUP($B711,'Infant pick up smoking rates'!$A$19:$I$104,6)</f>
        <v>1.9288936901483743E-3</v>
      </c>
      <c r="BU711" s="309">
        <f t="shared" si="255"/>
        <v>0.99754988475762441</v>
      </c>
      <c r="BV711" s="309">
        <f>VLOOKUP($B711,'Infant adult mortality'!$A$134:$I$234,5)</f>
        <v>1.055473643260066E-3</v>
      </c>
      <c r="BW711" s="309">
        <f t="shared" si="256"/>
        <v>0.27</v>
      </c>
      <c r="BX711" s="309">
        <f t="shared" si="257"/>
        <v>0.7289445263567399</v>
      </c>
      <c r="BY711" s="309">
        <f>VLOOKUP($B711,'Infant adult mortality'!$A$134:$I$234,5)</f>
        <v>1.055473643260066E-3</v>
      </c>
      <c r="BZ711" s="309">
        <f t="shared" si="258"/>
        <v>0.14000000000000001</v>
      </c>
      <c r="CA711" s="309">
        <f t="shared" si="259"/>
        <v>0.8589445263567399</v>
      </c>
      <c r="CB711" s="309">
        <f>VLOOKUP($B711,'Infant adult mortality'!$A$134:$I$234,4)</f>
        <v>6.3849640147831165E-4</v>
      </c>
      <c r="CC711" s="309">
        <f t="shared" si="260"/>
        <v>0.5714285714285714</v>
      </c>
      <c r="CD711" s="309">
        <f t="shared" si="261"/>
        <v>0.42793293216995026</v>
      </c>
      <c r="CE711" s="309">
        <f>VLOOKUP($B711,'Infant adult mortality'!$A$134:$I$234,4)</f>
        <v>6.3849640147831165E-4</v>
      </c>
      <c r="CF711" s="309">
        <f t="shared" si="262"/>
        <v>8.6261668788331098E-3</v>
      </c>
      <c r="CG711" s="309">
        <f t="shared" si="263"/>
        <v>0.99073533671968861</v>
      </c>
      <c r="CH711" s="309"/>
      <c r="CI711" s="315">
        <f t="shared" ca="1" si="288"/>
        <v>71.525865137542283</v>
      </c>
      <c r="CJ711" s="316">
        <f t="shared" ca="1" si="289"/>
        <v>19.805908114517408</v>
      </c>
      <c r="CK711" s="316">
        <f t="shared" ca="1" si="290"/>
        <v>2.8415889347846268</v>
      </c>
      <c r="CL711" s="316">
        <f t="shared" ca="1" si="291"/>
        <v>96.979599851308237</v>
      </c>
      <c r="CM711" s="316">
        <f t="shared" ca="1" si="292"/>
        <v>28.71437025184904</v>
      </c>
      <c r="CN711" s="316">
        <f t="shared" ca="1" si="293"/>
        <v>111.12750648217984</v>
      </c>
      <c r="CO711" s="316">
        <f t="shared" ca="1" si="294"/>
        <v>30.31186710249662</v>
      </c>
      <c r="CP711" s="316">
        <f t="shared" ca="1" si="295"/>
        <v>4.2871373091120288</v>
      </c>
      <c r="CQ711" s="316">
        <f t="shared" ca="1" si="296"/>
        <v>66.603213107700469</v>
      </c>
      <c r="CR711" s="316">
        <f t="shared" ca="1" si="297"/>
        <v>57.802943708509524</v>
      </c>
      <c r="CS711" s="317">
        <f t="shared" ca="1" si="264"/>
        <v>490.00000000000011</v>
      </c>
      <c r="CT711" s="309"/>
      <c r="CU711" s="309">
        <f t="shared" ca="1" si="265"/>
        <v>999.99999999999955</v>
      </c>
      <c r="CV711" s="309" t="str">
        <f t="shared" ca="1" si="216"/>
        <v>OKAY</v>
      </c>
      <c r="CW711" s="309"/>
      <c r="CX711" s="315">
        <f>(SUM($AR711:$AS711))-((SUM($AR711:$AS711)*VLOOKUP($B711,Lifetime_morbidity_array!$A$30:$Y$48,4))+(SUM($AR711:$AS711)*VLOOKUP($B711,Lifetime_morbidity_array!$A$30:$Y$48,7))+(SUM($AR711:$AS711)*VLOOKUP($B711,Lifetime_morbidity_array!$A$30:$Y$48,10))+(SUM($AR711:$AS711)*VLOOKUP($B711,Lifetime_morbidity_array!$A$30:$Y$48,13)))</f>
        <v>165.52663813871632</v>
      </c>
      <c r="CY711" s="316">
        <f>(SUM($AT711:$AU711))-((SUM($AT711:$AU711)*(VLOOKUP($B711,Lifetime_morbidity_array!$A$30:$Y$48,3)))+(SUM($AT711:$AU711)*(VLOOKUP($B711,Lifetime_morbidity_array!$A$30:$Y$48,6)))+(SUM($AT711:$AU711)*(VLOOKUP($B711,Lifetime_morbidity_array!$A$30:$Y$48,9)))+(SUM($AT711:$AU711)*(VLOOKUP($B711,Lifetime_morbidity_array!$A$30:$Y$48,12))))</f>
        <v>87.229526627235103</v>
      </c>
      <c r="CZ711" s="316">
        <f>(SUM($AM711:$AQ711))-((SUM($AM711:$AQ711)*VLOOKUP($B711,Lifetime_morbidity_array!$A$30:$Y$48,2))+(SUM($AM711:$AQ711)*VLOOKUP($B711,Lifetime_morbidity_array!$A$30:$Y$48,5))+(SUM($AM711:$AQ711)*VLOOKUP($B711,Lifetime_morbidity_array!$A$30:$Y$48,8))+(SUM($AM711:$AQ711)*VLOOKUP($B711,Lifetime_morbidity_array!$A$30:$Y$48,11)))</f>
        <v>162.00685616828028</v>
      </c>
      <c r="DA711" s="316">
        <f>(SUM($AM711:$AQ711)*VLOOKUP($B711,Lifetime_morbidity_array!$A$30:$Y$48,2))+(SUM($AR711:$AS711)*VLOOKUP($B711,Lifetime_morbidity_array!$A$30:$Y$48,4))+(SUM($AT711:$AU711)*(VLOOKUP($B711,Lifetime_morbidity_array!$A$30:$Y$48,3)))</f>
        <v>20.67686662845027</v>
      </c>
      <c r="DB711" s="316">
        <f>(SUM($AM711:$AQ711)*VLOOKUP($B711,Lifetime_morbidity_array!$A$30:$Y$48,5))+(SUM($AR711:$AS711)*VLOOKUP($B711,Lifetime_morbidity_array!$A$30:$Y$48,7))+(SUM($AT711:$AU711)*(VLOOKUP($B711,Lifetime_morbidity_array!$A$30:$Y$48,6)))</f>
        <v>2.805060215942448</v>
      </c>
      <c r="DC711" s="316">
        <f>(SUM($AM711:$AQ711)*VLOOKUP($B711,Lifetime_morbidity_array!$A$30:$Y$48,8))+(SUM($AR711:$AS711)*VLOOKUP($B711,Lifetime_morbidity_array!$A$30:$Y$48,10))+(SUM($AT711:$AU711)*(VLOOKUP($B711,Lifetime_morbidity_array!$A$30:$Y$48,9)))</f>
        <v>1.0392792626657015</v>
      </c>
      <c r="DD711" s="317">
        <f>(SUM($AM711:$AQ711)*VLOOKUP($B711,Lifetime_morbidity_array!$A$30:$Y$48,11))+(SUM($AR711:$AS711)*VLOOKUP($B711,Lifetime_morbidity_array!$A$30:$Y$48,13))+(SUM($AT711:$AU711)*(VLOOKUP($B711,Lifetime_morbidity_array!$A$30:$Y$48,12)))</f>
        <v>6.4319500639306781</v>
      </c>
      <c r="DE711" s="309"/>
      <c r="DF711" s="315">
        <f ca="1">(SUM($CN711:$CO711))-((SUM($CN711:$CO711)*VLOOKUP($B711,Lifetime_morbidity_array!$A$6:$Y$24,4))+(SUM($CN711:$CO711)*VLOOKUP($B711,Lifetime_morbidity_array!$A$6:$Y$24,7))+(SUM($CN711:$CO711)*VLOOKUP($B711,Lifetime_morbidity_array!$A$6:$Y$24,10))+(SUM($CN711:$CO711)*VLOOKUP($B711,Lifetime_morbidity_array!$A$6:$Y$24,13)))</f>
        <v>131.98887662502369</v>
      </c>
      <c r="DG711" s="316">
        <f ca="1">(SUM($CP711:$CQ711))-(((SUM($CP711:$CQ711)*VLOOKUP($B711,Lifetime_morbidity_array!$A$6:$Y$24,3))+(SUM($CP711:$CQ711)*VLOOKUP($B711,Lifetime_morbidity_array!$A$6:$Y$24,6))+(SUM($CP711:$CQ711)*VLOOKUP($B711,Lifetime_morbidity_array!$A$6:$Y$24,9))+(SUM($CP711:$CQ711)*VLOOKUP($B711,Lifetime_morbidity_array!$A$6:$Y$24,12))))</f>
        <v>69.031465645002484</v>
      </c>
      <c r="DH711" s="316">
        <f ca="1">(SUM($CI711:$CM711))-((SUM($CI711:$CM711)*VLOOKUP($B711,Lifetime_morbidity_array!$A$6:$Y$24,2))+(SUM($CI711:$CM711)*VLOOKUP($B711,Lifetime_morbidity_array!$A$6:$Y$24,5))+(SUM($CI711:$CM711)*VLOOKUP($B711,Lifetime_morbidity_array!$A$6:$Y$24,8))+(SUM($CI711:$CM711)*VLOOKUP($B711,Lifetime_morbidity_array!$A$6:$Y$24,11)))</f>
        <v>216.35035270745638</v>
      </c>
      <c r="DI711" s="316">
        <f ca="1">(SUM($CI711:$CM711)*VLOOKUP($B711,Lifetime_morbidity_array!$A$6:$Y$24,2))+(SUM($CN711:$CO711)*VLOOKUP($B711,Lifetime_morbidity_array!$A$6:$Y$24,4))+(SUM($CP711:$CQ711)*VLOOKUP($B711,Lifetime_morbidity_array!$A$6:$Y$24,3))</f>
        <v>6.9622163222165074</v>
      </c>
      <c r="DJ711" s="316">
        <f ca="1">(SUM($CI711:$CM711)*VLOOKUP($B711,Lifetime_morbidity_array!$A$6:$Y$24,5))+(SUM($CN711:$CO711)*VLOOKUP($B711,Lifetime_morbidity_array!$A$6:$Y$24,7))+(SUM($CP711:$CQ711)*VLOOKUP($B711,Lifetime_morbidity_array!$A$6:$Y$24,6))</f>
        <v>2.9804896006225992</v>
      </c>
      <c r="DK711" s="316">
        <f ca="1">(SUM($CI711:$CM711)*VLOOKUP($B711,Lifetime_morbidity_array!$A$6:$Y$24,8))+(SUM($CN711:$CO711)*VLOOKUP($B711,Lifetime_morbidity_array!$A$6:$Y$24,10))+(SUM($CP711:$CQ711)*VLOOKUP($B711,Lifetime_morbidity_array!$A$6:$Y$24,9))</f>
        <v>0.42410323037185754</v>
      </c>
      <c r="DL711" s="317">
        <f ca="1">(SUM($CI711:$CM711)*VLOOKUP($B711,Lifetime_morbidity_array!$A$6:$Y$24,11))+(SUM($CN711:$CO711)*VLOOKUP($B711,Lifetime_morbidity_array!$A$6:$Y$24,13))+(SUM($CP711:$CQ711)*VLOOKUP($B711,Lifetime_morbidity_array!$A$6:$Y$24,12))</f>
        <v>4.459552160797025</v>
      </c>
      <c r="DM711" s="309"/>
      <c r="DN711" s="308">
        <f t="shared" si="266"/>
        <v>45</v>
      </c>
      <c r="DO711" s="309">
        <f t="shared" ca="1" si="267"/>
        <v>186.69636179641654</v>
      </c>
      <c r="DP711" s="310">
        <f t="shared" ca="1" si="298"/>
        <v>19991.632875907508</v>
      </c>
      <c r="DQ711" s="309"/>
      <c r="DR711" s="308">
        <f t="shared" si="268"/>
        <v>45</v>
      </c>
      <c r="DS711" s="309">
        <f ca="1">((VLOOKUP($B711,'Mahawesran Tariff'!$A$21:$M$120,4)*'Experimental (DET)'!$CX711)+(VLOOKUP($B711,'Mahawesran Tariff'!$A$21:$M$120,3)*'Experimental (DET)'!$CY711)+(VLOOKUP($B711,'Mahawesran Tariff'!$A$21:$M$120,2)*'Experimental (DET)'!$CZ711)+(VLOOKUP($B711,'Mahawesran Tariff'!$A$21:$M$120,7)*'Experimental (DET)'!$DF711)+(VLOOKUP($B711,'Mahawesran Tariff'!$A$21:$M$120,6)*'Experimental (DET)'!$DG711)+(VLOOKUP($B711,'Mahawesran Tariff'!$A$21:$M$120,5)*'Experimental (DET)'!$DH711)+(DET_UTIL_chd*('Experimental (DET)'!$DA711+'Experimental (DET)'!$DI711))+(DET_UTIL_copd*('Experimental (DET)'!$DB711+'Experimental (DET)'!$DJ711))+(DET_UTIL_lc*('Experimental (DET)'!$DC711+'Experimental (DET)'!$DK711))+(DET_UTIL_stroke*('Experimental (DET)'!$DD711+'Experimental (DET)'!$DL711)))/((1+Discount_rate_QALYs)^$A711)</f>
        <v>175.44011716341717</v>
      </c>
      <c r="DT711" s="310">
        <f t="shared" ca="1" si="299"/>
        <v>19921.958745746175</v>
      </c>
      <c r="DU711" s="309"/>
      <c r="DV711" s="308">
        <f t="shared" si="269"/>
        <v>45</v>
      </c>
      <c r="DW711" s="318">
        <f t="shared" ca="1" si="270"/>
        <v>65137.114476212941</v>
      </c>
      <c r="DX711" s="319">
        <f t="shared" ca="1" si="300"/>
        <v>5939868.0764126405</v>
      </c>
      <c r="DZ711" s="95">
        <f t="shared" si="271"/>
        <v>45</v>
      </c>
      <c r="EA711" s="268">
        <f t="shared" ca="1" si="217"/>
        <v>0.87791323339671135</v>
      </c>
      <c r="EB711" s="268">
        <f t="shared" ca="1" si="218"/>
        <v>0.12208676660328814</v>
      </c>
      <c r="EC711" s="268">
        <f t="shared" ca="1" si="219"/>
        <v>4.5779517484997083E-2</v>
      </c>
      <c r="ED711" s="290">
        <f t="shared" ca="1" si="220"/>
        <v>0.49082371861610724</v>
      </c>
      <c r="EF711" s="95">
        <f t="shared" si="272"/>
        <v>45</v>
      </c>
      <c r="EG711" s="339">
        <f t="shared" ca="1" si="273"/>
        <v>65137.114476212941</v>
      </c>
      <c r="EH711" s="341">
        <f t="shared" ca="1" si="301"/>
        <v>9041883.800376188</v>
      </c>
      <c r="EJ711" s="308">
        <f t="shared" si="274"/>
        <v>45</v>
      </c>
      <c r="EK711" s="318">
        <f t="shared" ca="1" si="275"/>
        <v>65137.114476212941</v>
      </c>
      <c r="EL711" s="319">
        <f t="shared" ca="1" si="302"/>
        <v>5936828.0764126396</v>
      </c>
      <c r="EN711" s="95">
        <f t="shared" si="276"/>
        <v>45</v>
      </c>
      <c r="EO711" s="339">
        <f t="shared" ca="1" si="277"/>
        <v>65137.114476212941</v>
      </c>
      <c r="EP711" s="341">
        <f t="shared" ca="1" si="303"/>
        <v>9041883.800376188</v>
      </c>
    </row>
    <row r="712" spans="1:146" s="266" customFormat="1" x14ac:dyDescent="0.25">
      <c r="A712" s="313">
        <v>46</v>
      </c>
      <c r="B712" s="314">
        <v>46</v>
      </c>
      <c r="C712" s="308">
        <f>VLOOKUP($B712,'Infant adult mortality'!$A$27:$I$128,3)</f>
        <v>9.5141023147247614E-4</v>
      </c>
      <c r="D712" s="309">
        <f t="shared" si="221"/>
        <v>0.27</v>
      </c>
      <c r="E712" s="309">
        <f>VLOOKUP($B712,'Infant pick up smoking rates'!$A$19:$I$104,3)</f>
        <v>1.5201831243956284E-3</v>
      </c>
      <c r="F712" s="309">
        <f t="shared" si="222"/>
        <v>1.3352975819302986E-2</v>
      </c>
      <c r="G712" s="309">
        <f t="shared" si="223"/>
        <v>0.71417543082482893</v>
      </c>
      <c r="H712" s="309">
        <f>VLOOKUP($B712,'Infant adult mortality'!$A$27:$I$128,3)</f>
        <v>9.5141023147247614E-4</v>
      </c>
      <c r="I712" s="309">
        <f t="shared" si="224"/>
        <v>0.14000000000000001</v>
      </c>
      <c r="J712" s="309">
        <f>VLOOKUP($B712,'Infant pick up smoking rates'!$A$19:$I$104,2)</f>
        <v>1.5201831243956284E-3</v>
      </c>
      <c r="K712" s="309">
        <f t="shared" si="225"/>
        <v>1.3352975819302986E-2</v>
      </c>
      <c r="L712" s="309">
        <f t="shared" si="226"/>
        <v>0.84417543082482893</v>
      </c>
      <c r="M712" s="309">
        <f>VLOOKUP($B712,'Infant adult mortality'!$A$27:$I$128,3)</f>
        <v>9.5141023147247614E-4</v>
      </c>
      <c r="N712" s="309">
        <f t="shared" si="227"/>
        <v>0.5714285714285714</v>
      </c>
      <c r="O712" s="309">
        <f>VLOOKUP($B712,'Infant pick up smoking rates'!$A$19:$I$104,2)</f>
        <v>1.5201831243956284E-3</v>
      </c>
      <c r="P712" s="309">
        <f t="shared" si="228"/>
        <v>8.9777454444675414E-3</v>
      </c>
      <c r="Q712" s="309">
        <f t="shared" si="229"/>
        <v>0.417122089771093</v>
      </c>
      <c r="R712" s="309">
        <f>VLOOKUP($B712,'Infant adult mortality'!$A$27:$I$128,3)</f>
        <v>9.5141023147247614E-4</v>
      </c>
      <c r="S712" s="309">
        <f t="shared" si="230"/>
        <v>8.6261668788331098E-3</v>
      </c>
      <c r="T712" s="309">
        <f>VLOOKUP($B712,'Infant pick up smoking rates'!$A$19:$I$104,2)</f>
        <v>1.5201831243956284E-3</v>
      </c>
      <c r="U712" s="309">
        <f t="shared" si="231"/>
        <v>8.9777454444675414E-3</v>
      </c>
      <c r="V712" s="309">
        <f t="shared" si="232"/>
        <v>0.97992449432083129</v>
      </c>
      <c r="W712" s="309">
        <f>VLOOKUP($B712,'Infant adult mortality'!$A$27:$I$128,3)</f>
        <v>9.5141023147247614E-4</v>
      </c>
      <c r="X712" s="309">
        <f>VLOOKUP($B712,'Infant pick up smoking rates'!$A$19:$I$104,2)</f>
        <v>1.5201831243956284E-3</v>
      </c>
      <c r="Y712" s="309">
        <f t="shared" si="233"/>
        <v>0.99752840664413189</v>
      </c>
      <c r="Z712" s="309">
        <f>VLOOKUP($B712,'Infant adult mortality'!$A$27:$I$128,5)</f>
        <v>1.9266057187317641E-3</v>
      </c>
      <c r="AA712" s="309">
        <f t="shared" si="234"/>
        <v>0.25</v>
      </c>
      <c r="AB712" s="309">
        <f t="shared" si="235"/>
        <v>0.74807339428126829</v>
      </c>
      <c r="AC712" s="309">
        <f>VLOOKUP($B712,'Infant adult mortality'!$A$27:$I$128,5)</f>
        <v>1.9266057187317641E-3</v>
      </c>
      <c r="AD712" s="309">
        <f t="shared" si="236"/>
        <v>0.14000000000000001</v>
      </c>
      <c r="AE712" s="309">
        <f t="shared" si="237"/>
        <v>0.85807339428126828</v>
      </c>
      <c r="AF712" s="309">
        <f>VLOOKUP($B712,'Infant adult mortality'!$A$27:$I$128,4)</f>
        <v>1.1654775335537835E-3</v>
      </c>
      <c r="AG712" s="309">
        <f t="shared" si="238"/>
        <v>0.5714285714285714</v>
      </c>
      <c r="AH712" s="309">
        <f t="shared" si="239"/>
        <v>0.42740595103787482</v>
      </c>
      <c r="AI712" s="309">
        <f>VLOOKUP($B712,'Infant adult mortality'!$A$27:$I$128,4)</f>
        <v>1.1654775335537835E-3</v>
      </c>
      <c r="AJ712" s="309">
        <f t="shared" si="240"/>
        <v>8.6261668788331098E-3</v>
      </c>
      <c r="AK712" s="309">
        <f t="shared" si="241"/>
        <v>0.99020835558761311</v>
      </c>
      <c r="AL712" s="309"/>
      <c r="AM712" s="315">
        <f t="shared" si="278"/>
        <v>52.531499163365666</v>
      </c>
      <c r="AN712" s="316">
        <f t="shared" si="279"/>
        <v>14.532698798884315</v>
      </c>
      <c r="AO712" s="316">
        <f t="shared" si="280"/>
        <v>2.0826926203239675</v>
      </c>
      <c r="AP712" s="316">
        <f t="shared" si="281"/>
        <v>74.403359405245041</v>
      </c>
      <c r="AQ712" s="316">
        <f t="shared" si="282"/>
        <v>23.258627267586061</v>
      </c>
      <c r="AR712" s="316">
        <f t="shared" si="283"/>
        <v>146.9346248071729</v>
      </c>
      <c r="AS712" s="316">
        <f t="shared" si="284"/>
        <v>37.200615586705204</v>
      </c>
      <c r="AT712" s="316">
        <f t="shared" si="285"/>
        <v>5.2754768005112238</v>
      </c>
      <c r="AU712" s="316">
        <f t="shared" si="286"/>
        <v>88.870968703127261</v>
      </c>
      <c r="AV712" s="316">
        <f t="shared" si="287"/>
        <v>64.909436847077799</v>
      </c>
      <c r="AW712" s="317">
        <f t="shared" si="242"/>
        <v>509.99999999999943</v>
      </c>
      <c r="AX712" s="309"/>
      <c r="AY712" s="308">
        <f>VLOOKUP($B712,'Infant adult mortality'!$A$134:$I$234,3)</f>
        <v>5.4510795565065168E-4</v>
      </c>
      <c r="AZ712" s="309">
        <f t="shared" si="243"/>
        <v>0.27</v>
      </c>
      <c r="BA712" s="309">
        <f ca="1">VLOOKUP($B712,'Infant pick up smoking rates'!$A$19:$I$104,7)</f>
        <v>3.9916955482353625E-3</v>
      </c>
      <c r="BB712" s="309">
        <f t="shared" si="244"/>
        <v>1.3352975819302986E-2</v>
      </c>
      <c r="BC712" s="309">
        <f t="shared" ca="1" si="245"/>
        <v>0.71211022067681107</v>
      </c>
      <c r="BD712" s="309">
        <f>VLOOKUP($B712,'Infant adult mortality'!$A$134:$I$234,3)</f>
        <v>5.4510795565065168E-4</v>
      </c>
      <c r="BE712" s="309">
        <f t="shared" si="246"/>
        <v>0.14000000000000001</v>
      </c>
      <c r="BF712" s="309">
        <f>VLOOKUP($B712,'Infant pick up smoking rates'!$A$19:$I$104,6)</f>
        <v>1.9288936901483743E-3</v>
      </c>
      <c r="BG712" s="309">
        <f t="shared" si="247"/>
        <v>1.3352975819302986E-2</v>
      </c>
      <c r="BH712" s="309">
        <f t="shared" si="248"/>
        <v>0.84417302253489801</v>
      </c>
      <c r="BI712" s="309">
        <f>VLOOKUP($B712,'Infant adult mortality'!$A$134:$I$234,3)</f>
        <v>5.4510795565065168E-4</v>
      </c>
      <c r="BJ712" s="309">
        <f t="shared" si="249"/>
        <v>0.5714285714285714</v>
      </c>
      <c r="BK712" s="309">
        <f>VLOOKUP($B712,'Infant pick up smoking rates'!$A$19:$I$104,6)</f>
        <v>1.9288936901483743E-3</v>
      </c>
      <c r="BL712" s="309">
        <f t="shared" si="250"/>
        <v>8.9777454444675414E-3</v>
      </c>
      <c r="BM712" s="309">
        <f t="shared" si="251"/>
        <v>0.41711968148116207</v>
      </c>
      <c r="BN712" s="309">
        <f>VLOOKUP($B712,'Infant adult mortality'!$A$134:$I$234,3)</f>
        <v>5.4510795565065168E-4</v>
      </c>
      <c r="BO712" s="309">
        <f t="shared" si="252"/>
        <v>8.6261668788331098E-3</v>
      </c>
      <c r="BP712" s="309">
        <f>VLOOKUP($B712,'Infant pick up smoking rates'!$A$19:$I$104,6)</f>
        <v>1.9288936901483743E-3</v>
      </c>
      <c r="BQ712" s="309">
        <f t="shared" si="253"/>
        <v>8.9777454444675414E-3</v>
      </c>
      <c r="BR712" s="309">
        <f t="shared" si="254"/>
        <v>0.97992208603090036</v>
      </c>
      <c r="BS712" s="309">
        <f>VLOOKUP($B712,'Infant adult mortality'!$A$134:$I$234,3)</f>
        <v>5.4510795565065168E-4</v>
      </c>
      <c r="BT712" s="309">
        <f>VLOOKUP($B712,'Infant pick up smoking rates'!$A$19:$I$104,6)</f>
        <v>1.9288936901483743E-3</v>
      </c>
      <c r="BU712" s="309">
        <f t="shared" si="255"/>
        <v>0.99752599835420097</v>
      </c>
      <c r="BV712" s="309">
        <f>VLOOKUP($B712,'Infant adult mortality'!$A$134:$I$234,5)</f>
        <v>1.1038436101925696E-3</v>
      </c>
      <c r="BW712" s="309">
        <f t="shared" si="256"/>
        <v>0.27</v>
      </c>
      <c r="BX712" s="309">
        <f t="shared" si="257"/>
        <v>0.72889615638980743</v>
      </c>
      <c r="BY712" s="309">
        <f>VLOOKUP($B712,'Infant adult mortality'!$A$134:$I$234,5)</f>
        <v>1.1038436101925696E-3</v>
      </c>
      <c r="BZ712" s="309">
        <f t="shared" si="258"/>
        <v>0.14000000000000001</v>
      </c>
      <c r="CA712" s="309">
        <f t="shared" si="259"/>
        <v>0.85889615638980743</v>
      </c>
      <c r="CB712" s="309">
        <f>VLOOKUP($B712,'Infant adult mortality'!$A$134:$I$234,4)</f>
        <v>6.677572456720484E-4</v>
      </c>
      <c r="CC712" s="309">
        <f t="shared" si="260"/>
        <v>0.5714285714285714</v>
      </c>
      <c r="CD712" s="309">
        <f t="shared" si="261"/>
        <v>0.42790367132575657</v>
      </c>
      <c r="CE712" s="309">
        <f>VLOOKUP($B712,'Infant adult mortality'!$A$134:$I$234,4)</f>
        <v>6.677572456720484E-4</v>
      </c>
      <c r="CF712" s="309">
        <f t="shared" si="262"/>
        <v>8.6261668788331098E-3</v>
      </c>
      <c r="CG712" s="309">
        <f t="shared" si="263"/>
        <v>0.99070607587549486</v>
      </c>
      <c r="CH712" s="309"/>
      <c r="CI712" s="315">
        <f t="shared" ca="1" si="288"/>
        <v>69.675757807813298</v>
      </c>
      <c r="CJ712" s="316">
        <f t="shared" ca="1" si="289"/>
        <v>19.311983587136417</v>
      </c>
      <c r="CK712" s="316">
        <f t="shared" ca="1" si="290"/>
        <v>2.7728271360324372</v>
      </c>
      <c r="CL712" s="316">
        <f t="shared" ca="1" si="291"/>
        <v>96.656216894327187</v>
      </c>
      <c r="CM712" s="316">
        <f t="shared" ca="1" si="292"/>
        <v>30.759051035242379</v>
      </c>
      <c r="CN712" s="316">
        <f t="shared" ca="1" si="293"/>
        <v>110.01581511378841</v>
      </c>
      <c r="CO712" s="316">
        <f t="shared" ca="1" si="294"/>
        <v>30.004426750188557</v>
      </c>
      <c r="CP712" s="316">
        <f t="shared" ca="1" si="295"/>
        <v>4.2436613943495276</v>
      </c>
      <c r="CQ712" s="316">
        <f t="shared" ca="1" si="296"/>
        <v>68.434000646693264</v>
      </c>
      <c r="CR712" s="316">
        <f t="shared" ca="1" si="297"/>
        <v>58.126259634428621</v>
      </c>
      <c r="CS712" s="317">
        <f t="shared" ca="1" si="264"/>
        <v>490.00000000000011</v>
      </c>
      <c r="CT712" s="309"/>
      <c r="CU712" s="309">
        <f t="shared" ca="1" si="265"/>
        <v>999.99999999999955</v>
      </c>
      <c r="CV712" s="309" t="str">
        <f t="shared" ca="1" si="216"/>
        <v>OKAY</v>
      </c>
      <c r="CW712" s="309"/>
      <c r="CX712" s="315">
        <f>(SUM($AR712:$AS712))-((SUM($AR712:$AS712)*VLOOKUP($B712,Lifetime_morbidity_array!$A$30:$Y$48,4))+(SUM($AR712:$AS712)*VLOOKUP($B712,Lifetime_morbidity_array!$A$30:$Y$48,7))+(SUM($AR712:$AS712)*VLOOKUP($B712,Lifetime_morbidity_array!$A$30:$Y$48,10))+(SUM($AR712:$AS712)*VLOOKUP($B712,Lifetime_morbidity_array!$A$30:$Y$48,13)))</f>
        <v>163.44145060077909</v>
      </c>
      <c r="CY712" s="316">
        <f>(SUM($AT712:$AU712))-((SUM($AT712:$AU712)*(VLOOKUP($B712,Lifetime_morbidity_array!$A$30:$Y$48,3)))+(SUM($AT712:$AU712)*(VLOOKUP($B712,Lifetime_morbidity_array!$A$30:$Y$48,6)))+(SUM($AT712:$AU712)*(VLOOKUP($B712,Lifetime_morbidity_array!$A$30:$Y$48,9)))+(SUM($AT712:$AU712)*(VLOOKUP($B712,Lifetime_morbidity_array!$A$30:$Y$48,12))))</f>
        <v>89.255402486116822</v>
      </c>
      <c r="CZ712" s="316">
        <f>(SUM($AM712:$AQ712))-((SUM($AM712:$AQ712)*VLOOKUP($B712,Lifetime_morbidity_array!$A$30:$Y$48,2))+(SUM($AM712:$AQ712)*VLOOKUP($B712,Lifetime_morbidity_array!$A$30:$Y$48,5))+(SUM($AM712:$AQ712)*VLOOKUP($B712,Lifetime_morbidity_array!$A$30:$Y$48,8))+(SUM($AM712:$AQ712)*VLOOKUP($B712,Lifetime_morbidity_array!$A$30:$Y$48,11)))</f>
        <v>161.60644109896967</v>
      </c>
      <c r="DA712" s="316">
        <f>(SUM($AM712:$AQ712)*VLOOKUP($B712,Lifetime_morbidity_array!$A$30:$Y$48,2))+(SUM($AR712:$AS712)*VLOOKUP($B712,Lifetime_morbidity_array!$A$30:$Y$48,4))+(SUM($AT712:$AU712)*(VLOOKUP($B712,Lifetime_morbidity_array!$A$30:$Y$48,3)))</f>
        <v>20.567198334646939</v>
      </c>
      <c r="DB712" s="316">
        <f>(SUM($AM712:$AQ712)*VLOOKUP($B712,Lifetime_morbidity_array!$A$30:$Y$48,5))+(SUM($AR712:$AS712)*VLOOKUP($B712,Lifetime_morbidity_array!$A$30:$Y$48,7))+(SUM($AT712:$AU712)*(VLOOKUP($B712,Lifetime_morbidity_array!$A$30:$Y$48,6)))</f>
        <v>2.7906974321746389</v>
      </c>
      <c r="DC712" s="316">
        <f>(SUM($AM712:$AQ712)*VLOOKUP($B712,Lifetime_morbidity_array!$A$30:$Y$48,8))+(SUM($AR712:$AS712)*VLOOKUP($B712,Lifetime_morbidity_array!$A$30:$Y$48,10))+(SUM($AT712:$AU712)*(VLOOKUP($B712,Lifetime_morbidity_array!$A$30:$Y$48,9)))</f>
        <v>1.0313750783448192</v>
      </c>
      <c r="DD712" s="317">
        <f>(SUM($AM712:$AQ712)*VLOOKUP($B712,Lifetime_morbidity_array!$A$30:$Y$48,11))+(SUM($AR712:$AS712)*VLOOKUP($B712,Lifetime_morbidity_array!$A$30:$Y$48,13))+(SUM($AT712:$AU712)*(VLOOKUP($B712,Lifetime_morbidity_array!$A$30:$Y$48,12)))</f>
        <v>6.3979981218896258</v>
      </c>
      <c r="DE712" s="309"/>
      <c r="DF712" s="315">
        <f ca="1">(SUM($CN712:$CO712))-((SUM($CN712:$CO712)*VLOOKUP($B712,Lifetime_morbidity_array!$A$6:$Y$24,4))+(SUM($CN712:$CO712)*VLOOKUP($B712,Lifetime_morbidity_array!$A$6:$Y$24,7))+(SUM($CN712:$CO712)*VLOOKUP($B712,Lifetime_morbidity_array!$A$6:$Y$24,10))+(SUM($CN712:$CO712)*VLOOKUP($B712,Lifetime_morbidity_array!$A$6:$Y$24,13)))</f>
        <v>130.66456644992297</v>
      </c>
      <c r="DG712" s="316">
        <f ca="1">(SUM($CP712:$CQ712))-(((SUM($CP712:$CQ712)*VLOOKUP($B712,Lifetime_morbidity_array!$A$6:$Y$24,3))+(SUM($CP712:$CQ712)*VLOOKUP($B712,Lifetime_morbidity_array!$A$6:$Y$24,6))+(SUM($CP712:$CQ712)*VLOOKUP($B712,Lifetime_morbidity_array!$A$6:$Y$24,9))+(SUM($CP712:$CQ712)*VLOOKUP($B712,Lifetime_morbidity_array!$A$6:$Y$24,12))))</f>
        <v>70.771910434166713</v>
      </c>
      <c r="DH712" s="316">
        <f ca="1">(SUM($CI712:$CM712))-((SUM($CI712:$CM712)*VLOOKUP($B712,Lifetime_morbidity_array!$A$6:$Y$24,2))+(SUM($CI712:$CM712)*VLOOKUP($B712,Lifetime_morbidity_array!$A$6:$Y$24,5))+(SUM($CI712:$CM712)*VLOOKUP($B712,Lifetime_morbidity_array!$A$6:$Y$24,8))+(SUM($CI712:$CM712)*VLOOKUP($B712,Lifetime_morbidity_array!$A$6:$Y$24,11)))</f>
        <v>215.6699179878506</v>
      </c>
      <c r="DI712" s="316">
        <f ca="1">(SUM($CI712:$CM712)*VLOOKUP($B712,Lifetime_morbidity_array!$A$6:$Y$24,2))+(SUM($CN712:$CO712)*VLOOKUP($B712,Lifetime_morbidity_array!$A$6:$Y$24,4))+(SUM($CP712:$CQ712)*VLOOKUP($B712,Lifetime_morbidity_array!$A$6:$Y$24,3))</f>
        <v>6.937945417040555</v>
      </c>
      <c r="DJ712" s="316">
        <f ca="1">(SUM($CI712:$CM712)*VLOOKUP($B712,Lifetime_morbidity_array!$A$6:$Y$24,5))+(SUM($CN712:$CO712)*VLOOKUP($B712,Lifetime_morbidity_array!$A$6:$Y$24,7))+(SUM($CP712:$CQ712)*VLOOKUP($B712,Lifetime_morbidity_array!$A$6:$Y$24,6))</f>
        <v>2.9650961745357391</v>
      </c>
      <c r="DK712" s="316">
        <f ca="1">(SUM($CI712:$CM712)*VLOOKUP($B712,Lifetime_morbidity_array!$A$6:$Y$24,8))+(SUM($CN712:$CO712)*VLOOKUP($B712,Lifetime_morbidity_array!$A$6:$Y$24,10))+(SUM($CP712:$CQ712)*VLOOKUP($B712,Lifetime_morbidity_array!$A$6:$Y$24,9))</f>
        <v>0.42135130515727159</v>
      </c>
      <c r="DL712" s="317">
        <f ca="1">(SUM($CI712:$CM712)*VLOOKUP($B712,Lifetime_morbidity_array!$A$6:$Y$24,11))+(SUM($CN712:$CO712)*VLOOKUP($B712,Lifetime_morbidity_array!$A$6:$Y$24,13))+(SUM($CP712:$CQ712)*VLOOKUP($B712,Lifetime_morbidity_array!$A$6:$Y$24,12))</f>
        <v>4.4429525968976433</v>
      </c>
      <c r="DM712" s="309"/>
      <c r="DN712" s="308">
        <f t="shared" si="266"/>
        <v>46</v>
      </c>
      <c r="DO712" s="309">
        <f t="shared" ca="1" si="267"/>
        <v>180.1879836607155</v>
      </c>
      <c r="DP712" s="310">
        <f t="shared" ca="1" si="298"/>
        <v>20171.820859568223</v>
      </c>
      <c r="DQ712" s="309"/>
      <c r="DR712" s="308">
        <f t="shared" si="268"/>
        <v>46</v>
      </c>
      <c r="DS712" s="309">
        <f ca="1">((VLOOKUP($B712,'Mahawesran Tariff'!$A$21:$M$120,4)*'Experimental (DET)'!$CX712)+(VLOOKUP($B712,'Mahawesran Tariff'!$A$21:$M$120,3)*'Experimental (DET)'!$CY712)+(VLOOKUP($B712,'Mahawesran Tariff'!$A$21:$M$120,2)*'Experimental (DET)'!$CZ712)+(VLOOKUP($B712,'Mahawesran Tariff'!$A$21:$M$120,7)*'Experimental (DET)'!$DF712)+(VLOOKUP($B712,'Mahawesran Tariff'!$A$21:$M$120,6)*'Experimental (DET)'!$DG712)+(VLOOKUP($B712,'Mahawesran Tariff'!$A$21:$M$120,5)*'Experimental (DET)'!$DH712)+(DET_UTIL_chd*('Experimental (DET)'!$DA712+'Experimental (DET)'!$DI712))+(DET_UTIL_copd*('Experimental (DET)'!$DB712+'Experimental (DET)'!$DJ712))+(DET_UTIL_lc*('Experimental (DET)'!$DC712+'Experimental (DET)'!$DK712))+(DET_UTIL_stroke*('Experimental (DET)'!$DD712+'Experimental (DET)'!$DL712)))/((1+Discount_rate_QALYs)^$A712)</f>
        <v>169.33925887161558</v>
      </c>
      <c r="DT712" s="310">
        <f t="shared" ca="1" si="299"/>
        <v>20091.298004617791</v>
      </c>
      <c r="DU712" s="309"/>
      <c r="DV712" s="308">
        <f t="shared" si="269"/>
        <v>46</v>
      </c>
      <c r="DW712" s="318">
        <f t="shared" ca="1" si="270"/>
        <v>62632.082211820591</v>
      </c>
      <c r="DX712" s="319">
        <f t="shared" ca="1" si="300"/>
        <v>6002500.1586244609</v>
      </c>
      <c r="DZ712" s="95">
        <f t="shared" si="271"/>
        <v>46</v>
      </c>
      <c r="EA712" s="268">
        <f t="shared" ca="1" si="217"/>
        <v>0.87696430351849308</v>
      </c>
      <c r="EB712" s="268">
        <f t="shared" ca="1" si="218"/>
        <v>0.12303569648150642</v>
      </c>
      <c r="EC712" s="268">
        <f t="shared" ca="1" si="219"/>
        <v>4.5554614460687232E-2</v>
      </c>
      <c r="ED712" s="290">
        <f t="shared" ca="1" si="220"/>
        <v>0.49097958980253636</v>
      </c>
      <c r="EF712" s="95">
        <f t="shared" si="272"/>
        <v>46</v>
      </c>
      <c r="EG712" s="339">
        <f t="shared" ca="1" si="273"/>
        <v>62632.082211820591</v>
      </c>
      <c r="EH712" s="341">
        <f t="shared" ca="1" si="301"/>
        <v>9104515.8825880084</v>
      </c>
      <c r="EJ712" s="308">
        <f t="shared" si="274"/>
        <v>46</v>
      </c>
      <c r="EK712" s="318">
        <f t="shared" ca="1" si="275"/>
        <v>62632.082211820591</v>
      </c>
      <c r="EL712" s="319">
        <f t="shared" ca="1" si="302"/>
        <v>5999460.15862446</v>
      </c>
      <c r="EN712" s="95">
        <f t="shared" si="276"/>
        <v>46</v>
      </c>
      <c r="EO712" s="339">
        <f t="shared" ca="1" si="277"/>
        <v>62632.082211820591</v>
      </c>
      <c r="EP712" s="341">
        <f t="shared" ca="1" si="303"/>
        <v>9104515.8825880084</v>
      </c>
    </row>
    <row r="713" spans="1:146" s="266" customFormat="1" x14ac:dyDescent="0.25">
      <c r="A713" s="313">
        <v>47</v>
      </c>
      <c r="B713" s="314">
        <v>47</v>
      </c>
      <c r="C713" s="308">
        <f>VLOOKUP($B713,'Infant adult mortality'!$A$27:$I$128,3)</f>
        <v>9.4565259677105635E-4</v>
      </c>
      <c r="D713" s="309">
        <f t="shared" si="221"/>
        <v>0.27</v>
      </c>
      <c r="E713" s="309">
        <f>VLOOKUP($B713,'Infant pick up smoking rates'!$A$19:$I$104,3)</f>
        <v>1.5201831243956284E-3</v>
      </c>
      <c r="F713" s="309">
        <f t="shared" si="222"/>
        <v>1.4538314972632162E-2</v>
      </c>
      <c r="G713" s="309">
        <f t="shared" si="223"/>
        <v>0.71299584930620119</v>
      </c>
      <c r="H713" s="309">
        <f>VLOOKUP($B713,'Infant adult mortality'!$A$27:$I$128,3)</f>
        <v>9.4565259677105635E-4</v>
      </c>
      <c r="I713" s="309">
        <f t="shared" si="224"/>
        <v>0.14000000000000001</v>
      </c>
      <c r="J713" s="309">
        <f>VLOOKUP($B713,'Infant pick up smoking rates'!$A$19:$I$104,2)</f>
        <v>1.5201831243956284E-3</v>
      </c>
      <c r="K713" s="309">
        <f t="shared" si="225"/>
        <v>1.4538314972632162E-2</v>
      </c>
      <c r="L713" s="309">
        <f t="shared" si="226"/>
        <v>0.84299584930620119</v>
      </c>
      <c r="M713" s="309">
        <f>VLOOKUP($B713,'Infant adult mortality'!$A$27:$I$128,3)</f>
        <v>9.4565259677105635E-4</v>
      </c>
      <c r="N713" s="309">
        <f t="shared" si="227"/>
        <v>0.5714285714285714</v>
      </c>
      <c r="O713" s="309">
        <f>VLOOKUP($B713,'Infant pick up smoking rates'!$A$19:$I$104,2)</f>
        <v>1.5201831243956284E-3</v>
      </c>
      <c r="P713" s="309">
        <f t="shared" si="228"/>
        <v>9.7746968752165184E-3</v>
      </c>
      <c r="Q713" s="309">
        <f t="shared" si="229"/>
        <v>0.41633089597504547</v>
      </c>
      <c r="R713" s="309">
        <f>VLOOKUP($B713,'Infant adult mortality'!$A$27:$I$128,3)</f>
        <v>9.4565259677105635E-4</v>
      </c>
      <c r="S713" s="309">
        <f t="shared" si="230"/>
        <v>8.6261668788331098E-3</v>
      </c>
      <c r="T713" s="309">
        <f>VLOOKUP($B713,'Infant pick up smoking rates'!$A$19:$I$104,2)</f>
        <v>1.5201831243956284E-3</v>
      </c>
      <c r="U713" s="309">
        <f t="shared" si="231"/>
        <v>9.7746968752165184E-3</v>
      </c>
      <c r="V713" s="309">
        <f t="shared" si="232"/>
        <v>0.97913330052478376</v>
      </c>
      <c r="W713" s="309">
        <f>VLOOKUP($B713,'Infant adult mortality'!$A$27:$I$128,3)</f>
        <v>9.4565259677105635E-4</v>
      </c>
      <c r="X713" s="309">
        <f>VLOOKUP($B713,'Infant pick up smoking rates'!$A$19:$I$104,2)</f>
        <v>1.5201831243956284E-3</v>
      </c>
      <c r="Y713" s="309">
        <f t="shared" si="233"/>
        <v>0.99753416427883335</v>
      </c>
      <c r="Z713" s="309">
        <f>VLOOKUP($B713,'Infant adult mortality'!$A$27:$I$128,5)</f>
        <v>1.9149465084613889E-3</v>
      </c>
      <c r="AA713" s="309">
        <f t="shared" si="234"/>
        <v>0.25</v>
      </c>
      <c r="AB713" s="309">
        <f t="shared" si="235"/>
        <v>0.74808505349153864</v>
      </c>
      <c r="AC713" s="309">
        <f>VLOOKUP($B713,'Infant adult mortality'!$A$27:$I$128,5)</f>
        <v>1.9149465084613889E-3</v>
      </c>
      <c r="AD713" s="309">
        <f t="shared" si="236"/>
        <v>0.14000000000000001</v>
      </c>
      <c r="AE713" s="309">
        <f t="shared" si="237"/>
        <v>0.85808505349153863</v>
      </c>
      <c r="AF713" s="309">
        <f>VLOOKUP($B713,'Infant adult mortality'!$A$27:$I$128,4)</f>
        <v>1.1584244310445442E-3</v>
      </c>
      <c r="AG713" s="309">
        <f t="shared" si="238"/>
        <v>0.5714285714285714</v>
      </c>
      <c r="AH713" s="309">
        <f t="shared" si="239"/>
        <v>0.42741300414038408</v>
      </c>
      <c r="AI713" s="309">
        <f>VLOOKUP($B713,'Infant adult mortality'!$A$27:$I$128,4)</f>
        <v>1.1584244310445442E-3</v>
      </c>
      <c r="AJ713" s="309">
        <f t="shared" si="240"/>
        <v>8.6261668788331098E-3</v>
      </c>
      <c r="AK713" s="309">
        <f t="shared" si="241"/>
        <v>0.99021540869012237</v>
      </c>
      <c r="AL713" s="309"/>
      <c r="AM713" s="315">
        <f t="shared" si="278"/>
        <v>51.214650707224123</v>
      </c>
      <c r="AN713" s="316">
        <f t="shared" si="279"/>
        <v>14.18350477410873</v>
      </c>
      <c r="AO713" s="316">
        <f t="shared" si="280"/>
        <v>2.0345778318438041</v>
      </c>
      <c r="AP713" s="316">
        <f t="shared" si="281"/>
        <v>74.040916933345841</v>
      </c>
      <c r="AQ713" s="316">
        <f t="shared" si="282"/>
        <v>24.923903720738469</v>
      </c>
      <c r="AR713" s="316">
        <f t="shared" si="283"/>
        <v>145.11589210876838</v>
      </c>
      <c r="AS713" s="316">
        <f t="shared" si="284"/>
        <v>36.733656201793224</v>
      </c>
      <c r="AT713" s="316">
        <f t="shared" si="285"/>
        <v>5.2080861821387288</v>
      </c>
      <c r="AU713" s="316">
        <f t="shared" si="286"/>
        <v>91.015960766774924</v>
      </c>
      <c r="AV713" s="316">
        <f t="shared" si="287"/>
        <v>65.528850773263216</v>
      </c>
      <c r="AW713" s="317">
        <f t="shared" si="242"/>
        <v>509.99999999999949</v>
      </c>
      <c r="AX713" s="309"/>
      <c r="AY713" s="308">
        <f>VLOOKUP($B713,'Infant adult mortality'!$A$134:$I$234,3)</f>
        <v>5.7739739350320951E-4</v>
      </c>
      <c r="AZ713" s="309">
        <f t="shared" si="243"/>
        <v>0.27</v>
      </c>
      <c r="BA713" s="309">
        <f ca="1">VLOOKUP($B713,'Infant pick up smoking rates'!$A$19:$I$104,7)</f>
        <v>3.9916955482353625E-3</v>
      </c>
      <c r="BB713" s="309">
        <f t="shared" si="244"/>
        <v>1.4538314972632162E-2</v>
      </c>
      <c r="BC713" s="309">
        <f t="shared" ca="1" si="245"/>
        <v>0.71089259208562927</v>
      </c>
      <c r="BD713" s="309">
        <f>VLOOKUP($B713,'Infant adult mortality'!$A$134:$I$234,3)</f>
        <v>5.7739739350320951E-4</v>
      </c>
      <c r="BE713" s="309">
        <f t="shared" si="246"/>
        <v>0.14000000000000001</v>
      </c>
      <c r="BF713" s="309">
        <f>VLOOKUP($B713,'Infant pick up smoking rates'!$A$19:$I$104,6)</f>
        <v>1.9288936901483743E-3</v>
      </c>
      <c r="BG713" s="309">
        <f t="shared" si="247"/>
        <v>1.4538314972632162E-2</v>
      </c>
      <c r="BH713" s="309">
        <f t="shared" si="248"/>
        <v>0.84295539394371621</v>
      </c>
      <c r="BI713" s="309">
        <f>VLOOKUP($B713,'Infant adult mortality'!$A$134:$I$234,3)</f>
        <v>5.7739739350320951E-4</v>
      </c>
      <c r="BJ713" s="309">
        <f t="shared" si="249"/>
        <v>0.5714285714285714</v>
      </c>
      <c r="BK713" s="309">
        <f>VLOOKUP($B713,'Infant pick up smoking rates'!$A$19:$I$104,6)</f>
        <v>1.9288936901483743E-3</v>
      </c>
      <c r="BL713" s="309">
        <f t="shared" si="250"/>
        <v>9.7746968752165184E-3</v>
      </c>
      <c r="BM713" s="309">
        <f t="shared" si="251"/>
        <v>0.41629044061256054</v>
      </c>
      <c r="BN713" s="309">
        <f>VLOOKUP($B713,'Infant adult mortality'!$A$134:$I$234,3)</f>
        <v>5.7739739350320951E-4</v>
      </c>
      <c r="BO713" s="309">
        <f t="shared" si="252"/>
        <v>8.6261668788331098E-3</v>
      </c>
      <c r="BP713" s="309">
        <f>VLOOKUP($B713,'Infant pick up smoking rates'!$A$19:$I$104,6)</f>
        <v>1.9288936901483743E-3</v>
      </c>
      <c r="BQ713" s="309">
        <f t="shared" si="253"/>
        <v>9.7746968752165184E-3</v>
      </c>
      <c r="BR713" s="309">
        <f t="shared" si="254"/>
        <v>0.97909284516229889</v>
      </c>
      <c r="BS713" s="309">
        <f>VLOOKUP($B713,'Infant adult mortality'!$A$134:$I$234,3)</f>
        <v>5.7739739350320951E-4</v>
      </c>
      <c r="BT713" s="309">
        <f>VLOOKUP($B713,'Infant pick up smoking rates'!$A$19:$I$104,6)</f>
        <v>1.9288936901483743E-3</v>
      </c>
      <c r="BU713" s="309">
        <f t="shared" si="255"/>
        <v>0.99749370891634848</v>
      </c>
      <c r="BV713" s="309">
        <f>VLOOKUP($B713,'Infant adult mortality'!$A$134:$I$234,5)</f>
        <v>1.1692297218439992E-3</v>
      </c>
      <c r="BW713" s="309">
        <f t="shared" si="256"/>
        <v>0.27</v>
      </c>
      <c r="BX713" s="309">
        <f t="shared" si="257"/>
        <v>0.72883077027815601</v>
      </c>
      <c r="BY713" s="309">
        <f>VLOOKUP($B713,'Infant adult mortality'!$A$134:$I$234,5)</f>
        <v>1.1692297218439992E-3</v>
      </c>
      <c r="BZ713" s="309">
        <f t="shared" si="258"/>
        <v>0.14000000000000001</v>
      </c>
      <c r="CA713" s="309">
        <f t="shared" si="259"/>
        <v>0.85883077027815602</v>
      </c>
      <c r="CB713" s="309">
        <f>VLOOKUP($B713,'Infant adult mortality'!$A$134:$I$234,4)</f>
        <v>7.0731180704143169E-4</v>
      </c>
      <c r="CC713" s="309">
        <f t="shared" si="260"/>
        <v>0.5714285714285714</v>
      </c>
      <c r="CD713" s="309">
        <f t="shared" si="261"/>
        <v>0.42786411676438718</v>
      </c>
      <c r="CE713" s="309">
        <f>VLOOKUP($B713,'Infant adult mortality'!$A$134:$I$234,4)</f>
        <v>7.0731180704143169E-4</v>
      </c>
      <c r="CF713" s="309">
        <f t="shared" si="262"/>
        <v>8.6261668788331098E-3</v>
      </c>
      <c r="CG713" s="309">
        <f t="shared" si="263"/>
        <v>0.99066652131412547</v>
      </c>
      <c r="CH713" s="309"/>
      <c r="CI713" s="315">
        <f t="shared" ca="1" si="288"/>
        <v>67.799194893064652</v>
      </c>
      <c r="CJ713" s="316">
        <f t="shared" ca="1" si="289"/>
        <v>18.81245460810959</v>
      </c>
      <c r="CK713" s="316">
        <f t="shared" ca="1" si="290"/>
        <v>2.7036777021990988</v>
      </c>
      <c r="CL713" s="316">
        <f t="shared" ca="1" si="291"/>
        <v>96.219883050852459</v>
      </c>
      <c r="CM713" s="316">
        <f t="shared" ca="1" si="292"/>
        <v>32.947580478983404</v>
      </c>
      <c r="CN713" s="316">
        <f t="shared" ca="1" si="293"/>
        <v>108.92416392453693</v>
      </c>
      <c r="CO713" s="316">
        <f t="shared" ca="1" si="294"/>
        <v>29.704270080722871</v>
      </c>
      <c r="CP713" s="316">
        <f t="shared" ca="1" si="295"/>
        <v>4.2006197450263985</v>
      </c>
      <c r="CQ713" s="316">
        <f t="shared" ca="1" si="296"/>
        <v>70.220222728467959</v>
      </c>
      <c r="CR713" s="316">
        <f t="shared" ca="1" si="297"/>
        <v>58.467932788036777</v>
      </c>
      <c r="CS713" s="317">
        <f t="shared" ca="1" si="264"/>
        <v>490.00000000000017</v>
      </c>
      <c r="CT713" s="309"/>
      <c r="CU713" s="309">
        <f t="shared" ca="1" si="265"/>
        <v>999.99999999999966</v>
      </c>
      <c r="CV713" s="309" t="str">
        <f t="shared" ca="1" si="216"/>
        <v>OKAY</v>
      </c>
      <c r="CW713" s="309"/>
      <c r="CX713" s="315">
        <f>(SUM($AR713:$AS713))-((SUM($AR713:$AS713)*VLOOKUP($B713,Lifetime_morbidity_array!$A$30:$Y$48,4))+(SUM($AR713:$AS713)*VLOOKUP($B713,Lifetime_morbidity_array!$A$30:$Y$48,7))+(SUM($AR713:$AS713)*VLOOKUP($B713,Lifetime_morbidity_array!$A$30:$Y$48,10))+(SUM($AR713:$AS713)*VLOOKUP($B713,Lifetime_morbidity_array!$A$30:$Y$48,13)))</f>
        <v>161.41263292891543</v>
      </c>
      <c r="CY713" s="316">
        <f>(SUM($AT713:$AU713))-((SUM($AT713:$AU713)*(VLOOKUP($B713,Lifetime_morbidity_array!$A$30:$Y$48,3)))+(SUM($AT713:$AU713)*(VLOOKUP($B713,Lifetime_morbidity_array!$A$30:$Y$48,6)))+(SUM($AT713:$AU713)*(VLOOKUP($B713,Lifetime_morbidity_array!$A$30:$Y$48,9)))+(SUM($AT713:$AU713)*(VLOOKUP($B713,Lifetime_morbidity_array!$A$30:$Y$48,12))))</f>
        <v>91.225069553330798</v>
      </c>
      <c r="CZ713" s="316">
        <f>(SUM($AM713:$AQ713))-((SUM($AM713:$AQ713)*VLOOKUP($B713,Lifetime_morbidity_array!$A$30:$Y$48,2))+(SUM($AM713:$AQ713)*VLOOKUP($B713,Lifetime_morbidity_array!$A$30:$Y$48,5))+(SUM($AM713:$AQ713)*VLOOKUP($B713,Lifetime_morbidity_array!$A$30:$Y$48,8))+(SUM($AM713:$AQ713)*VLOOKUP($B713,Lifetime_morbidity_array!$A$30:$Y$48,11)))</f>
        <v>161.20794616373723</v>
      </c>
      <c r="DA713" s="316">
        <f>(SUM($AM713:$AQ713)*VLOOKUP($B713,Lifetime_morbidity_array!$A$30:$Y$48,2))+(SUM($AR713:$AS713)*VLOOKUP($B713,Lifetime_morbidity_array!$A$30:$Y$48,4))+(SUM($AT713:$AU713)*(VLOOKUP($B713,Lifetime_morbidity_array!$A$30:$Y$48,3)))</f>
        <v>20.460260976093032</v>
      </c>
      <c r="DB713" s="316">
        <f>(SUM($AM713:$AQ713)*VLOOKUP($B713,Lifetime_morbidity_array!$A$30:$Y$48,5))+(SUM($AR713:$AS713)*VLOOKUP($B713,Lifetime_morbidity_array!$A$30:$Y$48,7))+(SUM($AT713:$AU713)*(VLOOKUP($B713,Lifetime_morbidity_array!$A$30:$Y$48,6)))</f>
        <v>2.7766936683155348</v>
      </c>
      <c r="DC713" s="316">
        <f>(SUM($AM713:$AQ713)*VLOOKUP($B713,Lifetime_morbidity_array!$A$30:$Y$48,8))+(SUM($AR713:$AS713)*VLOOKUP($B713,Lifetime_morbidity_array!$A$30:$Y$48,10))+(SUM($AT713:$AU713)*(VLOOKUP($B713,Lifetime_morbidity_array!$A$30:$Y$48,9)))</f>
        <v>1.0236794830886473</v>
      </c>
      <c r="DD713" s="317">
        <f>(SUM($AM713:$AQ713)*VLOOKUP($B713,Lifetime_morbidity_array!$A$30:$Y$48,11))+(SUM($AR713:$AS713)*VLOOKUP($B713,Lifetime_morbidity_array!$A$30:$Y$48,13))+(SUM($AT713:$AU713)*(VLOOKUP($B713,Lifetime_morbidity_array!$A$30:$Y$48,12)))</f>
        <v>6.3648664532555372</v>
      </c>
      <c r="DE713" s="309"/>
      <c r="DF713" s="315">
        <f ca="1">(SUM($CN713:$CO713))-((SUM($CN713:$CO713)*VLOOKUP($B713,Lifetime_morbidity_array!$A$6:$Y$24,4))+(SUM($CN713:$CO713)*VLOOKUP($B713,Lifetime_morbidity_array!$A$6:$Y$24,7))+(SUM($CN713:$CO713)*VLOOKUP($B713,Lifetime_morbidity_array!$A$6:$Y$24,10))+(SUM($CN713:$CO713)*VLOOKUP($B713,Lifetime_morbidity_array!$A$6:$Y$24,13)))</f>
        <v>129.36575444945848</v>
      </c>
      <c r="DG713" s="316">
        <f ca="1">(SUM($CP713:$CQ713))-(((SUM($CP713:$CQ713)*VLOOKUP($B713,Lifetime_morbidity_array!$A$6:$Y$24,3))+(SUM($CP713:$CQ713)*VLOOKUP($B713,Lifetime_morbidity_array!$A$6:$Y$24,6))+(SUM($CP713:$CQ713)*VLOOKUP($B713,Lifetime_morbidity_array!$A$6:$Y$24,9))+(SUM($CP713:$CQ713)*VLOOKUP($B713,Lifetime_morbidity_array!$A$6:$Y$24,12))))</f>
        <v>72.469381238419956</v>
      </c>
      <c r="DH713" s="316">
        <f ca="1">(SUM($CI713:$CM713))-((SUM($CI713:$CM713)*VLOOKUP($B713,Lifetime_morbidity_array!$A$6:$Y$24,2))+(SUM($CI713:$CM713)*VLOOKUP($B713,Lifetime_morbidity_array!$A$6:$Y$24,5))+(SUM($CI713:$CM713)*VLOOKUP($B713,Lifetime_morbidity_array!$A$6:$Y$24,8))+(SUM($CI713:$CM713)*VLOOKUP($B713,Lifetime_morbidity_array!$A$6:$Y$24,11)))</f>
        <v>214.98795816239013</v>
      </c>
      <c r="DI713" s="316">
        <f ca="1">(SUM($CI713:$CM713)*VLOOKUP($B713,Lifetime_morbidity_array!$A$6:$Y$24,2))+(SUM($CN713:$CO713)*VLOOKUP($B713,Lifetime_morbidity_array!$A$6:$Y$24,4))+(SUM($CP713:$CQ713)*VLOOKUP($B713,Lifetime_morbidity_array!$A$6:$Y$24,3))</f>
        <v>6.913906798110105</v>
      </c>
      <c r="DJ713" s="316">
        <f ca="1">(SUM($CI713:$CM713)*VLOOKUP($B713,Lifetime_morbidity_array!$A$6:$Y$24,5))+(SUM($CN713:$CO713)*VLOOKUP($B713,Lifetime_morbidity_array!$A$6:$Y$24,7))+(SUM($CP713:$CQ713)*VLOOKUP($B713,Lifetime_morbidity_array!$A$6:$Y$24,6))</f>
        <v>2.9499214723034153</v>
      </c>
      <c r="DK713" s="316">
        <f ca="1">(SUM($CI713:$CM713)*VLOOKUP($B713,Lifetime_morbidity_array!$A$6:$Y$24,8))+(SUM($CN713:$CO713)*VLOOKUP($B713,Lifetime_morbidity_array!$A$6:$Y$24,10))+(SUM($CP713:$CQ713)*VLOOKUP($B713,Lifetime_morbidity_array!$A$6:$Y$24,9))</f>
        <v>0.41864485496770321</v>
      </c>
      <c r="DL713" s="317">
        <f ca="1">(SUM($CI713:$CM713)*VLOOKUP($B713,Lifetime_morbidity_array!$A$6:$Y$24,11))+(SUM($CN713:$CO713)*VLOOKUP($B713,Lifetime_morbidity_array!$A$6:$Y$24,13))+(SUM($CP713:$CQ713)*VLOOKUP($B713,Lifetime_morbidity_array!$A$6:$Y$24,12))</f>
        <v>4.4265002363135935</v>
      </c>
      <c r="DM713" s="309"/>
      <c r="DN713" s="308">
        <f t="shared" si="266"/>
        <v>47</v>
      </c>
      <c r="DO713" s="309">
        <f t="shared" ca="1" si="267"/>
        <v>173.90387550701871</v>
      </c>
      <c r="DP713" s="310">
        <f t="shared" ca="1" si="298"/>
        <v>20345.72473507524</v>
      </c>
      <c r="DQ713" s="309"/>
      <c r="DR713" s="308">
        <f t="shared" si="268"/>
        <v>47</v>
      </c>
      <c r="DS713" s="309">
        <f ca="1">((VLOOKUP($B713,'Mahawesran Tariff'!$A$21:$M$120,4)*'Experimental (DET)'!$CX713)+(VLOOKUP($B713,'Mahawesran Tariff'!$A$21:$M$120,3)*'Experimental (DET)'!$CY713)+(VLOOKUP($B713,'Mahawesran Tariff'!$A$21:$M$120,2)*'Experimental (DET)'!$CZ713)+(VLOOKUP($B713,'Mahawesran Tariff'!$A$21:$M$120,7)*'Experimental (DET)'!$DF713)+(VLOOKUP($B713,'Mahawesran Tariff'!$A$21:$M$120,6)*'Experimental (DET)'!$DG713)+(VLOOKUP($B713,'Mahawesran Tariff'!$A$21:$M$120,5)*'Experimental (DET)'!$DH713)+(DET_UTIL_chd*('Experimental (DET)'!$DA713+'Experimental (DET)'!$DI713))+(DET_UTIL_copd*('Experimental (DET)'!$DB713+'Experimental (DET)'!$DJ713))+(DET_UTIL_lc*('Experimental (DET)'!$DC713+'Experimental (DET)'!$DK713))+(DET_UTIL_stroke*('Experimental (DET)'!$DD713+'Experimental (DET)'!$DL713)))/((1+Discount_rate_QALYs)^$A713)</f>
        <v>163.44765916684804</v>
      </c>
      <c r="DT713" s="310">
        <f t="shared" ca="1" si="299"/>
        <v>20254.745663784637</v>
      </c>
      <c r="DU713" s="309"/>
      <c r="DV713" s="308">
        <f t="shared" si="269"/>
        <v>47</v>
      </c>
      <c r="DW713" s="318">
        <f t="shared" ca="1" si="270"/>
        <v>60227.817650302051</v>
      </c>
      <c r="DX713" s="319">
        <f t="shared" ca="1" si="300"/>
        <v>6062727.9762747632</v>
      </c>
      <c r="DZ713" s="95">
        <f t="shared" si="271"/>
        <v>47</v>
      </c>
      <c r="EA713" s="268">
        <f t="shared" ref="EA713:EA766" ca="1" si="304">(SUM($AM713:$AU713)+SUM($CI713:$CQ713))/Cohort</f>
        <v>0.87600321643869961</v>
      </c>
      <c r="EB713" s="268">
        <f t="shared" ca="1" si="218"/>
        <v>0.12399678356129999</v>
      </c>
      <c r="EC713" s="268">
        <f t="shared" ca="1" si="219"/>
        <v>4.5334473942447565E-2</v>
      </c>
      <c r="ED713" s="290">
        <f t="shared" ca="1" si="220"/>
        <v>0.49112287173822944</v>
      </c>
      <c r="EF713" s="95">
        <f t="shared" si="272"/>
        <v>47</v>
      </c>
      <c r="EG713" s="339">
        <f t="shared" ca="1" si="273"/>
        <v>60227.817650302051</v>
      </c>
      <c r="EH713" s="341">
        <f t="shared" ca="1" si="301"/>
        <v>9164743.7002383098</v>
      </c>
      <c r="EJ713" s="308">
        <f t="shared" si="274"/>
        <v>47</v>
      </c>
      <c r="EK713" s="318">
        <f t="shared" ca="1" si="275"/>
        <v>60227.817650302051</v>
      </c>
      <c r="EL713" s="319">
        <f t="shared" ca="1" si="302"/>
        <v>6059687.9762747623</v>
      </c>
      <c r="EN713" s="95">
        <f t="shared" si="276"/>
        <v>47</v>
      </c>
      <c r="EO713" s="339">
        <f t="shared" ca="1" si="277"/>
        <v>60227.817650302051</v>
      </c>
      <c r="EP713" s="341">
        <f t="shared" ca="1" si="303"/>
        <v>9164743.7002383098</v>
      </c>
    </row>
    <row r="714" spans="1:146" s="266" customFormat="1" x14ac:dyDescent="0.25">
      <c r="A714" s="313">
        <v>48</v>
      </c>
      <c r="B714" s="314">
        <v>48</v>
      </c>
      <c r="C714" s="308">
        <f>VLOOKUP($B714,'Infant adult mortality'!$A$27:$I$128,3)</f>
        <v>9.4113985605913234E-4</v>
      </c>
      <c r="D714" s="309">
        <f t="shared" si="221"/>
        <v>0.27</v>
      </c>
      <c r="E714" s="309">
        <f>VLOOKUP($B714,'Infant pick up smoking rates'!$A$19:$I$104,3)</f>
        <v>1.5201831243956284E-3</v>
      </c>
      <c r="F714" s="309">
        <f t="shared" si="222"/>
        <v>1.3759563744966802E-2</v>
      </c>
      <c r="G714" s="309">
        <f t="shared" si="223"/>
        <v>0.71377911327457844</v>
      </c>
      <c r="H714" s="309">
        <f>VLOOKUP($B714,'Infant adult mortality'!$A$27:$I$128,3)</f>
        <v>9.4113985605913234E-4</v>
      </c>
      <c r="I714" s="309">
        <f t="shared" si="224"/>
        <v>0.14000000000000001</v>
      </c>
      <c r="J714" s="309">
        <f>VLOOKUP($B714,'Infant pick up smoking rates'!$A$19:$I$104,2)</f>
        <v>1.5201831243956284E-3</v>
      </c>
      <c r="K714" s="309">
        <f t="shared" si="225"/>
        <v>1.3759563744966802E-2</v>
      </c>
      <c r="L714" s="309">
        <f t="shared" si="226"/>
        <v>0.84377911327457844</v>
      </c>
      <c r="M714" s="309">
        <f>VLOOKUP($B714,'Infant adult mortality'!$A$27:$I$128,3)</f>
        <v>9.4113985605913234E-4</v>
      </c>
      <c r="N714" s="309">
        <f t="shared" si="227"/>
        <v>0.5714285714285714</v>
      </c>
      <c r="O714" s="309">
        <f>VLOOKUP($B714,'Infant pick up smoking rates'!$A$19:$I$104,2)</f>
        <v>1.5201831243956284E-3</v>
      </c>
      <c r="P714" s="309">
        <f t="shared" si="228"/>
        <v>1.003409695741447E-2</v>
      </c>
      <c r="Q714" s="309">
        <f t="shared" si="229"/>
        <v>0.41607600863355942</v>
      </c>
      <c r="R714" s="309">
        <f>VLOOKUP($B714,'Infant adult mortality'!$A$27:$I$128,3)</f>
        <v>9.4113985605913234E-4</v>
      </c>
      <c r="S714" s="309">
        <f t="shared" si="230"/>
        <v>8.6261668788331098E-3</v>
      </c>
      <c r="T714" s="309">
        <f>VLOOKUP($B714,'Infant pick up smoking rates'!$A$19:$I$104,2)</f>
        <v>1.5201831243956284E-3</v>
      </c>
      <c r="U714" s="309">
        <f t="shared" si="231"/>
        <v>1.003409695741447E-2</v>
      </c>
      <c r="V714" s="309">
        <f t="shared" si="232"/>
        <v>0.97887841318329771</v>
      </c>
      <c r="W714" s="309">
        <f>VLOOKUP($B714,'Infant adult mortality'!$A$27:$I$128,3)</f>
        <v>9.4113985605913234E-4</v>
      </c>
      <c r="X714" s="309">
        <f>VLOOKUP($B714,'Infant pick up smoking rates'!$A$19:$I$104,2)</f>
        <v>1.5201831243956284E-3</v>
      </c>
      <c r="Y714" s="309">
        <f t="shared" si="233"/>
        <v>0.99753867701954524</v>
      </c>
      <c r="Z714" s="309">
        <f>VLOOKUP($B714,'Infant adult mortality'!$A$27:$I$128,5)</f>
        <v>1.9058082085197429E-3</v>
      </c>
      <c r="AA714" s="309">
        <f t="shared" si="234"/>
        <v>0.25</v>
      </c>
      <c r="AB714" s="309">
        <f t="shared" si="235"/>
        <v>0.74809419179148029</v>
      </c>
      <c r="AC714" s="309">
        <f>VLOOKUP($B714,'Infant adult mortality'!$A$27:$I$128,5)</f>
        <v>1.9058082085197429E-3</v>
      </c>
      <c r="AD714" s="309">
        <f t="shared" si="236"/>
        <v>0.14000000000000001</v>
      </c>
      <c r="AE714" s="309">
        <f t="shared" si="237"/>
        <v>0.85809419179148028</v>
      </c>
      <c r="AF714" s="309">
        <f>VLOOKUP($B714,'Infant adult mortality'!$A$27:$I$128,4)</f>
        <v>1.1528963236724372E-3</v>
      </c>
      <c r="AG714" s="309">
        <f t="shared" si="238"/>
        <v>0.5714285714285714</v>
      </c>
      <c r="AH714" s="309">
        <f t="shared" si="239"/>
        <v>0.42741853224775617</v>
      </c>
      <c r="AI714" s="309">
        <f>VLOOKUP($B714,'Infant adult mortality'!$A$27:$I$128,4)</f>
        <v>1.1528963236724372E-3</v>
      </c>
      <c r="AJ714" s="309">
        <f t="shared" si="240"/>
        <v>8.6261668788331098E-3</v>
      </c>
      <c r="AK714" s="309">
        <f t="shared" si="241"/>
        <v>0.99022093679749446</v>
      </c>
      <c r="AL714" s="309"/>
      <c r="AM714" s="315">
        <f t="shared" si="278"/>
        <v>50.008921378749662</v>
      </c>
      <c r="AN714" s="316">
        <f t="shared" si="279"/>
        <v>13.827955690950514</v>
      </c>
      <c r="AO714" s="316">
        <f t="shared" si="280"/>
        <v>1.9856906683752225</v>
      </c>
      <c r="AP714" s="316">
        <f t="shared" si="281"/>
        <v>73.639671182260685</v>
      </c>
      <c r="AQ714" s="316">
        <f t="shared" si="282"/>
        <v>26.525756923453812</v>
      </c>
      <c r="AR714" s="316">
        <f t="shared" si="283"/>
        <v>143.34539922471541</v>
      </c>
      <c r="AS714" s="316">
        <f t="shared" si="284"/>
        <v>36.278973027192094</v>
      </c>
      <c r="AT714" s="316">
        <f t="shared" si="285"/>
        <v>5.1427118682510518</v>
      </c>
      <c r="AU714" s="316">
        <f t="shared" si="286"/>
        <v>93.101959180936277</v>
      </c>
      <c r="AV714" s="316">
        <f t="shared" si="287"/>
        <v>66.142960855114708</v>
      </c>
      <c r="AW714" s="317">
        <f t="shared" si="242"/>
        <v>509.99999999999943</v>
      </c>
      <c r="AX714" s="309"/>
      <c r="AY714" s="308">
        <f>VLOOKUP($B714,'Infant adult mortality'!$A$134:$I$234,3)</f>
        <v>6.1435518381637805E-4</v>
      </c>
      <c r="AZ714" s="309">
        <f t="shared" si="243"/>
        <v>0.27</v>
      </c>
      <c r="BA714" s="309">
        <f ca="1">VLOOKUP($B714,'Infant pick up smoking rates'!$A$19:$I$104,7)</f>
        <v>3.9916955482353625E-3</v>
      </c>
      <c r="BB714" s="309">
        <f t="shared" si="244"/>
        <v>1.3759563744966802E-2</v>
      </c>
      <c r="BC714" s="309">
        <f t="shared" ca="1" si="245"/>
        <v>0.71163438552298153</v>
      </c>
      <c r="BD714" s="309">
        <f>VLOOKUP($B714,'Infant adult mortality'!$A$134:$I$234,3)</f>
        <v>6.1435518381637805E-4</v>
      </c>
      <c r="BE714" s="309">
        <f t="shared" si="246"/>
        <v>0.14000000000000001</v>
      </c>
      <c r="BF714" s="309">
        <f>VLOOKUP($B714,'Infant pick up smoking rates'!$A$19:$I$104,6)</f>
        <v>1.9288936901483743E-3</v>
      </c>
      <c r="BG714" s="309">
        <f t="shared" si="247"/>
        <v>1.3759563744966802E-2</v>
      </c>
      <c r="BH714" s="309">
        <f t="shared" si="248"/>
        <v>0.84369718738106847</v>
      </c>
      <c r="BI714" s="309">
        <f>VLOOKUP($B714,'Infant adult mortality'!$A$134:$I$234,3)</f>
        <v>6.1435518381637805E-4</v>
      </c>
      <c r="BJ714" s="309">
        <f t="shared" si="249"/>
        <v>0.5714285714285714</v>
      </c>
      <c r="BK714" s="309">
        <f>VLOOKUP($B714,'Infant pick up smoking rates'!$A$19:$I$104,6)</f>
        <v>1.9288936901483743E-3</v>
      </c>
      <c r="BL714" s="309">
        <f t="shared" si="250"/>
        <v>1.003409695741447E-2</v>
      </c>
      <c r="BM714" s="309">
        <f t="shared" si="251"/>
        <v>0.41599408274004945</v>
      </c>
      <c r="BN714" s="309">
        <f>VLOOKUP($B714,'Infant adult mortality'!$A$134:$I$234,3)</f>
        <v>6.1435518381637805E-4</v>
      </c>
      <c r="BO714" s="309">
        <f t="shared" si="252"/>
        <v>8.6261668788331098E-3</v>
      </c>
      <c r="BP714" s="309">
        <f>VLOOKUP($B714,'Infant pick up smoking rates'!$A$19:$I$104,6)</f>
        <v>1.9288936901483743E-3</v>
      </c>
      <c r="BQ714" s="309">
        <f t="shared" si="253"/>
        <v>1.003409695741447E-2</v>
      </c>
      <c r="BR714" s="309">
        <f t="shared" si="254"/>
        <v>0.97879648728978774</v>
      </c>
      <c r="BS714" s="309">
        <f>VLOOKUP($B714,'Infant adult mortality'!$A$134:$I$234,3)</f>
        <v>6.1435518381637805E-4</v>
      </c>
      <c r="BT714" s="309">
        <f>VLOOKUP($B714,'Infant pick up smoking rates'!$A$19:$I$104,6)</f>
        <v>1.9288936901483743E-3</v>
      </c>
      <c r="BU714" s="309">
        <f t="shared" si="255"/>
        <v>0.99745675112603527</v>
      </c>
      <c r="BV714" s="309">
        <f>VLOOKUP($B714,'Infant adult mortality'!$A$134:$I$234,5)</f>
        <v>1.2440692472281654E-3</v>
      </c>
      <c r="BW714" s="309">
        <f t="shared" si="256"/>
        <v>0.27</v>
      </c>
      <c r="BX714" s="309">
        <f t="shared" si="257"/>
        <v>0.72875593075277179</v>
      </c>
      <c r="BY714" s="309">
        <f>VLOOKUP($B714,'Infant adult mortality'!$A$134:$I$234,5)</f>
        <v>1.2440692472281654E-3</v>
      </c>
      <c r="BZ714" s="309">
        <f t="shared" si="258"/>
        <v>0.14000000000000001</v>
      </c>
      <c r="CA714" s="309">
        <f t="shared" si="259"/>
        <v>0.85875593075277179</v>
      </c>
      <c r="CB714" s="309">
        <f>VLOOKUP($B714,'Infant adult mortality'!$A$134:$I$234,4)</f>
        <v>7.5258510017506318E-4</v>
      </c>
      <c r="CC714" s="309">
        <f t="shared" si="260"/>
        <v>0.5714285714285714</v>
      </c>
      <c r="CD714" s="309">
        <f t="shared" si="261"/>
        <v>0.42781884347125354</v>
      </c>
      <c r="CE714" s="309">
        <f>VLOOKUP($B714,'Infant adult mortality'!$A$134:$I$234,4)</f>
        <v>7.5258510017506318E-4</v>
      </c>
      <c r="CF714" s="309">
        <f t="shared" si="262"/>
        <v>8.6261668788331098E-3</v>
      </c>
      <c r="CG714" s="309">
        <f t="shared" si="263"/>
        <v>0.99062124802099183</v>
      </c>
      <c r="CH714" s="309"/>
      <c r="CI714" s="315">
        <f t="shared" ca="1" si="288"/>
        <v>66.074976131284501</v>
      </c>
      <c r="CJ714" s="316">
        <f t="shared" ca="1" si="289"/>
        <v>18.305782621127456</v>
      </c>
      <c r="CK714" s="316">
        <f t="shared" ca="1" si="290"/>
        <v>2.6337436451353429</v>
      </c>
      <c r="CL714" s="316">
        <f t="shared" ca="1" si="291"/>
        <v>95.724642224579483</v>
      </c>
      <c r="CM714" s="316">
        <f t="shared" ca="1" si="292"/>
        <v>35.048133694367294</v>
      </c>
      <c r="CN714" s="316">
        <f t="shared" ca="1" si="293"/>
        <v>107.85197058515409</v>
      </c>
      <c r="CO714" s="316">
        <f t="shared" ca="1" si="294"/>
        <v>29.409524259624973</v>
      </c>
      <c r="CP714" s="316">
        <f t="shared" ca="1" si="295"/>
        <v>4.1585978113012025</v>
      </c>
      <c r="CQ714" s="316">
        <f t="shared" ca="1" si="296"/>
        <v>71.96199881560203</v>
      </c>
      <c r="CR714" s="316">
        <f t="shared" ca="1" si="297"/>
        <v>58.830630211823774</v>
      </c>
      <c r="CS714" s="317">
        <f t="shared" ca="1" si="264"/>
        <v>490.00000000000011</v>
      </c>
      <c r="CT714" s="309"/>
      <c r="CU714" s="309">
        <f t="shared" ca="1" si="265"/>
        <v>999.99999999999955</v>
      </c>
      <c r="CV714" s="309" t="str">
        <f t="shared" ca="1" si="216"/>
        <v>OKAY</v>
      </c>
      <c r="CW714" s="309"/>
      <c r="CX714" s="315">
        <f>(SUM($AR714:$AS714))-((SUM($AR714:$AS714)*VLOOKUP($B714,Lifetime_morbidity_array!$A$30:$Y$48,4))+(SUM($AR714:$AS714)*VLOOKUP($B714,Lifetime_morbidity_array!$A$30:$Y$48,7))+(SUM($AR714:$AS714)*VLOOKUP($B714,Lifetime_morbidity_array!$A$30:$Y$48,10))+(SUM($AR714:$AS714)*VLOOKUP($B714,Lifetime_morbidity_array!$A$30:$Y$48,13)))</f>
        <v>159.43753027018158</v>
      </c>
      <c r="CY714" s="316">
        <f>(SUM($AT714:$AU714))-((SUM($AT714:$AU714)*(VLOOKUP($B714,Lifetime_morbidity_array!$A$30:$Y$48,3)))+(SUM($AT714:$AU714)*(VLOOKUP($B714,Lifetime_morbidity_array!$A$30:$Y$48,6)))+(SUM($AT714:$AU714)*(VLOOKUP($B714,Lifetime_morbidity_array!$A$30:$Y$48,9)))+(SUM($AT714:$AU714)*(VLOOKUP($B714,Lifetime_morbidity_array!$A$30:$Y$48,12))))</f>
        <v>93.140719330423067</v>
      </c>
      <c r="CZ714" s="316">
        <f>(SUM($AM714:$AQ714))-((SUM($AM714:$AQ714)*VLOOKUP($B714,Lifetime_morbidity_array!$A$30:$Y$48,2))+(SUM($AM714:$AQ714)*VLOOKUP($B714,Lifetime_morbidity_array!$A$30:$Y$48,5))+(SUM($AM714:$AQ714)*VLOOKUP($B714,Lifetime_morbidity_array!$A$30:$Y$48,8))+(SUM($AM714:$AQ714)*VLOOKUP($B714,Lifetime_morbidity_array!$A$30:$Y$48,11)))</f>
        <v>160.81116134121254</v>
      </c>
      <c r="DA714" s="316">
        <f>(SUM($AM714:$AQ714)*VLOOKUP($B714,Lifetime_morbidity_array!$A$30:$Y$48,2))+(SUM($AR714:$AS714)*VLOOKUP($B714,Lifetime_morbidity_array!$A$30:$Y$48,4))+(SUM($AT714:$AU714)*(VLOOKUP($B714,Lifetime_morbidity_array!$A$30:$Y$48,3)))</f>
        <v>20.35590634955949</v>
      </c>
      <c r="DB714" s="316">
        <f>(SUM($AM714:$AQ714)*VLOOKUP($B714,Lifetime_morbidity_array!$A$30:$Y$48,5))+(SUM($AR714:$AS714)*VLOOKUP($B714,Lifetime_morbidity_array!$A$30:$Y$48,7))+(SUM($AT714:$AU714)*(VLOOKUP($B714,Lifetime_morbidity_array!$A$30:$Y$48,6)))</f>
        <v>2.7630292440233597</v>
      </c>
      <c r="DC714" s="316">
        <f>(SUM($AM714:$AQ714)*VLOOKUP($B714,Lifetime_morbidity_array!$A$30:$Y$48,8))+(SUM($AR714:$AS714)*VLOOKUP($B714,Lifetime_morbidity_array!$A$30:$Y$48,10))+(SUM($AT714:$AU714)*(VLOOKUP($B714,Lifetime_morbidity_array!$A$30:$Y$48,9)))</f>
        <v>1.0161819358478699</v>
      </c>
      <c r="DD714" s="317">
        <f>(SUM($AM714:$AQ714)*VLOOKUP($B714,Lifetime_morbidity_array!$A$30:$Y$48,11))+(SUM($AR714:$AS714)*VLOOKUP($B714,Lifetime_morbidity_array!$A$30:$Y$48,13))+(SUM($AT714:$AU714)*(VLOOKUP($B714,Lifetime_morbidity_array!$A$30:$Y$48,12)))</f>
        <v>6.3325106736368557</v>
      </c>
      <c r="DE714" s="309"/>
      <c r="DF714" s="315">
        <f ca="1">(SUM($CN714:$CO714))-((SUM($CN714:$CO714)*VLOOKUP($B714,Lifetime_morbidity_array!$A$6:$Y$24,4))+(SUM($CN714:$CO714)*VLOOKUP($B714,Lifetime_morbidity_array!$A$6:$Y$24,7))+(SUM($CN714:$CO714)*VLOOKUP($B714,Lifetime_morbidity_array!$A$6:$Y$24,10))+(SUM($CN714:$CO714)*VLOOKUP($B714,Lifetime_morbidity_array!$A$6:$Y$24,13)))</f>
        <v>128.09014950555937</v>
      </c>
      <c r="DG714" s="316">
        <f ca="1">(SUM($CP714:$CQ714))-(((SUM($CP714:$CQ714)*VLOOKUP($B714,Lifetime_morbidity_array!$A$6:$Y$24,3))+(SUM($CP714:$CQ714)*VLOOKUP($B714,Lifetime_morbidity_array!$A$6:$Y$24,6))+(SUM($CP714:$CQ714)*VLOOKUP($B714,Lifetime_morbidity_array!$A$6:$Y$24,9))+(SUM($CP714:$CQ714)*VLOOKUP($B714,Lifetime_morbidity_array!$A$6:$Y$24,12))))</f>
        <v>74.124564486296336</v>
      </c>
      <c r="DH714" s="316">
        <f ca="1">(SUM($CI714:$CM714))-((SUM($CI714:$CM714)*VLOOKUP($B714,Lifetime_morbidity_array!$A$6:$Y$24,2))+(SUM($CI714:$CM714)*VLOOKUP($B714,Lifetime_morbidity_array!$A$6:$Y$24,5))+(SUM($CI714:$CM714)*VLOOKUP($B714,Lifetime_morbidity_array!$A$6:$Y$24,8))+(SUM($CI714:$CM714)*VLOOKUP($B714,Lifetime_morbidity_array!$A$6:$Y$24,11)))</f>
        <v>214.30357110451536</v>
      </c>
      <c r="DI714" s="316">
        <f ca="1">(SUM($CI714:$CM714)*VLOOKUP($B714,Lifetime_morbidity_array!$A$6:$Y$24,2))+(SUM($CN714:$CO714)*VLOOKUP($B714,Lifetime_morbidity_array!$A$6:$Y$24,4))+(SUM($CP714:$CQ714)*VLOOKUP($B714,Lifetime_morbidity_array!$A$6:$Y$24,3))</f>
        <v>6.8900260294188005</v>
      </c>
      <c r="DJ714" s="316">
        <f ca="1">(SUM($CI714:$CM714)*VLOOKUP($B714,Lifetime_morbidity_array!$A$6:$Y$24,5))+(SUM($CN714:$CO714)*VLOOKUP($B714,Lifetime_morbidity_array!$A$6:$Y$24,7))+(SUM($CP714:$CQ714)*VLOOKUP($B714,Lifetime_morbidity_array!$A$6:$Y$24,6))</f>
        <v>2.9349290806976231</v>
      </c>
      <c r="DK714" s="316">
        <f ca="1">(SUM($CI714:$CM714)*VLOOKUP($B714,Lifetime_morbidity_array!$A$6:$Y$24,8))+(SUM($CN714:$CO714)*VLOOKUP($B714,Lifetime_morbidity_array!$A$6:$Y$24,10))+(SUM($CP714:$CQ714)*VLOOKUP($B714,Lifetime_morbidity_array!$A$6:$Y$24,9))</f>
        <v>0.41597800255144041</v>
      </c>
      <c r="DL714" s="317">
        <f ca="1">(SUM($CI714:$CM714)*VLOOKUP($B714,Lifetime_morbidity_array!$A$6:$Y$24,11))+(SUM($CN714:$CO714)*VLOOKUP($B714,Lifetime_morbidity_array!$A$6:$Y$24,13))+(SUM($CP714:$CQ714)*VLOOKUP($B714,Lifetime_morbidity_array!$A$6:$Y$24,12))</f>
        <v>4.4101515791374677</v>
      </c>
      <c r="DM714" s="309"/>
      <c r="DN714" s="308">
        <f t="shared" si="266"/>
        <v>48</v>
      </c>
      <c r="DO714" s="309">
        <f t="shared" ca="1" si="267"/>
        <v>167.83571014163067</v>
      </c>
      <c r="DP714" s="310">
        <f t="shared" ca="1" si="298"/>
        <v>20513.56044521687</v>
      </c>
      <c r="DQ714" s="309"/>
      <c r="DR714" s="308">
        <f t="shared" si="268"/>
        <v>48</v>
      </c>
      <c r="DS714" s="309">
        <f ca="1">((VLOOKUP($B714,'Mahawesran Tariff'!$A$21:$M$120,4)*'Experimental (DET)'!$CX714)+(VLOOKUP($B714,'Mahawesran Tariff'!$A$21:$M$120,3)*'Experimental (DET)'!$CY714)+(VLOOKUP($B714,'Mahawesran Tariff'!$A$21:$M$120,2)*'Experimental (DET)'!$CZ714)+(VLOOKUP($B714,'Mahawesran Tariff'!$A$21:$M$120,7)*'Experimental (DET)'!$DF714)+(VLOOKUP($B714,'Mahawesran Tariff'!$A$21:$M$120,6)*'Experimental (DET)'!$DG714)+(VLOOKUP($B714,'Mahawesran Tariff'!$A$21:$M$120,5)*'Experimental (DET)'!$DH714)+(DET_UTIL_chd*('Experimental (DET)'!$DA714+'Experimental (DET)'!$DI714))+(DET_UTIL_copd*('Experimental (DET)'!$DB714+'Experimental (DET)'!$DJ714))+(DET_UTIL_lc*('Experimental (DET)'!$DC714+'Experimental (DET)'!$DK714))+(DET_UTIL_stroke*('Experimental (DET)'!$DD714+'Experimental (DET)'!$DL714)))/((1+Discount_rate_QALYs)^$A714)</f>
        <v>157.7576168565584</v>
      </c>
      <c r="DT714" s="310">
        <f t="shared" ca="1" si="299"/>
        <v>20412.503280641195</v>
      </c>
      <c r="DU714" s="309"/>
      <c r="DV714" s="308">
        <f t="shared" si="269"/>
        <v>48</v>
      </c>
      <c r="DW714" s="318">
        <f t="shared" ca="1" si="270"/>
        <v>57919.689076548006</v>
      </c>
      <c r="DX714" s="319">
        <f t="shared" ca="1" si="300"/>
        <v>6120647.6653513117</v>
      </c>
      <c r="DZ714" s="95">
        <f t="shared" si="271"/>
        <v>48</v>
      </c>
      <c r="EA714" s="268">
        <f t="shared" ca="1" si="304"/>
        <v>0.87502640893306105</v>
      </c>
      <c r="EB714" s="268">
        <f t="shared" ca="1" si="218"/>
        <v>0.12497359106693848</v>
      </c>
      <c r="EC714" s="268">
        <f t="shared" ca="1" si="219"/>
        <v>4.511871289487291E-2</v>
      </c>
      <c r="ED714" s="290">
        <f t="shared" ca="1" si="220"/>
        <v>0.49125113477277715</v>
      </c>
      <c r="EF714" s="95">
        <f t="shared" si="272"/>
        <v>48</v>
      </c>
      <c r="EG714" s="339">
        <f t="shared" ca="1" si="273"/>
        <v>57919.689076548006</v>
      </c>
      <c r="EH714" s="341">
        <f t="shared" ca="1" si="301"/>
        <v>9222663.3893148582</v>
      </c>
      <c r="EJ714" s="308">
        <f t="shared" si="274"/>
        <v>48</v>
      </c>
      <c r="EK714" s="318">
        <f t="shared" ca="1" si="275"/>
        <v>57919.689076548006</v>
      </c>
      <c r="EL714" s="319">
        <f t="shared" ca="1" si="302"/>
        <v>6117607.6653513107</v>
      </c>
      <c r="EN714" s="95">
        <f t="shared" si="276"/>
        <v>48</v>
      </c>
      <c r="EO714" s="339">
        <f t="shared" ca="1" si="277"/>
        <v>57919.689076548006</v>
      </c>
      <c r="EP714" s="341">
        <f t="shared" ca="1" si="303"/>
        <v>9222663.3893148582</v>
      </c>
    </row>
    <row r="715" spans="1:146" s="266" customFormat="1" x14ac:dyDescent="0.25">
      <c r="A715" s="313">
        <v>49</v>
      </c>
      <c r="B715" s="314">
        <v>49</v>
      </c>
      <c r="C715" s="308">
        <f>VLOOKUP($B715,'Infant adult mortality'!$A$27:$I$128,3)</f>
        <v>9.4814238475004868E-4</v>
      </c>
      <c r="D715" s="309">
        <f t="shared" si="221"/>
        <v>0.27</v>
      </c>
      <c r="E715" s="309">
        <f>VLOOKUP($B715,'Infant pick up smoking rates'!$A$19:$I$104,3)</f>
        <v>1.5201831243956284E-3</v>
      </c>
      <c r="F715" s="309">
        <f t="shared" si="222"/>
        <v>1.5040574918002186E-2</v>
      </c>
      <c r="G715" s="309">
        <f t="shared" si="223"/>
        <v>0.71249109957285217</v>
      </c>
      <c r="H715" s="309">
        <f>VLOOKUP($B715,'Infant adult mortality'!$A$27:$I$128,3)</f>
        <v>9.4814238475004868E-4</v>
      </c>
      <c r="I715" s="309">
        <f t="shared" si="224"/>
        <v>0.14000000000000001</v>
      </c>
      <c r="J715" s="309">
        <f>VLOOKUP($B715,'Infant pick up smoking rates'!$A$19:$I$104,2)</f>
        <v>1.5201831243956284E-3</v>
      </c>
      <c r="K715" s="309">
        <f t="shared" si="225"/>
        <v>1.5040574918002186E-2</v>
      </c>
      <c r="L715" s="309">
        <f t="shared" si="226"/>
        <v>0.84249109957285218</v>
      </c>
      <c r="M715" s="309">
        <f>VLOOKUP($B715,'Infant adult mortality'!$A$27:$I$128,3)</f>
        <v>9.4814238475004868E-4</v>
      </c>
      <c r="N715" s="309">
        <f t="shared" si="227"/>
        <v>0.5714285714285714</v>
      </c>
      <c r="O715" s="309">
        <f>VLOOKUP($B715,'Infant pick up smoking rates'!$A$19:$I$104,2)</f>
        <v>1.5201831243956284E-3</v>
      </c>
      <c r="P715" s="309">
        <f t="shared" si="228"/>
        <v>1.0968268312844991E-2</v>
      </c>
      <c r="Q715" s="309">
        <f t="shared" si="229"/>
        <v>0.41513483474943791</v>
      </c>
      <c r="R715" s="309">
        <f>VLOOKUP($B715,'Infant adult mortality'!$A$27:$I$128,3)</f>
        <v>9.4814238475004868E-4</v>
      </c>
      <c r="S715" s="309">
        <f t="shared" si="230"/>
        <v>8.6261668788331098E-3</v>
      </c>
      <c r="T715" s="309">
        <f>VLOOKUP($B715,'Infant pick up smoking rates'!$A$19:$I$104,2)</f>
        <v>1.5201831243956284E-3</v>
      </c>
      <c r="U715" s="309">
        <f t="shared" si="231"/>
        <v>1.0968268312844991E-2</v>
      </c>
      <c r="V715" s="309">
        <f t="shared" si="232"/>
        <v>0.9779372392991762</v>
      </c>
      <c r="W715" s="309">
        <f>VLOOKUP($B715,'Infant adult mortality'!$A$27:$I$128,3)</f>
        <v>9.4814238475004868E-4</v>
      </c>
      <c r="X715" s="309">
        <f>VLOOKUP($B715,'Infant pick up smoking rates'!$A$19:$I$104,2)</f>
        <v>1.5201831243956284E-3</v>
      </c>
      <c r="Y715" s="309">
        <f t="shared" si="233"/>
        <v>0.99753167449085434</v>
      </c>
      <c r="Z715" s="309">
        <f>VLOOKUP($B715,'Infant adult mortality'!$A$27:$I$128,5)</f>
        <v>1.9199883291188486E-3</v>
      </c>
      <c r="AA715" s="309">
        <f t="shared" si="234"/>
        <v>0.25</v>
      </c>
      <c r="AB715" s="309">
        <f t="shared" si="235"/>
        <v>0.74808001167088112</v>
      </c>
      <c r="AC715" s="309">
        <f>VLOOKUP($B715,'Infant adult mortality'!$A$27:$I$128,5)</f>
        <v>1.9199883291188486E-3</v>
      </c>
      <c r="AD715" s="309">
        <f t="shared" si="236"/>
        <v>0.14000000000000001</v>
      </c>
      <c r="AE715" s="309">
        <f t="shared" si="237"/>
        <v>0.8580800116708811</v>
      </c>
      <c r="AF715" s="309">
        <f>VLOOKUP($B715,'Infant adult mortality'!$A$27:$I$128,4)</f>
        <v>1.1614744213188097E-3</v>
      </c>
      <c r="AG715" s="309">
        <f t="shared" si="238"/>
        <v>0.5714285714285714</v>
      </c>
      <c r="AH715" s="309">
        <f t="shared" si="239"/>
        <v>0.42740995415010979</v>
      </c>
      <c r="AI715" s="309">
        <f>VLOOKUP($B715,'Infant adult mortality'!$A$27:$I$128,4)</f>
        <v>1.1614744213188097E-3</v>
      </c>
      <c r="AJ715" s="309">
        <f t="shared" si="240"/>
        <v>8.6261668788331098E-3</v>
      </c>
      <c r="AK715" s="309">
        <f t="shared" si="241"/>
        <v>0.99021235869984803</v>
      </c>
      <c r="AL715" s="309"/>
      <c r="AM715" s="315">
        <f t="shared" si="278"/>
        <v>48.740398436511271</v>
      </c>
      <c r="AN715" s="316">
        <f t="shared" si="279"/>
        <v>13.50240877226241</v>
      </c>
      <c r="AO715" s="316">
        <f t="shared" si="280"/>
        <v>1.9359137967330722</v>
      </c>
      <c r="AP715" s="316">
        <f t="shared" si="281"/>
        <v>73.149657120807817</v>
      </c>
      <c r="AQ715" s="316">
        <f t="shared" si="282"/>
        <v>28.249905313122142</v>
      </c>
      <c r="AR715" s="316">
        <f t="shared" si="283"/>
        <v>141.61758095416423</v>
      </c>
      <c r="AS715" s="316">
        <f t="shared" si="284"/>
        <v>35.836349806178852</v>
      </c>
      <c r="AT715" s="316">
        <f t="shared" si="285"/>
        <v>5.0790562238068935</v>
      </c>
      <c r="AU715" s="316">
        <f t="shared" si="286"/>
        <v>95.12940309627534</v>
      </c>
      <c r="AV715" s="316">
        <f t="shared" si="287"/>
        <v>66.759326480137403</v>
      </c>
      <c r="AW715" s="317">
        <f t="shared" si="242"/>
        <v>509.99999999999949</v>
      </c>
      <c r="AX715" s="309"/>
      <c r="AY715" s="308">
        <f>VLOOKUP($B715,'Infant adult mortality'!$A$134:$I$234,3)</f>
        <v>6.6329507877844779E-4</v>
      </c>
      <c r="AZ715" s="309">
        <f t="shared" si="243"/>
        <v>0.27</v>
      </c>
      <c r="BA715" s="309">
        <f ca="1">VLOOKUP($B715,'Infant pick up smoking rates'!$A$19:$I$104,7)</f>
        <v>0</v>
      </c>
      <c r="BB715" s="309">
        <f t="shared" si="244"/>
        <v>1.5040574918002186E-2</v>
      </c>
      <c r="BC715" s="309">
        <f t="shared" ca="1" si="245"/>
        <v>0.71429613000321934</v>
      </c>
      <c r="BD715" s="309">
        <f>VLOOKUP($B715,'Infant adult mortality'!$A$134:$I$234,3)</f>
        <v>6.6329507877844779E-4</v>
      </c>
      <c r="BE715" s="309">
        <f t="shared" si="246"/>
        <v>0.14000000000000001</v>
      </c>
      <c r="BF715" s="309">
        <f>VLOOKUP($B715,'Infant pick up smoking rates'!$A$19:$I$104,6)</f>
        <v>0</v>
      </c>
      <c r="BG715" s="309">
        <f t="shared" si="247"/>
        <v>1.5040574918002186E-2</v>
      </c>
      <c r="BH715" s="309">
        <f t="shared" si="248"/>
        <v>0.84429613000321935</v>
      </c>
      <c r="BI715" s="309">
        <f>VLOOKUP($B715,'Infant adult mortality'!$A$134:$I$234,3)</f>
        <v>6.6329507877844779E-4</v>
      </c>
      <c r="BJ715" s="309">
        <f t="shared" si="249"/>
        <v>0.5714285714285714</v>
      </c>
      <c r="BK715" s="309">
        <f>VLOOKUP($B715,'Infant pick up smoking rates'!$A$19:$I$104,6)</f>
        <v>0</v>
      </c>
      <c r="BL715" s="309">
        <f t="shared" si="250"/>
        <v>1.0968268312844991E-2</v>
      </c>
      <c r="BM715" s="309">
        <f t="shared" si="251"/>
        <v>0.41693986517980514</v>
      </c>
      <c r="BN715" s="309">
        <f>VLOOKUP($B715,'Infant adult mortality'!$A$134:$I$234,3)</f>
        <v>6.6329507877844779E-4</v>
      </c>
      <c r="BO715" s="309">
        <f t="shared" si="252"/>
        <v>8.6261668788331098E-3</v>
      </c>
      <c r="BP715" s="309">
        <f>VLOOKUP($B715,'Infant pick up smoking rates'!$A$19:$I$104,6)</f>
        <v>0</v>
      </c>
      <c r="BQ715" s="309">
        <f t="shared" si="253"/>
        <v>1.0968268312844991E-2</v>
      </c>
      <c r="BR715" s="309">
        <f t="shared" si="254"/>
        <v>0.97974226972954337</v>
      </c>
      <c r="BS715" s="309">
        <f>VLOOKUP($B715,'Infant adult mortality'!$A$134:$I$234,3)</f>
        <v>6.6329507877844779E-4</v>
      </c>
      <c r="BT715" s="309">
        <f>VLOOKUP($B715,'Infant pick up smoking rates'!$A$19:$I$104,6)</f>
        <v>0</v>
      </c>
      <c r="BU715" s="309">
        <f t="shared" si="255"/>
        <v>0.99933670492122151</v>
      </c>
      <c r="BV715" s="309">
        <f>VLOOKUP($B715,'Infant adult mortality'!$A$134:$I$234,5)</f>
        <v>1.3431725345263567E-3</v>
      </c>
      <c r="BW715" s="309">
        <f t="shared" si="256"/>
        <v>0.27</v>
      </c>
      <c r="BX715" s="309">
        <f t="shared" si="257"/>
        <v>0.72865682746547367</v>
      </c>
      <c r="BY715" s="309">
        <f>VLOOKUP($B715,'Infant adult mortality'!$A$134:$I$234,5)</f>
        <v>1.3431725345263567E-3</v>
      </c>
      <c r="BZ715" s="309">
        <f t="shared" si="258"/>
        <v>0.14000000000000001</v>
      </c>
      <c r="CA715" s="309">
        <f t="shared" si="259"/>
        <v>0.85865682746547367</v>
      </c>
      <c r="CB715" s="309">
        <f>VLOOKUP($B715,'Infant adult mortality'!$A$134:$I$234,4)</f>
        <v>8.1253647150359863E-4</v>
      </c>
      <c r="CC715" s="309">
        <f t="shared" si="260"/>
        <v>0.5714285714285714</v>
      </c>
      <c r="CD715" s="309">
        <f t="shared" si="261"/>
        <v>0.42775889209992501</v>
      </c>
      <c r="CE715" s="309">
        <f>VLOOKUP($B715,'Infant adult mortality'!$A$134:$I$234,4)</f>
        <v>8.1253647150359863E-4</v>
      </c>
      <c r="CF715" s="309">
        <f t="shared" si="262"/>
        <v>8.6261668788331098E-3</v>
      </c>
      <c r="CG715" s="309">
        <f t="shared" si="263"/>
        <v>0.9905612966496633</v>
      </c>
      <c r="CH715" s="309"/>
      <c r="CI715" s="315">
        <f t="shared" ca="1" si="288"/>
        <v>64.576450622896431</v>
      </c>
      <c r="CJ715" s="316">
        <f t="shared" ca="1" si="289"/>
        <v>17.840243555446815</v>
      </c>
      <c r="CK715" s="316">
        <f t="shared" ca="1" si="290"/>
        <v>2.5628095669578439</v>
      </c>
      <c r="CL715" s="316">
        <f t="shared" ca="1" si="291"/>
        <v>95.290474610806754</v>
      </c>
      <c r="CM715" s="316">
        <f t="shared" ca="1" si="292"/>
        <v>37.372842730458345</v>
      </c>
      <c r="CN715" s="316">
        <f t="shared" ca="1" si="293"/>
        <v>106.23939692368558</v>
      </c>
      <c r="CO715" s="316">
        <f t="shared" ca="1" si="294"/>
        <v>29.120032057991608</v>
      </c>
      <c r="CP715" s="316">
        <f t="shared" ca="1" si="295"/>
        <v>4.1173333963474965</v>
      </c>
      <c r="CQ715" s="316">
        <f t="shared" ca="1" si="296"/>
        <v>73.659112462742115</v>
      </c>
      <c r="CR715" s="316">
        <f t="shared" ca="1" si="297"/>
        <v>59.221304072667174</v>
      </c>
      <c r="CS715" s="317">
        <f t="shared" ca="1" si="264"/>
        <v>490.00000000000011</v>
      </c>
      <c r="CT715" s="309"/>
      <c r="CU715" s="309">
        <f t="shared" ca="1" si="265"/>
        <v>999.99999999999955</v>
      </c>
      <c r="CV715" s="309" t="str">
        <f t="shared" ca="1" si="216"/>
        <v>OKAY</v>
      </c>
      <c r="CW715" s="309"/>
      <c r="CX715" s="315">
        <f>(SUM($AR715:$AS715))-((SUM($AR715:$AS715)*VLOOKUP($B715,Lifetime_morbidity_array!$A$30:$Y$48,4))+(SUM($AR715:$AS715)*VLOOKUP($B715,Lifetime_morbidity_array!$A$30:$Y$48,7))+(SUM($AR715:$AS715)*VLOOKUP($B715,Lifetime_morbidity_array!$A$30:$Y$48,10))+(SUM($AR715:$AS715)*VLOOKUP($B715,Lifetime_morbidity_array!$A$30:$Y$48,13)))</f>
        <v>157.51101090828976</v>
      </c>
      <c r="CY715" s="316">
        <f>(SUM($AT715:$AU715))-((SUM($AT715:$AU715)*(VLOOKUP($B715,Lifetime_morbidity_array!$A$30:$Y$48,3)))+(SUM($AT715:$AU715)*(VLOOKUP($B715,Lifetime_morbidity_array!$A$30:$Y$48,6)))+(SUM($AT715:$AU715)*(VLOOKUP($B715,Lifetime_morbidity_array!$A$30:$Y$48,9)))+(SUM($AT715:$AU715)*(VLOOKUP($B715,Lifetime_morbidity_array!$A$30:$Y$48,12))))</f>
        <v>95.002485981076546</v>
      </c>
      <c r="CZ715" s="316">
        <f>(SUM($AM715:$AQ715))-((SUM($AM715:$AQ715)*VLOOKUP($B715,Lifetime_morbidity_array!$A$30:$Y$48,2))+(SUM($AM715:$AQ715)*VLOOKUP($B715,Lifetime_morbidity_array!$A$30:$Y$48,5))+(SUM($AM715:$AQ715)*VLOOKUP($B715,Lifetime_morbidity_array!$A$30:$Y$48,8))+(SUM($AM715:$AQ715)*VLOOKUP($B715,Lifetime_morbidity_array!$A$30:$Y$48,11)))</f>
        <v>160.4142270495187</v>
      </c>
      <c r="DA715" s="316">
        <f>(SUM($AM715:$AQ715)*VLOOKUP($B715,Lifetime_morbidity_array!$A$30:$Y$48,2))+(SUM($AR715:$AS715)*VLOOKUP($B715,Lifetime_morbidity_array!$A$30:$Y$48,4))+(SUM($AT715:$AU715)*(VLOOKUP($B715,Lifetime_morbidity_array!$A$30:$Y$48,3)))</f>
        <v>20.253664121662361</v>
      </c>
      <c r="DB715" s="316">
        <f>(SUM($AM715:$AQ715)*VLOOKUP($B715,Lifetime_morbidity_array!$A$30:$Y$48,5))+(SUM($AR715:$AS715)*VLOOKUP($B715,Lifetime_morbidity_array!$A$30:$Y$48,7))+(SUM($AT715:$AU715)*(VLOOKUP($B715,Lifetime_morbidity_array!$A$30:$Y$48,6)))</f>
        <v>2.7496402671770013</v>
      </c>
      <c r="DC715" s="316">
        <f>(SUM($AM715:$AQ715)*VLOOKUP($B715,Lifetime_morbidity_array!$A$30:$Y$48,8))+(SUM($AR715:$AS715)*VLOOKUP($B715,Lifetime_morbidity_array!$A$30:$Y$48,10))+(SUM($AT715:$AU715)*(VLOOKUP($B715,Lifetime_morbidity_array!$A$30:$Y$48,9)))</f>
        <v>1.008855482304059</v>
      </c>
      <c r="DD715" s="317">
        <f>(SUM($AM715:$AQ715)*VLOOKUP($B715,Lifetime_morbidity_array!$A$30:$Y$48,11))+(SUM($AR715:$AS715)*VLOOKUP($B715,Lifetime_morbidity_array!$A$30:$Y$48,13))+(SUM($AT715:$AU715)*(VLOOKUP($B715,Lifetime_morbidity_array!$A$30:$Y$48,12)))</f>
        <v>6.3007897098336203</v>
      </c>
      <c r="DE715" s="309"/>
      <c r="DF715" s="315">
        <f ca="1">(SUM($CN715:$CO715))-((SUM($CN715:$CO715)*VLOOKUP($B715,Lifetime_morbidity_array!$A$6:$Y$24,4))+(SUM($CN715:$CO715)*VLOOKUP($B715,Lifetime_morbidity_array!$A$6:$Y$24,7))+(SUM($CN715:$CO715)*VLOOKUP($B715,Lifetime_morbidity_array!$A$6:$Y$24,10))+(SUM($CN715:$CO715)*VLOOKUP($B715,Lifetime_morbidity_array!$A$6:$Y$24,13)))</f>
        <v>126.31517320175578</v>
      </c>
      <c r="DG715" s="316">
        <f ca="1">(SUM($CP715:$CQ715))-(((SUM($CP715:$CQ715)*VLOOKUP($B715,Lifetime_morbidity_array!$A$6:$Y$24,3))+(SUM($CP715:$CQ715)*VLOOKUP($B715,Lifetime_morbidity_array!$A$6:$Y$24,6))+(SUM($CP715:$CQ715)*VLOOKUP($B715,Lifetime_morbidity_array!$A$6:$Y$24,9))+(SUM($CP715:$CQ715)*VLOOKUP($B715,Lifetime_morbidity_array!$A$6:$Y$24,12))))</f>
        <v>75.736994086557814</v>
      </c>
      <c r="DH715" s="316">
        <f ca="1">(SUM($CI715:$CM715))-((SUM($CI715:$CM715)*VLOOKUP($B715,Lifetime_morbidity_array!$A$6:$Y$24,2))+(SUM($CI715:$CM715)*VLOOKUP($B715,Lifetime_morbidity_array!$A$6:$Y$24,5))+(SUM($CI715:$CM715)*VLOOKUP($B715,Lifetime_morbidity_array!$A$6:$Y$24,8))+(SUM($CI715:$CM715)*VLOOKUP($B715,Lifetime_morbidity_array!$A$6:$Y$24,11)))</f>
        <v>214.16142460043704</v>
      </c>
      <c r="DI715" s="316">
        <f ca="1">(SUM($CI715:$CM715)*VLOOKUP($B715,Lifetime_morbidity_array!$A$6:$Y$24,2))+(SUM($CN715:$CO715)*VLOOKUP($B715,Lifetime_morbidity_array!$A$6:$Y$24,4))+(SUM($CP715:$CQ715)*VLOOKUP($B715,Lifetime_morbidity_array!$A$6:$Y$24,3))</f>
        <v>6.8519175791555043</v>
      </c>
      <c r="DJ715" s="316">
        <f ca="1">(SUM($CI715:$CM715)*VLOOKUP($B715,Lifetime_morbidity_array!$A$6:$Y$24,5))+(SUM($CN715:$CO715)*VLOOKUP($B715,Lifetime_morbidity_array!$A$6:$Y$24,7))+(SUM($CP715:$CQ715)*VLOOKUP($B715,Lifetime_morbidity_array!$A$6:$Y$24,6))</f>
        <v>2.9129114229344553</v>
      </c>
      <c r="DK715" s="316">
        <f ca="1">(SUM($CI715:$CM715)*VLOOKUP($B715,Lifetime_morbidity_array!$A$6:$Y$24,8))+(SUM($CN715:$CO715)*VLOOKUP($B715,Lifetime_morbidity_array!$A$6:$Y$24,10))+(SUM($CP715:$CQ715)*VLOOKUP($B715,Lifetime_morbidity_array!$A$6:$Y$24,9))</f>
        <v>0.41207265614254401</v>
      </c>
      <c r="DL715" s="317">
        <f ca="1">(SUM($CI715:$CM715)*VLOOKUP($B715,Lifetime_morbidity_array!$A$6:$Y$24,11))+(SUM($CN715:$CO715)*VLOOKUP($B715,Lifetime_morbidity_array!$A$6:$Y$24,13))+(SUM($CP715:$CQ715)*VLOOKUP($B715,Lifetime_morbidity_array!$A$6:$Y$24,12))</f>
        <v>4.3882023803498118</v>
      </c>
      <c r="DM715" s="309"/>
      <c r="DN715" s="308">
        <f t="shared" si="266"/>
        <v>49</v>
      </c>
      <c r="DO715" s="309">
        <f t="shared" ca="1" si="267"/>
        <v>161.97348161516902</v>
      </c>
      <c r="DP715" s="310">
        <f t="shared" ca="1" si="298"/>
        <v>20675.533926832039</v>
      </c>
      <c r="DQ715" s="309"/>
      <c r="DR715" s="308">
        <f t="shared" si="268"/>
        <v>49</v>
      </c>
      <c r="DS715" s="309">
        <f ca="1">((VLOOKUP($B715,'Mahawesran Tariff'!$A$21:$M$120,4)*'Experimental (DET)'!$CX715)+(VLOOKUP($B715,'Mahawesran Tariff'!$A$21:$M$120,3)*'Experimental (DET)'!$CY715)+(VLOOKUP($B715,'Mahawesran Tariff'!$A$21:$M$120,2)*'Experimental (DET)'!$CZ715)+(VLOOKUP($B715,'Mahawesran Tariff'!$A$21:$M$120,7)*'Experimental (DET)'!$DF715)+(VLOOKUP($B715,'Mahawesran Tariff'!$A$21:$M$120,6)*'Experimental (DET)'!$DG715)+(VLOOKUP($B715,'Mahawesran Tariff'!$A$21:$M$120,5)*'Experimental (DET)'!$DH715)+(DET_UTIL_chd*('Experimental (DET)'!$DA715+'Experimental (DET)'!$DI715))+(DET_UTIL_copd*('Experimental (DET)'!$DB715+'Experimental (DET)'!$DJ715))+(DET_UTIL_lc*('Experimental (DET)'!$DC715+'Experimental (DET)'!$DK715))+(DET_UTIL_stroke*('Experimental (DET)'!$DD715+'Experimental (DET)'!$DL715)))/((1+Discount_rate_QALYs)^$A715)</f>
        <v>152.26490891861454</v>
      </c>
      <c r="DT715" s="310">
        <f t="shared" ca="1" si="299"/>
        <v>20564.768189559811</v>
      </c>
      <c r="DU715" s="309"/>
      <c r="DV715" s="308">
        <f t="shared" si="269"/>
        <v>49</v>
      </c>
      <c r="DW715" s="318">
        <f t="shared" ca="1" si="270"/>
        <v>55671.726471725851</v>
      </c>
      <c r="DX715" s="319">
        <f t="shared" ca="1" si="300"/>
        <v>6176319.3918230375</v>
      </c>
      <c r="DZ715" s="95">
        <f t="shared" si="271"/>
        <v>49</v>
      </c>
      <c r="EA715" s="268">
        <f t="shared" ca="1" si="304"/>
        <v>0.87401936944719505</v>
      </c>
      <c r="EB715" s="268">
        <f t="shared" ca="1" si="218"/>
        <v>0.12598063055280456</v>
      </c>
      <c r="EC715" s="268">
        <f t="shared" ca="1" si="219"/>
        <v>4.4878053619559349E-2</v>
      </c>
      <c r="ED715" s="290">
        <f t="shared" ca="1" si="220"/>
        <v>0.49079826492119211</v>
      </c>
      <c r="EF715" s="95">
        <f t="shared" si="272"/>
        <v>49</v>
      </c>
      <c r="EG715" s="339">
        <f t="shared" ca="1" si="273"/>
        <v>55671.726471725851</v>
      </c>
      <c r="EH715" s="341">
        <f t="shared" ca="1" si="301"/>
        <v>9278335.1157865841</v>
      </c>
      <c r="EJ715" s="308">
        <f t="shared" si="274"/>
        <v>49</v>
      </c>
      <c r="EK715" s="318">
        <f t="shared" ca="1" si="275"/>
        <v>55671.726471725851</v>
      </c>
      <c r="EL715" s="319">
        <f t="shared" ca="1" si="302"/>
        <v>6173279.3918230366</v>
      </c>
      <c r="EN715" s="95">
        <f t="shared" si="276"/>
        <v>49</v>
      </c>
      <c r="EO715" s="339">
        <f t="shared" ca="1" si="277"/>
        <v>55671.726471725851</v>
      </c>
      <c r="EP715" s="341">
        <f t="shared" ca="1" si="303"/>
        <v>9278335.1157865841</v>
      </c>
    </row>
    <row r="716" spans="1:146" s="266" customFormat="1" x14ac:dyDescent="0.25">
      <c r="A716" s="313">
        <v>50</v>
      </c>
      <c r="B716" s="314">
        <v>50</v>
      </c>
      <c r="C716" s="308">
        <f>VLOOKUP($B716,'Infant adult mortality'!$A$27:$I$128,3)</f>
        <v>1.0170367379895035E-3</v>
      </c>
      <c r="D716" s="309">
        <f t="shared" si="221"/>
        <v>0.27</v>
      </c>
      <c r="E716" s="309">
        <f>VLOOKUP($B716,'Infant pick up smoking rates'!$A$19:$I$104,3)</f>
        <v>1.5201831243956284E-3</v>
      </c>
      <c r="F716" s="309">
        <f t="shared" si="222"/>
        <v>1.6491605557185141E-2</v>
      </c>
      <c r="G716" s="309">
        <f t="shared" si="223"/>
        <v>0.7109711745804298</v>
      </c>
      <c r="H716" s="309">
        <f>VLOOKUP($B716,'Infant adult mortality'!$A$27:$I$128,3)</f>
        <v>1.0170367379895035E-3</v>
      </c>
      <c r="I716" s="309">
        <f t="shared" si="224"/>
        <v>0.14000000000000001</v>
      </c>
      <c r="J716" s="309">
        <f>VLOOKUP($B716,'Infant pick up smoking rates'!$A$19:$I$104,2)</f>
        <v>1.5201831243956284E-3</v>
      </c>
      <c r="K716" s="309">
        <f t="shared" si="225"/>
        <v>1.6491605557185141E-2</v>
      </c>
      <c r="L716" s="309">
        <f t="shared" si="226"/>
        <v>0.8409711745804298</v>
      </c>
      <c r="M716" s="309">
        <f>VLOOKUP($B716,'Infant adult mortality'!$A$27:$I$128,3)</f>
        <v>1.0170367379895035E-3</v>
      </c>
      <c r="N716" s="309">
        <f t="shared" si="227"/>
        <v>0.5714285714285714</v>
      </c>
      <c r="O716" s="309">
        <f>VLOOKUP($B716,'Infant pick up smoking rates'!$A$19:$I$104,2)</f>
        <v>1.5201831243956284E-3</v>
      </c>
      <c r="P716" s="309">
        <f t="shared" si="228"/>
        <v>1.2026425561985014E-2</v>
      </c>
      <c r="Q716" s="309">
        <f t="shared" si="229"/>
        <v>0.41400778314705849</v>
      </c>
      <c r="R716" s="309">
        <f>VLOOKUP($B716,'Infant adult mortality'!$A$27:$I$128,3)</f>
        <v>1.0170367379895035E-3</v>
      </c>
      <c r="S716" s="309">
        <f t="shared" si="230"/>
        <v>8.6261668788331098E-3</v>
      </c>
      <c r="T716" s="309">
        <f>VLOOKUP($B716,'Infant pick up smoking rates'!$A$19:$I$104,2)</f>
        <v>1.5201831243956284E-3</v>
      </c>
      <c r="U716" s="309">
        <f t="shared" si="231"/>
        <v>1.2026425561985014E-2</v>
      </c>
      <c r="V716" s="309">
        <f t="shared" si="232"/>
        <v>0.97681018769679684</v>
      </c>
      <c r="W716" s="309">
        <f>VLOOKUP($B716,'Infant adult mortality'!$A$27:$I$128,3)</f>
        <v>1.0170367379895035E-3</v>
      </c>
      <c r="X716" s="309">
        <f>VLOOKUP($B716,'Infant pick up smoking rates'!$A$19:$I$104,2)</f>
        <v>1.5201831243956284E-3</v>
      </c>
      <c r="Y716" s="309">
        <f t="shared" si="233"/>
        <v>0.99746278013761491</v>
      </c>
      <c r="Z716" s="309">
        <f>VLOOKUP($B716,'Infant adult mortality'!$A$27:$I$128,5)</f>
        <v>2.0594993944287447E-3</v>
      </c>
      <c r="AA716" s="309">
        <f t="shared" si="234"/>
        <v>0.25</v>
      </c>
      <c r="AB716" s="309">
        <f t="shared" si="235"/>
        <v>0.74794050060557127</v>
      </c>
      <c r="AC716" s="309">
        <f>VLOOKUP($B716,'Infant adult mortality'!$A$27:$I$128,5)</f>
        <v>2.0594993944287447E-3</v>
      </c>
      <c r="AD716" s="309">
        <f t="shared" si="236"/>
        <v>0.14000000000000001</v>
      </c>
      <c r="AE716" s="309">
        <f t="shared" si="237"/>
        <v>0.85794050060557125</v>
      </c>
      <c r="AF716" s="309">
        <f>VLOOKUP($B716,'Infant adult mortality'!$A$27:$I$128,4)</f>
        <v>1.245870004037142E-3</v>
      </c>
      <c r="AG716" s="309">
        <f t="shared" si="238"/>
        <v>0.5714285714285714</v>
      </c>
      <c r="AH716" s="309">
        <f t="shared" si="239"/>
        <v>0.42732555856739146</v>
      </c>
      <c r="AI716" s="309">
        <f>VLOOKUP($B716,'Infant adult mortality'!$A$27:$I$128,4)</f>
        <v>1.245870004037142E-3</v>
      </c>
      <c r="AJ716" s="309">
        <f t="shared" si="240"/>
        <v>8.6261668788331098E-3</v>
      </c>
      <c r="AK716" s="309">
        <f t="shared" si="241"/>
        <v>0.99012796311712969</v>
      </c>
      <c r="AL716" s="309"/>
      <c r="AM716" s="315">
        <f t="shared" si="278"/>
        <v>47.440639419601958</v>
      </c>
      <c r="AN716" s="316">
        <f t="shared" si="279"/>
        <v>13.159907577858045</v>
      </c>
      <c r="AO716" s="316">
        <f t="shared" si="280"/>
        <v>1.8903372281167374</v>
      </c>
      <c r="AP716" s="316">
        <f t="shared" si="281"/>
        <v>72.55956675740866</v>
      </c>
      <c r="AQ716" s="316">
        <f t="shared" si="282"/>
        <v>30.107723946929156</v>
      </c>
      <c r="AR716" s="316">
        <f t="shared" si="283"/>
        <v>139.90970224227385</v>
      </c>
      <c r="AS716" s="316">
        <f t="shared" si="284"/>
        <v>35.404395238541056</v>
      </c>
      <c r="AT716" s="316">
        <f t="shared" si="285"/>
        <v>5.0170889728650394</v>
      </c>
      <c r="AU716" s="316">
        <f t="shared" si="286"/>
        <v>97.09259996243884</v>
      </c>
      <c r="AV716" s="316">
        <f t="shared" si="287"/>
        <v>67.41803865396615</v>
      </c>
      <c r="AW716" s="317">
        <f t="shared" si="242"/>
        <v>509.99999999999955</v>
      </c>
      <c r="AX716" s="309"/>
      <c r="AY716" s="308">
        <f>VLOOKUP($B716,'Infant adult mortality'!$A$134:$I$234,3)</f>
        <v>7.5010092854259196E-4</v>
      </c>
      <c r="AZ716" s="309">
        <f t="shared" si="243"/>
        <v>0.27</v>
      </c>
      <c r="BA716" s="309">
        <f ca="1">VLOOKUP($B716,'Infant pick up smoking rates'!$A$19:$I$104,7)</f>
        <v>0</v>
      </c>
      <c r="BB716" s="309">
        <f t="shared" si="244"/>
        <v>1.6491605557185141E-2</v>
      </c>
      <c r="BC716" s="309">
        <f t="shared" ca="1" si="245"/>
        <v>0.71275829351427233</v>
      </c>
      <c r="BD716" s="309">
        <f>VLOOKUP($B716,'Infant adult mortality'!$A$134:$I$234,3)</f>
        <v>7.5010092854259196E-4</v>
      </c>
      <c r="BE716" s="309">
        <f t="shared" si="246"/>
        <v>0.14000000000000001</v>
      </c>
      <c r="BF716" s="309">
        <f>VLOOKUP($B716,'Infant pick up smoking rates'!$A$19:$I$104,6)</f>
        <v>0</v>
      </c>
      <c r="BG716" s="309">
        <f t="shared" si="247"/>
        <v>1.6491605557185141E-2</v>
      </c>
      <c r="BH716" s="309">
        <f t="shared" si="248"/>
        <v>0.84275829351427234</v>
      </c>
      <c r="BI716" s="309">
        <f>VLOOKUP($B716,'Infant adult mortality'!$A$134:$I$234,3)</f>
        <v>7.5010092854259196E-4</v>
      </c>
      <c r="BJ716" s="309">
        <f t="shared" si="249"/>
        <v>0.5714285714285714</v>
      </c>
      <c r="BK716" s="309">
        <f>VLOOKUP($B716,'Infant pick up smoking rates'!$A$19:$I$104,6)</f>
        <v>0</v>
      </c>
      <c r="BL716" s="309">
        <f t="shared" si="250"/>
        <v>1.2026425561985014E-2</v>
      </c>
      <c r="BM716" s="309">
        <f t="shared" si="251"/>
        <v>0.41579490208090103</v>
      </c>
      <c r="BN716" s="309">
        <f>VLOOKUP($B716,'Infant adult mortality'!$A$134:$I$234,3)</f>
        <v>7.5010092854259196E-4</v>
      </c>
      <c r="BO716" s="309">
        <f t="shared" si="252"/>
        <v>8.6261668788331098E-3</v>
      </c>
      <c r="BP716" s="309">
        <f>VLOOKUP($B716,'Infant pick up smoking rates'!$A$19:$I$104,6)</f>
        <v>0</v>
      </c>
      <c r="BQ716" s="309">
        <f t="shared" si="253"/>
        <v>1.2026425561985014E-2</v>
      </c>
      <c r="BR716" s="309">
        <f t="shared" si="254"/>
        <v>0.97859730663063937</v>
      </c>
      <c r="BS716" s="309">
        <f>VLOOKUP($B716,'Infant adult mortality'!$A$134:$I$234,3)</f>
        <v>7.5010092854259196E-4</v>
      </c>
      <c r="BT716" s="309">
        <f>VLOOKUP($B716,'Infant pick up smoking rates'!$A$19:$I$104,6)</f>
        <v>0</v>
      </c>
      <c r="BU716" s="309">
        <f t="shared" si="255"/>
        <v>0.99924989907145745</v>
      </c>
      <c r="BV716" s="309">
        <f>VLOOKUP($B716,'Infant adult mortality'!$A$134:$I$234,5)</f>
        <v>1.5189543802987487E-3</v>
      </c>
      <c r="BW716" s="309">
        <f t="shared" si="256"/>
        <v>0.27</v>
      </c>
      <c r="BX716" s="309">
        <f t="shared" si="257"/>
        <v>0.72848104561970128</v>
      </c>
      <c r="BY716" s="309">
        <f>VLOOKUP($B716,'Infant adult mortality'!$A$134:$I$234,5)</f>
        <v>1.5189543802987487E-3</v>
      </c>
      <c r="BZ716" s="309">
        <f t="shared" si="258"/>
        <v>0.14000000000000001</v>
      </c>
      <c r="CA716" s="309">
        <f t="shared" si="259"/>
        <v>0.85848104561970129</v>
      </c>
      <c r="CB716" s="309">
        <f>VLOOKUP($B716,'Infant adult mortality'!$A$134:$I$234,4)</f>
        <v>9.1887363746467519E-4</v>
      </c>
      <c r="CC716" s="309">
        <f t="shared" si="260"/>
        <v>0.5714285714285714</v>
      </c>
      <c r="CD716" s="309">
        <f t="shared" si="261"/>
        <v>0.42765255493396392</v>
      </c>
      <c r="CE716" s="309">
        <f>VLOOKUP($B716,'Infant adult mortality'!$A$134:$I$234,4)</f>
        <v>9.1887363746467519E-4</v>
      </c>
      <c r="CF716" s="309">
        <f t="shared" si="262"/>
        <v>8.6261668788331098E-3</v>
      </c>
      <c r="CG716" s="309">
        <f t="shared" si="263"/>
        <v>0.99045495948370221</v>
      </c>
      <c r="CH716" s="309"/>
      <c r="CI716" s="315">
        <f t="shared" ca="1" si="288"/>
        <v>62.950008650752949</v>
      </c>
      <c r="CJ716" s="316">
        <f t="shared" ca="1" si="289"/>
        <v>17.435641668182036</v>
      </c>
      <c r="CK716" s="316">
        <f t="shared" ca="1" si="290"/>
        <v>2.4976340977625542</v>
      </c>
      <c r="CL716" s="316">
        <f t="shared" ca="1" si="291"/>
        <v>94.715464411381021</v>
      </c>
      <c r="CM716" s="316">
        <f t="shared" ca="1" si="292"/>
        <v>39.880818176300004</v>
      </c>
      <c r="CN716" s="316">
        <f t="shared" ca="1" si="293"/>
        <v>104.7885664693101</v>
      </c>
      <c r="CO716" s="316">
        <f t="shared" ca="1" si="294"/>
        <v>28.684637169395106</v>
      </c>
      <c r="CP716" s="316">
        <f t="shared" ca="1" si="295"/>
        <v>4.0768044881188255</v>
      </c>
      <c r="CQ716" s="316">
        <f t="shared" ca="1" si="296"/>
        <v>75.308795190660703</v>
      </c>
      <c r="CR716" s="316">
        <f t="shared" ca="1" si="297"/>
        <v>59.661629678136912</v>
      </c>
      <c r="CS716" s="317">
        <f t="shared" ca="1" si="264"/>
        <v>490.00000000000023</v>
      </c>
      <c r="CT716" s="309"/>
      <c r="CU716" s="309">
        <f t="shared" ca="1" si="265"/>
        <v>999.99999999999977</v>
      </c>
      <c r="CV716" s="309" t="str">
        <f t="shared" ca="1" si="216"/>
        <v>OKAY</v>
      </c>
      <c r="CW716" s="309"/>
      <c r="CX716" s="315">
        <f>(SUM($AR716:$AS716))-((SUM($AR716:$AS716)*VLOOKUP($B716,Lifetime_morbidity_array!$A$30:$Y$48,4))+(SUM($AR716:$AS716)*VLOOKUP($B716,Lifetime_morbidity_array!$A$30:$Y$48,7))+(SUM($AR716:$AS716)*VLOOKUP($B716,Lifetime_morbidity_array!$A$30:$Y$48,10))+(SUM($AR716:$AS716)*VLOOKUP($B716,Lifetime_morbidity_array!$A$30:$Y$48,13)))</f>
        <v>152.81245425543105</v>
      </c>
      <c r="CY716" s="316">
        <f>(SUM($AT716:$AU716))-((SUM($AT716:$AU716)*(VLOOKUP($B716,Lifetime_morbidity_array!$A$30:$Y$48,3)))+(SUM($AT716:$AU716)*(VLOOKUP($B716,Lifetime_morbidity_array!$A$30:$Y$48,6)))+(SUM($AT716:$AU716)*(VLOOKUP($B716,Lifetime_morbidity_array!$A$30:$Y$48,9)))+(SUM($AT716:$AU716)*(VLOOKUP($B716,Lifetime_morbidity_array!$A$30:$Y$48,12))))</f>
        <v>96.01197911667856</v>
      </c>
      <c r="CZ716" s="316">
        <f>(SUM($AM716:$AQ716))-((SUM($AM716:$AQ716)*VLOOKUP($B716,Lifetime_morbidity_array!$A$30:$Y$48,2))+(SUM($AM716:$AQ716)*VLOOKUP($B716,Lifetime_morbidity_array!$A$30:$Y$48,5))+(SUM($AM716:$AQ716)*VLOOKUP($B716,Lifetime_morbidity_array!$A$30:$Y$48,8))+(SUM($AM716:$AQ716)*VLOOKUP($B716,Lifetime_morbidity_array!$A$30:$Y$48,11)))</f>
        <v>159.39023759249903</v>
      </c>
      <c r="DA716" s="316">
        <f>(SUM($AM716:$AQ716)*VLOOKUP($B716,Lifetime_morbidity_array!$A$30:$Y$48,2))+(SUM($AR716:$AS716)*VLOOKUP($B716,Lifetime_morbidity_array!$A$30:$Y$48,4))+(SUM($AT716:$AU716)*(VLOOKUP($B716,Lifetime_morbidity_array!$A$30:$Y$48,3)))</f>
        <v>20.943733725820419</v>
      </c>
      <c r="DB716" s="316">
        <f>(SUM($AM716:$AQ716)*VLOOKUP($B716,Lifetime_morbidity_array!$A$30:$Y$48,5))+(SUM($AR716:$AS716)*VLOOKUP($B716,Lifetime_morbidity_array!$A$30:$Y$48,7))+(SUM($AT716:$AU716)*(VLOOKUP($B716,Lifetime_morbidity_array!$A$30:$Y$48,6)))</f>
        <v>5.9165225435471163</v>
      </c>
      <c r="DC716" s="316">
        <f>(SUM($AM716:$AQ716)*VLOOKUP($B716,Lifetime_morbidity_array!$A$30:$Y$48,8))+(SUM($AR716:$AS716)*VLOOKUP($B716,Lifetime_morbidity_array!$A$30:$Y$48,10))+(SUM($AT716:$AU716)*(VLOOKUP($B716,Lifetime_morbidity_array!$A$30:$Y$48,9)))</f>
        <v>1.0709117906945238</v>
      </c>
      <c r="DD716" s="317">
        <f>(SUM($AM716:$AQ716)*VLOOKUP($B716,Lifetime_morbidity_array!$A$30:$Y$48,11))+(SUM($AR716:$AS716)*VLOOKUP($B716,Lifetime_morbidity_array!$A$30:$Y$48,13))+(SUM($AT716:$AU716)*(VLOOKUP($B716,Lifetime_morbidity_array!$A$30:$Y$48,12)))</f>
        <v>6.4361223213626344</v>
      </c>
      <c r="DE716" s="309"/>
      <c r="DF716" s="315">
        <f ca="1">(SUM($CN716:$CO716))-((SUM($CN716:$CO716)*VLOOKUP($B716,Lifetime_morbidity_array!$A$6:$Y$24,4))+(SUM($CN716:$CO716)*VLOOKUP($B716,Lifetime_morbidity_array!$A$6:$Y$24,7))+(SUM($CN716:$CO716)*VLOOKUP($B716,Lifetime_morbidity_array!$A$6:$Y$24,10))+(SUM($CN716:$CO716)*VLOOKUP($B716,Lifetime_morbidity_array!$A$6:$Y$24,13)))</f>
        <v>121.9178265074035</v>
      </c>
      <c r="DG716" s="316">
        <f ca="1">(SUM($CP716:$CQ716))-(((SUM($CP716:$CQ716)*VLOOKUP($B716,Lifetime_morbidity_array!$A$6:$Y$24,3))+(SUM($CP716:$CQ716)*VLOOKUP($B716,Lifetime_morbidity_array!$A$6:$Y$24,6))+(SUM($CP716:$CQ716)*VLOOKUP($B716,Lifetime_morbidity_array!$A$6:$Y$24,9))+(SUM($CP716:$CQ716)*VLOOKUP($B716,Lifetime_morbidity_array!$A$6:$Y$24,12))))</f>
        <v>76.839977663701447</v>
      </c>
      <c r="DH716" s="316">
        <f ca="1">(SUM($CI716:$CM716))-((SUM($CI716:$CM716)*VLOOKUP($B716,Lifetime_morbidity_array!$A$6:$Y$24,2))+(SUM($CI716:$CM716)*VLOOKUP($B716,Lifetime_morbidity_array!$A$6:$Y$24,5))+(SUM($CI716:$CM716)*VLOOKUP($B716,Lifetime_morbidity_array!$A$6:$Y$24,8))+(SUM($CI716:$CM716)*VLOOKUP($B716,Lifetime_morbidity_array!$A$6:$Y$24,11)))</f>
        <v>213.3083417607636</v>
      </c>
      <c r="DI716" s="316">
        <f ca="1">(SUM($CI716:$CM716)*VLOOKUP($B716,Lifetime_morbidity_array!$A$6:$Y$24,2))+(SUM($CN716:$CO716)*VLOOKUP($B716,Lifetime_morbidity_array!$A$6:$Y$24,4))+(SUM($CP716:$CQ716)*VLOOKUP($B716,Lifetime_morbidity_array!$A$6:$Y$24,3))</f>
        <v>6.9865045935058365</v>
      </c>
      <c r="DJ716" s="316">
        <f ca="1">(SUM($CI716:$CM716)*VLOOKUP($B716,Lifetime_morbidity_array!$A$6:$Y$24,5))+(SUM($CN716:$CO716)*VLOOKUP($B716,Lifetime_morbidity_array!$A$6:$Y$24,7))+(SUM($CP716:$CQ716)*VLOOKUP($B716,Lifetime_morbidity_array!$A$6:$Y$24,6))</f>
        <v>6.4080492986854116</v>
      </c>
      <c r="DK716" s="316">
        <f ca="1">(SUM($CI716:$CM716)*VLOOKUP($B716,Lifetime_morbidity_array!$A$6:$Y$24,8))+(SUM($CN716:$CO716)*VLOOKUP($B716,Lifetime_morbidity_array!$A$6:$Y$24,10))+(SUM($CP716:$CQ716)*VLOOKUP($B716,Lifetime_morbidity_array!$A$6:$Y$24,9))</f>
        <v>0.4275856406748042</v>
      </c>
      <c r="DL716" s="317">
        <f ca="1">(SUM($CI716:$CM716)*VLOOKUP($B716,Lifetime_morbidity_array!$A$6:$Y$24,11))+(SUM($CN716:$CO716)*VLOOKUP($B716,Lifetime_morbidity_array!$A$6:$Y$24,13))+(SUM($CP716:$CQ716)*VLOOKUP($B716,Lifetime_morbidity_array!$A$6:$Y$24,12))</f>
        <v>4.4500848571286911</v>
      </c>
      <c r="DM716" s="309"/>
      <c r="DN716" s="308">
        <f t="shared" si="266"/>
        <v>50</v>
      </c>
      <c r="DO716" s="309">
        <f t="shared" ca="1" si="267"/>
        <v>156.29933107946135</v>
      </c>
      <c r="DP716" s="310">
        <f t="shared" ca="1" si="298"/>
        <v>20831.833257911501</v>
      </c>
      <c r="DQ716" s="309"/>
      <c r="DR716" s="308">
        <f t="shared" si="268"/>
        <v>50</v>
      </c>
      <c r="DS716" s="309">
        <f ca="1">((VLOOKUP($B716,'Mahawesran Tariff'!$A$21:$M$120,4)*'Experimental (DET)'!$CX716)+(VLOOKUP($B716,'Mahawesran Tariff'!$A$21:$M$120,3)*'Experimental (DET)'!$CY716)+(VLOOKUP($B716,'Mahawesran Tariff'!$A$21:$M$120,2)*'Experimental (DET)'!$CZ716)+(VLOOKUP($B716,'Mahawesran Tariff'!$A$21:$M$120,7)*'Experimental (DET)'!$DF716)+(VLOOKUP($B716,'Mahawesran Tariff'!$A$21:$M$120,6)*'Experimental (DET)'!$DG716)+(VLOOKUP($B716,'Mahawesran Tariff'!$A$21:$M$120,5)*'Experimental (DET)'!$DH716)+(DET_UTIL_chd*('Experimental (DET)'!$DA716+'Experimental (DET)'!$DI716))+(DET_UTIL_copd*('Experimental (DET)'!$DB716+'Experimental (DET)'!$DJ716))+(DET_UTIL_lc*('Experimental (DET)'!$DC716+'Experimental (DET)'!$DK716))+(DET_UTIL_stroke*('Experimental (DET)'!$DD716+'Experimental (DET)'!$DL716)))/((1+Discount_rate_QALYs)^$A716)</f>
        <v>146.64542563549199</v>
      </c>
      <c r="DT716" s="310">
        <f t="shared" ca="1" si="299"/>
        <v>20711.413615195303</v>
      </c>
      <c r="DU716" s="309"/>
      <c r="DV716" s="308">
        <f t="shared" si="269"/>
        <v>50</v>
      </c>
      <c r="DW716" s="318">
        <f t="shared" ca="1" si="270"/>
        <v>55966.808438730557</v>
      </c>
      <c r="DX716" s="319">
        <f t="shared" ca="1" si="300"/>
        <v>6232286.200261768</v>
      </c>
      <c r="DZ716" s="95">
        <f t="shared" si="271"/>
        <v>50</v>
      </c>
      <c r="EA716" s="268">
        <f t="shared" ca="1" si="304"/>
        <v>0.87292033166789662</v>
      </c>
      <c r="EB716" s="268">
        <f t="shared" ca="1" si="218"/>
        <v>0.12707966833210307</v>
      </c>
      <c r="EC716" s="268">
        <f t="shared" ca="1" si="219"/>
        <v>5.2639514771419441E-2</v>
      </c>
      <c r="ED716" s="290">
        <f t="shared" ca="1" si="220"/>
        <v>0.4902825897336035</v>
      </c>
      <c r="EF716" s="95">
        <f t="shared" si="272"/>
        <v>50</v>
      </c>
      <c r="EG716" s="339">
        <f t="shared" ca="1" si="273"/>
        <v>55966.808438730557</v>
      </c>
      <c r="EH716" s="341">
        <f t="shared" ca="1" si="301"/>
        <v>9334301.9242253155</v>
      </c>
      <c r="EJ716" s="308">
        <f t="shared" si="274"/>
        <v>50</v>
      </c>
      <c r="EK716" s="318">
        <f t="shared" ca="1" si="275"/>
        <v>55966.808438730557</v>
      </c>
      <c r="EL716" s="319">
        <f t="shared" ca="1" si="302"/>
        <v>6229246.200261767</v>
      </c>
      <c r="EN716" s="95">
        <f t="shared" si="276"/>
        <v>50</v>
      </c>
      <c r="EO716" s="339">
        <f t="shared" ca="1" si="277"/>
        <v>55966.808438730557</v>
      </c>
      <c r="EP716" s="341">
        <f t="shared" ca="1" si="303"/>
        <v>9334301.9242253155</v>
      </c>
    </row>
    <row r="717" spans="1:146" s="266" customFormat="1" x14ac:dyDescent="0.25">
      <c r="A717" s="313">
        <v>51</v>
      </c>
      <c r="B717" s="314">
        <v>51</v>
      </c>
      <c r="C717" s="308">
        <f>VLOOKUP($B717,'Infant adult mortality'!$A$27:$I$128,3)</f>
        <v>1.0819539765845783E-3</v>
      </c>
      <c r="D717" s="309">
        <f t="shared" si="221"/>
        <v>0.27</v>
      </c>
      <c r="E717" s="309">
        <f>VLOOKUP($B717,'Infant pick up smoking rates'!$A$19:$I$104,3)</f>
        <v>1.5201831243956284E-3</v>
      </c>
      <c r="F717" s="309">
        <f t="shared" si="222"/>
        <v>1.814304151889283E-2</v>
      </c>
      <c r="G717" s="309">
        <f t="shared" si="223"/>
        <v>0.70925482138012697</v>
      </c>
      <c r="H717" s="309">
        <f>VLOOKUP($B717,'Infant adult mortality'!$A$27:$I$128,3)</f>
        <v>1.0819539765845783E-3</v>
      </c>
      <c r="I717" s="309">
        <f t="shared" si="224"/>
        <v>0.14000000000000001</v>
      </c>
      <c r="J717" s="309">
        <f>VLOOKUP($B717,'Infant pick up smoking rates'!$A$19:$I$104,2)</f>
        <v>1.5201831243956284E-3</v>
      </c>
      <c r="K717" s="309">
        <f t="shared" si="225"/>
        <v>1.814304151889283E-2</v>
      </c>
      <c r="L717" s="309">
        <f t="shared" si="226"/>
        <v>0.83925482138012697</v>
      </c>
      <c r="M717" s="309">
        <f>VLOOKUP($B717,'Infant adult mortality'!$A$27:$I$128,3)</f>
        <v>1.0819539765845783E-3</v>
      </c>
      <c r="N717" s="309">
        <f t="shared" si="227"/>
        <v>0.5714285714285714</v>
      </c>
      <c r="O717" s="309">
        <f>VLOOKUP($B717,'Infant pick up smoking rates'!$A$19:$I$104,2)</f>
        <v>1.5201831243956284E-3</v>
      </c>
      <c r="P717" s="309">
        <f t="shared" si="228"/>
        <v>1.3230727447268073E-2</v>
      </c>
      <c r="Q717" s="309">
        <f t="shared" si="229"/>
        <v>0.41273856402318038</v>
      </c>
      <c r="R717" s="309">
        <f>VLOOKUP($B717,'Infant adult mortality'!$A$27:$I$128,3)</f>
        <v>1.0819539765845783E-3</v>
      </c>
      <c r="S717" s="309">
        <f t="shared" si="230"/>
        <v>8.6261668788331098E-3</v>
      </c>
      <c r="T717" s="309">
        <f>VLOOKUP($B717,'Infant pick up smoking rates'!$A$19:$I$104,2)</f>
        <v>1.5201831243956284E-3</v>
      </c>
      <c r="U717" s="309">
        <f t="shared" si="231"/>
        <v>1.3230727447268073E-2</v>
      </c>
      <c r="V717" s="309">
        <f t="shared" si="232"/>
        <v>0.97554096857291861</v>
      </c>
      <c r="W717" s="309">
        <f>VLOOKUP($B717,'Infant adult mortality'!$A$27:$I$128,3)</f>
        <v>1.0819539765845783E-3</v>
      </c>
      <c r="X717" s="309">
        <f>VLOOKUP($B717,'Infant pick up smoking rates'!$A$19:$I$104,2)</f>
        <v>1.5201831243956284E-3</v>
      </c>
      <c r="Y717" s="309">
        <f t="shared" si="233"/>
        <v>0.99739786289901977</v>
      </c>
      <c r="Z717" s="309">
        <f>VLOOKUP($B717,'Infant adult mortality'!$A$27:$I$128,5)</f>
        <v>2.1909568025837707E-3</v>
      </c>
      <c r="AA717" s="309">
        <f t="shared" si="234"/>
        <v>0.25</v>
      </c>
      <c r="AB717" s="309">
        <f t="shared" si="235"/>
        <v>0.74780904319741626</v>
      </c>
      <c r="AC717" s="309">
        <f>VLOOKUP($B717,'Infant adult mortality'!$A$27:$I$128,5)</f>
        <v>2.1909568025837707E-3</v>
      </c>
      <c r="AD717" s="309">
        <f t="shared" si="236"/>
        <v>0.14000000000000001</v>
      </c>
      <c r="AE717" s="309">
        <f t="shared" si="237"/>
        <v>0.85780904319741624</v>
      </c>
      <c r="AF717" s="309">
        <f>VLOOKUP($B717,'Infant adult mortality'!$A$27:$I$128,4)</f>
        <v>1.3253936213161084E-3</v>
      </c>
      <c r="AG717" s="309">
        <f t="shared" si="238"/>
        <v>0.5714285714285714</v>
      </c>
      <c r="AH717" s="309">
        <f t="shared" si="239"/>
        <v>0.42724603495011249</v>
      </c>
      <c r="AI717" s="309">
        <f>VLOOKUP($B717,'Infant adult mortality'!$A$27:$I$128,4)</f>
        <v>1.3253936213161084E-3</v>
      </c>
      <c r="AJ717" s="309">
        <f t="shared" si="240"/>
        <v>8.6261668788331098E-3</v>
      </c>
      <c r="AK717" s="309">
        <f t="shared" si="241"/>
        <v>0.99004843949985077</v>
      </c>
      <c r="AL717" s="309"/>
      <c r="AM717" s="315">
        <f t="shared" si="278"/>
        <v>46.098144125900731</v>
      </c>
      <c r="AN717" s="316">
        <f t="shared" si="279"/>
        <v>12.808972643292529</v>
      </c>
      <c r="AO717" s="316">
        <f t="shared" si="280"/>
        <v>1.8423870609001265</v>
      </c>
      <c r="AP717" s="316">
        <f t="shared" si="281"/>
        <v>71.865022735534779</v>
      </c>
      <c r="AQ717" s="316">
        <f t="shared" si="282"/>
        <v>32.113884149771074</v>
      </c>
      <c r="AR717" s="316">
        <f t="shared" si="283"/>
        <v>138.22808998339502</v>
      </c>
      <c r="AS717" s="316">
        <f t="shared" si="284"/>
        <v>34.977425560568463</v>
      </c>
      <c r="AT717" s="316">
        <f t="shared" si="285"/>
        <v>4.9566153333957486</v>
      </c>
      <c r="AU717" s="316">
        <f t="shared" si="286"/>
        <v>98.993285064290149</v>
      </c>
      <c r="AV717" s="316">
        <f t="shared" si="287"/>
        <v>68.116173342950887</v>
      </c>
      <c r="AW717" s="317">
        <f t="shared" si="242"/>
        <v>509.99999999999955</v>
      </c>
      <c r="AX717" s="309"/>
      <c r="AY717" s="308">
        <f>VLOOKUP($B717,'Infant adult mortality'!$A$134:$I$234,3)</f>
        <v>8.2034719418651596E-4</v>
      </c>
      <c r="AZ717" s="309">
        <f t="shared" si="243"/>
        <v>0.27</v>
      </c>
      <c r="BA717" s="309">
        <f ca="1">VLOOKUP($B717,'Infant pick up smoking rates'!$A$19:$I$104,7)</f>
        <v>0</v>
      </c>
      <c r="BB717" s="309">
        <f t="shared" si="244"/>
        <v>1.814304151889283E-2</v>
      </c>
      <c r="BC717" s="309">
        <f t="shared" ca="1" si="245"/>
        <v>0.71103661128692064</v>
      </c>
      <c r="BD717" s="309">
        <f>VLOOKUP($B717,'Infant adult mortality'!$A$134:$I$234,3)</f>
        <v>8.2034719418651596E-4</v>
      </c>
      <c r="BE717" s="309">
        <f t="shared" si="246"/>
        <v>0.14000000000000001</v>
      </c>
      <c r="BF717" s="309">
        <f>VLOOKUP($B717,'Infant pick up smoking rates'!$A$19:$I$104,6)</f>
        <v>0</v>
      </c>
      <c r="BG717" s="309">
        <f t="shared" si="247"/>
        <v>1.814304151889283E-2</v>
      </c>
      <c r="BH717" s="309">
        <f t="shared" si="248"/>
        <v>0.84103661128692064</v>
      </c>
      <c r="BI717" s="309">
        <f>VLOOKUP($B717,'Infant adult mortality'!$A$134:$I$234,3)</f>
        <v>8.2034719418651596E-4</v>
      </c>
      <c r="BJ717" s="309">
        <f t="shared" si="249"/>
        <v>0.5714285714285714</v>
      </c>
      <c r="BK717" s="309">
        <f>VLOOKUP($B717,'Infant pick up smoking rates'!$A$19:$I$104,6)</f>
        <v>0</v>
      </c>
      <c r="BL717" s="309">
        <f t="shared" si="250"/>
        <v>1.3230727447268073E-2</v>
      </c>
      <c r="BM717" s="309">
        <f t="shared" si="251"/>
        <v>0.41452035392997405</v>
      </c>
      <c r="BN717" s="309">
        <f>VLOOKUP($B717,'Infant adult mortality'!$A$134:$I$234,3)</f>
        <v>8.2034719418651596E-4</v>
      </c>
      <c r="BO717" s="309">
        <f t="shared" si="252"/>
        <v>8.6261668788331098E-3</v>
      </c>
      <c r="BP717" s="309">
        <f>VLOOKUP($B717,'Infant pick up smoking rates'!$A$19:$I$104,6)</f>
        <v>0</v>
      </c>
      <c r="BQ717" s="309">
        <f t="shared" si="253"/>
        <v>1.3230727447268073E-2</v>
      </c>
      <c r="BR717" s="309">
        <f t="shared" si="254"/>
        <v>0.97732275847971228</v>
      </c>
      <c r="BS717" s="309">
        <f>VLOOKUP($B717,'Infant adult mortality'!$A$134:$I$234,3)</f>
        <v>8.2034719418651596E-4</v>
      </c>
      <c r="BT717" s="309">
        <f>VLOOKUP($B717,'Infant pick up smoking rates'!$A$19:$I$104,6)</f>
        <v>0</v>
      </c>
      <c r="BU717" s="309">
        <f t="shared" si="255"/>
        <v>0.99917965280581345</v>
      </c>
      <c r="BV717" s="309">
        <f>VLOOKUP($B717,'Infant adult mortality'!$A$134:$I$234,5)</f>
        <v>1.6612030682276947E-3</v>
      </c>
      <c r="BW717" s="309">
        <f t="shared" si="256"/>
        <v>0.27</v>
      </c>
      <c r="BX717" s="309">
        <f t="shared" si="257"/>
        <v>0.72833879693177228</v>
      </c>
      <c r="BY717" s="309">
        <f>VLOOKUP($B717,'Infant adult mortality'!$A$134:$I$234,5)</f>
        <v>1.6612030682276947E-3</v>
      </c>
      <c r="BZ717" s="309">
        <f t="shared" si="258"/>
        <v>0.14000000000000001</v>
      </c>
      <c r="CA717" s="309">
        <f t="shared" si="259"/>
        <v>0.85833879693177229</v>
      </c>
      <c r="CB717" s="309">
        <f>VLOOKUP($B717,'Infant adult mortality'!$A$134:$I$234,4)</f>
        <v>1.0049253128784821E-3</v>
      </c>
      <c r="CC717" s="309">
        <f t="shared" si="260"/>
        <v>0.5714285714285714</v>
      </c>
      <c r="CD717" s="309">
        <f t="shared" si="261"/>
        <v>0.42756650325855011</v>
      </c>
      <c r="CE717" s="309">
        <f>VLOOKUP($B717,'Infant adult mortality'!$A$134:$I$234,4)</f>
        <v>1.0049253128784821E-3</v>
      </c>
      <c r="CF717" s="309">
        <f t="shared" si="262"/>
        <v>8.6261668788331098E-3</v>
      </c>
      <c r="CG717" s="309">
        <f t="shared" si="263"/>
        <v>0.99036890780828846</v>
      </c>
      <c r="CH717" s="309"/>
      <c r="CI717" s="315">
        <f t="shared" ca="1" si="288"/>
        <v>61.276125387945427</v>
      </c>
      <c r="CJ717" s="316">
        <f t="shared" ca="1" si="289"/>
        <v>16.996502335703298</v>
      </c>
      <c r="CK717" s="316">
        <f t="shared" ca="1" si="290"/>
        <v>2.4409898335454852</v>
      </c>
      <c r="CL717" s="316">
        <f t="shared" ca="1" si="291"/>
        <v>93.994798433653656</v>
      </c>
      <c r="CM717" s="316">
        <f t="shared" ca="1" si="292"/>
        <v>42.592742260945748</v>
      </c>
      <c r="CN717" s="316">
        <f t="shared" ca="1" si="293"/>
        <v>103.33544666707758</v>
      </c>
      <c r="CO717" s="316">
        <f t="shared" ca="1" si="294"/>
        <v>28.292912946713727</v>
      </c>
      <c r="CP717" s="316">
        <f t="shared" ca="1" si="295"/>
        <v>4.0158492037153151</v>
      </c>
      <c r="CQ717" s="316">
        <f t="shared" ca="1" si="296"/>
        <v>76.913091805972059</v>
      </c>
      <c r="CR717" s="316">
        <f t="shared" ca="1" si="297"/>
        <v>60.141541124727894</v>
      </c>
      <c r="CS717" s="317">
        <f t="shared" ca="1" si="264"/>
        <v>490.00000000000017</v>
      </c>
      <c r="CT717" s="309"/>
      <c r="CU717" s="309">
        <f t="shared" ca="1" si="265"/>
        <v>999.99999999999977</v>
      </c>
      <c r="CV717" s="309" t="str">
        <f t="shared" ca="1" si="216"/>
        <v>OKAY</v>
      </c>
      <c r="CW717" s="309"/>
      <c r="CX717" s="315">
        <f>(SUM($AR717:$AS717))-((SUM($AR717:$AS717)*VLOOKUP($B717,Lifetime_morbidity_array!$A$30:$Y$48,4))+(SUM($AR717:$AS717)*VLOOKUP($B717,Lifetime_morbidity_array!$A$30:$Y$48,7))+(SUM($AR717:$AS717)*VLOOKUP($B717,Lifetime_morbidity_array!$A$30:$Y$48,10))+(SUM($AR717:$AS717)*VLOOKUP($B717,Lifetime_morbidity_array!$A$30:$Y$48,13)))</f>
        <v>150.97450975810278</v>
      </c>
      <c r="CY717" s="316">
        <f>(SUM($AT717:$AU717))-((SUM($AT717:$AU717)*(VLOOKUP($B717,Lifetime_morbidity_array!$A$30:$Y$48,3)))+(SUM($AT717:$AU717)*(VLOOKUP($B717,Lifetime_morbidity_array!$A$30:$Y$48,6)))+(SUM($AT717:$AU717)*(VLOOKUP($B717,Lifetime_morbidity_array!$A$30:$Y$48,9)))+(SUM($AT717:$AU717)*(VLOOKUP($B717,Lifetime_morbidity_array!$A$30:$Y$48,12))))</f>
        <v>97.742298211161753</v>
      </c>
      <c r="CZ717" s="316">
        <f>(SUM($AM717:$AQ717))-((SUM($AM717:$AQ717)*VLOOKUP($B717,Lifetime_morbidity_array!$A$30:$Y$48,2))+(SUM($AM717:$AQ717)*VLOOKUP($B717,Lifetime_morbidity_array!$A$30:$Y$48,5))+(SUM($AM717:$AQ717)*VLOOKUP($B717,Lifetime_morbidity_array!$A$30:$Y$48,8))+(SUM($AM717:$AQ717)*VLOOKUP($B717,Lifetime_morbidity_array!$A$30:$Y$48,11)))</f>
        <v>158.97548234172555</v>
      </c>
      <c r="DA717" s="316">
        <f>(SUM($AM717:$AQ717)*VLOOKUP($B717,Lifetime_morbidity_array!$A$30:$Y$48,2))+(SUM($AR717:$AS717)*VLOOKUP($B717,Lifetime_morbidity_array!$A$30:$Y$48,4))+(SUM($AT717:$AU717)*(VLOOKUP($B717,Lifetime_morbidity_array!$A$30:$Y$48,3)))</f>
        <v>20.837345480523176</v>
      </c>
      <c r="DB717" s="316">
        <f>(SUM($AM717:$AQ717)*VLOOKUP($B717,Lifetime_morbidity_array!$A$30:$Y$48,5))+(SUM($AR717:$AS717)*VLOOKUP($B717,Lifetime_morbidity_array!$A$30:$Y$48,7))+(SUM($AT717:$AU717)*(VLOOKUP($B717,Lifetime_morbidity_array!$A$30:$Y$48,6)))</f>
        <v>5.887481617879482</v>
      </c>
      <c r="DC717" s="316">
        <f>(SUM($AM717:$AQ717)*VLOOKUP($B717,Lifetime_morbidity_array!$A$30:$Y$48,8))+(SUM($AR717:$AS717)*VLOOKUP($B717,Lifetime_morbidity_array!$A$30:$Y$48,10))+(SUM($AT717:$AU717)*(VLOOKUP($B717,Lifetime_morbidity_array!$A$30:$Y$48,9)))</f>
        <v>1.0631886791746656</v>
      </c>
      <c r="DD717" s="317">
        <f>(SUM($AM717:$AQ717)*VLOOKUP($B717,Lifetime_morbidity_array!$A$30:$Y$48,11))+(SUM($AR717:$AS717)*VLOOKUP($B717,Lifetime_morbidity_array!$A$30:$Y$48,13))+(SUM($AT717:$AU717)*(VLOOKUP($B717,Lifetime_morbidity_array!$A$30:$Y$48,12)))</f>
        <v>6.4035205684812322</v>
      </c>
      <c r="DE717" s="309"/>
      <c r="DF717" s="315">
        <f ca="1">(SUM($CN717:$CO717))-((SUM($CN717:$CO717)*VLOOKUP($B717,Lifetime_morbidity_array!$A$6:$Y$24,4))+(SUM($CN717:$CO717)*VLOOKUP($B717,Lifetime_morbidity_array!$A$6:$Y$24,7))+(SUM($CN717:$CO717)*VLOOKUP($B717,Lifetime_morbidity_array!$A$6:$Y$24,10))+(SUM($CN717:$CO717)*VLOOKUP($B717,Lifetime_morbidity_array!$A$6:$Y$24,13)))</f>
        <v>120.23269894897986</v>
      </c>
      <c r="DG717" s="316">
        <f ca="1">(SUM($CP717:$CQ717))-(((SUM($CP717:$CQ717)*VLOOKUP($B717,Lifetime_morbidity_array!$A$6:$Y$24,3))+(SUM($CP717:$CQ717)*VLOOKUP($B717,Lifetime_morbidity_array!$A$6:$Y$24,6))+(SUM($CP717:$CQ717)*VLOOKUP($B717,Lifetime_morbidity_array!$A$6:$Y$24,9))+(SUM($CP717:$CQ717)*VLOOKUP($B717,Lifetime_morbidity_array!$A$6:$Y$24,12))))</f>
        <v>78.333829368220677</v>
      </c>
      <c r="DH717" s="316">
        <f ca="1">(SUM($CI717:$CM717))-((SUM($CI717:$CM717)*VLOOKUP($B717,Lifetime_morbidity_array!$A$6:$Y$24,2))+(SUM($CI717:$CM717)*VLOOKUP($B717,Lifetime_morbidity_array!$A$6:$Y$24,5))+(SUM($CI717:$CM717)*VLOOKUP($B717,Lifetime_morbidity_array!$A$6:$Y$24,8))+(SUM($CI717:$CM717)*VLOOKUP($B717,Lifetime_morbidity_array!$A$6:$Y$24,11)))</f>
        <v>213.13335486110358</v>
      </c>
      <c r="DI717" s="316">
        <f ca="1">(SUM($CI717:$CM717)*VLOOKUP($B717,Lifetime_morbidity_array!$A$6:$Y$24,2))+(SUM($CN717:$CO717)*VLOOKUP($B717,Lifetime_morbidity_array!$A$6:$Y$24,4))+(SUM($CP717:$CQ717)*VLOOKUP($B717,Lifetime_morbidity_array!$A$6:$Y$24,3))</f>
        <v>6.9474294583634206</v>
      </c>
      <c r="DJ717" s="316">
        <f ca="1">(SUM($CI717:$CM717)*VLOOKUP($B717,Lifetime_morbidity_array!$A$6:$Y$24,5))+(SUM($CN717:$CO717)*VLOOKUP($B717,Lifetime_morbidity_array!$A$6:$Y$24,7))+(SUM($CP717:$CQ717)*VLOOKUP($B717,Lifetime_morbidity_array!$A$6:$Y$24,6))</f>
        <v>6.3599037180267883</v>
      </c>
      <c r="DK717" s="316">
        <f ca="1">(SUM($CI717:$CM717)*VLOOKUP($B717,Lifetime_morbidity_array!$A$6:$Y$24,8))+(SUM($CN717:$CO717)*VLOOKUP($B717,Lifetime_morbidity_array!$A$6:$Y$24,10))+(SUM($CP717:$CQ717)*VLOOKUP($B717,Lifetime_morbidity_array!$A$6:$Y$24,9))</f>
        <v>0.42357813033477548</v>
      </c>
      <c r="DL717" s="317">
        <f ca="1">(SUM($CI717:$CM717)*VLOOKUP($B717,Lifetime_morbidity_array!$A$6:$Y$24,11))+(SUM($CN717:$CO717)*VLOOKUP($B717,Lifetime_morbidity_array!$A$6:$Y$24,13))+(SUM($CP717:$CQ717)*VLOOKUP($B717,Lifetime_morbidity_array!$A$6:$Y$24,12))</f>
        <v>4.4276643902431969</v>
      </c>
      <c r="DM717" s="309"/>
      <c r="DN717" s="308">
        <f t="shared" si="266"/>
        <v>51</v>
      </c>
      <c r="DO717" s="309">
        <f t="shared" ca="1" si="267"/>
        <v>150.81004632225756</v>
      </c>
      <c r="DP717" s="310">
        <f t="shared" ca="1" si="298"/>
        <v>20982.643304233759</v>
      </c>
      <c r="DQ717" s="309"/>
      <c r="DR717" s="308">
        <f t="shared" si="268"/>
        <v>51</v>
      </c>
      <c r="DS717" s="309">
        <f ca="1">((VLOOKUP($B717,'Mahawesran Tariff'!$A$21:$M$120,4)*'Experimental (DET)'!$CX717)+(VLOOKUP($B717,'Mahawesran Tariff'!$A$21:$M$120,3)*'Experimental (DET)'!$CY717)+(VLOOKUP($B717,'Mahawesran Tariff'!$A$21:$M$120,2)*'Experimental (DET)'!$CZ717)+(VLOOKUP($B717,'Mahawesran Tariff'!$A$21:$M$120,7)*'Experimental (DET)'!$DF717)+(VLOOKUP($B717,'Mahawesran Tariff'!$A$21:$M$120,6)*'Experimental (DET)'!$DG717)+(VLOOKUP($B717,'Mahawesran Tariff'!$A$21:$M$120,5)*'Experimental (DET)'!$DH717)+(DET_UTIL_chd*('Experimental (DET)'!$DA717+'Experimental (DET)'!$DI717))+(DET_UTIL_copd*('Experimental (DET)'!$DB717+'Experimental (DET)'!$DJ717))+(DET_UTIL_lc*('Experimental (DET)'!$DC717+'Experimental (DET)'!$DK717))+(DET_UTIL_stroke*('Experimental (DET)'!$DD717+'Experimental (DET)'!$DL717)))/((1+Discount_rate_QALYs)^$A717)</f>
        <v>141.51209844728447</v>
      </c>
      <c r="DT717" s="310">
        <f t="shared" ca="1" si="299"/>
        <v>20852.925713642588</v>
      </c>
      <c r="DU717" s="309"/>
      <c r="DV717" s="308">
        <f t="shared" si="269"/>
        <v>51</v>
      </c>
      <c r="DW717" s="318">
        <f t="shared" ca="1" si="270"/>
        <v>53790.492234832018</v>
      </c>
      <c r="DX717" s="319">
        <f t="shared" ca="1" si="300"/>
        <v>6286076.6924965996</v>
      </c>
      <c r="DZ717" s="95">
        <f t="shared" si="271"/>
        <v>51</v>
      </c>
      <c r="EA717" s="268">
        <f t="shared" ca="1" si="304"/>
        <v>0.87174228553232092</v>
      </c>
      <c r="EB717" s="268">
        <f t="shared" ca="1" si="218"/>
        <v>0.12825771446767881</v>
      </c>
      <c r="EC717" s="268">
        <f t="shared" ca="1" si="219"/>
        <v>5.2350112043026739E-2</v>
      </c>
      <c r="ED717" s="290">
        <f t="shared" ca="1" si="220"/>
        <v>0.48971271656512805</v>
      </c>
      <c r="EF717" s="95">
        <f t="shared" si="272"/>
        <v>51</v>
      </c>
      <c r="EG717" s="339">
        <f t="shared" ca="1" si="273"/>
        <v>53790.492234832018</v>
      </c>
      <c r="EH717" s="341">
        <f t="shared" ca="1" si="301"/>
        <v>9388092.4164601471</v>
      </c>
      <c r="EJ717" s="308">
        <f t="shared" si="274"/>
        <v>51</v>
      </c>
      <c r="EK717" s="318">
        <f t="shared" ca="1" si="275"/>
        <v>53790.492234832018</v>
      </c>
      <c r="EL717" s="319">
        <f t="shared" ca="1" si="302"/>
        <v>6283036.6924965987</v>
      </c>
      <c r="EN717" s="95">
        <f t="shared" si="276"/>
        <v>51</v>
      </c>
      <c r="EO717" s="339">
        <f t="shared" ca="1" si="277"/>
        <v>53790.492234832018</v>
      </c>
      <c r="EP717" s="341">
        <f t="shared" ca="1" si="303"/>
        <v>9388092.4164601471</v>
      </c>
    </row>
    <row r="718" spans="1:146" s="266" customFormat="1" x14ac:dyDescent="0.25">
      <c r="A718" s="313">
        <v>52</v>
      </c>
      <c r="B718" s="314">
        <v>52</v>
      </c>
      <c r="C718" s="308">
        <f>VLOOKUP($B718,'Infant adult mortality'!$A$27:$I$128,3)</f>
        <v>1.1718207509083568E-3</v>
      </c>
      <c r="D718" s="309">
        <f t="shared" si="221"/>
        <v>0.27</v>
      </c>
      <c r="E718" s="309">
        <f>VLOOKUP($B718,'Infant pick up smoking rates'!$A$19:$I$104,3)</f>
        <v>1.5201831243956284E-3</v>
      </c>
      <c r="F718" s="309">
        <f t="shared" si="222"/>
        <v>2.0013255646516091E-2</v>
      </c>
      <c r="G718" s="309">
        <f t="shared" si="223"/>
        <v>0.70729474047817986</v>
      </c>
      <c r="H718" s="309">
        <f>VLOOKUP($B718,'Infant adult mortality'!$A$27:$I$128,3)</f>
        <v>1.1718207509083568E-3</v>
      </c>
      <c r="I718" s="309">
        <f t="shared" si="224"/>
        <v>0.14000000000000001</v>
      </c>
      <c r="J718" s="309">
        <f>VLOOKUP($B718,'Infant pick up smoking rates'!$A$19:$I$104,2)</f>
        <v>1.5201831243956284E-3</v>
      </c>
      <c r="K718" s="309">
        <f t="shared" si="225"/>
        <v>2.0013255646516091E-2</v>
      </c>
      <c r="L718" s="309">
        <f t="shared" si="226"/>
        <v>0.83729474047817987</v>
      </c>
      <c r="M718" s="309">
        <f>VLOOKUP($B718,'Infant adult mortality'!$A$27:$I$128,3)</f>
        <v>1.1718207509083568E-3</v>
      </c>
      <c r="N718" s="309">
        <f t="shared" si="227"/>
        <v>0.5714285714285714</v>
      </c>
      <c r="O718" s="309">
        <f>VLOOKUP($B718,'Infant pick up smoking rates'!$A$19:$I$104,2)</f>
        <v>1.5201831243956284E-3</v>
      </c>
      <c r="P718" s="309">
        <f t="shared" si="228"/>
        <v>1.4594572278072584E-2</v>
      </c>
      <c r="Q718" s="309">
        <f t="shared" si="229"/>
        <v>0.41128485241805202</v>
      </c>
      <c r="R718" s="309">
        <f>VLOOKUP($B718,'Infant adult mortality'!$A$27:$I$128,3)</f>
        <v>1.1718207509083568E-3</v>
      </c>
      <c r="S718" s="309">
        <f t="shared" si="230"/>
        <v>8.6261668788331098E-3</v>
      </c>
      <c r="T718" s="309">
        <f>VLOOKUP($B718,'Infant pick up smoking rates'!$A$19:$I$104,2)</f>
        <v>1.5201831243956284E-3</v>
      </c>
      <c r="U718" s="309">
        <f t="shared" si="231"/>
        <v>1.4594572278072584E-2</v>
      </c>
      <c r="V718" s="309">
        <f t="shared" si="232"/>
        <v>0.9740872569677903</v>
      </c>
      <c r="W718" s="309">
        <f>VLOOKUP($B718,'Infant adult mortality'!$A$27:$I$128,3)</f>
        <v>1.1718207509083568E-3</v>
      </c>
      <c r="X718" s="309">
        <f>VLOOKUP($B718,'Infant pick up smoking rates'!$A$19:$I$104,2)</f>
        <v>1.5201831243956284E-3</v>
      </c>
      <c r="Y718" s="309">
        <f t="shared" si="233"/>
        <v>0.99730799612469601</v>
      </c>
      <c r="Z718" s="309">
        <f>VLOOKUP($B718,'Infant adult mortality'!$A$27:$I$128,5)</f>
        <v>2.3729370205894224E-3</v>
      </c>
      <c r="AA718" s="309">
        <f t="shared" si="234"/>
        <v>0.25</v>
      </c>
      <c r="AB718" s="309">
        <f t="shared" si="235"/>
        <v>0.74762706297941062</v>
      </c>
      <c r="AC718" s="309">
        <f>VLOOKUP($B718,'Infant adult mortality'!$A$27:$I$128,5)</f>
        <v>2.3729370205894224E-3</v>
      </c>
      <c r="AD718" s="309">
        <f t="shared" si="236"/>
        <v>0.14000000000000001</v>
      </c>
      <c r="AE718" s="309">
        <f t="shared" si="237"/>
        <v>0.8576270629794106</v>
      </c>
      <c r="AF718" s="309">
        <f>VLOOKUP($B718,'Infant adult mortality'!$A$27:$I$128,4)</f>
        <v>1.4354804198627373E-3</v>
      </c>
      <c r="AG718" s="309">
        <f t="shared" si="238"/>
        <v>0.5714285714285714</v>
      </c>
      <c r="AH718" s="309">
        <f t="shared" si="239"/>
        <v>0.42713594815156586</v>
      </c>
      <c r="AI718" s="309">
        <f>VLOOKUP($B718,'Infant adult mortality'!$A$27:$I$128,4)</f>
        <v>1.4354804198627373E-3</v>
      </c>
      <c r="AJ718" s="309">
        <f t="shared" si="240"/>
        <v>8.6261668788331098E-3</v>
      </c>
      <c r="AK718" s="309">
        <f t="shared" si="241"/>
        <v>0.98993835270130415</v>
      </c>
      <c r="AL718" s="309"/>
      <c r="AM718" s="315">
        <f t="shared" si="278"/>
        <v>44.707525880519512</v>
      </c>
      <c r="AN718" s="316">
        <f t="shared" si="279"/>
        <v>12.446498913993198</v>
      </c>
      <c r="AO718" s="316">
        <f t="shared" si="280"/>
        <v>1.7932561700609542</v>
      </c>
      <c r="AP718" s="316">
        <f t="shared" si="281"/>
        <v>71.055595474613611</v>
      </c>
      <c r="AQ718" s="316">
        <f t="shared" si="282"/>
        <v>34.282084756193449</v>
      </c>
      <c r="AR718" s="316">
        <f t="shared" si="283"/>
        <v>136.56214622660971</v>
      </c>
      <c r="AS718" s="316">
        <f t="shared" si="284"/>
        <v>34.557022495848756</v>
      </c>
      <c r="AT718" s="316">
        <f t="shared" si="285"/>
        <v>4.8968395784795851</v>
      </c>
      <c r="AU718" s="316">
        <f t="shared" si="286"/>
        <v>100.82960116411729</v>
      </c>
      <c r="AV718" s="316">
        <f t="shared" si="287"/>
        <v>68.869429339563453</v>
      </c>
      <c r="AW718" s="317">
        <f t="shared" si="242"/>
        <v>509.99999999999955</v>
      </c>
      <c r="AX718" s="309"/>
      <c r="AY718" s="308">
        <f>VLOOKUP($B718,'Infant adult mortality'!$A$134:$I$234,3)</f>
        <v>8.9543802987484861E-4</v>
      </c>
      <c r="AZ718" s="309">
        <f t="shared" si="243"/>
        <v>0.27</v>
      </c>
      <c r="BA718" s="309">
        <f ca="1">VLOOKUP($B718,'Infant pick up smoking rates'!$A$19:$I$104,7)</f>
        <v>0</v>
      </c>
      <c r="BB718" s="309">
        <f t="shared" si="244"/>
        <v>2.0013255646516091E-2</v>
      </c>
      <c r="BC718" s="309">
        <f t="shared" ca="1" si="245"/>
        <v>0.70909130632360906</v>
      </c>
      <c r="BD718" s="309">
        <f>VLOOKUP($B718,'Infant adult mortality'!$A$134:$I$234,3)</f>
        <v>8.9543802987484861E-4</v>
      </c>
      <c r="BE718" s="309">
        <f t="shared" si="246"/>
        <v>0.14000000000000001</v>
      </c>
      <c r="BF718" s="309">
        <f>VLOOKUP($B718,'Infant pick up smoking rates'!$A$19:$I$104,6)</f>
        <v>0</v>
      </c>
      <c r="BG718" s="309">
        <f t="shared" si="247"/>
        <v>2.0013255646516091E-2</v>
      </c>
      <c r="BH718" s="309">
        <f t="shared" si="248"/>
        <v>0.83909130632360907</v>
      </c>
      <c r="BI718" s="309">
        <f>VLOOKUP($B718,'Infant adult mortality'!$A$134:$I$234,3)</f>
        <v>8.9543802987484861E-4</v>
      </c>
      <c r="BJ718" s="309">
        <f t="shared" si="249"/>
        <v>0.5714285714285714</v>
      </c>
      <c r="BK718" s="309">
        <f>VLOOKUP($B718,'Infant pick up smoking rates'!$A$19:$I$104,6)</f>
        <v>0</v>
      </c>
      <c r="BL718" s="309">
        <f t="shared" si="250"/>
        <v>1.4594572278072584E-2</v>
      </c>
      <c r="BM718" s="309">
        <f t="shared" si="251"/>
        <v>0.41308141826348116</v>
      </c>
      <c r="BN718" s="309">
        <f>VLOOKUP($B718,'Infant adult mortality'!$A$134:$I$234,3)</f>
        <v>8.9543802987484861E-4</v>
      </c>
      <c r="BO718" s="309">
        <f t="shared" si="252"/>
        <v>8.6261668788331098E-3</v>
      </c>
      <c r="BP718" s="309">
        <f>VLOOKUP($B718,'Infant pick up smoking rates'!$A$19:$I$104,6)</f>
        <v>0</v>
      </c>
      <c r="BQ718" s="309">
        <f t="shared" si="253"/>
        <v>1.4594572278072584E-2</v>
      </c>
      <c r="BR718" s="309">
        <f t="shared" si="254"/>
        <v>0.9758838228132195</v>
      </c>
      <c r="BS718" s="309">
        <f>VLOOKUP($B718,'Infant adult mortality'!$A$134:$I$234,3)</f>
        <v>8.9543802987484861E-4</v>
      </c>
      <c r="BT718" s="309">
        <f>VLOOKUP($B718,'Infant pick up smoking rates'!$A$19:$I$104,6)</f>
        <v>0</v>
      </c>
      <c r="BU718" s="309">
        <f t="shared" si="255"/>
        <v>0.9991045619701252</v>
      </c>
      <c r="BV718" s="309">
        <f>VLOOKUP($B718,'Infant adult mortality'!$A$134:$I$234,5)</f>
        <v>1.8132620104965684E-3</v>
      </c>
      <c r="BW718" s="309">
        <f t="shared" si="256"/>
        <v>0.27</v>
      </c>
      <c r="BX718" s="309">
        <f t="shared" si="257"/>
        <v>0.7281867379895034</v>
      </c>
      <c r="BY718" s="309">
        <f>VLOOKUP($B718,'Infant adult mortality'!$A$134:$I$234,5)</f>
        <v>1.8132620104965684E-3</v>
      </c>
      <c r="BZ718" s="309">
        <f t="shared" si="258"/>
        <v>0.14000000000000001</v>
      </c>
      <c r="CA718" s="309">
        <f t="shared" si="259"/>
        <v>0.8581867379895034</v>
      </c>
      <c r="CB718" s="309">
        <f>VLOOKUP($B718,'Infant adult mortality'!$A$134:$I$234,4)</f>
        <v>1.0969115865966895E-3</v>
      </c>
      <c r="CC718" s="309">
        <f t="shared" si="260"/>
        <v>0.5714285714285714</v>
      </c>
      <c r="CD718" s="309">
        <f t="shared" si="261"/>
        <v>0.42747451698483191</v>
      </c>
      <c r="CE718" s="309">
        <f>VLOOKUP($B718,'Infant adult mortality'!$A$134:$I$234,4)</f>
        <v>1.0969115865966895E-3</v>
      </c>
      <c r="CF718" s="309">
        <f t="shared" si="262"/>
        <v>8.6261668788331098E-3</v>
      </c>
      <c r="CG718" s="309">
        <f t="shared" si="263"/>
        <v>0.99027692153457025</v>
      </c>
      <c r="CH718" s="309"/>
      <c r="CI718" s="315">
        <f t="shared" ca="1" si="288"/>
        <v>59.531127505023726</v>
      </c>
      <c r="CJ718" s="316">
        <f t="shared" ca="1" si="289"/>
        <v>16.544553854745267</v>
      </c>
      <c r="CK718" s="316">
        <f t="shared" ca="1" si="290"/>
        <v>2.3795103269984619</v>
      </c>
      <c r="CL718" s="316">
        <f t="shared" ca="1" si="291"/>
        <v>93.122854553446516</v>
      </c>
      <c r="CM718" s="316">
        <f t="shared" ca="1" si="292"/>
        <v>45.528532290545151</v>
      </c>
      <c r="CN718" s="316">
        <f t="shared" ca="1" si="293"/>
        <v>101.90824286087621</v>
      </c>
      <c r="CO718" s="316">
        <f t="shared" ca="1" si="294"/>
        <v>27.900570600110946</v>
      </c>
      <c r="CP718" s="316">
        <f t="shared" ca="1" si="295"/>
        <v>3.9610078125399224</v>
      </c>
      <c r="CQ718" s="316">
        <f t="shared" ca="1" si="296"/>
        <v>78.460030752875397</v>
      </c>
      <c r="CR718" s="316">
        <f t="shared" ca="1" si="297"/>
        <v>60.663569442838593</v>
      </c>
      <c r="CS718" s="317">
        <f t="shared" ca="1" si="264"/>
        <v>490.00000000000023</v>
      </c>
      <c r="CT718" s="309"/>
      <c r="CU718" s="309">
        <f t="shared" ca="1" si="265"/>
        <v>999.99999999999977</v>
      </c>
      <c r="CV718" s="309" t="str">
        <f t="shared" ca="1" si="216"/>
        <v>OKAY</v>
      </c>
      <c r="CW718" s="309"/>
      <c r="CX718" s="315">
        <f>(SUM($AR718:$AS718))-((SUM($AR718:$AS718)*VLOOKUP($B718,Lifetime_morbidity_array!$A$30:$Y$48,4))+(SUM($AR718:$AS718)*VLOOKUP($B718,Lifetime_morbidity_array!$A$30:$Y$48,7))+(SUM($AR718:$AS718)*VLOOKUP($B718,Lifetime_morbidity_array!$A$30:$Y$48,10))+(SUM($AR718:$AS718)*VLOOKUP($B718,Lifetime_morbidity_array!$A$30:$Y$48,13)))</f>
        <v>149.15594648907026</v>
      </c>
      <c r="CY718" s="316">
        <f>(SUM($AT718:$AU718))-((SUM($AT718:$AU718)*(VLOOKUP($B718,Lifetime_morbidity_array!$A$30:$Y$48,3)))+(SUM($AT718:$AU718)*(VLOOKUP($B718,Lifetime_morbidity_array!$A$30:$Y$48,6)))+(SUM($AT718:$AU718)*(VLOOKUP($B718,Lifetime_morbidity_array!$A$30:$Y$48,9)))+(SUM($AT718:$AU718)*(VLOOKUP($B718,Lifetime_morbidity_array!$A$30:$Y$48,12))))</f>
        <v>99.412748452211858</v>
      </c>
      <c r="CZ718" s="316">
        <f>(SUM($AM718:$AQ718))-((SUM($AM718:$AQ718)*VLOOKUP($B718,Lifetime_morbidity_array!$A$30:$Y$48,2))+(SUM($AM718:$AQ718)*VLOOKUP($B718,Lifetime_morbidity_array!$A$30:$Y$48,5))+(SUM($AM718:$AQ718)*VLOOKUP($B718,Lifetime_morbidity_array!$A$30:$Y$48,8))+(SUM($AM718:$AQ718)*VLOOKUP($B718,Lifetime_morbidity_array!$A$30:$Y$48,11)))</f>
        <v>158.5475197271833</v>
      </c>
      <c r="DA718" s="316">
        <f>(SUM($AM718:$AQ718)*VLOOKUP($B718,Lifetime_morbidity_array!$A$30:$Y$48,2))+(SUM($AR718:$AS718)*VLOOKUP($B718,Lifetime_morbidity_array!$A$30:$Y$48,4))+(SUM($AT718:$AU718)*(VLOOKUP($B718,Lifetime_morbidity_array!$A$30:$Y$48,3)))</f>
        <v>20.730065886748648</v>
      </c>
      <c r="DB718" s="316">
        <f>(SUM($AM718:$AQ718)*VLOOKUP($B718,Lifetime_morbidity_array!$A$30:$Y$48,5))+(SUM($AR718:$AS718)*VLOOKUP($B718,Lifetime_morbidity_array!$A$30:$Y$48,7))+(SUM($AT718:$AU718)*(VLOOKUP($B718,Lifetime_morbidity_array!$A$30:$Y$48,6)))</f>
        <v>5.8581606228878131</v>
      </c>
      <c r="DC718" s="316">
        <f>(SUM($AM718:$AQ718)*VLOOKUP($B718,Lifetime_morbidity_array!$A$30:$Y$48,8))+(SUM($AR718:$AS718)*VLOOKUP($B718,Lifetime_morbidity_array!$A$30:$Y$48,10))+(SUM($AT718:$AU718)*(VLOOKUP($B718,Lifetime_morbidity_array!$A$30:$Y$48,9)))</f>
        <v>1.0554740587229599</v>
      </c>
      <c r="DD718" s="317">
        <f>(SUM($AM718:$AQ718)*VLOOKUP($B718,Lifetime_morbidity_array!$A$30:$Y$48,11))+(SUM($AR718:$AS718)*VLOOKUP($B718,Lifetime_morbidity_array!$A$30:$Y$48,13))+(SUM($AT718:$AU718)*(VLOOKUP($B718,Lifetime_morbidity_array!$A$30:$Y$48,12)))</f>
        <v>6.3706554236112538</v>
      </c>
      <c r="DE718" s="309"/>
      <c r="DF718" s="315">
        <f ca="1">(SUM($CN718:$CO718))-((SUM($CN718:$CO718)*VLOOKUP($B718,Lifetime_morbidity_array!$A$6:$Y$24,4))+(SUM($CN718:$CO718)*VLOOKUP($B718,Lifetime_morbidity_array!$A$6:$Y$24,7))+(SUM($CN718:$CO718)*VLOOKUP($B718,Lifetime_morbidity_array!$A$6:$Y$24,10))+(SUM($CN718:$CO718)*VLOOKUP($B718,Lifetime_morbidity_array!$A$6:$Y$24,13)))</f>
        <v>118.57067911179765</v>
      </c>
      <c r="DG718" s="316">
        <f ca="1">(SUM($CP718:$CQ718))-(((SUM($CP718:$CQ718)*VLOOKUP($B718,Lifetime_morbidity_array!$A$6:$Y$24,3))+(SUM($CP718:$CQ718)*VLOOKUP($B718,Lifetime_morbidity_array!$A$6:$Y$24,6))+(SUM($CP718:$CQ718)*VLOOKUP($B718,Lifetime_morbidity_array!$A$6:$Y$24,9))+(SUM($CP718:$CQ718)*VLOOKUP($B718,Lifetime_morbidity_array!$A$6:$Y$24,12))))</f>
        <v>79.778080508454181</v>
      </c>
      <c r="DH718" s="316">
        <f ca="1">(SUM($CI718:$CM718))-((SUM($CI718:$CM718)*VLOOKUP($B718,Lifetime_morbidity_array!$A$6:$Y$24,2))+(SUM($CI718:$CM718)*VLOOKUP($B718,Lifetime_morbidity_array!$A$6:$Y$24,5))+(SUM($CI718:$CM718)*VLOOKUP($B718,Lifetime_morbidity_array!$A$6:$Y$24,8))+(SUM($CI718:$CM718)*VLOOKUP($B718,Lifetime_morbidity_array!$A$6:$Y$24,11)))</f>
        <v>212.94250714972611</v>
      </c>
      <c r="DI718" s="316">
        <f ca="1">(SUM($CI718:$CM718)*VLOOKUP($B718,Lifetime_morbidity_array!$A$6:$Y$24,2))+(SUM($CN718:$CO718)*VLOOKUP($B718,Lifetime_morbidity_array!$A$6:$Y$24,4))+(SUM($CP718:$CQ718)*VLOOKUP($B718,Lifetime_morbidity_array!$A$6:$Y$24,3))</f>
        <v>6.9083248973281925</v>
      </c>
      <c r="DJ718" s="316">
        <f ca="1">(SUM($CI718:$CM718)*VLOOKUP($B718,Lifetime_morbidity_array!$A$6:$Y$24,5))+(SUM($CN718:$CO718)*VLOOKUP($B718,Lifetime_morbidity_array!$A$6:$Y$24,7))+(SUM($CP718:$CQ718)*VLOOKUP($B718,Lifetime_morbidity_array!$A$6:$Y$24,6))</f>
        <v>6.312029084723239</v>
      </c>
      <c r="DK718" s="316">
        <f ca="1">(SUM($CI718:$CM718)*VLOOKUP($B718,Lifetime_morbidity_array!$A$6:$Y$24,8))+(SUM($CN718:$CO718)*VLOOKUP($B718,Lifetime_morbidity_array!$A$6:$Y$24,10))+(SUM($CP718:$CQ718)*VLOOKUP($B718,Lifetime_morbidity_array!$A$6:$Y$24,9))</f>
        <v>0.41960654069638842</v>
      </c>
      <c r="DL718" s="317">
        <f ca="1">(SUM($CI718:$CM718)*VLOOKUP($B718,Lifetime_morbidity_array!$A$6:$Y$24,11))+(SUM($CN718:$CO718)*VLOOKUP($B718,Lifetime_morbidity_array!$A$6:$Y$24,13))+(SUM($CP718:$CQ718)*VLOOKUP($B718,Lifetime_morbidity_array!$A$6:$Y$24,12))</f>
        <v>4.4052032644357926</v>
      </c>
      <c r="DM718" s="309"/>
      <c r="DN718" s="308">
        <f t="shared" si="266"/>
        <v>52</v>
      </c>
      <c r="DO718" s="309">
        <f t="shared" ca="1" si="267"/>
        <v>145.49702815328473</v>
      </c>
      <c r="DP718" s="310">
        <f t="shared" ca="1" si="298"/>
        <v>21128.140332387044</v>
      </c>
      <c r="DQ718" s="309"/>
      <c r="DR718" s="308">
        <f t="shared" si="268"/>
        <v>52</v>
      </c>
      <c r="DS718" s="309">
        <f ca="1">((VLOOKUP($B718,'Mahawesran Tariff'!$A$21:$M$120,4)*'Experimental (DET)'!$CX718)+(VLOOKUP($B718,'Mahawesran Tariff'!$A$21:$M$120,3)*'Experimental (DET)'!$CY718)+(VLOOKUP($B718,'Mahawesran Tariff'!$A$21:$M$120,2)*'Experimental (DET)'!$CZ718)+(VLOOKUP($B718,'Mahawesran Tariff'!$A$21:$M$120,7)*'Experimental (DET)'!$DF718)+(VLOOKUP($B718,'Mahawesran Tariff'!$A$21:$M$120,6)*'Experimental (DET)'!$DG718)+(VLOOKUP($B718,'Mahawesran Tariff'!$A$21:$M$120,5)*'Experimental (DET)'!$DH718)+(DET_UTIL_chd*('Experimental (DET)'!$DA718+'Experimental (DET)'!$DI718))+(DET_UTIL_copd*('Experimental (DET)'!$DB718+'Experimental (DET)'!$DJ718))+(DET_UTIL_lc*('Experimental (DET)'!$DC718+'Experimental (DET)'!$DK718))+(DET_UTIL_stroke*('Experimental (DET)'!$DD718+'Experimental (DET)'!$DL718)))/((1+Discount_rate_QALYs)^$A718)</f>
        <v>136.54266448953666</v>
      </c>
      <c r="DT718" s="310">
        <f t="shared" ca="1" si="299"/>
        <v>20989.468378132126</v>
      </c>
      <c r="DU718" s="309"/>
      <c r="DV718" s="308">
        <f t="shared" si="269"/>
        <v>52</v>
      </c>
      <c r="DW718" s="318">
        <f t="shared" ca="1" si="270"/>
        <v>51696.04819689232</v>
      </c>
      <c r="DX718" s="319">
        <f t="shared" ca="1" si="300"/>
        <v>6337772.7406934919</v>
      </c>
      <c r="DZ718" s="95">
        <f t="shared" si="271"/>
        <v>52</v>
      </c>
      <c r="EA718" s="268">
        <f t="shared" ca="1" si="304"/>
        <v>0.87046700121759768</v>
      </c>
      <c r="EB718" s="268">
        <f t="shared" ca="1" si="218"/>
        <v>0.12953299878240204</v>
      </c>
      <c r="EC718" s="268">
        <f t="shared" ca="1" si="219"/>
        <v>5.2059519779154288E-2</v>
      </c>
      <c r="ED718" s="290">
        <f t="shared" ca="1" si="220"/>
        <v>0.48907546149145781</v>
      </c>
      <c r="EF718" s="95">
        <f t="shared" si="272"/>
        <v>52</v>
      </c>
      <c r="EG718" s="339">
        <f t="shared" ca="1" si="273"/>
        <v>51696.04819689232</v>
      </c>
      <c r="EH718" s="341">
        <f t="shared" ca="1" si="301"/>
        <v>9439788.4646570403</v>
      </c>
      <c r="EJ718" s="308">
        <f t="shared" si="274"/>
        <v>52</v>
      </c>
      <c r="EK718" s="318">
        <f t="shared" ca="1" si="275"/>
        <v>51696.04819689232</v>
      </c>
      <c r="EL718" s="319">
        <f t="shared" ca="1" si="302"/>
        <v>6334732.740693491</v>
      </c>
      <c r="EN718" s="95">
        <f t="shared" si="276"/>
        <v>52</v>
      </c>
      <c r="EO718" s="339">
        <f t="shared" ca="1" si="277"/>
        <v>51696.04819689232</v>
      </c>
      <c r="EP718" s="341">
        <f t="shared" ca="1" si="303"/>
        <v>9439788.4646570403</v>
      </c>
    </row>
    <row r="719" spans="1:146" s="266" customFormat="1" x14ac:dyDescent="0.25">
      <c r="A719" s="313">
        <v>53</v>
      </c>
      <c r="B719" s="314">
        <v>53</v>
      </c>
      <c r="C719" s="308">
        <f>VLOOKUP($B719,'Infant adult mortality'!$A$27:$I$128,3)</f>
        <v>1.2845377472749295E-3</v>
      </c>
      <c r="D719" s="309">
        <f t="shared" si="221"/>
        <v>0.27</v>
      </c>
      <c r="E719" s="309">
        <f>VLOOKUP($B719,'Infant pick up smoking rates'!$A$19:$I$104,3)</f>
        <v>1.5201831243956284E-3</v>
      </c>
      <c r="F719" s="309">
        <f t="shared" si="222"/>
        <v>2.2115391589557606E-2</v>
      </c>
      <c r="G719" s="309">
        <f t="shared" si="223"/>
        <v>0.70507988753877193</v>
      </c>
      <c r="H719" s="309">
        <f>VLOOKUP($B719,'Infant adult mortality'!$A$27:$I$128,3)</f>
        <v>1.2845377472749295E-3</v>
      </c>
      <c r="I719" s="309">
        <f t="shared" si="224"/>
        <v>0.14000000000000001</v>
      </c>
      <c r="J719" s="309">
        <f>VLOOKUP($B719,'Infant pick up smoking rates'!$A$19:$I$104,2)</f>
        <v>1.5201831243956284E-3</v>
      </c>
      <c r="K719" s="309">
        <f t="shared" si="225"/>
        <v>2.2115391589557606E-2</v>
      </c>
      <c r="L719" s="309">
        <f t="shared" si="226"/>
        <v>0.83507988753877194</v>
      </c>
      <c r="M719" s="309">
        <f>VLOOKUP($B719,'Infant adult mortality'!$A$27:$I$128,3)</f>
        <v>1.2845377472749295E-3</v>
      </c>
      <c r="N719" s="309">
        <f t="shared" si="227"/>
        <v>0.5714285714285714</v>
      </c>
      <c r="O719" s="309">
        <f>VLOOKUP($B719,'Infant pick up smoking rates'!$A$19:$I$104,2)</f>
        <v>1.5201831243956284E-3</v>
      </c>
      <c r="P719" s="309">
        <f t="shared" si="228"/>
        <v>1.6127544998800029E-2</v>
      </c>
      <c r="Q719" s="309">
        <f t="shared" si="229"/>
        <v>0.40963916270095807</v>
      </c>
      <c r="R719" s="309">
        <f>VLOOKUP($B719,'Infant adult mortality'!$A$27:$I$128,3)</f>
        <v>1.2845377472749295E-3</v>
      </c>
      <c r="S719" s="309">
        <f t="shared" si="230"/>
        <v>8.6261668788331098E-3</v>
      </c>
      <c r="T719" s="309">
        <f>VLOOKUP($B719,'Infant pick up smoking rates'!$A$19:$I$104,2)</f>
        <v>1.5201831243956284E-3</v>
      </c>
      <c r="U719" s="309">
        <f t="shared" si="231"/>
        <v>1.6127544998800029E-2</v>
      </c>
      <c r="V719" s="309">
        <f t="shared" si="232"/>
        <v>0.97244156725069641</v>
      </c>
      <c r="W719" s="309">
        <f>VLOOKUP($B719,'Infant adult mortality'!$A$27:$I$128,3)</f>
        <v>1.2845377472749295E-3</v>
      </c>
      <c r="X719" s="309">
        <f>VLOOKUP($B719,'Infant pick up smoking rates'!$A$19:$I$104,2)</f>
        <v>1.5201831243956284E-3</v>
      </c>
      <c r="Y719" s="309">
        <f t="shared" si="233"/>
        <v>0.9971952791283295</v>
      </c>
      <c r="Z719" s="309">
        <f>VLOOKUP($B719,'Infant adult mortality'!$A$27:$I$128,5)</f>
        <v>2.6011889382317323E-3</v>
      </c>
      <c r="AA719" s="309">
        <f t="shared" si="234"/>
        <v>0.25</v>
      </c>
      <c r="AB719" s="309">
        <f t="shared" si="235"/>
        <v>0.74739881106176831</v>
      </c>
      <c r="AC719" s="309">
        <f>VLOOKUP($B719,'Infant adult mortality'!$A$27:$I$128,5)</f>
        <v>2.6011889382317323E-3</v>
      </c>
      <c r="AD719" s="309">
        <f t="shared" si="236"/>
        <v>0.14000000000000001</v>
      </c>
      <c r="AE719" s="309">
        <f t="shared" si="237"/>
        <v>0.8573988110617683</v>
      </c>
      <c r="AF719" s="309">
        <f>VLOOKUP($B719,'Infant adult mortality'!$A$27:$I$128,4)</f>
        <v>1.5735587404117888E-3</v>
      </c>
      <c r="AG719" s="309">
        <f t="shared" si="238"/>
        <v>0.5714285714285714</v>
      </c>
      <c r="AH719" s="309">
        <f t="shared" si="239"/>
        <v>0.42699786983101684</v>
      </c>
      <c r="AI719" s="309">
        <f>VLOOKUP($B719,'Infant adult mortality'!$A$27:$I$128,4)</f>
        <v>1.5735587404117888E-3</v>
      </c>
      <c r="AJ719" s="309">
        <f t="shared" si="240"/>
        <v>8.6261668788331098E-3</v>
      </c>
      <c r="AK719" s="309">
        <f t="shared" si="241"/>
        <v>0.98980027438075513</v>
      </c>
      <c r="AL719" s="309"/>
      <c r="AM719" s="315">
        <f t="shared" si="278"/>
        <v>43.263723613573298</v>
      </c>
      <c r="AN719" s="316">
        <f t="shared" si="279"/>
        <v>12.07103198774027</v>
      </c>
      <c r="AO719" s="316">
        <f t="shared" si="280"/>
        <v>1.7425098479590477</v>
      </c>
      <c r="AP719" s="316">
        <f t="shared" si="281"/>
        <v>70.122132436728151</v>
      </c>
      <c r="AQ719" s="316">
        <f t="shared" si="282"/>
        <v>36.624789849813709</v>
      </c>
      <c r="AR719" s="316">
        <f t="shared" si="283"/>
        <v>134.90599198807101</v>
      </c>
      <c r="AS719" s="316">
        <f t="shared" si="284"/>
        <v>34.140536556652428</v>
      </c>
      <c r="AT719" s="316">
        <f t="shared" si="285"/>
        <v>4.8379831494188261</v>
      </c>
      <c r="AU719" s="316">
        <f t="shared" si="286"/>
        <v>102.59936094279088</v>
      </c>
      <c r="AV719" s="316">
        <f t="shared" si="287"/>
        <v>69.691939627251941</v>
      </c>
      <c r="AW719" s="317">
        <f t="shared" si="242"/>
        <v>509.9999999999996</v>
      </c>
      <c r="AX719" s="309"/>
      <c r="AY719" s="308">
        <f>VLOOKUP($B719,'Infant adult mortality'!$A$134:$I$234,3)</f>
        <v>9.7868389180460233E-4</v>
      </c>
      <c r="AZ719" s="309">
        <f t="shared" si="243"/>
        <v>0.27</v>
      </c>
      <c r="BA719" s="309">
        <f ca="1">VLOOKUP($B719,'Infant pick up smoking rates'!$A$19:$I$104,7)</f>
        <v>0</v>
      </c>
      <c r="BB719" s="309">
        <f t="shared" si="244"/>
        <v>2.2115391589557606E-2</v>
      </c>
      <c r="BC719" s="309">
        <f t="shared" ca="1" si="245"/>
        <v>0.70690592451863787</v>
      </c>
      <c r="BD719" s="309">
        <f>VLOOKUP($B719,'Infant adult mortality'!$A$134:$I$234,3)</f>
        <v>9.7868389180460233E-4</v>
      </c>
      <c r="BE719" s="309">
        <f t="shared" si="246"/>
        <v>0.14000000000000001</v>
      </c>
      <c r="BF719" s="309">
        <f>VLOOKUP($B719,'Infant pick up smoking rates'!$A$19:$I$104,6)</f>
        <v>0</v>
      </c>
      <c r="BG719" s="309">
        <f t="shared" si="247"/>
        <v>2.2115391589557606E-2</v>
      </c>
      <c r="BH719" s="309">
        <f t="shared" si="248"/>
        <v>0.83690592451863788</v>
      </c>
      <c r="BI719" s="309">
        <f>VLOOKUP($B719,'Infant adult mortality'!$A$134:$I$234,3)</f>
        <v>9.7868389180460233E-4</v>
      </c>
      <c r="BJ719" s="309">
        <f t="shared" si="249"/>
        <v>0.5714285714285714</v>
      </c>
      <c r="BK719" s="309">
        <f>VLOOKUP($B719,'Infant pick up smoking rates'!$A$19:$I$104,6)</f>
        <v>0</v>
      </c>
      <c r="BL719" s="309">
        <f t="shared" si="250"/>
        <v>1.6127544998800029E-2</v>
      </c>
      <c r="BM719" s="309">
        <f t="shared" si="251"/>
        <v>0.41146519968082401</v>
      </c>
      <c r="BN719" s="309">
        <f>VLOOKUP($B719,'Infant adult mortality'!$A$134:$I$234,3)</f>
        <v>9.7868389180460233E-4</v>
      </c>
      <c r="BO719" s="309">
        <f t="shared" si="252"/>
        <v>8.6261668788331098E-3</v>
      </c>
      <c r="BP719" s="309">
        <f>VLOOKUP($B719,'Infant pick up smoking rates'!$A$19:$I$104,6)</f>
        <v>0</v>
      </c>
      <c r="BQ719" s="309">
        <f t="shared" si="253"/>
        <v>1.6127544998800029E-2</v>
      </c>
      <c r="BR719" s="309">
        <f t="shared" si="254"/>
        <v>0.97426760423056236</v>
      </c>
      <c r="BS719" s="309">
        <f>VLOOKUP($B719,'Infant adult mortality'!$A$134:$I$234,3)</f>
        <v>9.7868389180460233E-4</v>
      </c>
      <c r="BT719" s="309">
        <f>VLOOKUP($B719,'Infant pick up smoking rates'!$A$19:$I$104,6)</f>
        <v>0</v>
      </c>
      <c r="BU719" s="309">
        <f t="shared" si="255"/>
        <v>0.99902131610819545</v>
      </c>
      <c r="BV719" s="309">
        <f>VLOOKUP($B719,'Infant adult mortality'!$A$134:$I$234,5)</f>
        <v>1.9818348809043196E-3</v>
      </c>
      <c r="BW719" s="309">
        <f t="shared" si="256"/>
        <v>0.27</v>
      </c>
      <c r="BX719" s="309">
        <f t="shared" si="257"/>
        <v>0.72801816511909567</v>
      </c>
      <c r="BY719" s="309">
        <f>VLOOKUP($B719,'Infant adult mortality'!$A$134:$I$234,5)</f>
        <v>1.9818348809043196E-3</v>
      </c>
      <c r="BZ719" s="309">
        <f t="shared" si="258"/>
        <v>0.14000000000000001</v>
      </c>
      <c r="CA719" s="309">
        <f t="shared" si="259"/>
        <v>0.85801816511909568</v>
      </c>
      <c r="CB719" s="309">
        <f>VLOOKUP($B719,'Infant adult mortality'!$A$134:$I$234,4)</f>
        <v>1.1988877674606378E-3</v>
      </c>
      <c r="CC719" s="309">
        <f t="shared" si="260"/>
        <v>0.5714285714285714</v>
      </c>
      <c r="CD719" s="309">
        <f t="shared" si="261"/>
        <v>0.42737254080396797</v>
      </c>
      <c r="CE719" s="309">
        <f>VLOOKUP($B719,'Infant adult mortality'!$A$134:$I$234,4)</f>
        <v>1.1988877674606378E-3</v>
      </c>
      <c r="CF719" s="309">
        <f t="shared" si="262"/>
        <v>8.6261668788331098E-3</v>
      </c>
      <c r="CG719" s="309">
        <f t="shared" si="263"/>
        <v>0.9901749453537062</v>
      </c>
      <c r="CH719" s="309"/>
      <c r="CI719" s="315">
        <f t="shared" ca="1" si="288"/>
        <v>57.711520841582029</v>
      </c>
      <c r="CJ719" s="316">
        <f t="shared" ca="1" si="289"/>
        <v>16.073404426356408</v>
      </c>
      <c r="CK719" s="316">
        <f t="shared" ca="1" si="290"/>
        <v>2.3162375396643378</v>
      </c>
      <c r="CL719" s="316">
        <f t="shared" ca="1" si="291"/>
        <v>92.086300591753712</v>
      </c>
      <c r="CM719" s="316">
        <f t="shared" ca="1" si="292"/>
        <v>48.706636420189781</v>
      </c>
      <c r="CN719" s="316">
        <f t="shared" ca="1" si="293"/>
        <v>100.49988366175148</v>
      </c>
      <c r="CO719" s="316">
        <f t="shared" ca="1" si="294"/>
        <v>27.515225572436581</v>
      </c>
      <c r="CP719" s="316">
        <f t="shared" ca="1" si="295"/>
        <v>3.9060798840155329</v>
      </c>
      <c r="CQ719" s="316">
        <f t="shared" ca="1" si="296"/>
        <v>79.952589698915602</v>
      </c>
      <c r="CR719" s="316">
        <f t="shared" ca="1" si="297"/>
        <v>61.23212136333472</v>
      </c>
      <c r="CS719" s="317">
        <f t="shared" ca="1" si="264"/>
        <v>490.00000000000023</v>
      </c>
      <c r="CT719" s="309"/>
      <c r="CU719" s="309">
        <f t="shared" ca="1" si="265"/>
        <v>999.99999999999977</v>
      </c>
      <c r="CV719" s="309" t="str">
        <f t="shared" ca="1" si="216"/>
        <v>OKAY</v>
      </c>
      <c r="CW719" s="309"/>
      <c r="CX719" s="315">
        <f>(SUM($AR719:$AS719))-((SUM($AR719:$AS719)*VLOOKUP($B719,Lifetime_morbidity_array!$A$30:$Y$48,4))+(SUM($AR719:$AS719)*VLOOKUP($B719,Lifetime_morbidity_array!$A$30:$Y$48,7))+(SUM($AR719:$AS719)*VLOOKUP($B719,Lifetime_morbidity_array!$A$30:$Y$48,10))+(SUM($AR719:$AS719)*VLOOKUP($B719,Lifetime_morbidity_array!$A$30:$Y$48,13)))</f>
        <v>147.3493306099179</v>
      </c>
      <c r="CY719" s="316">
        <f>(SUM($AT719:$AU719))-((SUM($AT719:$AU719)*(VLOOKUP($B719,Lifetime_morbidity_array!$A$30:$Y$48,3)))+(SUM($AT719:$AU719)*(VLOOKUP($B719,Lifetime_morbidity_array!$A$30:$Y$48,6)))+(SUM($AT719:$AU719)*(VLOOKUP($B719,Lifetime_morbidity_array!$A$30:$Y$48,9)))+(SUM($AT719:$AU719)*(VLOOKUP($B719,Lifetime_morbidity_array!$A$30:$Y$48,12))))</f>
        <v>101.0214813588194</v>
      </c>
      <c r="CZ719" s="316">
        <f>(SUM($AM719:$AQ719))-((SUM($AM719:$AQ719)*VLOOKUP($B719,Lifetime_morbidity_array!$A$30:$Y$48,2))+(SUM($AM719:$AQ719)*VLOOKUP($B719,Lifetime_morbidity_array!$A$30:$Y$48,5))+(SUM($AM719:$AQ719)*VLOOKUP($B719,Lifetime_morbidity_array!$A$30:$Y$48,8))+(SUM($AM719:$AQ719)*VLOOKUP($B719,Lifetime_morbidity_array!$A$30:$Y$48,11)))</f>
        <v>158.10283818945285</v>
      </c>
      <c r="DA719" s="316">
        <f>(SUM($AM719:$AQ719)*VLOOKUP($B719,Lifetime_morbidity_array!$A$30:$Y$48,2))+(SUM($AR719:$AS719)*VLOOKUP($B719,Lifetime_morbidity_array!$A$30:$Y$48,4))+(SUM($AT719:$AU719)*(VLOOKUP($B719,Lifetime_morbidity_array!$A$30:$Y$48,3)))</f>
        <v>20.621076730909405</v>
      </c>
      <c r="DB719" s="316">
        <f>(SUM($AM719:$AQ719)*VLOOKUP($B719,Lifetime_morbidity_array!$A$30:$Y$48,5))+(SUM($AR719:$AS719)*VLOOKUP($B719,Lifetime_morbidity_array!$A$30:$Y$48,7))+(SUM($AT719:$AU719)*(VLOOKUP($B719,Lifetime_morbidity_array!$A$30:$Y$48,6)))</f>
        <v>5.8283274007732215</v>
      </c>
      <c r="DC719" s="316">
        <f>(SUM($AM719:$AQ719)*VLOOKUP($B719,Lifetime_morbidity_array!$A$30:$Y$48,8))+(SUM($AR719:$AS719)*VLOOKUP($B719,Lifetime_morbidity_array!$A$30:$Y$48,10))+(SUM($AT719:$AU719)*(VLOOKUP($B719,Lifetime_morbidity_array!$A$30:$Y$48,9)))</f>
        <v>1.0477218617241357</v>
      </c>
      <c r="DD719" s="317">
        <f>(SUM($AM719:$AQ719)*VLOOKUP($B719,Lifetime_morbidity_array!$A$30:$Y$48,11))+(SUM($AR719:$AS719)*VLOOKUP($B719,Lifetime_morbidity_array!$A$30:$Y$48,13))+(SUM($AT719:$AU719)*(VLOOKUP($B719,Lifetime_morbidity_array!$A$30:$Y$48,12)))</f>
        <v>6.3372842211506821</v>
      </c>
      <c r="DE719" s="309"/>
      <c r="DF719" s="315">
        <f ca="1">(SUM($CN719:$CO719))-((SUM($CN719:$CO719)*VLOOKUP($B719,Lifetime_morbidity_array!$A$6:$Y$24,4))+(SUM($CN719:$CO719)*VLOOKUP($B719,Lifetime_morbidity_array!$A$6:$Y$24,7))+(SUM($CN719:$CO719)*VLOOKUP($B719,Lifetime_morbidity_array!$A$6:$Y$24,10))+(SUM($CN719:$CO719)*VLOOKUP($B719,Lifetime_morbidity_array!$A$6:$Y$24,13)))</f>
        <v>116.93226394855304</v>
      </c>
      <c r="DG719" s="316">
        <f ca="1">(SUM($CP719:$CQ719))-(((SUM($CP719:$CQ719)*VLOOKUP($B719,Lifetime_morbidity_array!$A$6:$Y$24,3))+(SUM($CP719:$CQ719)*VLOOKUP($B719,Lifetime_morbidity_array!$A$6:$Y$24,6))+(SUM($CP719:$CQ719)*VLOOKUP($B719,Lifetime_morbidity_array!$A$6:$Y$24,9))+(SUM($CP719:$CQ719)*VLOOKUP($B719,Lifetime_morbidity_array!$A$6:$Y$24,12))))</f>
        <v>81.169611664250041</v>
      </c>
      <c r="DH719" s="316">
        <f ca="1">(SUM($CI719:$CM719))-((SUM($CI719:$CM719)*VLOOKUP($B719,Lifetime_morbidity_array!$A$6:$Y$24,2))+(SUM($CI719:$CM719)*VLOOKUP($B719,Lifetime_morbidity_array!$A$6:$Y$24,5))+(SUM($CI719:$CM719)*VLOOKUP($B719,Lifetime_morbidity_array!$A$6:$Y$24,8))+(SUM($CI719:$CM719)*VLOOKUP($B719,Lifetime_morbidity_array!$A$6:$Y$24,11)))</f>
        <v>212.73410374809825</v>
      </c>
      <c r="DI719" s="316">
        <f ca="1">(SUM($CI719:$CM719)*VLOOKUP($B719,Lifetime_morbidity_array!$A$6:$Y$24,2))+(SUM($CN719:$CO719)*VLOOKUP($B719,Lifetime_morbidity_array!$A$6:$Y$24,4))+(SUM($CP719:$CQ719)*VLOOKUP($B719,Lifetime_morbidity_array!$A$6:$Y$24,3))</f>
        <v>6.8691499797222946</v>
      </c>
      <c r="DJ719" s="316">
        <f ca="1">(SUM($CI719:$CM719)*VLOOKUP($B719,Lifetime_morbidity_array!$A$6:$Y$24,5))+(SUM($CN719:$CO719)*VLOOKUP($B719,Lifetime_morbidity_array!$A$6:$Y$24,7))+(SUM($CP719:$CQ719)*VLOOKUP($B719,Lifetime_morbidity_array!$A$6:$Y$24,6))</f>
        <v>6.2644034273821649</v>
      </c>
      <c r="DK719" s="316">
        <f ca="1">(SUM($CI719:$CM719)*VLOOKUP($B719,Lifetime_morbidity_array!$A$6:$Y$24,8))+(SUM($CN719:$CO719)*VLOOKUP($B719,Lifetime_morbidity_array!$A$6:$Y$24,10))+(SUM($CP719:$CQ719)*VLOOKUP($B719,Lifetime_morbidity_array!$A$6:$Y$24,9))</f>
        <v>0.41567028924563393</v>
      </c>
      <c r="DL719" s="317">
        <f ca="1">(SUM($CI719:$CM719)*VLOOKUP($B719,Lifetime_morbidity_array!$A$6:$Y$24,11))+(SUM($CN719:$CO719)*VLOOKUP($B719,Lifetime_morbidity_array!$A$6:$Y$24,13))+(SUM($CP719:$CQ719)*VLOOKUP($B719,Lifetime_morbidity_array!$A$6:$Y$24,12))</f>
        <v>4.3826755794140331</v>
      </c>
      <c r="DM719" s="309"/>
      <c r="DN719" s="308">
        <f t="shared" si="266"/>
        <v>53</v>
      </c>
      <c r="DO719" s="309">
        <f t="shared" ca="1" si="267"/>
        <v>140.35218797293069</v>
      </c>
      <c r="DP719" s="310">
        <f t="shared" ca="1" si="298"/>
        <v>21268.492520359974</v>
      </c>
      <c r="DQ719" s="309"/>
      <c r="DR719" s="308">
        <f t="shared" si="268"/>
        <v>53</v>
      </c>
      <c r="DS719" s="309">
        <f ca="1">((VLOOKUP($B719,'Mahawesran Tariff'!$A$21:$M$120,4)*'Experimental (DET)'!$CX719)+(VLOOKUP($B719,'Mahawesran Tariff'!$A$21:$M$120,3)*'Experimental (DET)'!$CY719)+(VLOOKUP($B719,'Mahawesran Tariff'!$A$21:$M$120,2)*'Experimental (DET)'!$CZ719)+(VLOOKUP($B719,'Mahawesran Tariff'!$A$21:$M$120,7)*'Experimental (DET)'!$DF719)+(VLOOKUP($B719,'Mahawesran Tariff'!$A$21:$M$120,6)*'Experimental (DET)'!$DG719)+(VLOOKUP($B719,'Mahawesran Tariff'!$A$21:$M$120,5)*'Experimental (DET)'!$DH719)+(DET_UTIL_chd*('Experimental (DET)'!$DA719+'Experimental (DET)'!$DI719))+(DET_UTIL_copd*('Experimental (DET)'!$DB719+'Experimental (DET)'!$DJ719))+(DET_UTIL_lc*('Experimental (DET)'!$DC719+'Experimental (DET)'!$DK719))+(DET_UTIL_stroke*('Experimental (DET)'!$DD719+'Experimental (DET)'!$DL719)))/((1+Discount_rate_QALYs)^$A719)</f>
        <v>131.72964195668743</v>
      </c>
      <c r="DT719" s="310">
        <f t="shared" ca="1" si="299"/>
        <v>21121.198020088814</v>
      </c>
      <c r="DU719" s="309"/>
      <c r="DV719" s="308">
        <f t="shared" si="269"/>
        <v>53</v>
      </c>
      <c r="DW719" s="318">
        <f t="shared" ca="1" si="270"/>
        <v>49679.16838205776</v>
      </c>
      <c r="DX719" s="319">
        <f t="shared" ca="1" si="300"/>
        <v>6387451.9090755498</v>
      </c>
      <c r="DZ719" s="95">
        <f t="shared" si="271"/>
        <v>53</v>
      </c>
      <c r="EA719" s="268">
        <f t="shared" ca="1" si="304"/>
        <v>0.86907593900941316</v>
      </c>
      <c r="EB719" s="268">
        <f t="shared" ca="1" si="218"/>
        <v>0.13092406099058668</v>
      </c>
      <c r="EC719" s="268">
        <f t="shared" ca="1" si="219"/>
        <v>5.1766309490321578E-2</v>
      </c>
      <c r="ED719" s="290">
        <f t="shared" ca="1" si="220"/>
        <v>0.4883576514540523</v>
      </c>
      <c r="EF719" s="95">
        <f t="shared" si="272"/>
        <v>53</v>
      </c>
      <c r="EG719" s="339">
        <f t="shared" ca="1" si="273"/>
        <v>49679.16838205776</v>
      </c>
      <c r="EH719" s="341">
        <f t="shared" ca="1" si="301"/>
        <v>9489467.6330390982</v>
      </c>
      <c r="EJ719" s="308">
        <f t="shared" si="274"/>
        <v>53</v>
      </c>
      <c r="EK719" s="318">
        <f t="shared" ca="1" si="275"/>
        <v>49679.16838205776</v>
      </c>
      <c r="EL719" s="319">
        <f t="shared" ca="1" si="302"/>
        <v>6384411.9090755489</v>
      </c>
      <c r="EN719" s="95">
        <f t="shared" si="276"/>
        <v>53</v>
      </c>
      <c r="EO719" s="339">
        <f t="shared" ca="1" si="277"/>
        <v>49679.16838205776</v>
      </c>
      <c r="EP719" s="341">
        <f t="shared" ca="1" si="303"/>
        <v>9489467.6330390982</v>
      </c>
    </row>
    <row r="720" spans="1:146" s="266" customFormat="1" x14ac:dyDescent="0.25">
      <c r="A720" s="313">
        <v>54</v>
      </c>
      <c r="B720" s="314">
        <v>54</v>
      </c>
      <c r="C720" s="308">
        <f>VLOOKUP($B720,'Infant adult mortality'!$A$27:$I$128,3)</f>
        <v>1.4209931368591039E-3</v>
      </c>
      <c r="D720" s="309">
        <f t="shared" si="221"/>
        <v>0.27</v>
      </c>
      <c r="E720" s="309">
        <f>VLOOKUP($B720,'Infant pick up smoking rates'!$A$19:$I$104,3)</f>
        <v>1.5201831243956284E-3</v>
      </c>
      <c r="F720" s="309">
        <f t="shared" si="222"/>
        <v>2.4461462361003702E-2</v>
      </c>
      <c r="G720" s="309">
        <f t="shared" si="223"/>
        <v>0.70259736137774165</v>
      </c>
      <c r="H720" s="309">
        <f>VLOOKUP($B720,'Infant adult mortality'!$A$27:$I$128,3)</f>
        <v>1.4209931368591039E-3</v>
      </c>
      <c r="I720" s="309">
        <f t="shared" si="224"/>
        <v>0.14000000000000001</v>
      </c>
      <c r="J720" s="309">
        <f>VLOOKUP($B720,'Infant pick up smoking rates'!$A$19:$I$104,2)</f>
        <v>1.5201831243956284E-3</v>
      </c>
      <c r="K720" s="309">
        <f t="shared" si="225"/>
        <v>2.4461462361003702E-2</v>
      </c>
      <c r="L720" s="309">
        <f t="shared" si="226"/>
        <v>0.83259736137774165</v>
      </c>
      <c r="M720" s="309">
        <f>VLOOKUP($B720,'Infant adult mortality'!$A$27:$I$128,3)</f>
        <v>1.4209931368591039E-3</v>
      </c>
      <c r="N720" s="309">
        <f t="shared" si="227"/>
        <v>0.5714285714285714</v>
      </c>
      <c r="O720" s="309">
        <f>VLOOKUP($B720,'Infant pick up smoking rates'!$A$19:$I$104,2)</f>
        <v>1.5201831243956284E-3</v>
      </c>
      <c r="P720" s="309">
        <f t="shared" si="228"/>
        <v>1.7838406042505531E-2</v>
      </c>
      <c r="Q720" s="309">
        <f t="shared" si="229"/>
        <v>0.40779184626766835</v>
      </c>
      <c r="R720" s="309">
        <f>VLOOKUP($B720,'Infant adult mortality'!$A$27:$I$128,3)</f>
        <v>1.4209931368591039E-3</v>
      </c>
      <c r="S720" s="309">
        <f t="shared" si="230"/>
        <v>8.6261668788331098E-3</v>
      </c>
      <c r="T720" s="309">
        <f>VLOOKUP($B720,'Infant pick up smoking rates'!$A$19:$I$104,2)</f>
        <v>1.5201831243956284E-3</v>
      </c>
      <c r="U720" s="309">
        <f t="shared" si="231"/>
        <v>1.7838406042505531E-2</v>
      </c>
      <c r="V720" s="309">
        <f t="shared" si="232"/>
        <v>0.97059425081740669</v>
      </c>
      <c r="W720" s="309">
        <f>VLOOKUP($B720,'Infant adult mortality'!$A$27:$I$128,3)</f>
        <v>1.4209931368591039E-3</v>
      </c>
      <c r="X720" s="309">
        <f>VLOOKUP($B720,'Infant pick up smoking rates'!$A$19:$I$104,2)</f>
        <v>1.5201831243956284E-3</v>
      </c>
      <c r="Y720" s="309">
        <f t="shared" si="233"/>
        <v>0.99705882373874533</v>
      </c>
      <c r="Z720" s="309">
        <f>VLOOKUP($B720,'Infant adult mortality'!$A$27:$I$128,5)</f>
        <v>2.8775111021396853E-3</v>
      </c>
      <c r="AA720" s="309">
        <f t="shared" si="234"/>
        <v>0.25</v>
      </c>
      <c r="AB720" s="309">
        <f t="shared" si="235"/>
        <v>0.74712248889786026</v>
      </c>
      <c r="AC720" s="309">
        <f>VLOOKUP($B720,'Infant adult mortality'!$A$27:$I$128,5)</f>
        <v>2.8775111021396853E-3</v>
      </c>
      <c r="AD720" s="309">
        <f t="shared" si="236"/>
        <v>0.14000000000000001</v>
      </c>
      <c r="AE720" s="309">
        <f t="shared" si="237"/>
        <v>0.85712248889786025</v>
      </c>
      <c r="AF720" s="309">
        <f>VLOOKUP($B720,'Infant adult mortality'!$A$27:$I$128,4)</f>
        <v>1.7407165926524024E-3</v>
      </c>
      <c r="AG720" s="309">
        <f t="shared" si="238"/>
        <v>0.5714285714285714</v>
      </c>
      <c r="AH720" s="309">
        <f t="shared" si="239"/>
        <v>0.4268307119787762</v>
      </c>
      <c r="AI720" s="309">
        <f>VLOOKUP($B720,'Infant adult mortality'!$A$27:$I$128,4)</f>
        <v>1.7407165926524024E-3</v>
      </c>
      <c r="AJ720" s="309">
        <f t="shared" si="240"/>
        <v>8.6261668788331098E-3</v>
      </c>
      <c r="AK720" s="309">
        <f t="shared" si="241"/>
        <v>0.98963311652851449</v>
      </c>
      <c r="AL720" s="309"/>
      <c r="AM720" s="315">
        <f t="shared" si="278"/>
        <v>41.76275396070902</v>
      </c>
      <c r="AN720" s="316">
        <f t="shared" si="279"/>
        <v>11.681205375664792</v>
      </c>
      <c r="AO720" s="316">
        <f t="shared" si="280"/>
        <v>1.6899444782836379</v>
      </c>
      <c r="AP720" s="316">
        <f t="shared" si="281"/>
        <v>69.055858511264589</v>
      </c>
      <c r="AQ720" s="316">
        <f t="shared" si="282"/>
        <v>39.15258959790453</v>
      </c>
      <c r="AR720" s="316">
        <f t="shared" si="283"/>
        <v>133.25300393403441</v>
      </c>
      <c r="AS720" s="316">
        <f t="shared" si="284"/>
        <v>33.726497997017752</v>
      </c>
      <c r="AT720" s="316">
        <f t="shared" si="285"/>
        <v>4.7796751179313404</v>
      </c>
      <c r="AU720" s="316">
        <f t="shared" si="286"/>
        <v>104.30028712331598</v>
      </c>
      <c r="AV720" s="316">
        <f t="shared" si="287"/>
        <v>70.598183903873476</v>
      </c>
      <c r="AW720" s="317">
        <f t="shared" si="242"/>
        <v>509.99999999999949</v>
      </c>
      <c r="AX720" s="309"/>
      <c r="AY720" s="308">
        <f>VLOOKUP($B720,'Infant adult mortality'!$A$134:$I$234,3)</f>
        <v>1.0674202664513524E-3</v>
      </c>
      <c r="AZ720" s="309">
        <f t="shared" si="243"/>
        <v>0.27</v>
      </c>
      <c r="BA720" s="309">
        <f ca="1">VLOOKUP($B720,'Infant pick up smoking rates'!$A$19:$I$104,7)</f>
        <v>0</v>
      </c>
      <c r="BB720" s="309">
        <f t="shared" si="244"/>
        <v>2.4461462361003702E-2</v>
      </c>
      <c r="BC720" s="309">
        <f t="shared" ca="1" si="245"/>
        <v>0.70447111737254497</v>
      </c>
      <c r="BD720" s="309">
        <f>VLOOKUP($B720,'Infant adult mortality'!$A$134:$I$234,3)</f>
        <v>1.0674202664513524E-3</v>
      </c>
      <c r="BE720" s="309">
        <f t="shared" si="246"/>
        <v>0.14000000000000001</v>
      </c>
      <c r="BF720" s="309">
        <f>VLOOKUP($B720,'Infant pick up smoking rates'!$A$19:$I$104,6)</f>
        <v>0</v>
      </c>
      <c r="BG720" s="309">
        <f t="shared" si="247"/>
        <v>2.4461462361003702E-2</v>
      </c>
      <c r="BH720" s="309">
        <f t="shared" si="248"/>
        <v>0.83447111737254498</v>
      </c>
      <c r="BI720" s="309">
        <f>VLOOKUP($B720,'Infant adult mortality'!$A$134:$I$234,3)</f>
        <v>1.0674202664513524E-3</v>
      </c>
      <c r="BJ720" s="309">
        <f t="shared" si="249"/>
        <v>0.5714285714285714</v>
      </c>
      <c r="BK720" s="309">
        <f>VLOOKUP($B720,'Infant pick up smoking rates'!$A$19:$I$104,6)</f>
        <v>0</v>
      </c>
      <c r="BL720" s="309">
        <f t="shared" si="250"/>
        <v>1.7838406042505531E-2</v>
      </c>
      <c r="BM720" s="309">
        <f t="shared" si="251"/>
        <v>0.40966560226247173</v>
      </c>
      <c r="BN720" s="309">
        <f>VLOOKUP($B720,'Infant adult mortality'!$A$134:$I$234,3)</f>
        <v>1.0674202664513524E-3</v>
      </c>
      <c r="BO720" s="309">
        <f t="shared" si="252"/>
        <v>8.6261668788331098E-3</v>
      </c>
      <c r="BP720" s="309">
        <f>VLOOKUP($B720,'Infant pick up smoking rates'!$A$19:$I$104,6)</f>
        <v>0</v>
      </c>
      <c r="BQ720" s="309">
        <f t="shared" si="253"/>
        <v>1.7838406042505531E-2</v>
      </c>
      <c r="BR720" s="309">
        <f t="shared" si="254"/>
        <v>0.97246800681221002</v>
      </c>
      <c r="BS720" s="309">
        <f>VLOOKUP($B720,'Infant adult mortality'!$A$134:$I$234,3)</f>
        <v>1.0674202664513524E-3</v>
      </c>
      <c r="BT720" s="309">
        <f>VLOOKUP($B720,'Infant pick up smoking rates'!$A$19:$I$104,6)</f>
        <v>0</v>
      </c>
      <c r="BU720" s="309">
        <f t="shared" si="255"/>
        <v>0.99893257973354865</v>
      </c>
      <c r="BV720" s="309">
        <f>VLOOKUP($B720,'Infant adult mortality'!$A$134:$I$234,5)</f>
        <v>2.1615260395639888E-3</v>
      </c>
      <c r="BW720" s="309">
        <f t="shared" si="256"/>
        <v>0.27</v>
      </c>
      <c r="BX720" s="309">
        <f t="shared" si="257"/>
        <v>0.72783847396043599</v>
      </c>
      <c r="BY720" s="309">
        <f>VLOOKUP($B720,'Infant adult mortality'!$A$134:$I$234,5)</f>
        <v>2.1615260395639888E-3</v>
      </c>
      <c r="BZ720" s="309">
        <f t="shared" si="258"/>
        <v>0.14000000000000001</v>
      </c>
      <c r="CA720" s="309">
        <f t="shared" si="259"/>
        <v>0.857838473960436</v>
      </c>
      <c r="CB720" s="309">
        <f>VLOOKUP($B720,'Infant adult mortality'!$A$134:$I$234,4)</f>
        <v>1.3075898264029069E-3</v>
      </c>
      <c r="CC720" s="309">
        <f t="shared" si="260"/>
        <v>0.5714285714285714</v>
      </c>
      <c r="CD720" s="309">
        <f t="shared" si="261"/>
        <v>0.42726383874502571</v>
      </c>
      <c r="CE720" s="309">
        <f>VLOOKUP($B720,'Infant adult mortality'!$A$134:$I$234,4)</f>
        <v>1.3075898264029069E-3</v>
      </c>
      <c r="CF720" s="309">
        <f t="shared" si="262"/>
        <v>8.6261668788331098E-3</v>
      </c>
      <c r="CG720" s="309">
        <f t="shared" si="263"/>
        <v>0.990066243294764</v>
      </c>
      <c r="CH720" s="309"/>
      <c r="CI720" s="315">
        <f t="shared" ca="1" si="288"/>
        <v>55.812125967009045</v>
      </c>
      <c r="CJ720" s="316">
        <f t="shared" ca="1" si="289"/>
        <v>15.582110627227149</v>
      </c>
      <c r="CK720" s="316">
        <f t="shared" ca="1" si="290"/>
        <v>2.2502766196898971</v>
      </c>
      <c r="CL720" s="316">
        <f t="shared" ca="1" si="291"/>
        <v>90.874545499552383</v>
      </c>
      <c r="CM720" s="316">
        <f t="shared" ca="1" si="292"/>
        <v>52.143523948246688</v>
      </c>
      <c r="CN720" s="316">
        <f t="shared" ca="1" si="293"/>
        <v>99.109912140133645</v>
      </c>
      <c r="CO720" s="316">
        <f t="shared" ca="1" si="294"/>
        <v>27.134968588672901</v>
      </c>
      <c r="CP720" s="316">
        <f t="shared" ca="1" si="295"/>
        <v>3.8521315801411218</v>
      </c>
      <c r="CQ720" s="316">
        <f t="shared" ca="1" si="296"/>
        <v>81.3904057729019</v>
      </c>
      <c r="CR720" s="316">
        <f t="shared" ca="1" si="297"/>
        <v>61.849999256425477</v>
      </c>
      <c r="CS720" s="317">
        <f t="shared" ca="1" si="264"/>
        <v>490.00000000000017</v>
      </c>
      <c r="CT720" s="309"/>
      <c r="CU720" s="309">
        <f t="shared" ca="1" si="265"/>
        <v>999.99999999999966</v>
      </c>
      <c r="CV720" s="309" t="str">
        <f t="shared" ca="1" si="216"/>
        <v>OKAY</v>
      </c>
      <c r="CW720" s="309"/>
      <c r="CX720" s="315">
        <f>(SUM($AR720:$AS720))-((SUM($AR720:$AS720)*VLOOKUP($B720,Lifetime_morbidity_array!$A$30:$Y$48,4))+(SUM($AR720:$AS720)*VLOOKUP($B720,Lifetime_morbidity_array!$A$30:$Y$48,7))+(SUM($AR720:$AS720)*VLOOKUP($B720,Lifetime_morbidity_array!$A$30:$Y$48,10))+(SUM($AR720:$AS720)*VLOOKUP($B720,Lifetime_morbidity_array!$A$30:$Y$48,13)))</f>
        <v>145.54760779135813</v>
      </c>
      <c r="CY720" s="316">
        <f>(SUM($AT720:$AU720))-((SUM($AT720:$AU720)*(VLOOKUP($B720,Lifetime_morbidity_array!$A$30:$Y$48,3)))+(SUM($AT720:$AU720)*(VLOOKUP($B720,Lifetime_morbidity_array!$A$30:$Y$48,6)))+(SUM($AT720:$AU720)*(VLOOKUP($B720,Lifetime_morbidity_array!$A$30:$Y$48,9)))+(SUM($AT720:$AU720)*(VLOOKUP($B720,Lifetime_morbidity_array!$A$30:$Y$48,12))))</f>
        <v>102.56600686924381</v>
      </c>
      <c r="CZ720" s="316">
        <f>(SUM($AM720:$AQ720))-((SUM($AM720:$AQ720)*VLOOKUP($B720,Lifetime_morbidity_array!$A$30:$Y$48,2))+(SUM($AM720:$AQ720)*VLOOKUP($B720,Lifetime_morbidity_array!$A$30:$Y$48,5))+(SUM($AM720:$AQ720)*VLOOKUP($B720,Lifetime_morbidity_array!$A$30:$Y$48,8))+(SUM($AM720:$AQ720)*VLOOKUP($B720,Lifetime_morbidity_array!$A$30:$Y$48,11)))</f>
        <v>157.63782987493306</v>
      </c>
      <c r="DA720" s="316">
        <f>(SUM($AM720:$AQ720)*VLOOKUP($B720,Lifetime_morbidity_array!$A$30:$Y$48,2))+(SUM($AR720:$AS720)*VLOOKUP($B720,Lifetime_morbidity_array!$A$30:$Y$48,4))+(SUM($AT720:$AU720)*(VLOOKUP($B720,Lifetime_morbidity_array!$A$30:$Y$48,3)))</f>
        <v>20.509566715800528</v>
      </c>
      <c r="DB720" s="316">
        <f>(SUM($AM720:$AQ720)*VLOOKUP($B720,Lifetime_morbidity_array!$A$30:$Y$48,5))+(SUM($AR720:$AS720)*VLOOKUP($B720,Lifetime_morbidity_array!$A$30:$Y$48,7))+(SUM($AT720:$AU720)*(VLOOKUP($B720,Lifetime_morbidity_array!$A$30:$Y$48,6)))</f>
        <v>5.7977514630322151</v>
      </c>
      <c r="DC720" s="316">
        <f>(SUM($AM720:$AQ720)*VLOOKUP($B720,Lifetime_morbidity_array!$A$30:$Y$48,8))+(SUM($AR720:$AS720)*VLOOKUP($B720,Lifetime_morbidity_array!$A$30:$Y$48,10))+(SUM($AT720:$AU720)*(VLOOKUP($B720,Lifetime_morbidity_array!$A$30:$Y$48,9)))</f>
        <v>1.039887095055299</v>
      </c>
      <c r="DD720" s="317">
        <f>(SUM($AM720:$AQ720)*VLOOKUP($B720,Lifetime_morbidity_array!$A$30:$Y$48,11))+(SUM($AR720:$AS720)*VLOOKUP($B720,Lifetime_morbidity_array!$A$30:$Y$48,13))+(SUM($AT720:$AU720)*(VLOOKUP($B720,Lifetime_morbidity_array!$A$30:$Y$48,12)))</f>
        <v>6.3031662867030445</v>
      </c>
      <c r="DE720" s="309"/>
      <c r="DF720" s="315">
        <f ca="1">(SUM($CN720:$CO720))-((SUM($CN720:$CO720)*VLOOKUP($B720,Lifetime_morbidity_array!$A$6:$Y$24,4))+(SUM($CN720:$CO720)*VLOOKUP($B720,Lifetime_morbidity_array!$A$6:$Y$24,7))+(SUM($CN720:$CO720)*VLOOKUP($B720,Lifetime_morbidity_array!$A$6:$Y$24,10))+(SUM($CN720:$CO720)*VLOOKUP($B720,Lifetime_morbidity_array!$A$6:$Y$24,13)))</f>
        <v>115.31529210766006</v>
      </c>
      <c r="DG720" s="316">
        <f ca="1">(SUM($CP720:$CQ720))-(((SUM($CP720:$CQ720)*VLOOKUP($B720,Lifetime_morbidity_array!$A$6:$Y$24,3))+(SUM($CP720:$CQ720)*VLOOKUP($B720,Lifetime_morbidity_array!$A$6:$Y$24,6))+(SUM($CP720:$CQ720)*VLOOKUP($B720,Lifetime_morbidity_array!$A$6:$Y$24,9))+(SUM($CP720:$CQ720)*VLOOKUP($B720,Lifetime_morbidity_array!$A$6:$Y$24,12))))</f>
        <v>82.509103574309123</v>
      </c>
      <c r="DH720" s="316">
        <f ca="1">(SUM($CI720:$CM720))-((SUM($CI720:$CM720)*VLOOKUP($B720,Lifetime_morbidity_array!$A$6:$Y$24,2))+(SUM($CI720:$CM720)*VLOOKUP($B720,Lifetime_morbidity_array!$A$6:$Y$24,5))+(SUM($CI720:$CM720)*VLOOKUP($B720,Lifetime_morbidity_array!$A$6:$Y$24,8))+(SUM($CI720:$CM720)*VLOOKUP($B720,Lifetime_morbidity_array!$A$6:$Y$24,11)))</f>
        <v>212.50702705439215</v>
      </c>
      <c r="DI720" s="316">
        <f ca="1">(SUM($CI720:$CM720)*VLOOKUP($B720,Lifetime_morbidity_array!$A$6:$Y$24,2))+(SUM($CN720:$CO720)*VLOOKUP($B720,Lifetime_morbidity_array!$A$6:$Y$24,4))+(SUM($CP720:$CQ720)*VLOOKUP($B720,Lifetime_morbidity_array!$A$6:$Y$24,3))</f>
        <v>6.8298298093698033</v>
      </c>
      <c r="DJ720" s="316">
        <f ca="1">(SUM($CI720:$CM720)*VLOOKUP($B720,Lifetime_morbidity_array!$A$6:$Y$24,5))+(SUM($CN720:$CO720)*VLOOKUP($B720,Lifetime_morbidity_array!$A$6:$Y$24,7))+(SUM($CP720:$CQ720)*VLOOKUP($B720,Lifetime_morbidity_array!$A$6:$Y$24,6))</f>
        <v>6.2169478463643637</v>
      </c>
      <c r="DK720" s="316">
        <f ca="1">(SUM($CI720:$CM720)*VLOOKUP($B720,Lifetime_morbidity_array!$A$6:$Y$24,8))+(SUM($CN720:$CO720)*VLOOKUP($B720,Lifetime_morbidity_array!$A$6:$Y$24,10))+(SUM($CP720:$CQ720)*VLOOKUP($B720,Lifetime_morbidity_array!$A$6:$Y$24,9))</f>
        <v>0.41176340497187958</v>
      </c>
      <c r="DL720" s="317">
        <f ca="1">(SUM($CI720:$CM720)*VLOOKUP($B720,Lifetime_morbidity_array!$A$6:$Y$24,11))+(SUM($CN720:$CO720)*VLOOKUP($B720,Lifetime_morbidity_array!$A$6:$Y$24,13))+(SUM($CP720:$CQ720)*VLOOKUP($B720,Lifetime_morbidity_array!$A$6:$Y$24,12))</f>
        <v>4.3600369465073552</v>
      </c>
      <c r="DM720" s="309"/>
      <c r="DN720" s="308">
        <f t="shared" si="266"/>
        <v>54</v>
      </c>
      <c r="DO720" s="309">
        <f t="shared" ca="1" si="267"/>
        <v>135.36816281561494</v>
      </c>
      <c r="DP720" s="310">
        <f t="shared" ca="1" si="298"/>
        <v>21403.86068317559</v>
      </c>
      <c r="DQ720" s="309"/>
      <c r="DR720" s="308">
        <f t="shared" si="268"/>
        <v>54</v>
      </c>
      <c r="DS720" s="309">
        <f ca="1">((VLOOKUP($B720,'Mahawesran Tariff'!$A$21:$M$120,4)*'Experimental (DET)'!$CX720)+(VLOOKUP($B720,'Mahawesran Tariff'!$A$21:$M$120,3)*'Experimental (DET)'!$CY720)+(VLOOKUP($B720,'Mahawesran Tariff'!$A$21:$M$120,2)*'Experimental (DET)'!$CZ720)+(VLOOKUP($B720,'Mahawesran Tariff'!$A$21:$M$120,7)*'Experimental (DET)'!$DF720)+(VLOOKUP($B720,'Mahawesran Tariff'!$A$21:$M$120,6)*'Experimental (DET)'!$DG720)+(VLOOKUP($B720,'Mahawesran Tariff'!$A$21:$M$120,5)*'Experimental (DET)'!$DH720)+(DET_UTIL_chd*('Experimental (DET)'!$DA720+'Experimental (DET)'!$DI720))+(DET_UTIL_copd*('Experimental (DET)'!$DB720+'Experimental (DET)'!$DJ720))+(DET_UTIL_lc*('Experimental (DET)'!$DC720+'Experimental (DET)'!$DK720))+(DET_UTIL_stroke*('Experimental (DET)'!$DD720+'Experimental (DET)'!$DL720)))/((1+Discount_rate_QALYs)^$A720)</f>
        <v>127.06623359557413</v>
      </c>
      <c r="DT720" s="310">
        <f t="shared" ca="1" si="299"/>
        <v>21248.264253684389</v>
      </c>
      <c r="DU720" s="309"/>
      <c r="DV720" s="308">
        <f t="shared" si="269"/>
        <v>54</v>
      </c>
      <c r="DW720" s="318">
        <f t="shared" ca="1" si="270"/>
        <v>47735.751877054543</v>
      </c>
      <c r="DX720" s="319">
        <f t="shared" ca="1" si="300"/>
        <v>6435187.6609526044</v>
      </c>
      <c r="DZ720" s="95">
        <f t="shared" si="271"/>
        <v>54</v>
      </c>
      <c r="EA720" s="268">
        <f t="shared" ca="1" si="304"/>
        <v>0.86755181683970073</v>
      </c>
      <c r="EB720" s="268">
        <f t="shared" ca="1" si="218"/>
        <v>0.13244818316029897</v>
      </c>
      <c r="EC720" s="268">
        <f t="shared" ca="1" si="219"/>
        <v>5.1468949567804491E-2</v>
      </c>
      <c r="ED720" s="290">
        <f t="shared" ca="1" si="220"/>
        <v>0.48754688225414905</v>
      </c>
      <c r="EF720" s="95">
        <f t="shared" si="272"/>
        <v>54</v>
      </c>
      <c r="EG720" s="339">
        <f t="shared" ca="1" si="273"/>
        <v>47735.751877054543</v>
      </c>
      <c r="EH720" s="341">
        <f t="shared" ca="1" si="301"/>
        <v>9537203.3849161528</v>
      </c>
      <c r="EJ720" s="308">
        <f t="shared" si="274"/>
        <v>54</v>
      </c>
      <c r="EK720" s="318">
        <f t="shared" ca="1" si="275"/>
        <v>47735.751877054543</v>
      </c>
      <c r="EL720" s="319">
        <f t="shared" ca="1" si="302"/>
        <v>6432147.6609526034</v>
      </c>
      <c r="EN720" s="95">
        <f t="shared" si="276"/>
        <v>54</v>
      </c>
      <c r="EO720" s="339">
        <f t="shared" ca="1" si="277"/>
        <v>47735.751877054543</v>
      </c>
      <c r="EP720" s="341">
        <f t="shared" ca="1" si="303"/>
        <v>9537203.3849161528</v>
      </c>
    </row>
    <row r="721" spans="1:146" s="266" customFormat="1" x14ac:dyDescent="0.25">
      <c r="A721" s="313">
        <v>55</v>
      </c>
      <c r="B721" s="314">
        <v>55</v>
      </c>
      <c r="C721" s="308">
        <f>VLOOKUP($B721,'Infant adult mortality'!$A$27:$I$128,3)</f>
        <v>1.4918376413570276E-3</v>
      </c>
      <c r="D721" s="309">
        <f t="shared" si="221"/>
        <v>0.27</v>
      </c>
      <c r="E721" s="309">
        <f>VLOOKUP($B721,'Infant pick up smoking rates'!$A$19:$I$104,3)</f>
        <v>1.5201831243956284E-3</v>
      </c>
      <c r="F721" s="309">
        <f t="shared" si="222"/>
        <v>2.7081429828537902E-2</v>
      </c>
      <c r="G721" s="309">
        <f t="shared" si="223"/>
        <v>0.6999065494057094</v>
      </c>
      <c r="H721" s="309">
        <f>VLOOKUP($B721,'Infant adult mortality'!$A$27:$I$128,3)</f>
        <v>1.4918376413570276E-3</v>
      </c>
      <c r="I721" s="309">
        <f t="shared" si="224"/>
        <v>0.14000000000000001</v>
      </c>
      <c r="J721" s="309">
        <f>VLOOKUP($B721,'Infant pick up smoking rates'!$A$19:$I$104,2)</f>
        <v>1.5201831243956284E-3</v>
      </c>
      <c r="K721" s="309">
        <f t="shared" si="225"/>
        <v>2.7081429828537902E-2</v>
      </c>
      <c r="L721" s="309">
        <f t="shared" si="226"/>
        <v>0.8299065494057094</v>
      </c>
      <c r="M721" s="309">
        <f>VLOOKUP($B721,'Infant adult mortality'!$A$27:$I$128,3)</f>
        <v>1.4918376413570276E-3</v>
      </c>
      <c r="N721" s="309">
        <f t="shared" si="227"/>
        <v>0.5714285714285714</v>
      </c>
      <c r="O721" s="309">
        <f>VLOOKUP($B721,'Infant pick up smoking rates'!$A$19:$I$104,2)</f>
        <v>1.5201831243956284E-3</v>
      </c>
      <c r="P721" s="309">
        <f t="shared" si="228"/>
        <v>1.9749004959867734E-2</v>
      </c>
      <c r="Q721" s="309">
        <f t="shared" si="229"/>
        <v>0.40581040284580822</v>
      </c>
      <c r="R721" s="309">
        <f>VLOOKUP($B721,'Infant adult mortality'!$A$27:$I$128,3)</f>
        <v>1.4918376413570276E-3</v>
      </c>
      <c r="S721" s="309">
        <f t="shared" si="230"/>
        <v>8.6261668788331098E-3</v>
      </c>
      <c r="T721" s="309">
        <f>VLOOKUP($B721,'Infant pick up smoking rates'!$A$19:$I$104,2)</f>
        <v>1.5201831243956284E-3</v>
      </c>
      <c r="U721" s="309">
        <f t="shared" si="231"/>
        <v>1.9749004959867734E-2</v>
      </c>
      <c r="V721" s="309">
        <f t="shared" si="232"/>
        <v>0.96861280739554645</v>
      </c>
      <c r="W721" s="309">
        <f>VLOOKUP($B721,'Infant adult mortality'!$A$27:$I$128,3)</f>
        <v>1.4918376413570276E-3</v>
      </c>
      <c r="X721" s="309">
        <f>VLOOKUP($B721,'Infant pick up smoking rates'!$A$19:$I$104,2)</f>
        <v>1.5201831243956284E-3</v>
      </c>
      <c r="Y721" s="309">
        <f t="shared" si="233"/>
        <v>0.99698797923424731</v>
      </c>
      <c r="Z721" s="309">
        <f>VLOOKUP($B721,'Infant adult mortality'!$A$27:$I$128,5)</f>
        <v>3.1878214862681746E-3</v>
      </c>
      <c r="AA721" s="309">
        <f t="shared" si="234"/>
        <v>0.25</v>
      </c>
      <c r="AB721" s="309">
        <f t="shared" si="235"/>
        <v>0.74681217851373183</v>
      </c>
      <c r="AC721" s="309">
        <f>VLOOKUP($B721,'Infant adult mortality'!$A$27:$I$128,5)</f>
        <v>3.1878214862681746E-3</v>
      </c>
      <c r="AD721" s="309">
        <f t="shared" si="236"/>
        <v>0.14000000000000001</v>
      </c>
      <c r="AE721" s="309">
        <f t="shared" si="237"/>
        <v>0.85681217851373181</v>
      </c>
      <c r="AF721" s="309">
        <f>VLOOKUP($B721,'Infant adult mortality'!$A$27:$I$128,4)</f>
        <v>2.1042762520193862E-3</v>
      </c>
      <c r="AG721" s="309">
        <f t="shared" si="238"/>
        <v>0.5714285714285714</v>
      </c>
      <c r="AH721" s="309">
        <f t="shared" si="239"/>
        <v>0.42646715231940924</v>
      </c>
      <c r="AI721" s="309">
        <f>VLOOKUP($B721,'Infant adult mortality'!$A$27:$I$128,4)</f>
        <v>2.1042762520193862E-3</v>
      </c>
      <c r="AJ721" s="309">
        <f t="shared" si="240"/>
        <v>8.6261668788331098E-3</v>
      </c>
      <c r="AK721" s="309">
        <f t="shared" si="241"/>
        <v>0.98926955686914753</v>
      </c>
      <c r="AL721" s="309"/>
      <c r="AM721" s="315">
        <f t="shared" si="278"/>
        <v>40.205818273535449</v>
      </c>
      <c r="AN721" s="316">
        <f t="shared" si="279"/>
        <v>11.275943569391437</v>
      </c>
      <c r="AO721" s="316">
        <f t="shared" si="280"/>
        <v>1.6353687525930711</v>
      </c>
      <c r="AP721" s="316">
        <f t="shared" si="281"/>
        <v>67.854071538724867</v>
      </c>
      <c r="AQ721" s="316">
        <f t="shared" si="282"/>
        <v>41.879159233660303</v>
      </c>
      <c r="AR721" s="316">
        <f t="shared" si="283"/>
        <v>131.59863678962469</v>
      </c>
      <c r="AS721" s="316">
        <f t="shared" si="284"/>
        <v>33.313250983508603</v>
      </c>
      <c r="AT721" s="316">
        <f t="shared" si="285"/>
        <v>4.7217097195824858</v>
      </c>
      <c r="AU721" s="316">
        <f t="shared" si="286"/>
        <v>105.91234174833986</v>
      </c>
      <c r="AV721" s="316">
        <f t="shared" si="287"/>
        <v>71.60369939103883</v>
      </c>
      <c r="AW721" s="317">
        <f t="shared" si="242"/>
        <v>509.99999999999955</v>
      </c>
      <c r="AX721" s="309"/>
      <c r="AY721" s="308">
        <f>VLOOKUP($B721,'Infant adult mortality'!$A$134:$I$234,3)</f>
        <v>1.102859450726979E-3</v>
      </c>
      <c r="AZ721" s="309">
        <f t="shared" si="243"/>
        <v>0.27</v>
      </c>
      <c r="BA721" s="309">
        <f ca="1">VLOOKUP($B721,'Infant pick up smoking rates'!$A$19:$I$104,7)</f>
        <v>0</v>
      </c>
      <c r="BB721" s="309">
        <f t="shared" si="244"/>
        <v>2.7081429828537902E-2</v>
      </c>
      <c r="BC721" s="309">
        <f t="shared" ca="1" si="245"/>
        <v>0.70181571072073512</v>
      </c>
      <c r="BD721" s="309">
        <f>VLOOKUP($B721,'Infant adult mortality'!$A$134:$I$234,3)</f>
        <v>1.102859450726979E-3</v>
      </c>
      <c r="BE721" s="309">
        <f t="shared" si="246"/>
        <v>0.14000000000000001</v>
      </c>
      <c r="BF721" s="309">
        <f>VLOOKUP($B721,'Infant pick up smoking rates'!$A$19:$I$104,6)</f>
        <v>0</v>
      </c>
      <c r="BG721" s="309">
        <f t="shared" si="247"/>
        <v>2.7081429828537902E-2</v>
      </c>
      <c r="BH721" s="309">
        <f t="shared" si="248"/>
        <v>0.83181571072073512</v>
      </c>
      <c r="BI721" s="309">
        <f>VLOOKUP($B721,'Infant adult mortality'!$A$134:$I$234,3)</f>
        <v>1.102859450726979E-3</v>
      </c>
      <c r="BJ721" s="309">
        <f t="shared" si="249"/>
        <v>0.5714285714285714</v>
      </c>
      <c r="BK721" s="309">
        <f>VLOOKUP($B721,'Infant pick up smoking rates'!$A$19:$I$104,6)</f>
        <v>0</v>
      </c>
      <c r="BL721" s="309">
        <f t="shared" si="250"/>
        <v>1.9749004959867734E-2</v>
      </c>
      <c r="BM721" s="309">
        <f t="shared" si="251"/>
        <v>0.40771956416083388</v>
      </c>
      <c r="BN721" s="309">
        <f>VLOOKUP($B721,'Infant adult mortality'!$A$134:$I$234,3)</f>
        <v>1.102859450726979E-3</v>
      </c>
      <c r="BO721" s="309">
        <f t="shared" si="252"/>
        <v>8.6261668788331098E-3</v>
      </c>
      <c r="BP721" s="309">
        <f>VLOOKUP($B721,'Infant pick up smoking rates'!$A$19:$I$104,6)</f>
        <v>0</v>
      </c>
      <c r="BQ721" s="309">
        <f t="shared" si="253"/>
        <v>1.9749004959867734E-2</v>
      </c>
      <c r="BR721" s="309">
        <f t="shared" si="254"/>
        <v>0.97052196871057217</v>
      </c>
      <c r="BS721" s="309">
        <f>VLOOKUP($B721,'Infant adult mortality'!$A$134:$I$234,3)</f>
        <v>1.102859450726979E-3</v>
      </c>
      <c r="BT721" s="309">
        <f>VLOOKUP($B721,'Infant pick up smoking rates'!$A$19:$I$104,6)</f>
        <v>0</v>
      </c>
      <c r="BU721" s="309">
        <f t="shared" si="255"/>
        <v>0.99889714054927303</v>
      </c>
      <c r="BV721" s="309">
        <f>VLOOKUP($B721,'Infant adult mortality'!$A$134:$I$234,5)</f>
        <v>2.3566365105008079E-3</v>
      </c>
      <c r="BW721" s="309">
        <f t="shared" si="256"/>
        <v>0.27</v>
      </c>
      <c r="BX721" s="309">
        <f t="shared" si="257"/>
        <v>0.72764336348949921</v>
      </c>
      <c r="BY721" s="309">
        <f>VLOOKUP($B721,'Infant adult mortality'!$A$134:$I$234,5)</f>
        <v>2.3566365105008079E-3</v>
      </c>
      <c r="BZ721" s="309">
        <f t="shared" si="258"/>
        <v>0.14000000000000001</v>
      </c>
      <c r="CA721" s="309">
        <f t="shared" si="259"/>
        <v>0.85764336348949921</v>
      </c>
      <c r="CB721" s="309">
        <f>VLOOKUP($B721,'Infant adult mortality'!$A$134:$I$234,4)</f>
        <v>1.5556122778675283E-3</v>
      </c>
      <c r="CC721" s="309">
        <f t="shared" si="260"/>
        <v>0.5714285714285714</v>
      </c>
      <c r="CD721" s="309">
        <f t="shared" si="261"/>
        <v>0.42701581629356106</v>
      </c>
      <c r="CE721" s="309">
        <f>VLOOKUP($B721,'Infant adult mortality'!$A$134:$I$234,4)</f>
        <v>1.5556122778675283E-3</v>
      </c>
      <c r="CF721" s="309">
        <f t="shared" si="262"/>
        <v>8.6261668788331098E-3</v>
      </c>
      <c r="CG721" s="309">
        <f t="shared" si="263"/>
        <v>0.9898182208432994</v>
      </c>
      <c r="CH721" s="309"/>
      <c r="CI721" s="315">
        <f t="shared" ca="1" si="288"/>
        <v>53.832652075426253</v>
      </c>
      <c r="CJ721" s="316">
        <f t="shared" ca="1" si="289"/>
        <v>15.069274011092443</v>
      </c>
      <c r="CK721" s="316">
        <f t="shared" ca="1" si="290"/>
        <v>2.1814954878118011</v>
      </c>
      <c r="CL721" s="316">
        <f t="shared" ca="1" si="291"/>
        <v>89.481615158012545</v>
      </c>
      <c r="CM721" s="316">
        <f t="shared" ca="1" si="292"/>
        <v>55.858597552474713</v>
      </c>
      <c r="CN721" s="316">
        <f t="shared" ca="1" si="293"/>
        <v>97.735803887064094</v>
      </c>
      <c r="CO721" s="316">
        <f t="shared" ca="1" si="294"/>
        <v>26.759676277836085</v>
      </c>
      <c r="CP721" s="316">
        <f t="shared" ca="1" si="295"/>
        <v>3.7988956024142064</v>
      </c>
      <c r="CQ721" s="316">
        <f t="shared" ca="1" si="296"/>
        <v>82.7629246816429</v>
      </c>
      <c r="CR721" s="316">
        <f t="shared" ca="1" si="297"/>
        <v>62.519065266225176</v>
      </c>
      <c r="CS721" s="317">
        <f t="shared" ca="1" si="264"/>
        <v>490.00000000000034</v>
      </c>
      <c r="CT721" s="309"/>
      <c r="CU721" s="309">
        <f t="shared" ca="1" si="265"/>
        <v>999.99999999999989</v>
      </c>
      <c r="CV721" s="309" t="str">
        <f t="shared" ca="1" si="216"/>
        <v>OKAY</v>
      </c>
      <c r="CW721" s="309"/>
      <c r="CX721" s="315">
        <f>(SUM($AR721:$AS721))-((SUM($AR721:$AS721)*VLOOKUP($B721,Lifetime_morbidity_array!$A$30:$Y$48,4))+(SUM($AR721:$AS721)*VLOOKUP($B721,Lifetime_morbidity_array!$A$30:$Y$48,7))+(SUM($AR721:$AS721)*VLOOKUP($B721,Lifetime_morbidity_array!$A$30:$Y$48,10))+(SUM($AR721:$AS721)*VLOOKUP($B721,Lifetime_morbidity_array!$A$30:$Y$48,13)))</f>
        <v>109.83076202299051</v>
      </c>
      <c r="CY721" s="316">
        <f>(SUM($AT721:$AU721))-((SUM($AT721:$AU721)*(VLOOKUP($B721,Lifetime_morbidity_array!$A$30:$Y$48,3)))+(SUM($AT721:$AU721)*(VLOOKUP($B721,Lifetime_morbidity_array!$A$30:$Y$48,6)))+(SUM($AT721:$AU721)*(VLOOKUP($B721,Lifetime_morbidity_array!$A$30:$Y$48,9)))+(SUM($AT721:$AU721)*(VLOOKUP($B721,Lifetime_morbidity_array!$A$30:$Y$48,12))))</f>
        <v>93.304221911757779</v>
      </c>
      <c r="CZ721" s="316">
        <f>(SUM($AM721:$AQ721))-((SUM($AM721:$AQ721)*VLOOKUP($B721,Lifetime_morbidity_array!$A$30:$Y$48,2))+(SUM($AM721:$AQ721)*VLOOKUP($B721,Lifetime_morbidity_array!$A$30:$Y$48,5))+(SUM($AM721:$AQ721)*VLOOKUP($B721,Lifetime_morbidity_array!$A$30:$Y$48,8))+(SUM($AM721:$AQ721)*VLOOKUP($B721,Lifetime_morbidity_array!$A$30:$Y$48,11)))</f>
        <v>147.31260580547766</v>
      </c>
      <c r="DA721" s="316">
        <f>(SUM($AM721:$AQ721)*VLOOKUP($B721,Lifetime_morbidity_array!$A$30:$Y$48,2))+(SUM($AR721:$AS721)*VLOOKUP($B721,Lifetime_morbidity_array!$A$30:$Y$48,4))+(SUM($AT721:$AU721)*(VLOOKUP($B721,Lifetime_morbidity_array!$A$30:$Y$48,3)))</f>
        <v>57.39208651198031</v>
      </c>
      <c r="DB721" s="316">
        <f>(SUM($AM721:$AQ721)*VLOOKUP($B721,Lifetime_morbidity_array!$A$30:$Y$48,5))+(SUM($AR721:$AS721)*VLOOKUP($B721,Lifetime_morbidity_array!$A$30:$Y$48,7))+(SUM($AT721:$AU721)*(VLOOKUP($B721,Lifetime_morbidity_array!$A$30:$Y$48,6)))</f>
        <v>13.845736292038698</v>
      </c>
      <c r="DC721" s="316">
        <f>(SUM($AM721:$AQ721)*VLOOKUP($B721,Lifetime_morbidity_array!$A$30:$Y$48,8))+(SUM($AR721:$AS721)*VLOOKUP($B721,Lifetime_morbidity_array!$A$30:$Y$48,10))+(SUM($AT721:$AU721)*(VLOOKUP($B721,Lifetime_morbidity_array!$A$30:$Y$48,9)))</f>
        <v>1.0686810472419339</v>
      </c>
      <c r="DD721" s="317">
        <f>(SUM($AM721:$AQ721)*VLOOKUP($B721,Lifetime_morbidity_array!$A$30:$Y$48,11))+(SUM($AR721:$AS721)*VLOOKUP($B721,Lifetime_morbidity_array!$A$30:$Y$48,13))+(SUM($AT721:$AU721)*(VLOOKUP($B721,Lifetime_morbidity_array!$A$30:$Y$48,12)))</f>
        <v>15.642207017473863</v>
      </c>
      <c r="DE721" s="309"/>
      <c r="DF721" s="315">
        <f ca="1">(SUM($CN721:$CO721))-((SUM($CN721:$CO721)*VLOOKUP($B721,Lifetime_morbidity_array!$A$6:$Y$24,4))+(SUM($CN721:$CO721)*VLOOKUP($B721,Lifetime_morbidity_array!$A$6:$Y$24,7))+(SUM($CN721:$CO721)*VLOOKUP($B721,Lifetime_morbidity_array!$A$6:$Y$24,10))+(SUM($CN721:$CO721)*VLOOKUP($B721,Lifetime_morbidity_array!$A$6:$Y$24,13)))</f>
        <v>102.81164832208844</v>
      </c>
      <c r="DG721" s="316">
        <f ca="1">(SUM($CP721:$CQ721))-(((SUM($CP721:$CQ721)*VLOOKUP($B721,Lifetime_morbidity_array!$A$6:$Y$24,3))+(SUM($CP721:$CQ721)*VLOOKUP($B721,Lifetime_morbidity_array!$A$6:$Y$24,6))+(SUM($CP721:$CQ721)*VLOOKUP($B721,Lifetime_morbidity_array!$A$6:$Y$24,9))+(SUM($CP721:$CQ721)*VLOOKUP($B721,Lifetime_morbidity_array!$A$6:$Y$24,12))))</f>
        <v>79.578801118067986</v>
      </c>
      <c r="DH721" s="316">
        <f ca="1">(SUM($CI721:$CM721))-((SUM($CI721:$CM721)*VLOOKUP($B721,Lifetime_morbidity_array!$A$6:$Y$24,2))+(SUM($CI721:$CM721)*VLOOKUP($B721,Lifetime_morbidity_array!$A$6:$Y$24,5))+(SUM($CI721:$CM721)*VLOOKUP($B721,Lifetime_morbidity_array!$A$6:$Y$24,8))+(SUM($CI721:$CM721)*VLOOKUP($B721,Lifetime_morbidity_array!$A$6:$Y$24,11)))</f>
        <v>205.69836981613506</v>
      </c>
      <c r="DI721" s="316">
        <f ca="1">(SUM($CI721:$CM721)*VLOOKUP($B721,Lifetime_morbidity_array!$A$6:$Y$24,2))+(SUM($CN721:$CO721)*VLOOKUP($B721,Lifetime_morbidity_array!$A$6:$Y$24,4))+(SUM($CP721:$CQ721)*VLOOKUP($B721,Lifetime_morbidity_array!$A$6:$Y$24,3))</f>
        <v>17.494106512547859</v>
      </c>
      <c r="DJ721" s="316">
        <f ca="1">(SUM($CI721:$CM721)*VLOOKUP($B721,Lifetime_morbidity_array!$A$6:$Y$24,5))+(SUM($CN721:$CO721)*VLOOKUP($B721,Lifetime_morbidity_array!$A$6:$Y$24,7))+(SUM($CP721:$CQ721)*VLOOKUP($B721,Lifetime_morbidity_array!$A$6:$Y$24,6))</f>
        <v>10.786201940165569</v>
      </c>
      <c r="DK721" s="316">
        <f ca="1">(SUM($CI721:$CM721)*VLOOKUP($B721,Lifetime_morbidity_array!$A$6:$Y$24,8))+(SUM($CN721:$CO721)*VLOOKUP($B721,Lifetime_morbidity_array!$A$6:$Y$24,10))+(SUM($CP721:$CQ721)*VLOOKUP($B721,Lifetime_morbidity_array!$A$6:$Y$24,9))</f>
        <v>0.41037846112912879</v>
      </c>
      <c r="DL721" s="317">
        <f ca="1">(SUM($CI721:$CM721)*VLOOKUP($B721,Lifetime_morbidity_array!$A$6:$Y$24,11))+(SUM($CN721:$CO721)*VLOOKUP($B721,Lifetime_morbidity_array!$A$6:$Y$24,13))+(SUM($CP721:$CQ721)*VLOOKUP($B721,Lifetime_morbidity_array!$A$6:$Y$24,12))</f>
        <v>10.701428563641032</v>
      </c>
      <c r="DM721" s="309"/>
      <c r="DN721" s="308">
        <f t="shared" si="266"/>
        <v>55</v>
      </c>
      <c r="DO721" s="309">
        <f t="shared" ca="1" si="267"/>
        <v>130.53803868764152</v>
      </c>
      <c r="DP721" s="310">
        <f t="shared" ca="1" si="298"/>
        <v>21534.398721863232</v>
      </c>
      <c r="DQ721" s="309"/>
      <c r="DR721" s="308">
        <f t="shared" si="268"/>
        <v>55</v>
      </c>
      <c r="DS721" s="309">
        <f ca="1">((VLOOKUP($B721,'Mahawesran Tariff'!$A$21:$M$120,4)*'Experimental (DET)'!$CX721)+(VLOOKUP($B721,'Mahawesran Tariff'!$A$21:$M$120,3)*'Experimental (DET)'!$CY721)+(VLOOKUP($B721,'Mahawesran Tariff'!$A$21:$M$120,2)*'Experimental (DET)'!$CZ721)+(VLOOKUP($B721,'Mahawesran Tariff'!$A$21:$M$120,7)*'Experimental (DET)'!$DF721)+(VLOOKUP($B721,'Mahawesran Tariff'!$A$21:$M$120,6)*'Experimental (DET)'!$DG721)+(VLOOKUP($B721,'Mahawesran Tariff'!$A$21:$M$120,5)*'Experimental (DET)'!$DH721)+(DET_UTIL_chd*('Experimental (DET)'!$DA721+'Experimental (DET)'!$DI721))+(DET_UTIL_copd*('Experimental (DET)'!$DB721+'Experimental (DET)'!$DJ721))+(DET_UTIL_lc*('Experimental (DET)'!$DC721+'Experimental (DET)'!$DK721))+(DET_UTIL_stroke*('Experimental (DET)'!$DD721+'Experimental (DET)'!$DL721)))/((1+Discount_rate_QALYs)^$A721)</f>
        <v>117.82418683097853</v>
      </c>
      <c r="DT721" s="310">
        <f t="shared" ca="1" si="299"/>
        <v>21366.088440515367</v>
      </c>
      <c r="DU721" s="309"/>
      <c r="DV721" s="308">
        <f t="shared" si="269"/>
        <v>55</v>
      </c>
      <c r="DW721" s="318">
        <f t="shared" ca="1" si="270"/>
        <v>112301.710710075</v>
      </c>
      <c r="DX721" s="319">
        <f t="shared" ca="1" si="300"/>
        <v>6547489.3716626791</v>
      </c>
      <c r="DZ721" s="95">
        <f t="shared" si="271"/>
        <v>55</v>
      </c>
      <c r="EA721" s="268">
        <f t="shared" ca="1" si="304"/>
        <v>0.86587723534273586</v>
      </c>
      <c r="EB721" s="268">
        <f t="shared" ca="1" si="218"/>
        <v>0.13412276465726403</v>
      </c>
      <c r="EC721" s="268">
        <f t="shared" ca="1" si="219"/>
        <v>0.12734082634621841</v>
      </c>
      <c r="ED721" s="290">
        <f t="shared" ca="1" si="220"/>
        <v>0.4866032396900129</v>
      </c>
      <c r="EF721" s="95">
        <f t="shared" si="272"/>
        <v>55</v>
      </c>
      <c r="EG721" s="339">
        <f t="shared" ca="1" si="273"/>
        <v>112301.710710075</v>
      </c>
      <c r="EH721" s="341">
        <f t="shared" ca="1" si="301"/>
        <v>9649505.0956262276</v>
      </c>
      <c r="EJ721" s="308">
        <f t="shared" si="274"/>
        <v>55</v>
      </c>
      <c r="EK721" s="318">
        <f t="shared" ca="1" si="275"/>
        <v>112301.710710075</v>
      </c>
      <c r="EL721" s="319">
        <f t="shared" ca="1" si="302"/>
        <v>6544449.3716626782</v>
      </c>
      <c r="EN721" s="95">
        <f t="shared" si="276"/>
        <v>55</v>
      </c>
      <c r="EO721" s="339">
        <f t="shared" ca="1" si="277"/>
        <v>112301.710710075</v>
      </c>
      <c r="EP721" s="341">
        <f t="shared" ca="1" si="303"/>
        <v>9649505.0956262276</v>
      </c>
    </row>
    <row r="722" spans="1:146" s="266" customFormat="1" x14ac:dyDescent="0.25">
      <c r="A722" s="313">
        <v>56</v>
      </c>
      <c r="B722" s="314">
        <v>56</v>
      </c>
      <c r="C722" s="308">
        <f>VLOOKUP($B722,'Infant adult mortality'!$A$27:$I$128,3)</f>
        <v>1.6416276252019389E-3</v>
      </c>
      <c r="D722" s="309">
        <f t="shared" si="221"/>
        <v>0.27</v>
      </c>
      <c r="E722" s="309">
        <f>VLOOKUP($B722,'Infant pick up smoking rates'!$A$19:$I$104,3)</f>
        <v>1.5201831243956284E-3</v>
      </c>
      <c r="F722" s="309">
        <f t="shared" si="222"/>
        <v>2.9997482733793764E-2</v>
      </c>
      <c r="G722" s="309">
        <f t="shared" si="223"/>
        <v>0.69684070651660868</v>
      </c>
      <c r="H722" s="309">
        <f>VLOOKUP($B722,'Infant adult mortality'!$A$27:$I$128,3)</f>
        <v>1.6416276252019389E-3</v>
      </c>
      <c r="I722" s="309">
        <f t="shared" si="224"/>
        <v>0.14000000000000001</v>
      </c>
      <c r="J722" s="309">
        <f>VLOOKUP($B722,'Infant pick up smoking rates'!$A$19:$I$104,2)</f>
        <v>1.5201831243956284E-3</v>
      </c>
      <c r="K722" s="309">
        <f t="shared" si="225"/>
        <v>2.9997482733793764E-2</v>
      </c>
      <c r="L722" s="309">
        <f t="shared" si="226"/>
        <v>0.82684070651660868</v>
      </c>
      <c r="M722" s="309">
        <f>VLOOKUP($B722,'Infant adult mortality'!$A$27:$I$128,3)</f>
        <v>1.6416276252019389E-3</v>
      </c>
      <c r="N722" s="309">
        <f t="shared" si="227"/>
        <v>0.5714285714285714</v>
      </c>
      <c r="O722" s="309">
        <f>VLOOKUP($B722,'Infant pick up smoking rates'!$A$19:$I$104,2)</f>
        <v>1.5201831243956284E-3</v>
      </c>
      <c r="P722" s="309">
        <f t="shared" si="228"/>
        <v>2.1875522786059039E-2</v>
      </c>
      <c r="Q722" s="309">
        <f t="shared" si="229"/>
        <v>0.40353409503577198</v>
      </c>
      <c r="R722" s="309">
        <f>VLOOKUP($B722,'Infant adult mortality'!$A$27:$I$128,3)</f>
        <v>1.6416276252019389E-3</v>
      </c>
      <c r="S722" s="309">
        <f t="shared" si="230"/>
        <v>8.6261668788331098E-3</v>
      </c>
      <c r="T722" s="309">
        <f>VLOOKUP($B722,'Infant pick up smoking rates'!$A$19:$I$104,2)</f>
        <v>1.5201831243956284E-3</v>
      </c>
      <c r="U722" s="309">
        <f t="shared" si="231"/>
        <v>2.1875522786059039E-2</v>
      </c>
      <c r="V722" s="309">
        <f t="shared" si="232"/>
        <v>0.96633649958551027</v>
      </c>
      <c r="W722" s="309">
        <f>VLOOKUP($B722,'Infant adult mortality'!$A$27:$I$128,3)</f>
        <v>1.6416276252019389E-3</v>
      </c>
      <c r="X722" s="309">
        <f>VLOOKUP($B722,'Infant pick up smoking rates'!$A$19:$I$104,2)</f>
        <v>1.5201831243956284E-3</v>
      </c>
      <c r="Y722" s="309">
        <f t="shared" si="233"/>
        <v>0.99683818925040246</v>
      </c>
      <c r="Z722" s="309">
        <f>VLOOKUP($B722,'Infant adult mortality'!$A$27:$I$128,5)</f>
        <v>3.5078990306946695E-3</v>
      </c>
      <c r="AA722" s="309">
        <f t="shared" si="234"/>
        <v>0.25</v>
      </c>
      <c r="AB722" s="309">
        <f t="shared" si="235"/>
        <v>0.74649210096930529</v>
      </c>
      <c r="AC722" s="309">
        <f>VLOOKUP($B722,'Infant adult mortality'!$A$27:$I$128,5)</f>
        <v>3.5078990306946695E-3</v>
      </c>
      <c r="AD722" s="309">
        <f t="shared" si="236"/>
        <v>0.14000000000000001</v>
      </c>
      <c r="AE722" s="309">
        <f t="shared" si="237"/>
        <v>0.85649210096930528</v>
      </c>
      <c r="AF722" s="309">
        <f>VLOOKUP($B722,'Infant adult mortality'!$A$27:$I$128,4)</f>
        <v>2.315558966074314E-3</v>
      </c>
      <c r="AG722" s="309">
        <f t="shared" si="238"/>
        <v>0.5714285714285714</v>
      </c>
      <c r="AH722" s="309">
        <f t="shared" si="239"/>
        <v>0.42625586960535428</v>
      </c>
      <c r="AI722" s="309">
        <f>VLOOKUP($B722,'Infant adult mortality'!$A$27:$I$128,4)</f>
        <v>2.315558966074314E-3</v>
      </c>
      <c r="AJ722" s="309">
        <f t="shared" si="240"/>
        <v>8.6261668788331098E-3</v>
      </c>
      <c r="AK722" s="309">
        <f t="shared" si="241"/>
        <v>0.98905827415509262</v>
      </c>
      <c r="AL722" s="309"/>
      <c r="AM722" s="315">
        <f t="shared" si="278"/>
        <v>38.585707553494593</v>
      </c>
      <c r="AN722" s="316">
        <f t="shared" si="279"/>
        <v>10.855570933854573</v>
      </c>
      <c r="AO722" s="316">
        <f t="shared" si="280"/>
        <v>1.5786320997148013</v>
      </c>
      <c r="AP722" s="316">
        <f t="shared" si="281"/>
        <v>66.504362403409374</v>
      </c>
      <c r="AQ722" s="316">
        <f t="shared" si="282"/>
        <v>44.811186354282903</v>
      </c>
      <c r="AR722" s="316">
        <f t="shared" si="283"/>
        <v>129.94371557491357</v>
      </c>
      <c r="AS722" s="316">
        <f t="shared" si="284"/>
        <v>32.899659197406173</v>
      </c>
      <c r="AT722" s="316">
        <f t="shared" si="285"/>
        <v>4.663855137691205</v>
      </c>
      <c r="AU722" s="316">
        <f t="shared" si="286"/>
        <v>107.4515977810988</v>
      </c>
      <c r="AV722" s="316">
        <f t="shared" si="287"/>
        <v>72.705712964133554</v>
      </c>
      <c r="AW722" s="317">
        <f t="shared" si="242"/>
        <v>509.99999999999955</v>
      </c>
      <c r="AX722" s="309"/>
      <c r="AY722" s="308">
        <f>VLOOKUP($B722,'Infant adult mortality'!$A$134:$I$234,3)</f>
        <v>1.1962479806138931E-3</v>
      </c>
      <c r="AZ722" s="309">
        <f t="shared" si="243"/>
        <v>0.27</v>
      </c>
      <c r="BA722" s="309">
        <f ca="1">VLOOKUP($B722,'Infant pick up smoking rates'!$A$19:$I$104,7)</f>
        <v>0</v>
      </c>
      <c r="BB722" s="309">
        <f t="shared" si="244"/>
        <v>2.9997482733793764E-2</v>
      </c>
      <c r="BC722" s="309">
        <f t="shared" ca="1" si="245"/>
        <v>0.69880626928559231</v>
      </c>
      <c r="BD722" s="309">
        <f>VLOOKUP($B722,'Infant adult mortality'!$A$134:$I$234,3)</f>
        <v>1.1962479806138931E-3</v>
      </c>
      <c r="BE722" s="309">
        <f t="shared" si="246"/>
        <v>0.14000000000000001</v>
      </c>
      <c r="BF722" s="309">
        <f>VLOOKUP($B722,'Infant pick up smoking rates'!$A$19:$I$104,6)</f>
        <v>0</v>
      </c>
      <c r="BG722" s="309">
        <f t="shared" si="247"/>
        <v>2.9997482733793764E-2</v>
      </c>
      <c r="BH722" s="309">
        <f t="shared" si="248"/>
        <v>0.82880626928559231</v>
      </c>
      <c r="BI722" s="309">
        <f>VLOOKUP($B722,'Infant adult mortality'!$A$134:$I$234,3)</f>
        <v>1.1962479806138931E-3</v>
      </c>
      <c r="BJ722" s="309">
        <f t="shared" si="249"/>
        <v>0.5714285714285714</v>
      </c>
      <c r="BK722" s="309">
        <f>VLOOKUP($B722,'Infant pick up smoking rates'!$A$19:$I$104,6)</f>
        <v>0</v>
      </c>
      <c r="BL722" s="309">
        <f t="shared" si="250"/>
        <v>2.1875522786059039E-2</v>
      </c>
      <c r="BM722" s="309">
        <f t="shared" si="251"/>
        <v>0.40549965780475561</v>
      </c>
      <c r="BN722" s="309">
        <f>VLOOKUP($B722,'Infant adult mortality'!$A$134:$I$234,3)</f>
        <v>1.1962479806138931E-3</v>
      </c>
      <c r="BO722" s="309">
        <f t="shared" si="252"/>
        <v>8.6261668788331098E-3</v>
      </c>
      <c r="BP722" s="309">
        <f>VLOOKUP($B722,'Infant pick up smoking rates'!$A$19:$I$104,6)</f>
        <v>0</v>
      </c>
      <c r="BQ722" s="309">
        <f t="shared" si="253"/>
        <v>2.1875522786059039E-2</v>
      </c>
      <c r="BR722" s="309">
        <f t="shared" si="254"/>
        <v>0.9683020623544939</v>
      </c>
      <c r="BS722" s="309">
        <f>VLOOKUP($B722,'Infant adult mortality'!$A$134:$I$234,3)</f>
        <v>1.1962479806138931E-3</v>
      </c>
      <c r="BT722" s="309">
        <f>VLOOKUP($B722,'Infant pick up smoking rates'!$A$19:$I$104,6)</f>
        <v>0</v>
      </c>
      <c r="BU722" s="309">
        <f t="shared" si="255"/>
        <v>0.99880375201938609</v>
      </c>
      <c r="BV722" s="309">
        <f>VLOOKUP($B722,'Infant adult mortality'!$A$134:$I$234,5)</f>
        <v>2.5561930533117925E-3</v>
      </c>
      <c r="BW722" s="309">
        <f t="shared" si="256"/>
        <v>0.27</v>
      </c>
      <c r="BX722" s="309">
        <f t="shared" si="257"/>
        <v>0.7274438069466882</v>
      </c>
      <c r="BY722" s="309">
        <f>VLOOKUP($B722,'Infant adult mortality'!$A$134:$I$234,5)</f>
        <v>2.5561930533117925E-3</v>
      </c>
      <c r="BZ722" s="309">
        <f t="shared" si="258"/>
        <v>0.14000000000000001</v>
      </c>
      <c r="CA722" s="309">
        <f t="shared" si="259"/>
        <v>0.8574438069466882</v>
      </c>
      <c r="CB722" s="309">
        <f>VLOOKUP($B722,'Infant adult mortality'!$A$134:$I$234,4)</f>
        <v>1.6873392568659124E-3</v>
      </c>
      <c r="CC722" s="309">
        <f t="shared" si="260"/>
        <v>0.5714285714285714</v>
      </c>
      <c r="CD722" s="309">
        <f t="shared" si="261"/>
        <v>0.42688408931456268</v>
      </c>
      <c r="CE722" s="309">
        <f>VLOOKUP($B722,'Infant adult mortality'!$A$134:$I$234,4)</f>
        <v>1.6873392568659124E-3</v>
      </c>
      <c r="CF722" s="309">
        <f t="shared" si="262"/>
        <v>8.6261668788331098E-3</v>
      </c>
      <c r="CG722" s="309">
        <f t="shared" si="263"/>
        <v>0.98968649386430096</v>
      </c>
      <c r="CH722" s="309"/>
      <c r="CI722" s="315">
        <f t="shared" ca="1" si="288"/>
        <v>51.764582555304628</v>
      </c>
      <c r="CJ722" s="316">
        <f t="shared" ca="1" si="289"/>
        <v>14.53481606036509</v>
      </c>
      <c r="CK722" s="316">
        <f t="shared" ca="1" si="290"/>
        <v>2.1096983615529421</v>
      </c>
      <c r="CL722" s="316">
        <f t="shared" ca="1" si="291"/>
        <v>87.891801350492869</v>
      </c>
      <c r="CM722" s="316">
        <f t="shared" ca="1" si="292"/>
        <v>59.863839621631897</v>
      </c>
      <c r="CN722" s="316">
        <f t="shared" ca="1" si="293"/>
        <v>96.377838844251414</v>
      </c>
      <c r="CO722" s="316">
        <f t="shared" ca="1" si="294"/>
        <v>26.388667049507308</v>
      </c>
      <c r="CP722" s="316">
        <f t="shared" ca="1" si="295"/>
        <v>3.7463546788970525</v>
      </c>
      <c r="CQ722" s="316">
        <f t="shared" ca="1" si="296"/>
        <v>84.080146237224213</v>
      </c>
      <c r="CR722" s="316">
        <f t="shared" ca="1" si="297"/>
        <v>63.242255240772813</v>
      </c>
      <c r="CS722" s="317">
        <f t="shared" ca="1" si="264"/>
        <v>490.00000000000017</v>
      </c>
      <c r="CT722" s="309"/>
      <c r="CU722" s="309">
        <f t="shared" ca="1" si="265"/>
        <v>999.99999999999977</v>
      </c>
      <c r="CV722" s="309" t="str">
        <f t="shared" ca="1" si="216"/>
        <v>OKAY</v>
      </c>
      <c r="CW722" s="309"/>
      <c r="CX722" s="315">
        <f>(SUM($AR722:$AS722))-((SUM($AR722:$AS722)*VLOOKUP($B722,Lifetime_morbidity_array!$A$30:$Y$48,4))+(SUM($AR722:$AS722)*VLOOKUP($B722,Lifetime_morbidity_array!$A$30:$Y$48,7))+(SUM($AR722:$AS722)*VLOOKUP($B722,Lifetime_morbidity_array!$A$30:$Y$48,10))+(SUM($AR722:$AS722)*VLOOKUP($B722,Lifetime_morbidity_array!$A$30:$Y$48,13)))</f>
        <v>108.4531393288258</v>
      </c>
      <c r="CY722" s="316">
        <f>(SUM($AT722:$AU722))-((SUM($AT722:$AU722)*(VLOOKUP($B722,Lifetime_morbidity_array!$A$30:$Y$48,3)))+(SUM($AT722:$AU722)*(VLOOKUP($B722,Lifetime_morbidity_array!$A$30:$Y$48,6)))+(SUM($AT722:$AU722)*(VLOOKUP($B722,Lifetime_morbidity_array!$A$30:$Y$48,9)))+(SUM($AT722:$AU722)*(VLOOKUP($B722,Lifetime_morbidity_array!$A$30:$Y$48,12))))</f>
        <v>94.553575143228585</v>
      </c>
      <c r="CZ722" s="316">
        <f>(SUM($AM722:$AQ722))-((SUM($AM722:$AQ722)*VLOOKUP($B722,Lifetime_morbidity_array!$A$30:$Y$48,2))+(SUM($AM722:$AQ722)*VLOOKUP($B722,Lifetime_morbidity_array!$A$30:$Y$48,5))+(SUM($AM722:$AQ722)*VLOOKUP($B722,Lifetime_morbidity_array!$A$30:$Y$48,8))+(SUM($AM722:$AQ722)*VLOOKUP($B722,Lifetime_morbidity_array!$A$30:$Y$48,11)))</f>
        <v>146.84683122489071</v>
      </c>
      <c r="DA722" s="316">
        <f>(SUM($AM722:$AQ722)*VLOOKUP($B722,Lifetime_morbidity_array!$A$30:$Y$48,2))+(SUM($AR722:$AS722)*VLOOKUP($B722,Lifetime_morbidity_array!$A$30:$Y$48,4))+(SUM($AT722:$AU722)*(VLOOKUP($B722,Lifetime_morbidity_array!$A$30:$Y$48,3)))</f>
        <v>57.082316739472979</v>
      </c>
      <c r="DB722" s="316">
        <f>(SUM($AM722:$AQ722)*VLOOKUP($B722,Lifetime_morbidity_array!$A$30:$Y$48,5))+(SUM($AR722:$AS722)*VLOOKUP($B722,Lifetime_morbidity_array!$A$30:$Y$48,7))+(SUM($AT722:$AU722)*(VLOOKUP($B722,Lifetime_morbidity_array!$A$30:$Y$48,6)))</f>
        <v>13.729801278728987</v>
      </c>
      <c r="DC722" s="316">
        <f>(SUM($AM722:$AQ722)*VLOOKUP($B722,Lifetime_morbidity_array!$A$30:$Y$48,8))+(SUM($AR722:$AS722)*VLOOKUP($B722,Lifetime_morbidity_array!$A$30:$Y$48,10))+(SUM($AT722:$AU722)*(VLOOKUP($B722,Lifetime_morbidity_array!$A$30:$Y$48,9)))</f>
        <v>1.0593862662202069</v>
      </c>
      <c r="DD722" s="317">
        <f>(SUM($AM722:$AQ722)*VLOOKUP($B722,Lifetime_morbidity_array!$A$30:$Y$48,11))+(SUM($AR722:$AS722)*VLOOKUP($B722,Lifetime_morbidity_array!$A$30:$Y$48,13))+(SUM($AT722:$AU722)*(VLOOKUP($B722,Lifetime_morbidity_array!$A$30:$Y$48,12)))</f>
        <v>15.569237054498757</v>
      </c>
      <c r="DE722" s="309"/>
      <c r="DF722" s="315">
        <f ca="1">(SUM($CN722:$CO722))-((SUM($CN722:$CO722)*VLOOKUP($B722,Lifetime_morbidity_array!$A$6:$Y$24,4))+(SUM($CN722:$CO722)*VLOOKUP($B722,Lifetime_morbidity_array!$A$6:$Y$24,7))+(SUM($CN722:$CO722)*VLOOKUP($B722,Lifetime_morbidity_array!$A$6:$Y$24,10))+(SUM($CN722:$CO722)*VLOOKUP($B722,Lifetime_morbidity_array!$A$6:$Y$24,13)))</f>
        <v>101.38381580570243</v>
      </c>
      <c r="DG722" s="316">
        <f ca="1">(SUM($CP722:$CQ722))-(((SUM($CP722:$CQ722)*VLOOKUP($B722,Lifetime_morbidity_array!$A$6:$Y$24,3))+(SUM($CP722:$CQ722)*VLOOKUP($B722,Lifetime_morbidity_array!$A$6:$Y$24,6))+(SUM($CP722:$CQ722)*VLOOKUP($B722,Lifetime_morbidity_array!$A$6:$Y$24,9))+(SUM($CP722:$CQ722)*VLOOKUP($B722,Lifetime_morbidity_array!$A$6:$Y$24,12))))</f>
        <v>80.741458836755569</v>
      </c>
      <c r="DH722" s="316">
        <f ca="1">(SUM($CI722:$CM722))-((SUM($CI722:$CM722)*VLOOKUP($B722,Lifetime_morbidity_array!$A$6:$Y$24,2))+(SUM($CI722:$CM722)*VLOOKUP($B722,Lifetime_morbidity_array!$A$6:$Y$24,5))+(SUM($CI722:$CM722)*VLOOKUP($B722,Lifetime_morbidity_array!$A$6:$Y$24,8))+(SUM($CI722:$CM722)*VLOOKUP($B722,Lifetime_morbidity_array!$A$6:$Y$24,11)))</f>
        <v>205.45230355662687</v>
      </c>
      <c r="DI722" s="316">
        <f ca="1">(SUM($CI722:$CM722)*VLOOKUP($B722,Lifetime_morbidity_array!$A$6:$Y$24,2))+(SUM($CN722:$CO722)*VLOOKUP($B722,Lifetime_morbidity_array!$A$6:$Y$24,4))+(SUM($CP722:$CQ722)*VLOOKUP($B722,Lifetime_morbidity_array!$A$6:$Y$24,3))</f>
        <v>17.389306825683459</v>
      </c>
      <c r="DJ722" s="316">
        <f ca="1">(SUM($CI722:$CM722)*VLOOKUP($B722,Lifetime_morbidity_array!$A$6:$Y$24,5))+(SUM($CN722:$CO722)*VLOOKUP($B722,Lifetime_morbidity_array!$A$6:$Y$24,7))+(SUM($CP722:$CQ722)*VLOOKUP($B722,Lifetime_morbidity_array!$A$6:$Y$24,6))</f>
        <v>10.726623024930708</v>
      </c>
      <c r="DK722" s="316">
        <f ca="1">(SUM($CI722:$CM722)*VLOOKUP($B722,Lifetime_morbidity_array!$A$6:$Y$24,8))+(SUM($CN722:$CO722)*VLOOKUP($B722,Lifetime_morbidity_array!$A$6:$Y$24,10))+(SUM($CP722:$CQ722)*VLOOKUP($B722,Lifetime_morbidity_array!$A$6:$Y$24,9))</f>
        <v>0.4067363782576261</v>
      </c>
      <c r="DL722" s="317">
        <f ca="1">(SUM($CI722:$CM722)*VLOOKUP($B722,Lifetime_morbidity_array!$A$6:$Y$24,11))+(SUM($CN722:$CO722)*VLOOKUP($B722,Lifetime_morbidity_array!$A$6:$Y$24,13))+(SUM($CP722:$CQ722)*VLOOKUP($B722,Lifetime_morbidity_array!$A$6:$Y$24,12))</f>
        <v>10.657500331270716</v>
      </c>
      <c r="DM722" s="309"/>
      <c r="DN722" s="308">
        <f t="shared" si="266"/>
        <v>56</v>
      </c>
      <c r="DO722" s="309">
        <f t="shared" ca="1" si="267"/>
        <v>125.85784966332335</v>
      </c>
      <c r="DP722" s="310">
        <f t="shared" ca="1" si="298"/>
        <v>21660.256571526555</v>
      </c>
      <c r="DQ722" s="309"/>
      <c r="DR722" s="308">
        <f t="shared" si="268"/>
        <v>56</v>
      </c>
      <c r="DS722" s="309">
        <f ca="1">((VLOOKUP($B722,'Mahawesran Tariff'!$A$21:$M$120,4)*'Experimental (DET)'!$CX722)+(VLOOKUP($B722,'Mahawesran Tariff'!$A$21:$M$120,3)*'Experimental (DET)'!$CY722)+(VLOOKUP($B722,'Mahawesran Tariff'!$A$21:$M$120,2)*'Experimental (DET)'!$CZ722)+(VLOOKUP($B722,'Mahawesran Tariff'!$A$21:$M$120,7)*'Experimental (DET)'!$DF722)+(VLOOKUP($B722,'Mahawesran Tariff'!$A$21:$M$120,6)*'Experimental (DET)'!$DG722)+(VLOOKUP($B722,'Mahawesran Tariff'!$A$21:$M$120,5)*'Experimental (DET)'!$DH722)+(DET_UTIL_chd*('Experimental (DET)'!$DA722+'Experimental (DET)'!$DI722))+(DET_UTIL_copd*('Experimental (DET)'!$DB722+'Experimental (DET)'!$DJ722))+(DET_UTIL_lc*('Experimental (DET)'!$DC722+'Experimental (DET)'!$DK722))+(DET_UTIL_stroke*('Experimental (DET)'!$DD722+'Experimental (DET)'!$DL722)))/((1+Discount_rate_QALYs)^$A722)</f>
        <v>113.61861995080828</v>
      </c>
      <c r="DT722" s="310">
        <f t="shared" ca="1" si="299"/>
        <v>21479.707060466175</v>
      </c>
      <c r="DU722" s="309"/>
      <c r="DV722" s="308">
        <f t="shared" si="269"/>
        <v>56</v>
      </c>
      <c r="DW722" s="318">
        <f t="shared" ca="1" si="270"/>
        <v>107983.54913311385</v>
      </c>
      <c r="DX722" s="319">
        <f t="shared" ca="1" si="300"/>
        <v>6655472.9207957927</v>
      </c>
      <c r="DZ722" s="95">
        <f t="shared" si="271"/>
        <v>56</v>
      </c>
      <c r="EA722" s="268">
        <f t="shared" ca="1" si="304"/>
        <v>0.86405203179509338</v>
      </c>
      <c r="EB722" s="268">
        <f t="shared" ca="1" si="218"/>
        <v>0.13594796820490637</v>
      </c>
      <c r="EC722" s="268">
        <f t="shared" ca="1" si="219"/>
        <v>0.12662090789906344</v>
      </c>
      <c r="ED722" s="290">
        <f t="shared" ca="1" si="220"/>
        <v>0.48555183450098971</v>
      </c>
      <c r="EF722" s="95">
        <f t="shared" si="272"/>
        <v>56</v>
      </c>
      <c r="EG722" s="339">
        <f t="shared" ca="1" si="273"/>
        <v>107983.54913311385</v>
      </c>
      <c r="EH722" s="341">
        <f t="shared" ca="1" si="301"/>
        <v>9757488.6447593421</v>
      </c>
      <c r="EJ722" s="308">
        <f t="shared" si="274"/>
        <v>56</v>
      </c>
      <c r="EK722" s="318">
        <f t="shared" ca="1" si="275"/>
        <v>107983.54913311385</v>
      </c>
      <c r="EL722" s="319">
        <f t="shared" ca="1" si="302"/>
        <v>6652432.9207957918</v>
      </c>
      <c r="EN722" s="95">
        <f t="shared" si="276"/>
        <v>56</v>
      </c>
      <c r="EO722" s="339">
        <f t="shared" ca="1" si="277"/>
        <v>107983.54913311385</v>
      </c>
      <c r="EP722" s="341">
        <f t="shared" ca="1" si="303"/>
        <v>9757488.6447593421</v>
      </c>
    </row>
    <row r="723" spans="1:146" s="266" customFormat="1" x14ac:dyDescent="0.25">
      <c r="A723" s="313">
        <v>57</v>
      </c>
      <c r="B723" s="314">
        <v>57</v>
      </c>
      <c r="C723" s="308">
        <f>VLOOKUP($B723,'Infant adult mortality'!$A$27:$I$128,3)</f>
        <v>1.7981704361873991E-3</v>
      </c>
      <c r="D723" s="309">
        <f t="shared" si="221"/>
        <v>0.27</v>
      </c>
      <c r="E723" s="309">
        <f>VLOOKUP($B723,'Infant pick up smoking rates'!$A$19:$I$104,3)</f>
        <v>1.5201831243956284E-3</v>
      </c>
      <c r="F723" s="309">
        <f t="shared" si="222"/>
        <v>3.3260641049572007E-2</v>
      </c>
      <c r="G723" s="309">
        <f t="shared" si="223"/>
        <v>0.69342100538984497</v>
      </c>
      <c r="H723" s="309">
        <f>VLOOKUP($B723,'Infant adult mortality'!$A$27:$I$128,3)</f>
        <v>1.7981704361873991E-3</v>
      </c>
      <c r="I723" s="309">
        <f t="shared" si="224"/>
        <v>0.14000000000000001</v>
      </c>
      <c r="J723" s="309">
        <f>VLOOKUP($B723,'Infant pick up smoking rates'!$A$19:$I$104,2)</f>
        <v>1.5201831243956284E-3</v>
      </c>
      <c r="K723" s="309">
        <f t="shared" si="225"/>
        <v>3.3260641049572007E-2</v>
      </c>
      <c r="L723" s="309">
        <f t="shared" si="226"/>
        <v>0.82342100538984497</v>
      </c>
      <c r="M723" s="309">
        <f>VLOOKUP($B723,'Infant adult mortality'!$A$27:$I$128,3)</f>
        <v>1.7981704361873991E-3</v>
      </c>
      <c r="N723" s="309">
        <f t="shared" si="227"/>
        <v>0.5714285714285714</v>
      </c>
      <c r="O723" s="309">
        <f>VLOOKUP($B723,'Infant pick up smoking rates'!$A$19:$I$104,2)</f>
        <v>1.5201831243956284E-3</v>
      </c>
      <c r="P723" s="309">
        <f t="shared" si="228"/>
        <v>2.4255165595584115E-2</v>
      </c>
      <c r="Q723" s="309">
        <f t="shared" si="229"/>
        <v>0.40099790941526142</v>
      </c>
      <c r="R723" s="309">
        <f>VLOOKUP($B723,'Infant adult mortality'!$A$27:$I$128,3)</f>
        <v>1.7981704361873991E-3</v>
      </c>
      <c r="S723" s="309">
        <f t="shared" si="230"/>
        <v>8.6261668788331098E-3</v>
      </c>
      <c r="T723" s="309">
        <f>VLOOKUP($B723,'Infant pick up smoking rates'!$A$19:$I$104,2)</f>
        <v>1.5201831243956284E-3</v>
      </c>
      <c r="U723" s="309">
        <f t="shared" si="231"/>
        <v>2.4255165595584115E-2</v>
      </c>
      <c r="V723" s="309">
        <f t="shared" si="232"/>
        <v>0.96380031396499977</v>
      </c>
      <c r="W723" s="309">
        <f>VLOOKUP($B723,'Infant adult mortality'!$A$27:$I$128,3)</f>
        <v>1.7981704361873991E-3</v>
      </c>
      <c r="X723" s="309">
        <f>VLOOKUP($B723,'Infant pick up smoking rates'!$A$19:$I$104,2)</f>
        <v>1.5201831243956284E-3</v>
      </c>
      <c r="Y723" s="309">
        <f t="shared" si="233"/>
        <v>0.99668164643941703</v>
      </c>
      <c r="Z723" s="309">
        <f>VLOOKUP($B723,'Infant adult mortality'!$A$27:$I$128,5)</f>
        <v>3.8424063004846528E-3</v>
      </c>
      <c r="AA723" s="309">
        <f t="shared" si="234"/>
        <v>0.25</v>
      </c>
      <c r="AB723" s="309">
        <f t="shared" si="235"/>
        <v>0.7461575936995154</v>
      </c>
      <c r="AC723" s="309">
        <f>VLOOKUP($B723,'Infant adult mortality'!$A$27:$I$128,5)</f>
        <v>3.8424063004846528E-3</v>
      </c>
      <c r="AD723" s="309">
        <f t="shared" si="236"/>
        <v>0.14000000000000001</v>
      </c>
      <c r="AE723" s="309">
        <f t="shared" si="237"/>
        <v>0.85615759369951538</v>
      </c>
      <c r="AF723" s="309">
        <f>VLOOKUP($B723,'Infant adult mortality'!$A$27:$I$128,4)</f>
        <v>2.5363667205169629E-3</v>
      </c>
      <c r="AG723" s="309">
        <f t="shared" si="238"/>
        <v>0.5714285714285714</v>
      </c>
      <c r="AH723" s="309">
        <f t="shared" si="239"/>
        <v>0.42603506185091167</v>
      </c>
      <c r="AI723" s="309">
        <f>VLOOKUP($B723,'Infant adult mortality'!$A$27:$I$128,4)</f>
        <v>2.5363667205169629E-3</v>
      </c>
      <c r="AJ723" s="309">
        <f t="shared" si="240"/>
        <v>8.6261668788331098E-3</v>
      </c>
      <c r="AK723" s="309">
        <f t="shared" si="241"/>
        <v>0.98883746640064996</v>
      </c>
      <c r="AL723" s="309"/>
      <c r="AM723" s="315">
        <f t="shared" si="278"/>
        <v>36.90155115784173</v>
      </c>
      <c r="AN723" s="316">
        <f t="shared" si="279"/>
        <v>10.41814103944354</v>
      </c>
      <c r="AO723" s="316">
        <f t="shared" si="280"/>
        <v>1.5197799307396402</v>
      </c>
      <c r="AP723" s="316">
        <f t="shared" si="281"/>
        <v>64.999000849999405</v>
      </c>
      <c r="AQ723" s="316">
        <f t="shared" si="282"/>
        <v>47.958299917206389</v>
      </c>
      <c r="AR723" s="316">
        <f t="shared" si="283"/>
        <v>128.28642403343099</v>
      </c>
      <c r="AS723" s="316">
        <f t="shared" si="284"/>
        <v>32.485928893728392</v>
      </c>
      <c r="AT723" s="316">
        <f t="shared" si="285"/>
        <v>4.6059522876368648</v>
      </c>
      <c r="AU723" s="316">
        <f t="shared" si="286"/>
        <v>108.91722578924411</v>
      </c>
      <c r="AV723" s="316">
        <f t="shared" si="287"/>
        <v>73.907696100728444</v>
      </c>
      <c r="AW723" s="317">
        <f t="shared" si="242"/>
        <v>509.99999999999949</v>
      </c>
      <c r="AX723" s="309"/>
      <c r="AY723" s="308">
        <f>VLOOKUP($B723,'Infant adult mortality'!$A$134:$I$234,3)</f>
        <v>1.2947778675282714E-3</v>
      </c>
      <c r="AZ723" s="309">
        <f t="shared" si="243"/>
        <v>0.27</v>
      </c>
      <c r="BA723" s="309">
        <f ca="1">VLOOKUP($B723,'Infant pick up smoking rates'!$A$19:$I$104,7)</f>
        <v>0</v>
      </c>
      <c r="BB723" s="309">
        <f t="shared" si="244"/>
        <v>3.3260641049572007E-2</v>
      </c>
      <c r="BC723" s="309">
        <f t="shared" ca="1" si="245"/>
        <v>0.69544458108289964</v>
      </c>
      <c r="BD723" s="309">
        <f>VLOOKUP($B723,'Infant adult mortality'!$A$134:$I$234,3)</f>
        <v>1.2947778675282714E-3</v>
      </c>
      <c r="BE723" s="309">
        <f t="shared" si="246"/>
        <v>0.14000000000000001</v>
      </c>
      <c r="BF723" s="309">
        <f>VLOOKUP($B723,'Infant pick up smoking rates'!$A$19:$I$104,6)</f>
        <v>0</v>
      </c>
      <c r="BG723" s="309">
        <f t="shared" si="247"/>
        <v>3.3260641049572007E-2</v>
      </c>
      <c r="BH723" s="309">
        <f t="shared" si="248"/>
        <v>0.82544458108289964</v>
      </c>
      <c r="BI723" s="309">
        <f>VLOOKUP($B723,'Infant adult mortality'!$A$134:$I$234,3)</f>
        <v>1.2947778675282714E-3</v>
      </c>
      <c r="BJ723" s="309">
        <f t="shared" si="249"/>
        <v>0.5714285714285714</v>
      </c>
      <c r="BK723" s="309">
        <f>VLOOKUP($B723,'Infant pick up smoking rates'!$A$19:$I$104,6)</f>
        <v>0</v>
      </c>
      <c r="BL723" s="309">
        <f t="shared" si="250"/>
        <v>2.4255165595584115E-2</v>
      </c>
      <c r="BM723" s="309">
        <f t="shared" si="251"/>
        <v>0.40302148510831615</v>
      </c>
      <c r="BN723" s="309">
        <f>VLOOKUP($B723,'Infant adult mortality'!$A$134:$I$234,3)</f>
        <v>1.2947778675282714E-3</v>
      </c>
      <c r="BO723" s="309">
        <f t="shared" si="252"/>
        <v>8.6261668788331098E-3</v>
      </c>
      <c r="BP723" s="309">
        <f>VLOOKUP($B723,'Infant pick up smoking rates'!$A$19:$I$104,6)</f>
        <v>0</v>
      </c>
      <c r="BQ723" s="309">
        <f t="shared" si="253"/>
        <v>2.4255165595584115E-2</v>
      </c>
      <c r="BR723" s="309">
        <f t="shared" si="254"/>
        <v>0.96582388965805444</v>
      </c>
      <c r="BS723" s="309">
        <f>VLOOKUP($B723,'Infant adult mortality'!$A$134:$I$234,3)</f>
        <v>1.2947778675282714E-3</v>
      </c>
      <c r="BT723" s="309">
        <f>VLOOKUP($B723,'Infant pick up smoking rates'!$A$19:$I$104,6)</f>
        <v>0</v>
      </c>
      <c r="BU723" s="309">
        <f t="shared" si="255"/>
        <v>0.9987052221324717</v>
      </c>
      <c r="BV723" s="309">
        <f>VLOOKUP($B723,'Infant adult mortality'!$A$134:$I$234,5)</f>
        <v>2.7667358642972538E-3</v>
      </c>
      <c r="BW723" s="309">
        <f t="shared" si="256"/>
        <v>0.27</v>
      </c>
      <c r="BX723" s="309">
        <f t="shared" si="257"/>
        <v>0.72723326413570277</v>
      </c>
      <c r="BY723" s="309">
        <f>VLOOKUP($B723,'Infant adult mortality'!$A$134:$I$234,5)</f>
        <v>2.7667358642972538E-3</v>
      </c>
      <c r="BZ723" s="309">
        <f t="shared" si="258"/>
        <v>0.14000000000000001</v>
      </c>
      <c r="CA723" s="309">
        <f t="shared" si="259"/>
        <v>0.85723326413570278</v>
      </c>
      <c r="CB723" s="309">
        <f>VLOOKUP($B723,'Infant adult mortality'!$A$134:$I$234,4)</f>
        <v>1.8263182552504039E-3</v>
      </c>
      <c r="CC723" s="309">
        <f t="shared" si="260"/>
        <v>0.5714285714285714</v>
      </c>
      <c r="CD723" s="309">
        <f t="shared" si="261"/>
        <v>0.42674511031617818</v>
      </c>
      <c r="CE723" s="309">
        <f>VLOOKUP($B723,'Infant adult mortality'!$A$134:$I$234,4)</f>
        <v>1.8263182552504039E-3</v>
      </c>
      <c r="CF723" s="309">
        <f t="shared" si="262"/>
        <v>8.6261668788331098E-3</v>
      </c>
      <c r="CG723" s="309">
        <f t="shared" si="263"/>
        <v>0.98954751486591652</v>
      </c>
      <c r="CH723" s="309"/>
      <c r="CI723" s="315">
        <f t="shared" ca="1" si="288"/>
        <v>49.605506696704317</v>
      </c>
      <c r="CJ723" s="316">
        <f t="shared" ca="1" si="289"/>
        <v>13.976437289932251</v>
      </c>
      <c r="CK723" s="316">
        <f t="shared" ca="1" si="290"/>
        <v>2.0348742484511129</v>
      </c>
      <c r="CL723" s="316">
        <f t="shared" ca="1" si="291"/>
        <v>86.093543370273466</v>
      </c>
      <c r="CM723" s="316">
        <f t="shared" ca="1" si="292"/>
        <v>64.174491025549415</v>
      </c>
      <c r="CN723" s="316">
        <f t="shared" ca="1" si="293"/>
        <v>95.034441437457531</v>
      </c>
      <c r="CO723" s="316">
        <f t="shared" ca="1" si="294"/>
        <v>26.022016487947884</v>
      </c>
      <c r="CP723" s="316">
        <f t="shared" ca="1" si="295"/>
        <v>3.6944133869310236</v>
      </c>
      <c r="CQ723" s="316">
        <f t="shared" ca="1" si="296"/>
        <v>85.342073860834944</v>
      </c>
      <c r="CR723" s="316">
        <f t="shared" ca="1" si="297"/>
        <v>64.022202195918283</v>
      </c>
      <c r="CS723" s="317">
        <f t="shared" ca="1" si="264"/>
        <v>490.00000000000023</v>
      </c>
      <c r="CT723" s="309"/>
      <c r="CU723" s="309">
        <f t="shared" ca="1" si="265"/>
        <v>999.99999999999977</v>
      </c>
      <c r="CV723" s="309" t="str">
        <f t="shared" ca="1" si="216"/>
        <v>OKAY</v>
      </c>
      <c r="CW723" s="309"/>
      <c r="CX723" s="315">
        <f>(SUM($AR723:$AS723))-((SUM($AR723:$AS723)*VLOOKUP($B723,Lifetime_morbidity_array!$A$30:$Y$48,4))+(SUM($AR723:$AS723)*VLOOKUP($B723,Lifetime_morbidity_array!$A$30:$Y$48,7))+(SUM($AR723:$AS723)*VLOOKUP($B723,Lifetime_morbidity_array!$A$30:$Y$48,10))+(SUM($AR723:$AS723)*VLOOKUP($B723,Lifetime_morbidity_array!$A$30:$Y$48,13)))</f>
        <v>107.073845752773</v>
      </c>
      <c r="CY723" s="316">
        <f>(SUM($AT723:$AU723))-((SUM($AT723:$AU723)*(VLOOKUP($B723,Lifetime_morbidity_array!$A$30:$Y$48,3)))+(SUM($AT723:$AU723)*(VLOOKUP($B723,Lifetime_morbidity_array!$A$30:$Y$48,6)))+(SUM($AT723:$AU723)*(VLOOKUP($B723,Lifetime_morbidity_array!$A$30:$Y$48,9)))+(SUM($AT723:$AU723)*(VLOOKUP($B723,Lifetime_morbidity_array!$A$30:$Y$48,12))))</f>
        <v>95.74079281083219</v>
      </c>
      <c r="CZ723" s="316">
        <f>(SUM($AM723:$AQ723))-((SUM($AM723:$AQ723)*VLOOKUP($B723,Lifetime_morbidity_array!$A$30:$Y$48,2))+(SUM($AM723:$AQ723)*VLOOKUP($B723,Lifetime_morbidity_array!$A$30:$Y$48,5))+(SUM($AM723:$AQ723)*VLOOKUP($B723,Lifetime_morbidity_array!$A$30:$Y$48,8))+(SUM($AM723:$AQ723)*VLOOKUP($B723,Lifetime_morbidity_array!$A$30:$Y$48,11)))</f>
        <v>146.35954151963526</v>
      </c>
      <c r="DA723" s="316">
        <f>(SUM($AM723:$AQ723)*VLOOKUP($B723,Lifetime_morbidity_array!$A$30:$Y$48,2))+(SUM($AR723:$AS723)*VLOOKUP($B723,Lifetime_morbidity_array!$A$30:$Y$48,4))+(SUM($AT723:$AU723)*(VLOOKUP($B723,Lifetime_morbidity_array!$A$30:$Y$48,3)))</f>
        <v>56.762569078645598</v>
      </c>
      <c r="DB723" s="316">
        <f>(SUM($AM723:$AQ723)*VLOOKUP($B723,Lifetime_morbidity_array!$A$30:$Y$48,5))+(SUM($AR723:$AS723)*VLOOKUP($B723,Lifetime_morbidity_array!$A$30:$Y$48,7))+(SUM($AT723:$AU723)*(VLOOKUP($B723,Lifetime_morbidity_array!$A$30:$Y$48,6)))</f>
        <v>13.612282865512057</v>
      </c>
      <c r="DC723" s="316">
        <f>(SUM($AM723:$AQ723)*VLOOKUP($B723,Lifetime_morbidity_array!$A$30:$Y$48,8))+(SUM($AR723:$AS723)*VLOOKUP($B723,Lifetime_morbidity_array!$A$30:$Y$48,10))+(SUM($AT723:$AU723)*(VLOOKUP($B723,Lifetime_morbidity_array!$A$30:$Y$48,9)))</f>
        <v>1.0499768810752048</v>
      </c>
      <c r="DD723" s="317">
        <f>(SUM($AM723:$AQ723)*VLOOKUP($B723,Lifetime_morbidity_array!$A$30:$Y$48,11))+(SUM($AR723:$AS723)*VLOOKUP($B723,Lifetime_morbidity_array!$A$30:$Y$48,13))+(SUM($AT723:$AU723)*(VLOOKUP($B723,Lifetime_morbidity_array!$A$30:$Y$48,12)))</f>
        <v>15.493294990797764</v>
      </c>
      <c r="DE723" s="309"/>
      <c r="DF723" s="315">
        <f ca="1">(SUM($CN723:$CO723))-((SUM($CN723:$CO723)*VLOOKUP($B723,Lifetime_morbidity_array!$A$6:$Y$24,4))+(SUM($CN723:$CO723)*VLOOKUP($B723,Lifetime_morbidity_array!$A$6:$Y$24,7))+(SUM($CN723:$CO723)*VLOOKUP($B723,Lifetime_morbidity_array!$A$6:$Y$24,10))+(SUM($CN723:$CO723)*VLOOKUP($B723,Lifetime_morbidity_array!$A$6:$Y$24,13)))</f>
        <v>99.971613128919543</v>
      </c>
      <c r="DG723" s="316">
        <f ca="1">(SUM($CP723:$CQ723))-(((SUM($CP723:$CQ723)*VLOOKUP($B723,Lifetime_morbidity_array!$A$6:$Y$24,3))+(SUM($CP723:$CQ723)*VLOOKUP($B723,Lifetime_morbidity_array!$A$6:$Y$24,6))+(SUM($CP723:$CQ723)*VLOOKUP($B723,Lifetime_morbidity_array!$A$6:$Y$24,9))+(SUM($CP723:$CQ723)*VLOOKUP($B723,Lifetime_morbidity_array!$A$6:$Y$24,12))))</f>
        <v>81.853834492969312</v>
      </c>
      <c r="DH723" s="316">
        <f ca="1">(SUM($CI723:$CM723))-((SUM($CI723:$CM723)*VLOOKUP($B723,Lifetime_morbidity_array!$A$6:$Y$24,2))+(SUM($CI723:$CM723)*VLOOKUP($B723,Lifetime_morbidity_array!$A$6:$Y$24,5))+(SUM($CI723:$CM723)*VLOOKUP($B723,Lifetime_morbidity_array!$A$6:$Y$24,8))+(SUM($CI723:$CM723)*VLOOKUP($B723,Lifetime_morbidity_array!$A$6:$Y$24,11)))</f>
        <v>205.18628846114905</v>
      </c>
      <c r="DI723" s="316">
        <f ca="1">(SUM($CI723:$CM723)*VLOOKUP($B723,Lifetime_morbidity_array!$A$6:$Y$24,2))+(SUM($CN723:$CO723)*VLOOKUP($B723,Lifetime_morbidity_array!$A$6:$Y$24,4))+(SUM($CP723:$CQ723)*VLOOKUP($B723,Lifetime_morbidity_array!$A$6:$Y$24,3))</f>
        <v>17.283888661882962</v>
      </c>
      <c r="DJ723" s="316">
        <f ca="1">(SUM($CI723:$CM723)*VLOOKUP($B723,Lifetime_morbidity_array!$A$6:$Y$24,5))+(SUM($CN723:$CO723)*VLOOKUP($B723,Lifetime_morbidity_array!$A$6:$Y$24,7))+(SUM($CP723:$CQ723)*VLOOKUP($B723,Lifetime_morbidity_array!$A$6:$Y$24,6))</f>
        <v>10.666335371198928</v>
      </c>
      <c r="DK723" s="316">
        <f ca="1">(SUM($CI723:$CM723)*VLOOKUP($B723,Lifetime_morbidity_array!$A$6:$Y$24,8))+(SUM($CN723:$CO723)*VLOOKUP($B723,Lifetime_morbidity_array!$A$6:$Y$24,10))+(SUM($CP723:$CQ723)*VLOOKUP($B723,Lifetime_morbidity_array!$A$6:$Y$24,9))</f>
        <v>0.40310305193837281</v>
      </c>
      <c r="DL723" s="317">
        <f ca="1">(SUM($CI723:$CM723)*VLOOKUP($B723,Lifetime_morbidity_array!$A$6:$Y$24,11))+(SUM($CN723:$CO723)*VLOOKUP($B723,Lifetime_morbidity_array!$A$6:$Y$24,13))+(SUM($CP723:$CQ723)*VLOOKUP($B723,Lifetime_morbidity_array!$A$6:$Y$24,12))</f>
        <v>10.612734636023731</v>
      </c>
      <c r="DM723" s="309"/>
      <c r="DN723" s="308">
        <f t="shared" si="266"/>
        <v>57</v>
      </c>
      <c r="DO723" s="309">
        <f t="shared" ca="1" si="267"/>
        <v>121.32286150310561</v>
      </c>
      <c r="DP723" s="310">
        <f t="shared" ca="1" si="298"/>
        <v>21781.579433029659</v>
      </c>
      <c r="DQ723" s="309"/>
      <c r="DR723" s="308">
        <f t="shared" si="268"/>
        <v>57</v>
      </c>
      <c r="DS723" s="309">
        <f ca="1">((VLOOKUP($B723,'Mahawesran Tariff'!$A$21:$M$120,4)*'Experimental (DET)'!$CX723)+(VLOOKUP($B723,'Mahawesran Tariff'!$A$21:$M$120,3)*'Experimental (DET)'!$CY723)+(VLOOKUP($B723,'Mahawesran Tariff'!$A$21:$M$120,2)*'Experimental (DET)'!$CZ723)+(VLOOKUP($B723,'Mahawesran Tariff'!$A$21:$M$120,7)*'Experimental (DET)'!$DF723)+(VLOOKUP($B723,'Mahawesran Tariff'!$A$21:$M$120,6)*'Experimental (DET)'!$DG723)+(VLOOKUP($B723,'Mahawesran Tariff'!$A$21:$M$120,5)*'Experimental (DET)'!$DH723)+(DET_UTIL_chd*('Experimental (DET)'!$DA723+'Experimental (DET)'!$DI723))+(DET_UTIL_copd*('Experimental (DET)'!$DB723+'Experimental (DET)'!$DJ723))+(DET_UTIL_lc*('Experimental (DET)'!$DC723+'Experimental (DET)'!$DK723))+(DET_UTIL_stroke*('Experimental (DET)'!$DD723+'Experimental (DET)'!$DL723)))/((1+Discount_rate_QALYs)^$A723)</f>
        <v>109.54257791064856</v>
      </c>
      <c r="DT723" s="310">
        <f t="shared" ca="1" si="299"/>
        <v>21589.249638376823</v>
      </c>
      <c r="DU723" s="309"/>
      <c r="DV723" s="308">
        <f t="shared" si="269"/>
        <v>57</v>
      </c>
      <c r="DW723" s="318">
        <f t="shared" ca="1" si="270"/>
        <v>103814.21057021836</v>
      </c>
      <c r="DX723" s="319">
        <f t="shared" ca="1" si="300"/>
        <v>6759287.1313660108</v>
      </c>
      <c r="DZ723" s="95">
        <f t="shared" si="271"/>
        <v>57</v>
      </c>
      <c r="EA723" s="268">
        <f t="shared" ca="1" si="304"/>
        <v>0.86207010170335296</v>
      </c>
      <c r="EB723" s="268">
        <f t="shared" ca="1" si="218"/>
        <v>0.13792989829664673</v>
      </c>
      <c r="EC723" s="268">
        <f t="shared" ca="1" si="219"/>
        <v>0.12588418553707462</v>
      </c>
      <c r="ED723" s="290">
        <f t="shared" ca="1" si="220"/>
        <v>0.4843884761772117</v>
      </c>
      <c r="EF723" s="95">
        <f t="shared" si="272"/>
        <v>57</v>
      </c>
      <c r="EG723" s="339">
        <f t="shared" ca="1" si="273"/>
        <v>103814.21057021836</v>
      </c>
      <c r="EH723" s="341">
        <f t="shared" ca="1" si="301"/>
        <v>9861302.8553295601</v>
      </c>
      <c r="EJ723" s="308">
        <f t="shared" si="274"/>
        <v>57</v>
      </c>
      <c r="EK723" s="318">
        <f t="shared" ca="1" si="275"/>
        <v>103814.21057021836</v>
      </c>
      <c r="EL723" s="319">
        <f t="shared" ca="1" si="302"/>
        <v>6756247.1313660098</v>
      </c>
      <c r="EN723" s="95">
        <f t="shared" si="276"/>
        <v>57</v>
      </c>
      <c r="EO723" s="339">
        <f t="shared" ca="1" si="277"/>
        <v>103814.21057021836</v>
      </c>
      <c r="EP723" s="341">
        <f t="shared" ca="1" si="303"/>
        <v>9861302.8553295601</v>
      </c>
    </row>
    <row r="724" spans="1:146" s="266" customFormat="1" x14ac:dyDescent="0.25">
      <c r="A724" s="313">
        <v>58</v>
      </c>
      <c r="B724" s="314">
        <v>58</v>
      </c>
      <c r="C724" s="308">
        <f>VLOOKUP($B724,'Infant adult mortality'!$A$27:$I$128,3)</f>
        <v>1.9610056542810985E-3</v>
      </c>
      <c r="D724" s="309">
        <f t="shared" si="221"/>
        <v>0.27</v>
      </c>
      <c r="E724" s="309">
        <f>VLOOKUP($B724,'Infant pick up smoking rates'!$A$19:$I$104,3)</f>
        <v>1.5201831243956284E-3</v>
      </c>
      <c r="F724" s="309">
        <f t="shared" si="222"/>
        <v>3.2106038034865295E-2</v>
      </c>
      <c r="G724" s="309">
        <f t="shared" si="223"/>
        <v>0.69441277318645789</v>
      </c>
      <c r="H724" s="309">
        <f>VLOOKUP($B724,'Infant adult mortality'!$A$27:$I$128,3)</f>
        <v>1.9610056542810985E-3</v>
      </c>
      <c r="I724" s="309">
        <f t="shared" si="224"/>
        <v>0.14000000000000001</v>
      </c>
      <c r="J724" s="309">
        <f>VLOOKUP($B724,'Infant pick up smoking rates'!$A$19:$I$104,2)</f>
        <v>1.5201831243956284E-3</v>
      </c>
      <c r="K724" s="309">
        <f t="shared" si="225"/>
        <v>3.2106038034865295E-2</v>
      </c>
      <c r="L724" s="309">
        <f t="shared" si="226"/>
        <v>0.82441277318645789</v>
      </c>
      <c r="M724" s="309">
        <f>VLOOKUP($B724,'Infant adult mortality'!$A$27:$I$128,3)</f>
        <v>1.9610056542810985E-3</v>
      </c>
      <c r="N724" s="309">
        <f t="shared" si="227"/>
        <v>0.5714285714285714</v>
      </c>
      <c r="O724" s="309">
        <f>VLOOKUP($B724,'Infant pick up smoking rates'!$A$19:$I$104,2)</f>
        <v>1.5201831243956284E-3</v>
      </c>
      <c r="P724" s="309">
        <f t="shared" si="228"/>
        <v>2.6380681458003173E-2</v>
      </c>
      <c r="Q724" s="309">
        <f t="shared" si="229"/>
        <v>0.39870955833474869</v>
      </c>
      <c r="R724" s="309">
        <f>VLOOKUP($B724,'Infant adult mortality'!$A$27:$I$128,3)</f>
        <v>1.9610056542810985E-3</v>
      </c>
      <c r="S724" s="309">
        <f t="shared" si="230"/>
        <v>8.6261668788331098E-3</v>
      </c>
      <c r="T724" s="309">
        <f>VLOOKUP($B724,'Infant pick up smoking rates'!$A$19:$I$104,2)</f>
        <v>1.5201831243956284E-3</v>
      </c>
      <c r="U724" s="309">
        <f t="shared" si="231"/>
        <v>2.6380681458003173E-2</v>
      </c>
      <c r="V724" s="309">
        <f t="shared" si="232"/>
        <v>0.96151196288448693</v>
      </c>
      <c r="W724" s="309">
        <f>VLOOKUP($B724,'Infant adult mortality'!$A$27:$I$128,3)</f>
        <v>1.9610056542810985E-3</v>
      </c>
      <c r="X724" s="309">
        <f>VLOOKUP($B724,'Infant pick up smoking rates'!$A$19:$I$104,2)</f>
        <v>1.5201831243956284E-3</v>
      </c>
      <c r="Y724" s="309">
        <f t="shared" si="233"/>
        <v>0.99651881122132324</v>
      </c>
      <c r="Z724" s="309">
        <f>VLOOKUP($B724,'Infant adult mortality'!$A$27:$I$128,5)</f>
        <v>4.1903594507269786E-3</v>
      </c>
      <c r="AA724" s="309">
        <f t="shared" si="234"/>
        <v>0.25</v>
      </c>
      <c r="AB724" s="309">
        <f t="shared" si="235"/>
        <v>0.74580964054927301</v>
      </c>
      <c r="AC724" s="309">
        <f>VLOOKUP($B724,'Infant adult mortality'!$A$27:$I$128,5)</f>
        <v>4.1903594507269786E-3</v>
      </c>
      <c r="AD724" s="309">
        <f t="shared" si="236"/>
        <v>0.14000000000000001</v>
      </c>
      <c r="AE724" s="309">
        <f t="shared" si="237"/>
        <v>0.855809640549273</v>
      </c>
      <c r="AF724" s="309">
        <f>VLOOKUP($B724,'Infant adult mortality'!$A$27:$I$128,4)</f>
        <v>2.766050080775444E-3</v>
      </c>
      <c r="AG724" s="309">
        <f t="shared" si="238"/>
        <v>0.5714285714285714</v>
      </c>
      <c r="AH724" s="309">
        <f t="shared" si="239"/>
        <v>0.42580537849065314</v>
      </c>
      <c r="AI724" s="309">
        <f>VLOOKUP($B724,'Infant adult mortality'!$A$27:$I$128,4)</f>
        <v>2.766050080775444E-3</v>
      </c>
      <c r="AJ724" s="309">
        <f t="shared" si="240"/>
        <v>8.6261668788331098E-3</v>
      </c>
      <c r="AK724" s="309">
        <f t="shared" si="241"/>
        <v>0.98860778304039143</v>
      </c>
      <c r="AL724" s="309"/>
      <c r="AM724" s="315">
        <f t="shared" si="278"/>
        <v>35.380400033414844</v>
      </c>
      <c r="AN724" s="316">
        <f t="shared" si="279"/>
        <v>9.9634188126172685</v>
      </c>
      <c r="AO724" s="316">
        <f t="shared" si="280"/>
        <v>1.4585397455220959</v>
      </c>
      <c r="AP724" s="316">
        <f t="shared" si="281"/>
        <v>63.365762567521728</v>
      </c>
      <c r="AQ724" s="316">
        <f t="shared" si="282"/>
        <v>51.065406625925775</v>
      </c>
      <c r="AR724" s="316">
        <f t="shared" si="283"/>
        <v>126.6257610716974</v>
      </c>
      <c r="AS724" s="316">
        <f t="shared" si="284"/>
        <v>32.071606008357747</v>
      </c>
      <c r="AT724" s="316">
        <f t="shared" si="285"/>
        <v>4.5480300451219753</v>
      </c>
      <c r="AU724" s="316">
        <f t="shared" si="286"/>
        <v>110.30838985820687</v>
      </c>
      <c r="AV724" s="316">
        <f t="shared" si="287"/>
        <v>75.212685231613804</v>
      </c>
      <c r="AW724" s="317">
        <f t="shared" si="242"/>
        <v>509.99999999999949</v>
      </c>
      <c r="AX724" s="309"/>
      <c r="AY724" s="308">
        <f>VLOOKUP($B724,'Infant adult mortality'!$A$134:$I$234,3)</f>
        <v>1.4000605815831988E-3</v>
      </c>
      <c r="AZ724" s="309">
        <f t="shared" si="243"/>
        <v>0.27</v>
      </c>
      <c r="BA724" s="309">
        <f ca="1">VLOOKUP($B724,'Infant pick up smoking rates'!$A$19:$I$104,7)</f>
        <v>0</v>
      </c>
      <c r="BB724" s="309">
        <f t="shared" si="244"/>
        <v>3.2106038034865295E-2</v>
      </c>
      <c r="BC724" s="309">
        <f t="shared" ca="1" si="245"/>
        <v>0.69649390138355149</v>
      </c>
      <c r="BD724" s="309">
        <f>VLOOKUP($B724,'Infant adult mortality'!$A$134:$I$234,3)</f>
        <v>1.4000605815831988E-3</v>
      </c>
      <c r="BE724" s="309">
        <f t="shared" si="246"/>
        <v>0.14000000000000001</v>
      </c>
      <c r="BF724" s="309">
        <f>VLOOKUP($B724,'Infant pick up smoking rates'!$A$19:$I$104,6)</f>
        <v>0</v>
      </c>
      <c r="BG724" s="309">
        <f t="shared" si="247"/>
        <v>3.2106038034865295E-2</v>
      </c>
      <c r="BH724" s="309">
        <f t="shared" si="248"/>
        <v>0.8264939013835515</v>
      </c>
      <c r="BI724" s="309">
        <f>VLOOKUP($B724,'Infant adult mortality'!$A$134:$I$234,3)</f>
        <v>1.4000605815831988E-3</v>
      </c>
      <c r="BJ724" s="309">
        <f t="shared" si="249"/>
        <v>0.5714285714285714</v>
      </c>
      <c r="BK724" s="309">
        <f>VLOOKUP($B724,'Infant pick up smoking rates'!$A$19:$I$104,6)</f>
        <v>0</v>
      </c>
      <c r="BL724" s="309">
        <f t="shared" si="250"/>
        <v>2.6380681458003173E-2</v>
      </c>
      <c r="BM724" s="309">
        <f t="shared" si="251"/>
        <v>0.40079068653184219</v>
      </c>
      <c r="BN724" s="309">
        <f>VLOOKUP($B724,'Infant adult mortality'!$A$134:$I$234,3)</f>
        <v>1.4000605815831988E-3</v>
      </c>
      <c r="BO724" s="309">
        <f t="shared" si="252"/>
        <v>8.6261668788331098E-3</v>
      </c>
      <c r="BP724" s="309">
        <f>VLOOKUP($B724,'Infant pick up smoking rates'!$A$19:$I$104,6)</f>
        <v>0</v>
      </c>
      <c r="BQ724" s="309">
        <f t="shared" si="253"/>
        <v>2.6380681458003173E-2</v>
      </c>
      <c r="BR724" s="309">
        <f t="shared" si="254"/>
        <v>0.96359309108158053</v>
      </c>
      <c r="BS724" s="309">
        <f>VLOOKUP($B724,'Infant adult mortality'!$A$134:$I$234,3)</f>
        <v>1.4000605815831988E-3</v>
      </c>
      <c r="BT724" s="309">
        <f>VLOOKUP($B724,'Infant pick up smoking rates'!$A$19:$I$104,6)</f>
        <v>0</v>
      </c>
      <c r="BU724" s="309">
        <f t="shared" si="255"/>
        <v>0.99859993941841685</v>
      </c>
      <c r="BV724" s="309">
        <f>VLOOKUP($B724,'Infant adult mortality'!$A$134:$I$234,5)</f>
        <v>2.9917084006462038E-3</v>
      </c>
      <c r="BW724" s="309">
        <f t="shared" si="256"/>
        <v>0.27</v>
      </c>
      <c r="BX724" s="309">
        <f t="shared" si="257"/>
        <v>0.72700829159935376</v>
      </c>
      <c r="BY724" s="309">
        <f>VLOOKUP($B724,'Infant adult mortality'!$A$134:$I$234,5)</f>
        <v>2.9917084006462038E-3</v>
      </c>
      <c r="BZ724" s="309">
        <f t="shared" si="258"/>
        <v>0.14000000000000001</v>
      </c>
      <c r="CA724" s="309">
        <f t="shared" si="259"/>
        <v>0.85700829159935377</v>
      </c>
      <c r="CB724" s="309">
        <f>VLOOKUP($B724,'Infant adult mortality'!$A$134:$I$234,4)</f>
        <v>1.9748222940226172E-3</v>
      </c>
      <c r="CC724" s="309">
        <f t="shared" si="260"/>
        <v>0.5714285714285714</v>
      </c>
      <c r="CD724" s="309">
        <f t="shared" si="261"/>
        <v>0.42659660627740598</v>
      </c>
      <c r="CE724" s="309">
        <f>VLOOKUP($B724,'Infant adult mortality'!$A$134:$I$234,4)</f>
        <v>1.9748222940226172E-3</v>
      </c>
      <c r="CF724" s="309">
        <f t="shared" si="262"/>
        <v>8.6261668788331098E-3</v>
      </c>
      <c r="CG724" s="309">
        <f t="shared" si="263"/>
        <v>0.98939901082714432</v>
      </c>
      <c r="CH724" s="309"/>
      <c r="CI724" s="315">
        <f t="shared" ca="1" si="288"/>
        <v>47.659588991838859</v>
      </c>
      <c r="CJ724" s="316">
        <f t="shared" ca="1" si="289"/>
        <v>13.393486808110167</v>
      </c>
      <c r="CK724" s="316">
        <f t="shared" ca="1" si="290"/>
        <v>1.9567012205905154</v>
      </c>
      <c r="CL724" s="316">
        <f t="shared" ca="1" si="291"/>
        <v>84.121928863157137</v>
      </c>
      <c r="CM724" s="316">
        <f t="shared" ca="1" si="292"/>
        <v>68.450894874884469</v>
      </c>
      <c r="CN724" s="316">
        <f t="shared" ca="1" si="293"/>
        <v>93.704109990811105</v>
      </c>
      <c r="CO724" s="316">
        <f t="shared" ca="1" si="294"/>
        <v>25.659299188113536</v>
      </c>
      <c r="CP724" s="316">
        <f t="shared" ca="1" si="295"/>
        <v>3.643082308312704</v>
      </c>
      <c r="CQ724" s="316">
        <f t="shared" ca="1" si="296"/>
        <v>86.548456823807754</v>
      </c>
      <c r="CR724" s="316">
        <f t="shared" ca="1" si="297"/>
        <v>64.86245093037401</v>
      </c>
      <c r="CS724" s="317">
        <f t="shared" ca="1" si="264"/>
        <v>490.00000000000028</v>
      </c>
      <c r="CT724" s="309"/>
      <c r="CU724" s="309">
        <f t="shared" ca="1" si="265"/>
        <v>999.99999999999977</v>
      </c>
      <c r="CV724" s="309" t="str">
        <f t="shared" ca="1" si="216"/>
        <v>OKAY</v>
      </c>
      <c r="CW724" s="309"/>
      <c r="CX724" s="315">
        <f>(SUM($AR724:$AS724))-((SUM($AR724:$AS724)*VLOOKUP($B724,Lifetime_morbidity_array!$A$30:$Y$48,4))+(SUM($AR724:$AS724)*VLOOKUP($B724,Lifetime_morbidity_array!$A$30:$Y$48,7))+(SUM($AR724:$AS724)*VLOOKUP($B724,Lifetime_morbidity_array!$A$30:$Y$48,10))+(SUM($AR724:$AS724)*VLOOKUP($B724,Lifetime_morbidity_array!$A$30:$Y$48,13)))</f>
        <v>105.69191216477176</v>
      </c>
      <c r="CY724" s="316">
        <f>(SUM($AT724:$AU724))-((SUM($AT724:$AU724)*(VLOOKUP($B724,Lifetime_morbidity_array!$A$30:$Y$48,3)))+(SUM($AT724:$AU724)*(VLOOKUP($B724,Lifetime_morbidity_array!$A$30:$Y$48,6)))+(SUM($AT724:$AU724)*(VLOOKUP($B724,Lifetime_morbidity_array!$A$30:$Y$48,9)))+(SUM($AT724:$AU724)*(VLOOKUP($B724,Lifetime_morbidity_array!$A$30:$Y$48,12))))</f>
        <v>96.865194291085288</v>
      </c>
      <c r="CZ724" s="316">
        <f>(SUM($AM724:$AQ724))-((SUM($AM724:$AQ724)*VLOOKUP($B724,Lifetime_morbidity_array!$A$30:$Y$48,2))+(SUM($AM724:$AQ724)*VLOOKUP($B724,Lifetime_morbidity_array!$A$30:$Y$48,5))+(SUM($AM724:$AQ724)*VLOOKUP($B724,Lifetime_morbidity_array!$A$30:$Y$48,8))+(SUM($AM724:$AQ724)*VLOOKUP($B724,Lifetime_morbidity_array!$A$30:$Y$48,11)))</f>
        <v>145.85003632604483</v>
      </c>
      <c r="DA724" s="316">
        <f>(SUM($AM724:$AQ724)*VLOOKUP($B724,Lifetime_morbidity_array!$A$30:$Y$48,2))+(SUM($AR724:$AS724)*VLOOKUP($B724,Lifetime_morbidity_array!$A$30:$Y$48,4))+(SUM($AT724:$AU724)*(VLOOKUP($B724,Lifetime_morbidity_array!$A$30:$Y$48,3)))</f>
        <v>56.432401173114158</v>
      </c>
      <c r="DB724" s="316">
        <f>(SUM($AM724:$AQ724)*VLOOKUP($B724,Lifetime_morbidity_array!$A$30:$Y$48,5))+(SUM($AR724:$AS724)*VLOOKUP($B724,Lifetime_morbidity_array!$A$30:$Y$48,7))+(SUM($AT724:$AU724)*(VLOOKUP($B724,Lifetime_morbidity_array!$A$30:$Y$48,6)))</f>
        <v>13.493064837670344</v>
      </c>
      <c r="DC724" s="316">
        <f>(SUM($AM724:$AQ724)*VLOOKUP($B724,Lifetime_morbidity_array!$A$30:$Y$48,8))+(SUM($AR724:$AS724)*VLOOKUP($B724,Lifetime_morbidity_array!$A$30:$Y$48,10))+(SUM($AT724:$AU724)*(VLOOKUP($B724,Lifetime_morbidity_array!$A$30:$Y$48,9)))</f>
        <v>1.0404438650295242</v>
      </c>
      <c r="DD724" s="317">
        <f>(SUM($AM724:$AQ724)*VLOOKUP($B724,Lifetime_morbidity_array!$A$30:$Y$48,11))+(SUM($AR724:$AS724)*VLOOKUP($B724,Lifetime_morbidity_array!$A$30:$Y$48,13))+(SUM($AT724:$AU724)*(VLOOKUP($B724,Lifetime_morbidity_array!$A$30:$Y$48,12)))</f>
        <v>15.414262110669782</v>
      </c>
      <c r="DE724" s="309"/>
      <c r="DF724" s="315">
        <f ca="1">(SUM($CN724:$CO724))-((SUM($CN724:$CO724)*VLOOKUP($B724,Lifetime_morbidity_array!$A$6:$Y$24,4))+(SUM($CN724:$CO724)*VLOOKUP($B724,Lifetime_morbidity_array!$A$6:$Y$24,7))+(SUM($CN724:$CO724)*VLOOKUP($B724,Lifetime_morbidity_array!$A$6:$Y$24,10))+(SUM($CN724:$CO724)*VLOOKUP($B724,Lifetime_morbidity_array!$A$6:$Y$24,13)))</f>
        <v>98.573448857535752</v>
      </c>
      <c r="DG724" s="316">
        <f ca="1">(SUM($CP724:$CQ724))-(((SUM($CP724:$CQ724)*VLOOKUP($B724,Lifetime_morbidity_array!$A$6:$Y$24,3))+(SUM($CP724:$CQ724)*VLOOKUP($B724,Lifetime_morbidity_array!$A$6:$Y$24,6))+(SUM($CP724:$CQ724)*VLOOKUP($B724,Lifetime_morbidity_array!$A$6:$Y$24,9))+(SUM($CP724:$CQ724)*VLOOKUP($B724,Lifetime_morbidity_array!$A$6:$Y$24,12))))</f>
        <v>82.915707312700491</v>
      </c>
      <c r="DH724" s="316">
        <f ca="1">(SUM($CI724:$CM724))-((SUM($CI724:$CM724)*VLOOKUP($B724,Lifetime_morbidity_array!$A$6:$Y$24,2))+(SUM($CI724:$CM724)*VLOOKUP($B724,Lifetime_morbidity_array!$A$6:$Y$24,5))+(SUM($CI724:$CM724)*VLOOKUP($B724,Lifetime_morbidity_array!$A$6:$Y$24,8))+(SUM($CI724:$CM724)*VLOOKUP($B724,Lifetime_morbidity_array!$A$6:$Y$24,11)))</f>
        <v>204.89901522679327</v>
      </c>
      <c r="DI724" s="316">
        <f ca="1">(SUM($CI724:$CM724)*VLOOKUP($B724,Lifetime_morbidity_array!$A$6:$Y$24,2))+(SUM($CN724:$CO724)*VLOOKUP($B724,Lifetime_morbidity_array!$A$6:$Y$24,4))+(SUM($CP724:$CQ724)*VLOOKUP($B724,Lifetime_morbidity_array!$A$6:$Y$24,3))</f>
        <v>17.177660847813673</v>
      </c>
      <c r="DJ724" s="316">
        <f ca="1">(SUM($CI724:$CM724)*VLOOKUP($B724,Lifetime_morbidity_array!$A$6:$Y$24,5))+(SUM($CN724:$CO724)*VLOOKUP($B724,Lifetime_morbidity_array!$A$6:$Y$24,7))+(SUM($CP724:$CQ724)*VLOOKUP($B724,Lifetime_morbidity_array!$A$6:$Y$24,6))</f>
        <v>10.605216833234604</v>
      </c>
      <c r="DK724" s="316">
        <f ca="1">(SUM($CI724:$CM724)*VLOOKUP($B724,Lifetime_morbidity_array!$A$6:$Y$24,8))+(SUM($CN724:$CO724)*VLOOKUP($B724,Lifetime_morbidity_array!$A$6:$Y$24,10))+(SUM($CP724:$CQ724)*VLOOKUP($B724,Lifetime_morbidity_array!$A$6:$Y$24,9))</f>
        <v>0.39947314902449393</v>
      </c>
      <c r="DL724" s="317">
        <f ca="1">(SUM($CI724:$CM724)*VLOOKUP($B724,Lifetime_morbidity_array!$A$6:$Y$24,11))+(SUM($CN724:$CO724)*VLOOKUP($B724,Lifetime_morbidity_array!$A$6:$Y$24,13))+(SUM($CP724:$CQ724)*VLOOKUP($B724,Lifetime_morbidity_array!$A$6:$Y$24,12))</f>
        <v>10.567026842523935</v>
      </c>
      <c r="DM724" s="309"/>
      <c r="DN724" s="308">
        <f t="shared" si="266"/>
        <v>58</v>
      </c>
      <c r="DO724" s="309">
        <f t="shared" ca="1" si="267"/>
        <v>116.92845689000717</v>
      </c>
      <c r="DP724" s="310">
        <f t="shared" ca="1" si="298"/>
        <v>21898.507889919667</v>
      </c>
      <c r="DQ724" s="309"/>
      <c r="DR724" s="308">
        <f t="shared" si="268"/>
        <v>58</v>
      </c>
      <c r="DS724" s="309">
        <f ca="1">((VLOOKUP($B724,'Mahawesran Tariff'!$A$21:$M$120,4)*'Experimental (DET)'!$CX724)+(VLOOKUP($B724,'Mahawesran Tariff'!$A$21:$M$120,3)*'Experimental (DET)'!$CY724)+(VLOOKUP($B724,'Mahawesran Tariff'!$A$21:$M$120,2)*'Experimental (DET)'!$CZ724)+(VLOOKUP($B724,'Mahawesran Tariff'!$A$21:$M$120,7)*'Experimental (DET)'!$DF724)+(VLOOKUP($B724,'Mahawesran Tariff'!$A$21:$M$120,6)*'Experimental (DET)'!$DG724)+(VLOOKUP($B724,'Mahawesran Tariff'!$A$21:$M$120,5)*'Experimental (DET)'!$DH724)+(DET_UTIL_chd*('Experimental (DET)'!$DA724+'Experimental (DET)'!$DI724))+(DET_UTIL_copd*('Experimental (DET)'!$DB724+'Experimental (DET)'!$DJ724))+(DET_UTIL_lc*('Experimental (DET)'!$DC724+'Experimental (DET)'!$DK724))+(DET_UTIL_stroke*('Experimental (DET)'!$DD724+'Experimental (DET)'!$DL724)))/((1+Discount_rate_QALYs)^$A724)</f>
        <v>105.59199282396369</v>
      </c>
      <c r="DT724" s="310">
        <f t="shared" ca="1" si="299"/>
        <v>21694.841631200787</v>
      </c>
      <c r="DU724" s="309"/>
      <c r="DV724" s="308">
        <f t="shared" si="269"/>
        <v>58</v>
      </c>
      <c r="DW724" s="318">
        <f t="shared" ca="1" si="270"/>
        <v>99788.20417017382</v>
      </c>
      <c r="DX724" s="319">
        <f t="shared" ca="1" si="300"/>
        <v>6859075.3355361847</v>
      </c>
      <c r="DZ724" s="95">
        <f t="shared" si="271"/>
        <v>58</v>
      </c>
      <c r="EA724" s="268">
        <f t="shared" ca="1" si="304"/>
        <v>0.85992486383801203</v>
      </c>
      <c r="EB724" s="268">
        <f t="shared" ca="1" si="218"/>
        <v>0.1400751361619878</v>
      </c>
      <c r="EC724" s="268">
        <f t="shared" ca="1" si="219"/>
        <v>0.12512954965908052</v>
      </c>
      <c r="ED724" s="290">
        <f t="shared" ca="1" si="220"/>
        <v>0.4831087352944291</v>
      </c>
      <c r="EF724" s="95">
        <f t="shared" si="272"/>
        <v>58</v>
      </c>
      <c r="EG724" s="339">
        <f t="shared" ca="1" si="273"/>
        <v>99788.20417017382</v>
      </c>
      <c r="EH724" s="341">
        <f t="shared" ca="1" si="301"/>
        <v>9961091.0594997332</v>
      </c>
      <c r="EJ724" s="308">
        <f t="shared" si="274"/>
        <v>58</v>
      </c>
      <c r="EK724" s="318">
        <f t="shared" ca="1" si="275"/>
        <v>99788.20417017382</v>
      </c>
      <c r="EL724" s="319">
        <f t="shared" ca="1" si="302"/>
        <v>6856035.3355361838</v>
      </c>
      <c r="EN724" s="95">
        <f t="shared" si="276"/>
        <v>58</v>
      </c>
      <c r="EO724" s="339">
        <f t="shared" ca="1" si="277"/>
        <v>99788.20417017382</v>
      </c>
      <c r="EP724" s="341">
        <f t="shared" ca="1" si="303"/>
        <v>9961091.0594997332</v>
      </c>
    </row>
    <row r="725" spans="1:146" s="266" customFormat="1" x14ac:dyDescent="0.25">
      <c r="A725" s="313">
        <v>59</v>
      </c>
      <c r="B725" s="314">
        <v>59</v>
      </c>
      <c r="C725" s="308">
        <f>VLOOKUP($B725,'Infant adult mortality'!$A$27:$I$128,3)</f>
        <v>2.1320516962843295E-3</v>
      </c>
      <c r="D725" s="309">
        <f t="shared" si="221"/>
        <v>0.27</v>
      </c>
      <c r="E725" s="309">
        <f>VLOOKUP($B725,'Infant pick up smoking rates'!$A$19:$I$104,3)</f>
        <v>1.5201831243956284E-3</v>
      </c>
      <c r="F725" s="309">
        <f t="shared" si="222"/>
        <v>3.5650378662710321E-2</v>
      </c>
      <c r="G725" s="309">
        <f t="shared" si="223"/>
        <v>0.69069738651660972</v>
      </c>
      <c r="H725" s="309">
        <f>VLOOKUP($B725,'Infant adult mortality'!$A$27:$I$128,3)</f>
        <v>2.1320516962843295E-3</v>
      </c>
      <c r="I725" s="309">
        <f t="shared" si="224"/>
        <v>0.14000000000000001</v>
      </c>
      <c r="J725" s="309">
        <f>VLOOKUP($B725,'Infant pick up smoking rates'!$A$19:$I$104,2)</f>
        <v>1.5201831243956284E-3</v>
      </c>
      <c r="K725" s="309">
        <f t="shared" si="225"/>
        <v>3.5650378662710321E-2</v>
      </c>
      <c r="L725" s="309">
        <f t="shared" si="226"/>
        <v>0.82069738651660973</v>
      </c>
      <c r="M725" s="309">
        <f>VLOOKUP($B725,'Infant adult mortality'!$A$27:$I$128,3)</f>
        <v>2.1320516962843295E-3</v>
      </c>
      <c r="N725" s="309">
        <f t="shared" si="227"/>
        <v>0.5714285714285714</v>
      </c>
      <c r="O725" s="309">
        <f>VLOOKUP($B725,'Infant pick up smoking rates'!$A$19:$I$104,2)</f>
        <v>1.5201831243956284E-3</v>
      </c>
      <c r="P725" s="309">
        <f t="shared" si="228"/>
        <v>2.929297231682234E-2</v>
      </c>
      <c r="Q725" s="309">
        <f t="shared" si="229"/>
        <v>0.39562622143392628</v>
      </c>
      <c r="R725" s="309">
        <f>VLOOKUP($B725,'Infant adult mortality'!$A$27:$I$128,3)</f>
        <v>2.1320516962843295E-3</v>
      </c>
      <c r="S725" s="309">
        <f t="shared" si="230"/>
        <v>8.6261668788331098E-3</v>
      </c>
      <c r="T725" s="309">
        <f>VLOOKUP($B725,'Infant pick up smoking rates'!$A$19:$I$104,2)</f>
        <v>1.5201831243956284E-3</v>
      </c>
      <c r="U725" s="309">
        <f t="shared" si="231"/>
        <v>2.929297231682234E-2</v>
      </c>
      <c r="V725" s="309">
        <f t="shared" si="232"/>
        <v>0.95842862598366463</v>
      </c>
      <c r="W725" s="309">
        <f>VLOOKUP($B725,'Infant adult mortality'!$A$27:$I$128,3)</f>
        <v>2.1320516962843295E-3</v>
      </c>
      <c r="X725" s="309">
        <f>VLOOKUP($B725,'Infant pick up smoking rates'!$A$19:$I$104,2)</f>
        <v>1.5201831243956284E-3</v>
      </c>
      <c r="Y725" s="309">
        <f t="shared" si="233"/>
        <v>0.99634776517932011</v>
      </c>
      <c r="Z725" s="309">
        <f>VLOOKUP($B725,'Infant adult mortality'!$A$27:$I$128,5)</f>
        <v>4.5558578352180934E-3</v>
      </c>
      <c r="AA725" s="309">
        <f t="shared" si="234"/>
        <v>0.25</v>
      </c>
      <c r="AB725" s="309">
        <f t="shared" si="235"/>
        <v>0.74544414216478194</v>
      </c>
      <c r="AC725" s="309">
        <f>VLOOKUP($B725,'Infant adult mortality'!$A$27:$I$128,5)</f>
        <v>4.5558578352180934E-3</v>
      </c>
      <c r="AD725" s="309">
        <f t="shared" si="236"/>
        <v>0.14000000000000001</v>
      </c>
      <c r="AE725" s="309">
        <f t="shared" si="237"/>
        <v>0.85544414216478193</v>
      </c>
      <c r="AF725" s="309">
        <f>VLOOKUP($B725,'Infant adult mortality'!$A$27:$I$128,4)</f>
        <v>3.0073150242326332E-3</v>
      </c>
      <c r="AG725" s="309">
        <f t="shared" si="238"/>
        <v>0.5714285714285714</v>
      </c>
      <c r="AH725" s="309">
        <f t="shared" si="239"/>
        <v>0.42556411354719598</v>
      </c>
      <c r="AI725" s="309">
        <f>VLOOKUP($B725,'Infant adult mortality'!$A$27:$I$128,4)</f>
        <v>3.0073150242326332E-3</v>
      </c>
      <c r="AJ725" s="309">
        <f t="shared" si="240"/>
        <v>8.6261668788331098E-3</v>
      </c>
      <c r="AK725" s="309">
        <f t="shared" si="241"/>
        <v>0.98836651809693421</v>
      </c>
      <c r="AL725" s="309"/>
      <c r="AM725" s="315">
        <f t="shared" si="278"/>
        <v>33.737741827921283</v>
      </c>
      <c r="AN725" s="316">
        <f t="shared" si="279"/>
        <v>9.5527080090220089</v>
      </c>
      <c r="AO725" s="316">
        <f t="shared" si="280"/>
        <v>1.3948786337664176</v>
      </c>
      <c r="AP725" s="316">
        <f t="shared" si="281"/>
        <v>61.565012035152463</v>
      </c>
      <c r="AQ725" s="316">
        <f t="shared" si="282"/>
        <v>54.39432457470209</v>
      </c>
      <c r="AR725" s="316">
        <f t="shared" si="283"/>
        <v>124.96002076933671</v>
      </c>
      <c r="AS725" s="316">
        <f t="shared" si="284"/>
        <v>31.656440267924349</v>
      </c>
      <c r="AT725" s="316">
        <f t="shared" si="285"/>
        <v>4.4900248411700847</v>
      </c>
      <c r="AU725" s="316">
        <f t="shared" si="286"/>
        <v>111.62399351253337</v>
      </c>
      <c r="AV725" s="316">
        <f t="shared" si="287"/>
        <v>76.624855528470761</v>
      </c>
      <c r="AW725" s="317">
        <f t="shared" si="242"/>
        <v>509.99999999999955</v>
      </c>
      <c r="AX725" s="309"/>
      <c r="AY725" s="308">
        <f>VLOOKUP($B725,'Infant adult mortality'!$A$134:$I$234,3)</f>
        <v>1.5114054927302101E-3</v>
      </c>
      <c r="AZ725" s="309">
        <f t="shared" si="243"/>
        <v>0.27</v>
      </c>
      <c r="BA725" s="309">
        <f ca="1">VLOOKUP($B725,'Infant pick up smoking rates'!$A$19:$I$104,7)</f>
        <v>0</v>
      </c>
      <c r="BB725" s="309">
        <f t="shared" si="244"/>
        <v>3.5650378662710321E-2</v>
      </c>
      <c r="BC725" s="309">
        <f t="shared" ca="1" si="245"/>
        <v>0.6928382158445594</v>
      </c>
      <c r="BD725" s="309">
        <f>VLOOKUP($B725,'Infant adult mortality'!$A$134:$I$234,3)</f>
        <v>1.5114054927302101E-3</v>
      </c>
      <c r="BE725" s="309">
        <f t="shared" si="246"/>
        <v>0.14000000000000001</v>
      </c>
      <c r="BF725" s="309">
        <f>VLOOKUP($B725,'Infant pick up smoking rates'!$A$19:$I$104,6)</f>
        <v>0</v>
      </c>
      <c r="BG725" s="309">
        <f t="shared" si="247"/>
        <v>3.5650378662710321E-2</v>
      </c>
      <c r="BH725" s="309">
        <f t="shared" si="248"/>
        <v>0.82283821584455941</v>
      </c>
      <c r="BI725" s="309">
        <f>VLOOKUP($B725,'Infant adult mortality'!$A$134:$I$234,3)</f>
        <v>1.5114054927302101E-3</v>
      </c>
      <c r="BJ725" s="309">
        <f t="shared" si="249"/>
        <v>0.5714285714285714</v>
      </c>
      <c r="BK725" s="309">
        <f>VLOOKUP($B725,'Infant pick up smoking rates'!$A$19:$I$104,6)</f>
        <v>0</v>
      </c>
      <c r="BL725" s="309">
        <f t="shared" si="250"/>
        <v>2.929297231682234E-2</v>
      </c>
      <c r="BM725" s="309">
        <f t="shared" si="251"/>
        <v>0.39776705076187602</v>
      </c>
      <c r="BN725" s="309">
        <f>VLOOKUP($B725,'Infant adult mortality'!$A$134:$I$234,3)</f>
        <v>1.5114054927302101E-3</v>
      </c>
      <c r="BO725" s="309">
        <f t="shared" si="252"/>
        <v>8.6261668788331098E-3</v>
      </c>
      <c r="BP725" s="309">
        <f>VLOOKUP($B725,'Infant pick up smoking rates'!$A$19:$I$104,6)</f>
        <v>0</v>
      </c>
      <c r="BQ725" s="309">
        <f t="shared" si="253"/>
        <v>2.929297231682234E-2</v>
      </c>
      <c r="BR725" s="309">
        <f t="shared" si="254"/>
        <v>0.96056945531161431</v>
      </c>
      <c r="BS725" s="309">
        <f>VLOOKUP($B725,'Infant adult mortality'!$A$134:$I$234,3)</f>
        <v>1.5114054927302101E-3</v>
      </c>
      <c r="BT725" s="309">
        <f>VLOOKUP($B725,'Infant pick up smoking rates'!$A$19:$I$104,6)</f>
        <v>0</v>
      </c>
      <c r="BU725" s="309">
        <f t="shared" si="255"/>
        <v>0.99848859450726979</v>
      </c>
      <c r="BV725" s="309">
        <f>VLOOKUP($B725,'Infant adult mortality'!$A$134:$I$234,5)</f>
        <v>3.2296348949919225E-3</v>
      </c>
      <c r="BW725" s="309">
        <f t="shared" si="256"/>
        <v>0.27</v>
      </c>
      <c r="BX725" s="309">
        <f t="shared" si="257"/>
        <v>0.72677036510500803</v>
      </c>
      <c r="BY725" s="309">
        <f>VLOOKUP($B725,'Infant adult mortality'!$A$134:$I$234,5)</f>
        <v>3.2296348949919225E-3</v>
      </c>
      <c r="BZ725" s="309">
        <f t="shared" si="258"/>
        <v>0.14000000000000001</v>
      </c>
      <c r="CA725" s="309">
        <f t="shared" si="259"/>
        <v>0.85677036510500804</v>
      </c>
      <c r="CB725" s="309">
        <f>VLOOKUP($B725,'Infant adult mortality'!$A$134:$I$234,4)</f>
        <v>2.1318772213247171E-3</v>
      </c>
      <c r="CC725" s="309">
        <f t="shared" si="260"/>
        <v>0.5714285714285714</v>
      </c>
      <c r="CD725" s="309">
        <f t="shared" si="261"/>
        <v>0.42643955135010386</v>
      </c>
      <c r="CE725" s="309">
        <f>VLOOKUP($B725,'Infant adult mortality'!$A$134:$I$234,4)</f>
        <v>2.1318772213247171E-3</v>
      </c>
      <c r="CF725" s="309">
        <f t="shared" si="262"/>
        <v>8.6261668788331098E-3</v>
      </c>
      <c r="CG725" s="309">
        <f t="shared" si="263"/>
        <v>0.98924195589984221</v>
      </c>
      <c r="CH725" s="309"/>
      <c r="CI725" s="315">
        <f t="shared" ca="1" si="288"/>
        <v>45.545018464393017</v>
      </c>
      <c r="CJ725" s="316">
        <f t="shared" ca="1" si="289"/>
        <v>12.868089027796493</v>
      </c>
      <c r="CK725" s="316">
        <f t="shared" ca="1" si="290"/>
        <v>1.8750881531354235</v>
      </c>
      <c r="CL725" s="316">
        <f t="shared" ca="1" si="291"/>
        <v>81.923070371039785</v>
      </c>
      <c r="CM725" s="316">
        <f t="shared" ca="1" si="292"/>
        <v>73.045502015292811</v>
      </c>
      <c r="CN725" s="316">
        <f t="shared" ca="1" si="293"/>
        <v>92.385633180356308</v>
      </c>
      <c r="CO725" s="316">
        <f t="shared" ca="1" si="294"/>
        <v>25.300109697519002</v>
      </c>
      <c r="CP725" s="316">
        <f t="shared" ca="1" si="295"/>
        <v>3.5923018863358953</v>
      </c>
      <c r="CQ725" s="316">
        <f t="shared" ca="1" si="296"/>
        <v>87.699126027532458</v>
      </c>
      <c r="CR725" s="316">
        <f t="shared" ca="1" si="297"/>
        <v>65.766061176599024</v>
      </c>
      <c r="CS725" s="317">
        <f t="shared" ca="1" si="264"/>
        <v>490.00000000000023</v>
      </c>
      <c r="CT725" s="309"/>
      <c r="CU725" s="309">
        <f t="shared" ca="1" si="265"/>
        <v>999.99999999999977</v>
      </c>
      <c r="CV725" s="309" t="str">
        <f t="shared" ca="1" si="216"/>
        <v>OKAY</v>
      </c>
      <c r="CW725" s="309"/>
      <c r="CX725" s="315">
        <f>(SUM($AR725:$AS725))-((SUM($AR725:$AS725)*VLOOKUP($B725,Lifetime_morbidity_array!$A$30:$Y$48,4))+(SUM($AR725:$AS725)*VLOOKUP($B725,Lifetime_morbidity_array!$A$30:$Y$48,7))+(SUM($AR725:$AS725)*VLOOKUP($B725,Lifetime_morbidity_array!$A$30:$Y$48,10))+(SUM($AR725:$AS725)*VLOOKUP($B725,Lifetime_morbidity_array!$A$30:$Y$48,13)))</f>
        <v>104.30603574637355</v>
      </c>
      <c r="CY725" s="316">
        <f>(SUM($AT725:$AU725))-((SUM($AT725:$AU725)*(VLOOKUP($B725,Lifetime_morbidity_array!$A$30:$Y$48,3)))+(SUM($AT725:$AU725)*(VLOOKUP($B725,Lifetime_morbidity_array!$A$30:$Y$48,6)))+(SUM($AT725:$AU725)*(VLOOKUP($B725,Lifetime_morbidity_array!$A$30:$Y$48,9)))+(SUM($AT725:$AU725)*(VLOOKUP($B725,Lifetime_morbidity_array!$A$30:$Y$48,12))))</f>
        <v>97.925801250088838</v>
      </c>
      <c r="CZ725" s="316">
        <f>(SUM($AM725:$AQ725))-((SUM($AM725:$AQ725)*VLOOKUP($B725,Lifetime_morbidity_array!$A$30:$Y$48,2))+(SUM($AM725:$AQ725)*VLOOKUP($B725,Lifetime_morbidity_array!$A$30:$Y$48,5))+(SUM($AM725:$AQ725)*VLOOKUP($B725,Lifetime_morbidity_array!$A$30:$Y$48,8))+(SUM($AM725:$AQ725)*VLOOKUP($B725,Lifetime_morbidity_array!$A$30:$Y$48,11)))</f>
        <v>145.31735774477741</v>
      </c>
      <c r="DA725" s="316">
        <f>(SUM($AM725:$AQ725)*VLOOKUP($B725,Lifetime_morbidity_array!$A$30:$Y$48,2))+(SUM($AR725:$AS725)*VLOOKUP($B725,Lifetime_morbidity_array!$A$30:$Y$48,4))+(SUM($AT725:$AU725)*(VLOOKUP($B725,Lifetime_morbidity_array!$A$30:$Y$48,3)))</f>
        <v>56.091209141035577</v>
      </c>
      <c r="DB725" s="316">
        <f>(SUM($AM725:$AQ725)*VLOOKUP($B725,Lifetime_morbidity_array!$A$30:$Y$48,5))+(SUM($AR725:$AS725)*VLOOKUP($B725,Lifetime_morbidity_array!$A$30:$Y$48,7))+(SUM($AT725:$AU725)*(VLOOKUP($B725,Lifetime_morbidity_array!$A$30:$Y$48,6)))</f>
        <v>13.371989551558887</v>
      </c>
      <c r="DC725" s="316">
        <f>(SUM($AM725:$AQ725)*VLOOKUP($B725,Lifetime_morbidity_array!$A$30:$Y$48,8))+(SUM($AR725:$AS725)*VLOOKUP($B725,Lifetime_morbidity_array!$A$30:$Y$48,10))+(SUM($AT725:$AU725)*(VLOOKUP($B725,Lifetime_morbidity_array!$A$30:$Y$48,9)))</f>
        <v>1.0307749817565417</v>
      </c>
      <c r="DD725" s="317">
        <f>(SUM($AM725:$AQ725)*VLOOKUP($B725,Lifetime_morbidity_array!$A$30:$Y$48,11))+(SUM($AR725:$AS725)*VLOOKUP($B725,Lifetime_morbidity_array!$A$30:$Y$48,13))+(SUM($AT725:$AU725)*(VLOOKUP($B725,Lifetime_morbidity_array!$A$30:$Y$48,12)))</f>
        <v>15.331976055937961</v>
      </c>
      <c r="DE725" s="309"/>
      <c r="DF725" s="315">
        <f ca="1">(SUM($CN725:$CO725))-((SUM($CN725:$CO725)*VLOOKUP($B725,Lifetime_morbidity_array!$A$6:$Y$24,4))+(SUM($CN725:$CO725)*VLOOKUP($B725,Lifetime_morbidity_array!$A$6:$Y$24,7))+(SUM($CN725:$CO725)*VLOOKUP($B725,Lifetime_morbidity_array!$A$6:$Y$24,10))+(SUM($CN725:$CO725)*VLOOKUP($B725,Lifetime_morbidity_array!$A$6:$Y$24,13)))</f>
        <v>97.187987814959428</v>
      </c>
      <c r="DG725" s="316">
        <f ca="1">(SUM($CP725:$CQ725))-(((SUM($CP725:$CQ725)*VLOOKUP($B725,Lifetime_morbidity_array!$A$6:$Y$24,3))+(SUM($CP725:$CQ725)*VLOOKUP($B725,Lifetime_morbidity_array!$A$6:$Y$24,6))+(SUM($CP725:$CQ725)*VLOOKUP($B725,Lifetime_morbidity_array!$A$6:$Y$24,9))+(SUM($CP725:$CQ725)*VLOOKUP($B725,Lifetime_morbidity_array!$A$6:$Y$24,12))))</f>
        <v>83.926867086460831</v>
      </c>
      <c r="DH725" s="316">
        <f ca="1">(SUM($CI725:$CM725))-((SUM($CI725:$CM725)*VLOOKUP($B725,Lifetime_morbidity_array!$A$6:$Y$24,2))+(SUM($CI725:$CM725)*VLOOKUP($B725,Lifetime_morbidity_array!$A$6:$Y$24,5))+(SUM($CI725:$CM725)*VLOOKUP($B725,Lifetime_morbidity_array!$A$6:$Y$24,8))+(SUM($CI725:$CM725)*VLOOKUP($B725,Lifetime_morbidity_array!$A$6:$Y$24,11)))</f>
        <v>204.58932972972448</v>
      </c>
      <c r="DI725" s="316">
        <f ca="1">(SUM($CI725:$CM725)*VLOOKUP($B725,Lifetime_morbidity_array!$A$6:$Y$24,2))+(SUM($CN725:$CO725)*VLOOKUP($B725,Lifetime_morbidity_array!$A$6:$Y$24,4))+(SUM($CP725:$CQ725)*VLOOKUP($B725,Lifetime_morbidity_array!$A$6:$Y$24,3))</f>
        <v>17.070460789492799</v>
      </c>
      <c r="DJ725" s="316">
        <f ca="1">(SUM($CI725:$CM725)*VLOOKUP($B725,Lifetime_morbidity_array!$A$6:$Y$24,5))+(SUM($CN725:$CO725)*VLOOKUP($B725,Lifetime_morbidity_array!$A$6:$Y$24,7))+(SUM($CP725:$CQ725)*VLOOKUP($B725,Lifetime_morbidity_array!$A$6:$Y$24,6))</f>
        <v>10.543163765851812</v>
      </c>
      <c r="DK725" s="316">
        <f ca="1">(SUM($CI725:$CM725)*VLOOKUP($B725,Lifetime_morbidity_array!$A$6:$Y$24,8))+(SUM($CN725:$CO725)*VLOOKUP($B725,Lifetime_morbidity_array!$A$6:$Y$24,10))+(SUM($CP725:$CQ725)*VLOOKUP($B725,Lifetime_morbidity_array!$A$6:$Y$24,9))</f>
        <v>0.39584216860542104</v>
      </c>
      <c r="DL725" s="317">
        <f ca="1">(SUM($CI725:$CM725)*VLOOKUP($B725,Lifetime_morbidity_array!$A$6:$Y$24,11))+(SUM($CN725:$CO725)*VLOOKUP($B725,Lifetime_morbidity_array!$A$6:$Y$24,13))+(SUM($CP725:$CQ725)*VLOOKUP($B725,Lifetime_morbidity_array!$A$6:$Y$24,12))</f>
        <v>10.520287468306433</v>
      </c>
      <c r="DM725" s="309"/>
      <c r="DN725" s="308">
        <f t="shared" si="266"/>
        <v>59</v>
      </c>
      <c r="DO725" s="309">
        <f t="shared" ca="1" si="267"/>
        <v>112.67011416748379</v>
      </c>
      <c r="DP725" s="310">
        <f t="shared" ca="1" si="298"/>
        <v>22011.178004087149</v>
      </c>
      <c r="DQ725" s="309"/>
      <c r="DR725" s="308">
        <f t="shared" si="268"/>
        <v>59</v>
      </c>
      <c r="DS725" s="309">
        <f ca="1">((VLOOKUP($B725,'Mahawesran Tariff'!$A$21:$M$120,4)*'Experimental (DET)'!$CX725)+(VLOOKUP($B725,'Mahawesran Tariff'!$A$21:$M$120,3)*'Experimental (DET)'!$CY725)+(VLOOKUP($B725,'Mahawesran Tariff'!$A$21:$M$120,2)*'Experimental (DET)'!$CZ725)+(VLOOKUP($B725,'Mahawesran Tariff'!$A$21:$M$120,7)*'Experimental (DET)'!$DF725)+(VLOOKUP($B725,'Mahawesran Tariff'!$A$21:$M$120,6)*'Experimental (DET)'!$DG725)+(VLOOKUP($B725,'Mahawesran Tariff'!$A$21:$M$120,5)*'Experimental (DET)'!$DH725)+(DET_UTIL_chd*('Experimental (DET)'!$DA725+'Experimental (DET)'!$DI725))+(DET_UTIL_copd*('Experimental (DET)'!$DB725+'Experimental (DET)'!$DJ725))+(DET_UTIL_lc*('Experimental (DET)'!$DC725+'Experimental (DET)'!$DK725))+(DET_UTIL_stroke*('Experimental (DET)'!$DD725+'Experimental (DET)'!$DL725)))/((1+Discount_rate_QALYs)^$A725)</f>
        <v>101.7628787263517</v>
      </c>
      <c r="DT725" s="310">
        <f t="shared" ca="1" si="299"/>
        <v>21796.60450992714</v>
      </c>
      <c r="DU725" s="309"/>
      <c r="DV725" s="308">
        <f t="shared" si="269"/>
        <v>59</v>
      </c>
      <c r="DW725" s="318">
        <f t="shared" ca="1" si="270"/>
        <v>95900.162822242011</v>
      </c>
      <c r="DX725" s="319">
        <f t="shared" ca="1" si="300"/>
        <v>6954975.4983584266</v>
      </c>
      <c r="DZ725" s="95">
        <f t="shared" si="271"/>
        <v>59</v>
      </c>
      <c r="EA725" s="268">
        <f t="shared" ca="1" si="304"/>
        <v>0.85760908329493013</v>
      </c>
      <c r="EB725" s="268">
        <f t="shared" ca="1" si="218"/>
        <v>0.14239091670506979</v>
      </c>
      <c r="EC725" s="268">
        <f t="shared" ca="1" si="219"/>
        <v>0.12435570392254541</v>
      </c>
      <c r="ED725" s="290">
        <f t="shared" ca="1" si="220"/>
        <v>0.48170765018270817</v>
      </c>
      <c r="EF725" s="95">
        <f t="shared" si="272"/>
        <v>59</v>
      </c>
      <c r="EG725" s="339">
        <f t="shared" ca="1" si="273"/>
        <v>95900.162822242011</v>
      </c>
      <c r="EH725" s="341">
        <f t="shared" ca="1" si="301"/>
        <v>10056991.222321976</v>
      </c>
      <c r="EJ725" s="308">
        <f t="shared" si="274"/>
        <v>59</v>
      </c>
      <c r="EK725" s="318">
        <f t="shared" ca="1" si="275"/>
        <v>95900.162822242011</v>
      </c>
      <c r="EL725" s="319">
        <f t="shared" ca="1" si="302"/>
        <v>6951935.4983584257</v>
      </c>
      <c r="EN725" s="95">
        <f t="shared" si="276"/>
        <v>59</v>
      </c>
      <c r="EO725" s="339">
        <f t="shared" ca="1" si="277"/>
        <v>95900.162822242011</v>
      </c>
      <c r="EP725" s="341">
        <f t="shared" ca="1" si="303"/>
        <v>10056991.222321976</v>
      </c>
    </row>
    <row r="726" spans="1:146" s="266" customFormat="1" x14ac:dyDescent="0.25">
      <c r="A726" s="313">
        <v>60</v>
      </c>
      <c r="B726" s="314">
        <v>60</v>
      </c>
      <c r="C726" s="308">
        <f>VLOOKUP($B726,'Infant adult mortality'!$A$27:$I$128,3)</f>
        <v>2.390640147083403E-3</v>
      </c>
      <c r="D726" s="309">
        <f t="shared" si="221"/>
        <v>0.27</v>
      </c>
      <c r="E726" s="309">
        <f>VLOOKUP($B726,'Infant pick up smoking rates'!$A$19:$I$104,3)</f>
        <v>0</v>
      </c>
      <c r="F726" s="309">
        <f t="shared" si="222"/>
        <v>3.9588384698384868E-2</v>
      </c>
      <c r="G726" s="309">
        <f t="shared" si="223"/>
        <v>0.68802097515453164</v>
      </c>
      <c r="H726" s="309">
        <f>VLOOKUP($B726,'Infant adult mortality'!$A$27:$I$128,3)</f>
        <v>2.390640147083403E-3</v>
      </c>
      <c r="I726" s="309">
        <f t="shared" si="224"/>
        <v>0.14000000000000001</v>
      </c>
      <c r="J726" s="309">
        <f>VLOOKUP($B726,'Infant pick up smoking rates'!$A$19:$I$104,2)</f>
        <v>0</v>
      </c>
      <c r="K726" s="309">
        <f t="shared" si="225"/>
        <v>3.9588384698384868E-2</v>
      </c>
      <c r="L726" s="309">
        <f t="shared" si="226"/>
        <v>0.81802097515453165</v>
      </c>
      <c r="M726" s="309">
        <f>VLOOKUP($B726,'Infant adult mortality'!$A$27:$I$128,3)</f>
        <v>2.390640147083403E-3</v>
      </c>
      <c r="N726" s="309">
        <f t="shared" si="227"/>
        <v>0.5714285714285714</v>
      </c>
      <c r="O726" s="309">
        <f>VLOOKUP($B726,'Infant pick up smoking rates'!$A$19:$I$104,2)</f>
        <v>0</v>
      </c>
      <c r="P726" s="309">
        <f t="shared" si="228"/>
        <v>3.2528727619111852E-2</v>
      </c>
      <c r="Q726" s="309">
        <f t="shared" si="229"/>
        <v>0.39365206080523335</v>
      </c>
      <c r="R726" s="309">
        <f>VLOOKUP($B726,'Infant adult mortality'!$A$27:$I$128,3)</f>
        <v>2.390640147083403E-3</v>
      </c>
      <c r="S726" s="309">
        <f t="shared" si="230"/>
        <v>8.6261668788331098E-3</v>
      </c>
      <c r="T726" s="309">
        <f>VLOOKUP($B726,'Infant pick up smoking rates'!$A$19:$I$104,2)</f>
        <v>0</v>
      </c>
      <c r="U726" s="309">
        <f t="shared" si="231"/>
        <v>3.2528727619111852E-2</v>
      </c>
      <c r="V726" s="309">
        <f t="shared" si="232"/>
        <v>0.95645446535497158</v>
      </c>
      <c r="W726" s="309">
        <f>VLOOKUP($B726,'Infant adult mortality'!$A$27:$I$128,3)</f>
        <v>2.390640147083403E-3</v>
      </c>
      <c r="X726" s="309">
        <f>VLOOKUP($B726,'Infant pick up smoking rates'!$A$19:$I$104,2)</f>
        <v>0</v>
      </c>
      <c r="Y726" s="309">
        <f t="shared" si="233"/>
        <v>0.99760935985291654</v>
      </c>
      <c r="Z726" s="309">
        <f>VLOOKUP($B726,'Infant adult mortality'!$A$27:$I$128,5)</f>
        <v>5.1084205248203242E-3</v>
      </c>
      <c r="AA726" s="309">
        <f t="shared" si="234"/>
        <v>0.25</v>
      </c>
      <c r="AB726" s="309">
        <f t="shared" si="235"/>
        <v>0.7448915794751797</v>
      </c>
      <c r="AC726" s="309">
        <f>VLOOKUP($B726,'Infant adult mortality'!$A$27:$I$128,5)</f>
        <v>5.1084205248203242E-3</v>
      </c>
      <c r="AD726" s="309">
        <f t="shared" si="236"/>
        <v>0.14000000000000001</v>
      </c>
      <c r="AE726" s="309">
        <f t="shared" si="237"/>
        <v>0.85489157947517969</v>
      </c>
      <c r="AF726" s="309">
        <f>VLOOKUP($B726,'Infant adult mortality'!$A$27:$I$128,4)</f>
        <v>3.3720608390439577E-3</v>
      </c>
      <c r="AG726" s="309">
        <f t="shared" si="238"/>
        <v>0.5714285714285714</v>
      </c>
      <c r="AH726" s="309">
        <f t="shared" si="239"/>
        <v>0.42519936773238465</v>
      </c>
      <c r="AI726" s="309">
        <f>VLOOKUP($B726,'Infant adult mortality'!$A$27:$I$128,4)</f>
        <v>3.3720608390439577E-3</v>
      </c>
      <c r="AJ726" s="309">
        <f t="shared" si="240"/>
        <v>8.6261668788331098E-3</v>
      </c>
      <c r="AK726" s="309">
        <f t="shared" si="241"/>
        <v>0.98800177228212294</v>
      </c>
      <c r="AL726" s="309"/>
      <c r="AM726" s="315">
        <f t="shared" si="278"/>
        <v>32.106756469332851</v>
      </c>
      <c r="AN726" s="316">
        <f t="shared" si="279"/>
        <v>9.109190293538747</v>
      </c>
      <c r="AO726" s="316">
        <f t="shared" si="280"/>
        <v>1.3373791212630814</v>
      </c>
      <c r="AP726" s="316">
        <f t="shared" si="281"/>
        <v>59.681204175663517</v>
      </c>
      <c r="AQ726" s="316">
        <f t="shared" si="282"/>
        <v>58.026091435009683</v>
      </c>
      <c r="AR726" s="316">
        <f t="shared" si="283"/>
        <v>123.01653438261913</v>
      </c>
      <c r="AS726" s="316">
        <f t="shared" si="284"/>
        <v>31.240005192334177</v>
      </c>
      <c r="AT726" s="316">
        <f t="shared" si="285"/>
        <v>4.4319016375094096</v>
      </c>
      <c r="AU726" s="316">
        <f t="shared" si="286"/>
        <v>112.85043190025979</v>
      </c>
      <c r="AV726" s="316">
        <f t="shared" si="287"/>
        <v>78.200505392469168</v>
      </c>
      <c r="AW726" s="317">
        <f t="shared" si="242"/>
        <v>509.99999999999955</v>
      </c>
      <c r="AX726" s="309"/>
      <c r="AY726" s="308">
        <f>VLOOKUP($B726,'Infant adult mortality'!$A$134:$I$234,3)</f>
        <v>1.6868335283302695E-3</v>
      </c>
      <c r="AZ726" s="309">
        <f t="shared" si="243"/>
        <v>0.27</v>
      </c>
      <c r="BA726" s="309">
        <f ca="1">VLOOKUP($B726,'Infant pick up smoking rates'!$A$19:$I$104,7)</f>
        <v>0</v>
      </c>
      <c r="BB726" s="309">
        <f t="shared" si="244"/>
        <v>3.9588384698384868E-2</v>
      </c>
      <c r="BC726" s="309">
        <f t="shared" ca="1" si="245"/>
        <v>0.68872478177328478</v>
      </c>
      <c r="BD726" s="309">
        <f>VLOOKUP($B726,'Infant adult mortality'!$A$134:$I$234,3)</f>
        <v>1.6868335283302695E-3</v>
      </c>
      <c r="BE726" s="309">
        <f t="shared" si="246"/>
        <v>0.14000000000000001</v>
      </c>
      <c r="BF726" s="309">
        <f>VLOOKUP($B726,'Infant pick up smoking rates'!$A$19:$I$104,6)</f>
        <v>0</v>
      </c>
      <c r="BG726" s="309">
        <f t="shared" si="247"/>
        <v>3.9588384698384868E-2</v>
      </c>
      <c r="BH726" s="309">
        <f t="shared" si="248"/>
        <v>0.81872478177328478</v>
      </c>
      <c r="BI726" s="309">
        <f>VLOOKUP($B726,'Infant adult mortality'!$A$134:$I$234,3)</f>
        <v>1.6868335283302695E-3</v>
      </c>
      <c r="BJ726" s="309">
        <f t="shared" si="249"/>
        <v>0.5714285714285714</v>
      </c>
      <c r="BK726" s="309">
        <f>VLOOKUP($B726,'Infant pick up smoking rates'!$A$19:$I$104,6)</f>
        <v>0</v>
      </c>
      <c r="BL726" s="309">
        <f t="shared" si="250"/>
        <v>3.2528727619111852E-2</v>
      </c>
      <c r="BM726" s="309">
        <f t="shared" si="251"/>
        <v>0.39435586742398648</v>
      </c>
      <c r="BN726" s="309">
        <f>VLOOKUP($B726,'Infant adult mortality'!$A$134:$I$234,3)</f>
        <v>1.6868335283302695E-3</v>
      </c>
      <c r="BO726" s="309">
        <f t="shared" si="252"/>
        <v>8.6261668788331098E-3</v>
      </c>
      <c r="BP726" s="309">
        <f>VLOOKUP($B726,'Infant pick up smoking rates'!$A$19:$I$104,6)</f>
        <v>0</v>
      </c>
      <c r="BQ726" s="309">
        <f t="shared" si="253"/>
        <v>3.2528727619111852E-2</v>
      </c>
      <c r="BR726" s="309">
        <f t="shared" si="254"/>
        <v>0.95715827197372472</v>
      </c>
      <c r="BS726" s="309">
        <f>VLOOKUP($B726,'Infant adult mortality'!$A$134:$I$234,3)</f>
        <v>1.6868335283302695E-3</v>
      </c>
      <c r="BT726" s="309">
        <f>VLOOKUP($B726,'Infant pick up smoking rates'!$A$19:$I$104,6)</f>
        <v>0</v>
      </c>
      <c r="BU726" s="309">
        <f t="shared" si="255"/>
        <v>0.99831316647166968</v>
      </c>
      <c r="BV726" s="309">
        <f>VLOOKUP($B726,'Infant adult mortality'!$A$134:$I$234,5)</f>
        <v>3.6044969079057337E-3</v>
      </c>
      <c r="BW726" s="309">
        <f t="shared" si="256"/>
        <v>0.27</v>
      </c>
      <c r="BX726" s="309">
        <f t="shared" si="257"/>
        <v>0.72639550309209422</v>
      </c>
      <c r="BY726" s="309">
        <f>VLOOKUP($B726,'Infant adult mortality'!$A$134:$I$234,5)</f>
        <v>3.6044969079057337E-3</v>
      </c>
      <c r="BZ726" s="309">
        <f t="shared" si="258"/>
        <v>0.14000000000000001</v>
      </c>
      <c r="CA726" s="309">
        <f t="shared" si="259"/>
        <v>0.85639550309209422</v>
      </c>
      <c r="CB726" s="309">
        <f>VLOOKUP($B726,'Infant adult mortality'!$A$134:$I$234,4)</f>
        <v>2.3793230820658537E-3</v>
      </c>
      <c r="CC726" s="309">
        <f t="shared" si="260"/>
        <v>0.5714285714285714</v>
      </c>
      <c r="CD726" s="309">
        <f t="shared" si="261"/>
        <v>0.42619210548936276</v>
      </c>
      <c r="CE726" s="309">
        <f>VLOOKUP($B726,'Infant adult mortality'!$A$134:$I$234,4)</f>
        <v>2.3793230820658537E-3</v>
      </c>
      <c r="CF726" s="309">
        <f t="shared" si="262"/>
        <v>8.6261668788331098E-3</v>
      </c>
      <c r="CG726" s="309">
        <f t="shared" si="263"/>
        <v>0.98899451003910099</v>
      </c>
      <c r="CH726" s="309"/>
      <c r="CI726" s="315">
        <f t="shared" ca="1" si="288"/>
        <v>43.349540375244331</v>
      </c>
      <c r="CJ726" s="316">
        <f t="shared" ca="1" si="289"/>
        <v>12.297154985386115</v>
      </c>
      <c r="CK726" s="316">
        <f t="shared" ca="1" si="290"/>
        <v>1.8015324638915093</v>
      </c>
      <c r="CL726" s="316">
        <f t="shared" ca="1" si="291"/>
        <v>79.484823415775111</v>
      </c>
      <c r="CM726" s="316">
        <f t="shared" ca="1" si="292"/>
        <v>77.960614457844642</v>
      </c>
      <c r="CN726" s="316">
        <f t="shared" ca="1" si="293"/>
        <v>91.062926665950769</v>
      </c>
      <c r="CO726" s="316">
        <f t="shared" ca="1" si="294"/>
        <v>24.944120958696203</v>
      </c>
      <c r="CP726" s="316">
        <f t="shared" ca="1" si="295"/>
        <v>3.5420153576526605</v>
      </c>
      <c r="CQ726" s="316">
        <f t="shared" ca="1" si="296"/>
        <v>88.786698111505913</v>
      </c>
      <c r="CR726" s="316">
        <f t="shared" ca="1" si="297"/>
        <v>66.770573208052951</v>
      </c>
      <c r="CS726" s="317">
        <f t="shared" ca="1" si="264"/>
        <v>490.00000000000023</v>
      </c>
      <c r="CT726" s="309"/>
      <c r="CU726" s="309">
        <f t="shared" ca="1" si="265"/>
        <v>999.99999999999977</v>
      </c>
      <c r="CV726" s="309" t="str">
        <f t="shared" ca="1" si="216"/>
        <v>OKAY</v>
      </c>
      <c r="CW726" s="309"/>
      <c r="CX726" s="315">
        <f>(SUM($AR726:$AS726))-((SUM($AR726:$AS726)*VLOOKUP($B726,Lifetime_morbidity_array!$A$30:$Y$48,4))+(SUM($AR726:$AS726)*VLOOKUP($B726,Lifetime_morbidity_array!$A$30:$Y$48,7))+(SUM($AR726:$AS726)*VLOOKUP($B726,Lifetime_morbidity_array!$A$30:$Y$48,10))+(SUM($AR726:$AS726)*VLOOKUP($B726,Lifetime_morbidity_array!$A$30:$Y$48,13)))</f>
        <v>91.569804129298007</v>
      </c>
      <c r="CY726" s="316">
        <f>(SUM($AT726:$AU726))-((SUM($AT726:$AU726)*(VLOOKUP($B726,Lifetime_morbidity_array!$A$30:$Y$48,3)))+(SUM($AT726:$AU726)*(VLOOKUP($B726,Lifetime_morbidity_array!$A$30:$Y$48,6)))+(SUM($AT726:$AU726)*(VLOOKUP($B726,Lifetime_morbidity_array!$A$30:$Y$48,9)))+(SUM($AT726:$AU726)*(VLOOKUP($B726,Lifetime_morbidity_array!$A$30:$Y$48,12))))</f>
        <v>96.433015669187142</v>
      </c>
      <c r="CZ726" s="316">
        <f>(SUM($AM726:$AQ726))-((SUM($AM726:$AQ726)*VLOOKUP($B726,Lifetime_morbidity_array!$A$30:$Y$48,2))+(SUM($AM726:$AQ726)*VLOOKUP($B726,Lifetime_morbidity_array!$A$30:$Y$48,5))+(SUM($AM726:$AQ726)*VLOOKUP($B726,Lifetime_morbidity_array!$A$30:$Y$48,8))+(SUM($AM726:$AQ726)*VLOOKUP($B726,Lifetime_morbidity_array!$A$30:$Y$48,11)))</f>
        <v>143.83472879854222</v>
      </c>
      <c r="DA726" s="316">
        <f>(SUM($AM726:$AQ726)*VLOOKUP($B726,Lifetime_morbidity_array!$A$30:$Y$48,2))+(SUM($AR726:$AS726)*VLOOKUP($B726,Lifetime_morbidity_array!$A$30:$Y$48,4))+(SUM($AT726:$AU726)*(VLOOKUP($B726,Lifetime_morbidity_array!$A$30:$Y$48,3)))</f>
        <v>57.725811237816401</v>
      </c>
      <c r="DB726" s="316">
        <f>(SUM($AM726:$AQ726)*VLOOKUP($B726,Lifetime_morbidity_array!$A$30:$Y$48,5))+(SUM($AR726:$AS726)*VLOOKUP($B726,Lifetime_morbidity_array!$A$30:$Y$48,7))+(SUM($AT726:$AU726)*(VLOOKUP($B726,Lifetime_morbidity_array!$A$30:$Y$48,6)))</f>
        <v>25.583423075870847</v>
      </c>
      <c r="DC726" s="316">
        <f>(SUM($AM726:$AQ726)*VLOOKUP($B726,Lifetime_morbidity_array!$A$30:$Y$48,8))+(SUM($AR726:$AS726)*VLOOKUP($B726,Lifetime_morbidity_array!$A$30:$Y$48,10))+(SUM($AT726:$AU726)*(VLOOKUP($B726,Lifetime_morbidity_array!$A$30:$Y$48,9)))</f>
        <v>1.1680123639228637</v>
      </c>
      <c r="DD726" s="317">
        <f>(SUM($AM726:$AQ726)*VLOOKUP($B726,Lifetime_morbidity_array!$A$30:$Y$48,11))+(SUM($AR726:$AS726)*VLOOKUP($B726,Lifetime_morbidity_array!$A$30:$Y$48,13))+(SUM($AT726:$AU726)*(VLOOKUP($B726,Lifetime_morbidity_array!$A$30:$Y$48,12)))</f>
        <v>15.484699332892919</v>
      </c>
      <c r="DE726" s="309"/>
      <c r="DF726" s="315">
        <f ca="1">(SUM($CN726:$CO726))-((SUM($CN726:$CO726)*VLOOKUP($B726,Lifetime_morbidity_array!$A$6:$Y$24,4))+(SUM($CN726:$CO726)*VLOOKUP($B726,Lifetime_morbidity_array!$A$6:$Y$24,7))+(SUM($CN726:$CO726)*VLOOKUP($B726,Lifetime_morbidity_array!$A$6:$Y$24,10))+(SUM($CN726:$CO726)*VLOOKUP($B726,Lifetime_morbidity_array!$A$6:$Y$24,13)))</f>
        <v>86.851205069752353</v>
      </c>
      <c r="DG726" s="316">
        <f ca="1">(SUM($CP726:$CQ726))-(((SUM($CP726:$CQ726)*VLOOKUP($B726,Lifetime_morbidity_array!$A$6:$Y$24,3))+(SUM($CP726:$CQ726)*VLOOKUP($B726,Lifetime_morbidity_array!$A$6:$Y$24,6))+(SUM($CP726:$CQ726)*VLOOKUP($B726,Lifetime_morbidity_array!$A$6:$Y$24,9))+(SUM($CP726:$CQ726)*VLOOKUP($B726,Lifetime_morbidity_array!$A$6:$Y$24,12))))</f>
        <v>81.388768267827572</v>
      </c>
      <c r="DH726" s="316">
        <f ca="1">(SUM($CI726:$CM726))-((SUM($CI726:$CM726)*VLOOKUP($B726,Lifetime_morbidity_array!$A$6:$Y$24,2))+(SUM($CI726:$CM726)*VLOOKUP($B726,Lifetime_morbidity_array!$A$6:$Y$24,5))+(SUM($CI726:$CM726)*VLOOKUP($B726,Lifetime_morbidity_array!$A$6:$Y$24,8))+(SUM($CI726:$CM726)*VLOOKUP($B726,Lifetime_morbidity_array!$A$6:$Y$24,11)))</f>
        <v>201.22084361126934</v>
      </c>
      <c r="DI726" s="316">
        <f ca="1">(SUM($CI726:$CM726)*VLOOKUP($B726,Lifetime_morbidity_array!$A$6:$Y$24,2))+(SUM($CN726:$CO726)*VLOOKUP($B726,Lifetime_morbidity_array!$A$6:$Y$24,4))+(SUM($CP726:$CQ726)*VLOOKUP($B726,Lifetime_morbidity_array!$A$6:$Y$24,3))</f>
        <v>21.204159752405658</v>
      </c>
      <c r="DJ726" s="316">
        <f ca="1">(SUM($CI726:$CM726)*VLOOKUP($B726,Lifetime_morbidity_array!$A$6:$Y$24,5))+(SUM($CN726:$CO726)*VLOOKUP($B726,Lifetime_morbidity_array!$A$6:$Y$24,7))+(SUM($CP726:$CQ726)*VLOOKUP($B726,Lifetime_morbidity_array!$A$6:$Y$24,6))</f>
        <v>20.192109667975835</v>
      </c>
      <c r="DK726" s="316">
        <f ca="1">(SUM($CI726:$CM726)*VLOOKUP($B726,Lifetime_morbidity_array!$A$6:$Y$24,8))+(SUM($CN726:$CO726)*VLOOKUP($B726,Lifetime_morbidity_array!$A$6:$Y$24,10))+(SUM($CP726:$CQ726)*VLOOKUP($B726,Lifetime_morbidity_array!$A$6:$Y$24,9))</f>
        <v>0.67431265674234431</v>
      </c>
      <c r="DL726" s="317">
        <f ca="1">(SUM($CI726:$CM726)*VLOOKUP($B726,Lifetime_morbidity_array!$A$6:$Y$24,11))+(SUM($CN726:$CO726)*VLOOKUP($B726,Lifetime_morbidity_array!$A$6:$Y$24,13))+(SUM($CP726:$CQ726)*VLOOKUP($B726,Lifetime_morbidity_array!$A$6:$Y$24,12))</f>
        <v>11.698027765974157</v>
      </c>
      <c r="DM726" s="309"/>
      <c r="DN726" s="308">
        <f t="shared" si="266"/>
        <v>60</v>
      </c>
      <c r="DO726" s="309">
        <f t="shared" ca="1" si="267"/>
        <v>108.53250262918111</v>
      </c>
      <c r="DP726" s="310">
        <f t="shared" ca="1" si="298"/>
        <v>22119.710506716328</v>
      </c>
      <c r="DQ726" s="309"/>
      <c r="DR726" s="308">
        <f t="shared" si="268"/>
        <v>60</v>
      </c>
      <c r="DS726" s="309">
        <f ca="1">((VLOOKUP($B726,'Mahawesran Tariff'!$A$21:$M$120,4)*'Experimental (DET)'!$CX726)+(VLOOKUP($B726,'Mahawesran Tariff'!$A$21:$M$120,3)*'Experimental (DET)'!$CY726)+(VLOOKUP($B726,'Mahawesran Tariff'!$A$21:$M$120,2)*'Experimental (DET)'!$CZ726)+(VLOOKUP($B726,'Mahawesran Tariff'!$A$21:$M$120,7)*'Experimental (DET)'!$DF726)+(VLOOKUP($B726,'Mahawesran Tariff'!$A$21:$M$120,6)*'Experimental (DET)'!$DG726)+(VLOOKUP($B726,'Mahawesran Tariff'!$A$21:$M$120,5)*'Experimental (DET)'!$DH726)+(DET_UTIL_chd*('Experimental (DET)'!$DA726+'Experimental (DET)'!$DI726))+(DET_UTIL_copd*('Experimental (DET)'!$DB726+'Experimental (DET)'!$DJ726))+(DET_UTIL_lc*('Experimental (DET)'!$DC726+'Experimental (DET)'!$DK726))+(DET_UTIL_stroke*('Experimental (DET)'!$DD726+'Experimental (DET)'!$DL726)))/((1+Discount_rate_QALYs)^$A726)</f>
        <v>97.313697935838022</v>
      </c>
      <c r="DT726" s="310">
        <f t="shared" ca="1" si="299"/>
        <v>21893.918207862978</v>
      </c>
      <c r="DU726" s="309"/>
      <c r="DV726" s="308">
        <f t="shared" si="269"/>
        <v>60</v>
      </c>
      <c r="DW726" s="318">
        <f t="shared" ca="1" si="270"/>
        <v>100517.50652085447</v>
      </c>
      <c r="DX726" s="319">
        <f t="shared" ca="1" si="300"/>
        <v>7055493.0048792809</v>
      </c>
      <c r="DZ726" s="95">
        <f t="shared" si="271"/>
        <v>60</v>
      </c>
      <c r="EA726" s="268">
        <f t="shared" ca="1" si="304"/>
        <v>0.85502892139947761</v>
      </c>
      <c r="EB726" s="268">
        <f t="shared" ca="1" si="218"/>
        <v>0.14497107860052211</v>
      </c>
      <c r="EC726" s="268">
        <f t="shared" ca="1" si="219"/>
        <v>0.15373055585360104</v>
      </c>
      <c r="ED726" s="290">
        <f t="shared" ca="1" si="220"/>
        <v>0.47987463420652809</v>
      </c>
      <c r="EF726" s="95">
        <f t="shared" si="272"/>
        <v>60</v>
      </c>
      <c r="EG726" s="339">
        <f t="shared" ca="1" si="273"/>
        <v>100517.50652085447</v>
      </c>
      <c r="EH726" s="341">
        <f t="shared" ca="1" si="301"/>
        <v>10157508.72884283</v>
      </c>
      <c r="EJ726" s="308">
        <f t="shared" si="274"/>
        <v>60</v>
      </c>
      <c r="EK726" s="318">
        <f t="shared" ca="1" si="275"/>
        <v>100517.50652085447</v>
      </c>
      <c r="EL726" s="319">
        <f t="shared" ca="1" si="302"/>
        <v>7052453.00487928</v>
      </c>
      <c r="EN726" s="95">
        <f t="shared" si="276"/>
        <v>60</v>
      </c>
      <c r="EO726" s="339">
        <f t="shared" ca="1" si="277"/>
        <v>100517.50652085447</v>
      </c>
      <c r="EP726" s="341">
        <f t="shared" ca="1" si="303"/>
        <v>10157508.72884283</v>
      </c>
    </row>
    <row r="727" spans="1:146" s="266" customFormat="1" x14ac:dyDescent="0.25">
      <c r="A727" s="313">
        <v>61</v>
      </c>
      <c r="B727" s="314">
        <v>61</v>
      </c>
      <c r="C727" s="308">
        <f>VLOOKUP($B727,'Infant adult mortality'!$A$27:$I$128,3)</f>
        <v>2.5884046464984124E-3</v>
      </c>
      <c r="D727" s="309">
        <f t="shared" si="221"/>
        <v>0.27</v>
      </c>
      <c r="E727" s="309">
        <f>VLOOKUP($B727,'Infant pick up smoking rates'!$A$19:$I$104,3)</f>
        <v>0</v>
      </c>
      <c r="F727" s="309">
        <f t="shared" si="222"/>
        <v>4.395029082510031E-2</v>
      </c>
      <c r="G727" s="309">
        <f t="shared" si="223"/>
        <v>0.68346130452840126</v>
      </c>
      <c r="H727" s="309">
        <f>VLOOKUP($B727,'Infant adult mortality'!$A$27:$I$128,3)</f>
        <v>2.5884046464984124E-3</v>
      </c>
      <c r="I727" s="309">
        <f t="shared" si="224"/>
        <v>0.14000000000000001</v>
      </c>
      <c r="J727" s="309">
        <f>VLOOKUP($B727,'Infant pick up smoking rates'!$A$19:$I$104,2)</f>
        <v>0</v>
      </c>
      <c r="K727" s="309">
        <f t="shared" si="225"/>
        <v>4.395029082510031E-2</v>
      </c>
      <c r="L727" s="309">
        <f t="shared" si="226"/>
        <v>0.81346130452840126</v>
      </c>
      <c r="M727" s="309">
        <f>VLOOKUP($B727,'Infant adult mortality'!$A$27:$I$128,3)</f>
        <v>2.5884046464984124E-3</v>
      </c>
      <c r="N727" s="309">
        <f t="shared" si="227"/>
        <v>0.5714285714285714</v>
      </c>
      <c r="O727" s="309">
        <f>VLOOKUP($B727,'Infant pick up smoking rates'!$A$19:$I$104,2)</f>
        <v>0</v>
      </c>
      <c r="P727" s="309">
        <f t="shared" si="228"/>
        <v>3.6112790403614661E-2</v>
      </c>
      <c r="Q727" s="309">
        <f t="shared" si="229"/>
        <v>0.3898702335213155</v>
      </c>
      <c r="R727" s="309">
        <f>VLOOKUP($B727,'Infant adult mortality'!$A$27:$I$128,3)</f>
        <v>2.5884046464984124E-3</v>
      </c>
      <c r="S727" s="309">
        <f t="shared" si="230"/>
        <v>8.6261668788331098E-3</v>
      </c>
      <c r="T727" s="309">
        <f>VLOOKUP($B727,'Infant pick up smoking rates'!$A$19:$I$104,2)</f>
        <v>0</v>
      </c>
      <c r="U727" s="309">
        <f t="shared" si="231"/>
        <v>3.6112790403614661E-2</v>
      </c>
      <c r="V727" s="309">
        <f t="shared" si="232"/>
        <v>0.95267263807105373</v>
      </c>
      <c r="W727" s="309">
        <f>VLOOKUP($B727,'Infant adult mortality'!$A$27:$I$128,3)</f>
        <v>2.5884046464984124E-3</v>
      </c>
      <c r="X727" s="309">
        <f>VLOOKUP($B727,'Infant pick up smoking rates'!$A$19:$I$104,2)</f>
        <v>0</v>
      </c>
      <c r="Y727" s="309">
        <f t="shared" si="233"/>
        <v>0.99741159535350155</v>
      </c>
      <c r="Z727" s="309">
        <f>VLOOKUP($B727,'Infant adult mortality'!$A$27:$I$128,5)</f>
        <v>5.5310120340966076E-3</v>
      </c>
      <c r="AA727" s="309">
        <f t="shared" si="234"/>
        <v>0.25</v>
      </c>
      <c r="AB727" s="309">
        <f t="shared" si="235"/>
        <v>0.74446898796590344</v>
      </c>
      <c r="AC727" s="309">
        <f>VLOOKUP($B727,'Infant adult mortality'!$A$27:$I$128,5)</f>
        <v>5.5310120340966076E-3</v>
      </c>
      <c r="AD727" s="309">
        <f t="shared" si="236"/>
        <v>0.14000000000000001</v>
      </c>
      <c r="AE727" s="309">
        <f t="shared" si="237"/>
        <v>0.85446898796590343</v>
      </c>
      <c r="AF727" s="309">
        <f>VLOOKUP($B727,'Infant adult mortality'!$A$27:$I$128,4)</f>
        <v>3.6510128697977606E-3</v>
      </c>
      <c r="AG727" s="309">
        <f t="shared" si="238"/>
        <v>0.5714285714285714</v>
      </c>
      <c r="AH727" s="309">
        <f t="shared" si="239"/>
        <v>0.42492041570163086</v>
      </c>
      <c r="AI727" s="309">
        <f>VLOOKUP($B727,'Infant adult mortality'!$A$27:$I$128,4)</f>
        <v>3.6510128697977606E-3</v>
      </c>
      <c r="AJ727" s="309">
        <f t="shared" si="240"/>
        <v>8.6261668788331098E-3</v>
      </c>
      <c r="AK727" s="309">
        <f t="shared" si="241"/>
        <v>0.98772282025136915</v>
      </c>
      <c r="AL727" s="309"/>
      <c r="AM727" s="315">
        <f t="shared" si="278"/>
        <v>30.38992381714775</v>
      </c>
      <c r="AN727" s="316">
        <f t="shared" si="279"/>
        <v>8.6688242467198702</v>
      </c>
      <c r="AO727" s="316">
        <f t="shared" si="280"/>
        <v>1.2752866410954247</v>
      </c>
      <c r="AP727" s="316">
        <f t="shared" si="281"/>
        <v>57.620866866008313</v>
      </c>
      <c r="AQ727" s="316">
        <f t="shared" si="282"/>
        <v>61.890900586508636</v>
      </c>
      <c r="AR727" s="316">
        <f t="shared" si="283"/>
        <v>121.13228261972385</v>
      </c>
      <c r="AS727" s="316">
        <f t="shared" si="284"/>
        <v>30.754133595654782</v>
      </c>
      <c r="AT727" s="316">
        <f t="shared" si="285"/>
        <v>4.3736007269267851</v>
      </c>
      <c r="AU727" s="316">
        <f t="shared" si="286"/>
        <v>113.99746208454363</v>
      </c>
      <c r="AV727" s="316">
        <f t="shared" si="287"/>
        <v>79.896718815670539</v>
      </c>
      <c r="AW727" s="317">
        <f t="shared" si="242"/>
        <v>509.99999999999955</v>
      </c>
      <c r="AX727" s="309"/>
      <c r="AY727" s="308">
        <f>VLOOKUP($B727,'Infant adult mortality'!$A$134:$I$234,3)</f>
        <v>1.8194175162961725E-3</v>
      </c>
      <c r="AZ727" s="309">
        <f t="shared" si="243"/>
        <v>0.27</v>
      </c>
      <c r="BA727" s="309">
        <f ca="1">VLOOKUP($B727,'Infant pick up smoking rates'!$A$19:$I$104,7)</f>
        <v>0</v>
      </c>
      <c r="BB727" s="309">
        <f t="shared" si="244"/>
        <v>4.395029082510031E-2</v>
      </c>
      <c r="BC727" s="309">
        <f t="shared" ca="1" si="245"/>
        <v>0.6842302916586035</v>
      </c>
      <c r="BD727" s="309">
        <f>VLOOKUP($B727,'Infant adult mortality'!$A$134:$I$234,3)</f>
        <v>1.8194175162961725E-3</v>
      </c>
      <c r="BE727" s="309">
        <f t="shared" si="246"/>
        <v>0.14000000000000001</v>
      </c>
      <c r="BF727" s="309">
        <f>VLOOKUP($B727,'Infant pick up smoking rates'!$A$19:$I$104,6)</f>
        <v>0</v>
      </c>
      <c r="BG727" s="309">
        <f t="shared" si="247"/>
        <v>4.395029082510031E-2</v>
      </c>
      <c r="BH727" s="309">
        <f t="shared" si="248"/>
        <v>0.8142302916586035</v>
      </c>
      <c r="BI727" s="309">
        <f>VLOOKUP($B727,'Infant adult mortality'!$A$134:$I$234,3)</f>
        <v>1.8194175162961725E-3</v>
      </c>
      <c r="BJ727" s="309">
        <f t="shared" si="249"/>
        <v>0.5714285714285714</v>
      </c>
      <c r="BK727" s="309">
        <f>VLOOKUP($B727,'Infant pick up smoking rates'!$A$19:$I$104,6)</f>
        <v>0</v>
      </c>
      <c r="BL727" s="309">
        <f t="shared" si="250"/>
        <v>3.6112790403614661E-2</v>
      </c>
      <c r="BM727" s="309">
        <f t="shared" si="251"/>
        <v>0.39063922065151774</v>
      </c>
      <c r="BN727" s="309">
        <f>VLOOKUP($B727,'Infant adult mortality'!$A$134:$I$234,3)</f>
        <v>1.8194175162961725E-3</v>
      </c>
      <c r="BO727" s="309">
        <f t="shared" si="252"/>
        <v>8.6261668788331098E-3</v>
      </c>
      <c r="BP727" s="309">
        <f>VLOOKUP($B727,'Infant pick up smoking rates'!$A$19:$I$104,6)</f>
        <v>0</v>
      </c>
      <c r="BQ727" s="309">
        <f t="shared" si="253"/>
        <v>3.6112790403614661E-2</v>
      </c>
      <c r="BR727" s="309">
        <f t="shared" si="254"/>
        <v>0.95344162520125597</v>
      </c>
      <c r="BS727" s="309">
        <f>VLOOKUP($B727,'Infant adult mortality'!$A$134:$I$234,3)</f>
        <v>1.8194175162961725E-3</v>
      </c>
      <c r="BT727" s="309">
        <f>VLOOKUP($B727,'Infant pick up smoking rates'!$A$19:$I$104,6)</f>
        <v>0</v>
      </c>
      <c r="BU727" s="309">
        <f t="shared" si="255"/>
        <v>0.99818058248370378</v>
      </c>
      <c r="BV727" s="309">
        <f>VLOOKUP($B727,'Infant adult mortality'!$A$134:$I$234,5)</f>
        <v>3.8878079558749791E-3</v>
      </c>
      <c r="BW727" s="309">
        <f t="shared" si="256"/>
        <v>0.27</v>
      </c>
      <c r="BX727" s="309">
        <f t="shared" si="257"/>
        <v>0.72611219204412503</v>
      </c>
      <c r="BY727" s="309">
        <f>VLOOKUP($B727,'Infant adult mortality'!$A$134:$I$234,5)</f>
        <v>3.8878079558749791E-3</v>
      </c>
      <c r="BZ727" s="309">
        <f t="shared" si="258"/>
        <v>0.14000000000000001</v>
      </c>
      <c r="CA727" s="309">
        <f t="shared" si="259"/>
        <v>0.85611219204412503</v>
      </c>
      <c r="CB727" s="309">
        <f>VLOOKUP($B727,'Infant adult mortality'!$A$134:$I$234,4)</f>
        <v>2.5663362861440748E-3</v>
      </c>
      <c r="CC727" s="309">
        <f t="shared" si="260"/>
        <v>0.5714285714285714</v>
      </c>
      <c r="CD727" s="309">
        <f t="shared" si="261"/>
        <v>0.42600509228528455</v>
      </c>
      <c r="CE727" s="309">
        <f>VLOOKUP($B727,'Infant adult mortality'!$A$134:$I$234,4)</f>
        <v>2.5663362861440748E-3</v>
      </c>
      <c r="CF727" s="309">
        <f t="shared" si="262"/>
        <v>8.6261668788331098E-3</v>
      </c>
      <c r="CG727" s="309">
        <f t="shared" si="263"/>
        <v>0.98880749683502278</v>
      </c>
      <c r="CH727" s="309"/>
      <c r="CI727" s="315">
        <f t="shared" ca="1" si="288"/>
        <v>41.063183333333868</v>
      </c>
      <c r="CJ727" s="316">
        <f t="shared" ca="1" si="289"/>
        <v>11.70437590131597</v>
      </c>
      <c r="CK727" s="316">
        <f t="shared" ca="1" si="290"/>
        <v>1.7216016979540563</v>
      </c>
      <c r="CL727" s="316">
        <f t="shared" ca="1" si="291"/>
        <v>76.813586338595186</v>
      </c>
      <c r="CM727" s="316">
        <f t="shared" ca="1" si="292"/>
        <v>83.199937127430331</v>
      </c>
      <c r="CN727" s="316">
        <f t="shared" ca="1" si="293"/>
        <v>89.751672821773283</v>
      </c>
      <c r="CO727" s="316">
        <f t="shared" ca="1" si="294"/>
        <v>24.58699019980671</v>
      </c>
      <c r="CP727" s="316">
        <f t="shared" ca="1" si="295"/>
        <v>3.4921769342174689</v>
      </c>
      <c r="CQ727" s="316">
        <f t="shared" ca="1" si="296"/>
        <v>89.816961487686527</v>
      </c>
      <c r="CR727" s="316">
        <f t="shared" ca="1" si="297"/>
        <v>67.849514157886816</v>
      </c>
      <c r="CS727" s="317">
        <f t="shared" ca="1" si="264"/>
        <v>490.00000000000023</v>
      </c>
      <c r="CT727" s="309"/>
      <c r="CU727" s="309">
        <f t="shared" ca="1" si="265"/>
        <v>999.99999999999977</v>
      </c>
      <c r="CV727" s="309" t="str">
        <f t="shared" ca="1" si="216"/>
        <v>OKAY</v>
      </c>
      <c r="CW727" s="309"/>
      <c r="CX727" s="315">
        <f>(SUM($AR727:$AS727))-((SUM($AR727:$AS727)*VLOOKUP($B727,Lifetime_morbidity_array!$A$30:$Y$48,4))+(SUM($AR727:$AS727)*VLOOKUP($B727,Lifetime_morbidity_array!$A$30:$Y$48,7))+(SUM($AR727:$AS727)*VLOOKUP($B727,Lifetime_morbidity_array!$A$30:$Y$48,10))+(SUM($AR727:$AS727)*VLOOKUP($B727,Lifetime_morbidity_array!$A$30:$Y$48,13)))</f>
        <v>90.162850930447917</v>
      </c>
      <c r="CY727" s="316">
        <f>(SUM($AT727:$AU727))-((SUM($AT727:$AU727)*(VLOOKUP($B727,Lifetime_morbidity_array!$A$30:$Y$48,3)))+(SUM($AT727:$AU727)*(VLOOKUP($B727,Lifetime_morbidity_array!$A$30:$Y$48,6)))+(SUM($AT727:$AU727)*(VLOOKUP($B727,Lifetime_morbidity_array!$A$30:$Y$48,9)))+(SUM($AT727:$AU727)*(VLOOKUP($B727,Lifetime_morbidity_array!$A$30:$Y$48,12))))</f>
        <v>97.328201192388889</v>
      </c>
      <c r="CZ727" s="316">
        <f>(SUM($AM727:$AQ727))-((SUM($AM727:$AQ727)*VLOOKUP($B727,Lifetime_morbidity_array!$A$30:$Y$48,2))+(SUM($AM727:$AQ727)*VLOOKUP($B727,Lifetime_morbidity_array!$A$30:$Y$48,5))+(SUM($AM727:$AQ727)*VLOOKUP($B727,Lifetime_morbidity_array!$A$30:$Y$48,8))+(SUM($AM727:$AQ727)*VLOOKUP($B727,Lifetime_morbidity_array!$A$30:$Y$48,11)))</f>
        <v>143.46242631819223</v>
      </c>
      <c r="DA727" s="316">
        <f>(SUM($AM727:$AQ727)*VLOOKUP($B727,Lifetime_morbidity_array!$A$30:$Y$48,2))+(SUM($AR727:$AS727)*VLOOKUP($B727,Lifetime_morbidity_array!$A$30:$Y$48,4))+(SUM($AT727:$AU727)*(VLOOKUP($B727,Lifetime_morbidity_array!$A$30:$Y$48,3)))</f>
        <v>57.303806879494061</v>
      </c>
      <c r="DB727" s="316">
        <f>(SUM($AM727:$AQ727)*VLOOKUP($B727,Lifetime_morbidity_array!$A$30:$Y$48,5))+(SUM($AR727:$AS727)*VLOOKUP($B727,Lifetime_morbidity_array!$A$30:$Y$48,7))+(SUM($AT727:$AU727)*(VLOOKUP($B727,Lifetime_morbidity_array!$A$30:$Y$48,6)))</f>
        <v>25.30719457519691</v>
      </c>
      <c r="DC727" s="316">
        <f>(SUM($AM727:$AQ727)*VLOOKUP($B727,Lifetime_morbidity_array!$A$30:$Y$48,8))+(SUM($AR727:$AS727)*VLOOKUP($B727,Lifetime_morbidity_array!$A$30:$Y$48,10))+(SUM($AT727:$AU727)*(VLOOKUP($B727,Lifetime_morbidity_array!$A$30:$Y$48,9)))</f>
        <v>1.1549733180514827</v>
      </c>
      <c r="DD727" s="317">
        <f>(SUM($AM727:$AQ727)*VLOOKUP($B727,Lifetime_morbidity_array!$A$30:$Y$48,11))+(SUM($AR727:$AS727)*VLOOKUP($B727,Lifetime_morbidity_array!$A$30:$Y$48,13))+(SUM($AT727:$AU727)*(VLOOKUP($B727,Lifetime_morbidity_array!$A$30:$Y$48,12)))</f>
        <v>15.383827970557533</v>
      </c>
      <c r="DE727" s="309"/>
      <c r="DF727" s="315">
        <f ca="1">(SUM($CN727:$CO727))-((SUM($CN727:$CO727)*VLOOKUP($B727,Lifetime_morbidity_array!$A$6:$Y$24,4))+(SUM($CN727:$CO727)*VLOOKUP($B727,Lifetime_morbidity_array!$A$6:$Y$24,7))+(SUM($CN727:$CO727)*VLOOKUP($B727,Lifetime_morbidity_array!$A$6:$Y$24,10))+(SUM($CN727:$CO727)*VLOOKUP($B727,Lifetime_morbidity_array!$A$6:$Y$24,13)))</f>
        <v>85.60213256714863</v>
      </c>
      <c r="DG727" s="316">
        <f ca="1">(SUM($CP727:$CQ727))-(((SUM($CP727:$CQ727)*VLOOKUP($B727,Lifetime_morbidity_array!$A$6:$Y$24,3))+(SUM($CP727:$CQ727)*VLOOKUP($B727,Lifetime_morbidity_array!$A$6:$Y$24,6))+(SUM($CP727:$CQ727)*VLOOKUP($B727,Lifetime_morbidity_array!$A$6:$Y$24,9))+(SUM($CP727:$CQ727)*VLOOKUP($B727,Lifetime_morbidity_array!$A$6:$Y$24,12))))</f>
        <v>82.253023560517718</v>
      </c>
      <c r="DH727" s="316">
        <f ca="1">(SUM($CI727:$CM727))-((SUM($CI727:$CM727)*VLOOKUP($B727,Lifetime_morbidity_array!$A$6:$Y$24,2))+(SUM($CI727:$CM727)*VLOOKUP($B727,Lifetime_morbidity_array!$A$6:$Y$24,5))+(SUM($CI727:$CM727)*VLOOKUP($B727,Lifetime_morbidity_array!$A$6:$Y$24,8))+(SUM($CI727:$CM727)*VLOOKUP($B727,Lifetime_morbidity_array!$A$6:$Y$24,11)))</f>
        <v>200.8547388837591</v>
      </c>
      <c r="DI727" s="316">
        <f ca="1">(SUM($CI727:$CM727)*VLOOKUP($B727,Lifetime_morbidity_array!$A$6:$Y$24,2))+(SUM($CN727:$CO727)*VLOOKUP($B727,Lifetime_morbidity_array!$A$6:$Y$24,4))+(SUM($CP727:$CQ727)*VLOOKUP($B727,Lifetime_morbidity_array!$A$6:$Y$24,3))</f>
        <v>21.064726687926381</v>
      </c>
      <c r="DJ727" s="316">
        <f ca="1">(SUM($CI727:$CM727)*VLOOKUP($B727,Lifetime_morbidity_array!$A$6:$Y$24,5))+(SUM($CN727:$CO727)*VLOOKUP($B727,Lifetime_morbidity_array!$A$6:$Y$24,7))+(SUM($CP727:$CQ727)*VLOOKUP($B727,Lifetime_morbidity_array!$A$6:$Y$24,6))</f>
        <v>20.06591181714267</v>
      </c>
      <c r="DK727" s="316">
        <f ca="1">(SUM($CI727:$CM727)*VLOOKUP($B727,Lifetime_morbidity_array!$A$6:$Y$24,8))+(SUM($CN727:$CO727)*VLOOKUP($B727,Lifetime_morbidity_array!$A$6:$Y$24,10))+(SUM($CP727:$CQ727)*VLOOKUP($B727,Lifetime_morbidity_array!$A$6:$Y$24,9))</f>
        <v>0.66795512841652926</v>
      </c>
      <c r="DL727" s="317">
        <f ca="1">(SUM($CI727:$CM727)*VLOOKUP($B727,Lifetime_morbidity_array!$A$6:$Y$24,11))+(SUM($CN727:$CO727)*VLOOKUP($B727,Lifetime_morbidity_array!$A$6:$Y$24,13))+(SUM($CP727:$CQ727)*VLOOKUP($B727,Lifetime_morbidity_array!$A$6:$Y$24,12))</f>
        <v>11.641997197202375</v>
      </c>
      <c r="DM727" s="309"/>
      <c r="DN727" s="308">
        <f t="shared" si="266"/>
        <v>61</v>
      </c>
      <c r="DO727" s="309">
        <f t="shared" ca="1" si="267"/>
        <v>104.52197133834004</v>
      </c>
      <c r="DP727" s="310">
        <f t="shared" ca="1" si="298"/>
        <v>22224.23247805467</v>
      </c>
      <c r="DQ727" s="309"/>
      <c r="DR727" s="308">
        <f t="shared" si="268"/>
        <v>61</v>
      </c>
      <c r="DS727" s="309">
        <f ca="1">((VLOOKUP($B727,'Mahawesran Tariff'!$A$21:$M$120,4)*'Experimental (DET)'!$CX727)+(VLOOKUP($B727,'Mahawesran Tariff'!$A$21:$M$120,3)*'Experimental (DET)'!$CY727)+(VLOOKUP($B727,'Mahawesran Tariff'!$A$21:$M$120,2)*'Experimental (DET)'!$CZ727)+(VLOOKUP($B727,'Mahawesran Tariff'!$A$21:$M$120,7)*'Experimental (DET)'!$DF727)+(VLOOKUP($B727,'Mahawesran Tariff'!$A$21:$M$120,6)*'Experimental (DET)'!$DG727)+(VLOOKUP($B727,'Mahawesran Tariff'!$A$21:$M$120,5)*'Experimental (DET)'!$DH727)+(DET_UTIL_chd*('Experimental (DET)'!$DA727+'Experimental (DET)'!$DI727))+(DET_UTIL_copd*('Experimental (DET)'!$DB727+'Experimental (DET)'!$DJ727))+(DET_UTIL_lc*('Experimental (DET)'!$DC727+'Experimental (DET)'!$DK727))+(DET_UTIL_stroke*('Experimental (DET)'!$DD727+'Experimental (DET)'!$DL727)))/((1+Discount_rate_QALYs)^$A727)</f>
        <v>93.738501483438867</v>
      </c>
      <c r="DT727" s="310">
        <f t="shared" ca="1" si="299"/>
        <v>21987.656709346418</v>
      </c>
      <c r="DU727" s="309"/>
      <c r="DV727" s="308">
        <f t="shared" si="269"/>
        <v>61</v>
      </c>
      <c r="DW727" s="318">
        <f t="shared" ca="1" si="270"/>
        <v>96509.350206272924</v>
      </c>
      <c r="DX727" s="319">
        <f t="shared" ca="1" si="300"/>
        <v>7152002.3550855536</v>
      </c>
      <c r="DZ727" s="95">
        <f t="shared" si="271"/>
        <v>61</v>
      </c>
      <c r="EA727" s="268">
        <f t="shared" ca="1" si="304"/>
        <v>0.85225376702644251</v>
      </c>
      <c r="EB727" s="268">
        <f t="shared" ca="1" si="218"/>
        <v>0.14774623297355738</v>
      </c>
      <c r="EC727" s="268">
        <f t="shared" ca="1" si="219"/>
        <v>0.15259039357398796</v>
      </c>
      <c r="ED727" s="290">
        <f t="shared" ca="1" si="220"/>
        <v>0.47790528047033309</v>
      </c>
      <c r="EF727" s="95">
        <f t="shared" si="272"/>
        <v>61</v>
      </c>
      <c r="EG727" s="339">
        <f t="shared" ca="1" si="273"/>
        <v>96509.350206272924</v>
      </c>
      <c r="EH727" s="341">
        <f t="shared" ca="1" si="301"/>
        <v>10254018.079049103</v>
      </c>
      <c r="EJ727" s="308">
        <f t="shared" si="274"/>
        <v>61</v>
      </c>
      <c r="EK727" s="318">
        <f t="shared" ca="1" si="275"/>
        <v>96509.350206272924</v>
      </c>
      <c r="EL727" s="319">
        <f t="shared" ca="1" si="302"/>
        <v>7148962.3550855527</v>
      </c>
      <c r="EN727" s="95">
        <f t="shared" si="276"/>
        <v>61</v>
      </c>
      <c r="EO727" s="339">
        <f t="shared" ca="1" si="277"/>
        <v>96509.350206272924</v>
      </c>
      <c r="EP727" s="341">
        <f t="shared" ca="1" si="303"/>
        <v>10254018.079049103</v>
      </c>
    </row>
    <row r="728" spans="1:146" s="266" customFormat="1" x14ac:dyDescent="0.25">
      <c r="A728" s="313">
        <v>62</v>
      </c>
      <c r="B728" s="314">
        <v>62</v>
      </c>
      <c r="C728" s="308">
        <f>VLOOKUP($B728,'Infant adult mortality'!$A$27:$I$128,3)</f>
        <v>2.8056994818652851E-3</v>
      </c>
      <c r="D728" s="309">
        <f t="shared" si="221"/>
        <v>0.27</v>
      </c>
      <c r="E728" s="309">
        <f>VLOOKUP($B728,'Infant pick up smoking rates'!$A$19:$I$104,3)</f>
        <v>0</v>
      </c>
      <c r="F728" s="309">
        <f t="shared" si="222"/>
        <v>4.8770510503422466E-2</v>
      </c>
      <c r="G728" s="309">
        <f t="shared" si="223"/>
        <v>0.6784237900147122</v>
      </c>
      <c r="H728" s="309">
        <f>VLOOKUP($B728,'Infant adult mortality'!$A$27:$I$128,3)</f>
        <v>2.8056994818652851E-3</v>
      </c>
      <c r="I728" s="309">
        <f t="shared" si="224"/>
        <v>0.14000000000000001</v>
      </c>
      <c r="J728" s="309">
        <f>VLOOKUP($B728,'Infant pick up smoking rates'!$A$19:$I$104,2)</f>
        <v>0</v>
      </c>
      <c r="K728" s="309">
        <f t="shared" si="225"/>
        <v>4.8770510503422466E-2</v>
      </c>
      <c r="L728" s="309">
        <f t="shared" si="226"/>
        <v>0.80842379001471221</v>
      </c>
      <c r="M728" s="309">
        <f>VLOOKUP($B728,'Infant adult mortality'!$A$27:$I$128,3)</f>
        <v>2.8056994818652851E-3</v>
      </c>
      <c r="N728" s="309">
        <f t="shared" si="227"/>
        <v>0.5714285714285714</v>
      </c>
      <c r="O728" s="309">
        <f>VLOOKUP($B728,'Infant pick up smoking rates'!$A$19:$I$104,2)</f>
        <v>0</v>
      </c>
      <c r="P728" s="309">
        <f t="shared" si="228"/>
        <v>4.0073437299794318E-2</v>
      </c>
      <c r="Q728" s="309">
        <f t="shared" si="229"/>
        <v>0.38569229178976905</v>
      </c>
      <c r="R728" s="309">
        <f>VLOOKUP($B728,'Infant adult mortality'!$A$27:$I$128,3)</f>
        <v>2.8056994818652851E-3</v>
      </c>
      <c r="S728" s="309">
        <f t="shared" si="230"/>
        <v>8.6261668788331098E-3</v>
      </c>
      <c r="T728" s="309">
        <f>VLOOKUP($B728,'Infant pick up smoking rates'!$A$19:$I$104,2)</f>
        <v>0</v>
      </c>
      <c r="U728" s="309">
        <f t="shared" si="231"/>
        <v>4.0073437299794318E-2</v>
      </c>
      <c r="V728" s="309">
        <f t="shared" si="232"/>
        <v>0.94849469633950734</v>
      </c>
      <c r="W728" s="309">
        <f>VLOOKUP($B728,'Infant adult mortality'!$A$27:$I$128,3)</f>
        <v>2.8056994818652851E-3</v>
      </c>
      <c r="X728" s="309">
        <f>VLOOKUP($B728,'Infant pick up smoking rates'!$A$19:$I$104,2)</f>
        <v>0</v>
      </c>
      <c r="Y728" s="309">
        <f t="shared" si="233"/>
        <v>0.99719430051813474</v>
      </c>
      <c r="Z728" s="309">
        <f>VLOOKUP($B728,'Infant adult mortality'!$A$27:$I$128,5)</f>
        <v>5.9953367875647673E-3</v>
      </c>
      <c r="AA728" s="309">
        <f t="shared" si="234"/>
        <v>0.25</v>
      </c>
      <c r="AB728" s="309">
        <f t="shared" si="235"/>
        <v>0.74400466321243519</v>
      </c>
      <c r="AC728" s="309">
        <f>VLOOKUP($B728,'Infant adult mortality'!$A$27:$I$128,5)</f>
        <v>5.9953367875647673E-3</v>
      </c>
      <c r="AD728" s="309">
        <f t="shared" si="236"/>
        <v>0.14000000000000001</v>
      </c>
      <c r="AE728" s="309">
        <f t="shared" si="237"/>
        <v>0.85400466321243518</v>
      </c>
      <c r="AF728" s="309">
        <f>VLOOKUP($B728,'Infant adult mortality'!$A$27:$I$128,4)</f>
        <v>3.9575129533678758E-3</v>
      </c>
      <c r="AG728" s="309">
        <f t="shared" si="238"/>
        <v>0.5714285714285714</v>
      </c>
      <c r="AH728" s="309">
        <f t="shared" si="239"/>
        <v>0.42461391561806072</v>
      </c>
      <c r="AI728" s="309">
        <f>VLOOKUP($B728,'Infant adult mortality'!$A$27:$I$128,4)</f>
        <v>3.9575129533678758E-3</v>
      </c>
      <c r="AJ728" s="309">
        <f t="shared" si="240"/>
        <v>8.6261668788331098E-3</v>
      </c>
      <c r="AK728" s="309">
        <f t="shared" si="241"/>
        <v>0.98741632016779901</v>
      </c>
      <c r="AL728" s="309"/>
      <c r="AM728" s="315">
        <f t="shared" si="278"/>
        <v>28.614246487374643</v>
      </c>
      <c r="AN728" s="316">
        <f t="shared" si="279"/>
        <v>8.2052794306298935</v>
      </c>
      <c r="AO728" s="316">
        <f t="shared" si="280"/>
        <v>1.2136353945407818</v>
      </c>
      <c r="AP728" s="316">
        <f t="shared" si="281"/>
        <v>55.381821844376837</v>
      </c>
      <c r="AQ728" s="316">
        <f t="shared" si="282"/>
        <v>65.982339716266267</v>
      </c>
      <c r="AR728" s="316">
        <f t="shared" si="283"/>
        <v>119.22760950010367</v>
      </c>
      <c r="AS728" s="316">
        <f t="shared" si="284"/>
        <v>30.283070654930963</v>
      </c>
      <c r="AT728" s="316">
        <f t="shared" si="285"/>
        <v>4.3055787033916699</v>
      </c>
      <c r="AU728" s="316">
        <f t="shared" si="286"/>
        <v>115.06215493537499</v>
      </c>
      <c r="AV728" s="316">
        <f t="shared" si="287"/>
        <v>81.724263333009887</v>
      </c>
      <c r="AW728" s="317">
        <f t="shared" si="242"/>
        <v>509.9999999999996</v>
      </c>
      <c r="AX728" s="309"/>
      <c r="AY728" s="308">
        <f>VLOOKUP($B728,'Infant adult mortality'!$A$134:$I$234,3)</f>
        <v>1.9610521477519639E-3</v>
      </c>
      <c r="AZ728" s="309">
        <f t="shared" si="243"/>
        <v>0.27</v>
      </c>
      <c r="BA728" s="309">
        <f ca="1">VLOOKUP($B728,'Infant pick up smoking rates'!$A$19:$I$104,7)</f>
        <v>0</v>
      </c>
      <c r="BB728" s="309">
        <f t="shared" si="244"/>
        <v>4.8770510503422466E-2</v>
      </c>
      <c r="BC728" s="309">
        <f t="shared" ca="1" si="245"/>
        <v>0.67926843734882547</v>
      </c>
      <c r="BD728" s="309">
        <f>VLOOKUP($B728,'Infant adult mortality'!$A$134:$I$234,3)</f>
        <v>1.9610521477519639E-3</v>
      </c>
      <c r="BE728" s="309">
        <f t="shared" si="246"/>
        <v>0.14000000000000001</v>
      </c>
      <c r="BF728" s="309">
        <f>VLOOKUP($B728,'Infant pick up smoking rates'!$A$19:$I$104,6)</f>
        <v>0</v>
      </c>
      <c r="BG728" s="309">
        <f t="shared" si="247"/>
        <v>4.8770510503422466E-2</v>
      </c>
      <c r="BH728" s="309">
        <f t="shared" si="248"/>
        <v>0.80926843734882548</v>
      </c>
      <c r="BI728" s="309">
        <f>VLOOKUP($B728,'Infant adult mortality'!$A$134:$I$234,3)</f>
        <v>1.9610521477519639E-3</v>
      </c>
      <c r="BJ728" s="309">
        <f t="shared" si="249"/>
        <v>0.5714285714285714</v>
      </c>
      <c r="BK728" s="309">
        <f>VLOOKUP($B728,'Infant pick up smoking rates'!$A$19:$I$104,6)</f>
        <v>0</v>
      </c>
      <c r="BL728" s="309">
        <f t="shared" si="250"/>
        <v>4.0073437299794318E-2</v>
      </c>
      <c r="BM728" s="309">
        <f t="shared" si="251"/>
        <v>0.38653693912388237</v>
      </c>
      <c r="BN728" s="309">
        <f>VLOOKUP($B728,'Infant adult mortality'!$A$134:$I$234,3)</f>
        <v>1.9610521477519639E-3</v>
      </c>
      <c r="BO728" s="309">
        <f t="shared" si="252"/>
        <v>8.6261668788331098E-3</v>
      </c>
      <c r="BP728" s="309">
        <f>VLOOKUP($B728,'Infant pick up smoking rates'!$A$19:$I$104,6)</f>
        <v>0</v>
      </c>
      <c r="BQ728" s="309">
        <f t="shared" si="253"/>
        <v>4.0073437299794318E-2</v>
      </c>
      <c r="BR728" s="309">
        <f t="shared" si="254"/>
        <v>0.94933934367362061</v>
      </c>
      <c r="BS728" s="309">
        <f>VLOOKUP($B728,'Infant adult mortality'!$A$134:$I$234,3)</f>
        <v>1.9610521477519639E-3</v>
      </c>
      <c r="BT728" s="309">
        <f>VLOOKUP($B728,'Infant pick up smoking rates'!$A$19:$I$104,6)</f>
        <v>0</v>
      </c>
      <c r="BU728" s="309">
        <f t="shared" si="255"/>
        <v>0.998038947852248</v>
      </c>
      <c r="BV728" s="309">
        <f>VLOOKUP($B728,'Infant adult mortality'!$A$134:$I$234,5)</f>
        <v>4.1904587999331442E-3</v>
      </c>
      <c r="BW728" s="309">
        <f t="shared" si="256"/>
        <v>0.27</v>
      </c>
      <c r="BX728" s="309">
        <f t="shared" si="257"/>
        <v>0.7258095412000668</v>
      </c>
      <c r="BY728" s="309">
        <f>VLOOKUP($B728,'Infant adult mortality'!$A$134:$I$234,5)</f>
        <v>4.1904587999331442E-3</v>
      </c>
      <c r="BZ728" s="309">
        <f t="shared" si="258"/>
        <v>0.14000000000000001</v>
      </c>
      <c r="CA728" s="309">
        <f t="shared" si="259"/>
        <v>0.8558095412000668</v>
      </c>
      <c r="CB728" s="309">
        <f>VLOOKUP($B728,'Infant adult mortality'!$A$134:$I$234,4)</f>
        <v>2.7661156610396119E-3</v>
      </c>
      <c r="CC728" s="309">
        <f t="shared" si="260"/>
        <v>0.5714285714285714</v>
      </c>
      <c r="CD728" s="309">
        <f t="shared" si="261"/>
        <v>0.42580531291038898</v>
      </c>
      <c r="CE728" s="309">
        <f>VLOOKUP($B728,'Infant adult mortality'!$A$134:$I$234,4)</f>
        <v>2.7661156610396119E-3</v>
      </c>
      <c r="CF728" s="309">
        <f t="shared" si="262"/>
        <v>8.6261668788331098E-3</v>
      </c>
      <c r="CG728" s="309">
        <f t="shared" si="263"/>
        <v>0.98860771746012732</v>
      </c>
      <c r="CH728" s="309"/>
      <c r="CI728" s="315">
        <f t="shared" ca="1" si="288"/>
        <v>38.692975836239285</v>
      </c>
      <c r="CJ728" s="316">
        <f t="shared" ca="1" si="289"/>
        <v>11.087059500000144</v>
      </c>
      <c r="CK728" s="316">
        <f t="shared" ca="1" si="290"/>
        <v>1.638612626184236</v>
      </c>
      <c r="CL728" s="316">
        <f t="shared" ca="1" si="291"/>
        <v>73.905932038729844</v>
      </c>
      <c r="CM728" s="316">
        <f t="shared" ca="1" si="292"/>
        <v>88.757453447537429</v>
      </c>
      <c r="CN728" s="316">
        <f t="shared" ca="1" si="293"/>
        <v>88.446164865652321</v>
      </c>
      <c r="CO728" s="316">
        <f t="shared" ca="1" si="294"/>
        <v>24.232951661878786</v>
      </c>
      <c r="CP728" s="316">
        <f t="shared" ca="1" si="295"/>
        <v>3.4421786279729396</v>
      </c>
      <c r="CQ728" s="316">
        <f t="shared" ca="1" si="296"/>
        <v>90.789270962241631</v>
      </c>
      <c r="CR728" s="316">
        <f t="shared" ca="1" si="297"/>
        <v>69.007400433563603</v>
      </c>
      <c r="CS728" s="317">
        <f t="shared" ca="1" si="264"/>
        <v>490.00000000000028</v>
      </c>
      <c r="CT728" s="309"/>
      <c r="CU728" s="309">
        <f t="shared" ca="1" si="265"/>
        <v>999.99999999999989</v>
      </c>
      <c r="CV728" s="309" t="str">
        <f t="shared" ca="1" si="216"/>
        <v>OKAY</v>
      </c>
      <c r="CW728" s="309"/>
      <c r="CX728" s="315">
        <f>(SUM($AR728:$AS728))-((SUM($AR728:$AS728)*VLOOKUP($B728,Lifetime_morbidity_array!$A$30:$Y$48,4))+(SUM($AR728:$AS728)*VLOOKUP($B728,Lifetime_morbidity_array!$A$30:$Y$48,7))+(SUM($AR728:$AS728)*VLOOKUP($B728,Lifetime_morbidity_array!$A$30:$Y$48,10))+(SUM($AR728:$AS728)*VLOOKUP($B728,Lifetime_morbidity_array!$A$30:$Y$48,13)))</f>
        <v>88.752565918816984</v>
      </c>
      <c r="CY728" s="316">
        <f>(SUM($AT728:$AU728))-((SUM($AT728:$AU728)*(VLOOKUP($B728,Lifetime_morbidity_array!$A$30:$Y$48,3)))+(SUM($AT728:$AU728)*(VLOOKUP($B728,Lifetime_morbidity_array!$A$30:$Y$48,6)))+(SUM($AT728:$AU728)*(VLOOKUP($B728,Lifetime_morbidity_array!$A$30:$Y$48,9)))+(SUM($AT728:$AU728)*(VLOOKUP($B728,Lifetime_morbidity_array!$A$30:$Y$48,12))))</f>
        <v>98.147693528587425</v>
      </c>
      <c r="CZ728" s="316">
        <f>(SUM($AM728:$AQ728))-((SUM($AM728:$AQ728)*VLOOKUP($B728,Lifetime_morbidity_array!$A$30:$Y$48,2))+(SUM($AM728:$AQ728)*VLOOKUP($B728,Lifetime_morbidity_array!$A$30:$Y$48,5))+(SUM($AM728:$AQ728)*VLOOKUP($B728,Lifetime_morbidity_array!$A$30:$Y$48,8))+(SUM($AM728:$AQ728)*VLOOKUP($B728,Lifetime_morbidity_array!$A$30:$Y$48,11)))</f>
        <v>143.05991386300414</v>
      </c>
      <c r="DA728" s="316">
        <f>(SUM($AM728:$AQ728)*VLOOKUP($B728,Lifetime_morbidity_array!$A$30:$Y$48,2))+(SUM($AR728:$AS728)*VLOOKUP($B728,Lifetime_morbidity_array!$A$30:$Y$48,4))+(SUM($AT728:$AU728)*(VLOOKUP($B728,Lifetime_morbidity_array!$A$30:$Y$48,3)))</f>
        <v>56.868061711086035</v>
      </c>
      <c r="DB728" s="316">
        <f>(SUM($AM728:$AQ728)*VLOOKUP($B728,Lifetime_morbidity_array!$A$30:$Y$48,5))+(SUM($AR728:$AS728)*VLOOKUP($B728,Lifetime_morbidity_array!$A$30:$Y$48,7))+(SUM($AT728:$AU728)*(VLOOKUP($B728,Lifetime_morbidity_array!$A$30:$Y$48,6)))</f>
        <v>25.026782548816175</v>
      </c>
      <c r="DC728" s="316">
        <f>(SUM($AM728:$AQ728)*VLOOKUP($B728,Lifetime_morbidity_array!$A$30:$Y$48,8))+(SUM($AR728:$AS728)*VLOOKUP($B728,Lifetime_morbidity_array!$A$30:$Y$48,10))+(SUM($AT728:$AU728)*(VLOOKUP($B728,Lifetime_morbidity_array!$A$30:$Y$48,9)))</f>
        <v>1.1417537909610911</v>
      </c>
      <c r="DD728" s="317">
        <f>(SUM($AM728:$AQ728)*VLOOKUP($B728,Lifetime_morbidity_array!$A$30:$Y$48,11))+(SUM($AR728:$AS728)*VLOOKUP($B728,Lifetime_morbidity_array!$A$30:$Y$48,13))+(SUM($AT728:$AU728)*(VLOOKUP($B728,Lifetime_morbidity_array!$A$30:$Y$48,12)))</f>
        <v>15.278965305717858</v>
      </c>
      <c r="DE728" s="309"/>
      <c r="DF728" s="315">
        <f ca="1">(SUM($CN728:$CO728))-((SUM($CN728:$CO728)*VLOOKUP($B728,Lifetime_morbidity_array!$A$6:$Y$24,4))+(SUM($CN728:$CO728)*VLOOKUP($B728,Lifetime_morbidity_array!$A$6:$Y$24,7))+(SUM($CN728:$CO728)*VLOOKUP($B728,Lifetime_morbidity_array!$A$6:$Y$24,10))+(SUM($CN728:$CO728)*VLOOKUP($B728,Lifetime_morbidity_array!$A$6:$Y$24,13)))</f>
        <v>84.359676907525355</v>
      </c>
      <c r="DG728" s="316">
        <f ca="1">(SUM($CP728:$CQ728))-(((SUM($CP728:$CQ728)*VLOOKUP($B728,Lifetime_morbidity_array!$A$6:$Y$24,3))+(SUM($CP728:$CQ728)*VLOOKUP($B728,Lifetime_morbidity_array!$A$6:$Y$24,6))+(SUM($CP728:$CQ728)*VLOOKUP($B728,Lifetime_morbidity_array!$A$6:$Y$24,9))+(SUM($CP728:$CQ728)*VLOOKUP($B728,Lifetime_morbidity_array!$A$6:$Y$24,12))))</f>
        <v>83.066050918182924</v>
      </c>
      <c r="DH728" s="316">
        <f ca="1">(SUM($CI728:$CM728))-((SUM($CI728:$CM728)*VLOOKUP($B728,Lifetime_morbidity_array!$A$6:$Y$24,2))+(SUM($CI728:$CM728)*VLOOKUP($B728,Lifetime_morbidity_array!$A$6:$Y$24,5))+(SUM($CI728:$CM728)*VLOOKUP($B728,Lifetime_morbidity_array!$A$6:$Y$24,8))+(SUM($CI728:$CM728)*VLOOKUP($B728,Lifetime_morbidity_array!$A$6:$Y$24,11)))</f>
        <v>200.46085226668495</v>
      </c>
      <c r="DI728" s="316">
        <f ca="1">(SUM($CI728:$CM728)*VLOOKUP($B728,Lifetime_morbidity_array!$A$6:$Y$24,2))+(SUM($CN728:$CO728)*VLOOKUP($B728,Lifetime_morbidity_array!$A$6:$Y$24,4))+(SUM($CP728:$CQ728)*VLOOKUP($B728,Lifetime_morbidity_array!$A$6:$Y$24,3))</f>
        <v>20.923146084470059</v>
      </c>
      <c r="DJ728" s="316">
        <f ca="1">(SUM($CI728:$CM728)*VLOOKUP($B728,Lifetime_morbidity_array!$A$6:$Y$24,5))+(SUM($CN728:$CO728)*VLOOKUP($B728,Lifetime_morbidity_array!$A$6:$Y$24,7))+(SUM($CP728:$CQ728)*VLOOKUP($B728,Lifetime_morbidity_array!$A$6:$Y$24,6))</f>
        <v>19.936974885224757</v>
      </c>
      <c r="DK728" s="316">
        <f ca="1">(SUM($CI728:$CM728)*VLOOKUP($B728,Lifetime_morbidity_array!$A$6:$Y$24,8))+(SUM($CN728:$CO728)*VLOOKUP($B728,Lifetime_morbidity_array!$A$6:$Y$24,10))+(SUM($CP728:$CQ728)*VLOOKUP($B728,Lifetime_morbidity_array!$A$6:$Y$24,9))</f>
        <v>0.66156177045309705</v>
      </c>
      <c r="DL728" s="317">
        <f ca="1">(SUM($CI728:$CM728)*VLOOKUP($B728,Lifetime_morbidity_array!$A$6:$Y$24,11))+(SUM($CN728:$CO728)*VLOOKUP($B728,Lifetime_morbidity_array!$A$6:$Y$24,13))+(SUM($CP728:$CQ728)*VLOOKUP($B728,Lifetime_morbidity_array!$A$6:$Y$24,12))</f>
        <v>11.584336733895448</v>
      </c>
      <c r="DM728" s="309"/>
      <c r="DN728" s="308">
        <f t="shared" si="266"/>
        <v>62</v>
      </c>
      <c r="DO728" s="309">
        <f t="shared" ca="1" si="267"/>
        <v>100.63365469418049</v>
      </c>
      <c r="DP728" s="310">
        <f t="shared" ca="1" si="298"/>
        <v>22324.866132748852</v>
      </c>
      <c r="DQ728" s="309"/>
      <c r="DR728" s="308">
        <f t="shared" si="268"/>
        <v>62</v>
      </c>
      <c r="DS728" s="309">
        <f ca="1">((VLOOKUP($B728,'Mahawesran Tariff'!$A$21:$M$120,4)*'Experimental (DET)'!$CX728)+(VLOOKUP($B728,'Mahawesran Tariff'!$A$21:$M$120,3)*'Experimental (DET)'!$CY728)+(VLOOKUP($B728,'Mahawesran Tariff'!$A$21:$M$120,2)*'Experimental (DET)'!$CZ728)+(VLOOKUP($B728,'Mahawesran Tariff'!$A$21:$M$120,7)*'Experimental (DET)'!$DF728)+(VLOOKUP($B728,'Mahawesran Tariff'!$A$21:$M$120,6)*'Experimental (DET)'!$DG728)+(VLOOKUP($B728,'Mahawesran Tariff'!$A$21:$M$120,5)*'Experimental (DET)'!$DH728)+(DET_UTIL_chd*('Experimental (DET)'!$DA728+'Experimental (DET)'!$DI728))+(DET_UTIL_copd*('Experimental (DET)'!$DB728+'Experimental (DET)'!$DJ728))+(DET_UTIL_lc*('Experimental (DET)'!$DC728+'Experimental (DET)'!$DK728))+(DET_UTIL_stroke*('Experimental (DET)'!$DD728+'Experimental (DET)'!$DL728)))/((1+Discount_rate_QALYs)^$A728)</f>
        <v>90.271206785929152</v>
      </c>
      <c r="DT728" s="310">
        <f t="shared" ca="1" si="299"/>
        <v>22077.927916132347</v>
      </c>
      <c r="DU728" s="309"/>
      <c r="DV728" s="308">
        <f t="shared" si="269"/>
        <v>62</v>
      </c>
      <c r="DW728" s="318">
        <f t="shared" ca="1" si="270"/>
        <v>92638.461042867231</v>
      </c>
      <c r="DX728" s="319">
        <f t="shared" ca="1" si="300"/>
        <v>7244640.8161284206</v>
      </c>
      <c r="DZ728" s="95">
        <f t="shared" si="271"/>
        <v>62</v>
      </c>
      <c r="EA728" s="268">
        <f t="shared" ca="1" si="304"/>
        <v>0.84926833623342646</v>
      </c>
      <c r="EB728" s="268">
        <f t="shared" ca="1" si="218"/>
        <v>0.15073166376657349</v>
      </c>
      <c r="EC728" s="268">
        <f t="shared" ca="1" si="219"/>
        <v>0.15142158283062451</v>
      </c>
      <c r="ED728" s="290">
        <f t="shared" ca="1" si="220"/>
        <v>0.47578897991154701</v>
      </c>
      <c r="EF728" s="95">
        <f t="shared" si="272"/>
        <v>62</v>
      </c>
      <c r="EG728" s="339">
        <f t="shared" ca="1" si="273"/>
        <v>92638.461042867231</v>
      </c>
      <c r="EH728" s="341">
        <f t="shared" ca="1" si="301"/>
        <v>10346656.540091971</v>
      </c>
      <c r="EJ728" s="308">
        <f t="shared" si="274"/>
        <v>62</v>
      </c>
      <c r="EK728" s="318">
        <f t="shared" ca="1" si="275"/>
        <v>92638.461042867231</v>
      </c>
      <c r="EL728" s="319">
        <f t="shared" ca="1" si="302"/>
        <v>7241600.8161284197</v>
      </c>
      <c r="EN728" s="95">
        <f t="shared" si="276"/>
        <v>62</v>
      </c>
      <c r="EO728" s="339">
        <f t="shared" ca="1" si="277"/>
        <v>92638.461042867231</v>
      </c>
      <c r="EP728" s="341">
        <f t="shared" ca="1" si="303"/>
        <v>10346656.540091971</v>
      </c>
    </row>
    <row r="729" spans="1:146" s="266" customFormat="1" x14ac:dyDescent="0.25">
      <c r="A729" s="313">
        <v>63</v>
      </c>
      <c r="B729" s="314">
        <v>63</v>
      </c>
      <c r="C729" s="308">
        <f>VLOOKUP($B729,'Infant adult mortality'!$A$27:$I$128,3)</f>
        <v>3.0372848069530338E-3</v>
      </c>
      <c r="D729" s="309">
        <f t="shared" si="221"/>
        <v>0.27</v>
      </c>
      <c r="E729" s="309">
        <f>VLOOKUP($B729,'Infant pick up smoking rates'!$A$19:$I$104,3)</f>
        <v>0</v>
      </c>
      <c r="F729" s="309">
        <f t="shared" si="222"/>
        <v>5.407866389048116E-2</v>
      </c>
      <c r="G729" s="309">
        <f t="shared" si="223"/>
        <v>0.67288405130256579</v>
      </c>
      <c r="H729" s="309">
        <f>VLOOKUP($B729,'Infant adult mortality'!$A$27:$I$128,3)</f>
        <v>3.0372848069530338E-3</v>
      </c>
      <c r="I729" s="309">
        <f t="shared" si="224"/>
        <v>0.14000000000000001</v>
      </c>
      <c r="J729" s="309">
        <f>VLOOKUP($B729,'Infant pick up smoking rates'!$A$19:$I$104,2)</f>
        <v>0</v>
      </c>
      <c r="K729" s="309">
        <f t="shared" si="225"/>
        <v>5.407866389048116E-2</v>
      </c>
      <c r="L729" s="309">
        <f t="shared" si="226"/>
        <v>0.80288405130256579</v>
      </c>
      <c r="M729" s="309">
        <f>VLOOKUP($B729,'Infant adult mortality'!$A$27:$I$128,3)</f>
        <v>3.0372848069530338E-3</v>
      </c>
      <c r="N729" s="309">
        <f t="shared" si="227"/>
        <v>0.5714285714285714</v>
      </c>
      <c r="O729" s="309">
        <f>VLOOKUP($B729,'Infant pick up smoking rates'!$A$19:$I$104,2)</f>
        <v>0</v>
      </c>
      <c r="P729" s="309">
        <f t="shared" si="228"/>
        <v>4.443500640658192E-2</v>
      </c>
      <c r="Q729" s="309">
        <f t="shared" si="229"/>
        <v>0.38109913735789364</v>
      </c>
      <c r="R729" s="309">
        <f>VLOOKUP($B729,'Infant adult mortality'!$A$27:$I$128,3)</f>
        <v>3.0372848069530338E-3</v>
      </c>
      <c r="S729" s="309">
        <f t="shared" si="230"/>
        <v>8.6261668788331098E-3</v>
      </c>
      <c r="T729" s="309">
        <f>VLOOKUP($B729,'Infant pick up smoking rates'!$A$19:$I$104,2)</f>
        <v>0</v>
      </c>
      <c r="U729" s="309">
        <f t="shared" si="231"/>
        <v>4.443500640658192E-2</v>
      </c>
      <c r="V729" s="309">
        <f t="shared" si="232"/>
        <v>0.94390154190763187</v>
      </c>
      <c r="W729" s="309">
        <f>VLOOKUP($B729,'Infant adult mortality'!$A$27:$I$128,3)</f>
        <v>3.0372848069530338E-3</v>
      </c>
      <c r="X729" s="309">
        <f>VLOOKUP($B729,'Infant pick up smoking rates'!$A$19:$I$104,2)</f>
        <v>0</v>
      </c>
      <c r="Y729" s="309">
        <f t="shared" si="233"/>
        <v>0.99696271519304691</v>
      </c>
      <c r="Z729" s="309">
        <f>VLOOKUP($B729,'Infant adult mortality'!$A$27:$I$128,5)</f>
        <v>6.4901980611733251E-3</v>
      </c>
      <c r="AA729" s="309">
        <f t="shared" si="234"/>
        <v>0.25</v>
      </c>
      <c r="AB729" s="309">
        <f t="shared" si="235"/>
        <v>0.74350980193882665</v>
      </c>
      <c r="AC729" s="309">
        <f>VLOOKUP($B729,'Infant adult mortality'!$A$27:$I$128,5)</f>
        <v>6.4901980611733251E-3</v>
      </c>
      <c r="AD729" s="309">
        <f t="shared" si="236"/>
        <v>0.14000000000000001</v>
      </c>
      <c r="AE729" s="309">
        <f t="shared" si="237"/>
        <v>0.85350980193882664</v>
      </c>
      <c r="AF729" s="309">
        <f>VLOOKUP($B729,'Infant adult mortality'!$A$27:$I$128,4)</f>
        <v>4.2841701487548057E-3</v>
      </c>
      <c r="AG729" s="309">
        <f t="shared" si="238"/>
        <v>0.5714285714285714</v>
      </c>
      <c r="AH729" s="309">
        <f t="shared" si="239"/>
        <v>0.42428725842267379</v>
      </c>
      <c r="AI729" s="309">
        <f>VLOOKUP($B729,'Infant adult mortality'!$A$27:$I$128,4)</f>
        <v>4.2841701487548057E-3</v>
      </c>
      <c r="AJ729" s="309">
        <f t="shared" si="240"/>
        <v>8.6261668788331098E-3</v>
      </c>
      <c r="AK729" s="309">
        <f t="shared" si="241"/>
        <v>0.98708966297241207</v>
      </c>
      <c r="AL729" s="309"/>
      <c r="AM729" s="315">
        <f t="shared" si="278"/>
        <v>26.7822063319385</v>
      </c>
      <c r="AN729" s="316">
        <f t="shared" si="279"/>
        <v>7.7258465515911539</v>
      </c>
      <c r="AO729" s="316">
        <f t="shared" si="280"/>
        <v>1.1487391202881851</v>
      </c>
      <c r="AP729" s="316">
        <f t="shared" si="281"/>
        <v>52.968492972298655</v>
      </c>
      <c r="AQ729" s="316">
        <f t="shared" si="282"/>
        <v>70.287902830040196</v>
      </c>
      <c r="AR729" s="316">
        <f t="shared" si="283"/>
        <v>117.31314149574727</v>
      </c>
      <c r="AS729" s="316">
        <f t="shared" si="284"/>
        <v>29.806902375025917</v>
      </c>
      <c r="AT729" s="316">
        <f t="shared" si="285"/>
        <v>4.2396298916903357</v>
      </c>
      <c r="AU729" s="316">
        <f t="shared" si="286"/>
        <v>116.03699442369116</v>
      </c>
      <c r="AV729" s="316">
        <f t="shared" si="287"/>
        <v>83.690144007688247</v>
      </c>
      <c r="AW729" s="317">
        <f t="shared" si="242"/>
        <v>509.99999999999966</v>
      </c>
      <c r="AX729" s="309"/>
      <c r="AY729" s="308">
        <f>VLOOKUP($B729,'Infant adult mortality'!$A$134:$I$234,3)</f>
        <v>2.1139603877653353E-3</v>
      </c>
      <c r="AZ729" s="309">
        <f t="shared" si="243"/>
        <v>0.27</v>
      </c>
      <c r="BA729" s="309">
        <f ca="1">VLOOKUP($B729,'Infant pick up smoking rates'!$A$19:$I$104,7)</f>
        <v>0</v>
      </c>
      <c r="BB729" s="309">
        <f t="shared" si="244"/>
        <v>5.407866389048116E-2</v>
      </c>
      <c r="BC729" s="309">
        <f t="shared" ca="1" si="245"/>
        <v>0.67380737572175353</v>
      </c>
      <c r="BD729" s="309">
        <f>VLOOKUP($B729,'Infant adult mortality'!$A$134:$I$234,3)</f>
        <v>2.1139603877653353E-3</v>
      </c>
      <c r="BE729" s="309">
        <f t="shared" si="246"/>
        <v>0.14000000000000001</v>
      </c>
      <c r="BF729" s="309">
        <f>VLOOKUP($B729,'Infant pick up smoking rates'!$A$19:$I$104,6)</f>
        <v>0</v>
      </c>
      <c r="BG729" s="309">
        <f t="shared" si="247"/>
        <v>5.407866389048116E-2</v>
      </c>
      <c r="BH729" s="309">
        <f t="shared" si="248"/>
        <v>0.80380737572175354</v>
      </c>
      <c r="BI729" s="309">
        <f>VLOOKUP($B729,'Infant adult mortality'!$A$134:$I$234,3)</f>
        <v>2.1139603877653353E-3</v>
      </c>
      <c r="BJ729" s="309">
        <f t="shared" si="249"/>
        <v>0.5714285714285714</v>
      </c>
      <c r="BK729" s="309">
        <f>VLOOKUP($B729,'Infant pick up smoking rates'!$A$19:$I$104,6)</f>
        <v>0</v>
      </c>
      <c r="BL729" s="309">
        <f t="shared" si="250"/>
        <v>4.443500640658192E-2</v>
      </c>
      <c r="BM729" s="309">
        <f t="shared" si="251"/>
        <v>0.38202246177708132</v>
      </c>
      <c r="BN729" s="309">
        <f>VLOOKUP($B729,'Infant adult mortality'!$A$134:$I$234,3)</f>
        <v>2.1139603877653353E-3</v>
      </c>
      <c r="BO729" s="309">
        <f t="shared" si="252"/>
        <v>8.6261668788331098E-3</v>
      </c>
      <c r="BP729" s="309">
        <f>VLOOKUP($B729,'Infant pick up smoking rates'!$A$19:$I$104,6)</f>
        <v>0</v>
      </c>
      <c r="BQ729" s="309">
        <f t="shared" si="253"/>
        <v>4.443500640658192E-2</v>
      </c>
      <c r="BR729" s="309">
        <f t="shared" si="254"/>
        <v>0.94482486632681961</v>
      </c>
      <c r="BS729" s="309">
        <f>VLOOKUP($B729,'Infant adult mortality'!$A$134:$I$234,3)</f>
        <v>2.1139603877653353E-3</v>
      </c>
      <c r="BT729" s="309">
        <f>VLOOKUP($B729,'Infant pick up smoking rates'!$A$19:$I$104,6)</f>
        <v>0</v>
      </c>
      <c r="BU729" s="309">
        <f t="shared" si="255"/>
        <v>0.99788603961223465</v>
      </c>
      <c r="BV729" s="309">
        <f>VLOOKUP($B729,'Infant adult mortality'!$A$134:$I$234,5)</f>
        <v>4.5171995654354003E-3</v>
      </c>
      <c r="BW729" s="309">
        <f t="shared" si="256"/>
        <v>0.27</v>
      </c>
      <c r="BX729" s="309">
        <f t="shared" si="257"/>
        <v>0.72548280043456459</v>
      </c>
      <c r="BY729" s="309">
        <f>VLOOKUP($B729,'Infant adult mortality'!$A$134:$I$234,5)</f>
        <v>4.5171995654354003E-3</v>
      </c>
      <c r="BZ729" s="309">
        <f t="shared" si="258"/>
        <v>0.14000000000000001</v>
      </c>
      <c r="CA729" s="309">
        <f t="shared" si="259"/>
        <v>0.85548280043456459</v>
      </c>
      <c r="CB729" s="309">
        <f>VLOOKUP($B729,'Infant adult mortality'!$A$134:$I$234,4)</f>
        <v>2.9817967574795254E-3</v>
      </c>
      <c r="CC729" s="309">
        <f t="shared" si="260"/>
        <v>0.5714285714285714</v>
      </c>
      <c r="CD729" s="309">
        <f t="shared" si="261"/>
        <v>0.4255896318139491</v>
      </c>
      <c r="CE729" s="309">
        <f>VLOOKUP($B729,'Infant adult mortality'!$A$134:$I$234,4)</f>
        <v>2.9817967574795254E-3</v>
      </c>
      <c r="CF729" s="309">
        <f t="shared" si="262"/>
        <v>8.6261668788331098E-3</v>
      </c>
      <c r="CG729" s="309">
        <f t="shared" si="263"/>
        <v>0.98839203636368733</v>
      </c>
      <c r="CH729" s="309"/>
      <c r="CI729" s="315">
        <f t="shared" ca="1" si="288"/>
        <v>36.246984440703365</v>
      </c>
      <c r="CJ729" s="316">
        <f t="shared" ca="1" si="289"/>
        <v>10.447103475784608</v>
      </c>
      <c r="CK729" s="316">
        <f t="shared" ca="1" si="290"/>
        <v>1.5521883300000203</v>
      </c>
      <c r="CL729" s="316">
        <f t="shared" ca="1" si="291"/>
        <v>70.764512431357218</v>
      </c>
      <c r="CM729" s="316">
        <f t="shared" ca="1" si="292"/>
        <v>94.618683832402951</v>
      </c>
      <c r="CN729" s="316">
        <f t="shared" ca="1" si="293"/>
        <v>87.145163661974891</v>
      </c>
      <c r="CO729" s="316">
        <f t="shared" ca="1" si="294"/>
        <v>23.880464513726128</v>
      </c>
      <c r="CP729" s="316">
        <f t="shared" ca="1" si="295"/>
        <v>3.3926132326630305</v>
      </c>
      <c r="CQ729" s="316">
        <f t="shared" ca="1" si="296"/>
        <v>91.702351622329118</v>
      </c>
      <c r="CR729" s="316">
        <f t="shared" ca="1" si="297"/>
        <v>70.249934459058892</v>
      </c>
      <c r="CS729" s="317">
        <f t="shared" ca="1" si="264"/>
        <v>490.00000000000023</v>
      </c>
      <c r="CT729" s="309"/>
      <c r="CU729" s="309">
        <f t="shared" ca="1" si="265"/>
        <v>999.99999999999989</v>
      </c>
      <c r="CV729" s="309" t="str">
        <f t="shared" ca="1" si="216"/>
        <v>OKAY</v>
      </c>
      <c r="CW729" s="309"/>
      <c r="CX729" s="315">
        <f>(SUM($AR729:$AS729))-((SUM($AR729:$AS729)*VLOOKUP($B729,Lifetime_morbidity_array!$A$30:$Y$48,4))+(SUM($AR729:$AS729)*VLOOKUP($B729,Lifetime_morbidity_array!$A$30:$Y$48,7))+(SUM($AR729:$AS729)*VLOOKUP($B729,Lifetime_morbidity_array!$A$30:$Y$48,10))+(SUM($AR729:$AS729)*VLOOKUP($B729,Lifetime_morbidity_array!$A$30:$Y$48,13)))</f>
        <v>87.333435832679896</v>
      </c>
      <c r="CY729" s="316">
        <f>(SUM($AT729:$AU729))-((SUM($AT729:$AU729)*(VLOOKUP($B729,Lifetime_morbidity_array!$A$30:$Y$48,3)))+(SUM($AT729:$AU729)*(VLOOKUP($B729,Lifetime_morbidity_array!$A$30:$Y$48,6)))+(SUM($AT729:$AU729)*(VLOOKUP($B729,Lifetime_morbidity_array!$A$30:$Y$48,9)))+(SUM($AT729:$AU729)*(VLOOKUP($B729,Lifetime_morbidity_array!$A$30:$Y$48,12))))</f>
        <v>98.895010419509873</v>
      </c>
      <c r="CZ729" s="316">
        <f>(SUM($AM729:$AQ729))-((SUM($AM729:$AQ729)*VLOOKUP($B729,Lifetime_morbidity_array!$A$30:$Y$48,2))+(SUM($AM729:$AQ729)*VLOOKUP($B729,Lifetime_morbidity_array!$A$30:$Y$48,5))+(SUM($AM729:$AQ729)*VLOOKUP($B729,Lifetime_morbidity_array!$A$30:$Y$48,8))+(SUM($AM729:$AQ729)*VLOOKUP($B729,Lifetime_morbidity_array!$A$30:$Y$48,11)))</f>
        <v>142.62540016014404</v>
      </c>
      <c r="DA729" s="316">
        <f>(SUM($AM729:$AQ729)*VLOOKUP($B729,Lifetime_morbidity_array!$A$30:$Y$48,2))+(SUM($AR729:$AS729)*VLOOKUP($B729,Lifetime_morbidity_array!$A$30:$Y$48,4))+(SUM($AT729:$AU729)*(VLOOKUP($B729,Lifetime_morbidity_array!$A$30:$Y$48,3)))</f>
        <v>56.41689666236735</v>
      </c>
      <c r="DB729" s="316">
        <f>(SUM($AM729:$AQ729)*VLOOKUP($B729,Lifetime_morbidity_array!$A$30:$Y$48,5))+(SUM($AR729:$AS729)*VLOOKUP($B729,Lifetime_morbidity_array!$A$30:$Y$48,7))+(SUM($AT729:$AU729)*(VLOOKUP($B729,Lifetime_morbidity_array!$A$30:$Y$48,6)))</f>
        <v>24.741101792036773</v>
      </c>
      <c r="DC729" s="316">
        <f>(SUM($AM729:$AQ729)*VLOOKUP($B729,Lifetime_morbidity_array!$A$30:$Y$48,8))+(SUM($AR729:$AS729)*VLOOKUP($B729,Lifetime_morbidity_array!$A$30:$Y$48,10))+(SUM($AT729:$AU729)*(VLOOKUP($B729,Lifetime_morbidity_array!$A$30:$Y$48,9)))</f>
        <v>1.1283025866431657</v>
      </c>
      <c r="DD729" s="317">
        <f>(SUM($AM729:$AQ729)*VLOOKUP($B729,Lifetime_morbidity_array!$A$30:$Y$48,11))+(SUM($AR729:$AS729)*VLOOKUP($B729,Lifetime_morbidity_array!$A$30:$Y$48,13))+(SUM($AT729:$AU729)*(VLOOKUP($B729,Lifetime_morbidity_array!$A$30:$Y$48,12)))</f>
        <v>15.169708538930291</v>
      </c>
      <c r="DE729" s="309"/>
      <c r="DF729" s="315">
        <f ca="1">(SUM($CN729:$CO729))-((SUM($CN729:$CO729)*VLOOKUP($B729,Lifetime_morbidity_array!$A$6:$Y$24,4))+(SUM($CN729:$CO729)*VLOOKUP($B729,Lifetime_morbidity_array!$A$6:$Y$24,7))+(SUM($CN729:$CO729)*VLOOKUP($B729,Lifetime_morbidity_array!$A$6:$Y$24,10))+(SUM($CN729:$CO729)*VLOOKUP($B729,Lifetime_morbidity_array!$A$6:$Y$24,13)))</f>
        <v>83.121756808137093</v>
      </c>
      <c r="DG729" s="316">
        <f ca="1">(SUM($CP729:$CQ729))-(((SUM($CP729:$CQ729)*VLOOKUP($B729,Lifetime_morbidity_array!$A$6:$Y$24,3))+(SUM($CP729:$CQ729)*VLOOKUP($B729,Lifetime_morbidity_array!$A$6:$Y$24,6))+(SUM($CP729:$CQ729)*VLOOKUP($B729,Lifetime_morbidity_array!$A$6:$Y$24,9))+(SUM($CP729:$CQ729)*VLOOKUP($B729,Lifetime_morbidity_array!$A$6:$Y$24,12))))</f>
        <v>83.827249045395973</v>
      </c>
      <c r="DH729" s="316">
        <f ca="1">(SUM($CI729:$CM729))-((SUM($CI729:$CM729)*VLOOKUP($B729,Lifetime_morbidity_array!$A$6:$Y$24,2))+(SUM($CI729:$CM729)*VLOOKUP($B729,Lifetime_morbidity_array!$A$6:$Y$24,5))+(SUM($CI729:$CM729)*VLOOKUP($B729,Lifetime_morbidity_array!$A$6:$Y$24,8))+(SUM($CI729:$CM729)*VLOOKUP($B729,Lifetime_morbidity_array!$A$6:$Y$24,11)))</f>
        <v>200.0370859656955</v>
      </c>
      <c r="DI729" s="316">
        <f ca="1">(SUM($CI729:$CM729)*VLOOKUP($B729,Lifetime_morbidity_array!$A$6:$Y$24,2))+(SUM($CN729:$CO729)*VLOOKUP($B729,Lifetime_morbidity_array!$A$6:$Y$24,4))+(SUM($CP729:$CQ729)*VLOOKUP($B729,Lifetime_morbidity_array!$A$6:$Y$24,3))</f>
        <v>20.779053288225342</v>
      </c>
      <c r="DJ729" s="316">
        <f ca="1">(SUM($CI729:$CM729)*VLOOKUP($B729,Lifetime_morbidity_array!$A$6:$Y$24,5))+(SUM($CN729:$CO729)*VLOOKUP($B729,Lifetime_morbidity_array!$A$6:$Y$24,7))+(SUM($CP729:$CQ729)*VLOOKUP($B729,Lifetime_morbidity_array!$A$6:$Y$24,6))</f>
        <v>19.804937111805163</v>
      </c>
      <c r="DK729" s="316">
        <f ca="1">(SUM($CI729:$CM729)*VLOOKUP($B729,Lifetime_morbidity_array!$A$6:$Y$24,8))+(SUM($CN729:$CO729)*VLOOKUP($B729,Lifetime_morbidity_array!$A$6:$Y$24,10))+(SUM($CP729:$CQ729)*VLOOKUP($B729,Lifetime_morbidity_array!$A$6:$Y$24,9))</f>
        <v>0.6551189010069195</v>
      </c>
      <c r="DL729" s="317">
        <f ca="1">(SUM($CI729:$CM729)*VLOOKUP($B729,Lifetime_morbidity_array!$A$6:$Y$24,11))+(SUM($CN729:$CO729)*VLOOKUP($B729,Lifetime_morbidity_array!$A$6:$Y$24,13))+(SUM($CP729:$CQ729)*VLOOKUP($B729,Lifetime_morbidity_array!$A$6:$Y$24,12))</f>
        <v>11.524864420675298</v>
      </c>
      <c r="DM729" s="309"/>
      <c r="DN729" s="308">
        <f t="shared" si="266"/>
        <v>63</v>
      </c>
      <c r="DO729" s="309">
        <f t="shared" ca="1" si="267"/>
        <v>96.863260959774607</v>
      </c>
      <c r="DP729" s="310">
        <f t="shared" ca="1" si="298"/>
        <v>22421.729393708625</v>
      </c>
      <c r="DQ729" s="309"/>
      <c r="DR729" s="308">
        <f t="shared" si="268"/>
        <v>63</v>
      </c>
      <c r="DS729" s="309">
        <f ca="1">((VLOOKUP($B729,'Mahawesran Tariff'!$A$21:$M$120,4)*'Experimental (DET)'!$CX729)+(VLOOKUP($B729,'Mahawesran Tariff'!$A$21:$M$120,3)*'Experimental (DET)'!$CY729)+(VLOOKUP($B729,'Mahawesran Tariff'!$A$21:$M$120,2)*'Experimental (DET)'!$CZ729)+(VLOOKUP($B729,'Mahawesran Tariff'!$A$21:$M$120,7)*'Experimental (DET)'!$DF729)+(VLOOKUP($B729,'Mahawesran Tariff'!$A$21:$M$120,6)*'Experimental (DET)'!$DG729)+(VLOOKUP($B729,'Mahawesran Tariff'!$A$21:$M$120,5)*'Experimental (DET)'!$DH729)+(DET_UTIL_chd*('Experimental (DET)'!$DA729+'Experimental (DET)'!$DI729))+(DET_UTIL_copd*('Experimental (DET)'!$DB729+'Experimental (DET)'!$DJ729))+(DET_UTIL_lc*('Experimental (DET)'!$DC729+'Experimental (DET)'!$DK729))+(DET_UTIL_stroke*('Experimental (DET)'!$DD729+'Experimental (DET)'!$DL729)))/((1+Discount_rate_QALYs)^$A729)</f>
        <v>86.908120231854085</v>
      </c>
      <c r="DT729" s="310">
        <f t="shared" ca="1" si="299"/>
        <v>22164.836036364202</v>
      </c>
      <c r="DU729" s="309"/>
      <c r="DV729" s="308">
        <f t="shared" si="269"/>
        <v>63</v>
      </c>
      <c r="DW729" s="318">
        <f t="shared" ca="1" si="270"/>
        <v>88898.681523802588</v>
      </c>
      <c r="DX729" s="319">
        <f t="shared" ca="1" si="300"/>
        <v>7333539.4976522233</v>
      </c>
      <c r="DZ729" s="95">
        <f t="shared" si="271"/>
        <v>63</v>
      </c>
      <c r="EA729" s="268">
        <f t="shared" ca="1" si="304"/>
        <v>0.84605992153325271</v>
      </c>
      <c r="EB729" s="268">
        <f t="shared" ca="1" si="218"/>
        <v>0.15394007846674715</v>
      </c>
      <c r="EC729" s="268">
        <f t="shared" ca="1" si="219"/>
        <v>0.15021998330169031</v>
      </c>
      <c r="ED729" s="290">
        <f t="shared" ca="1" si="220"/>
        <v>0.47351726121684784</v>
      </c>
      <c r="EF729" s="95">
        <f t="shared" si="272"/>
        <v>63</v>
      </c>
      <c r="EG729" s="339">
        <f t="shared" ca="1" si="273"/>
        <v>88898.681523802588</v>
      </c>
      <c r="EH729" s="341">
        <f t="shared" ca="1" si="301"/>
        <v>10435555.221615773</v>
      </c>
      <c r="EJ729" s="308">
        <f t="shared" si="274"/>
        <v>63</v>
      </c>
      <c r="EK729" s="318">
        <f t="shared" ca="1" si="275"/>
        <v>88898.681523802588</v>
      </c>
      <c r="EL729" s="319">
        <f t="shared" ca="1" si="302"/>
        <v>7330499.4976522224</v>
      </c>
      <c r="EN729" s="95">
        <f t="shared" si="276"/>
        <v>63</v>
      </c>
      <c r="EO729" s="339">
        <f t="shared" ca="1" si="277"/>
        <v>88898.681523802588</v>
      </c>
      <c r="EP729" s="341">
        <f t="shared" ca="1" si="303"/>
        <v>10435555.221615773</v>
      </c>
    </row>
    <row r="730" spans="1:146" s="266" customFormat="1" x14ac:dyDescent="0.25">
      <c r="A730" s="313">
        <v>64</v>
      </c>
      <c r="B730" s="314">
        <v>64</v>
      </c>
      <c r="C730" s="308">
        <f>VLOOKUP($B730,'Infant adult mortality'!$A$27:$I$128,3)</f>
        <v>3.2868126358014376E-3</v>
      </c>
      <c r="D730" s="309">
        <f t="shared" si="221"/>
        <v>0.27</v>
      </c>
      <c r="E730" s="309">
        <f>VLOOKUP($B730,'Infant pick up smoking rates'!$A$19:$I$104,3)</f>
        <v>0</v>
      </c>
      <c r="F730" s="309">
        <f t="shared" si="222"/>
        <v>5.9920963347607645E-2</v>
      </c>
      <c r="G730" s="309">
        <f t="shared" si="223"/>
        <v>0.66679222401659088</v>
      </c>
      <c r="H730" s="309">
        <f>VLOOKUP($B730,'Infant adult mortality'!$A$27:$I$128,3)</f>
        <v>3.2868126358014376E-3</v>
      </c>
      <c r="I730" s="309">
        <f t="shared" si="224"/>
        <v>0.14000000000000001</v>
      </c>
      <c r="J730" s="309">
        <f>VLOOKUP($B730,'Infant pick up smoking rates'!$A$19:$I$104,2)</f>
        <v>0</v>
      </c>
      <c r="K730" s="309">
        <f t="shared" si="225"/>
        <v>5.9920963347607645E-2</v>
      </c>
      <c r="L730" s="309">
        <f t="shared" si="226"/>
        <v>0.79679222401659089</v>
      </c>
      <c r="M730" s="309">
        <f>VLOOKUP($B730,'Infant adult mortality'!$A$27:$I$128,3)</f>
        <v>3.2868126358014376E-3</v>
      </c>
      <c r="N730" s="309">
        <f t="shared" si="227"/>
        <v>0.5714285714285714</v>
      </c>
      <c r="O730" s="309">
        <f>VLOOKUP($B730,'Infant pick up smoking rates'!$A$19:$I$104,2)</f>
        <v>0</v>
      </c>
      <c r="P730" s="309">
        <f t="shared" si="228"/>
        <v>4.9235469197828514E-2</v>
      </c>
      <c r="Q730" s="309">
        <f t="shared" si="229"/>
        <v>0.37604914673779866</v>
      </c>
      <c r="R730" s="309">
        <f>VLOOKUP($B730,'Infant adult mortality'!$A$27:$I$128,3)</f>
        <v>3.2868126358014376E-3</v>
      </c>
      <c r="S730" s="309">
        <f t="shared" si="230"/>
        <v>8.6261668788331098E-3</v>
      </c>
      <c r="T730" s="309">
        <f>VLOOKUP($B730,'Infant pick up smoking rates'!$A$19:$I$104,2)</f>
        <v>0</v>
      </c>
      <c r="U730" s="309">
        <f t="shared" si="231"/>
        <v>4.9235469197828514E-2</v>
      </c>
      <c r="V730" s="309">
        <f t="shared" si="232"/>
        <v>0.93885155128753695</v>
      </c>
      <c r="W730" s="309">
        <f>VLOOKUP($B730,'Infant adult mortality'!$A$27:$I$128,3)</f>
        <v>3.2868126358014376E-3</v>
      </c>
      <c r="X730" s="309">
        <f>VLOOKUP($B730,'Infant pick up smoking rates'!$A$19:$I$104,2)</f>
        <v>0</v>
      </c>
      <c r="Y730" s="309">
        <f t="shared" si="233"/>
        <v>0.99671318736419856</v>
      </c>
      <c r="Z730" s="309">
        <f>VLOOKUP($B730,'Infant adult mortality'!$A$27:$I$128,5)</f>
        <v>7.0233996322914931E-3</v>
      </c>
      <c r="AA730" s="309">
        <f t="shared" si="234"/>
        <v>0.25</v>
      </c>
      <c r="AB730" s="309">
        <f t="shared" si="235"/>
        <v>0.74297660036770852</v>
      </c>
      <c r="AC730" s="309">
        <f>VLOOKUP($B730,'Infant adult mortality'!$A$27:$I$128,5)</f>
        <v>7.0233996322914931E-3</v>
      </c>
      <c r="AD730" s="309">
        <f t="shared" si="236"/>
        <v>0.14000000000000001</v>
      </c>
      <c r="AE730" s="309">
        <f t="shared" si="237"/>
        <v>0.8529766003677085</v>
      </c>
      <c r="AF730" s="309">
        <f>VLOOKUP($B730,'Infant adult mortality'!$A$27:$I$128,4)</f>
        <v>4.6361357178672903E-3</v>
      </c>
      <c r="AG730" s="309">
        <f t="shared" si="238"/>
        <v>0.5714285714285714</v>
      </c>
      <c r="AH730" s="309">
        <f t="shared" si="239"/>
        <v>0.4239352928535613</v>
      </c>
      <c r="AI730" s="309">
        <f>VLOOKUP($B730,'Infant adult mortality'!$A$27:$I$128,4)</f>
        <v>4.6361357178672903E-3</v>
      </c>
      <c r="AJ730" s="309">
        <f t="shared" si="240"/>
        <v>8.6261668788331098E-3</v>
      </c>
      <c r="AK730" s="309">
        <f t="shared" si="241"/>
        <v>0.98673769740329964</v>
      </c>
      <c r="AL730" s="309"/>
      <c r="AM730" s="315">
        <f t="shared" si="278"/>
        <v>24.902958806105769</v>
      </c>
      <c r="AN730" s="316">
        <f t="shared" si="279"/>
        <v>7.2311957096233952</v>
      </c>
      <c r="AO730" s="316">
        <f t="shared" si="280"/>
        <v>1.0816185172227617</v>
      </c>
      <c r="AP730" s="316">
        <f t="shared" si="281"/>
        <v>50.385974150855986</v>
      </c>
      <c r="AQ730" s="316">
        <f t="shared" si="282"/>
        <v>74.789122748672014</v>
      </c>
      <c r="AR730" s="316">
        <f t="shared" si="283"/>
        <v>115.3837925200495</v>
      </c>
      <c r="AS730" s="316">
        <f t="shared" si="284"/>
        <v>29.328285373936819</v>
      </c>
      <c r="AT730" s="316">
        <f t="shared" si="285"/>
        <v>4.1729663325036288</v>
      </c>
      <c r="AU730" s="316">
        <f t="shared" si="286"/>
        <v>116.92072234362701</v>
      </c>
      <c r="AV730" s="316">
        <f t="shared" si="287"/>
        <v>85.803363497402756</v>
      </c>
      <c r="AW730" s="317">
        <f t="shared" si="242"/>
        <v>509.9999999999996</v>
      </c>
      <c r="AX730" s="309"/>
      <c r="AY730" s="308">
        <f>VLOOKUP($B730,'Infant adult mortality'!$A$134:$I$234,3)</f>
        <v>2.2781422363362864E-3</v>
      </c>
      <c r="AZ730" s="309">
        <f t="shared" si="243"/>
        <v>0.27</v>
      </c>
      <c r="BA730" s="309">
        <f ca="1">VLOOKUP($B730,'Infant pick up smoking rates'!$A$19:$I$104,7)</f>
        <v>0</v>
      </c>
      <c r="BB730" s="309">
        <f t="shared" si="244"/>
        <v>5.9920963347607645E-2</v>
      </c>
      <c r="BC730" s="309">
        <f t="shared" ca="1" si="245"/>
        <v>0.66780089441605606</v>
      </c>
      <c r="BD730" s="309">
        <f>VLOOKUP($B730,'Infant adult mortality'!$A$134:$I$234,3)</f>
        <v>2.2781422363362864E-3</v>
      </c>
      <c r="BE730" s="309">
        <f t="shared" si="246"/>
        <v>0.14000000000000001</v>
      </c>
      <c r="BF730" s="309">
        <f>VLOOKUP($B730,'Infant pick up smoking rates'!$A$19:$I$104,6)</f>
        <v>0</v>
      </c>
      <c r="BG730" s="309">
        <f t="shared" si="247"/>
        <v>5.9920963347607645E-2</v>
      </c>
      <c r="BH730" s="309">
        <f t="shared" si="248"/>
        <v>0.79780089441605606</v>
      </c>
      <c r="BI730" s="309">
        <f>VLOOKUP($B730,'Infant adult mortality'!$A$134:$I$234,3)</f>
        <v>2.2781422363362864E-3</v>
      </c>
      <c r="BJ730" s="309">
        <f t="shared" si="249"/>
        <v>0.5714285714285714</v>
      </c>
      <c r="BK730" s="309">
        <f>VLOOKUP($B730,'Infant pick up smoking rates'!$A$19:$I$104,6)</f>
        <v>0</v>
      </c>
      <c r="BL730" s="309">
        <f t="shared" si="250"/>
        <v>4.9235469197828514E-2</v>
      </c>
      <c r="BM730" s="309">
        <f t="shared" si="251"/>
        <v>0.37705781713726383</v>
      </c>
      <c r="BN730" s="309">
        <f>VLOOKUP($B730,'Infant adult mortality'!$A$134:$I$234,3)</f>
        <v>2.2781422363362864E-3</v>
      </c>
      <c r="BO730" s="309">
        <f t="shared" si="252"/>
        <v>8.6261668788331098E-3</v>
      </c>
      <c r="BP730" s="309">
        <f>VLOOKUP($B730,'Infant pick up smoking rates'!$A$19:$I$104,6)</f>
        <v>0</v>
      </c>
      <c r="BQ730" s="309">
        <f t="shared" si="253"/>
        <v>4.9235469197828514E-2</v>
      </c>
      <c r="BR730" s="309">
        <f t="shared" si="254"/>
        <v>0.93986022168700212</v>
      </c>
      <c r="BS730" s="309">
        <f>VLOOKUP($B730,'Infant adult mortality'!$A$134:$I$234,3)</f>
        <v>2.2781422363362864E-3</v>
      </c>
      <c r="BT730" s="309">
        <f>VLOOKUP($B730,'Infant pick up smoking rates'!$A$19:$I$104,6)</f>
        <v>0</v>
      </c>
      <c r="BU730" s="309">
        <f t="shared" si="255"/>
        <v>0.99772185776366373</v>
      </c>
      <c r="BV730" s="309">
        <f>VLOOKUP($B730,'Infant adult mortality'!$A$134:$I$234,5)</f>
        <v>4.8680302523817489E-3</v>
      </c>
      <c r="BW730" s="309">
        <f t="shared" si="256"/>
        <v>0.27</v>
      </c>
      <c r="BX730" s="309">
        <f t="shared" si="257"/>
        <v>0.72513196974761829</v>
      </c>
      <c r="BY730" s="309">
        <f>VLOOKUP($B730,'Infant adult mortality'!$A$134:$I$234,5)</f>
        <v>4.8680302523817489E-3</v>
      </c>
      <c r="BZ730" s="309">
        <f t="shared" si="258"/>
        <v>0.14000000000000001</v>
      </c>
      <c r="CA730" s="309">
        <f t="shared" si="259"/>
        <v>0.85513196974761829</v>
      </c>
      <c r="CB730" s="309">
        <f>VLOOKUP($B730,'Infant adult mortality'!$A$134:$I$234,4)</f>
        <v>3.2133795754638143E-3</v>
      </c>
      <c r="CC730" s="309">
        <f t="shared" si="260"/>
        <v>0.5714285714285714</v>
      </c>
      <c r="CD730" s="309">
        <f t="shared" si="261"/>
        <v>0.4253580489959648</v>
      </c>
      <c r="CE730" s="309">
        <f>VLOOKUP($B730,'Infant adult mortality'!$A$134:$I$234,4)</f>
        <v>3.2133795754638143E-3</v>
      </c>
      <c r="CF730" s="309">
        <f t="shared" si="262"/>
        <v>8.6261668788331098E-3</v>
      </c>
      <c r="CG730" s="309">
        <f t="shared" si="263"/>
        <v>0.98816045354570303</v>
      </c>
      <c r="CH730" s="309"/>
      <c r="CI730" s="315">
        <f t="shared" ca="1" si="288"/>
        <v>33.736168363252517</v>
      </c>
      <c r="CJ730" s="316">
        <f t="shared" ca="1" si="289"/>
        <v>9.7866857989899092</v>
      </c>
      <c r="CK730" s="316">
        <f t="shared" ca="1" si="290"/>
        <v>1.4625944866098453</v>
      </c>
      <c r="CL730" s="316">
        <f t="shared" ca="1" si="291"/>
        <v>67.395715101308028</v>
      </c>
      <c r="CM730" s="316">
        <f t="shared" ca="1" si="292"/>
        <v>100.76163043583604</v>
      </c>
      <c r="CN730" s="316">
        <f t="shared" ca="1" si="293"/>
        <v>85.846807972216212</v>
      </c>
      <c r="CO730" s="316">
        <f t="shared" ca="1" si="294"/>
        <v>23.529194188733221</v>
      </c>
      <c r="CP730" s="316">
        <f t="shared" ca="1" si="295"/>
        <v>3.3432650319216584</v>
      </c>
      <c r="CQ730" s="316">
        <f t="shared" ca="1" si="296"/>
        <v>92.555273503278585</v>
      </c>
      <c r="CR730" s="316">
        <f t="shared" ca="1" si="297"/>
        <v>71.582665117854205</v>
      </c>
      <c r="CS730" s="317">
        <f t="shared" ca="1" si="264"/>
        <v>490.00000000000028</v>
      </c>
      <c r="CT730" s="309"/>
      <c r="CU730" s="309">
        <f t="shared" ca="1" si="265"/>
        <v>999.99999999999989</v>
      </c>
      <c r="CV730" s="309" t="str">
        <f t="shared" ca="1" si="216"/>
        <v>OKAY</v>
      </c>
      <c r="CW730" s="309"/>
      <c r="CX730" s="315">
        <f>(SUM($AR730:$AS730))-((SUM($AR730:$AS730)*VLOOKUP($B730,Lifetime_morbidity_array!$A$30:$Y$48,4))+(SUM($AR730:$AS730)*VLOOKUP($B730,Lifetime_morbidity_array!$A$30:$Y$48,7))+(SUM($AR730:$AS730)*VLOOKUP($B730,Lifetime_morbidity_array!$A$30:$Y$48,10))+(SUM($AR730:$AS730)*VLOOKUP($B730,Lifetime_morbidity_array!$A$30:$Y$48,13)))</f>
        <v>85.904018490297148</v>
      </c>
      <c r="CY730" s="316">
        <f>(SUM($AT730:$AU730))-((SUM($AT730:$AU730)*(VLOOKUP($B730,Lifetime_morbidity_array!$A$30:$Y$48,3)))+(SUM($AT730:$AU730)*(VLOOKUP($B730,Lifetime_morbidity_array!$A$30:$Y$48,6)))+(SUM($AT730:$AU730)*(VLOOKUP($B730,Lifetime_morbidity_array!$A$30:$Y$48,9)))+(SUM($AT730:$AU730)*(VLOOKUP($B730,Lifetime_morbidity_array!$A$30:$Y$48,12))))</f>
        <v>99.56682498804831</v>
      </c>
      <c r="CZ730" s="316">
        <f>(SUM($AM730:$AQ730))-((SUM($AM730:$AQ730)*VLOOKUP($B730,Lifetime_morbidity_array!$A$30:$Y$48,2))+(SUM($AM730:$AQ730)*VLOOKUP($B730,Lifetime_morbidity_array!$A$30:$Y$48,5))+(SUM($AM730:$AQ730)*VLOOKUP($B730,Lifetime_morbidity_array!$A$30:$Y$48,8))+(SUM($AM730:$AQ730)*VLOOKUP($B730,Lifetime_morbidity_array!$A$30:$Y$48,11)))</f>
        <v>142.15661719271142</v>
      </c>
      <c r="DA730" s="316">
        <f>(SUM($AM730:$AQ730)*VLOOKUP($B730,Lifetime_morbidity_array!$A$30:$Y$48,2))+(SUM($AR730:$AS730)*VLOOKUP($B730,Lifetime_morbidity_array!$A$30:$Y$48,4))+(SUM($AT730:$AU730)*(VLOOKUP($B730,Lifetime_morbidity_array!$A$30:$Y$48,3)))</f>
        <v>55.949161102542433</v>
      </c>
      <c r="DB730" s="316">
        <f>(SUM($AM730:$AQ730)*VLOOKUP($B730,Lifetime_morbidity_array!$A$30:$Y$48,5))+(SUM($AR730:$AS730)*VLOOKUP($B730,Lifetime_morbidity_array!$A$30:$Y$48,7))+(SUM($AT730:$AU730)*(VLOOKUP($B730,Lifetime_morbidity_array!$A$30:$Y$48,6)))</f>
        <v>24.449673888547249</v>
      </c>
      <c r="DC730" s="316">
        <f>(SUM($AM730:$AQ730)*VLOOKUP($B730,Lifetime_morbidity_array!$A$30:$Y$48,8))+(SUM($AR730:$AS730)*VLOOKUP($B730,Lifetime_morbidity_array!$A$30:$Y$48,10))+(SUM($AT730:$AU730)*(VLOOKUP($B730,Lifetime_morbidity_array!$A$30:$Y$48,9)))</f>
        <v>1.1145980764324621</v>
      </c>
      <c r="DD730" s="317">
        <f>(SUM($AM730:$AQ730)*VLOOKUP($B730,Lifetime_morbidity_array!$A$30:$Y$48,11))+(SUM($AR730:$AS730)*VLOOKUP($B730,Lifetime_morbidity_array!$A$30:$Y$48,13))+(SUM($AT730:$AU730)*(VLOOKUP($B730,Lifetime_morbidity_array!$A$30:$Y$48,12)))</f>
        <v>15.055742764017843</v>
      </c>
      <c r="DE730" s="309"/>
      <c r="DF730" s="315">
        <f ca="1">(SUM($CN730:$CO730))-((SUM($CN730:$CO730)*VLOOKUP($B730,Lifetime_morbidity_array!$A$6:$Y$24,4))+(SUM($CN730:$CO730)*VLOOKUP($B730,Lifetime_morbidity_array!$A$6:$Y$24,7))+(SUM($CN730:$CO730)*VLOOKUP($B730,Lifetime_morbidity_array!$A$6:$Y$24,10))+(SUM($CN730:$CO730)*VLOOKUP($B730,Lifetime_morbidity_array!$A$6:$Y$24,13)))</f>
        <v>81.886728331598675</v>
      </c>
      <c r="DG730" s="316">
        <f ca="1">(SUM($CP730:$CQ730))-(((SUM($CP730:$CQ730)*VLOOKUP($B730,Lifetime_morbidity_array!$A$6:$Y$24,3))+(SUM($CP730:$CQ730)*VLOOKUP($B730,Lifetime_morbidity_array!$A$6:$Y$24,6))+(SUM($CP730:$CQ730)*VLOOKUP($B730,Lifetime_morbidity_array!$A$6:$Y$24,9))+(SUM($CP730:$CQ730)*VLOOKUP($B730,Lifetime_morbidity_array!$A$6:$Y$24,12))))</f>
        <v>84.535608011823356</v>
      </c>
      <c r="DH730" s="316">
        <f ca="1">(SUM($CI730:$CM730))-((SUM($CI730:$CM730)*VLOOKUP($B730,Lifetime_morbidity_array!$A$6:$Y$24,2))+(SUM($CI730:$CM730)*VLOOKUP($B730,Lifetime_morbidity_array!$A$6:$Y$24,5))+(SUM($CI730:$CM730)*VLOOKUP($B730,Lifetime_morbidity_array!$A$6:$Y$24,8))+(SUM($CI730:$CM730)*VLOOKUP($B730,Lifetime_morbidity_array!$A$6:$Y$24,11)))</f>
        <v>199.58137303132344</v>
      </c>
      <c r="DI730" s="316">
        <f ca="1">(SUM($CI730:$CM730)*VLOOKUP($B730,Lifetime_morbidity_array!$A$6:$Y$24,2))+(SUM($CN730:$CO730)*VLOOKUP($B730,Lifetime_morbidity_array!$A$6:$Y$24,4))+(SUM($CP730:$CQ730)*VLOOKUP($B730,Lifetime_morbidity_array!$A$6:$Y$24,3))</f>
        <v>20.632124947364698</v>
      </c>
      <c r="DJ730" s="316">
        <f ca="1">(SUM($CI730:$CM730)*VLOOKUP($B730,Lifetime_morbidity_array!$A$6:$Y$24,5))+(SUM($CN730:$CO730)*VLOOKUP($B730,Lifetime_morbidity_array!$A$6:$Y$24,7))+(SUM($CP730:$CQ730)*VLOOKUP($B730,Lifetime_morbidity_array!$A$6:$Y$24,6))</f>
        <v>19.669472801314807</v>
      </c>
      <c r="DK730" s="316">
        <f ca="1">(SUM($CI730:$CM730)*VLOOKUP($B730,Lifetime_morbidity_array!$A$6:$Y$24,8))+(SUM($CN730:$CO730)*VLOOKUP($B730,Lifetime_morbidity_array!$A$6:$Y$24,10))+(SUM($CP730:$CQ730)*VLOOKUP($B730,Lifetime_morbidity_array!$A$6:$Y$24,9))</f>
        <v>0.64861489878912848</v>
      </c>
      <c r="DL730" s="317">
        <f ca="1">(SUM($CI730:$CM730)*VLOOKUP($B730,Lifetime_morbidity_array!$A$6:$Y$24,11))+(SUM($CN730:$CO730)*VLOOKUP($B730,Lifetime_morbidity_array!$A$6:$Y$24,13))+(SUM($CP730:$CQ730)*VLOOKUP($B730,Lifetime_morbidity_array!$A$6:$Y$24,12))</f>
        <v>11.463412859931905</v>
      </c>
      <c r="DM730" s="309"/>
      <c r="DN730" s="308">
        <f t="shared" si="266"/>
        <v>64</v>
      </c>
      <c r="DO730" s="309">
        <f t="shared" ca="1" si="267"/>
        <v>93.206514822364312</v>
      </c>
      <c r="DP730" s="310">
        <f t="shared" ca="1" si="298"/>
        <v>22514.935908530988</v>
      </c>
      <c r="DQ730" s="309"/>
      <c r="DR730" s="308">
        <f t="shared" si="268"/>
        <v>64</v>
      </c>
      <c r="DS730" s="309">
        <f ca="1">((VLOOKUP($B730,'Mahawesran Tariff'!$A$21:$M$120,4)*'Experimental (DET)'!$CX730)+(VLOOKUP($B730,'Mahawesran Tariff'!$A$21:$M$120,3)*'Experimental (DET)'!$CY730)+(VLOOKUP($B730,'Mahawesran Tariff'!$A$21:$M$120,2)*'Experimental (DET)'!$CZ730)+(VLOOKUP($B730,'Mahawesran Tariff'!$A$21:$M$120,7)*'Experimental (DET)'!$DF730)+(VLOOKUP($B730,'Mahawesran Tariff'!$A$21:$M$120,6)*'Experimental (DET)'!$DG730)+(VLOOKUP($B730,'Mahawesran Tariff'!$A$21:$M$120,5)*'Experimental (DET)'!$DH730)+(DET_UTIL_chd*('Experimental (DET)'!$DA730+'Experimental (DET)'!$DI730))+(DET_UTIL_copd*('Experimental (DET)'!$DB730+'Experimental (DET)'!$DJ730))+(DET_UTIL_lc*('Experimental (DET)'!$DC730+'Experimental (DET)'!$DK730))+(DET_UTIL_stroke*('Experimental (DET)'!$DD730+'Experimental (DET)'!$DL730)))/((1+Discount_rate_QALYs)^$A730)</f>
        <v>83.645502484422209</v>
      </c>
      <c r="DT730" s="310">
        <f t="shared" ca="1" si="299"/>
        <v>22248.481538848624</v>
      </c>
      <c r="DU730" s="309"/>
      <c r="DV730" s="308">
        <f t="shared" si="269"/>
        <v>64</v>
      </c>
      <c r="DW730" s="318">
        <f t="shared" ca="1" si="270"/>
        <v>85284.689253830744</v>
      </c>
      <c r="DX730" s="319">
        <f t="shared" ca="1" si="300"/>
        <v>7418824.1869060537</v>
      </c>
      <c r="DZ730" s="95">
        <f t="shared" si="271"/>
        <v>64</v>
      </c>
      <c r="EA730" s="268">
        <f t="shared" ca="1" si="304"/>
        <v>0.84261397138474281</v>
      </c>
      <c r="EB730" s="268">
        <f t="shared" ca="1" si="218"/>
        <v>0.15738602861525697</v>
      </c>
      <c r="EC730" s="268">
        <f t="shared" ca="1" si="219"/>
        <v>0.14898280133894054</v>
      </c>
      <c r="ED730" s="290">
        <f t="shared" ca="1" si="220"/>
        <v>0.47108030726626665</v>
      </c>
      <c r="EF730" s="95">
        <f t="shared" si="272"/>
        <v>64</v>
      </c>
      <c r="EG730" s="339">
        <f t="shared" ca="1" si="273"/>
        <v>85284.689253830744</v>
      </c>
      <c r="EH730" s="341">
        <f t="shared" ca="1" si="301"/>
        <v>10520839.910869604</v>
      </c>
      <c r="EJ730" s="308">
        <f t="shared" si="274"/>
        <v>64</v>
      </c>
      <c r="EK730" s="318">
        <f t="shared" ca="1" si="275"/>
        <v>85284.689253830744</v>
      </c>
      <c r="EL730" s="319">
        <f t="shared" ca="1" si="302"/>
        <v>7415784.1869060528</v>
      </c>
      <c r="EN730" s="95">
        <f t="shared" si="276"/>
        <v>64</v>
      </c>
      <c r="EO730" s="339">
        <f t="shared" ca="1" si="277"/>
        <v>85284.689253830744</v>
      </c>
      <c r="EP730" s="341">
        <f t="shared" ca="1" si="303"/>
        <v>10520839.910869604</v>
      </c>
    </row>
    <row r="731" spans="1:146" s="266" customFormat="1" x14ac:dyDescent="0.25">
      <c r="A731" s="313">
        <v>65</v>
      </c>
      <c r="B731" s="314">
        <v>65</v>
      </c>
      <c r="C731" s="308">
        <f>VLOOKUP($B731,'Infant adult mortality'!$A$27:$I$128,3)</f>
        <v>3.675856370816878E-3</v>
      </c>
      <c r="D731" s="309">
        <f t="shared" si="221"/>
        <v>0.27</v>
      </c>
      <c r="E731" s="309">
        <f>VLOOKUP($B731,'Infant pick up smoking rates'!$A$19:$I$104,3)</f>
        <v>0</v>
      </c>
      <c r="F731" s="309">
        <f t="shared" si="222"/>
        <v>6.636574417506827E-2</v>
      </c>
      <c r="G731" s="309">
        <f t="shared" si="223"/>
        <v>0.65995839945411483</v>
      </c>
      <c r="H731" s="309">
        <f>VLOOKUP($B731,'Infant adult mortality'!$A$27:$I$128,3)</f>
        <v>3.675856370816878E-3</v>
      </c>
      <c r="I731" s="309">
        <f t="shared" si="224"/>
        <v>0.14000000000000001</v>
      </c>
      <c r="J731" s="309">
        <f>VLOOKUP($B731,'Infant pick up smoking rates'!$A$19:$I$104,2)</f>
        <v>0</v>
      </c>
      <c r="K731" s="309">
        <f t="shared" si="225"/>
        <v>6.636574417506827E-2</v>
      </c>
      <c r="L731" s="309">
        <f t="shared" si="226"/>
        <v>0.78995839945411483</v>
      </c>
      <c r="M731" s="309">
        <f>VLOOKUP($B731,'Infant adult mortality'!$A$27:$I$128,3)</f>
        <v>3.675856370816878E-3</v>
      </c>
      <c r="N731" s="309">
        <f t="shared" si="227"/>
        <v>0.5714285714285714</v>
      </c>
      <c r="O731" s="309">
        <f>VLOOKUP($B731,'Infant pick up smoking rates'!$A$19:$I$104,2)</f>
        <v>0</v>
      </c>
      <c r="P731" s="309">
        <f t="shared" si="228"/>
        <v>5.4530974980611664E-2</v>
      </c>
      <c r="Q731" s="309">
        <f t="shared" si="229"/>
        <v>0.37036459722000009</v>
      </c>
      <c r="R731" s="309">
        <f>VLOOKUP($B731,'Infant adult mortality'!$A$27:$I$128,3)</f>
        <v>3.675856370816878E-3</v>
      </c>
      <c r="S731" s="309">
        <f t="shared" si="230"/>
        <v>8.6261668788331098E-3</v>
      </c>
      <c r="T731" s="309">
        <f>VLOOKUP($B731,'Infant pick up smoking rates'!$A$19:$I$104,2)</f>
        <v>0</v>
      </c>
      <c r="U731" s="309">
        <f t="shared" si="231"/>
        <v>5.4530974980611664E-2</v>
      </c>
      <c r="V731" s="309">
        <f t="shared" si="232"/>
        <v>0.93316700176973832</v>
      </c>
      <c r="W731" s="309">
        <f>VLOOKUP($B731,'Infant adult mortality'!$A$27:$I$128,3)</f>
        <v>3.675856370816878E-3</v>
      </c>
      <c r="X731" s="309">
        <f>VLOOKUP($B731,'Infant pick up smoking rates'!$A$19:$I$104,2)</f>
        <v>0</v>
      </c>
      <c r="Y731" s="309">
        <f t="shared" si="233"/>
        <v>0.99632414362918309</v>
      </c>
      <c r="Z731" s="309">
        <f>VLOOKUP($B731,'Infant adult mortality'!$A$27:$I$128,5)</f>
        <v>7.2896729716621627E-3</v>
      </c>
      <c r="AA731" s="309">
        <f t="shared" si="234"/>
        <v>0.25</v>
      </c>
      <c r="AB731" s="309">
        <f t="shared" si="235"/>
        <v>0.74271032702833784</v>
      </c>
      <c r="AC731" s="309">
        <f>VLOOKUP($B731,'Infant adult mortality'!$A$27:$I$128,5)</f>
        <v>7.2896729716621627E-3</v>
      </c>
      <c r="AD731" s="309">
        <f t="shared" si="236"/>
        <v>0.14000000000000001</v>
      </c>
      <c r="AE731" s="309">
        <f t="shared" si="237"/>
        <v>0.85271032702833782</v>
      </c>
      <c r="AF731" s="309">
        <f>VLOOKUP($B731,'Infant adult mortality'!$A$27:$I$128,4)</f>
        <v>4.9011418277558382E-3</v>
      </c>
      <c r="AG731" s="309">
        <f t="shared" si="238"/>
        <v>0.5714285714285714</v>
      </c>
      <c r="AH731" s="309">
        <f t="shared" si="239"/>
        <v>0.42367028674367274</v>
      </c>
      <c r="AI731" s="309">
        <f>VLOOKUP($B731,'Infant adult mortality'!$A$27:$I$128,4)</f>
        <v>4.9011418277558382E-3</v>
      </c>
      <c r="AJ731" s="309">
        <f t="shared" si="240"/>
        <v>8.6261668788331098E-3</v>
      </c>
      <c r="AK731" s="309">
        <f t="shared" si="241"/>
        <v>0.98647269129341109</v>
      </c>
      <c r="AL731" s="309"/>
      <c r="AM731" s="315">
        <f t="shared" si="278"/>
        <v>22.982491652117634</v>
      </c>
      <c r="AN731" s="316">
        <f t="shared" si="279"/>
        <v>6.7237988776485578</v>
      </c>
      <c r="AO731" s="316">
        <f t="shared" si="280"/>
        <v>1.0123673993472755</v>
      </c>
      <c r="AP731" s="316">
        <f t="shared" si="281"/>
        <v>47.636596153729108</v>
      </c>
      <c r="AQ731" s="316">
        <f t="shared" si="282"/>
        <v>79.453393761316818</v>
      </c>
      <c r="AR731" s="316">
        <f t="shared" si="283"/>
        <v>113.48180559391926</v>
      </c>
      <c r="AS731" s="316">
        <f t="shared" si="284"/>
        <v>28.845948130012374</v>
      </c>
      <c r="AT731" s="316">
        <f t="shared" si="285"/>
        <v>4.1059599523511547</v>
      </c>
      <c r="AU731" s="316">
        <f t="shared" si="286"/>
        <v>117.72365182828946</v>
      </c>
      <c r="AV731" s="316">
        <f t="shared" si="287"/>
        <v>88.033986651267995</v>
      </c>
      <c r="AW731" s="317">
        <f t="shared" si="242"/>
        <v>509.99999999999966</v>
      </c>
      <c r="AX731" s="309"/>
      <c r="AY731" s="308">
        <f>VLOOKUP($B731,'Infant adult mortality'!$A$134:$I$234,3)</f>
        <v>2.5399542714612351E-3</v>
      </c>
      <c r="AZ731" s="309">
        <f t="shared" si="243"/>
        <v>0.27</v>
      </c>
      <c r="BA731" s="309">
        <f ca="1">VLOOKUP($B731,'Infant pick up smoking rates'!$A$19:$I$104,7)</f>
        <v>0</v>
      </c>
      <c r="BB731" s="309">
        <f t="shared" si="244"/>
        <v>6.636574417506827E-2</v>
      </c>
      <c r="BC731" s="309">
        <f t="shared" ca="1" si="245"/>
        <v>0.66109430155347049</v>
      </c>
      <c r="BD731" s="309">
        <f>VLOOKUP($B731,'Infant adult mortality'!$A$134:$I$234,3)</f>
        <v>2.5399542714612351E-3</v>
      </c>
      <c r="BE731" s="309">
        <f t="shared" si="246"/>
        <v>0.14000000000000001</v>
      </c>
      <c r="BF731" s="309">
        <f>VLOOKUP($B731,'Infant pick up smoking rates'!$A$19:$I$104,6)</f>
        <v>0</v>
      </c>
      <c r="BG731" s="309">
        <f t="shared" si="247"/>
        <v>6.636574417506827E-2</v>
      </c>
      <c r="BH731" s="309">
        <f t="shared" si="248"/>
        <v>0.79109430155347049</v>
      </c>
      <c r="BI731" s="309">
        <f>VLOOKUP($B731,'Infant adult mortality'!$A$134:$I$234,3)</f>
        <v>2.5399542714612351E-3</v>
      </c>
      <c r="BJ731" s="309">
        <f t="shared" si="249"/>
        <v>0.5714285714285714</v>
      </c>
      <c r="BK731" s="309">
        <f>VLOOKUP($B731,'Infant pick up smoking rates'!$A$19:$I$104,6)</f>
        <v>0</v>
      </c>
      <c r="BL731" s="309">
        <f t="shared" si="250"/>
        <v>5.4530974980611664E-2</v>
      </c>
      <c r="BM731" s="309">
        <f t="shared" si="251"/>
        <v>0.37150049931935569</v>
      </c>
      <c r="BN731" s="309">
        <f>VLOOKUP($B731,'Infant adult mortality'!$A$134:$I$234,3)</f>
        <v>2.5399542714612351E-3</v>
      </c>
      <c r="BO731" s="309">
        <f t="shared" si="252"/>
        <v>8.6261668788331098E-3</v>
      </c>
      <c r="BP731" s="309">
        <f>VLOOKUP($B731,'Infant pick up smoking rates'!$A$19:$I$104,6)</f>
        <v>0</v>
      </c>
      <c r="BQ731" s="309">
        <f t="shared" si="253"/>
        <v>5.4530974980611664E-2</v>
      </c>
      <c r="BR731" s="309">
        <f t="shared" si="254"/>
        <v>0.93430290386909398</v>
      </c>
      <c r="BS731" s="309">
        <f>VLOOKUP($B731,'Infant adult mortality'!$A$134:$I$234,3)</f>
        <v>2.5399542714612351E-3</v>
      </c>
      <c r="BT731" s="309">
        <f>VLOOKUP($B731,'Infant pick up smoking rates'!$A$19:$I$104,6)</f>
        <v>0</v>
      </c>
      <c r="BU731" s="309">
        <f t="shared" si="255"/>
        <v>0.99746004572853875</v>
      </c>
      <c r="BV731" s="309">
        <f>VLOOKUP($B731,'Infant adult mortality'!$A$134:$I$234,5)</f>
        <v>5.0370401163999179E-3</v>
      </c>
      <c r="BW731" s="309">
        <f t="shared" si="256"/>
        <v>0.27</v>
      </c>
      <c r="BX731" s="309">
        <f t="shared" si="257"/>
        <v>0.72496295988360004</v>
      </c>
      <c r="BY731" s="309">
        <f>VLOOKUP($B731,'Infant adult mortality'!$A$134:$I$234,5)</f>
        <v>5.0370401163999179E-3</v>
      </c>
      <c r="BZ731" s="309">
        <f t="shared" si="258"/>
        <v>0.14000000000000001</v>
      </c>
      <c r="CA731" s="309">
        <f t="shared" si="259"/>
        <v>0.85496295988360005</v>
      </c>
      <c r="CB731" s="309">
        <f>VLOOKUP($B731,'Infant adult mortality'!$A$134:$I$234,4)</f>
        <v>3.3866056952816474E-3</v>
      </c>
      <c r="CC731" s="309">
        <f t="shared" si="260"/>
        <v>0.5714285714285714</v>
      </c>
      <c r="CD731" s="309">
        <f t="shared" si="261"/>
        <v>0.42518482287614695</v>
      </c>
      <c r="CE731" s="309">
        <f>VLOOKUP($B731,'Infant adult mortality'!$A$134:$I$234,4)</f>
        <v>3.3866056952816474E-3</v>
      </c>
      <c r="CF731" s="309">
        <f t="shared" si="262"/>
        <v>8.6261668788331098E-3</v>
      </c>
      <c r="CG731" s="309">
        <f t="shared" si="263"/>
        <v>0.98798722742588529</v>
      </c>
      <c r="CH731" s="309"/>
      <c r="CI731" s="315">
        <f t="shared" ca="1" si="288"/>
        <v>31.169701295329372</v>
      </c>
      <c r="CJ731" s="316">
        <f t="shared" ca="1" si="289"/>
        <v>9.1087654580781798</v>
      </c>
      <c r="CK731" s="316">
        <f t="shared" ca="1" si="290"/>
        <v>1.3701360118585875</v>
      </c>
      <c r="CL731" s="316">
        <f t="shared" ca="1" si="291"/>
        <v>63.803780605549008</v>
      </c>
      <c r="CM731" s="316">
        <f t="shared" ca="1" si="292"/>
        <v>107.14903786465729</v>
      </c>
      <c r="CN731" s="316">
        <f t="shared" ca="1" si="293"/>
        <v>84.572248296553198</v>
      </c>
      <c r="CO731" s="316">
        <f t="shared" ca="1" si="294"/>
        <v>23.17863815249838</v>
      </c>
      <c r="CP731" s="316">
        <f t="shared" ca="1" si="295"/>
        <v>3.2940871864226513</v>
      </c>
      <c r="CQ731" s="316">
        <f t="shared" ca="1" si="296"/>
        <v>93.353865213246806</v>
      </c>
      <c r="CR731" s="316">
        <f t="shared" ca="1" si="297"/>
        <v>72.999739915806742</v>
      </c>
      <c r="CS731" s="317">
        <f t="shared" ca="1" si="264"/>
        <v>490.00000000000023</v>
      </c>
      <c r="CT731" s="309"/>
      <c r="CU731" s="309">
        <f t="shared" ca="1" si="265"/>
        <v>999.99999999999989</v>
      </c>
      <c r="CV731" s="309" t="str">
        <f t="shared" ca="1" si="216"/>
        <v>OKAY</v>
      </c>
      <c r="CW731" s="309"/>
      <c r="CX731" s="315">
        <f>(SUM($AR731:$AS731))-((SUM($AR731:$AS731)*VLOOKUP($B731,Lifetime_morbidity_array!$A$30:$Y$48,4))+(SUM($AR731:$AS731)*VLOOKUP($B731,Lifetime_morbidity_array!$A$30:$Y$48,7))+(SUM($AR731:$AS731)*VLOOKUP($B731,Lifetime_morbidity_array!$A$30:$Y$48,10))+(SUM($AR731:$AS731)*VLOOKUP($B731,Lifetime_morbidity_array!$A$30:$Y$48,13)))</f>
        <v>32.12863582279121</v>
      </c>
      <c r="CY731" s="316">
        <f>(SUM($AT731:$AU731))-((SUM($AT731:$AU731)*(VLOOKUP($B731,Lifetime_morbidity_array!$A$30:$Y$48,3)))+(SUM($AT731:$AU731)*(VLOOKUP($B731,Lifetime_morbidity_array!$A$30:$Y$48,6)))+(SUM($AT731:$AU731)*(VLOOKUP($B731,Lifetime_morbidity_array!$A$30:$Y$48,9)))+(SUM($AT731:$AU731)*(VLOOKUP($B731,Lifetime_morbidity_array!$A$30:$Y$48,12))))</f>
        <v>77.328435351963691</v>
      </c>
      <c r="CZ731" s="316">
        <f>(SUM($AM731:$AQ731))-((SUM($AM731:$AQ731)*VLOOKUP($B731,Lifetime_morbidity_array!$A$30:$Y$48,2))+(SUM($AM731:$AQ731)*VLOOKUP($B731,Lifetime_morbidity_array!$A$30:$Y$48,5))+(SUM($AM731:$AQ731)*VLOOKUP($B731,Lifetime_morbidity_array!$A$30:$Y$48,8))+(SUM($AM731:$AQ731)*VLOOKUP($B731,Lifetime_morbidity_array!$A$30:$Y$48,11)))</f>
        <v>125.03302656280812</v>
      </c>
      <c r="DA731" s="316">
        <f>(SUM($AM731:$AQ731)*VLOOKUP($B731,Lifetime_morbidity_array!$A$30:$Y$48,2))+(SUM($AR731:$AS731)*VLOOKUP($B731,Lifetime_morbidity_array!$A$30:$Y$48,4))+(SUM($AT731:$AU731)*(VLOOKUP($B731,Lifetime_morbidity_array!$A$30:$Y$48,3)))</f>
        <v>105.44420577774402</v>
      </c>
      <c r="DB731" s="316">
        <f>(SUM($AM731:$AQ731)*VLOOKUP($B731,Lifetime_morbidity_array!$A$30:$Y$48,5))+(SUM($AR731:$AS731)*VLOOKUP($B731,Lifetime_morbidity_array!$A$30:$Y$48,7))+(SUM($AT731:$AU731)*(VLOOKUP($B731,Lifetime_morbidity_array!$A$30:$Y$48,6)))</f>
        <v>41.240690809642558</v>
      </c>
      <c r="DC731" s="316">
        <f>(SUM($AM731:$AQ731)*VLOOKUP($B731,Lifetime_morbidity_array!$A$30:$Y$48,8))+(SUM($AR731:$AS731)*VLOOKUP($B731,Lifetime_morbidity_array!$A$30:$Y$48,10))+(SUM($AT731:$AU731)*(VLOOKUP($B731,Lifetime_morbidity_array!$A$30:$Y$48,9)))</f>
        <v>5.6329286138012451</v>
      </c>
      <c r="DD731" s="317">
        <f>(SUM($AM731:$AQ731)*VLOOKUP($B731,Lifetime_morbidity_array!$A$30:$Y$48,11))+(SUM($AR731:$AS731)*VLOOKUP($B731,Lifetime_morbidity_array!$A$30:$Y$48,13))+(SUM($AT731:$AU731)*(VLOOKUP($B731,Lifetime_morbidity_array!$A$30:$Y$48,12)))</f>
        <v>35.158090409980815</v>
      </c>
      <c r="DE731" s="309"/>
      <c r="DF731" s="315">
        <f ca="1">(SUM($CN731:$CO731))-((SUM($CN731:$CO731)*VLOOKUP($B731,Lifetime_morbidity_array!$A$6:$Y$24,4))+(SUM($CN731:$CO731)*VLOOKUP($B731,Lifetime_morbidity_array!$A$6:$Y$24,7))+(SUM($CN731:$CO731)*VLOOKUP($B731,Lifetime_morbidity_array!$A$6:$Y$24,10))+(SUM($CN731:$CO731)*VLOOKUP($B731,Lifetime_morbidity_array!$A$6:$Y$24,13)))</f>
        <v>43.155169957687718</v>
      </c>
      <c r="DG731" s="316">
        <f ca="1">(SUM($CP731:$CQ731))-(((SUM($CP731:$CQ731)*VLOOKUP($B731,Lifetime_morbidity_array!$A$6:$Y$24,3))+(SUM($CP731:$CQ731)*VLOOKUP($B731,Lifetime_morbidity_array!$A$6:$Y$24,6))+(SUM($CP731:$CQ731)*VLOOKUP($B731,Lifetime_morbidity_array!$A$6:$Y$24,9))+(SUM($CP731:$CQ731)*VLOOKUP($B731,Lifetime_morbidity_array!$A$6:$Y$24,12))))</f>
        <v>70.509271040854202</v>
      </c>
      <c r="DH731" s="316">
        <f ca="1">(SUM($CI731:$CM731))-((SUM($CI731:$CM731)*VLOOKUP($B731,Lifetime_morbidity_array!$A$6:$Y$24,2))+(SUM($CI731:$CM731)*VLOOKUP($B731,Lifetime_morbidity_array!$A$6:$Y$24,5))+(SUM($CI731:$CM731)*VLOOKUP($B731,Lifetime_morbidity_array!$A$6:$Y$24,8))+(SUM($CI731:$CM731)*VLOOKUP($B731,Lifetime_morbidity_array!$A$6:$Y$24,11)))</f>
        <v>186.75309317687987</v>
      </c>
      <c r="DI731" s="316">
        <f ca="1">(SUM($CI731:$CM731)*VLOOKUP($B731,Lifetime_morbidity_array!$A$6:$Y$24,2))+(SUM($CN731:$CO731)*VLOOKUP($B731,Lifetime_morbidity_array!$A$6:$Y$24,4))+(SUM($CP731:$CQ731)*VLOOKUP($B731,Lifetime_morbidity_array!$A$6:$Y$24,3))</f>
        <v>55.820938963232059</v>
      </c>
      <c r="DJ731" s="316">
        <f ca="1">(SUM($CI731:$CM731)*VLOOKUP($B731,Lifetime_morbidity_array!$A$6:$Y$24,5))+(SUM($CN731:$CO731)*VLOOKUP($B731,Lifetime_morbidity_array!$A$6:$Y$24,7))+(SUM($CP731:$CQ731)*VLOOKUP($B731,Lifetime_morbidity_array!$A$6:$Y$24,6))</f>
        <v>37.405076367347469</v>
      </c>
      <c r="DK731" s="316">
        <f ca="1">(SUM($CI731:$CM731)*VLOOKUP($B731,Lifetime_morbidity_array!$A$6:$Y$24,8))+(SUM($CN731:$CO731)*VLOOKUP($B731,Lifetime_morbidity_array!$A$6:$Y$24,10))+(SUM($CP731:$CQ731)*VLOOKUP($B731,Lifetime_morbidity_array!$A$6:$Y$24,9))</f>
        <v>2.0621714375720148</v>
      </c>
      <c r="DL731" s="317">
        <f ca="1">(SUM($CI731:$CM731)*VLOOKUP($B731,Lifetime_morbidity_array!$A$6:$Y$24,11))+(SUM($CN731:$CO731)*VLOOKUP($B731,Lifetime_morbidity_array!$A$6:$Y$24,13))+(SUM($CP731:$CQ731)*VLOOKUP($B731,Lifetime_morbidity_array!$A$6:$Y$24,12))</f>
        <v>21.294539140620117</v>
      </c>
      <c r="DM731" s="309"/>
      <c r="DN731" s="308">
        <f t="shared" si="266"/>
        <v>65</v>
      </c>
      <c r="DO731" s="309">
        <f t="shared" ca="1" si="267"/>
        <v>89.664754955013535</v>
      </c>
      <c r="DP731" s="310">
        <f t="shared" ca="1" si="298"/>
        <v>22604.600663486002</v>
      </c>
      <c r="DQ731" s="309"/>
      <c r="DR731" s="308">
        <f t="shared" si="268"/>
        <v>65</v>
      </c>
      <c r="DS731" s="309">
        <f ca="1">((VLOOKUP($B731,'Mahawesran Tariff'!$A$21:$M$120,4)*'Experimental (DET)'!$CX731)+(VLOOKUP($B731,'Mahawesran Tariff'!$A$21:$M$120,3)*'Experimental (DET)'!$CY731)+(VLOOKUP($B731,'Mahawesran Tariff'!$A$21:$M$120,2)*'Experimental (DET)'!$CZ731)+(VLOOKUP($B731,'Mahawesran Tariff'!$A$21:$M$120,7)*'Experimental (DET)'!$DF731)+(VLOOKUP($B731,'Mahawesran Tariff'!$A$21:$M$120,6)*'Experimental (DET)'!$DG731)+(VLOOKUP($B731,'Mahawesran Tariff'!$A$21:$M$120,5)*'Experimental (DET)'!$DH731)+(DET_UTIL_chd*('Experimental (DET)'!$DA731+'Experimental (DET)'!$DI731))+(DET_UTIL_copd*('Experimental (DET)'!$DB731+'Experimental (DET)'!$DJ731))+(DET_UTIL_lc*('Experimental (DET)'!$DC731+'Experimental (DET)'!$DK731))+(DET_UTIL_stroke*('Experimental (DET)'!$DD731+'Experimental (DET)'!$DL731)))/((1+Discount_rate_QALYs)^$A731)</f>
        <v>76.790686641630302</v>
      </c>
      <c r="DT731" s="310">
        <f t="shared" ca="1" si="299"/>
        <v>22325.272225490255</v>
      </c>
      <c r="DU731" s="309"/>
      <c r="DV731" s="308">
        <f t="shared" si="269"/>
        <v>65</v>
      </c>
      <c r="DW731" s="318">
        <f t="shared" ca="1" si="270"/>
        <v>177713.15831306705</v>
      </c>
      <c r="DX731" s="319">
        <f t="shared" ca="1" si="300"/>
        <v>7596537.3452191204</v>
      </c>
      <c r="DZ731" s="95">
        <f t="shared" si="271"/>
        <v>65</v>
      </c>
      <c r="EA731" s="268">
        <f t="shared" ca="1" si="304"/>
        <v>0.83896627343292518</v>
      </c>
      <c r="EB731" s="268">
        <f t="shared" ca="1" si="218"/>
        <v>0.16103372656707474</v>
      </c>
      <c r="EC731" s="268">
        <f t="shared" ca="1" si="219"/>
        <v>0.30405864151994028</v>
      </c>
      <c r="ED731" s="290">
        <f t="shared" ca="1" si="220"/>
        <v>0.46855620435329326</v>
      </c>
      <c r="EF731" s="95">
        <f t="shared" si="272"/>
        <v>65</v>
      </c>
      <c r="EG731" s="339">
        <f t="shared" ca="1" si="273"/>
        <v>177713.15831306705</v>
      </c>
      <c r="EH731" s="341">
        <f t="shared" ca="1" si="301"/>
        <v>10698553.069182672</v>
      </c>
      <c r="EJ731" s="308">
        <f t="shared" si="274"/>
        <v>65</v>
      </c>
      <c r="EK731" s="318">
        <f t="shared" ca="1" si="275"/>
        <v>177713.15831306705</v>
      </c>
      <c r="EL731" s="319">
        <f t="shared" ca="1" si="302"/>
        <v>7593497.3452191195</v>
      </c>
      <c r="EN731" s="95">
        <f t="shared" si="276"/>
        <v>65</v>
      </c>
      <c r="EO731" s="339">
        <f t="shared" ca="1" si="277"/>
        <v>177713.15831306705</v>
      </c>
      <c r="EP731" s="341">
        <f t="shared" ca="1" si="303"/>
        <v>10698553.069182672</v>
      </c>
    </row>
    <row r="732" spans="1:146" s="266" customFormat="1" x14ac:dyDescent="0.25">
      <c r="A732" s="313">
        <v>66</v>
      </c>
      <c r="B732" s="314">
        <v>66</v>
      </c>
      <c r="C732" s="308">
        <f>VLOOKUP($B732,'Infant adult mortality'!$A$27:$I$128,3)</f>
        <v>3.9766015381417583E-3</v>
      </c>
      <c r="D732" s="309">
        <f t="shared" si="221"/>
        <v>0.27</v>
      </c>
      <c r="E732" s="309">
        <f>VLOOKUP($B732,'Infant pick up smoking rates'!$A$19:$I$104,3)</f>
        <v>0</v>
      </c>
      <c r="F732" s="309">
        <f t="shared" si="222"/>
        <v>7.3463397511548706E-2</v>
      </c>
      <c r="G732" s="309">
        <f t="shared" si="223"/>
        <v>0.65256000095030953</v>
      </c>
      <c r="H732" s="309">
        <f>VLOOKUP($B732,'Infant adult mortality'!$A$27:$I$128,3)</f>
        <v>3.9766015381417583E-3</v>
      </c>
      <c r="I732" s="309">
        <f t="shared" si="224"/>
        <v>0.14000000000000001</v>
      </c>
      <c r="J732" s="309">
        <f>VLOOKUP($B732,'Infant pick up smoking rates'!$A$19:$I$104,2)</f>
        <v>0</v>
      </c>
      <c r="K732" s="309">
        <f t="shared" si="225"/>
        <v>7.3463397511548706E-2</v>
      </c>
      <c r="L732" s="309">
        <f t="shared" si="226"/>
        <v>0.78256000095030953</v>
      </c>
      <c r="M732" s="309">
        <f>VLOOKUP($B732,'Infant adult mortality'!$A$27:$I$128,3)</f>
        <v>3.9766015381417583E-3</v>
      </c>
      <c r="N732" s="309">
        <f t="shared" si="227"/>
        <v>0.5714285714285714</v>
      </c>
      <c r="O732" s="309">
        <f>VLOOKUP($B732,'Infant pick up smoking rates'!$A$19:$I$104,2)</f>
        <v>0</v>
      </c>
      <c r="P732" s="309">
        <f t="shared" si="228"/>
        <v>6.0362928819502989E-2</v>
      </c>
      <c r="Q732" s="309">
        <f t="shared" si="229"/>
        <v>0.36423189821378382</v>
      </c>
      <c r="R732" s="309">
        <f>VLOOKUP($B732,'Infant adult mortality'!$A$27:$I$128,3)</f>
        <v>3.9766015381417583E-3</v>
      </c>
      <c r="S732" s="309">
        <f t="shared" si="230"/>
        <v>8.6261668788331098E-3</v>
      </c>
      <c r="T732" s="309">
        <f>VLOOKUP($B732,'Infant pick up smoking rates'!$A$19:$I$104,2)</f>
        <v>0</v>
      </c>
      <c r="U732" s="309">
        <f t="shared" si="231"/>
        <v>6.0362928819502989E-2</v>
      </c>
      <c r="V732" s="309">
        <f t="shared" si="232"/>
        <v>0.92703430276352217</v>
      </c>
      <c r="W732" s="309">
        <f>VLOOKUP($B732,'Infant adult mortality'!$A$27:$I$128,3)</f>
        <v>3.9766015381417583E-3</v>
      </c>
      <c r="X732" s="309">
        <f>VLOOKUP($B732,'Infant pick up smoking rates'!$A$19:$I$104,2)</f>
        <v>0</v>
      </c>
      <c r="Y732" s="309">
        <f t="shared" si="233"/>
        <v>0.99602339846185828</v>
      </c>
      <c r="Z732" s="309">
        <f>VLOOKUP($B732,'Infant adult mortality'!$A$27:$I$128,5)</f>
        <v>7.8860874385089721E-3</v>
      </c>
      <c r="AA732" s="309">
        <f t="shared" si="234"/>
        <v>0.25</v>
      </c>
      <c r="AB732" s="309">
        <f t="shared" si="235"/>
        <v>0.74211391256149106</v>
      </c>
      <c r="AC732" s="309">
        <f>VLOOKUP($B732,'Infant adult mortality'!$A$27:$I$128,5)</f>
        <v>7.8860874385089721E-3</v>
      </c>
      <c r="AD732" s="309">
        <f t="shared" si="236"/>
        <v>0.14000000000000001</v>
      </c>
      <c r="AE732" s="309">
        <f t="shared" si="237"/>
        <v>0.85211391256149105</v>
      </c>
      <c r="AF732" s="309">
        <f>VLOOKUP($B732,'Infant adult mortality'!$A$27:$I$128,4)</f>
        <v>5.3021353841890117E-3</v>
      </c>
      <c r="AG732" s="309">
        <f t="shared" si="238"/>
        <v>0.5714285714285714</v>
      </c>
      <c r="AH732" s="309">
        <f t="shared" si="239"/>
        <v>0.4232692931872396</v>
      </c>
      <c r="AI732" s="309">
        <f>VLOOKUP($B732,'Infant adult mortality'!$A$27:$I$128,4)</f>
        <v>5.3021353841890117E-3</v>
      </c>
      <c r="AJ732" s="309">
        <f t="shared" si="240"/>
        <v>8.6261668788331098E-3</v>
      </c>
      <c r="AK732" s="309">
        <f t="shared" si="241"/>
        <v>0.98607169773697789</v>
      </c>
      <c r="AL732" s="309"/>
      <c r="AM732" s="315">
        <f t="shared" si="278"/>
        <v>21.038888557944368</v>
      </c>
      <c r="AN732" s="316">
        <f t="shared" si="279"/>
        <v>6.2052727460717616</v>
      </c>
      <c r="AO732" s="316">
        <f t="shared" si="280"/>
        <v>0.94133184287079819</v>
      </c>
      <c r="AP732" s="316">
        <f t="shared" si="281"/>
        <v>44.739254358169617</v>
      </c>
      <c r="AQ732" s="316">
        <f t="shared" si="282"/>
        <v>84.256358227353701</v>
      </c>
      <c r="AR732" s="316">
        <f t="shared" si="283"/>
        <v>111.54989110959984</v>
      </c>
      <c r="AS732" s="316">
        <f t="shared" si="284"/>
        <v>28.370451398479815</v>
      </c>
      <c r="AT732" s="316">
        <f t="shared" si="285"/>
        <v>4.0384327382017329</v>
      </c>
      <c r="AU732" s="316">
        <f t="shared" si="286"/>
        <v>118.43022405203322</v>
      </c>
      <c r="AV732" s="316">
        <f t="shared" si="287"/>
        <v>90.429894969274784</v>
      </c>
      <c r="AW732" s="317">
        <f t="shared" si="242"/>
        <v>509.99999999999966</v>
      </c>
      <c r="AX732" s="309"/>
      <c r="AY732" s="308">
        <f>VLOOKUP($B732,'Infant adult mortality'!$A$134:$I$234,3)</f>
        <v>2.7397121180627727E-3</v>
      </c>
      <c r="AZ732" s="309">
        <f t="shared" si="243"/>
        <v>0.27</v>
      </c>
      <c r="BA732" s="309">
        <f ca="1">VLOOKUP($B732,'Infant pick up smoking rates'!$A$19:$I$104,7)</f>
        <v>0</v>
      </c>
      <c r="BB732" s="309">
        <f t="shared" si="244"/>
        <v>7.3463397511548706E-2</v>
      </c>
      <c r="BC732" s="309">
        <f t="shared" ca="1" si="245"/>
        <v>0.65379689037038846</v>
      </c>
      <c r="BD732" s="309">
        <f>VLOOKUP($B732,'Infant adult mortality'!$A$134:$I$234,3)</f>
        <v>2.7397121180627727E-3</v>
      </c>
      <c r="BE732" s="309">
        <f t="shared" si="246"/>
        <v>0.14000000000000001</v>
      </c>
      <c r="BF732" s="309">
        <f>VLOOKUP($B732,'Infant pick up smoking rates'!$A$19:$I$104,6)</f>
        <v>0</v>
      </c>
      <c r="BG732" s="309">
        <f t="shared" si="247"/>
        <v>7.3463397511548706E-2</v>
      </c>
      <c r="BH732" s="309">
        <f t="shared" si="248"/>
        <v>0.78379689037038847</v>
      </c>
      <c r="BI732" s="309">
        <f>VLOOKUP($B732,'Infant adult mortality'!$A$134:$I$234,3)</f>
        <v>2.7397121180627727E-3</v>
      </c>
      <c r="BJ732" s="309">
        <f t="shared" si="249"/>
        <v>0.5714285714285714</v>
      </c>
      <c r="BK732" s="309">
        <f>VLOOKUP($B732,'Infant pick up smoking rates'!$A$19:$I$104,6)</f>
        <v>0</v>
      </c>
      <c r="BL732" s="309">
        <f t="shared" si="250"/>
        <v>6.0362928819502989E-2</v>
      </c>
      <c r="BM732" s="309">
        <f t="shared" si="251"/>
        <v>0.36546878763386281</v>
      </c>
      <c r="BN732" s="309">
        <f>VLOOKUP($B732,'Infant adult mortality'!$A$134:$I$234,3)</f>
        <v>2.7397121180627727E-3</v>
      </c>
      <c r="BO732" s="309">
        <f t="shared" si="252"/>
        <v>8.6261668788331098E-3</v>
      </c>
      <c r="BP732" s="309">
        <f>VLOOKUP($B732,'Infant pick up smoking rates'!$A$19:$I$104,6)</f>
        <v>0</v>
      </c>
      <c r="BQ732" s="309">
        <f t="shared" si="253"/>
        <v>6.0362928819502989E-2</v>
      </c>
      <c r="BR732" s="309">
        <f t="shared" si="254"/>
        <v>0.9282711921836011</v>
      </c>
      <c r="BS732" s="309">
        <f>VLOOKUP($B732,'Infant adult mortality'!$A$134:$I$234,3)</f>
        <v>2.7397121180627727E-3</v>
      </c>
      <c r="BT732" s="309">
        <f>VLOOKUP($B732,'Infant pick up smoking rates'!$A$19:$I$104,6)</f>
        <v>0</v>
      </c>
      <c r="BU732" s="309">
        <f t="shared" si="255"/>
        <v>0.99726028788193721</v>
      </c>
      <c r="BV732" s="309">
        <f>VLOOKUP($B732,'Infant adult mortality'!$A$134:$I$234,5)</f>
        <v>5.4331843691540222E-3</v>
      </c>
      <c r="BW732" s="309">
        <f t="shared" si="256"/>
        <v>0.27</v>
      </c>
      <c r="BX732" s="309">
        <f t="shared" si="257"/>
        <v>0.72456681563084591</v>
      </c>
      <c r="BY732" s="309">
        <f>VLOOKUP($B732,'Infant adult mortality'!$A$134:$I$234,5)</f>
        <v>5.4331843691540222E-3</v>
      </c>
      <c r="BZ732" s="309">
        <f t="shared" si="258"/>
        <v>0.14000000000000001</v>
      </c>
      <c r="CA732" s="309">
        <f t="shared" si="259"/>
        <v>0.85456681563084591</v>
      </c>
      <c r="CB732" s="309">
        <f>VLOOKUP($B732,'Infant adult mortality'!$A$134:$I$234,4)</f>
        <v>3.6529494907503639E-3</v>
      </c>
      <c r="CC732" s="309">
        <f t="shared" si="260"/>
        <v>0.5714285714285714</v>
      </c>
      <c r="CD732" s="309">
        <f t="shared" si="261"/>
        <v>0.42491847908067826</v>
      </c>
      <c r="CE732" s="309">
        <f>VLOOKUP($B732,'Infant adult mortality'!$A$134:$I$234,4)</f>
        <v>3.6529494907503639E-3</v>
      </c>
      <c r="CF732" s="309">
        <f t="shared" si="262"/>
        <v>8.6261668788331098E-3</v>
      </c>
      <c r="CG732" s="309">
        <f t="shared" si="263"/>
        <v>0.98772088363041655</v>
      </c>
      <c r="CH732" s="309"/>
      <c r="CI732" s="315">
        <f t="shared" ca="1" si="288"/>
        <v>28.569199827966472</v>
      </c>
      <c r="CJ732" s="316">
        <f t="shared" ca="1" si="289"/>
        <v>8.4158193497389302</v>
      </c>
      <c r="CK732" s="316">
        <f t="shared" ca="1" si="290"/>
        <v>1.2752271641309454</v>
      </c>
      <c r="CL732" s="316">
        <f t="shared" ca="1" si="291"/>
        <v>60.010146352453098</v>
      </c>
      <c r="CM732" s="316">
        <f t="shared" ca="1" si="292"/>
        <v>113.74856185110679</v>
      </c>
      <c r="CN732" s="316">
        <f t="shared" ca="1" si="293"/>
        <v>83.290944172942375</v>
      </c>
      <c r="CO732" s="316">
        <f t="shared" ca="1" si="294"/>
        <v>22.834507040069365</v>
      </c>
      <c r="CP732" s="316">
        <f t="shared" ca="1" si="295"/>
        <v>3.2450093413497734</v>
      </c>
      <c r="CQ732" s="316">
        <f t="shared" ca="1" si="296"/>
        <v>94.089897773841599</v>
      </c>
      <c r="CR732" s="316">
        <f t="shared" ca="1" si="297"/>
        <v>74.520687126400844</v>
      </c>
      <c r="CS732" s="317">
        <f t="shared" ca="1" si="264"/>
        <v>490.00000000000017</v>
      </c>
      <c r="CT732" s="309"/>
      <c r="CU732" s="309">
        <f t="shared" ca="1" si="265"/>
        <v>999.99999999999977</v>
      </c>
      <c r="CV732" s="309" t="str">
        <f t="shared" ca="1" si="216"/>
        <v>OKAY</v>
      </c>
      <c r="CW732" s="309"/>
      <c r="CX732" s="315">
        <f>(SUM($AR732:$AS732))-((SUM($AR732:$AS732)*VLOOKUP($B732,Lifetime_morbidity_array!$A$30:$Y$48,4))+(SUM($AR732:$AS732)*VLOOKUP($B732,Lifetime_morbidity_array!$A$30:$Y$48,7))+(SUM($AR732:$AS732)*VLOOKUP($B732,Lifetime_morbidity_array!$A$30:$Y$48,10))+(SUM($AR732:$AS732)*VLOOKUP($B732,Lifetime_morbidity_array!$A$30:$Y$48,13)))</f>
        <v>31.585194110222375</v>
      </c>
      <c r="CY732" s="316">
        <f>(SUM($AT732:$AU732))-((SUM($AT732:$AU732)*(VLOOKUP($B732,Lifetime_morbidity_array!$A$30:$Y$48,3)))+(SUM($AT732:$AU732)*(VLOOKUP($B732,Lifetime_morbidity_array!$A$30:$Y$48,6)))+(SUM($AT732:$AU732)*(VLOOKUP($B732,Lifetime_morbidity_array!$A$30:$Y$48,9)))+(SUM($AT732:$AU732)*(VLOOKUP($B732,Lifetime_morbidity_array!$A$30:$Y$48,12))))</f>
        <v>77.734053903883449</v>
      </c>
      <c r="CZ732" s="316">
        <f>(SUM($AM732:$AQ732))-((SUM($AM732:$AQ732)*VLOOKUP($B732,Lifetime_morbidity_array!$A$30:$Y$48,2))+(SUM($AM732:$AQ732)*VLOOKUP($B732,Lifetime_morbidity_array!$A$30:$Y$48,5))+(SUM($AM732:$AQ732)*VLOOKUP($B732,Lifetime_morbidity_array!$A$30:$Y$48,8))+(SUM($AM732:$AQ732)*VLOOKUP($B732,Lifetime_morbidity_array!$A$30:$Y$48,11)))</f>
        <v>124.53582003705992</v>
      </c>
      <c r="DA732" s="316">
        <f>(SUM($AM732:$AQ732)*VLOOKUP($B732,Lifetime_morbidity_array!$A$30:$Y$48,2))+(SUM($AR732:$AS732)*VLOOKUP($B732,Lifetime_morbidity_array!$A$30:$Y$48,4))+(SUM($AT732:$AU732)*(VLOOKUP($B732,Lifetime_morbidity_array!$A$30:$Y$48,3)))</f>
        <v>104.55562749657348</v>
      </c>
      <c r="DB732" s="316">
        <f>(SUM($AM732:$AQ732)*VLOOKUP($B732,Lifetime_morbidity_array!$A$30:$Y$48,5))+(SUM($AR732:$AS732)*VLOOKUP($B732,Lifetime_morbidity_array!$A$30:$Y$48,7))+(SUM($AT732:$AU732)*(VLOOKUP($B732,Lifetime_morbidity_array!$A$30:$Y$48,6)))</f>
        <v>40.727229513837003</v>
      </c>
      <c r="DC732" s="316">
        <f>(SUM($AM732:$AQ732)*VLOOKUP($B732,Lifetime_morbidity_array!$A$30:$Y$48,8))+(SUM($AR732:$AS732)*VLOOKUP($B732,Lifetime_morbidity_array!$A$30:$Y$48,10))+(SUM($AT732:$AU732)*(VLOOKUP($B732,Lifetime_morbidity_array!$A$30:$Y$48,9)))</f>
        <v>5.5629684179781336</v>
      </c>
      <c r="DD732" s="317">
        <f>(SUM($AM732:$AQ732)*VLOOKUP($B732,Lifetime_morbidity_array!$A$30:$Y$48,11))+(SUM($AR732:$AS732)*VLOOKUP($B732,Lifetime_morbidity_array!$A$30:$Y$48,13))+(SUM($AT732:$AU732)*(VLOOKUP($B732,Lifetime_morbidity_array!$A$30:$Y$48,12)))</f>
        <v>34.869211551170501</v>
      </c>
      <c r="DE732" s="309"/>
      <c r="DF732" s="315">
        <f ca="1">(SUM($CN732:$CO732))-((SUM($CN732:$CO732)*VLOOKUP($B732,Lifetime_morbidity_array!$A$6:$Y$24,4))+(SUM($CN732:$CO732)*VLOOKUP($B732,Lifetime_morbidity_array!$A$6:$Y$24,7))+(SUM($CN732:$CO732)*VLOOKUP($B732,Lifetime_morbidity_array!$A$6:$Y$24,10))+(SUM($CN732:$CO732)*VLOOKUP($B732,Lifetime_morbidity_array!$A$6:$Y$24,13)))</f>
        <v>42.504168966622274</v>
      </c>
      <c r="DG732" s="316">
        <f ca="1">(SUM($CP732:$CQ732))-(((SUM($CP732:$CQ732)*VLOOKUP($B732,Lifetime_morbidity_array!$A$6:$Y$24,3))+(SUM($CP732:$CQ732)*VLOOKUP($B732,Lifetime_morbidity_array!$A$6:$Y$24,6))+(SUM($CP732:$CQ732)*VLOOKUP($B732,Lifetime_morbidity_array!$A$6:$Y$24,9))+(SUM($CP732:$CQ732)*VLOOKUP($B732,Lifetime_morbidity_array!$A$6:$Y$24,12))))</f>
        <v>71.010437128980172</v>
      </c>
      <c r="DH732" s="316">
        <f ca="1">(SUM($CI732:$CM732))-((SUM($CI732:$CM732)*VLOOKUP($B732,Lifetime_morbidity_array!$A$6:$Y$24,2))+(SUM($CI732:$CM732)*VLOOKUP($B732,Lifetime_morbidity_array!$A$6:$Y$24,5))+(SUM($CI732:$CM732)*VLOOKUP($B732,Lifetime_morbidity_array!$A$6:$Y$24,8))+(SUM($CI732:$CM732)*VLOOKUP($B732,Lifetime_morbidity_array!$A$6:$Y$24,11)))</f>
        <v>186.24144346441747</v>
      </c>
      <c r="DI732" s="316">
        <f ca="1">(SUM($CI732:$CM732)*VLOOKUP($B732,Lifetime_morbidity_array!$A$6:$Y$24,2))+(SUM($CN732:$CO732)*VLOOKUP($B732,Lifetime_morbidity_array!$A$6:$Y$24,4))+(SUM($CP732:$CQ732)*VLOOKUP($B732,Lifetime_morbidity_array!$A$6:$Y$24,3))</f>
        <v>55.443147730811731</v>
      </c>
      <c r="DJ732" s="316">
        <f ca="1">(SUM($CI732:$CM732)*VLOOKUP($B732,Lifetime_morbidity_array!$A$6:$Y$24,5))+(SUM($CN732:$CO732)*VLOOKUP($B732,Lifetime_morbidity_array!$A$6:$Y$24,7))+(SUM($CP732:$CQ732)*VLOOKUP($B732,Lifetime_morbidity_array!$A$6:$Y$24,6))</f>
        <v>37.070352857182634</v>
      </c>
      <c r="DK732" s="316">
        <f ca="1">(SUM($CI732:$CM732)*VLOOKUP($B732,Lifetime_morbidity_array!$A$6:$Y$24,8))+(SUM($CN732:$CO732)*VLOOKUP($B732,Lifetime_morbidity_array!$A$6:$Y$24,10))+(SUM($CP732:$CQ732)*VLOOKUP($B732,Lifetime_morbidity_array!$A$6:$Y$24,9))</f>
        <v>2.0414462209440063</v>
      </c>
      <c r="DL732" s="317">
        <f ca="1">(SUM($CI732:$CM732)*VLOOKUP($B732,Lifetime_morbidity_array!$A$6:$Y$24,11))+(SUM($CN732:$CO732)*VLOOKUP($B732,Lifetime_morbidity_array!$A$6:$Y$24,13))+(SUM($CP732:$CQ732)*VLOOKUP($B732,Lifetime_morbidity_array!$A$6:$Y$24,12))</f>
        <v>21.168316504641062</v>
      </c>
      <c r="DM732" s="309"/>
      <c r="DN732" s="308">
        <f t="shared" si="266"/>
        <v>66</v>
      </c>
      <c r="DO732" s="309">
        <f t="shared" ca="1" si="267"/>
        <v>86.228154517561521</v>
      </c>
      <c r="DP732" s="310">
        <f t="shared" ca="1" si="298"/>
        <v>22690.828818003563</v>
      </c>
      <c r="DQ732" s="309"/>
      <c r="DR732" s="308">
        <f t="shared" si="268"/>
        <v>66</v>
      </c>
      <c r="DS732" s="309">
        <f ca="1">((VLOOKUP($B732,'Mahawesran Tariff'!$A$21:$M$120,4)*'Experimental (DET)'!$CX732)+(VLOOKUP($B732,'Mahawesran Tariff'!$A$21:$M$120,3)*'Experimental (DET)'!$CY732)+(VLOOKUP($B732,'Mahawesran Tariff'!$A$21:$M$120,2)*'Experimental (DET)'!$CZ732)+(VLOOKUP($B732,'Mahawesran Tariff'!$A$21:$M$120,7)*'Experimental (DET)'!$DF732)+(VLOOKUP($B732,'Mahawesran Tariff'!$A$21:$M$120,6)*'Experimental (DET)'!$DG732)+(VLOOKUP($B732,'Mahawesran Tariff'!$A$21:$M$120,5)*'Experimental (DET)'!$DH732)+(DET_UTIL_chd*('Experimental (DET)'!$DA732+'Experimental (DET)'!$DI732))+(DET_UTIL_copd*('Experimental (DET)'!$DB732+'Experimental (DET)'!$DJ732))+(DET_UTIL_lc*('Experimental (DET)'!$DC732+'Experimental (DET)'!$DK732))+(DET_UTIL_stroke*('Experimental (DET)'!$DD732+'Experimental (DET)'!$DL732)))/((1+Discount_rate_QALYs)^$A732)</f>
        <v>73.873875554107244</v>
      </c>
      <c r="DT732" s="310">
        <f t="shared" ca="1" si="299"/>
        <v>22399.146101044364</v>
      </c>
      <c r="DU732" s="309"/>
      <c r="DV732" s="308">
        <f t="shared" si="269"/>
        <v>66</v>
      </c>
      <c r="DW732" s="318">
        <f t="shared" ca="1" si="270"/>
        <v>170368.52525447425</v>
      </c>
      <c r="DX732" s="319">
        <f t="shared" ca="1" si="300"/>
        <v>7766905.8704735944</v>
      </c>
      <c r="DZ732" s="95">
        <f t="shared" si="271"/>
        <v>66</v>
      </c>
      <c r="EA732" s="268">
        <f t="shared" ca="1" si="304"/>
        <v>0.83504941790432419</v>
      </c>
      <c r="EB732" s="268">
        <f t="shared" ca="1" si="218"/>
        <v>0.16495058209567562</v>
      </c>
      <c r="EC732" s="268">
        <f t="shared" ca="1" si="219"/>
        <v>0.30143830029313856</v>
      </c>
      <c r="ED732" s="290">
        <f t="shared" ca="1" si="220"/>
        <v>0.46584935762651775</v>
      </c>
      <c r="EF732" s="95">
        <f t="shared" si="272"/>
        <v>66</v>
      </c>
      <c r="EG732" s="339">
        <f t="shared" ca="1" si="273"/>
        <v>170368.52525447425</v>
      </c>
      <c r="EH732" s="341">
        <f t="shared" ca="1" si="301"/>
        <v>10868921.594437147</v>
      </c>
      <c r="EJ732" s="308">
        <f t="shared" si="274"/>
        <v>66</v>
      </c>
      <c r="EK732" s="318">
        <f t="shared" ca="1" si="275"/>
        <v>170368.52525447425</v>
      </c>
      <c r="EL732" s="319">
        <f t="shared" ca="1" si="302"/>
        <v>7763865.8704735935</v>
      </c>
      <c r="EN732" s="95">
        <f t="shared" si="276"/>
        <v>66</v>
      </c>
      <c r="EO732" s="339">
        <f t="shared" ca="1" si="277"/>
        <v>170368.52525447425</v>
      </c>
      <c r="EP732" s="341">
        <f t="shared" ca="1" si="303"/>
        <v>10868921.594437147</v>
      </c>
    </row>
    <row r="733" spans="1:146" s="266" customFormat="1" x14ac:dyDescent="0.25">
      <c r="A733" s="313">
        <v>67</v>
      </c>
      <c r="B733" s="314">
        <v>67</v>
      </c>
      <c r="C733" s="308">
        <f>VLOOKUP($B733,'Infant adult mortality'!$A$27:$I$128,3)</f>
        <v>4.303537726044482E-3</v>
      </c>
      <c r="D733" s="309">
        <f t="shared" si="221"/>
        <v>0.27</v>
      </c>
      <c r="E733" s="309">
        <f>VLOOKUP($B733,'Infant pick up smoking rates'!$A$19:$I$104,3)</f>
        <v>0</v>
      </c>
      <c r="F733" s="309">
        <f t="shared" si="222"/>
        <v>8.1197699868496467E-2</v>
      </c>
      <c r="G733" s="309">
        <f t="shared" si="223"/>
        <v>0.644498762405459</v>
      </c>
      <c r="H733" s="309">
        <f>VLOOKUP($B733,'Infant adult mortality'!$A$27:$I$128,3)</f>
        <v>4.303537726044482E-3</v>
      </c>
      <c r="I733" s="309">
        <f t="shared" si="224"/>
        <v>0.14000000000000001</v>
      </c>
      <c r="J733" s="309">
        <f>VLOOKUP($B733,'Infant pick up smoking rates'!$A$19:$I$104,2)</f>
        <v>0</v>
      </c>
      <c r="K733" s="309">
        <f t="shared" si="225"/>
        <v>8.1197699868496467E-2</v>
      </c>
      <c r="L733" s="309">
        <f t="shared" si="226"/>
        <v>0.77449876240545901</v>
      </c>
      <c r="M733" s="309">
        <f>VLOOKUP($B733,'Infant adult mortality'!$A$27:$I$128,3)</f>
        <v>4.303537726044482E-3</v>
      </c>
      <c r="N733" s="309">
        <f t="shared" si="227"/>
        <v>0.5714285714285714</v>
      </c>
      <c r="O733" s="309">
        <f>VLOOKUP($B733,'Infant pick up smoking rates'!$A$19:$I$104,2)</f>
        <v>0</v>
      </c>
      <c r="P733" s="309">
        <f t="shared" si="228"/>
        <v>6.6718000303469666E-2</v>
      </c>
      <c r="Q733" s="309">
        <f t="shared" si="229"/>
        <v>0.35754989054191449</v>
      </c>
      <c r="R733" s="309">
        <f>VLOOKUP($B733,'Infant adult mortality'!$A$27:$I$128,3)</f>
        <v>4.303537726044482E-3</v>
      </c>
      <c r="S733" s="309">
        <f t="shared" si="230"/>
        <v>8.6261668788331098E-3</v>
      </c>
      <c r="T733" s="309">
        <f>VLOOKUP($B733,'Infant pick up smoking rates'!$A$19:$I$104,2)</f>
        <v>0</v>
      </c>
      <c r="U733" s="309">
        <f t="shared" si="231"/>
        <v>6.6718000303469666E-2</v>
      </c>
      <c r="V733" s="309">
        <f t="shared" si="232"/>
        <v>0.92035229509165273</v>
      </c>
      <c r="W733" s="309">
        <f>VLOOKUP($B733,'Infant adult mortality'!$A$27:$I$128,3)</f>
        <v>4.303537726044482E-3</v>
      </c>
      <c r="X733" s="309">
        <f>VLOOKUP($B733,'Infant pick up smoking rates'!$A$19:$I$104,2)</f>
        <v>0</v>
      </c>
      <c r="Y733" s="309">
        <f t="shared" si="233"/>
        <v>0.99569646227395547</v>
      </c>
      <c r="Z733" s="309">
        <f>VLOOKUP($B733,'Infant adult mortality'!$A$27:$I$128,5)</f>
        <v>8.5344419039700692E-3</v>
      </c>
      <c r="AA733" s="309">
        <f t="shared" si="234"/>
        <v>0.25</v>
      </c>
      <c r="AB733" s="309">
        <f t="shared" si="235"/>
        <v>0.74146555809602988</v>
      </c>
      <c r="AC733" s="309">
        <f>VLOOKUP($B733,'Infant adult mortality'!$A$27:$I$128,5)</f>
        <v>8.5344419039700692E-3</v>
      </c>
      <c r="AD733" s="309">
        <f t="shared" si="236"/>
        <v>0.14000000000000001</v>
      </c>
      <c r="AE733" s="309">
        <f t="shared" si="237"/>
        <v>0.85146555809602997</v>
      </c>
      <c r="AF733" s="309">
        <f>VLOOKUP($B733,'Infant adult mortality'!$A$27:$I$128,4)</f>
        <v>5.7380503013926432E-3</v>
      </c>
      <c r="AG733" s="309">
        <f t="shared" si="238"/>
        <v>0.5714285714285714</v>
      </c>
      <c r="AH733" s="309">
        <f t="shared" si="239"/>
        <v>0.42283337827003598</v>
      </c>
      <c r="AI733" s="309">
        <f>VLOOKUP($B733,'Infant adult mortality'!$A$27:$I$128,4)</f>
        <v>5.7380503013926432E-3</v>
      </c>
      <c r="AJ733" s="309">
        <f t="shared" si="240"/>
        <v>8.6261668788331098E-3</v>
      </c>
      <c r="AK733" s="309">
        <f t="shared" si="241"/>
        <v>0.98563578281977426</v>
      </c>
      <c r="AL733" s="309"/>
      <c r="AM733" s="315">
        <f t="shared" si="278"/>
        <v>19.088015071712626</v>
      </c>
      <c r="AN733" s="316">
        <f t="shared" si="279"/>
        <v>5.6804999106449801</v>
      </c>
      <c r="AO733" s="316">
        <f t="shared" si="280"/>
        <v>0.86873818445004669</v>
      </c>
      <c r="AP733" s="316">
        <f t="shared" si="281"/>
        <v>41.713779339442524</v>
      </c>
      <c r="AQ733" s="316">
        <f t="shared" si="282"/>
        <v>89.153638407819258</v>
      </c>
      <c r="AR733" s="316">
        <f t="shared" si="283"/>
        <v>109.5960475343543</v>
      </c>
      <c r="AS733" s="316">
        <f t="shared" si="284"/>
        <v>27.88747277739996</v>
      </c>
      <c r="AT733" s="316">
        <f t="shared" si="285"/>
        <v>3.9718631957871744</v>
      </c>
      <c r="AU733" s="316">
        <f t="shared" si="286"/>
        <v>119.03674244344802</v>
      </c>
      <c r="AV733" s="316">
        <f t="shared" si="287"/>
        <v>93.003203134940762</v>
      </c>
      <c r="AW733" s="317">
        <f t="shared" si="242"/>
        <v>509.99999999999966</v>
      </c>
      <c r="AX733" s="309"/>
      <c r="AY733" s="308">
        <f>VLOOKUP($B733,'Infant adult mortality'!$A$134:$I$234,3)</f>
        <v>2.9586821866555814E-3</v>
      </c>
      <c r="AZ733" s="309">
        <f t="shared" si="243"/>
        <v>0.27</v>
      </c>
      <c r="BA733" s="309">
        <f ca="1">VLOOKUP($B733,'Infant pick up smoking rates'!$A$19:$I$104,7)</f>
        <v>0</v>
      </c>
      <c r="BB733" s="309">
        <f t="shared" si="244"/>
        <v>8.1197699868496467E-2</v>
      </c>
      <c r="BC733" s="309">
        <f t="shared" ca="1" si="245"/>
        <v>0.6458436179448479</v>
      </c>
      <c r="BD733" s="309">
        <f>VLOOKUP($B733,'Infant adult mortality'!$A$134:$I$234,3)</f>
        <v>2.9586821866555814E-3</v>
      </c>
      <c r="BE733" s="309">
        <f t="shared" si="246"/>
        <v>0.14000000000000001</v>
      </c>
      <c r="BF733" s="309">
        <f>VLOOKUP($B733,'Infant pick up smoking rates'!$A$19:$I$104,6)</f>
        <v>0</v>
      </c>
      <c r="BG733" s="309">
        <f t="shared" si="247"/>
        <v>8.1197699868496467E-2</v>
      </c>
      <c r="BH733" s="309">
        <f t="shared" si="248"/>
        <v>0.77584361794484791</v>
      </c>
      <c r="BI733" s="309">
        <f>VLOOKUP($B733,'Infant adult mortality'!$A$134:$I$234,3)</f>
        <v>2.9586821866555814E-3</v>
      </c>
      <c r="BJ733" s="309">
        <f t="shared" si="249"/>
        <v>0.5714285714285714</v>
      </c>
      <c r="BK733" s="309">
        <f>VLOOKUP($B733,'Infant pick up smoking rates'!$A$19:$I$104,6)</f>
        <v>0</v>
      </c>
      <c r="BL733" s="309">
        <f t="shared" si="250"/>
        <v>6.6718000303469666E-2</v>
      </c>
      <c r="BM733" s="309">
        <f t="shared" si="251"/>
        <v>0.3588947460813034</v>
      </c>
      <c r="BN733" s="309">
        <f>VLOOKUP($B733,'Infant adult mortality'!$A$134:$I$234,3)</f>
        <v>2.9586821866555814E-3</v>
      </c>
      <c r="BO733" s="309">
        <f t="shared" si="252"/>
        <v>8.6261668788331098E-3</v>
      </c>
      <c r="BP733" s="309">
        <f>VLOOKUP($B733,'Infant pick up smoking rates'!$A$19:$I$104,6)</f>
        <v>0</v>
      </c>
      <c r="BQ733" s="309">
        <f t="shared" si="253"/>
        <v>6.6718000303469666E-2</v>
      </c>
      <c r="BR733" s="309">
        <f t="shared" si="254"/>
        <v>0.92169715063104163</v>
      </c>
      <c r="BS733" s="309">
        <f>VLOOKUP($B733,'Infant adult mortality'!$A$134:$I$234,3)</f>
        <v>2.9586821866555814E-3</v>
      </c>
      <c r="BT733" s="309">
        <f>VLOOKUP($B733,'Infant pick up smoking rates'!$A$19:$I$104,6)</f>
        <v>0</v>
      </c>
      <c r="BU733" s="309">
        <f t="shared" si="255"/>
        <v>0.99704131781334437</v>
      </c>
      <c r="BV733" s="309">
        <f>VLOOKUP($B733,'Infant adult mortality'!$A$134:$I$234,5)</f>
        <v>5.8674288089794234E-3</v>
      </c>
      <c r="BW733" s="309">
        <f t="shared" si="256"/>
        <v>0.27</v>
      </c>
      <c r="BX733" s="309">
        <f t="shared" si="257"/>
        <v>0.72413257119102059</v>
      </c>
      <c r="BY733" s="309">
        <f>VLOOKUP($B733,'Infant adult mortality'!$A$134:$I$234,5)</f>
        <v>5.8674288089794234E-3</v>
      </c>
      <c r="BZ733" s="309">
        <f t="shared" si="258"/>
        <v>0.14000000000000001</v>
      </c>
      <c r="CA733" s="309">
        <f t="shared" si="259"/>
        <v>0.8541325711910206</v>
      </c>
      <c r="CB733" s="309">
        <f>VLOOKUP($B733,'Infant adult mortality'!$A$134:$I$234,4)</f>
        <v>3.9449095822074428E-3</v>
      </c>
      <c r="CC733" s="309">
        <f t="shared" si="260"/>
        <v>0.5714285714285714</v>
      </c>
      <c r="CD733" s="309">
        <f t="shared" si="261"/>
        <v>0.42462651898922116</v>
      </c>
      <c r="CE733" s="309">
        <f>VLOOKUP($B733,'Infant adult mortality'!$A$134:$I$234,4)</f>
        <v>3.9449095822074428E-3</v>
      </c>
      <c r="CF733" s="309">
        <f t="shared" si="262"/>
        <v>8.6261668788331098E-3</v>
      </c>
      <c r="CG733" s="309">
        <f t="shared" si="263"/>
        <v>0.9874289235389595</v>
      </c>
      <c r="CH733" s="309"/>
      <c r="CI733" s="315">
        <f t="shared" ca="1" si="288"/>
        <v>25.955924977081118</v>
      </c>
      <c r="CJ733" s="316">
        <f t="shared" ca="1" si="289"/>
        <v>7.713683953550948</v>
      </c>
      <c r="CK733" s="316">
        <f t="shared" ca="1" si="290"/>
        <v>1.1782147089634503</v>
      </c>
      <c r="CL733" s="316">
        <f t="shared" ca="1" si="291"/>
        <v>56.039882138654072</v>
      </c>
      <c r="CM733" s="316">
        <f t="shared" ca="1" si="292"/>
        <v>120.50395206309985</v>
      </c>
      <c r="CN733" s="316">
        <f t="shared" ca="1" si="293"/>
        <v>82.006933951408797</v>
      </c>
      <c r="CO733" s="316">
        <f t="shared" ca="1" si="294"/>
        <v>22.488554926694441</v>
      </c>
      <c r="CP733" s="316">
        <f t="shared" ca="1" si="295"/>
        <v>3.1968309856097115</v>
      </c>
      <c r="CQ733" s="316">
        <f t="shared" ca="1" si="296"/>
        <v>94.761377526915027</v>
      </c>
      <c r="CR733" s="316">
        <f t="shared" ca="1" si="297"/>
        <v>76.154644768022791</v>
      </c>
      <c r="CS733" s="317">
        <f t="shared" ca="1" si="264"/>
        <v>490.00000000000023</v>
      </c>
      <c r="CT733" s="309"/>
      <c r="CU733" s="309">
        <f t="shared" ca="1" si="265"/>
        <v>999.99999999999989</v>
      </c>
      <c r="CV733" s="309" t="str">
        <f t="shared" ca="1" si="216"/>
        <v>OKAY</v>
      </c>
      <c r="CW733" s="309"/>
      <c r="CX733" s="315">
        <f>(SUM($AR733:$AS733))-((SUM($AR733:$AS733)*VLOOKUP($B733,Lifetime_morbidity_array!$A$30:$Y$48,4))+(SUM($AR733:$AS733)*VLOOKUP($B733,Lifetime_morbidity_array!$A$30:$Y$48,7))+(SUM($AR733:$AS733)*VLOOKUP($B733,Lifetime_morbidity_array!$A$30:$Y$48,10))+(SUM($AR733:$AS733)*VLOOKUP($B733,Lifetime_morbidity_array!$A$30:$Y$48,13)))</f>
        <v>31.035113252046983</v>
      </c>
      <c r="CY733" s="316">
        <f>(SUM($AT733:$AU733))-((SUM($AT733:$AU733)*(VLOOKUP($B733,Lifetime_morbidity_array!$A$30:$Y$48,3)))+(SUM($AT733:$AU733)*(VLOOKUP($B733,Lifetime_morbidity_array!$A$30:$Y$48,6)))+(SUM($AT733:$AU733)*(VLOOKUP($B733,Lifetime_morbidity_array!$A$30:$Y$48,9)))+(SUM($AT733:$AU733)*(VLOOKUP($B733,Lifetime_morbidity_array!$A$30:$Y$48,12))))</f>
        <v>78.076773535449405</v>
      </c>
      <c r="CZ733" s="316">
        <f>(SUM($AM733:$AQ733))-((SUM($AM733:$AQ733)*VLOOKUP($B733,Lifetime_morbidity_array!$A$30:$Y$48,2))+(SUM($AM733:$AQ733)*VLOOKUP($B733,Lifetime_morbidity_array!$A$30:$Y$48,5))+(SUM($AM733:$AQ733)*VLOOKUP($B733,Lifetime_morbidity_array!$A$30:$Y$48,8))+(SUM($AM733:$AQ733)*VLOOKUP($B733,Lifetime_morbidity_array!$A$30:$Y$48,11)))</f>
        <v>123.99987543728656</v>
      </c>
      <c r="DA733" s="316">
        <f>(SUM($AM733:$AQ733)*VLOOKUP($B733,Lifetime_morbidity_array!$A$30:$Y$48,2))+(SUM($AR733:$AS733)*VLOOKUP($B733,Lifetime_morbidity_array!$A$30:$Y$48,4))+(SUM($AT733:$AU733)*(VLOOKUP($B733,Lifetime_morbidity_array!$A$30:$Y$48,3)))</f>
        <v>103.62637711405883</v>
      </c>
      <c r="DB733" s="316">
        <f>(SUM($AM733:$AQ733)*VLOOKUP($B733,Lifetime_morbidity_array!$A$30:$Y$48,5))+(SUM($AR733:$AS733)*VLOOKUP($B733,Lifetime_morbidity_array!$A$30:$Y$48,7))+(SUM($AT733:$AU733)*(VLOOKUP($B733,Lifetime_morbidity_array!$A$30:$Y$48,6)))</f>
        <v>40.200509203150958</v>
      </c>
      <c r="DC733" s="316">
        <f>(SUM($AM733:$AQ733)*VLOOKUP($B733,Lifetime_morbidity_array!$A$30:$Y$48,8))+(SUM($AR733:$AS733)*VLOOKUP($B733,Lifetime_morbidity_array!$A$30:$Y$48,10))+(SUM($AT733:$AU733)*(VLOOKUP($B733,Lifetime_morbidity_array!$A$30:$Y$48,9)))</f>
        <v>5.4911944613931229</v>
      </c>
      <c r="DD733" s="317">
        <f>(SUM($AM733:$AQ733)*VLOOKUP($B733,Lifetime_morbidity_array!$A$30:$Y$48,11))+(SUM($AR733:$AS733)*VLOOKUP($B733,Lifetime_morbidity_array!$A$30:$Y$48,13))+(SUM($AT733:$AU733)*(VLOOKUP($B733,Lifetime_morbidity_array!$A$30:$Y$48,12)))</f>
        <v>34.566953861673042</v>
      </c>
      <c r="DE733" s="309"/>
      <c r="DF733" s="315">
        <f ca="1">(SUM($CN733:$CO733))-((SUM($CN733:$CO733)*VLOOKUP($B733,Lifetime_morbidity_array!$A$6:$Y$24,4))+(SUM($CN733:$CO733)*VLOOKUP($B733,Lifetime_morbidity_array!$A$6:$Y$24,7))+(SUM($CN733:$CO733)*VLOOKUP($B733,Lifetime_morbidity_array!$A$6:$Y$24,10))+(SUM($CN733:$CO733)*VLOOKUP($B733,Lifetime_morbidity_array!$A$6:$Y$24,13)))</f>
        <v>41.851354832969029</v>
      </c>
      <c r="DG733" s="316">
        <f ca="1">(SUM($CP733:$CQ733))-(((SUM($CP733:$CQ733)*VLOOKUP($B733,Lifetime_morbidity_array!$A$6:$Y$24,3))+(SUM($CP733:$CQ733)*VLOOKUP($B733,Lifetime_morbidity_array!$A$6:$Y$24,6))+(SUM($CP733:$CQ733)*VLOOKUP($B733,Lifetime_morbidity_array!$A$6:$Y$24,9))+(SUM($CP733:$CQ733)*VLOOKUP($B733,Lifetime_morbidity_array!$A$6:$Y$24,12))))</f>
        <v>71.465165098621782</v>
      </c>
      <c r="DH733" s="316">
        <f ca="1">(SUM($CI733:$CM733))-((SUM($CI733:$CM733)*VLOOKUP($B733,Lifetime_morbidity_array!$A$6:$Y$24,2))+(SUM($CI733:$CM733)*VLOOKUP($B733,Lifetime_morbidity_array!$A$6:$Y$24,5))+(SUM($CI733:$CM733)*VLOOKUP($B733,Lifetime_morbidity_array!$A$6:$Y$24,8))+(SUM($CI733:$CM733)*VLOOKUP($B733,Lifetime_morbidity_array!$A$6:$Y$24,11)))</f>
        <v>185.69041422322229</v>
      </c>
      <c r="DI733" s="316">
        <f ca="1">(SUM($CI733:$CM733)*VLOOKUP($B733,Lifetime_morbidity_array!$A$6:$Y$24,2))+(SUM($CN733:$CO733)*VLOOKUP($B733,Lifetime_morbidity_array!$A$6:$Y$24,4))+(SUM($CP733:$CQ733)*VLOOKUP($B733,Lifetime_morbidity_array!$A$6:$Y$24,3))</f>
        <v>55.052991028622642</v>
      </c>
      <c r="DJ733" s="316">
        <f ca="1">(SUM($CI733:$CM733)*VLOOKUP($B733,Lifetime_morbidity_array!$A$6:$Y$24,5))+(SUM($CN733:$CO733)*VLOOKUP($B733,Lifetime_morbidity_array!$A$6:$Y$24,7))+(SUM($CP733:$CQ733)*VLOOKUP($B733,Lifetime_morbidity_array!$A$6:$Y$24,6))</f>
        <v>36.727914318920575</v>
      </c>
      <c r="DK733" s="316">
        <f ca="1">(SUM($CI733:$CM733)*VLOOKUP($B733,Lifetime_morbidity_array!$A$6:$Y$24,8))+(SUM($CN733:$CO733)*VLOOKUP($B733,Lifetime_morbidity_array!$A$6:$Y$24,10))+(SUM($CP733:$CQ733)*VLOOKUP($B733,Lifetime_morbidity_array!$A$6:$Y$24,9))</f>
        <v>2.0203682278226891</v>
      </c>
      <c r="DL733" s="317">
        <f ca="1">(SUM($CI733:$CM733)*VLOOKUP($B733,Lifetime_morbidity_array!$A$6:$Y$24,11))+(SUM($CN733:$CO733)*VLOOKUP($B733,Lifetime_morbidity_array!$A$6:$Y$24,13))+(SUM($CP733:$CQ733)*VLOOKUP($B733,Lifetime_morbidity_array!$A$6:$Y$24,12))</f>
        <v>21.037147501798394</v>
      </c>
      <c r="DM733" s="309"/>
      <c r="DN733" s="308">
        <f t="shared" si="266"/>
        <v>67</v>
      </c>
      <c r="DO733" s="309">
        <f t="shared" ca="1" si="267"/>
        <v>82.892470971679771</v>
      </c>
      <c r="DP733" s="310">
        <f t="shared" ca="1" si="298"/>
        <v>22773.721288975245</v>
      </c>
      <c r="DQ733" s="309"/>
      <c r="DR733" s="308">
        <f t="shared" si="268"/>
        <v>67</v>
      </c>
      <c r="DS733" s="309">
        <f ca="1">((VLOOKUP($B733,'Mahawesran Tariff'!$A$21:$M$120,4)*'Experimental (DET)'!$CX733)+(VLOOKUP($B733,'Mahawesran Tariff'!$A$21:$M$120,3)*'Experimental (DET)'!$CY733)+(VLOOKUP($B733,'Mahawesran Tariff'!$A$21:$M$120,2)*'Experimental (DET)'!$CZ733)+(VLOOKUP($B733,'Mahawesran Tariff'!$A$21:$M$120,7)*'Experimental (DET)'!$DF733)+(VLOOKUP($B733,'Mahawesran Tariff'!$A$21:$M$120,6)*'Experimental (DET)'!$DG733)+(VLOOKUP($B733,'Mahawesran Tariff'!$A$21:$M$120,5)*'Experimental (DET)'!$DH733)+(DET_UTIL_chd*('Experimental (DET)'!$DA733+'Experimental (DET)'!$DI733))+(DET_UTIL_copd*('Experimental (DET)'!$DB733+'Experimental (DET)'!$DJ733))+(DET_UTIL_lc*('Experimental (DET)'!$DC733+'Experimental (DET)'!$DK733))+(DET_UTIL_stroke*('Experimental (DET)'!$DD733+'Experimental (DET)'!$DL733)))/((1+Discount_rate_QALYs)^$A733)</f>
        <v>71.04150963298305</v>
      </c>
      <c r="DT733" s="310">
        <f t="shared" ca="1" si="299"/>
        <v>22470.187610677345</v>
      </c>
      <c r="DU733" s="309"/>
      <c r="DV733" s="308">
        <f t="shared" si="269"/>
        <v>67</v>
      </c>
      <c r="DW733" s="318">
        <f t="shared" ca="1" si="270"/>
        <v>163264.1274259077</v>
      </c>
      <c r="DX733" s="319">
        <f t="shared" ca="1" si="300"/>
        <v>7930169.9978995025</v>
      </c>
      <c r="DZ733" s="95">
        <f t="shared" si="271"/>
        <v>67</v>
      </c>
      <c r="EA733" s="268">
        <f t="shared" ca="1" si="304"/>
        <v>0.83084215209703638</v>
      </c>
      <c r="EB733" s="268">
        <f t="shared" ca="1" si="218"/>
        <v>0.16915784790296357</v>
      </c>
      <c r="EC733" s="268">
        <f t="shared" ca="1" si="219"/>
        <v>0.29872345571744024</v>
      </c>
      <c r="ED733" s="290">
        <f t="shared" ca="1" si="220"/>
        <v>0.46294582334161744</v>
      </c>
      <c r="EF733" s="95">
        <f t="shared" si="272"/>
        <v>67</v>
      </c>
      <c r="EG733" s="339">
        <f t="shared" ca="1" si="273"/>
        <v>163264.1274259077</v>
      </c>
      <c r="EH733" s="341">
        <f t="shared" ca="1" si="301"/>
        <v>11032185.721863054</v>
      </c>
      <c r="EJ733" s="308">
        <f t="shared" si="274"/>
        <v>67</v>
      </c>
      <c r="EK733" s="318">
        <f t="shared" ca="1" si="275"/>
        <v>163264.1274259077</v>
      </c>
      <c r="EL733" s="319">
        <f t="shared" ca="1" si="302"/>
        <v>7927129.9978995016</v>
      </c>
      <c r="EN733" s="95">
        <f t="shared" si="276"/>
        <v>67</v>
      </c>
      <c r="EO733" s="339">
        <f t="shared" ca="1" si="277"/>
        <v>163264.1274259077</v>
      </c>
      <c r="EP733" s="341">
        <f t="shared" ca="1" si="303"/>
        <v>11032185.721863054</v>
      </c>
    </row>
    <row r="734" spans="1:146" s="266" customFormat="1" x14ac:dyDescent="0.25">
      <c r="A734" s="313">
        <v>68</v>
      </c>
      <c r="B734" s="314">
        <v>68</v>
      </c>
      <c r="C734" s="308">
        <f>VLOOKUP($B734,'Infant adult mortality'!$A$27:$I$128,3)</f>
        <v>4.6822812305134069E-3</v>
      </c>
      <c r="D734" s="309">
        <f t="shared" si="221"/>
        <v>0.27</v>
      </c>
      <c r="E734" s="309">
        <f>VLOOKUP($B734,'Infant pick up smoking rates'!$A$19:$I$104,3)</f>
        <v>0</v>
      </c>
      <c r="F734" s="309">
        <f t="shared" si="222"/>
        <v>8.9474751660653468E-2</v>
      </c>
      <c r="G734" s="309">
        <f t="shared" si="223"/>
        <v>0.63584296710883315</v>
      </c>
      <c r="H734" s="309">
        <f>VLOOKUP($B734,'Infant adult mortality'!$A$27:$I$128,3)</f>
        <v>4.6822812305134069E-3</v>
      </c>
      <c r="I734" s="309">
        <f t="shared" si="224"/>
        <v>0.14000000000000001</v>
      </c>
      <c r="J734" s="309">
        <f>VLOOKUP($B734,'Infant pick up smoking rates'!$A$19:$I$104,2)</f>
        <v>0</v>
      </c>
      <c r="K734" s="309">
        <f t="shared" si="225"/>
        <v>8.9474751660653468E-2</v>
      </c>
      <c r="L734" s="309">
        <f t="shared" si="226"/>
        <v>0.76584296710883315</v>
      </c>
      <c r="M734" s="309">
        <f>VLOOKUP($B734,'Infant adult mortality'!$A$27:$I$128,3)</f>
        <v>4.6822812305134069E-3</v>
      </c>
      <c r="N734" s="309">
        <f t="shared" si="227"/>
        <v>0.5714285714285714</v>
      </c>
      <c r="O734" s="309">
        <f>VLOOKUP($B734,'Infant pick up smoking rates'!$A$19:$I$104,2)</f>
        <v>0</v>
      </c>
      <c r="P734" s="309">
        <f t="shared" si="228"/>
        <v>7.3519034629261223E-2</v>
      </c>
      <c r="Q734" s="309">
        <f t="shared" si="229"/>
        <v>0.35037011271165397</v>
      </c>
      <c r="R734" s="309">
        <f>VLOOKUP($B734,'Infant adult mortality'!$A$27:$I$128,3)</f>
        <v>4.6822812305134069E-3</v>
      </c>
      <c r="S734" s="309">
        <f t="shared" si="230"/>
        <v>8.6261668788331098E-3</v>
      </c>
      <c r="T734" s="309">
        <f>VLOOKUP($B734,'Infant pick up smoking rates'!$A$19:$I$104,2)</f>
        <v>0</v>
      </c>
      <c r="U734" s="309">
        <f t="shared" si="231"/>
        <v>7.3519034629261223E-2</v>
      </c>
      <c r="V734" s="309">
        <f t="shared" si="232"/>
        <v>0.91317251726139226</v>
      </c>
      <c r="W734" s="309">
        <f>VLOOKUP($B734,'Infant adult mortality'!$A$27:$I$128,3)</f>
        <v>4.6822812305134069E-3</v>
      </c>
      <c r="X734" s="309">
        <f>VLOOKUP($B734,'Infant pick up smoking rates'!$A$19:$I$104,2)</f>
        <v>0</v>
      </c>
      <c r="Y734" s="309">
        <f t="shared" si="233"/>
        <v>0.9953177187694866</v>
      </c>
      <c r="Z734" s="309">
        <f>VLOOKUP($B734,'Infant adult mortality'!$A$27:$I$128,5)</f>
        <v>9.2855366174738451E-3</v>
      </c>
      <c r="AA734" s="309">
        <f t="shared" si="234"/>
        <v>0.25</v>
      </c>
      <c r="AB734" s="309">
        <f t="shared" si="235"/>
        <v>0.74071446338252611</v>
      </c>
      <c r="AC734" s="309">
        <f>VLOOKUP($B734,'Infant adult mortality'!$A$27:$I$128,5)</f>
        <v>9.2855366174738451E-3</v>
      </c>
      <c r="AD734" s="309">
        <f t="shared" si="236"/>
        <v>0.14000000000000001</v>
      </c>
      <c r="AE734" s="309">
        <f t="shared" si="237"/>
        <v>0.8507144633825261</v>
      </c>
      <c r="AF734" s="309">
        <f>VLOOKUP($B734,'Infant adult mortality'!$A$27:$I$128,4)</f>
        <v>6.2430416406845431E-3</v>
      </c>
      <c r="AG734" s="309">
        <f t="shared" si="238"/>
        <v>0.5714285714285714</v>
      </c>
      <c r="AH734" s="309">
        <f t="shared" si="239"/>
        <v>0.42232838693074404</v>
      </c>
      <c r="AI734" s="309">
        <f>VLOOKUP($B734,'Infant adult mortality'!$A$27:$I$128,4)</f>
        <v>6.2430416406845431E-3</v>
      </c>
      <c r="AJ734" s="309">
        <f t="shared" si="240"/>
        <v>8.6261668788331098E-3</v>
      </c>
      <c r="AK734" s="309">
        <f t="shared" si="241"/>
        <v>0.98513079148048233</v>
      </c>
      <c r="AL734" s="309"/>
      <c r="AM734" s="315">
        <f t="shared" si="278"/>
        <v>17.151560962977225</v>
      </c>
      <c r="AN734" s="316">
        <f t="shared" si="279"/>
        <v>5.1537640693624089</v>
      </c>
      <c r="AO734" s="316">
        <f t="shared" si="280"/>
        <v>0.79526998749029731</v>
      </c>
      <c r="AP734" s="316">
        <f t="shared" si="281"/>
        <v>38.588298703570729</v>
      </c>
      <c r="AQ734" s="316">
        <f t="shared" si="282"/>
        <v>94.082978307560154</v>
      </c>
      <c r="AR734" s="316">
        <f t="shared" si="283"/>
        <v>107.60791535879193</v>
      </c>
      <c r="AS734" s="316">
        <f t="shared" si="284"/>
        <v>27.399011883588575</v>
      </c>
      <c r="AT734" s="316">
        <f t="shared" si="285"/>
        <v>3.9042461888359949</v>
      </c>
      <c r="AU734" s="316">
        <f t="shared" si="286"/>
        <v>119.53639641045065</v>
      </c>
      <c r="AV734" s="316">
        <f t="shared" si="287"/>
        <v>95.780558127371677</v>
      </c>
      <c r="AW734" s="317">
        <f t="shared" si="242"/>
        <v>509.99999999999966</v>
      </c>
      <c r="AX734" s="309"/>
      <c r="AY734" s="308">
        <f>VLOOKUP($B734,'Infant adult mortality'!$A$134:$I$234,3)</f>
        <v>3.2139420078985655E-3</v>
      </c>
      <c r="AZ734" s="309">
        <f t="shared" si="243"/>
        <v>0.27</v>
      </c>
      <c r="BA734" s="309">
        <f ca="1">VLOOKUP($B734,'Infant pick up smoking rates'!$A$19:$I$104,7)</f>
        <v>0</v>
      </c>
      <c r="BB734" s="309">
        <f t="shared" si="244"/>
        <v>8.9474751660653468E-2</v>
      </c>
      <c r="BC734" s="309">
        <f t="shared" ca="1" si="245"/>
        <v>0.63731130633144795</v>
      </c>
      <c r="BD734" s="309">
        <f>VLOOKUP($B734,'Infant adult mortality'!$A$134:$I$234,3)</f>
        <v>3.2139420078985655E-3</v>
      </c>
      <c r="BE734" s="309">
        <f t="shared" si="246"/>
        <v>0.14000000000000001</v>
      </c>
      <c r="BF734" s="309">
        <f>VLOOKUP($B734,'Infant pick up smoking rates'!$A$19:$I$104,6)</f>
        <v>0</v>
      </c>
      <c r="BG734" s="309">
        <f t="shared" si="247"/>
        <v>8.9474751660653468E-2</v>
      </c>
      <c r="BH734" s="309">
        <f t="shared" si="248"/>
        <v>0.76731130633144795</v>
      </c>
      <c r="BI734" s="309">
        <f>VLOOKUP($B734,'Infant adult mortality'!$A$134:$I$234,3)</f>
        <v>3.2139420078985655E-3</v>
      </c>
      <c r="BJ734" s="309">
        <f t="shared" si="249"/>
        <v>0.5714285714285714</v>
      </c>
      <c r="BK734" s="309">
        <f>VLOOKUP($B734,'Infant pick up smoking rates'!$A$19:$I$104,6)</f>
        <v>0</v>
      </c>
      <c r="BL734" s="309">
        <f t="shared" si="250"/>
        <v>7.3519034629261223E-2</v>
      </c>
      <c r="BM734" s="309">
        <f t="shared" si="251"/>
        <v>0.35183845193426883</v>
      </c>
      <c r="BN734" s="309">
        <f>VLOOKUP($B734,'Infant adult mortality'!$A$134:$I$234,3)</f>
        <v>3.2139420078985655E-3</v>
      </c>
      <c r="BO734" s="309">
        <f t="shared" si="252"/>
        <v>8.6261668788331098E-3</v>
      </c>
      <c r="BP734" s="309">
        <f>VLOOKUP($B734,'Infant pick up smoking rates'!$A$19:$I$104,6)</f>
        <v>0</v>
      </c>
      <c r="BQ734" s="309">
        <f t="shared" si="253"/>
        <v>7.3519034629261223E-2</v>
      </c>
      <c r="BR734" s="309">
        <f t="shared" si="254"/>
        <v>0.91464085648400706</v>
      </c>
      <c r="BS734" s="309">
        <f>VLOOKUP($B734,'Infant adult mortality'!$A$134:$I$234,3)</f>
        <v>3.2139420078985655E-3</v>
      </c>
      <c r="BT734" s="309">
        <f>VLOOKUP($B734,'Infant pick up smoking rates'!$A$19:$I$104,6)</f>
        <v>0</v>
      </c>
      <c r="BU734" s="309">
        <f t="shared" si="255"/>
        <v>0.9967860579921014</v>
      </c>
      <c r="BV734" s="309">
        <f>VLOOKUP($B734,'Infant adult mortality'!$A$134:$I$234,5)</f>
        <v>6.3736402688283787E-3</v>
      </c>
      <c r="BW734" s="309">
        <f t="shared" si="256"/>
        <v>0.27</v>
      </c>
      <c r="BX734" s="309">
        <f t="shared" si="257"/>
        <v>0.72362635973117162</v>
      </c>
      <c r="BY734" s="309">
        <f>VLOOKUP($B734,'Infant adult mortality'!$A$134:$I$234,5)</f>
        <v>6.3736402688283787E-3</v>
      </c>
      <c r="BZ734" s="309">
        <f t="shared" si="258"/>
        <v>0.14000000000000001</v>
      </c>
      <c r="CA734" s="309">
        <f t="shared" si="259"/>
        <v>0.85362635973117162</v>
      </c>
      <c r="CB734" s="309">
        <f>VLOOKUP($B734,'Infant adult mortality'!$A$134:$I$234,4)</f>
        <v>4.2852560105314215E-3</v>
      </c>
      <c r="CC734" s="309">
        <f t="shared" si="260"/>
        <v>0.5714285714285714</v>
      </c>
      <c r="CD734" s="309">
        <f t="shared" si="261"/>
        <v>0.42428617256089718</v>
      </c>
      <c r="CE734" s="309">
        <f>VLOOKUP($B734,'Infant adult mortality'!$A$134:$I$234,4)</f>
        <v>4.2852560105314215E-3</v>
      </c>
      <c r="CF734" s="309">
        <f t="shared" si="262"/>
        <v>8.6261668788331098E-3</v>
      </c>
      <c r="CG734" s="309">
        <f t="shared" si="263"/>
        <v>0.98708857711063547</v>
      </c>
      <c r="CH734" s="309"/>
      <c r="CI734" s="315">
        <f t="shared" ca="1" si="288"/>
        <v>23.358751979657782</v>
      </c>
      <c r="CJ734" s="316">
        <f t="shared" ca="1" si="289"/>
        <v>7.0080997438119024</v>
      </c>
      <c r="CK734" s="316">
        <f t="shared" ca="1" si="290"/>
        <v>1.0799157534971329</v>
      </c>
      <c r="CL734" s="316">
        <f t="shared" ca="1" si="291"/>
        <v>51.929631344540482</v>
      </c>
      <c r="CM734" s="316">
        <f t="shared" ca="1" si="292"/>
        <v>127.33585849058649</v>
      </c>
      <c r="CN734" s="316">
        <f t="shared" ca="1" si="293"/>
        <v>80.713001005084948</v>
      </c>
      <c r="CO734" s="316">
        <f t="shared" ca="1" si="294"/>
        <v>22.141872166880376</v>
      </c>
      <c r="CP734" s="316">
        <f t="shared" ca="1" si="295"/>
        <v>3.1483976897372221</v>
      </c>
      <c r="CQ734" s="316">
        <f t="shared" ca="1" si="296"/>
        <v>95.364633871291858</v>
      </c>
      <c r="CR734" s="316">
        <f t="shared" ca="1" si="297"/>
        <v>77.919837954911984</v>
      </c>
      <c r="CS734" s="317">
        <f t="shared" ca="1" si="264"/>
        <v>490.00000000000023</v>
      </c>
      <c r="CT734" s="309"/>
      <c r="CU734" s="309">
        <f t="shared" ca="1" si="265"/>
        <v>999.99999999999989</v>
      </c>
      <c r="CV734" s="309" t="str">
        <f t="shared" ca="1" si="216"/>
        <v>OKAY</v>
      </c>
      <c r="CW734" s="309"/>
      <c r="CX734" s="315">
        <f>(SUM($AR734:$AS734))-((SUM($AR734:$AS734)*VLOOKUP($B734,Lifetime_morbidity_array!$A$30:$Y$48,4))+(SUM($AR734:$AS734)*VLOOKUP($B734,Lifetime_morbidity_array!$A$30:$Y$48,7))+(SUM($AR734:$AS734)*VLOOKUP($B734,Lifetime_morbidity_array!$A$30:$Y$48,10))+(SUM($AR734:$AS734)*VLOOKUP($B734,Lifetime_morbidity_array!$A$30:$Y$48,13)))</f>
        <v>30.476054637509321</v>
      </c>
      <c r="CY734" s="316">
        <f>(SUM($AT734:$AU734))-((SUM($AT734:$AU734)*(VLOOKUP($B734,Lifetime_morbidity_array!$A$30:$Y$48,3)))+(SUM($AT734:$AU734)*(VLOOKUP($B734,Lifetime_morbidity_array!$A$30:$Y$48,6)))+(SUM($AT734:$AU734)*(VLOOKUP($B734,Lifetime_morbidity_array!$A$30:$Y$48,9)))+(SUM($AT734:$AU734)*(VLOOKUP($B734,Lifetime_morbidity_array!$A$30:$Y$48,12))))</f>
        <v>78.350998673711757</v>
      </c>
      <c r="CZ734" s="316">
        <f>(SUM($AM734:$AQ734))-((SUM($AM734:$AQ734)*VLOOKUP($B734,Lifetime_morbidity_array!$A$30:$Y$48,2))+(SUM($AM734:$AQ734)*VLOOKUP($B734,Lifetime_morbidity_array!$A$30:$Y$48,5))+(SUM($AM734:$AQ734)*VLOOKUP($B734,Lifetime_morbidity_array!$A$30:$Y$48,8))+(SUM($AM734:$AQ734)*VLOOKUP($B734,Lifetime_morbidity_array!$A$30:$Y$48,11)))</f>
        <v>123.41927314794057</v>
      </c>
      <c r="DA734" s="316">
        <f>(SUM($AM734:$AQ734)*VLOOKUP($B734,Lifetime_morbidity_array!$A$30:$Y$48,2))+(SUM($AR734:$AS734)*VLOOKUP($B734,Lifetime_morbidity_array!$A$30:$Y$48,4))+(SUM($AT734:$AU734)*(VLOOKUP($B734,Lifetime_morbidity_array!$A$30:$Y$48,3)))</f>
        <v>102.64936089352696</v>
      </c>
      <c r="DB734" s="316">
        <f>(SUM($AM734:$AQ734)*VLOOKUP($B734,Lifetime_morbidity_array!$A$30:$Y$48,5))+(SUM($AR734:$AS734)*VLOOKUP($B734,Lifetime_morbidity_array!$A$30:$Y$48,7))+(SUM($AT734:$AU734)*(VLOOKUP($B734,Lifetime_morbidity_array!$A$30:$Y$48,6)))</f>
        <v>39.657562076197721</v>
      </c>
      <c r="DC734" s="316">
        <f>(SUM($AM734:$AQ734)*VLOOKUP($B734,Lifetime_morbidity_array!$A$30:$Y$48,8))+(SUM($AR734:$AS734)*VLOOKUP($B734,Lifetime_morbidity_array!$A$30:$Y$48,10))+(SUM($AT734:$AU734)*(VLOOKUP($B734,Lifetime_morbidity_array!$A$30:$Y$48,9)))</f>
        <v>5.4172015806538667</v>
      </c>
      <c r="DD734" s="317">
        <f>(SUM($AM734:$AQ734)*VLOOKUP($B734,Lifetime_morbidity_array!$A$30:$Y$48,11))+(SUM($AR734:$AS734)*VLOOKUP($B734,Lifetime_morbidity_array!$A$30:$Y$48,13))+(SUM($AT734:$AU734)*(VLOOKUP($B734,Lifetime_morbidity_array!$A$30:$Y$48,12)))</f>
        <v>34.248990863087748</v>
      </c>
      <c r="DE734" s="309"/>
      <c r="DF734" s="315">
        <f ca="1">(SUM($CN734:$CO734))-((SUM($CN734:$CO734)*VLOOKUP($B734,Lifetime_morbidity_array!$A$6:$Y$24,4))+(SUM($CN734:$CO734)*VLOOKUP($B734,Lifetime_morbidity_array!$A$6:$Y$24,7))+(SUM($CN734:$CO734)*VLOOKUP($B734,Lifetime_morbidity_array!$A$6:$Y$24,10))+(SUM($CN734:$CO734)*VLOOKUP($B734,Lifetime_morbidity_array!$A$6:$Y$24,13)))</f>
        <v>41.194273931206709</v>
      </c>
      <c r="DG734" s="316">
        <f ca="1">(SUM($CP734:$CQ734))-(((SUM($CP734:$CQ734)*VLOOKUP($B734,Lifetime_morbidity_array!$A$6:$Y$24,3))+(SUM($CP734:$CQ734)*VLOOKUP($B734,Lifetime_morbidity_array!$A$6:$Y$24,6))+(SUM($CP734:$CQ734)*VLOOKUP($B734,Lifetime_morbidity_array!$A$6:$Y$24,9))+(SUM($CP734:$CQ734)*VLOOKUP($B734,Lifetime_morbidity_array!$A$6:$Y$24,12))))</f>
        <v>71.869934860788419</v>
      </c>
      <c r="DH734" s="316">
        <f ca="1">(SUM($CI734:$CM734))-((SUM($CI734:$CM734)*VLOOKUP($B734,Lifetime_morbidity_array!$A$6:$Y$24,2))+(SUM($CI734:$CM734)*VLOOKUP($B734,Lifetime_morbidity_array!$A$6:$Y$24,5))+(SUM($CI734:$CM734)*VLOOKUP($B734,Lifetime_morbidity_array!$A$6:$Y$24,8))+(SUM($CI734:$CM734)*VLOOKUP($B734,Lifetime_morbidity_array!$A$6:$Y$24,11)))</f>
        <v>185.09361600048618</v>
      </c>
      <c r="DI734" s="316">
        <f ca="1">(SUM($CI734:$CM734)*VLOOKUP($B734,Lifetime_morbidity_array!$A$6:$Y$24,2))+(SUM($CN734:$CO734)*VLOOKUP($B734,Lifetime_morbidity_array!$A$6:$Y$24,4))+(SUM($CP734:$CQ734)*VLOOKUP($B734,Lifetime_morbidity_array!$A$6:$Y$24,3))</f>
        <v>54.647750695952965</v>
      </c>
      <c r="DJ734" s="316">
        <f ca="1">(SUM($CI734:$CM734)*VLOOKUP($B734,Lifetime_morbidity_array!$A$6:$Y$24,5))+(SUM($CN734:$CO734)*VLOOKUP($B734,Lifetime_morbidity_array!$A$6:$Y$24,7))+(SUM($CP734:$CQ734)*VLOOKUP($B734,Lifetime_morbidity_array!$A$6:$Y$24,6))</f>
        <v>36.375730976905416</v>
      </c>
      <c r="DK734" s="316">
        <f ca="1">(SUM($CI734:$CM734)*VLOOKUP($B734,Lifetime_morbidity_array!$A$6:$Y$24,8))+(SUM($CN734:$CO734)*VLOOKUP($B734,Lifetime_morbidity_array!$A$6:$Y$24,10))+(SUM($CP734:$CQ734)*VLOOKUP($B734,Lifetime_morbidity_array!$A$6:$Y$24,9))</f>
        <v>1.9988258643945915</v>
      </c>
      <c r="DL734" s="317">
        <f ca="1">(SUM($CI734:$CM734)*VLOOKUP($B734,Lifetime_morbidity_array!$A$6:$Y$24,11))+(SUM($CN734:$CO734)*VLOOKUP($B734,Lifetime_morbidity_array!$A$6:$Y$24,13))+(SUM($CP734:$CQ734)*VLOOKUP($B734,Lifetime_morbidity_array!$A$6:$Y$24,12))</f>
        <v>20.900029715353938</v>
      </c>
      <c r="DM734" s="309"/>
      <c r="DN734" s="308">
        <f t="shared" si="266"/>
        <v>68</v>
      </c>
      <c r="DO734" s="309">
        <f t="shared" ca="1" si="267"/>
        <v>79.651463281748207</v>
      </c>
      <c r="DP734" s="310">
        <f t="shared" ca="1" si="298"/>
        <v>22853.372752256993</v>
      </c>
      <c r="DQ734" s="309"/>
      <c r="DR734" s="308">
        <f t="shared" si="268"/>
        <v>68</v>
      </c>
      <c r="DS734" s="309">
        <f ca="1">((VLOOKUP($B734,'Mahawesran Tariff'!$A$21:$M$120,4)*'Experimental (DET)'!$CX734)+(VLOOKUP($B734,'Mahawesran Tariff'!$A$21:$M$120,3)*'Experimental (DET)'!$CY734)+(VLOOKUP($B734,'Mahawesran Tariff'!$A$21:$M$120,2)*'Experimental (DET)'!$CZ734)+(VLOOKUP($B734,'Mahawesran Tariff'!$A$21:$M$120,7)*'Experimental (DET)'!$DF734)+(VLOOKUP($B734,'Mahawesran Tariff'!$A$21:$M$120,6)*'Experimental (DET)'!$DG734)+(VLOOKUP($B734,'Mahawesran Tariff'!$A$21:$M$120,5)*'Experimental (DET)'!$DH734)+(DET_UTIL_chd*('Experimental (DET)'!$DA734+'Experimental (DET)'!$DI734))+(DET_UTIL_copd*('Experimental (DET)'!$DB734+'Experimental (DET)'!$DJ734))+(DET_UTIL_lc*('Experimental (DET)'!$DC734+'Experimental (DET)'!$DK734))+(DET_UTIL_stroke*('Experimental (DET)'!$DD734+'Experimental (DET)'!$DL734)))/((1+Discount_rate_QALYs)^$A734)</f>
        <v>68.288406823722966</v>
      </c>
      <c r="DT734" s="310">
        <f t="shared" ca="1" si="299"/>
        <v>22538.476017501067</v>
      </c>
      <c r="DU734" s="309"/>
      <c r="DV734" s="308">
        <f t="shared" si="269"/>
        <v>68</v>
      </c>
      <c r="DW734" s="318">
        <f t="shared" ca="1" si="270"/>
        <v>156384.32501162967</v>
      </c>
      <c r="DX734" s="319">
        <f t="shared" ca="1" si="300"/>
        <v>8086554.3229111321</v>
      </c>
      <c r="DZ734" s="95">
        <f t="shared" si="271"/>
        <v>68</v>
      </c>
      <c r="EA734" s="268">
        <f t="shared" ca="1" si="304"/>
        <v>0.82629960391771629</v>
      </c>
      <c r="EB734" s="268">
        <f t="shared" ca="1" si="218"/>
        <v>0.17370039608228366</v>
      </c>
      <c r="EC734" s="268">
        <f t="shared" ca="1" si="219"/>
        <v>0.2958954526660732</v>
      </c>
      <c r="ED734" s="290">
        <f t="shared" ca="1" si="220"/>
        <v>0.45981547457466154</v>
      </c>
      <c r="EF734" s="95">
        <f t="shared" si="272"/>
        <v>68</v>
      </c>
      <c r="EG734" s="339">
        <f t="shared" ca="1" si="273"/>
        <v>156384.32501162967</v>
      </c>
      <c r="EH734" s="341">
        <f t="shared" ca="1" si="301"/>
        <v>11188570.046874683</v>
      </c>
      <c r="EJ734" s="308">
        <f t="shared" si="274"/>
        <v>68</v>
      </c>
      <c r="EK734" s="318">
        <f t="shared" ca="1" si="275"/>
        <v>156384.32501162967</v>
      </c>
      <c r="EL734" s="319">
        <f t="shared" ca="1" si="302"/>
        <v>8083514.3229111312</v>
      </c>
      <c r="EN734" s="95">
        <f t="shared" si="276"/>
        <v>68</v>
      </c>
      <c r="EO734" s="339">
        <f t="shared" ca="1" si="277"/>
        <v>156384.32501162967</v>
      </c>
      <c r="EP734" s="341">
        <f t="shared" ca="1" si="303"/>
        <v>11188570.046874683</v>
      </c>
    </row>
    <row r="735" spans="1:146" s="266" customFormat="1" x14ac:dyDescent="0.25">
      <c r="A735" s="313">
        <v>69</v>
      </c>
      <c r="B735" s="314">
        <v>69</v>
      </c>
      <c r="C735" s="308">
        <f>VLOOKUP($B735,'Infant adult mortality'!$A$27:$I$128,3)</f>
        <v>5.1163625025982123E-3</v>
      </c>
      <c r="D735" s="309">
        <f t="shared" si="221"/>
        <v>0.27</v>
      </c>
      <c r="E735" s="309">
        <f>VLOOKUP($B735,'Infant pick up smoking rates'!$A$19:$I$104,3)</f>
        <v>0</v>
      </c>
      <c r="F735" s="309">
        <f t="shared" si="222"/>
        <v>9.8124452068651585E-2</v>
      </c>
      <c r="G735" s="309">
        <f t="shared" si="223"/>
        <v>0.6267591854287502</v>
      </c>
      <c r="H735" s="309">
        <f>VLOOKUP($B735,'Infant adult mortality'!$A$27:$I$128,3)</f>
        <v>5.1163625025982123E-3</v>
      </c>
      <c r="I735" s="309">
        <f t="shared" si="224"/>
        <v>0.14000000000000001</v>
      </c>
      <c r="J735" s="309">
        <f>VLOOKUP($B735,'Infant pick up smoking rates'!$A$19:$I$104,2)</f>
        <v>0</v>
      </c>
      <c r="K735" s="309">
        <f t="shared" si="225"/>
        <v>9.8124452068651585E-2</v>
      </c>
      <c r="L735" s="309">
        <f t="shared" si="226"/>
        <v>0.7567591854287502</v>
      </c>
      <c r="M735" s="309">
        <f>VLOOKUP($B735,'Infant adult mortality'!$A$27:$I$128,3)</f>
        <v>5.1163625025982123E-3</v>
      </c>
      <c r="N735" s="309">
        <f t="shared" si="227"/>
        <v>0.5714285714285714</v>
      </c>
      <c r="O735" s="309">
        <f>VLOOKUP($B735,'Infant pick up smoking rates'!$A$19:$I$104,2)</f>
        <v>0</v>
      </c>
      <c r="P735" s="309">
        <f t="shared" si="228"/>
        <v>8.0626264456957905E-2</v>
      </c>
      <c r="Q735" s="309">
        <f t="shared" si="229"/>
        <v>0.34282880161187251</v>
      </c>
      <c r="R735" s="309">
        <f>VLOOKUP($B735,'Infant adult mortality'!$A$27:$I$128,3)</f>
        <v>5.1163625025982123E-3</v>
      </c>
      <c r="S735" s="309">
        <f t="shared" si="230"/>
        <v>8.6261668788331098E-3</v>
      </c>
      <c r="T735" s="309">
        <f>VLOOKUP($B735,'Infant pick up smoking rates'!$A$19:$I$104,2)</f>
        <v>0</v>
      </c>
      <c r="U735" s="309">
        <f t="shared" si="231"/>
        <v>8.0626264456957905E-2</v>
      </c>
      <c r="V735" s="309">
        <f t="shared" si="232"/>
        <v>0.90563120616161086</v>
      </c>
      <c r="W735" s="309">
        <f>VLOOKUP($B735,'Infant adult mortality'!$A$27:$I$128,3)</f>
        <v>5.1163625025982123E-3</v>
      </c>
      <c r="X735" s="309">
        <f>VLOOKUP($B735,'Infant pick up smoking rates'!$A$19:$I$104,2)</f>
        <v>0</v>
      </c>
      <c r="Y735" s="309">
        <f t="shared" si="233"/>
        <v>0.99488363749740183</v>
      </c>
      <c r="Z735" s="309">
        <f>VLOOKUP($B735,'Infant adult mortality'!$A$27:$I$128,5)</f>
        <v>1.0146372895447932E-2</v>
      </c>
      <c r="AA735" s="309">
        <f t="shared" si="234"/>
        <v>0.25</v>
      </c>
      <c r="AB735" s="309">
        <f t="shared" si="235"/>
        <v>0.73985362710455205</v>
      </c>
      <c r="AC735" s="309">
        <f>VLOOKUP($B735,'Infant adult mortality'!$A$27:$I$128,5)</f>
        <v>1.0146372895447932E-2</v>
      </c>
      <c r="AD735" s="309">
        <f t="shared" si="236"/>
        <v>0.14000000000000001</v>
      </c>
      <c r="AE735" s="309">
        <f t="shared" si="237"/>
        <v>0.84985362710455203</v>
      </c>
      <c r="AF735" s="309">
        <f>VLOOKUP($B735,'Infant adult mortality'!$A$27:$I$128,4)</f>
        <v>6.8218166701309504E-3</v>
      </c>
      <c r="AG735" s="309">
        <f t="shared" si="238"/>
        <v>0.5714285714285714</v>
      </c>
      <c r="AH735" s="309">
        <f t="shared" si="239"/>
        <v>0.42174961190129767</v>
      </c>
      <c r="AI735" s="309">
        <f>VLOOKUP($B735,'Infant adult mortality'!$A$27:$I$128,4)</f>
        <v>6.8218166701309504E-3</v>
      </c>
      <c r="AJ735" s="309">
        <f t="shared" si="240"/>
        <v>8.6261668788331098E-3</v>
      </c>
      <c r="AK735" s="309">
        <f t="shared" si="241"/>
        <v>0.98455201645103596</v>
      </c>
      <c r="AL735" s="309"/>
      <c r="AM735" s="315">
        <f t="shared" si="278"/>
        <v>15.255567237966263</v>
      </c>
      <c r="AN735" s="316">
        <f t="shared" si="279"/>
        <v>4.6309214600038509</v>
      </c>
      <c r="AO735" s="316">
        <f t="shared" si="280"/>
        <v>0.72152696971073726</v>
      </c>
      <c r="AP735" s="316">
        <f t="shared" si="281"/>
        <v>35.401207491490879</v>
      </c>
      <c r="AQ735" s="316">
        <f t="shared" si="282"/>
        <v>98.965663506770355</v>
      </c>
      <c r="AR735" s="316">
        <f t="shared" si="283"/>
        <v>105.57701133014992</v>
      </c>
      <c r="AS735" s="316">
        <f t="shared" si="284"/>
        <v>26.901978839697982</v>
      </c>
      <c r="AT735" s="316">
        <f t="shared" si="285"/>
        <v>3.835861663702401</v>
      </c>
      <c r="AU735" s="316">
        <f t="shared" si="286"/>
        <v>119.92079794739156</v>
      </c>
      <c r="AV735" s="316">
        <f t="shared" si="287"/>
        <v>98.789463553115709</v>
      </c>
      <c r="AW735" s="317">
        <f t="shared" si="242"/>
        <v>509.99999999999966</v>
      </c>
      <c r="AX735" s="309"/>
      <c r="AY735" s="308">
        <f>VLOOKUP($B735,'Infant adult mortality'!$A$134:$I$234,3)</f>
        <v>3.5068873415090417E-3</v>
      </c>
      <c r="AZ735" s="309">
        <f t="shared" si="243"/>
        <v>0.27</v>
      </c>
      <c r="BA735" s="309">
        <f ca="1">VLOOKUP($B735,'Infant pick up smoking rates'!$A$19:$I$104,7)</f>
        <v>0</v>
      </c>
      <c r="BB735" s="309">
        <f t="shared" si="244"/>
        <v>9.8124452068651585E-2</v>
      </c>
      <c r="BC735" s="309">
        <f t="shared" ca="1" si="245"/>
        <v>0.62836866058983931</v>
      </c>
      <c r="BD735" s="309">
        <f>VLOOKUP($B735,'Infant adult mortality'!$A$134:$I$234,3)</f>
        <v>3.5068873415090417E-3</v>
      </c>
      <c r="BE735" s="309">
        <f t="shared" si="246"/>
        <v>0.14000000000000001</v>
      </c>
      <c r="BF735" s="309">
        <f>VLOOKUP($B735,'Infant pick up smoking rates'!$A$19:$I$104,6)</f>
        <v>0</v>
      </c>
      <c r="BG735" s="309">
        <f t="shared" si="247"/>
        <v>9.8124452068651585E-2</v>
      </c>
      <c r="BH735" s="309">
        <f t="shared" si="248"/>
        <v>0.75836866058983932</v>
      </c>
      <c r="BI735" s="309">
        <f>VLOOKUP($B735,'Infant adult mortality'!$A$134:$I$234,3)</f>
        <v>3.5068873415090417E-3</v>
      </c>
      <c r="BJ735" s="309">
        <f t="shared" si="249"/>
        <v>0.5714285714285714</v>
      </c>
      <c r="BK735" s="309">
        <f>VLOOKUP($B735,'Infant pick up smoking rates'!$A$19:$I$104,6)</f>
        <v>0</v>
      </c>
      <c r="BL735" s="309">
        <f t="shared" si="250"/>
        <v>8.0626264456957905E-2</v>
      </c>
      <c r="BM735" s="309">
        <f t="shared" si="251"/>
        <v>0.34443827677296168</v>
      </c>
      <c r="BN735" s="309">
        <f>VLOOKUP($B735,'Infant adult mortality'!$A$134:$I$234,3)</f>
        <v>3.5068873415090417E-3</v>
      </c>
      <c r="BO735" s="309">
        <f t="shared" si="252"/>
        <v>8.6261668788331098E-3</v>
      </c>
      <c r="BP735" s="309">
        <f>VLOOKUP($B735,'Infant pick up smoking rates'!$A$19:$I$104,6)</f>
        <v>0</v>
      </c>
      <c r="BQ735" s="309">
        <f t="shared" si="253"/>
        <v>8.0626264456957905E-2</v>
      </c>
      <c r="BR735" s="309">
        <f t="shared" si="254"/>
        <v>0.90724068132269997</v>
      </c>
      <c r="BS735" s="309">
        <f>VLOOKUP($B735,'Infant adult mortality'!$A$134:$I$234,3)</f>
        <v>3.5068873415090417E-3</v>
      </c>
      <c r="BT735" s="309">
        <f>VLOOKUP($B735,'Infant pick up smoking rates'!$A$19:$I$104,6)</f>
        <v>0</v>
      </c>
      <c r="BU735" s="309">
        <f t="shared" si="255"/>
        <v>0.99649311265849094</v>
      </c>
      <c r="BV735" s="309">
        <f>VLOOKUP($B735,'Infant adult mortality'!$A$134:$I$234,5)</f>
        <v>6.9545867110094922E-3</v>
      </c>
      <c r="BW735" s="309">
        <f t="shared" si="256"/>
        <v>0.27</v>
      </c>
      <c r="BX735" s="309">
        <f t="shared" si="257"/>
        <v>0.72304541328899052</v>
      </c>
      <c r="BY735" s="309">
        <f>VLOOKUP($B735,'Infant adult mortality'!$A$134:$I$234,5)</f>
        <v>6.9545867110094922E-3</v>
      </c>
      <c r="BZ735" s="309">
        <f t="shared" si="258"/>
        <v>0.14000000000000001</v>
      </c>
      <c r="CA735" s="309">
        <f t="shared" si="259"/>
        <v>0.85304541328899053</v>
      </c>
      <c r="CB735" s="309">
        <f>VLOOKUP($B735,'Infant adult mortality'!$A$134:$I$234,4)</f>
        <v>4.6758497886787232E-3</v>
      </c>
      <c r="CC735" s="309">
        <f t="shared" si="260"/>
        <v>0.5714285714285714</v>
      </c>
      <c r="CD735" s="309">
        <f t="shared" si="261"/>
        <v>0.42389557878274986</v>
      </c>
      <c r="CE735" s="309">
        <f>VLOOKUP($B735,'Infant adult mortality'!$A$134:$I$234,4)</f>
        <v>4.6758497886787232E-3</v>
      </c>
      <c r="CF735" s="309">
        <f t="shared" si="262"/>
        <v>8.6261668788331098E-3</v>
      </c>
      <c r="CG735" s="309">
        <f t="shared" si="263"/>
        <v>0.98669798333248815</v>
      </c>
      <c r="CH735" s="309"/>
      <c r="CI735" s="315">
        <f t="shared" ca="1" si="288"/>
        <v>20.81254889763126</v>
      </c>
      <c r="CJ735" s="316">
        <f t="shared" ca="1" si="289"/>
        <v>6.306863034507602</v>
      </c>
      <c r="CK735" s="316">
        <f t="shared" ca="1" si="290"/>
        <v>0.98113396413366638</v>
      </c>
      <c r="CL735" s="316">
        <f t="shared" ca="1" si="291"/>
        <v>47.729768838141624</v>
      </c>
      <c r="CM735" s="316">
        <f t="shared" ca="1" si="292"/>
        <v>134.14299842981106</v>
      </c>
      <c r="CN735" s="316">
        <f t="shared" ca="1" si="293"/>
        <v>79.404410770146839</v>
      </c>
      <c r="CO735" s="316">
        <f t="shared" ca="1" si="294"/>
        <v>21.792510271372937</v>
      </c>
      <c r="CP735" s="316">
        <f t="shared" ca="1" si="295"/>
        <v>3.099862103363253</v>
      </c>
      <c r="CQ735" s="316">
        <f t="shared" ca="1" si="296"/>
        <v>95.895176316180326</v>
      </c>
      <c r="CR735" s="316">
        <f t="shared" ca="1" si="297"/>
        <v>79.834727374711619</v>
      </c>
      <c r="CS735" s="317">
        <f t="shared" ca="1" si="264"/>
        <v>490.00000000000017</v>
      </c>
      <c r="CT735" s="309"/>
      <c r="CU735" s="309">
        <f t="shared" ca="1" si="265"/>
        <v>999.99999999999977</v>
      </c>
      <c r="CV735" s="309" t="str">
        <f t="shared" ca="1" si="216"/>
        <v>OKAY</v>
      </c>
      <c r="CW735" s="309"/>
      <c r="CX735" s="315">
        <f>(SUM($AR735:$AS735))-((SUM($AR735:$AS735)*VLOOKUP($B735,Lifetime_morbidity_array!$A$30:$Y$48,4))+(SUM($AR735:$AS735)*VLOOKUP($B735,Lifetime_morbidity_array!$A$30:$Y$48,7))+(SUM($AR735:$AS735)*VLOOKUP($B735,Lifetime_morbidity_array!$A$30:$Y$48,10))+(SUM($AR735:$AS735)*VLOOKUP($B735,Lifetime_morbidity_array!$A$30:$Y$48,13)))</f>
        <v>29.90540578328887</v>
      </c>
      <c r="CY735" s="316">
        <f>(SUM($AT735:$AU735))-((SUM($AT735:$AU735)*(VLOOKUP($B735,Lifetime_morbidity_array!$A$30:$Y$48,3)))+(SUM($AT735:$AU735)*(VLOOKUP($B735,Lifetime_morbidity_array!$A$30:$Y$48,6)))+(SUM($AT735:$AU735)*(VLOOKUP($B735,Lifetime_morbidity_array!$A$30:$Y$48,9)))+(SUM($AT735:$AU735)*(VLOOKUP($B735,Lifetime_morbidity_array!$A$30:$Y$48,12))))</f>
        <v>78.551582921748789</v>
      </c>
      <c r="CZ735" s="316">
        <f>(SUM($AM735:$AQ735))-((SUM($AM735:$AQ735)*VLOOKUP($B735,Lifetime_morbidity_array!$A$30:$Y$48,2))+(SUM($AM735:$AQ735)*VLOOKUP($B735,Lifetime_morbidity_array!$A$30:$Y$48,5))+(SUM($AM735:$AQ735)*VLOOKUP($B735,Lifetime_morbidity_array!$A$30:$Y$48,8))+(SUM($AM735:$AQ735)*VLOOKUP($B735,Lifetime_morbidity_array!$A$30:$Y$48,11)))</f>
        <v>122.78781540670852</v>
      </c>
      <c r="DA735" s="316">
        <f>(SUM($AM735:$AQ735)*VLOOKUP($B735,Lifetime_morbidity_array!$A$30:$Y$48,2))+(SUM($AR735:$AS735)*VLOOKUP($B735,Lifetime_morbidity_array!$A$30:$Y$48,4))+(SUM($AT735:$AU735)*(VLOOKUP($B735,Lifetime_morbidity_array!$A$30:$Y$48,3)))</f>
        <v>101.61711880435286</v>
      </c>
      <c r="DB735" s="316">
        <f>(SUM($AM735:$AQ735)*VLOOKUP($B735,Lifetime_morbidity_array!$A$30:$Y$48,5))+(SUM($AR735:$AS735)*VLOOKUP($B735,Lifetime_morbidity_array!$A$30:$Y$48,7))+(SUM($AT735:$AU735)*(VLOOKUP($B735,Lifetime_morbidity_array!$A$30:$Y$48,6)))</f>
        <v>39.095185359693815</v>
      </c>
      <c r="DC735" s="316">
        <f>(SUM($AM735:$AQ735)*VLOOKUP($B735,Lifetime_morbidity_array!$A$30:$Y$48,8))+(SUM($AR735:$AS735)*VLOOKUP($B735,Lifetime_morbidity_array!$A$30:$Y$48,10))+(SUM($AT735:$AU735)*(VLOOKUP($B735,Lifetime_morbidity_array!$A$30:$Y$48,9)))</f>
        <v>5.3405526133981116</v>
      </c>
      <c r="DD735" s="317">
        <f>(SUM($AM735:$AQ735)*VLOOKUP($B735,Lifetime_morbidity_array!$A$30:$Y$48,11))+(SUM($AR735:$AS735)*VLOOKUP($B735,Lifetime_morbidity_array!$A$30:$Y$48,13))+(SUM($AT735:$AU735)*(VLOOKUP($B735,Lifetime_morbidity_array!$A$30:$Y$48,12)))</f>
        <v>33.912875557692971</v>
      </c>
      <c r="DE735" s="309"/>
      <c r="DF735" s="315">
        <f ca="1">(SUM($CN735:$CO735))-((SUM($CN735:$CO735)*VLOOKUP($B735,Lifetime_morbidity_array!$A$6:$Y$24,4))+(SUM($CN735:$CO735)*VLOOKUP($B735,Lifetime_morbidity_array!$A$6:$Y$24,7))+(SUM($CN735:$CO735)*VLOOKUP($B735,Lifetime_morbidity_array!$A$6:$Y$24,10))+(SUM($CN735:$CO735)*VLOOKUP($B735,Lifetime_morbidity_array!$A$6:$Y$24,13)))</f>
        <v>40.530249640279692</v>
      </c>
      <c r="DG735" s="316">
        <f ca="1">(SUM($CP735:$CQ735))-(((SUM($CP735:$CQ735)*VLOOKUP($B735,Lifetime_morbidity_array!$A$6:$Y$24,3))+(SUM($CP735:$CQ735)*VLOOKUP($B735,Lifetime_morbidity_array!$A$6:$Y$24,6))+(SUM($CP735:$CQ735)*VLOOKUP($B735,Lifetime_morbidity_array!$A$6:$Y$24,9))+(SUM($CP735:$CQ735)*VLOOKUP($B735,Lifetime_morbidity_array!$A$6:$Y$24,12))))</f>
        <v>72.22158175435122</v>
      </c>
      <c r="DH735" s="316">
        <f ca="1">(SUM($CI735:$CM735))-((SUM($CI735:$CM735)*VLOOKUP($B735,Lifetime_morbidity_array!$A$6:$Y$24,2))+(SUM($CI735:$CM735)*VLOOKUP($B735,Lifetime_morbidity_array!$A$6:$Y$24,5))+(SUM($CI735:$CM735)*VLOOKUP($B735,Lifetime_morbidity_array!$A$6:$Y$24,8))+(SUM($CI735:$CM735)*VLOOKUP($B735,Lifetime_morbidity_array!$A$6:$Y$24,11)))</f>
        <v>184.44451354153992</v>
      </c>
      <c r="DI735" s="316">
        <f ca="1">(SUM($CI735:$CM735)*VLOOKUP($B735,Lifetime_morbidity_array!$A$6:$Y$24,2))+(SUM($CN735:$CO735)*VLOOKUP($B735,Lifetime_morbidity_array!$A$6:$Y$24,4))+(SUM($CP735:$CQ735)*VLOOKUP($B735,Lifetime_morbidity_array!$A$6:$Y$24,3))</f>
        <v>54.224612324140615</v>
      </c>
      <c r="DJ735" s="316">
        <f ca="1">(SUM($CI735:$CM735)*VLOOKUP($B735,Lifetime_morbidity_array!$A$6:$Y$24,5))+(SUM($CN735:$CO735)*VLOOKUP($B735,Lifetime_morbidity_array!$A$6:$Y$24,7))+(SUM($CP735:$CQ735)*VLOOKUP($B735,Lifetime_morbidity_array!$A$6:$Y$24,6))</f>
        <v>36.011683618348229</v>
      </c>
      <c r="DK735" s="316">
        <f ca="1">(SUM($CI735:$CM735)*VLOOKUP($B735,Lifetime_morbidity_array!$A$6:$Y$24,8))+(SUM($CN735:$CO735)*VLOOKUP($B735,Lifetime_morbidity_array!$A$6:$Y$24,10))+(SUM($CP735:$CQ735)*VLOOKUP($B735,Lifetime_morbidity_array!$A$6:$Y$24,9))</f>
        <v>1.9767014911377525</v>
      </c>
      <c r="DL735" s="317">
        <f ca="1">(SUM($CI735:$CM735)*VLOOKUP($B735,Lifetime_morbidity_array!$A$6:$Y$24,11))+(SUM($CN735:$CO735)*VLOOKUP($B735,Lifetime_morbidity_array!$A$6:$Y$24,13))+(SUM($CP735:$CQ735)*VLOOKUP($B735,Lifetime_morbidity_array!$A$6:$Y$24,12))</f>
        <v>20.755930255491123</v>
      </c>
      <c r="DM735" s="309"/>
      <c r="DN735" s="308">
        <f t="shared" si="266"/>
        <v>69</v>
      </c>
      <c r="DO735" s="309">
        <f t="shared" ca="1" si="267"/>
        <v>76.499354794896689</v>
      </c>
      <c r="DP735" s="310">
        <f t="shared" ca="1" si="298"/>
        <v>22929.872107051891</v>
      </c>
      <c r="DQ735" s="309"/>
      <c r="DR735" s="308">
        <f t="shared" si="268"/>
        <v>69</v>
      </c>
      <c r="DS735" s="309">
        <f ca="1">((VLOOKUP($B735,'Mahawesran Tariff'!$A$21:$M$120,4)*'Experimental (DET)'!$CX735)+(VLOOKUP($B735,'Mahawesran Tariff'!$A$21:$M$120,3)*'Experimental (DET)'!$CY735)+(VLOOKUP($B735,'Mahawesran Tariff'!$A$21:$M$120,2)*'Experimental (DET)'!$CZ735)+(VLOOKUP($B735,'Mahawesran Tariff'!$A$21:$M$120,7)*'Experimental (DET)'!$DF735)+(VLOOKUP($B735,'Mahawesran Tariff'!$A$21:$M$120,6)*'Experimental (DET)'!$DG735)+(VLOOKUP($B735,'Mahawesran Tariff'!$A$21:$M$120,5)*'Experimental (DET)'!$DH735)+(DET_UTIL_chd*('Experimental (DET)'!$DA735+'Experimental (DET)'!$DI735))+(DET_UTIL_copd*('Experimental (DET)'!$DB735+'Experimental (DET)'!$DJ735))+(DET_UTIL_lc*('Experimental (DET)'!$DC735+'Experimental (DET)'!$DK735))+(DET_UTIL_stroke*('Experimental (DET)'!$DD735+'Experimental (DET)'!$DL735)))/((1+Discount_rate_QALYs)^$A735)</f>
        <v>65.609781227163111</v>
      </c>
      <c r="DT735" s="310">
        <f t="shared" ca="1" si="299"/>
        <v>22604.085798728229</v>
      </c>
      <c r="DU735" s="309"/>
      <c r="DV735" s="308">
        <f t="shared" si="269"/>
        <v>69</v>
      </c>
      <c r="DW735" s="318">
        <f t="shared" ca="1" si="270"/>
        <v>149714.40502909714</v>
      </c>
      <c r="DX735" s="319">
        <f t="shared" ca="1" si="300"/>
        <v>8236268.7279402297</v>
      </c>
      <c r="DZ735" s="95">
        <f t="shared" si="271"/>
        <v>69</v>
      </c>
      <c r="EA735" s="268">
        <f t="shared" ca="1" si="304"/>
        <v>0.82137580907217245</v>
      </c>
      <c r="EB735" s="268">
        <f t="shared" ca="1" si="218"/>
        <v>0.17862419092782733</v>
      </c>
      <c r="EC735" s="268">
        <f t="shared" ca="1" si="219"/>
        <v>0.29293466002425544</v>
      </c>
      <c r="ED735" s="290">
        <f t="shared" ca="1" si="220"/>
        <v>0.45642760924200521</v>
      </c>
      <c r="EF735" s="95">
        <f t="shared" si="272"/>
        <v>69</v>
      </c>
      <c r="EG735" s="339">
        <f t="shared" ca="1" si="273"/>
        <v>149714.40502909714</v>
      </c>
      <c r="EH735" s="341">
        <f t="shared" ca="1" si="301"/>
        <v>11338284.451903781</v>
      </c>
      <c r="EJ735" s="308">
        <f t="shared" si="274"/>
        <v>69</v>
      </c>
      <c r="EK735" s="318">
        <f t="shared" ca="1" si="275"/>
        <v>149714.40502909714</v>
      </c>
      <c r="EL735" s="319">
        <f t="shared" ca="1" si="302"/>
        <v>8233228.7279402288</v>
      </c>
      <c r="EN735" s="95">
        <f t="shared" si="276"/>
        <v>69</v>
      </c>
      <c r="EO735" s="339">
        <f t="shared" ca="1" si="277"/>
        <v>149714.40502909714</v>
      </c>
      <c r="EP735" s="341">
        <f t="shared" ca="1" si="303"/>
        <v>11338284.451903781</v>
      </c>
    </row>
    <row r="736" spans="1:146" s="266" customFormat="1" x14ac:dyDescent="0.25">
      <c r="A736" s="313">
        <v>70</v>
      </c>
      <c r="B736" s="314">
        <v>70</v>
      </c>
      <c r="C736" s="308">
        <f>VLOOKUP($B736,'Infant adult mortality'!$A$27:$I$128,3)</f>
        <v>5.5703949282893371E-3</v>
      </c>
      <c r="D736" s="309">
        <f t="shared" si="221"/>
        <v>0.27</v>
      </c>
      <c r="E736" s="309">
        <f>VLOOKUP($B736,'Infant pick up smoking rates'!$A$19:$I$104,3)</f>
        <v>0</v>
      </c>
      <c r="F736" s="309">
        <f t="shared" si="222"/>
        <v>0.10693712479347205</v>
      </c>
      <c r="G736" s="309">
        <f t="shared" si="223"/>
        <v>0.61749248027823855</v>
      </c>
      <c r="H736" s="309">
        <f>VLOOKUP($B736,'Infant adult mortality'!$A$27:$I$128,3)</f>
        <v>5.5703949282893371E-3</v>
      </c>
      <c r="I736" s="309">
        <f t="shared" si="224"/>
        <v>0.14000000000000001</v>
      </c>
      <c r="J736" s="309">
        <f>VLOOKUP($B736,'Infant pick up smoking rates'!$A$19:$I$104,2)</f>
        <v>0</v>
      </c>
      <c r="K736" s="309">
        <f t="shared" si="225"/>
        <v>0.10693712479347205</v>
      </c>
      <c r="L736" s="309">
        <f t="shared" si="226"/>
        <v>0.74749248027823856</v>
      </c>
      <c r="M736" s="309">
        <f>VLOOKUP($B736,'Infant adult mortality'!$A$27:$I$128,3)</f>
        <v>5.5703949282893371E-3</v>
      </c>
      <c r="N736" s="309">
        <f t="shared" si="227"/>
        <v>0.5714285714285714</v>
      </c>
      <c r="O736" s="309">
        <f>VLOOKUP($B736,'Infant pick up smoking rates'!$A$19:$I$104,2)</f>
        <v>0</v>
      </c>
      <c r="P736" s="309">
        <f t="shared" si="228"/>
        <v>8.7867404322756887E-2</v>
      </c>
      <c r="Q736" s="309">
        <f t="shared" si="229"/>
        <v>0.33513362932038243</v>
      </c>
      <c r="R736" s="309">
        <f>VLOOKUP($B736,'Infant adult mortality'!$A$27:$I$128,3)</f>
        <v>5.5703949282893371E-3</v>
      </c>
      <c r="S736" s="309">
        <f t="shared" si="230"/>
        <v>8.6261668788331098E-3</v>
      </c>
      <c r="T736" s="309">
        <f>VLOOKUP($B736,'Infant pick up smoking rates'!$A$19:$I$104,2)</f>
        <v>0</v>
      </c>
      <c r="U736" s="309">
        <f t="shared" si="231"/>
        <v>8.7867404322756887E-2</v>
      </c>
      <c r="V736" s="309">
        <f t="shared" si="232"/>
        <v>0.89793603387012066</v>
      </c>
      <c r="W736" s="309">
        <f>VLOOKUP($B736,'Infant adult mortality'!$A$27:$I$128,3)</f>
        <v>5.5703949282893371E-3</v>
      </c>
      <c r="X736" s="309">
        <f>VLOOKUP($B736,'Infant pick up smoking rates'!$A$19:$I$104,2)</f>
        <v>0</v>
      </c>
      <c r="Y736" s="309">
        <f t="shared" si="233"/>
        <v>0.99442960507171063</v>
      </c>
      <c r="Z736" s="309">
        <f>VLOOKUP($B736,'Infant adult mortality'!$A$27:$I$128,5)</f>
        <v>1.1046774752303749E-2</v>
      </c>
      <c r="AA736" s="309">
        <f t="shared" si="234"/>
        <v>0.25</v>
      </c>
      <c r="AB736" s="309">
        <f t="shared" si="235"/>
        <v>0.73895322524769624</v>
      </c>
      <c r="AC736" s="309">
        <f>VLOOKUP($B736,'Infant adult mortality'!$A$27:$I$128,5)</f>
        <v>1.1046774752303749E-2</v>
      </c>
      <c r="AD736" s="309">
        <f t="shared" si="236"/>
        <v>0.14000000000000001</v>
      </c>
      <c r="AE736" s="309">
        <f t="shared" si="237"/>
        <v>0.84895322524769623</v>
      </c>
      <c r="AF736" s="309">
        <f>VLOOKUP($B736,'Infant adult mortality'!$A$27:$I$128,4)</f>
        <v>7.4271932377191173E-3</v>
      </c>
      <c r="AG736" s="309">
        <f t="shared" si="238"/>
        <v>0.5714285714285714</v>
      </c>
      <c r="AH736" s="309">
        <f t="shared" si="239"/>
        <v>0.42114423533370948</v>
      </c>
      <c r="AI736" s="309">
        <f>VLOOKUP($B736,'Infant adult mortality'!$A$27:$I$128,4)</f>
        <v>7.4271932377191173E-3</v>
      </c>
      <c r="AJ736" s="309">
        <f t="shared" si="240"/>
        <v>8.6261668788331098E-3</v>
      </c>
      <c r="AK736" s="309">
        <f t="shared" si="241"/>
        <v>0.98394663988344777</v>
      </c>
      <c r="AL736" s="309"/>
      <c r="AM736" s="315">
        <f t="shared" si="278"/>
        <v>13.428961695480719</v>
      </c>
      <c r="AN736" s="316">
        <f t="shared" si="279"/>
        <v>4.1190031542508914</v>
      </c>
      <c r="AO736" s="316">
        <f t="shared" si="280"/>
        <v>0.6483290044005392</v>
      </c>
      <c r="AP736" s="316">
        <f t="shared" si="281"/>
        <v>32.200320974671513</v>
      </c>
      <c r="AQ736" s="316">
        <f t="shared" si="282"/>
        <v>103.71500051444224</v>
      </c>
      <c r="AR736" s="316">
        <f t="shared" si="283"/>
        <v>103.50490257847659</v>
      </c>
      <c r="AS736" s="316">
        <f t="shared" si="284"/>
        <v>26.394252832537479</v>
      </c>
      <c r="AT736" s="316">
        <f t="shared" si="285"/>
        <v>3.7662770375577179</v>
      </c>
      <c r="AU736" s="316">
        <f t="shared" si="286"/>
        <v>120.18758714316488</v>
      </c>
      <c r="AV736" s="316">
        <f t="shared" si="287"/>
        <v>102.03536506501707</v>
      </c>
      <c r="AW736" s="317">
        <f t="shared" si="242"/>
        <v>509.99999999999955</v>
      </c>
      <c r="AX736" s="309"/>
      <c r="AY736" s="308">
        <f>VLOOKUP($B736,'Infant adult mortality'!$A$134:$I$234,3)</f>
        <v>3.8187985865724386E-3</v>
      </c>
      <c r="AZ736" s="309">
        <f t="shared" si="243"/>
        <v>0.27</v>
      </c>
      <c r="BA736" s="309">
        <f ca="1">VLOOKUP($B736,'Infant pick up smoking rates'!$A$19:$I$104,7)</f>
        <v>0</v>
      </c>
      <c r="BB736" s="309">
        <f t="shared" si="244"/>
        <v>0.10693712479347205</v>
      </c>
      <c r="BC736" s="309">
        <f t="shared" ca="1" si="245"/>
        <v>0.61924407661995551</v>
      </c>
      <c r="BD736" s="309">
        <f>VLOOKUP($B736,'Infant adult mortality'!$A$134:$I$234,3)</f>
        <v>3.8187985865724386E-3</v>
      </c>
      <c r="BE736" s="309">
        <f t="shared" si="246"/>
        <v>0.14000000000000001</v>
      </c>
      <c r="BF736" s="309">
        <f>VLOOKUP($B736,'Infant pick up smoking rates'!$A$19:$I$104,6)</f>
        <v>0</v>
      </c>
      <c r="BG736" s="309">
        <f t="shared" si="247"/>
        <v>0.10693712479347205</v>
      </c>
      <c r="BH736" s="309">
        <f t="shared" si="248"/>
        <v>0.74924407661995551</v>
      </c>
      <c r="BI736" s="309">
        <f>VLOOKUP($B736,'Infant adult mortality'!$A$134:$I$234,3)</f>
        <v>3.8187985865724386E-3</v>
      </c>
      <c r="BJ736" s="309">
        <f t="shared" si="249"/>
        <v>0.5714285714285714</v>
      </c>
      <c r="BK736" s="309">
        <f>VLOOKUP($B736,'Infant pick up smoking rates'!$A$19:$I$104,6)</f>
        <v>0</v>
      </c>
      <c r="BL736" s="309">
        <f t="shared" si="250"/>
        <v>8.7867404322756887E-2</v>
      </c>
      <c r="BM736" s="309">
        <f t="shared" si="251"/>
        <v>0.33688522566209933</v>
      </c>
      <c r="BN736" s="309">
        <f>VLOOKUP($B736,'Infant adult mortality'!$A$134:$I$234,3)</f>
        <v>3.8187985865724386E-3</v>
      </c>
      <c r="BO736" s="309">
        <f t="shared" si="252"/>
        <v>8.6261668788331098E-3</v>
      </c>
      <c r="BP736" s="309">
        <f>VLOOKUP($B736,'Infant pick up smoking rates'!$A$19:$I$104,6)</f>
        <v>0</v>
      </c>
      <c r="BQ736" s="309">
        <f t="shared" si="253"/>
        <v>8.7867404322756887E-2</v>
      </c>
      <c r="BR736" s="309">
        <f t="shared" si="254"/>
        <v>0.89968763021183762</v>
      </c>
      <c r="BS736" s="309">
        <f>VLOOKUP($B736,'Infant adult mortality'!$A$134:$I$234,3)</f>
        <v>3.8187985865724386E-3</v>
      </c>
      <c r="BT736" s="309">
        <f>VLOOKUP($B736,'Infant pick up smoking rates'!$A$19:$I$104,6)</f>
        <v>0</v>
      </c>
      <c r="BU736" s="309">
        <f t="shared" si="255"/>
        <v>0.99618120141342759</v>
      </c>
      <c r="BV736" s="309">
        <f>VLOOKUP($B736,'Infant adult mortality'!$A$134:$I$234,5)</f>
        <v>7.5731448763250893E-3</v>
      </c>
      <c r="BW736" s="309">
        <f t="shared" si="256"/>
        <v>0.27</v>
      </c>
      <c r="BX736" s="309">
        <f t="shared" si="257"/>
        <v>0.72242685512367488</v>
      </c>
      <c r="BY736" s="309">
        <f>VLOOKUP($B736,'Infant adult mortality'!$A$134:$I$234,5)</f>
        <v>7.5731448763250893E-3</v>
      </c>
      <c r="BZ736" s="309">
        <f t="shared" si="258"/>
        <v>0.14000000000000001</v>
      </c>
      <c r="CA736" s="309">
        <f t="shared" si="259"/>
        <v>0.85242685512367489</v>
      </c>
      <c r="CB736" s="309">
        <f>VLOOKUP($B736,'Infant adult mortality'!$A$134:$I$234,4)</f>
        <v>5.0917314487632518E-3</v>
      </c>
      <c r="CC736" s="309">
        <f t="shared" si="260"/>
        <v>0.5714285714285714</v>
      </c>
      <c r="CD736" s="309">
        <f t="shared" si="261"/>
        <v>0.42347969712266537</v>
      </c>
      <c r="CE736" s="309">
        <f>VLOOKUP($B736,'Infant adult mortality'!$A$134:$I$234,4)</f>
        <v>5.0917314487632518E-3</v>
      </c>
      <c r="CF736" s="309">
        <f t="shared" si="262"/>
        <v>8.6261668788331098E-3</v>
      </c>
      <c r="CG736" s="309">
        <f t="shared" si="263"/>
        <v>0.9862821016724036</v>
      </c>
      <c r="CH736" s="309"/>
      <c r="CI736" s="315">
        <f t="shared" ca="1" si="288"/>
        <v>18.355681882877381</v>
      </c>
      <c r="CJ736" s="316">
        <f t="shared" ca="1" si="289"/>
        <v>5.6193882023604402</v>
      </c>
      <c r="CK736" s="316">
        <f t="shared" ca="1" si="290"/>
        <v>0.88296082483106442</v>
      </c>
      <c r="CL736" s="316">
        <f t="shared" ca="1" si="291"/>
        <v>43.5025305960514</v>
      </c>
      <c r="CM736" s="316">
        <f t="shared" ca="1" si="292"/>
        <v>140.81090586657544</v>
      </c>
      <c r="CN736" s="316">
        <f t="shared" ca="1" si="293"/>
        <v>78.080336209935254</v>
      </c>
      <c r="CO736" s="316">
        <f t="shared" ca="1" si="294"/>
        <v>21.439190907939647</v>
      </c>
      <c r="CP736" s="316">
        <f t="shared" ca="1" si="295"/>
        <v>3.0509514379922114</v>
      </c>
      <c r="CQ736" s="316">
        <f t="shared" ca="1" si="296"/>
        <v>96.351045810718475</v>
      </c>
      <c r="CR736" s="316">
        <f t="shared" ca="1" si="297"/>
        <v>81.907008260718868</v>
      </c>
      <c r="CS736" s="317">
        <f t="shared" ca="1" si="264"/>
        <v>490.00000000000023</v>
      </c>
      <c r="CT736" s="309"/>
      <c r="CU736" s="309">
        <f t="shared" ca="1" si="265"/>
        <v>999.99999999999977</v>
      </c>
      <c r="CV736" s="309" t="str">
        <f t="shared" ca="1" si="216"/>
        <v>OKAY</v>
      </c>
      <c r="CW736" s="309"/>
      <c r="CX736" s="315">
        <f>(SUM($AR736:$AS736))-((SUM($AR736:$AS736)*VLOOKUP($B736,Lifetime_morbidity_array!$A$30:$Y$48,4))+(SUM($AR736:$AS736)*VLOOKUP($B736,Lifetime_morbidity_array!$A$30:$Y$48,7))+(SUM($AR736:$AS736)*VLOOKUP($B736,Lifetime_morbidity_array!$A$30:$Y$48,10))+(SUM($AR736:$AS736)*VLOOKUP($B736,Lifetime_morbidity_array!$A$30:$Y$48,13)))</f>
        <v>18.887601575002478</v>
      </c>
      <c r="CY736" s="316">
        <f>(SUM($AT736:$AU736))-((SUM($AT736:$AU736)*(VLOOKUP($B736,Lifetime_morbidity_array!$A$30:$Y$48,3)))+(SUM($AT736:$AU736)*(VLOOKUP($B736,Lifetime_morbidity_array!$A$30:$Y$48,6)))+(SUM($AT736:$AU736)*(VLOOKUP($B736,Lifetime_morbidity_array!$A$30:$Y$48,9)))+(SUM($AT736:$AU736)*(VLOOKUP($B736,Lifetime_morbidity_array!$A$30:$Y$48,12))))</f>
        <v>75.940529396599771</v>
      </c>
      <c r="CZ736" s="316">
        <f>(SUM($AM736:$AQ736))-((SUM($AM736:$AQ736)*VLOOKUP($B736,Lifetime_morbidity_array!$A$30:$Y$48,2))+(SUM($AM736:$AQ736)*VLOOKUP($B736,Lifetime_morbidity_array!$A$30:$Y$48,5))+(SUM($AM736:$AQ736)*VLOOKUP($B736,Lifetime_morbidity_array!$A$30:$Y$48,8))+(SUM($AM736:$AQ736)*VLOOKUP($B736,Lifetime_morbidity_array!$A$30:$Y$48,11)))</f>
        <v>121.67071241541943</v>
      </c>
      <c r="DA736" s="316">
        <f>(SUM($AM736:$AQ736)*VLOOKUP($B736,Lifetime_morbidity_array!$A$30:$Y$48,2))+(SUM($AR736:$AS736)*VLOOKUP($B736,Lifetime_morbidity_array!$A$30:$Y$48,4))+(SUM($AT736:$AU736)*(VLOOKUP($B736,Lifetime_morbidity_array!$A$30:$Y$48,3)))</f>
        <v>100.54481098054299</v>
      </c>
      <c r="DB736" s="316">
        <f>(SUM($AM736:$AQ736)*VLOOKUP($B736,Lifetime_morbidity_array!$A$30:$Y$48,5))+(SUM($AR736:$AS736)*VLOOKUP($B736,Lifetime_morbidity_array!$A$30:$Y$48,7))+(SUM($AT736:$AU736)*(VLOOKUP($B736,Lifetime_morbidity_array!$A$30:$Y$48,6)))</f>
        <v>52.045770401560596</v>
      </c>
      <c r="DC736" s="316">
        <f>(SUM($AM736:$AQ736)*VLOOKUP($B736,Lifetime_morbidity_array!$A$30:$Y$48,8))+(SUM($AR736:$AS736)*VLOOKUP($B736,Lifetime_morbidity_array!$A$30:$Y$48,10))+(SUM($AT736:$AU736)*(VLOOKUP($B736,Lifetime_morbidity_array!$A$30:$Y$48,9)))</f>
        <v>5.2637942100796042</v>
      </c>
      <c r="DD736" s="317">
        <f>(SUM($AM736:$AQ736)*VLOOKUP($B736,Lifetime_morbidity_array!$A$30:$Y$48,11))+(SUM($AR736:$AS736)*VLOOKUP($B736,Lifetime_morbidity_array!$A$30:$Y$48,13))+(SUM($AT736:$AU736)*(VLOOKUP($B736,Lifetime_morbidity_array!$A$30:$Y$48,12)))</f>
        <v>33.611415955777687</v>
      </c>
      <c r="DE736" s="309"/>
      <c r="DF736" s="315">
        <f ca="1">(SUM($CN736:$CO736))-((SUM($CN736:$CO736)*VLOOKUP($B736,Lifetime_morbidity_array!$A$6:$Y$24,4))+(SUM($CN736:$CO736)*VLOOKUP($B736,Lifetime_morbidity_array!$A$6:$Y$24,7))+(SUM($CN736:$CO736)*VLOOKUP($B736,Lifetime_morbidity_array!$A$6:$Y$24,10))+(SUM($CN736:$CO736)*VLOOKUP($B736,Lifetime_morbidity_array!$A$6:$Y$24,13)))</f>
        <v>34.588610837332553</v>
      </c>
      <c r="DG736" s="316">
        <f ca="1">(SUM($CP736:$CQ736))-(((SUM($CP736:$CQ736)*VLOOKUP($B736,Lifetime_morbidity_array!$A$6:$Y$24,3))+(SUM($CP736:$CQ736)*VLOOKUP($B736,Lifetime_morbidity_array!$A$6:$Y$24,6))+(SUM($CP736:$CQ736)*VLOOKUP($B736,Lifetime_morbidity_array!$A$6:$Y$24,9))+(SUM($CP736:$CQ736)*VLOOKUP($B736,Lifetime_morbidity_array!$A$6:$Y$24,12))))</f>
        <v>70.394840780467959</v>
      </c>
      <c r="DH736" s="316">
        <f ca="1">(SUM($CI736:$CM736))-((SUM($CI736:$CM736)*VLOOKUP($B736,Lifetime_morbidity_array!$A$6:$Y$24,2))+(SUM($CI736:$CM736)*VLOOKUP($B736,Lifetime_morbidity_array!$A$6:$Y$24,5))+(SUM($CI736:$CM736)*VLOOKUP($B736,Lifetime_morbidity_array!$A$6:$Y$24,8))+(SUM($CI736:$CM736)*VLOOKUP($B736,Lifetime_morbidity_array!$A$6:$Y$24,11)))</f>
        <v>183.4892776370209</v>
      </c>
      <c r="DI736" s="316">
        <f ca="1">(SUM($CI736:$CM736)*VLOOKUP($B736,Lifetime_morbidity_array!$A$6:$Y$24,2))+(SUM($CN736:$CO736)*VLOOKUP($B736,Lifetime_morbidity_array!$A$6:$Y$24,4))+(SUM($CP736:$CQ736)*VLOOKUP($B736,Lifetime_morbidity_array!$A$6:$Y$24,3))</f>
        <v>53.672381406954045</v>
      </c>
      <c r="DJ736" s="316">
        <f ca="1">(SUM($CI736:$CM736)*VLOOKUP($B736,Lifetime_morbidity_array!$A$6:$Y$24,5))+(SUM($CN736:$CO736)*VLOOKUP($B736,Lifetime_morbidity_array!$A$6:$Y$24,7))+(SUM($CP736:$CQ736)*VLOOKUP($B736,Lifetime_morbidity_array!$A$6:$Y$24,6))</f>
        <v>43.401334970204381</v>
      </c>
      <c r="DK736" s="316">
        <f ca="1">(SUM($CI736:$CM736)*VLOOKUP($B736,Lifetime_morbidity_array!$A$6:$Y$24,8))+(SUM($CN736:$CO736)*VLOOKUP($B736,Lifetime_morbidity_array!$A$6:$Y$24,10))+(SUM($CP736:$CQ736)*VLOOKUP($B736,Lifetime_morbidity_array!$A$6:$Y$24,9))</f>
        <v>1.9516960199409084</v>
      </c>
      <c r="DL736" s="317">
        <f ca="1">(SUM($CI736:$CM736)*VLOOKUP($B736,Lifetime_morbidity_array!$A$6:$Y$24,11))+(SUM($CN736:$CO736)*VLOOKUP($B736,Lifetime_morbidity_array!$A$6:$Y$24,13))+(SUM($CP736:$CQ736)*VLOOKUP($B736,Lifetime_morbidity_array!$A$6:$Y$24,12))</f>
        <v>20.594850087360577</v>
      </c>
      <c r="DM736" s="309"/>
      <c r="DN736" s="308">
        <f t="shared" si="266"/>
        <v>70</v>
      </c>
      <c r="DO736" s="309">
        <f t="shared" ca="1" si="267"/>
        <v>73.433857505381994</v>
      </c>
      <c r="DP736" s="310">
        <f t="shared" ca="1" si="298"/>
        <v>23003.305964557272</v>
      </c>
      <c r="DQ736" s="309"/>
      <c r="DR736" s="308">
        <f t="shared" si="268"/>
        <v>70</v>
      </c>
      <c r="DS736" s="309">
        <f ca="1">((VLOOKUP($B736,'Mahawesran Tariff'!$A$21:$M$120,4)*'Experimental (DET)'!$CX736)+(VLOOKUP($B736,'Mahawesran Tariff'!$A$21:$M$120,3)*'Experimental (DET)'!$CY736)+(VLOOKUP($B736,'Mahawesran Tariff'!$A$21:$M$120,2)*'Experimental (DET)'!$CZ736)+(VLOOKUP($B736,'Mahawesran Tariff'!$A$21:$M$120,7)*'Experimental (DET)'!$DF736)+(VLOOKUP($B736,'Mahawesran Tariff'!$A$21:$M$120,6)*'Experimental (DET)'!$DG736)+(VLOOKUP($B736,'Mahawesran Tariff'!$A$21:$M$120,5)*'Experimental (DET)'!$DH736)+(DET_UTIL_chd*('Experimental (DET)'!$DA736+'Experimental (DET)'!$DI736))+(DET_UTIL_copd*('Experimental (DET)'!$DB736+'Experimental (DET)'!$DJ736))+(DET_UTIL_lc*('Experimental (DET)'!$DC736+'Experimental (DET)'!$DK736))+(DET_UTIL_stroke*('Experimental (DET)'!$DD736+'Experimental (DET)'!$DL736)))/((1+Discount_rate_QALYs)^$A736)</f>
        <v>62.658772213634407</v>
      </c>
      <c r="DT736" s="310">
        <f t="shared" ca="1" si="299"/>
        <v>22666.744570941864</v>
      </c>
      <c r="DU736" s="309"/>
      <c r="DV736" s="308">
        <f t="shared" si="269"/>
        <v>70</v>
      </c>
      <c r="DW736" s="318">
        <f t="shared" ca="1" si="270"/>
        <v>144935.25019216587</v>
      </c>
      <c r="DX736" s="319">
        <f t="shared" ca="1" si="300"/>
        <v>8381203.978132396</v>
      </c>
      <c r="DZ736" s="95">
        <f t="shared" si="271"/>
        <v>70</v>
      </c>
      <c r="EA736" s="268">
        <f t="shared" ca="1" si="304"/>
        <v>0.81605762667426385</v>
      </c>
      <c r="EB736" s="268">
        <f t="shared" ca="1" si="218"/>
        <v>0.18394237332573596</v>
      </c>
      <c r="EC736" s="268">
        <f t="shared" ca="1" si="219"/>
        <v>0.31108605403242073</v>
      </c>
      <c r="ED736" s="290">
        <f t="shared" ca="1" si="220"/>
        <v>0.45277454395832228</v>
      </c>
      <c r="EF736" s="95">
        <f t="shared" si="272"/>
        <v>70</v>
      </c>
      <c r="EG736" s="339">
        <f t="shared" ca="1" si="273"/>
        <v>144935.25019216587</v>
      </c>
      <c r="EH736" s="341">
        <f t="shared" ca="1" si="301"/>
        <v>11483219.702095946</v>
      </c>
      <c r="EJ736" s="308">
        <f t="shared" si="274"/>
        <v>70</v>
      </c>
      <c r="EK736" s="318">
        <f t="shared" ca="1" si="275"/>
        <v>144935.25019216587</v>
      </c>
      <c r="EL736" s="319">
        <f t="shared" ca="1" si="302"/>
        <v>8378163.9781323951</v>
      </c>
      <c r="EN736" s="95">
        <f t="shared" si="276"/>
        <v>70</v>
      </c>
      <c r="EO736" s="339">
        <f t="shared" ca="1" si="277"/>
        <v>144935.25019216587</v>
      </c>
      <c r="EP736" s="341">
        <f t="shared" ca="1" si="303"/>
        <v>11483219.702095946</v>
      </c>
    </row>
    <row r="737" spans="1:146" s="266" customFormat="1" x14ac:dyDescent="0.25">
      <c r="A737" s="313">
        <v>71</v>
      </c>
      <c r="B737" s="314">
        <v>71</v>
      </c>
      <c r="C737" s="308">
        <f>VLOOKUP($B737,'Infant adult mortality'!$A$27:$I$128,3)</f>
        <v>6.0274651839534402E-3</v>
      </c>
      <c r="D737" s="309">
        <f t="shared" si="221"/>
        <v>0.27</v>
      </c>
      <c r="E737" s="309">
        <f>VLOOKUP($B737,'Infant pick up smoking rates'!$A$19:$I$104,3)</f>
        <v>0</v>
      </c>
      <c r="F737" s="309">
        <f t="shared" si="222"/>
        <v>0.1158972837778602</v>
      </c>
      <c r="G737" s="309">
        <f t="shared" si="223"/>
        <v>0.60807525103818627</v>
      </c>
      <c r="H737" s="309">
        <f>VLOOKUP($B737,'Infant adult mortality'!$A$27:$I$128,3)</f>
        <v>6.0274651839534402E-3</v>
      </c>
      <c r="I737" s="309">
        <f t="shared" si="224"/>
        <v>0.14000000000000001</v>
      </c>
      <c r="J737" s="309">
        <f>VLOOKUP($B737,'Infant pick up smoking rates'!$A$19:$I$104,2)</f>
        <v>0</v>
      </c>
      <c r="K737" s="309">
        <f t="shared" si="225"/>
        <v>0.1158972837778602</v>
      </c>
      <c r="L737" s="309">
        <f t="shared" si="226"/>
        <v>0.73807525103818628</v>
      </c>
      <c r="M737" s="309">
        <f>VLOOKUP($B737,'Infant adult mortality'!$A$27:$I$128,3)</f>
        <v>6.0274651839534402E-3</v>
      </c>
      <c r="N737" s="309">
        <f t="shared" si="227"/>
        <v>0.5714285714285714</v>
      </c>
      <c r="O737" s="309">
        <f>VLOOKUP($B737,'Infant pick up smoking rates'!$A$19:$I$104,2)</f>
        <v>0</v>
      </c>
      <c r="P737" s="309">
        <f t="shared" si="228"/>
        <v>9.5229729743399535E-2</v>
      </c>
      <c r="Q737" s="309">
        <f t="shared" si="229"/>
        <v>0.32731423364407569</v>
      </c>
      <c r="R737" s="309">
        <f>VLOOKUP($B737,'Infant adult mortality'!$A$27:$I$128,3)</f>
        <v>6.0274651839534402E-3</v>
      </c>
      <c r="S737" s="309">
        <f t="shared" si="230"/>
        <v>8.6261668788331098E-3</v>
      </c>
      <c r="T737" s="309">
        <f>VLOOKUP($B737,'Infant pick up smoking rates'!$A$19:$I$104,2)</f>
        <v>0</v>
      </c>
      <c r="U737" s="309">
        <f t="shared" si="231"/>
        <v>9.5229729743399535E-2</v>
      </c>
      <c r="V737" s="309">
        <f t="shared" si="232"/>
        <v>0.89011663819381392</v>
      </c>
      <c r="W737" s="309">
        <f>VLOOKUP($B737,'Infant adult mortality'!$A$27:$I$128,3)</f>
        <v>6.0274651839534402E-3</v>
      </c>
      <c r="X737" s="309">
        <f>VLOOKUP($B737,'Infant pick up smoking rates'!$A$19:$I$104,2)</f>
        <v>0</v>
      </c>
      <c r="Y737" s="309">
        <f t="shared" si="233"/>
        <v>0.99397253481604653</v>
      </c>
      <c r="Z737" s="309">
        <f>VLOOKUP($B737,'Infant adult mortality'!$A$27:$I$128,5)</f>
        <v>1.1953200997713574E-2</v>
      </c>
      <c r="AA737" s="309">
        <f t="shared" si="234"/>
        <v>0.25</v>
      </c>
      <c r="AB737" s="309">
        <f t="shared" si="235"/>
        <v>0.73804679900228642</v>
      </c>
      <c r="AC737" s="309">
        <f>VLOOKUP($B737,'Infant adult mortality'!$A$27:$I$128,5)</f>
        <v>1.1953200997713574E-2</v>
      </c>
      <c r="AD737" s="309">
        <f t="shared" si="236"/>
        <v>0.14000000000000001</v>
      </c>
      <c r="AE737" s="309">
        <f t="shared" si="237"/>
        <v>0.84804679900228641</v>
      </c>
      <c r="AF737" s="309">
        <f>VLOOKUP($B737,'Infant adult mortality'!$A$27:$I$128,4)</f>
        <v>8.0366202452712542E-3</v>
      </c>
      <c r="AG737" s="309">
        <f t="shared" si="238"/>
        <v>0.5714285714285714</v>
      </c>
      <c r="AH737" s="309">
        <f t="shared" si="239"/>
        <v>0.42053480832615736</v>
      </c>
      <c r="AI737" s="309">
        <f>VLOOKUP($B737,'Infant adult mortality'!$A$27:$I$128,4)</f>
        <v>8.0366202452712542E-3</v>
      </c>
      <c r="AJ737" s="309">
        <f t="shared" si="240"/>
        <v>8.6261668788331098E-3</v>
      </c>
      <c r="AK737" s="309">
        <f t="shared" si="241"/>
        <v>0.98333721287589559</v>
      </c>
      <c r="AL737" s="309"/>
      <c r="AM737" s="315">
        <f t="shared" si="278"/>
        <v>11.695926194766528</v>
      </c>
      <c r="AN737" s="316">
        <f t="shared" si="279"/>
        <v>3.6258196577797945</v>
      </c>
      <c r="AO737" s="316">
        <f t="shared" si="280"/>
        <v>0.57666044159512486</v>
      </c>
      <c r="AP737" s="316">
        <f t="shared" si="281"/>
        <v>29.032515171536669</v>
      </c>
      <c r="AQ737" s="316">
        <f t="shared" si="282"/>
        <v>108.25179148164355</v>
      </c>
      <c r="AR737" s="316">
        <f t="shared" si="283"/>
        <v>101.39563243133236</v>
      </c>
      <c r="AS737" s="316">
        <f t="shared" si="284"/>
        <v>25.876225644619147</v>
      </c>
      <c r="AT737" s="316">
        <f t="shared" si="285"/>
        <v>3.6951953965552473</v>
      </c>
      <c r="AU737" s="316">
        <f t="shared" si="286"/>
        <v>120.33708527081441</v>
      </c>
      <c r="AV737" s="316">
        <f t="shared" si="287"/>
        <v>105.51314830935679</v>
      </c>
      <c r="AW737" s="317">
        <f t="shared" si="242"/>
        <v>509.99999999999955</v>
      </c>
      <c r="AX737" s="309"/>
      <c r="AY737" s="308">
        <f>VLOOKUP($B737,'Infant adult mortality'!$A$134:$I$234,3)</f>
        <v>4.1367033880690086E-3</v>
      </c>
      <c r="AZ737" s="309">
        <f t="shared" si="243"/>
        <v>0.27</v>
      </c>
      <c r="BA737" s="309">
        <f ca="1">VLOOKUP($B737,'Infant pick up smoking rates'!$A$19:$I$104,7)</f>
        <v>0</v>
      </c>
      <c r="BB737" s="309">
        <f t="shared" si="244"/>
        <v>0.1158972837778602</v>
      </c>
      <c r="BC737" s="309">
        <f t="shared" ca="1" si="245"/>
        <v>0.6099660128340707</v>
      </c>
      <c r="BD737" s="309">
        <f>VLOOKUP($B737,'Infant adult mortality'!$A$134:$I$234,3)</f>
        <v>4.1367033880690086E-3</v>
      </c>
      <c r="BE737" s="309">
        <f t="shared" si="246"/>
        <v>0.14000000000000001</v>
      </c>
      <c r="BF737" s="309">
        <f>VLOOKUP($B737,'Infant pick up smoking rates'!$A$19:$I$104,6)</f>
        <v>0</v>
      </c>
      <c r="BG737" s="309">
        <f t="shared" si="247"/>
        <v>0.1158972837778602</v>
      </c>
      <c r="BH737" s="309">
        <f t="shared" si="248"/>
        <v>0.73996601283407071</v>
      </c>
      <c r="BI737" s="309">
        <f>VLOOKUP($B737,'Infant adult mortality'!$A$134:$I$234,3)</f>
        <v>4.1367033880690086E-3</v>
      </c>
      <c r="BJ737" s="309">
        <f t="shared" si="249"/>
        <v>0.5714285714285714</v>
      </c>
      <c r="BK737" s="309">
        <f>VLOOKUP($B737,'Infant pick up smoking rates'!$A$19:$I$104,6)</f>
        <v>0</v>
      </c>
      <c r="BL737" s="309">
        <f t="shared" si="250"/>
        <v>9.5229729743399535E-2</v>
      </c>
      <c r="BM737" s="309">
        <f t="shared" si="251"/>
        <v>0.32920499543996012</v>
      </c>
      <c r="BN737" s="309">
        <f>VLOOKUP($B737,'Infant adult mortality'!$A$134:$I$234,3)</f>
        <v>4.1367033880690086E-3</v>
      </c>
      <c r="BO737" s="309">
        <f t="shared" si="252"/>
        <v>8.6261668788331098E-3</v>
      </c>
      <c r="BP737" s="309">
        <f>VLOOKUP($B737,'Infant pick up smoking rates'!$A$19:$I$104,6)</f>
        <v>0</v>
      </c>
      <c r="BQ737" s="309">
        <f t="shared" si="253"/>
        <v>9.5229729743399535E-2</v>
      </c>
      <c r="BR737" s="309">
        <f t="shared" si="254"/>
        <v>0.89200739998969836</v>
      </c>
      <c r="BS737" s="309">
        <f>VLOOKUP($B737,'Infant adult mortality'!$A$134:$I$234,3)</f>
        <v>4.1367033880690086E-3</v>
      </c>
      <c r="BT737" s="309">
        <f>VLOOKUP($B737,'Infant pick up smoking rates'!$A$19:$I$104,6)</f>
        <v>0</v>
      </c>
      <c r="BU737" s="309">
        <f t="shared" si="255"/>
        <v>0.99586329661193096</v>
      </c>
      <c r="BV737" s="309">
        <f>VLOOKUP($B737,'Infant adult mortality'!$A$134:$I$234,5)</f>
        <v>8.2035889974364298E-3</v>
      </c>
      <c r="BW737" s="309">
        <f t="shared" si="256"/>
        <v>0.27</v>
      </c>
      <c r="BX737" s="309">
        <f t="shared" si="257"/>
        <v>0.72179641100256353</v>
      </c>
      <c r="BY737" s="309">
        <f>VLOOKUP($B737,'Infant adult mortality'!$A$134:$I$234,5)</f>
        <v>8.2035889974364298E-3</v>
      </c>
      <c r="BZ737" s="309">
        <f t="shared" si="258"/>
        <v>0.14000000000000001</v>
      </c>
      <c r="CA737" s="309">
        <f t="shared" si="259"/>
        <v>0.85179641100256354</v>
      </c>
      <c r="CB737" s="309">
        <f>VLOOKUP($B737,'Infant adult mortality'!$A$134:$I$234,4)</f>
        <v>5.5156045174253451E-3</v>
      </c>
      <c r="CC737" s="309">
        <f t="shared" si="260"/>
        <v>0.5714285714285714</v>
      </c>
      <c r="CD737" s="309">
        <f t="shared" si="261"/>
        <v>0.42305582405400327</v>
      </c>
      <c r="CE737" s="309">
        <f>VLOOKUP($B737,'Infant adult mortality'!$A$134:$I$234,4)</f>
        <v>5.5156045174253451E-3</v>
      </c>
      <c r="CF737" s="309">
        <f t="shared" si="262"/>
        <v>8.6261668788331098E-3</v>
      </c>
      <c r="CG737" s="309">
        <f t="shared" si="263"/>
        <v>0.9858582286037415</v>
      </c>
      <c r="CH737" s="309"/>
      <c r="CI737" s="315">
        <f t="shared" ca="1" si="288"/>
        <v>16.020433576502032</v>
      </c>
      <c r="CJ737" s="316">
        <f t="shared" ca="1" si="289"/>
        <v>4.9560341083768931</v>
      </c>
      <c r="CK737" s="316">
        <f t="shared" ca="1" si="290"/>
        <v>0.78671434833046172</v>
      </c>
      <c r="CL737" s="316">
        <f t="shared" ca="1" si="291"/>
        <v>39.309128252716718</v>
      </c>
      <c r="CM737" s="316">
        <f t="shared" ca="1" si="292"/>
        <v>147.2338767690016</v>
      </c>
      <c r="CN737" s="316">
        <f t="shared" ca="1" si="293"/>
        <v>76.741795291248451</v>
      </c>
      <c r="CO737" s="316">
        <f t="shared" ca="1" si="294"/>
        <v>21.081690776682521</v>
      </c>
      <c r="CP737" s="316">
        <f t="shared" ca="1" si="295"/>
        <v>3.0014867271115508</v>
      </c>
      <c r="CQ737" s="316">
        <f t="shared" ca="1" si="296"/>
        <v>96.731872168782701</v>
      </c>
      <c r="CR737" s="316">
        <f t="shared" ca="1" si="297"/>
        <v>84.136967981247238</v>
      </c>
      <c r="CS737" s="317">
        <f t="shared" ca="1" si="264"/>
        <v>490.00000000000023</v>
      </c>
      <c r="CT737" s="309"/>
      <c r="CU737" s="309">
        <f t="shared" ca="1" si="265"/>
        <v>999.99999999999977</v>
      </c>
      <c r="CV737" s="309" t="str">
        <f t="shared" ca="1" si="216"/>
        <v>OKAY</v>
      </c>
      <c r="CW737" s="309"/>
      <c r="CX737" s="315">
        <f>(SUM($AR737:$AS737))-((SUM($AR737:$AS737)*VLOOKUP($B737,Lifetime_morbidity_array!$A$30:$Y$48,4))+(SUM($AR737:$AS737)*VLOOKUP($B737,Lifetime_morbidity_array!$A$30:$Y$48,7))+(SUM($AR737:$AS737)*VLOOKUP($B737,Lifetime_morbidity_array!$A$30:$Y$48,10))+(SUM($AR737:$AS737)*VLOOKUP($B737,Lifetime_morbidity_array!$A$30:$Y$48,13)))</f>
        <v>18.505587195257547</v>
      </c>
      <c r="CY737" s="316">
        <f>(SUM($AT737:$AU737))-((SUM($AT737:$AU737)*(VLOOKUP($B737,Lifetime_morbidity_array!$A$30:$Y$48,3)))+(SUM($AT737:$AU737)*(VLOOKUP($B737,Lifetime_morbidity_array!$A$30:$Y$48,6)))+(SUM($AT737:$AU737)*(VLOOKUP($B737,Lifetime_morbidity_array!$A$30:$Y$48,9)))+(SUM($AT737:$AU737)*(VLOOKUP($B737,Lifetime_morbidity_array!$A$30:$Y$48,12))))</f>
        <v>75.988571380193889</v>
      </c>
      <c r="CZ737" s="316">
        <f>(SUM($AM737:$AQ737))-((SUM($AM737:$AQ737)*VLOOKUP($B737,Lifetime_morbidity_array!$A$30:$Y$48,2))+(SUM($AM737:$AQ737)*VLOOKUP($B737,Lifetime_morbidity_array!$A$30:$Y$48,5))+(SUM($AM737:$AQ737)*VLOOKUP($B737,Lifetime_morbidity_array!$A$30:$Y$48,8))+(SUM($AM737:$AQ737)*VLOOKUP($B737,Lifetime_morbidity_array!$A$30:$Y$48,11)))</f>
        <v>120.9373464324287</v>
      </c>
      <c r="DA737" s="316">
        <f>(SUM($AM737:$AQ737)*VLOOKUP($B737,Lifetime_morbidity_array!$A$30:$Y$48,2))+(SUM($AR737:$AS737)*VLOOKUP($B737,Lifetime_morbidity_array!$A$30:$Y$48,4))+(SUM($AT737:$AU737)*(VLOOKUP($B737,Lifetime_morbidity_array!$A$30:$Y$48,3)))</f>
        <v>99.40148549660654</v>
      </c>
      <c r="DB737" s="316">
        <f>(SUM($AM737:$AQ737)*VLOOKUP($B737,Lifetime_morbidity_array!$A$30:$Y$48,5))+(SUM($AR737:$AS737)*VLOOKUP($B737,Lifetime_morbidity_array!$A$30:$Y$48,7))+(SUM($AT737:$AU737)*(VLOOKUP($B737,Lifetime_morbidity_array!$A$30:$Y$48,6)))</f>
        <v>51.233791463681406</v>
      </c>
      <c r="DC737" s="316">
        <f>(SUM($AM737:$AQ737)*VLOOKUP($B737,Lifetime_morbidity_array!$A$30:$Y$48,8))+(SUM($AR737:$AS737)*VLOOKUP($B737,Lifetime_morbidity_array!$A$30:$Y$48,10))+(SUM($AT737:$AU737)*(VLOOKUP($B737,Lifetime_morbidity_array!$A$30:$Y$48,9)))</f>
        <v>5.1818446292956519</v>
      </c>
      <c r="DD737" s="317">
        <f>(SUM($AM737:$AQ737)*VLOOKUP($B737,Lifetime_morbidity_array!$A$30:$Y$48,11))+(SUM($AR737:$AS737)*VLOOKUP($B737,Lifetime_morbidity_array!$A$30:$Y$48,13))+(SUM($AT737:$AU737)*(VLOOKUP($B737,Lifetime_morbidity_array!$A$30:$Y$48,12)))</f>
        <v>33.238225093179103</v>
      </c>
      <c r="DE737" s="309"/>
      <c r="DF737" s="315">
        <f ca="1">(SUM($CN737:$CO737))-((SUM($CN737:$CO737)*VLOOKUP($B737,Lifetime_morbidity_array!$A$6:$Y$24,4))+(SUM($CN737:$CO737)*VLOOKUP($B737,Lifetime_morbidity_array!$A$6:$Y$24,7))+(SUM($CN737:$CO737)*VLOOKUP($B737,Lifetime_morbidity_array!$A$6:$Y$24,10))+(SUM($CN737:$CO737)*VLOOKUP($B737,Lifetime_morbidity_array!$A$6:$Y$24,13)))</f>
        <v>33.999141558894678</v>
      </c>
      <c r="DG737" s="316">
        <f ca="1">(SUM($CP737:$CQ737))-(((SUM($CP737:$CQ737)*VLOOKUP($B737,Lifetime_morbidity_array!$A$6:$Y$24,3))+(SUM($CP737:$CQ737)*VLOOKUP($B737,Lifetime_morbidity_array!$A$6:$Y$24,6))+(SUM($CP737:$CQ737)*VLOOKUP($B737,Lifetime_morbidity_array!$A$6:$Y$24,9))+(SUM($CP737:$CQ737)*VLOOKUP($B737,Lifetime_morbidity_array!$A$6:$Y$24,12))))</f>
        <v>70.629505586406196</v>
      </c>
      <c r="DH737" s="316">
        <f ca="1">(SUM($CI737:$CM737))-((SUM($CI737:$CM737)*VLOOKUP($B737,Lifetime_morbidity_array!$A$6:$Y$24,2))+(SUM($CI737:$CM737)*VLOOKUP($B737,Lifetime_morbidity_array!$A$6:$Y$24,5))+(SUM($CI737:$CM737)*VLOOKUP($B737,Lifetime_morbidity_array!$A$6:$Y$24,8))+(SUM($CI737:$CM737)*VLOOKUP($B737,Lifetime_morbidity_array!$A$6:$Y$24,11)))</f>
        <v>182.73023692054545</v>
      </c>
      <c r="DI737" s="316">
        <f ca="1">(SUM($CI737:$CM737)*VLOOKUP($B737,Lifetime_morbidity_array!$A$6:$Y$24,2))+(SUM($CN737:$CO737)*VLOOKUP($B737,Lifetime_morbidity_array!$A$6:$Y$24,4))+(SUM($CP737:$CQ737)*VLOOKUP($B737,Lifetime_morbidity_array!$A$6:$Y$24,3))</f>
        <v>53.212345185504937</v>
      </c>
      <c r="DJ737" s="316">
        <f ca="1">(SUM($CI737:$CM737)*VLOOKUP($B737,Lifetime_morbidity_array!$A$6:$Y$24,5))+(SUM($CN737:$CO737)*VLOOKUP($B737,Lifetime_morbidity_array!$A$6:$Y$24,7))+(SUM($CP737:$CQ737)*VLOOKUP($B737,Lifetime_morbidity_array!$A$6:$Y$24,6))</f>
        <v>42.927363619055292</v>
      </c>
      <c r="DK737" s="316">
        <f ca="1">(SUM($CI737:$CM737)*VLOOKUP($B737,Lifetime_morbidity_array!$A$6:$Y$24,8))+(SUM($CN737:$CO737)*VLOOKUP($B737,Lifetime_morbidity_array!$A$6:$Y$24,10))+(SUM($CP737:$CQ737)*VLOOKUP($B737,Lifetime_morbidity_array!$A$6:$Y$24,9))</f>
        <v>1.9283609432062063</v>
      </c>
      <c r="DL737" s="317">
        <f ca="1">(SUM($CI737:$CM737)*VLOOKUP($B737,Lifetime_morbidity_array!$A$6:$Y$24,11))+(SUM($CN737:$CO737)*VLOOKUP($B737,Lifetime_morbidity_array!$A$6:$Y$24,13))+(SUM($CP737:$CQ737)*VLOOKUP($B737,Lifetime_morbidity_array!$A$6:$Y$24,12))</f>
        <v>20.436078205140159</v>
      </c>
      <c r="DM737" s="309"/>
      <c r="DN737" s="308">
        <f t="shared" si="266"/>
        <v>71</v>
      </c>
      <c r="DO737" s="309">
        <f t="shared" ca="1" si="267"/>
        <v>70.454338044553452</v>
      </c>
      <c r="DP737" s="310">
        <f t="shared" ca="1" si="298"/>
        <v>23073.760302601826</v>
      </c>
      <c r="DQ737" s="309"/>
      <c r="DR737" s="308">
        <f t="shared" si="268"/>
        <v>71</v>
      </c>
      <c r="DS737" s="309">
        <f ca="1">((VLOOKUP($B737,'Mahawesran Tariff'!$A$21:$M$120,4)*'Experimental (DET)'!$CX737)+(VLOOKUP($B737,'Mahawesran Tariff'!$A$21:$M$120,3)*'Experimental (DET)'!$CY737)+(VLOOKUP($B737,'Mahawesran Tariff'!$A$21:$M$120,2)*'Experimental (DET)'!$CZ737)+(VLOOKUP($B737,'Mahawesran Tariff'!$A$21:$M$120,7)*'Experimental (DET)'!$DF737)+(VLOOKUP($B737,'Mahawesran Tariff'!$A$21:$M$120,6)*'Experimental (DET)'!$DG737)+(VLOOKUP($B737,'Mahawesran Tariff'!$A$21:$M$120,5)*'Experimental (DET)'!$DH737)+(DET_UTIL_chd*('Experimental (DET)'!$DA737+'Experimental (DET)'!$DI737))+(DET_UTIL_copd*('Experimental (DET)'!$DB737+'Experimental (DET)'!$DJ737))+(DET_UTIL_lc*('Experimental (DET)'!$DC737+'Experimental (DET)'!$DK737))+(DET_UTIL_stroke*('Experimental (DET)'!$DD737+'Experimental (DET)'!$DL737)))/((1+Discount_rate_QALYs)^$A737)</f>
        <v>60.141045713555741</v>
      </c>
      <c r="DT737" s="310">
        <f t="shared" ca="1" si="299"/>
        <v>22726.885616655421</v>
      </c>
      <c r="DU737" s="309"/>
      <c r="DV737" s="308">
        <f t="shared" si="269"/>
        <v>71</v>
      </c>
      <c r="DW737" s="318">
        <f t="shared" ca="1" si="270"/>
        <v>138591.1769841371</v>
      </c>
      <c r="DX737" s="319">
        <f t="shared" ca="1" si="300"/>
        <v>8519795.1551165339</v>
      </c>
      <c r="DZ737" s="95">
        <f t="shared" si="271"/>
        <v>71</v>
      </c>
      <c r="EA737" s="268">
        <f t="shared" ca="1" si="304"/>
        <v>0.81034988370939576</v>
      </c>
      <c r="EB737" s="268">
        <f t="shared" ca="1" si="218"/>
        <v>0.18965011629060405</v>
      </c>
      <c r="EC737" s="268">
        <f t="shared" ca="1" si="219"/>
        <v>0.30755949463566928</v>
      </c>
      <c r="ED737" s="290">
        <f t="shared" ca="1" si="220"/>
        <v>0.44886098370714639</v>
      </c>
      <c r="EF737" s="95">
        <f t="shared" si="272"/>
        <v>71</v>
      </c>
      <c r="EG737" s="339">
        <f t="shared" ca="1" si="273"/>
        <v>138591.1769841371</v>
      </c>
      <c r="EH737" s="341">
        <f t="shared" ca="1" si="301"/>
        <v>11621810.879080083</v>
      </c>
      <c r="EJ737" s="308">
        <f t="shared" si="274"/>
        <v>71</v>
      </c>
      <c r="EK737" s="318">
        <f t="shared" ca="1" si="275"/>
        <v>138591.1769841371</v>
      </c>
      <c r="EL737" s="319">
        <f t="shared" ca="1" si="302"/>
        <v>8516755.155116532</v>
      </c>
      <c r="EN737" s="95">
        <f t="shared" si="276"/>
        <v>71</v>
      </c>
      <c r="EO737" s="339">
        <f t="shared" ca="1" si="277"/>
        <v>138591.1769841371</v>
      </c>
      <c r="EP737" s="341">
        <f t="shared" ca="1" si="303"/>
        <v>11621810.879080083</v>
      </c>
    </row>
    <row r="738" spans="1:146" s="266" customFormat="1" x14ac:dyDescent="0.25">
      <c r="A738" s="313">
        <v>72</v>
      </c>
      <c r="B738" s="314">
        <v>72</v>
      </c>
      <c r="C738" s="308">
        <f>VLOOKUP($B738,'Infant adult mortality'!$A$27:$I$128,3)</f>
        <v>6.5094128039908557E-3</v>
      </c>
      <c r="D738" s="309">
        <f t="shared" si="221"/>
        <v>0.27</v>
      </c>
      <c r="E738" s="309">
        <f>VLOOKUP($B738,'Infant pick up smoking rates'!$A$19:$I$104,3)</f>
        <v>0</v>
      </c>
      <c r="F738" s="309">
        <f t="shared" si="222"/>
        <v>0.12520735391307281</v>
      </c>
      <c r="G738" s="309">
        <f t="shared" si="223"/>
        <v>0.59828323328293631</v>
      </c>
      <c r="H738" s="309">
        <f>VLOOKUP($B738,'Infant adult mortality'!$A$27:$I$128,3)</f>
        <v>6.5094128039908557E-3</v>
      </c>
      <c r="I738" s="309">
        <f t="shared" si="224"/>
        <v>0.14000000000000001</v>
      </c>
      <c r="J738" s="309">
        <f>VLOOKUP($B738,'Infant pick up smoking rates'!$A$19:$I$104,2)</f>
        <v>0</v>
      </c>
      <c r="K738" s="309">
        <f t="shared" si="225"/>
        <v>0.12520735391307281</v>
      </c>
      <c r="L738" s="309">
        <f t="shared" si="226"/>
        <v>0.72828323328293632</v>
      </c>
      <c r="M738" s="309">
        <f>VLOOKUP($B738,'Infant adult mortality'!$A$27:$I$128,3)</f>
        <v>6.5094128039908557E-3</v>
      </c>
      <c r="N738" s="309">
        <f t="shared" si="227"/>
        <v>0.5714285714285714</v>
      </c>
      <c r="O738" s="309">
        <f>VLOOKUP($B738,'Infant pick up smoking rates'!$A$19:$I$104,2)</f>
        <v>0</v>
      </c>
      <c r="P738" s="309">
        <f t="shared" si="228"/>
        <v>0.10287956789290895</v>
      </c>
      <c r="Q738" s="309">
        <f t="shared" si="229"/>
        <v>0.31918244787452876</v>
      </c>
      <c r="R738" s="309">
        <f>VLOOKUP($B738,'Infant adult mortality'!$A$27:$I$128,3)</f>
        <v>6.5094128039908557E-3</v>
      </c>
      <c r="S738" s="309">
        <f t="shared" si="230"/>
        <v>8.6261668788331098E-3</v>
      </c>
      <c r="T738" s="309">
        <f>VLOOKUP($B738,'Infant pick up smoking rates'!$A$19:$I$104,2)</f>
        <v>0</v>
      </c>
      <c r="U738" s="309">
        <f t="shared" si="231"/>
        <v>0.10287956789290895</v>
      </c>
      <c r="V738" s="309">
        <f t="shared" si="232"/>
        <v>0.88198485242426705</v>
      </c>
      <c r="W738" s="309">
        <f>VLOOKUP($B738,'Infant adult mortality'!$A$27:$I$128,3)</f>
        <v>6.5094128039908557E-3</v>
      </c>
      <c r="X738" s="309">
        <f>VLOOKUP($B738,'Infant pick up smoking rates'!$A$19:$I$104,2)</f>
        <v>0</v>
      </c>
      <c r="Y738" s="309">
        <f t="shared" si="233"/>
        <v>0.99349058719600913</v>
      </c>
      <c r="Z738" s="309">
        <f>VLOOKUP($B738,'Infant adult mortality'!$A$27:$I$128,5)</f>
        <v>1.2908962100741359E-2</v>
      </c>
      <c r="AA738" s="309">
        <f t="shared" si="234"/>
        <v>0.25</v>
      </c>
      <c r="AB738" s="309">
        <f t="shared" si="235"/>
        <v>0.73709103789925867</v>
      </c>
      <c r="AC738" s="309">
        <f>VLOOKUP($B738,'Infant adult mortality'!$A$27:$I$128,5)</f>
        <v>1.2908962100741359E-2</v>
      </c>
      <c r="AD738" s="309">
        <f t="shared" si="236"/>
        <v>0.14000000000000001</v>
      </c>
      <c r="AE738" s="309">
        <f t="shared" si="237"/>
        <v>0.84709103789925866</v>
      </c>
      <c r="AF738" s="309">
        <f>VLOOKUP($B738,'Infant adult mortality'!$A$27:$I$128,4)</f>
        <v>8.6792170719878093E-3</v>
      </c>
      <c r="AG738" s="309">
        <f t="shared" si="238"/>
        <v>0.5714285714285714</v>
      </c>
      <c r="AH738" s="309">
        <f t="shared" si="239"/>
        <v>0.41989221149944078</v>
      </c>
      <c r="AI738" s="309">
        <f>VLOOKUP($B738,'Infant adult mortality'!$A$27:$I$128,4)</f>
        <v>8.6792170719878093E-3</v>
      </c>
      <c r="AJ738" s="309">
        <f t="shared" si="240"/>
        <v>8.6261668788331098E-3</v>
      </c>
      <c r="AK738" s="309">
        <f t="shared" si="241"/>
        <v>0.98269461604917907</v>
      </c>
      <c r="AL738" s="309"/>
      <c r="AM738" s="315">
        <f t="shared" si="278"/>
        <v>10.072599415834874</v>
      </c>
      <c r="AN738" s="316">
        <f t="shared" si="279"/>
        <v>3.1579000725869628</v>
      </c>
      <c r="AO738" s="316">
        <f t="shared" si="280"/>
        <v>0.50761475208917128</v>
      </c>
      <c r="AP738" s="316">
        <f t="shared" si="281"/>
        <v>25.935758861413134</v>
      </c>
      <c r="AQ738" s="316">
        <f t="shared" si="282"/>
        <v>112.51171033238818</v>
      </c>
      <c r="AR738" s="316">
        <f t="shared" si="283"/>
        <v>99.246962331718905</v>
      </c>
      <c r="AS738" s="316">
        <f t="shared" si="284"/>
        <v>25.34890810783309</v>
      </c>
      <c r="AT738" s="316">
        <f t="shared" si="285"/>
        <v>3.6226715902466808</v>
      </c>
      <c r="AU738" s="316">
        <f t="shared" si="286"/>
        <v>120.36614603328329</v>
      </c>
      <c r="AV738" s="316">
        <f t="shared" si="287"/>
        <v>109.22972850260537</v>
      </c>
      <c r="AW738" s="317">
        <f t="shared" si="242"/>
        <v>509.99999999999972</v>
      </c>
      <c r="AX738" s="309"/>
      <c r="AY738" s="308">
        <f>VLOOKUP($B738,'Infant adult mortality'!$A$134:$I$234,3)</f>
        <v>4.4719320307628355E-3</v>
      </c>
      <c r="AZ738" s="309">
        <f t="shared" si="243"/>
        <v>0.27</v>
      </c>
      <c r="BA738" s="309">
        <f ca="1">VLOOKUP($B738,'Infant pick up smoking rates'!$A$19:$I$104,7)</f>
        <v>0</v>
      </c>
      <c r="BB738" s="309">
        <f t="shared" si="244"/>
        <v>0.12520735391307281</v>
      </c>
      <c r="BC738" s="309">
        <f t="shared" ca="1" si="245"/>
        <v>0.60032071405616438</v>
      </c>
      <c r="BD738" s="309">
        <f>VLOOKUP($B738,'Infant adult mortality'!$A$134:$I$234,3)</f>
        <v>4.4719320307628355E-3</v>
      </c>
      <c r="BE738" s="309">
        <f t="shared" si="246"/>
        <v>0.14000000000000001</v>
      </c>
      <c r="BF738" s="309">
        <f>VLOOKUP($B738,'Infant pick up smoking rates'!$A$19:$I$104,6)</f>
        <v>0</v>
      </c>
      <c r="BG738" s="309">
        <f t="shared" si="247"/>
        <v>0.12520735391307281</v>
      </c>
      <c r="BH738" s="309">
        <f t="shared" si="248"/>
        <v>0.73032071405616439</v>
      </c>
      <c r="BI738" s="309">
        <f>VLOOKUP($B738,'Infant adult mortality'!$A$134:$I$234,3)</f>
        <v>4.4719320307628355E-3</v>
      </c>
      <c r="BJ738" s="309">
        <f t="shared" si="249"/>
        <v>0.5714285714285714</v>
      </c>
      <c r="BK738" s="309">
        <f>VLOOKUP($B738,'Infant pick up smoking rates'!$A$19:$I$104,6)</f>
        <v>0</v>
      </c>
      <c r="BL738" s="309">
        <f t="shared" si="250"/>
        <v>0.10287956789290895</v>
      </c>
      <c r="BM738" s="309">
        <f t="shared" si="251"/>
        <v>0.32121992864775678</v>
      </c>
      <c r="BN738" s="309">
        <f>VLOOKUP($B738,'Infant adult mortality'!$A$134:$I$234,3)</f>
        <v>4.4719320307628355E-3</v>
      </c>
      <c r="BO738" s="309">
        <f t="shared" si="252"/>
        <v>8.6261668788331098E-3</v>
      </c>
      <c r="BP738" s="309">
        <f>VLOOKUP($B738,'Infant pick up smoking rates'!$A$19:$I$104,6)</f>
        <v>0</v>
      </c>
      <c r="BQ738" s="309">
        <f t="shared" si="253"/>
        <v>0.10287956789290895</v>
      </c>
      <c r="BR738" s="309">
        <f t="shared" si="254"/>
        <v>0.88402233319749512</v>
      </c>
      <c r="BS738" s="309">
        <f>VLOOKUP($B738,'Infant adult mortality'!$A$134:$I$234,3)</f>
        <v>4.4719320307628355E-3</v>
      </c>
      <c r="BT738" s="309">
        <f>VLOOKUP($B738,'Infant pick up smoking rates'!$A$19:$I$104,6)</f>
        <v>0</v>
      </c>
      <c r="BU738" s="309">
        <f t="shared" si="255"/>
        <v>0.99552806796923721</v>
      </c>
      <c r="BV738" s="309">
        <f>VLOOKUP($B738,'Infant adult mortality'!$A$134:$I$234,5)</f>
        <v>8.868388415436846E-3</v>
      </c>
      <c r="BW738" s="309">
        <f t="shared" si="256"/>
        <v>0.27</v>
      </c>
      <c r="BX738" s="309">
        <f t="shared" si="257"/>
        <v>0.72113161158456318</v>
      </c>
      <c r="BY738" s="309">
        <f>VLOOKUP($B738,'Infant adult mortality'!$A$134:$I$234,5)</f>
        <v>8.868388415436846E-3</v>
      </c>
      <c r="BZ738" s="309">
        <f t="shared" si="258"/>
        <v>0.14000000000000001</v>
      </c>
      <c r="CA738" s="309">
        <f t="shared" si="259"/>
        <v>0.85113161158456319</v>
      </c>
      <c r="CB738" s="309">
        <f>VLOOKUP($B738,'Infant adult mortality'!$A$134:$I$234,4)</f>
        <v>5.9625760410171149E-3</v>
      </c>
      <c r="CC738" s="309">
        <f t="shared" si="260"/>
        <v>0.5714285714285714</v>
      </c>
      <c r="CD738" s="309">
        <f t="shared" si="261"/>
        <v>0.42260885253041147</v>
      </c>
      <c r="CE738" s="309">
        <f>VLOOKUP($B738,'Infant adult mortality'!$A$134:$I$234,4)</f>
        <v>5.9625760410171149E-3</v>
      </c>
      <c r="CF738" s="309">
        <f t="shared" si="262"/>
        <v>8.6261668788331098E-3</v>
      </c>
      <c r="CG738" s="309">
        <f t="shared" si="263"/>
        <v>0.98541125708014976</v>
      </c>
      <c r="CH738" s="309"/>
      <c r="CI738" s="315">
        <f t="shared" ca="1" si="288"/>
        <v>13.828687920057837</v>
      </c>
      <c r="CJ738" s="316">
        <f t="shared" ca="1" si="289"/>
        <v>4.3255170656555491</v>
      </c>
      <c r="CK738" s="316">
        <f t="shared" ca="1" si="290"/>
        <v>0.6938447751727651</v>
      </c>
      <c r="CL738" s="316">
        <f t="shared" ca="1" si="291"/>
        <v>35.199698330115048</v>
      </c>
      <c r="CM738" s="316">
        <f t="shared" ca="1" si="292"/>
        <v>153.32690785382951</v>
      </c>
      <c r="CN738" s="316">
        <f t="shared" ca="1" si="293"/>
        <v>75.387108093415605</v>
      </c>
      <c r="CO738" s="316">
        <f t="shared" ca="1" si="294"/>
        <v>20.720284728637083</v>
      </c>
      <c r="CP738" s="316">
        <f t="shared" ca="1" si="295"/>
        <v>2.9514367087355531</v>
      </c>
      <c r="CQ738" s="316">
        <f t="shared" ca="1" si="296"/>
        <v>97.035811026191681</v>
      </c>
      <c r="CR738" s="316">
        <f t="shared" ca="1" si="297"/>
        <v>86.530703498189567</v>
      </c>
      <c r="CS738" s="317">
        <f t="shared" ca="1" si="264"/>
        <v>490.00000000000017</v>
      </c>
      <c r="CT738" s="309"/>
      <c r="CU738" s="309">
        <f t="shared" ca="1" si="265"/>
        <v>999.99999999999989</v>
      </c>
      <c r="CV738" s="309" t="str">
        <f t="shared" ca="1" si="216"/>
        <v>OKAY</v>
      </c>
      <c r="CW738" s="309"/>
      <c r="CX738" s="315">
        <f>(SUM($AR738:$AS738))-((SUM($AR738:$AS738)*VLOOKUP($B738,Lifetime_morbidity_array!$A$30:$Y$48,4))+(SUM($AR738:$AS738)*VLOOKUP($B738,Lifetime_morbidity_array!$A$30:$Y$48,7))+(SUM($AR738:$AS738)*VLOOKUP($B738,Lifetime_morbidity_array!$A$30:$Y$48,10))+(SUM($AR738:$AS738)*VLOOKUP($B738,Lifetime_morbidity_array!$A$30:$Y$48,13)))</f>
        <v>18.116493146600945</v>
      </c>
      <c r="CY738" s="316">
        <f>(SUM($AT738:$AU738))-((SUM($AT738:$AU738)*(VLOOKUP($B738,Lifetime_morbidity_array!$A$30:$Y$48,3)))+(SUM($AT738:$AU738)*(VLOOKUP($B738,Lifetime_morbidity_array!$A$30:$Y$48,6)))+(SUM($AT738:$AU738)*(VLOOKUP($B738,Lifetime_morbidity_array!$A$30:$Y$48,9)))+(SUM($AT738:$AU738)*(VLOOKUP($B738,Lifetime_morbidity_array!$A$30:$Y$48,12))))</f>
        <v>75.961943678184042</v>
      </c>
      <c r="CZ738" s="316">
        <f>(SUM($AM738:$AQ738))-((SUM($AM738:$AQ738)*VLOOKUP($B738,Lifetime_morbidity_array!$A$30:$Y$48,2))+(SUM($AM738:$AQ738)*VLOOKUP($B738,Lifetime_morbidity_array!$A$30:$Y$48,5))+(SUM($AM738:$AQ738)*VLOOKUP($B738,Lifetime_morbidity_array!$A$30:$Y$48,8))+(SUM($AM738:$AQ738)*VLOOKUP($B738,Lifetime_morbidity_array!$A$30:$Y$48,11)))</f>
        <v>120.15011532108076</v>
      </c>
      <c r="DA738" s="316">
        <f>(SUM($AM738:$AQ738)*VLOOKUP($B738,Lifetime_morbidity_array!$A$30:$Y$48,2))+(SUM($AR738:$AS738)*VLOOKUP($B738,Lifetime_morbidity_array!$A$30:$Y$48,4))+(SUM($AT738:$AU738)*(VLOOKUP($B738,Lifetime_morbidity_array!$A$30:$Y$48,3)))</f>
        <v>98.20207730273242</v>
      </c>
      <c r="DB738" s="316">
        <f>(SUM($AM738:$AQ738)*VLOOKUP($B738,Lifetime_morbidity_array!$A$30:$Y$48,5))+(SUM($AR738:$AS738)*VLOOKUP($B738,Lifetime_morbidity_array!$A$30:$Y$48,7))+(SUM($AT738:$AU738)*(VLOOKUP($B738,Lifetime_morbidity_array!$A$30:$Y$48,6)))</f>
        <v>50.395836915026713</v>
      </c>
      <c r="DC738" s="316">
        <f>(SUM($AM738:$AQ738)*VLOOKUP($B738,Lifetime_morbidity_array!$A$30:$Y$48,8))+(SUM($AR738:$AS738)*VLOOKUP($B738,Lifetime_morbidity_array!$A$30:$Y$48,10))+(SUM($AT738:$AU738)*(VLOOKUP($B738,Lifetime_morbidity_array!$A$30:$Y$48,9)))</f>
        <v>5.097265525412201</v>
      </c>
      <c r="DD738" s="317">
        <f>(SUM($AM738:$AQ738)*VLOOKUP($B738,Lifetime_morbidity_array!$A$30:$Y$48,11))+(SUM($AR738:$AS738)*VLOOKUP($B738,Lifetime_morbidity_array!$A$30:$Y$48,13))+(SUM($AT738:$AU738)*(VLOOKUP($B738,Lifetime_morbidity_array!$A$30:$Y$48,12)))</f>
        <v>32.84653960835719</v>
      </c>
      <c r="DE738" s="309"/>
      <c r="DF738" s="315">
        <f ca="1">(SUM($CN738:$CO738))-((SUM($CN738:$CO738)*VLOOKUP($B738,Lifetime_morbidity_array!$A$6:$Y$24,4))+(SUM($CN738:$CO738)*VLOOKUP($B738,Lifetime_morbidity_array!$A$6:$Y$24,7))+(SUM($CN738:$CO738)*VLOOKUP($B738,Lifetime_morbidity_array!$A$6:$Y$24,10))+(SUM($CN738:$CO738)*VLOOKUP($B738,Lifetime_morbidity_array!$A$6:$Y$24,13)))</f>
        <v>33.402703019029502</v>
      </c>
      <c r="DG738" s="316">
        <f ca="1">(SUM($CP738:$CQ738))-(((SUM($CP738:$CQ738)*VLOOKUP($B738,Lifetime_morbidity_array!$A$6:$Y$24,3))+(SUM($CP738:$CQ738)*VLOOKUP($B738,Lifetime_morbidity_array!$A$6:$Y$24,6))+(SUM($CP738:$CQ738)*VLOOKUP($B738,Lifetime_morbidity_array!$A$6:$Y$24,9))+(SUM($CP738:$CQ738)*VLOOKUP($B738,Lifetime_morbidity_array!$A$6:$Y$24,12))))</f>
        <v>70.809305438464961</v>
      </c>
      <c r="DH738" s="316">
        <f ca="1">(SUM($CI738:$CM738))-((SUM($CI738:$CM738)*VLOOKUP($B738,Lifetime_morbidity_array!$A$6:$Y$24,2))+(SUM($CI738:$CM738)*VLOOKUP($B738,Lifetime_morbidity_array!$A$6:$Y$24,5))+(SUM($CI738:$CM738)*VLOOKUP($B738,Lifetime_morbidity_array!$A$6:$Y$24,8))+(SUM($CI738:$CM738)*VLOOKUP($B738,Lifetime_morbidity_array!$A$6:$Y$24,11)))</f>
        <v>181.9130797210716</v>
      </c>
      <c r="DI738" s="316">
        <f ca="1">(SUM($CI738:$CM738)*VLOOKUP($B738,Lifetime_morbidity_array!$A$6:$Y$24,2))+(SUM($CN738:$CO738)*VLOOKUP($B738,Lifetime_morbidity_array!$A$6:$Y$24,4))+(SUM($CP738:$CQ738)*VLOOKUP($B738,Lifetime_morbidity_array!$A$6:$Y$24,3))</f>
        <v>52.732670045804007</v>
      </c>
      <c r="DJ738" s="316">
        <f ca="1">(SUM($CI738:$CM738)*VLOOKUP($B738,Lifetime_morbidity_array!$A$6:$Y$24,5))+(SUM($CN738:$CO738)*VLOOKUP($B738,Lifetime_morbidity_array!$A$6:$Y$24,7))+(SUM($CP738:$CQ738)*VLOOKUP($B738,Lifetime_morbidity_array!$A$6:$Y$24,6))</f>
        <v>42.437515456155353</v>
      </c>
      <c r="DK738" s="316">
        <f ca="1">(SUM($CI738:$CM738)*VLOOKUP($B738,Lifetime_morbidity_array!$A$6:$Y$24,8))+(SUM($CN738:$CO738)*VLOOKUP($B738,Lifetime_morbidity_array!$A$6:$Y$24,10))+(SUM($CP738:$CQ738)*VLOOKUP($B738,Lifetime_morbidity_array!$A$6:$Y$24,9))</f>
        <v>1.904382701354747</v>
      </c>
      <c r="DL738" s="317">
        <f ca="1">(SUM($CI738:$CM738)*VLOOKUP($B738,Lifetime_morbidity_array!$A$6:$Y$24,11))+(SUM($CN738:$CO738)*VLOOKUP($B738,Lifetime_morbidity_array!$A$6:$Y$24,13))+(SUM($CP738:$CQ738)*VLOOKUP($B738,Lifetime_morbidity_array!$A$6:$Y$24,12))</f>
        <v>20.269640119930454</v>
      </c>
      <c r="DM738" s="309"/>
      <c r="DN738" s="308">
        <f t="shared" si="266"/>
        <v>72</v>
      </c>
      <c r="DO738" s="309">
        <f t="shared" ca="1" si="267"/>
        <v>67.558539325042403</v>
      </c>
      <c r="DP738" s="310">
        <f t="shared" ca="1" si="298"/>
        <v>23141.31884192687</v>
      </c>
      <c r="DQ738" s="309"/>
      <c r="DR738" s="308">
        <f t="shared" si="268"/>
        <v>72</v>
      </c>
      <c r="DS738" s="309">
        <f ca="1">((VLOOKUP($B738,'Mahawesran Tariff'!$A$21:$M$120,4)*'Experimental (DET)'!$CX738)+(VLOOKUP($B738,'Mahawesran Tariff'!$A$21:$M$120,3)*'Experimental (DET)'!$CY738)+(VLOOKUP($B738,'Mahawesran Tariff'!$A$21:$M$120,2)*'Experimental (DET)'!$CZ738)+(VLOOKUP($B738,'Mahawesran Tariff'!$A$21:$M$120,7)*'Experimental (DET)'!$DF738)+(VLOOKUP($B738,'Mahawesran Tariff'!$A$21:$M$120,6)*'Experimental (DET)'!$DG738)+(VLOOKUP($B738,'Mahawesran Tariff'!$A$21:$M$120,5)*'Experimental (DET)'!$DH738)+(DET_UTIL_chd*('Experimental (DET)'!$DA738+'Experimental (DET)'!$DI738))+(DET_UTIL_copd*('Experimental (DET)'!$DB738+'Experimental (DET)'!$DJ738))+(DET_UTIL_lc*('Experimental (DET)'!$DC738+'Experimental (DET)'!$DK738))+(DET_UTIL_stroke*('Experimental (DET)'!$DD738+'Experimental (DET)'!$DL738)))/((1+Discount_rate_QALYs)^$A738)</f>
        <v>57.693013703461915</v>
      </c>
      <c r="DT738" s="310">
        <f t="shared" ca="1" si="299"/>
        <v>22784.578630358883</v>
      </c>
      <c r="DU738" s="309"/>
      <c r="DV738" s="308">
        <f t="shared" si="269"/>
        <v>72</v>
      </c>
      <c r="DW738" s="318">
        <f t="shared" ca="1" si="270"/>
        <v>132445.40033389252</v>
      </c>
      <c r="DX738" s="319">
        <f t="shared" ca="1" si="300"/>
        <v>8652240.5554504264</v>
      </c>
      <c r="DZ738" s="95">
        <f t="shared" si="271"/>
        <v>72</v>
      </c>
      <c r="EA738" s="268">
        <f t="shared" ca="1" si="304"/>
        <v>0.80423956799920493</v>
      </c>
      <c r="EB738" s="268">
        <f t="shared" ca="1" si="218"/>
        <v>0.19576043200079493</v>
      </c>
      <c r="EC738" s="268">
        <f t="shared" ca="1" si="219"/>
        <v>0.30388592767477307</v>
      </c>
      <c r="ED738" s="290">
        <f t="shared" ca="1" si="220"/>
        <v>0.44467932862006188</v>
      </c>
      <c r="EF738" s="95">
        <f t="shared" si="272"/>
        <v>72</v>
      </c>
      <c r="EG738" s="339">
        <f t="shared" ca="1" si="273"/>
        <v>132445.40033389252</v>
      </c>
      <c r="EH738" s="341">
        <f t="shared" ca="1" si="301"/>
        <v>11754256.279413976</v>
      </c>
      <c r="EJ738" s="308">
        <f t="shared" si="274"/>
        <v>72</v>
      </c>
      <c r="EK738" s="318">
        <f t="shared" ca="1" si="275"/>
        <v>132445.40033389252</v>
      </c>
      <c r="EL738" s="319">
        <f t="shared" ca="1" si="302"/>
        <v>8649200.5554504246</v>
      </c>
      <c r="EN738" s="95">
        <f t="shared" si="276"/>
        <v>72</v>
      </c>
      <c r="EO738" s="339">
        <f t="shared" ca="1" si="277"/>
        <v>132445.40033389252</v>
      </c>
      <c r="EP738" s="341">
        <f t="shared" ca="1" si="303"/>
        <v>11754256.279413976</v>
      </c>
    </row>
    <row r="739" spans="1:146" s="266" customFormat="1" x14ac:dyDescent="0.25">
      <c r="A739" s="313">
        <v>73</v>
      </c>
      <c r="B739" s="314">
        <v>73</v>
      </c>
      <c r="C739" s="308">
        <f>VLOOKUP($B739,'Infant adult mortality'!$A$27:$I$128,3)</f>
        <v>7.0567148202037014E-3</v>
      </c>
      <c r="D739" s="309">
        <f t="shared" si="221"/>
        <v>0.27</v>
      </c>
      <c r="E739" s="309">
        <f>VLOOKUP($B739,'Infant pick up smoking rates'!$A$19:$I$104,3)</f>
        <v>0</v>
      </c>
      <c r="F739" s="309">
        <f t="shared" si="222"/>
        <v>0.13518062059547492</v>
      </c>
      <c r="G739" s="309">
        <f t="shared" si="223"/>
        <v>0.58776266458432147</v>
      </c>
      <c r="H739" s="309">
        <f>VLOOKUP($B739,'Infant adult mortality'!$A$27:$I$128,3)</f>
        <v>7.0567148202037014E-3</v>
      </c>
      <c r="I739" s="309">
        <f t="shared" si="224"/>
        <v>0.14000000000000001</v>
      </c>
      <c r="J739" s="309">
        <f>VLOOKUP($B739,'Infant pick up smoking rates'!$A$19:$I$104,2)</f>
        <v>0</v>
      </c>
      <c r="K739" s="309">
        <f t="shared" si="225"/>
        <v>0.13518062059547492</v>
      </c>
      <c r="L739" s="309">
        <f t="shared" si="226"/>
        <v>0.71776266458432147</v>
      </c>
      <c r="M739" s="309">
        <f>VLOOKUP($B739,'Infant adult mortality'!$A$27:$I$128,3)</f>
        <v>7.0567148202037014E-3</v>
      </c>
      <c r="N739" s="309">
        <f t="shared" si="227"/>
        <v>0.5714285714285714</v>
      </c>
      <c r="O739" s="309">
        <f>VLOOKUP($B739,'Infant pick up smoking rates'!$A$19:$I$104,2)</f>
        <v>0</v>
      </c>
      <c r="P739" s="309">
        <f t="shared" si="228"/>
        <v>0.11107433708736557</v>
      </c>
      <c r="Q739" s="309">
        <f t="shared" si="229"/>
        <v>0.31044037666385932</v>
      </c>
      <c r="R739" s="309">
        <f>VLOOKUP($B739,'Infant adult mortality'!$A$27:$I$128,3)</f>
        <v>7.0567148202037014E-3</v>
      </c>
      <c r="S739" s="309">
        <f t="shared" si="230"/>
        <v>8.6261668788331098E-3</v>
      </c>
      <c r="T739" s="309">
        <f>VLOOKUP($B739,'Infant pick up smoking rates'!$A$19:$I$104,2)</f>
        <v>0</v>
      </c>
      <c r="U739" s="309">
        <f t="shared" si="231"/>
        <v>0.11107433708736557</v>
      </c>
      <c r="V739" s="309">
        <f t="shared" si="232"/>
        <v>0.87324278121359766</v>
      </c>
      <c r="W739" s="309">
        <f>VLOOKUP($B739,'Infant adult mortality'!$A$27:$I$128,3)</f>
        <v>7.0567148202037014E-3</v>
      </c>
      <c r="X739" s="309">
        <f>VLOOKUP($B739,'Infant pick up smoking rates'!$A$19:$I$104,2)</f>
        <v>0</v>
      </c>
      <c r="Y739" s="309">
        <f t="shared" si="233"/>
        <v>0.99294328517979635</v>
      </c>
      <c r="Z739" s="309">
        <f>VLOOKUP($B739,'Infant adult mortality'!$A$27:$I$128,5)</f>
        <v>1.3994328968336455E-2</v>
      </c>
      <c r="AA739" s="309">
        <f t="shared" si="234"/>
        <v>0.25</v>
      </c>
      <c r="AB739" s="309">
        <f t="shared" si="235"/>
        <v>0.73600567103166359</v>
      </c>
      <c r="AC739" s="309">
        <f>VLOOKUP($B739,'Infant adult mortality'!$A$27:$I$128,5)</f>
        <v>1.3994328968336455E-2</v>
      </c>
      <c r="AD739" s="309">
        <f t="shared" si="236"/>
        <v>0.14000000000000001</v>
      </c>
      <c r="AE739" s="309">
        <f t="shared" si="237"/>
        <v>0.84600567103166358</v>
      </c>
      <c r="AF739" s="309">
        <f>VLOOKUP($B739,'Infant adult mortality'!$A$27:$I$128,4)</f>
        <v>9.4089530936049357E-3</v>
      </c>
      <c r="AG739" s="309">
        <f t="shared" si="238"/>
        <v>0.5714285714285714</v>
      </c>
      <c r="AH739" s="309">
        <f t="shared" si="239"/>
        <v>0.41916247547782365</v>
      </c>
      <c r="AI739" s="309">
        <f>VLOOKUP($B739,'Infant adult mortality'!$A$27:$I$128,4)</f>
        <v>9.4089530936049357E-3</v>
      </c>
      <c r="AJ739" s="309">
        <f t="shared" si="240"/>
        <v>8.6261668788331098E-3</v>
      </c>
      <c r="AK739" s="309">
        <f t="shared" si="241"/>
        <v>0.98196488002756199</v>
      </c>
      <c r="AL739" s="309"/>
      <c r="AM739" s="315">
        <f t="shared" si="278"/>
        <v>8.5682309414390438</v>
      </c>
      <c r="AN739" s="316">
        <f t="shared" si="279"/>
        <v>2.7196018422754165</v>
      </c>
      <c r="AO739" s="316">
        <f t="shared" si="280"/>
        <v>0.44210601016217482</v>
      </c>
      <c r="AP739" s="316">
        <f t="shared" si="281"/>
        <v>22.938279773648002</v>
      </c>
      <c r="AQ739" s="316">
        <f t="shared" si="282"/>
        <v>116.44343460474543</v>
      </c>
      <c r="AR739" s="316">
        <f t="shared" si="283"/>
        <v>97.048433576354398</v>
      </c>
      <c r="AS739" s="316">
        <f t="shared" si="284"/>
        <v>24.811740582929726</v>
      </c>
      <c r="AT739" s="316">
        <f t="shared" si="285"/>
        <v>3.5488471350966329</v>
      </c>
      <c r="AU739" s="316">
        <f t="shared" si="286"/>
        <v>120.26542620052255</v>
      </c>
      <c r="AV739" s="316">
        <f t="shared" si="287"/>
        <v>113.21389933282629</v>
      </c>
      <c r="AW739" s="317">
        <f t="shared" si="242"/>
        <v>509.99999999999966</v>
      </c>
      <c r="AX739" s="309"/>
      <c r="AY739" s="308">
        <f>VLOOKUP($B739,'Infant adult mortality'!$A$134:$I$234,3)</f>
        <v>4.8525639160257742E-3</v>
      </c>
      <c r="AZ739" s="309">
        <f t="shared" si="243"/>
        <v>0.27</v>
      </c>
      <c r="BA739" s="309">
        <f ca="1">VLOOKUP($B739,'Infant pick up smoking rates'!$A$19:$I$104,7)</f>
        <v>0</v>
      </c>
      <c r="BB739" s="309">
        <f t="shared" si="244"/>
        <v>0.13518062059547492</v>
      </c>
      <c r="BC739" s="309">
        <f t="shared" ca="1" si="245"/>
        <v>0.58996681548849939</v>
      </c>
      <c r="BD739" s="309">
        <f>VLOOKUP($B739,'Infant adult mortality'!$A$134:$I$234,3)</f>
        <v>4.8525639160257742E-3</v>
      </c>
      <c r="BE739" s="309">
        <f t="shared" si="246"/>
        <v>0.14000000000000001</v>
      </c>
      <c r="BF739" s="309">
        <f>VLOOKUP($B739,'Infant pick up smoking rates'!$A$19:$I$104,6)</f>
        <v>0</v>
      </c>
      <c r="BG739" s="309">
        <f t="shared" si="247"/>
        <v>0.13518062059547492</v>
      </c>
      <c r="BH739" s="309">
        <f t="shared" si="248"/>
        <v>0.71996681548849939</v>
      </c>
      <c r="BI739" s="309">
        <f>VLOOKUP($B739,'Infant adult mortality'!$A$134:$I$234,3)</f>
        <v>4.8525639160257742E-3</v>
      </c>
      <c r="BJ739" s="309">
        <f t="shared" si="249"/>
        <v>0.5714285714285714</v>
      </c>
      <c r="BK739" s="309">
        <f>VLOOKUP($B739,'Infant pick up smoking rates'!$A$19:$I$104,6)</f>
        <v>0</v>
      </c>
      <c r="BL739" s="309">
        <f t="shared" si="250"/>
        <v>0.11107433708736557</v>
      </c>
      <c r="BM739" s="309">
        <f t="shared" si="251"/>
        <v>0.31264452756803723</v>
      </c>
      <c r="BN739" s="309">
        <f>VLOOKUP($B739,'Infant adult mortality'!$A$134:$I$234,3)</f>
        <v>4.8525639160257742E-3</v>
      </c>
      <c r="BO739" s="309">
        <f t="shared" si="252"/>
        <v>8.6261668788331098E-3</v>
      </c>
      <c r="BP739" s="309">
        <f>VLOOKUP($B739,'Infant pick up smoking rates'!$A$19:$I$104,6)</f>
        <v>0</v>
      </c>
      <c r="BQ739" s="309">
        <f t="shared" si="253"/>
        <v>0.11107433708736557</v>
      </c>
      <c r="BR739" s="309">
        <f t="shared" si="254"/>
        <v>0.87544693211777558</v>
      </c>
      <c r="BS739" s="309">
        <f>VLOOKUP($B739,'Infant adult mortality'!$A$134:$I$234,3)</f>
        <v>4.8525639160257742E-3</v>
      </c>
      <c r="BT739" s="309">
        <f>VLOOKUP($B739,'Infant pick up smoking rates'!$A$19:$I$104,6)</f>
        <v>0</v>
      </c>
      <c r="BU739" s="309">
        <f t="shared" si="255"/>
        <v>0.99514743608397427</v>
      </c>
      <c r="BV739" s="309">
        <f>VLOOKUP($B739,'Infant adult mortality'!$A$134:$I$234,5)</f>
        <v>9.6232280191228432E-3</v>
      </c>
      <c r="BW739" s="309">
        <f t="shared" si="256"/>
        <v>0.27</v>
      </c>
      <c r="BX739" s="309">
        <f t="shared" si="257"/>
        <v>0.72037677198087713</v>
      </c>
      <c r="BY739" s="309">
        <f>VLOOKUP($B739,'Infant adult mortality'!$A$134:$I$234,5)</f>
        <v>9.6232280191228432E-3</v>
      </c>
      <c r="BZ739" s="309">
        <f t="shared" si="258"/>
        <v>0.14000000000000001</v>
      </c>
      <c r="CA739" s="309">
        <f t="shared" si="259"/>
        <v>0.85037677198087713</v>
      </c>
      <c r="CB739" s="309">
        <f>VLOOKUP($B739,'Infant adult mortality'!$A$134:$I$234,4)</f>
        <v>6.4700852213676998E-3</v>
      </c>
      <c r="CC739" s="309">
        <f t="shared" si="260"/>
        <v>0.5714285714285714</v>
      </c>
      <c r="CD739" s="309">
        <f t="shared" si="261"/>
        <v>0.42210134335006089</v>
      </c>
      <c r="CE739" s="309">
        <f>VLOOKUP($B739,'Infant adult mortality'!$A$134:$I$234,4)</f>
        <v>6.4700852213676998E-3</v>
      </c>
      <c r="CF739" s="309">
        <f t="shared" si="262"/>
        <v>8.6261668788331098E-3</v>
      </c>
      <c r="CG739" s="309">
        <f t="shared" si="263"/>
        <v>0.98490374789979918</v>
      </c>
      <c r="CH739" s="309"/>
      <c r="CI739" s="315">
        <f t="shared" ca="1" si="288"/>
        <v>11.793260965501581</v>
      </c>
      <c r="CJ739" s="316">
        <f t="shared" ca="1" si="289"/>
        <v>3.7337457384156161</v>
      </c>
      <c r="CK739" s="316">
        <f t="shared" ca="1" si="290"/>
        <v>0.60557238919177692</v>
      </c>
      <c r="CL739" s="316">
        <f t="shared" ca="1" si="291"/>
        <v>31.211950643240556</v>
      </c>
      <c r="CM739" s="316">
        <f t="shared" ca="1" si="292"/>
        <v>159.02382743594504</v>
      </c>
      <c r="CN739" s="316">
        <f t="shared" ca="1" si="293"/>
        <v>74.010022918076061</v>
      </c>
      <c r="CO739" s="316">
        <f t="shared" ca="1" si="294"/>
        <v>20.354519185222216</v>
      </c>
      <c r="CP739" s="316">
        <f t="shared" ca="1" si="295"/>
        <v>2.900839862009192</v>
      </c>
      <c r="CQ739" s="316">
        <f t="shared" ca="1" si="296"/>
        <v>97.257469222327444</v>
      </c>
      <c r="CR739" s="316">
        <f t="shared" ca="1" si="297"/>
        <v>89.108791640070734</v>
      </c>
      <c r="CS739" s="317">
        <f t="shared" ca="1" si="264"/>
        <v>490.00000000000023</v>
      </c>
      <c r="CT739" s="309"/>
      <c r="CU739" s="309">
        <f t="shared" ca="1" si="265"/>
        <v>999.99999999999989</v>
      </c>
      <c r="CV739" s="309" t="str">
        <f t="shared" ca="1" si="216"/>
        <v>OKAY</v>
      </c>
      <c r="CW739" s="309"/>
      <c r="CX739" s="315">
        <f>(SUM($AR739:$AS739))-((SUM($AR739:$AS739)*VLOOKUP($B739,Lifetime_morbidity_array!$A$30:$Y$48,4))+(SUM($AR739:$AS739)*VLOOKUP($B739,Lifetime_morbidity_array!$A$30:$Y$48,7))+(SUM($AR739:$AS739)*VLOOKUP($B739,Lifetime_morbidity_array!$A$30:$Y$48,10))+(SUM($AR739:$AS739)*VLOOKUP($B739,Lifetime_morbidity_array!$A$30:$Y$48,13)))</f>
        <v>17.718717339603387</v>
      </c>
      <c r="CY739" s="316">
        <f>(SUM($AT739:$AU739))-((SUM($AT739:$AU739)*(VLOOKUP($B739,Lifetime_morbidity_array!$A$30:$Y$48,3)))+(SUM($AT739:$AU739)*(VLOOKUP($B739,Lifetime_morbidity_array!$A$30:$Y$48,6)))+(SUM($AT739:$AU739)*(VLOOKUP($B739,Lifetime_morbidity_array!$A$30:$Y$48,9)))+(SUM($AT739:$AU739)*(VLOOKUP($B739,Lifetime_morbidity_array!$A$30:$Y$48,12))))</f>
        <v>75.855008846303605</v>
      </c>
      <c r="CZ739" s="316">
        <f>(SUM($AM739:$AQ739))-((SUM($AM739:$AQ739)*VLOOKUP($B739,Lifetime_morbidity_array!$A$30:$Y$48,2))+(SUM($AM739:$AQ739)*VLOOKUP($B739,Lifetime_morbidity_array!$A$30:$Y$48,5))+(SUM($AM739:$AQ739)*VLOOKUP($B739,Lifetime_morbidity_array!$A$30:$Y$48,8))+(SUM($AM739:$AQ739)*VLOOKUP($B739,Lifetime_morbidity_array!$A$30:$Y$48,11)))</f>
        <v>119.30225022164531</v>
      </c>
      <c r="DA739" s="316">
        <f>(SUM($AM739:$AQ739)*VLOOKUP($B739,Lifetime_morbidity_array!$A$30:$Y$48,2))+(SUM($AR739:$AS739)*VLOOKUP($B739,Lifetime_morbidity_array!$A$30:$Y$48,4))+(SUM($AT739:$AU739)*(VLOOKUP($B739,Lifetime_morbidity_array!$A$30:$Y$48,3)))</f>
        <v>96.93899062568957</v>
      </c>
      <c r="DB739" s="316">
        <f>(SUM($AM739:$AQ739)*VLOOKUP($B739,Lifetime_morbidity_array!$A$30:$Y$48,5))+(SUM($AR739:$AS739)*VLOOKUP($B739,Lifetime_morbidity_array!$A$30:$Y$48,7))+(SUM($AT739:$AU739)*(VLOOKUP($B739,Lifetime_morbidity_array!$A$30:$Y$48,6)))</f>
        <v>49.52764941422943</v>
      </c>
      <c r="DC739" s="316">
        <f>(SUM($AM739:$AQ739)*VLOOKUP($B739,Lifetime_morbidity_array!$A$30:$Y$48,8))+(SUM($AR739:$AS739)*VLOOKUP($B739,Lifetime_morbidity_array!$A$30:$Y$48,10))+(SUM($AT739:$AU739)*(VLOOKUP($B739,Lifetime_morbidity_array!$A$30:$Y$48,9)))</f>
        <v>5.0096265737381707</v>
      </c>
      <c r="DD739" s="317">
        <f>(SUM($AM739:$AQ739)*VLOOKUP($B739,Lifetime_morbidity_array!$A$30:$Y$48,11))+(SUM($AR739:$AS739)*VLOOKUP($B739,Lifetime_morbidity_array!$A$30:$Y$48,13))+(SUM($AT739:$AU739)*(VLOOKUP($B739,Lifetime_morbidity_array!$A$30:$Y$48,12)))</f>
        <v>32.433857645963897</v>
      </c>
      <c r="DE739" s="309"/>
      <c r="DF739" s="315">
        <f ca="1">(SUM($CN739:$CO739))-((SUM($CN739:$CO739)*VLOOKUP($B739,Lifetime_morbidity_array!$A$6:$Y$24,4))+(SUM($CN739:$CO739)*VLOOKUP($B739,Lifetime_morbidity_array!$A$6:$Y$24,7))+(SUM($CN739:$CO739)*VLOOKUP($B739,Lifetime_morbidity_array!$A$6:$Y$24,10))+(SUM($CN739:$CO739)*VLOOKUP($B739,Lifetime_morbidity_array!$A$6:$Y$24,13)))</f>
        <v>32.796964758364737</v>
      </c>
      <c r="DG739" s="316">
        <f ca="1">(SUM($CP739:$CQ739))-(((SUM($CP739:$CQ739)*VLOOKUP($B739,Lifetime_morbidity_array!$A$6:$Y$24,3))+(SUM($CP739:$CQ739)*VLOOKUP($B739,Lifetime_morbidity_array!$A$6:$Y$24,6))+(SUM($CP739:$CQ739)*VLOOKUP($B739,Lifetime_morbidity_array!$A$6:$Y$24,9))+(SUM($CP739:$CQ739)*VLOOKUP($B739,Lifetime_morbidity_array!$A$6:$Y$24,12))))</f>
        <v>70.930448240306646</v>
      </c>
      <c r="DH739" s="316">
        <f ca="1">(SUM($CI739:$CM739))-((SUM($CI739:$CM739)*VLOOKUP($B739,Lifetime_morbidity_array!$A$6:$Y$24,2))+(SUM($CI739:$CM739)*VLOOKUP($B739,Lifetime_morbidity_array!$A$6:$Y$24,5))+(SUM($CI739:$CM739)*VLOOKUP($B739,Lifetime_morbidity_array!$A$6:$Y$24,8))+(SUM($CI739:$CM739)*VLOOKUP($B739,Lifetime_morbidity_array!$A$6:$Y$24,11)))</f>
        <v>181.03033487456401</v>
      </c>
      <c r="DI739" s="316">
        <f ca="1">(SUM($CI739:$CM739)*VLOOKUP($B739,Lifetime_morbidity_array!$A$6:$Y$24,2))+(SUM($CN739:$CO739)*VLOOKUP($B739,Lifetime_morbidity_array!$A$6:$Y$24,4))+(SUM($CP739:$CQ739)*VLOOKUP($B739,Lifetime_morbidity_array!$A$6:$Y$24,3))</f>
        <v>52.23033499335753</v>
      </c>
      <c r="DJ739" s="316">
        <f ca="1">(SUM($CI739:$CM739)*VLOOKUP($B739,Lifetime_morbidity_array!$A$6:$Y$24,5))+(SUM($CN739:$CO739)*VLOOKUP($B739,Lifetime_morbidity_array!$A$6:$Y$24,7))+(SUM($CP739:$CQ739)*VLOOKUP($B739,Lifetime_morbidity_array!$A$6:$Y$24,6))</f>
        <v>41.929071510634202</v>
      </c>
      <c r="DK739" s="316">
        <f ca="1">(SUM($CI739:$CM739)*VLOOKUP($B739,Lifetime_morbidity_array!$A$6:$Y$24,8))+(SUM($CN739:$CO739)*VLOOKUP($B739,Lifetime_morbidity_array!$A$6:$Y$24,10))+(SUM($CP739:$CQ739)*VLOOKUP($B739,Lifetime_morbidity_array!$A$6:$Y$24,9))</f>
        <v>1.8796386582662583</v>
      </c>
      <c r="DL739" s="317">
        <f ca="1">(SUM($CI739:$CM739)*VLOOKUP($B739,Lifetime_morbidity_array!$A$6:$Y$24,11))+(SUM($CN739:$CO739)*VLOOKUP($B739,Lifetime_morbidity_array!$A$6:$Y$24,13))+(SUM($CP739:$CQ739)*VLOOKUP($B739,Lifetime_morbidity_array!$A$6:$Y$24,12))</f>
        <v>20.094415324436106</v>
      </c>
      <c r="DM739" s="309"/>
      <c r="DN739" s="308">
        <f t="shared" si="266"/>
        <v>73</v>
      </c>
      <c r="DO739" s="309">
        <f t="shared" ca="1" si="267"/>
        <v>64.741342860861621</v>
      </c>
      <c r="DP739" s="310">
        <f t="shared" ca="1" si="298"/>
        <v>23206.060184787733</v>
      </c>
      <c r="DQ739" s="309"/>
      <c r="DR739" s="308">
        <f t="shared" si="268"/>
        <v>73</v>
      </c>
      <c r="DS739" s="309">
        <f ca="1">((VLOOKUP($B739,'Mahawesran Tariff'!$A$21:$M$120,4)*'Experimental (DET)'!$CX739)+(VLOOKUP($B739,'Mahawesran Tariff'!$A$21:$M$120,3)*'Experimental (DET)'!$CY739)+(VLOOKUP($B739,'Mahawesran Tariff'!$A$21:$M$120,2)*'Experimental (DET)'!$CZ739)+(VLOOKUP($B739,'Mahawesran Tariff'!$A$21:$M$120,7)*'Experimental (DET)'!$DF739)+(VLOOKUP($B739,'Mahawesran Tariff'!$A$21:$M$120,6)*'Experimental (DET)'!$DG739)+(VLOOKUP($B739,'Mahawesran Tariff'!$A$21:$M$120,5)*'Experimental (DET)'!$DH739)+(DET_UTIL_chd*('Experimental (DET)'!$DA739+'Experimental (DET)'!$DI739))+(DET_UTIL_copd*('Experimental (DET)'!$DB739+'Experimental (DET)'!$DJ739))+(DET_UTIL_lc*('Experimental (DET)'!$DC739+'Experimental (DET)'!$DK739))+(DET_UTIL_stroke*('Experimental (DET)'!$DD739+'Experimental (DET)'!$DL739)))/((1+Discount_rate_QALYs)^$A739)</f>
        <v>55.310453459921582</v>
      </c>
      <c r="DT739" s="310">
        <f t="shared" ca="1" si="299"/>
        <v>22839.889083818805</v>
      </c>
      <c r="DU739" s="309"/>
      <c r="DV739" s="308">
        <f t="shared" si="269"/>
        <v>73</v>
      </c>
      <c r="DW739" s="318">
        <f t="shared" ca="1" si="270"/>
        <v>126485.0848242599</v>
      </c>
      <c r="DX739" s="319">
        <f t="shared" ca="1" si="300"/>
        <v>8778725.6402746867</v>
      </c>
      <c r="DZ739" s="95">
        <f t="shared" si="271"/>
        <v>73</v>
      </c>
      <c r="EA739" s="268">
        <f t="shared" ca="1" si="304"/>
        <v>0.79767730902710288</v>
      </c>
      <c r="EB739" s="268">
        <f t="shared" ca="1" si="218"/>
        <v>0.20232269097289701</v>
      </c>
      <c r="EC739" s="268">
        <f t="shared" ca="1" si="219"/>
        <v>0.30004358474631515</v>
      </c>
      <c r="ED739" s="290">
        <f t="shared" ca="1" si="220"/>
        <v>0.44019729868253821</v>
      </c>
      <c r="EF739" s="95">
        <f t="shared" si="272"/>
        <v>73</v>
      </c>
      <c r="EG739" s="339">
        <f t="shared" ca="1" si="273"/>
        <v>126485.0848242599</v>
      </c>
      <c r="EH739" s="341">
        <f t="shared" ca="1" si="301"/>
        <v>11880741.364238236</v>
      </c>
      <c r="EJ739" s="308">
        <f t="shared" si="274"/>
        <v>73</v>
      </c>
      <c r="EK739" s="318">
        <f t="shared" ca="1" si="275"/>
        <v>126485.0848242599</v>
      </c>
      <c r="EL739" s="319">
        <f t="shared" ca="1" si="302"/>
        <v>8775685.6402746849</v>
      </c>
      <c r="EN739" s="95">
        <f t="shared" si="276"/>
        <v>73</v>
      </c>
      <c r="EO739" s="339">
        <f t="shared" ca="1" si="277"/>
        <v>126485.0848242599</v>
      </c>
      <c r="EP739" s="341">
        <f t="shared" ca="1" si="303"/>
        <v>11880741.364238236</v>
      </c>
    </row>
    <row r="740" spans="1:146" s="266" customFormat="1" x14ac:dyDescent="0.25">
      <c r="A740" s="313">
        <v>74</v>
      </c>
      <c r="B740" s="314">
        <v>74</v>
      </c>
      <c r="C740" s="308">
        <f>VLOOKUP($B740,'Infant adult mortality'!$A$27:$I$128,3)</f>
        <v>7.6738869257950539E-3</v>
      </c>
      <c r="D740" s="309">
        <f t="shared" si="221"/>
        <v>0.27</v>
      </c>
      <c r="E740" s="309">
        <f>VLOOKUP($B740,'Infant pick up smoking rates'!$A$19:$I$104,3)</f>
        <v>0</v>
      </c>
      <c r="F740" s="309">
        <f t="shared" si="222"/>
        <v>0.14624098391610749</v>
      </c>
      <c r="G740" s="309">
        <f t="shared" si="223"/>
        <v>0.5760851291580974</v>
      </c>
      <c r="H740" s="309">
        <f>VLOOKUP($B740,'Infant adult mortality'!$A$27:$I$128,3)</f>
        <v>7.6738869257950539E-3</v>
      </c>
      <c r="I740" s="309">
        <f t="shared" si="224"/>
        <v>0.14000000000000001</v>
      </c>
      <c r="J740" s="309">
        <f>VLOOKUP($B740,'Infant pick up smoking rates'!$A$19:$I$104,2)</f>
        <v>0</v>
      </c>
      <c r="K740" s="309">
        <f t="shared" si="225"/>
        <v>0.14624098391610749</v>
      </c>
      <c r="L740" s="309">
        <f t="shared" si="226"/>
        <v>0.7060851291580974</v>
      </c>
      <c r="M740" s="309">
        <f>VLOOKUP($B740,'Infant adult mortality'!$A$27:$I$128,3)</f>
        <v>7.6738869257950539E-3</v>
      </c>
      <c r="N740" s="309">
        <f t="shared" si="227"/>
        <v>0.5714285714285714</v>
      </c>
      <c r="O740" s="309">
        <f>VLOOKUP($B740,'Infant pick up smoking rates'!$A$19:$I$104,2)</f>
        <v>0</v>
      </c>
      <c r="P740" s="309">
        <f t="shared" si="228"/>
        <v>0.12016234480898272</v>
      </c>
      <c r="Q740" s="309">
        <f t="shared" si="229"/>
        <v>0.30073519683665084</v>
      </c>
      <c r="R740" s="309">
        <f>VLOOKUP($B740,'Infant adult mortality'!$A$27:$I$128,3)</f>
        <v>7.6738869257950539E-3</v>
      </c>
      <c r="S740" s="309">
        <f t="shared" si="230"/>
        <v>8.6261668788331098E-3</v>
      </c>
      <c r="T740" s="309">
        <f>VLOOKUP($B740,'Infant pick up smoking rates'!$A$19:$I$104,2)</f>
        <v>0</v>
      </c>
      <c r="U740" s="309">
        <f t="shared" si="231"/>
        <v>0.12016234480898272</v>
      </c>
      <c r="V740" s="309">
        <f t="shared" si="232"/>
        <v>0.86353760138638913</v>
      </c>
      <c r="W740" s="309">
        <f>VLOOKUP($B740,'Infant adult mortality'!$A$27:$I$128,3)</f>
        <v>7.6738869257950539E-3</v>
      </c>
      <c r="X740" s="309">
        <f>VLOOKUP($B740,'Infant pick up smoking rates'!$A$19:$I$104,2)</f>
        <v>0</v>
      </c>
      <c r="Y740" s="309">
        <f t="shared" si="233"/>
        <v>0.99232611307420493</v>
      </c>
      <c r="Z740" s="309">
        <f>VLOOKUP($B740,'Infant adult mortality'!$A$27:$I$128,5)</f>
        <v>1.5218256772673735E-2</v>
      </c>
      <c r="AA740" s="309">
        <f t="shared" si="234"/>
        <v>0.25</v>
      </c>
      <c r="AB740" s="309">
        <f t="shared" si="235"/>
        <v>0.73478174322732626</v>
      </c>
      <c r="AC740" s="309">
        <f>VLOOKUP($B740,'Infant adult mortality'!$A$27:$I$128,5)</f>
        <v>1.5218256772673735E-2</v>
      </c>
      <c r="AD740" s="309">
        <f t="shared" si="236"/>
        <v>0.14000000000000001</v>
      </c>
      <c r="AE740" s="309">
        <f t="shared" si="237"/>
        <v>0.84478174322732624</v>
      </c>
      <c r="AF740" s="309">
        <f>VLOOKUP($B740,'Infant adult mortality'!$A$27:$I$128,4)</f>
        <v>1.0231849234393407E-2</v>
      </c>
      <c r="AG740" s="309">
        <f t="shared" si="238"/>
        <v>0.5714285714285714</v>
      </c>
      <c r="AH740" s="309">
        <f t="shared" si="239"/>
        <v>0.41833957933703519</v>
      </c>
      <c r="AI740" s="309">
        <f>VLOOKUP($B740,'Infant adult mortality'!$A$27:$I$128,4)</f>
        <v>1.0231849234393407E-2</v>
      </c>
      <c r="AJ740" s="309">
        <f t="shared" si="240"/>
        <v>8.6261668788331098E-3</v>
      </c>
      <c r="AK740" s="309">
        <f t="shared" si="241"/>
        <v>0.98114198388677354</v>
      </c>
      <c r="AL740" s="309"/>
      <c r="AM740" s="315">
        <f t="shared" si="278"/>
        <v>7.1871271138465929</v>
      </c>
      <c r="AN740" s="316">
        <f t="shared" si="279"/>
        <v>2.3134223541885421</v>
      </c>
      <c r="AO740" s="316">
        <f t="shared" si="280"/>
        <v>0.38074425791855832</v>
      </c>
      <c r="AP740" s="316">
        <f t="shared" si="281"/>
        <v>20.060699101472878</v>
      </c>
      <c r="AQ740" s="316">
        <f t="shared" si="282"/>
        <v>120.01004660522955</v>
      </c>
      <c r="AR740" s="316">
        <f t="shared" si="283"/>
        <v>94.791975516654105</v>
      </c>
      <c r="AS740" s="316">
        <f t="shared" si="284"/>
        <v>24.2621083940886</v>
      </c>
      <c r="AT740" s="316">
        <f t="shared" si="285"/>
        <v>3.4736436816101621</v>
      </c>
      <c r="AU740" s="316">
        <f t="shared" si="286"/>
        <v>120.0253715039957</v>
      </c>
      <c r="AV740" s="316">
        <f t="shared" si="287"/>
        <v>117.494861470995</v>
      </c>
      <c r="AW740" s="317">
        <f t="shared" si="242"/>
        <v>509.99999999999966</v>
      </c>
      <c r="AX740" s="309"/>
      <c r="AY740" s="308">
        <f>VLOOKUP($B740,'Infant adult mortality'!$A$134:$I$234,3)</f>
        <v>5.2859062564955313E-3</v>
      </c>
      <c r="AZ740" s="309">
        <f t="shared" si="243"/>
        <v>0.27</v>
      </c>
      <c r="BA740" s="309">
        <f ca="1">VLOOKUP($B740,'Infant pick up smoking rates'!$A$19:$I$104,7)</f>
        <v>0</v>
      </c>
      <c r="BB740" s="309">
        <f t="shared" si="244"/>
        <v>0.14624098391610749</v>
      </c>
      <c r="BC740" s="309">
        <f t="shared" ca="1" si="245"/>
        <v>0.57847310982739697</v>
      </c>
      <c r="BD740" s="309">
        <f>VLOOKUP($B740,'Infant adult mortality'!$A$134:$I$234,3)</f>
        <v>5.2859062564955313E-3</v>
      </c>
      <c r="BE740" s="309">
        <f t="shared" si="246"/>
        <v>0.14000000000000001</v>
      </c>
      <c r="BF740" s="309">
        <f>VLOOKUP($B740,'Infant pick up smoking rates'!$A$19:$I$104,6)</f>
        <v>0</v>
      </c>
      <c r="BG740" s="309">
        <f t="shared" si="247"/>
        <v>0.14624098391610749</v>
      </c>
      <c r="BH740" s="309">
        <f t="shared" si="248"/>
        <v>0.70847310982739697</v>
      </c>
      <c r="BI740" s="309">
        <f>VLOOKUP($B740,'Infant adult mortality'!$A$134:$I$234,3)</f>
        <v>5.2859062564955313E-3</v>
      </c>
      <c r="BJ740" s="309">
        <f t="shared" si="249"/>
        <v>0.5714285714285714</v>
      </c>
      <c r="BK740" s="309">
        <f>VLOOKUP($B740,'Infant pick up smoking rates'!$A$19:$I$104,6)</f>
        <v>0</v>
      </c>
      <c r="BL740" s="309">
        <f t="shared" si="250"/>
        <v>0.12016234480898272</v>
      </c>
      <c r="BM740" s="309">
        <f t="shared" si="251"/>
        <v>0.30312317750595036</v>
      </c>
      <c r="BN740" s="309">
        <f>VLOOKUP($B740,'Infant adult mortality'!$A$134:$I$234,3)</f>
        <v>5.2859062564955313E-3</v>
      </c>
      <c r="BO740" s="309">
        <f t="shared" si="252"/>
        <v>8.6261668788331098E-3</v>
      </c>
      <c r="BP740" s="309">
        <f>VLOOKUP($B740,'Infant pick up smoking rates'!$A$19:$I$104,6)</f>
        <v>0</v>
      </c>
      <c r="BQ740" s="309">
        <f t="shared" si="253"/>
        <v>0.12016234480898272</v>
      </c>
      <c r="BR740" s="309">
        <f t="shared" si="254"/>
        <v>0.8659255820556887</v>
      </c>
      <c r="BS740" s="309">
        <f>VLOOKUP($B740,'Infant adult mortality'!$A$134:$I$234,3)</f>
        <v>5.2859062564955313E-3</v>
      </c>
      <c r="BT740" s="309">
        <f>VLOOKUP($B740,'Infant pick up smoking rates'!$A$19:$I$104,6)</f>
        <v>0</v>
      </c>
      <c r="BU740" s="309">
        <f t="shared" si="255"/>
        <v>0.9947140937435045</v>
      </c>
      <c r="BV740" s="309">
        <f>VLOOKUP($B740,'Infant adult mortality'!$A$134:$I$234,5)</f>
        <v>1.0482598905286496E-2</v>
      </c>
      <c r="BW740" s="309">
        <f t="shared" si="256"/>
        <v>0.27</v>
      </c>
      <c r="BX740" s="309">
        <f t="shared" si="257"/>
        <v>0.71951740109471352</v>
      </c>
      <c r="BY740" s="309">
        <f>VLOOKUP($B740,'Infant adult mortality'!$A$134:$I$234,5)</f>
        <v>1.0482598905286496E-2</v>
      </c>
      <c r="BZ740" s="309">
        <f t="shared" si="258"/>
        <v>0.14000000000000001</v>
      </c>
      <c r="CA740" s="309">
        <f t="shared" si="259"/>
        <v>0.84951740109471352</v>
      </c>
      <c r="CB740" s="309">
        <f>VLOOKUP($B740,'Infant adult mortality'!$A$134:$I$234,4)</f>
        <v>7.0478750086607096E-3</v>
      </c>
      <c r="CC740" s="309">
        <f t="shared" si="260"/>
        <v>0.5714285714285714</v>
      </c>
      <c r="CD740" s="309">
        <f t="shared" si="261"/>
        <v>0.42152355356276788</v>
      </c>
      <c r="CE740" s="309">
        <f>VLOOKUP($B740,'Infant adult mortality'!$A$134:$I$234,4)</f>
        <v>7.0478750086607096E-3</v>
      </c>
      <c r="CF740" s="309">
        <f t="shared" si="262"/>
        <v>8.6261668788331098E-3</v>
      </c>
      <c r="CG740" s="309">
        <f t="shared" si="263"/>
        <v>0.98432595811250623</v>
      </c>
      <c r="CH740" s="309"/>
      <c r="CI740" s="315">
        <f t="shared" ca="1" si="288"/>
        <v>9.9201453220040285</v>
      </c>
      <c r="CJ740" s="316">
        <f t="shared" ca="1" si="289"/>
        <v>3.1841804606854271</v>
      </c>
      <c r="CK740" s="316">
        <f t="shared" ca="1" si="290"/>
        <v>0.52272440337818626</v>
      </c>
      <c r="CL740" s="316">
        <f t="shared" ca="1" si="291"/>
        <v>27.373267893093949</v>
      </c>
      <c r="CM740" s="316">
        <f t="shared" ca="1" si="292"/>
        <v>164.27719530281323</v>
      </c>
      <c r="CN740" s="316">
        <f t="shared" ca="1" si="293"/>
        <v>72.604749070412154</v>
      </c>
      <c r="CO740" s="316">
        <f t="shared" ca="1" si="294"/>
        <v>19.982706187880538</v>
      </c>
      <c r="CP740" s="316">
        <f t="shared" ca="1" si="295"/>
        <v>2.8496326859311103</v>
      </c>
      <c r="CQ740" s="316">
        <f t="shared" ca="1" si="296"/>
        <v>97.390674354156019</v>
      </c>
      <c r="CR740" s="316">
        <f t="shared" ca="1" si="297"/>
        <v>91.894724319645562</v>
      </c>
      <c r="CS740" s="317">
        <f t="shared" ca="1" si="264"/>
        <v>490.00000000000017</v>
      </c>
      <c r="CT740" s="309"/>
      <c r="CU740" s="309">
        <f t="shared" ca="1" si="265"/>
        <v>999.99999999999977</v>
      </c>
      <c r="CV740" s="309" t="str">
        <f t="shared" ca="1" si="216"/>
        <v>OKAY</v>
      </c>
      <c r="CW740" s="309"/>
      <c r="CX740" s="315">
        <f>(SUM($AR740:$AS740))-((SUM($AR740:$AS740)*VLOOKUP($B740,Lifetime_morbidity_array!$A$30:$Y$48,4))+(SUM($AR740:$AS740)*VLOOKUP($B740,Lifetime_morbidity_array!$A$30:$Y$48,7))+(SUM($AR740:$AS740)*VLOOKUP($B740,Lifetime_morbidity_array!$A$30:$Y$48,10))+(SUM($AR740:$AS740)*VLOOKUP($B740,Lifetime_morbidity_array!$A$30:$Y$48,13)))</f>
        <v>17.310706106349016</v>
      </c>
      <c r="CY740" s="316">
        <f>(SUM($AT740:$AU740))-((SUM($AT740:$AU740)*(VLOOKUP($B740,Lifetime_morbidity_array!$A$30:$Y$48,3)))+(SUM($AT740:$AU740)*(VLOOKUP($B740,Lifetime_morbidity_array!$A$30:$Y$48,6)))+(SUM($AT740:$AU740)*(VLOOKUP($B740,Lifetime_morbidity_array!$A$30:$Y$48,9)))+(SUM($AT740:$AU740)*(VLOOKUP($B740,Lifetime_morbidity_array!$A$30:$Y$48,12))))</f>
        <v>75.661865446000235</v>
      </c>
      <c r="CZ740" s="316">
        <f>(SUM($AM740:$AQ740))-((SUM($AM740:$AQ740)*VLOOKUP($B740,Lifetime_morbidity_array!$A$30:$Y$48,2))+(SUM($AM740:$AQ740)*VLOOKUP($B740,Lifetime_morbidity_array!$A$30:$Y$48,5))+(SUM($AM740:$AQ740)*VLOOKUP($B740,Lifetime_morbidity_array!$A$30:$Y$48,8))+(SUM($AM740:$AQ740)*VLOOKUP($B740,Lifetime_morbidity_array!$A$30:$Y$48,11)))</f>
        <v>118.3867382434515</v>
      </c>
      <c r="DA740" s="316">
        <f>(SUM($AM740:$AQ740)*VLOOKUP($B740,Lifetime_morbidity_array!$A$30:$Y$48,2))+(SUM($AR740:$AS740)*VLOOKUP($B740,Lifetime_morbidity_array!$A$30:$Y$48,4))+(SUM($AT740:$AU740)*(VLOOKUP($B740,Lifetime_morbidity_array!$A$30:$Y$48,3)))</f>
        <v>95.604619645209283</v>
      </c>
      <c r="DB740" s="316">
        <f>(SUM($AM740:$AQ740)*VLOOKUP($B740,Lifetime_morbidity_array!$A$30:$Y$48,5))+(SUM($AR740:$AS740)*VLOOKUP($B740,Lifetime_morbidity_array!$A$30:$Y$48,7))+(SUM($AT740:$AU740)*(VLOOKUP($B740,Lifetime_morbidity_array!$A$30:$Y$48,6)))</f>
        <v>48.625034621208961</v>
      </c>
      <c r="DC740" s="316">
        <f>(SUM($AM740:$AQ740)*VLOOKUP($B740,Lifetime_morbidity_array!$A$30:$Y$48,8))+(SUM($AR740:$AS740)*VLOOKUP($B740,Lifetime_morbidity_array!$A$30:$Y$48,10))+(SUM($AT740:$AU740)*(VLOOKUP($B740,Lifetime_morbidity_array!$A$30:$Y$48,9)))</f>
        <v>4.9185037680780663</v>
      </c>
      <c r="DD740" s="317">
        <f>(SUM($AM740:$AQ740)*VLOOKUP($B740,Lifetime_morbidity_array!$A$30:$Y$48,11))+(SUM($AR740:$AS740)*VLOOKUP($B740,Lifetime_morbidity_array!$A$30:$Y$48,13))+(SUM($AT740:$AU740)*(VLOOKUP($B740,Lifetime_morbidity_array!$A$30:$Y$48,12)))</f>
        <v>31.997670698707594</v>
      </c>
      <c r="DE740" s="309"/>
      <c r="DF740" s="315">
        <f ca="1">(SUM($CN740:$CO740))-((SUM($CN740:$CO740)*VLOOKUP($B740,Lifetime_morbidity_array!$A$6:$Y$24,4))+(SUM($CN740:$CO740)*VLOOKUP($B740,Lifetime_morbidity_array!$A$6:$Y$24,7))+(SUM($CN740:$CO740)*VLOOKUP($B740,Lifetime_morbidity_array!$A$6:$Y$24,10))+(SUM($CN740:$CO740)*VLOOKUP($B740,Lifetime_morbidity_array!$A$6:$Y$24,13)))</f>
        <v>32.179327525892376</v>
      </c>
      <c r="DG740" s="316">
        <f ca="1">(SUM($CP740:$CQ740))-(((SUM($CP740:$CQ740)*VLOOKUP($B740,Lifetime_morbidity_array!$A$6:$Y$24,3))+(SUM($CP740:$CQ740)*VLOOKUP($B740,Lifetime_morbidity_array!$A$6:$Y$24,6))+(SUM($CP740:$CQ740)*VLOOKUP($B740,Lifetime_morbidity_array!$A$6:$Y$24,9))+(SUM($CP740:$CQ740)*VLOOKUP($B740,Lifetime_morbidity_array!$A$6:$Y$24,12))))</f>
        <v>70.988517828435107</v>
      </c>
      <c r="DH740" s="316">
        <f ca="1">(SUM($CI740:$CM740))-((SUM($CI740:$CM740)*VLOOKUP($B740,Lifetime_morbidity_array!$A$6:$Y$24,2))+(SUM($CI740:$CM740)*VLOOKUP($B740,Lifetime_morbidity_array!$A$6:$Y$24,5))+(SUM($CI740:$CM740)*VLOOKUP($B740,Lifetime_morbidity_array!$A$6:$Y$24,8))+(SUM($CI740:$CM740)*VLOOKUP($B740,Lifetime_morbidity_array!$A$6:$Y$24,11)))</f>
        <v>180.07342549483508</v>
      </c>
      <c r="DI740" s="316">
        <f ca="1">(SUM($CI740:$CM740)*VLOOKUP($B740,Lifetime_morbidity_array!$A$6:$Y$24,2))+(SUM($CN740:$CO740)*VLOOKUP($B740,Lifetime_morbidity_array!$A$6:$Y$24,4))+(SUM($CP740:$CQ740)*VLOOKUP($B740,Lifetime_morbidity_array!$A$6:$Y$24,3))</f>
        <v>51.701917098634077</v>
      </c>
      <c r="DJ740" s="316">
        <f ca="1">(SUM($CI740:$CM740)*VLOOKUP($B740,Lifetime_morbidity_array!$A$6:$Y$24,5))+(SUM($CN740:$CO740)*VLOOKUP($B740,Lifetime_morbidity_array!$A$6:$Y$24,7))+(SUM($CP740:$CQ740)*VLOOKUP($B740,Lifetime_morbidity_array!$A$6:$Y$24,6))</f>
        <v>41.398965191464434</v>
      </c>
      <c r="DK740" s="316">
        <f ca="1">(SUM($CI740:$CM740)*VLOOKUP($B740,Lifetime_morbidity_array!$A$6:$Y$24,8))+(SUM($CN740:$CO740)*VLOOKUP($B740,Lifetime_morbidity_array!$A$6:$Y$24,10))+(SUM($CP740:$CQ740)*VLOOKUP($B740,Lifetime_morbidity_array!$A$6:$Y$24,9))</f>
        <v>1.8539907852795303</v>
      </c>
      <c r="DL740" s="317">
        <f ca="1">(SUM($CI740:$CM740)*VLOOKUP($B740,Lifetime_morbidity_array!$A$6:$Y$24,11))+(SUM($CN740:$CO740)*VLOOKUP($B740,Lifetime_morbidity_array!$A$6:$Y$24,13))+(SUM($CP740:$CQ740)*VLOOKUP($B740,Lifetime_morbidity_array!$A$6:$Y$24,12))</f>
        <v>19.909131755814048</v>
      </c>
      <c r="DM740" s="309"/>
      <c r="DN740" s="308">
        <f t="shared" si="266"/>
        <v>74</v>
      </c>
      <c r="DO740" s="309">
        <f t="shared" ca="1" si="267"/>
        <v>61.997852430799874</v>
      </c>
      <c r="DP740" s="310">
        <f t="shared" ca="1" si="298"/>
        <v>23268.058037218532</v>
      </c>
      <c r="DQ740" s="309"/>
      <c r="DR740" s="308">
        <f t="shared" si="268"/>
        <v>74</v>
      </c>
      <c r="DS740" s="309">
        <f ca="1">((VLOOKUP($B740,'Mahawesran Tariff'!$A$21:$M$120,4)*'Experimental (DET)'!$CX740)+(VLOOKUP($B740,'Mahawesran Tariff'!$A$21:$M$120,3)*'Experimental (DET)'!$CY740)+(VLOOKUP($B740,'Mahawesran Tariff'!$A$21:$M$120,2)*'Experimental (DET)'!$CZ740)+(VLOOKUP($B740,'Mahawesran Tariff'!$A$21:$M$120,7)*'Experimental (DET)'!$DF740)+(VLOOKUP($B740,'Mahawesran Tariff'!$A$21:$M$120,6)*'Experimental (DET)'!$DG740)+(VLOOKUP($B740,'Mahawesran Tariff'!$A$21:$M$120,5)*'Experimental (DET)'!$DH740)+(DET_UTIL_chd*('Experimental (DET)'!$DA740+'Experimental (DET)'!$DI740))+(DET_UTIL_copd*('Experimental (DET)'!$DB740+'Experimental (DET)'!$DJ740))+(DET_UTIL_lc*('Experimental (DET)'!$DC740+'Experimental (DET)'!$DK740))+(DET_UTIL_stroke*('Experimental (DET)'!$DD740+'Experimental (DET)'!$DL740)))/((1+Discount_rate_QALYs)^$A740)</f>
        <v>52.989314832668875</v>
      </c>
      <c r="DT740" s="310">
        <f t="shared" ca="1" si="299"/>
        <v>22892.878398651475</v>
      </c>
      <c r="DU740" s="309"/>
      <c r="DV740" s="308">
        <f t="shared" si="269"/>
        <v>74</v>
      </c>
      <c r="DW740" s="318">
        <f t="shared" ca="1" si="270"/>
        <v>120698.20789211386</v>
      </c>
      <c r="DX740" s="319">
        <f t="shared" ca="1" si="300"/>
        <v>8899423.848166801</v>
      </c>
      <c r="DZ740" s="95">
        <f t="shared" si="271"/>
        <v>74</v>
      </c>
      <c r="EA740" s="268">
        <f t="shared" ca="1" si="304"/>
        <v>0.79061041420935929</v>
      </c>
      <c r="EB740" s="268">
        <f t="shared" ca="1" si="218"/>
        <v>0.20938958579064057</v>
      </c>
      <c r="EC740" s="268">
        <f t="shared" ca="1" si="219"/>
        <v>0.29600983356439597</v>
      </c>
      <c r="ED740" s="290">
        <f t="shared" ca="1" si="220"/>
        <v>0.43538086139472837</v>
      </c>
      <c r="EF740" s="95">
        <f t="shared" si="272"/>
        <v>74</v>
      </c>
      <c r="EG740" s="339">
        <f t="shared" ca="1" si="273"/>
        <v>120698.20789211386</v>
      </c>
      <c r="EH740" s="341">
        <f t="shared" ca="1" si="301"/>
        <v>12001439.57213035</v>
      </c>
      <c r="EJ740" s="308">
        <f t="shared" si="274"/>
        <v>74</v>
      </c>
      <c r="EK740" s="318">
        <f t="shared" ca="1" si="275"/>
        <v>120698.20789211386</v>
      </c>
      <c r="EL740" s="319">
        <f t="shared" ca="1" si="302"/>
        <v>8896383.8481667992</v>
      </c>
      <c r="EN740" s="95">
        <f t="shared" si="276"/>
        <v>74</v>
      </c>
      <c r="EO740" s="339">
        <f t="shared" ca="1" si="277"/>
        <v>120698.20789211386</v>
      </c>
      <c r="EP740" s="341">
        <f t="shared" ca="1" si="303"/>
        <v>12001439.57213035</v>
      </c>
    </row>
    <row r="741" spans="1:146" s="266" customFormat="1" x14ac:dyDescent="0.25">
      <c r="A741" s="313">
        <v>75</v>
      </c>
      <c r="B741" s="314">
        <v>75</v>
      </c>
      <c r="C741" s="308">
        <f>VLOOKUP($B741,'Infant adult mortality'!$A$27:$I$128,3)</f>
        <v>9.1366800885309719E-3</v>
      </c>
      <c r="D741" s="309">
        <f t="shared" si="221"/>
        <v>0.27</v>
      </c>
      <c r="E741" s="309">
        <f>VLOOKUP($B741,'Infant pick up smoking rates'!$A$19:$I$104,3)</f>
        <v>0</v>
      </c>
      <c r="F741" s="309">
        <f t="shared" si="222"/>
        <v>0.14624098391610749</v>
      </c>
      <c r="G741" s="309">
        <f t="shared" si="223"/>
        <v>0.5746223359953615</v>
      </c>
      <c r="H741" s="309">
        <f>VLOOKUP($B741,'Infant adult mortality'!$A$27:$I$128,3)</f>
        <v>9.1366800885309719E-3</v>
      </c>
      <c r="I741" s="309">
        <f t="shared" si="224"/>
        <v>0.14000000000000001</v>
      </c>
      <c r="J741" s="309">
        <f>VLOOKUP($B741,'Infant pick up smoking rates'!$A$19:$I$104,2)</f>
        <v>0</v>
      </c>
      <c r="K741" s="309">
        <f t="shared" si="225"/>
        <v>0.14624098391610749</v>
      </c>
      <c r="L741" s="309">
        <f t="shared" si="226"/>
        <v>0.7046223359953615</v>
      </c>
      <c r="M741" s="309">
        <f>VLOOKUP($B741,'Infant adult mortality'!$A$27:$I$128,3)</f>
        <v>9.1366800885309719E-3</v>
      </c>
      <c r="N741" s="309">
        <f t="shared" si="227"/>
        <v>0.5714285714285714</v>
      </c>
      <c r="O741" s="309">
        <f>VLOOKUP($B741,'Infant pick up smoking rates'!$A$19:$I$104,2)</f>
        <v>0</v>
      </c>
      <c r="P741" s="309">
        <f t="shared" si="228"/>
        <v>0.12016234480898272</v>
      </c>
      <c r="Q741" s="309">
        <f t="shared" si="229"/>
        <v>0.29927240367391494</v>
      </c>
      <c r="R741" s="309">
        <f>VLOOKUP($B741,'Infant adult mortality'!$A$27:$I$128,3)</f>
        <v>9.1366800885309719E-3</v>
      </c>
      <c r="S741" s="309">
        <f t="shared" si="230"/>
        <v>8.6261668788331098E-3</v>
      </c>
      <c r="T741" s="309">
        <f>VLOOKUP($B741,'Infant pick up smoking rates'!$A$19:$I$104,2)</f>
        <v>0</v>
      </c>
      <c r="U741" s="309">
        <f t="shared" si="231"/>
        <v>0.12016234480898272</v>
      </c>
      <c r="V741" s="309">
        <f t="shared" si="232"/>
        <v>0.86207480822365323</v>
      </c>
      <c r="W741" s="309">
        <f>VLOOKUP($B741,'Infant adult mortality'!$A$27:$I$128,3)</f>
        <v>9.1366800885309719E-3</v>
      </c>
      <c r="X741" s="309">
        <f>VLOOKUP($B741,'Infant pick up smoking rates'!$A$19:$I$104,2)</f>
        <v>0</v>
      </c>
      <c r="Y741" s="309">
        <f t="shared" si="233"/>
        <v>0.99086331991146903</v>
      </c>
      <c r="Z741" s="309">
        <f>VLOOKUP($B741,'Infant adult mortality'!$A$27:$I$128,5)</f>
        <v>1.4369259486413695E-2</v>
      </c>
      <c r="AA741" s="309">
        <f t="shared" si="234"/>
        <v>0.25</v>
      </c>
      <c r="AB741" s="309">
        <f t="shared" si="235"/>
        <v>0.73563074051358635</v>
      </c>
      <c r="AC741" s="309">
        <f>VLOOKUP($B741,'Infant adult mortality'!$A$27:$I$128,5)</f>
        <v>1.4369259486413695E-2</v>
      </c>
      <c r="AD741" s="309">
        <f t="shared" si="236"/>
        <v>0.14000000000000001</v>
      </c>
      <c r="AE741" s="309">
        <f t="shared" si="237"/>
        <v>0.84563074051358633</v>
      </c>
      <c r="AF741" s="309">
        <f>VLOOKUP($B741,'Infant adult mortality'!$A$27:$I$128,4)</f>
        <v>1.0478714700941307E-2</v>
      </c>
      <c r="AG741" s="309">
        <f t="shared" si="238"/>
        <v>0.5714285714285714</v>
      </c>
      <c r="AH741" s="309">
        <f t="shared" si="239"/>
        <v>0.4180927138704873</v>
      </c>
      <c r="AI741" s="309">
        <f>VLOOKUP($B741,'Infant adult mortality'!$A$27:$I$128,4)</f>
        <v>1.0478714700941307E-2</v>
      </c>
      <c r="AJ741" s="309">
        <f t="shared" si="240"/>
        <v>8.6261668788331098E-3</v>
      </c>
      <c r="AK741" s="309">
        <f t="shared" si="241"/>
        <v>0.98089511842022559</v>
      </c>
      <c r="AL741" s="309"/>
      <c r="AM741" s="315">
        <f t="shared" si="278"/>
        <v>6.0469660220140389</v>
      </c>
      <c r="AN741" s="316">
        <f t="shared" si="279"/>
        <v>1.9405243207385803</v>
      </c>
      <c r="AO741" s="316">
        <f t="shared" si="280"/>
        <v>0.32387912958639592</v>
      </c>
      <c r="AP741" s="316">
        <f t="shared" si="281"/>
        <v>17.511391478116675</v>
      </c>
      <c r="AQ741" s="316">
        <f t="shared" si="282"/>
        <v>122.75921466928146</v>
      </c>
      <c r="AR741" s="316">
        <f t="shared" si="283"/>
        <v>92.736339829926905</v>
      </c>
      <c r="AS741" s="316">
        <f t="shared" si="284"/>
        <v>23.697993879163526</v>
      </c>
      <c r="AT741" s="316">
        <f t="shared" si="285"/>
        <v>3.3966951751724044</v>
      </c>
      <c r="AU741" s="316">
        <f t="shared" si="286"/>
        <v>119.71724024147781</v>
      </c>
      <c r="AV741" s="316">
        <f t="shared" si="287"/>
        <v>121.86975525452189</v>
      </c>
      <c r="AW741" s="317">
        <f t="shared" si="242"/>
        <v>509.99999999999966</v>
      </c>
      <c r="AX741" s="309"/>
      <c r="AY741" s="308">
        <f>VLOOKUP($B741,'Infant adult mortality'!$A$134:$I$234,3)</f>
        <v>6.3083819098157384E-3</v>
      </c>
      <c r="AZ741" s="309">
        <f t="shared" si="243"/>
        <v>0.27</v>
      </c>
      <c r="BA741" s="309">
        <f ca="1">VLOOKUP($B741,'Infant pick up smoking rates'!$A$19:$I$104,7)</f>
        <v>0</v>
      </c>
      <c r="BB741" s="309">
        <f t="shared" si="244"/>
        <v>0.14624098391610749</v>
      </c>
      <c r="BC741" s="309">
        <f t="shared" ca="1" si="245"/>
        <v>0.57745063417407672</v>
      </c>
      <c r="BD741" s="309">
        <f>VLOOKUP($B741,'Infant adult mortality'!$A$134:$I$234,3)</f>
        <v>6.3083819098157384E-3</v>
      </c>
      <c r="BE741" s="309">
        <f t="shared" si="246"/>
        <v>0.14000000000000001</v>
      </c>
      <c r="BF741" s="309">
        <f>VLOOKUP($B741,'Infant pick up smoking rates'!$A$19:$I$104,6)</f>
        <v>0</v>
      </c>
      <c r="BG741" s="309">
        <f t="shared" si="247"/>
        <v>0.14624098391610749</v>
      </c>
      <c r="BH741" s="309">
        <f t="shared" si="248"/>
        <v>0.70745063417407672</v>
      </c>
      <c r="BI741" s="309">
        <f>VLOOKUP($B741,'Infant adult mortality'!$A$134:$I$234,3)</f>
        <v>6.3083819098157384E-3</v>
      </c>
      <c r="BJ741" s="309">
        <f t="shared" si="249"/>
        <v>0.5714285714285714</v>
      </c>
      <c r="BK741" s="309">
        <f>VLOOKUP($B741,'Infant pick up smoking rates'!$A$19:$I$104,6)</f>
        <v>0</v>
      </c>
      <c r="BL741" s="309">
        <f t="shared" si="250"/>
        <v>0.12016234480898272</v>
      </c>
      <c r="BM741" s="309">
        <f t="shared" si="251"/>
        <v>0.30210070185263016</v>
      </c>
      <c r="BN741" s="309">
        <f>VLOOKUP($B741,'Infant adult mortality'!$A$134:$I$234,3)</f>
        <v>6.3083819098157384E-3</v>
      </c>
      <c r="BO741" s="309">
        <f t="shared" si="252"/>
        <v>8.6261668788331098E-3</v>
      </c>
      <c r="BP741" s="309">
        <f>VLOOKUP($B741,'Infant pick up smoking rates'!$A$19:$I$104,6)</f>
        <v>0</v>
      </c>
      <c r="BQ741" s="309">
        <f t="shared" si="253"/>
        <v>0.12016234480898272</v>
      </c>
      <c r="BR741" s="309">
        <f t="shared" si="254"/>
        <v>0.86490310640236845</v>
      </c>
      <c r="BS741" s="309">
        <f>VLOOKUP($B741,'Infant adult mortality'!$A$134:$I$234,3)</f>
        <v>6.3083819098157384E-3</v>
      </c>
      <c r="BT741" s="309">
        <f>VLOOKUP($B741,'Infant pick up smoking rates'!$A$19:$I$104,6)</f>
        <v>0</v>
      </c>
      <c r="BU741" s="309">
        <f t="shared" si="255"/>
        <v>0.99369161809018425</v>
      </c>
      <c r="BV741" s="309">
        <f>VLOOKUP($B741,'Infant adult mortality'!$A$134:$I$234,5)</f>
        <v>9.9211941014906262E-3</v>
      </c>
      <c r="BW741" s="309">
        <f t="shared" si="256"/>
        <v>0.27</v>
      </c>
      <c r="BX741" s="309">
        <f t="shared" si="257"/>
        <v>0.72007880589850937</v>
      </c>
      <c r="BY741" s="309">
        <f>VLOOKUP($B741,'Infant adult mortality'!$A$134:$I$234,5)</f>
        <v>9.9211941014906262E-3</v>
      </c>
      <c r="BZ741" s="309">
        <f t="shared" si="258"/>
        <v>0.14000000000000001</v>
      </c>
      <c r="CA741" s="309">
        <f t="shared" si="259"/>
        <v>0.85007880589850937</v>
      </c>
      <c r="CB741" s="309">
        <f>VLOOKUP($B741,'Infant adult mortality'!$A$134:$I$234,4)</f>
        <v>7.2349840004266551E-3</v>
      </c>
      <c r="CC741" s="309">
        <f t="shared" si="260"/>
        <v>0.5714285714285714</v>
      </c>
      <c r="CD741" s="309">
        <f t="shared" si="261"/>
        <v>0.42133644457100194</v>
      </c>
      <c r="CE741" s="309">
        <f>VLOOKUP($B741,'Infant adult mortality'!$A$134:$I$234,4)</f>
        <v>7.2349840004266551E-3</v>
      </c>
      <c r="CF741" s="309">
        <f t="shared" si="262"/>
        <v>8.6261668788331098E-3</v>
      </c>
      <c r="CG741" s="309">
        <f t="shared" si="263"/>
        <v>0.98413884912074023</v>
      </c>
      <c r="CH741" s="309"/>
      <c r="CI741" s="315">
        <f t="shared" ca="1" si="288"/>
        <v>8.3750864795277167</v>
      </c>
      <c r="CJ741" s="316">
        <f t="shared" ca="1" si="289"/>
        <v>2.6784392369410881</v>
      </c>
      <c r="CK741" s="316">
        <f t="shared" ca="1" si="290"/>
        <v>0.44578526449595984</v>
      </c>
      <c r="CL741" s="316">
        <f t="shared" ca="1" si="291"/>
        <v>23.973924092194423</v>
      </c>
      <c r="CM741" s="316">
        <f t="shared" ca="1" si="292"/>
        <v>168.50930935690482</v>
      </c>
      <c r="CN741" s="316">
        <f t="shared" ca="1" si="293"/>
        <v>71.30877834164211</v>
      </c>
      <c r="CO741" s="316">
        <f t="shared" ca="1" si="294"/>
        <v>19.603282249011283</v>
      </c>
      <c r="CP741" s="316">
        <f t="shared" ca="1" si="295"/>
        <v>2.7975788663032755</v>
      </c>
      <c r="CQ741" s="316">
        <f t="shared" ca="1" si="296"/>
        <v>97.474307708809661</v>
      </c>
      <c r="CR741" s="316">
        <f t="shared" ca="1" si="297"/>
        <v>94.833508404169848</v>
      </c>
      <c r="CS741" s="317">
        <f t="shared" ca="1" si="264"/>
        <v>490.00000000000017</v>
      </c>
      <c r="CT741" s="309"/>
      <c r="CU741" s="309">
        <f t="shared" ca="1" si="265"/>
        <v>999.99999999999977</v>
      </c>
      <c r="CV741" s="309" t="str">
        <f t="shared" ca="1" si="216"/>
        <v>OKAY</v>
      </c>
      <c r="CW741" s="309"/>
      <c r="CX741" s="315">
        <f>(SUM($AR741:$AS741))-((SUM($AR741:$AS741)*VLOOKUP($B741,Lifetime_morbidity_array!$A$30:$Y$48,4))+(SUM($AR741:$AS741)*VLOOKUP($B741,Lifetime_morbidity_array!$A$30:$Y$48,7))+(SUM($AR741:$AS741)*VLOOKUP($B741,Lifetime_morbidity_array!$A$30:$Y$48,10))+(SUM($AR741:$AS741)*VLOOKUP($B741,Lifetime_morbidity_array!$A$30:$Y$48,13)))</f>
        <v>-1.0503868963655663</v>
      </c>
      <c r="CY741" s="316">
        <f>(SUM($AT741:$AU741))-((SUM($AT741:$AU741)*(VLOOKUP($B741,Lifetime_morbidity_array!$A$30:$Y$48,3)))+(SUM($AT741:$AU741)*(VLOOKUP($B741,Lifetime_morbidity_array!$A$30:$Y$48,6)))+(SUM($AT741:$AU741)*(VLOOKUP($B741,Lifetime_morbidity_array!$A$30:$Y$48,9)))+(SUM($AT741:$AU741)*(VLOOKUP($B741,Lifetime_morbidity_array!$A$30:$Y$48,12))))</f>
        <v>56.455468433654246</v>
      </c>
      <c r="CZ741" s="316">
        <f>(SUM($AM741:$AQ741))-((SUM($AM741:$AQ741)*VLOOKUP($B741,Lifetime_morbidity_array!$A$30:$Y$48,2))+(SUM($AM741:$AQ741)*VLOOKUP($B741,Lifetime_morbidity_array!$A$30:$Y$48,5))+(SUM($AM741:$AQ741)*VLOOKUP($B741,Lifetime_morbidity_array!$A$30:$Y$48,8))+(SUM($AM741:$AQ741)*VLOOKUP($B741,Lifetime_morbidity_array!$A$30:$Y$48,11)))</f>
        <v>94.834285321514542</v>
      </c>
      <c r="DA741" s="316">
        <f>(SUM($AM741:$AQ741)*VLOOKUP($B741,Lifetime_morbidity_array!$A$30:$Y$48,2))+(SUM($AR741:$AS741)*VLOOKUP($B741,Lifetime_morbidity_array!$A$30:$Y$48,4))+(SUM($AT741:$AU741)*(VLOOKUP($B741,Lifetime_morbidity_array!$A$30:$Y$48,3)))</f>
        <v>123.03072917849258</v>
      </c>
      <c r="DB741" s="316">
        <f>(SUM($AM741:$AQ741)*VLOOKUP($B741,Lifetime_morbidity_array!$A$30:$Y$48,5))+(SUM($AR741:$AS741)*VLOOKUP($B741,Lifetime_morbidity_array!$A$30:$Y$48,7))+(SUM($AT741:$AU741)*(VLOOKUP($B741,Lifetime_morbidity_array!$A$30:$Y$48,6)))</f>
        <v>56.04197874976925</v>
      </c>
      <c r="DC741" s="316">
        <f>(SUM($AM741:$AQ741)*VLOOKUP($B741,Lifetime_morbidity_array!$A$30:$Y$48,8))+(SUM($AR741:$AS741)*VLOOKUP($B741,Lifetime_morbidity_array!$A$30:$Y$48,10))+(SUM($AT741:$AU741)*(VLOOKUP($B741,Lifetime_morbidity_array!$A$30:$Y$48,9)))</f>
        <v>4.7567242635369933</v>
      </c>
      <c r="DD741" s="317">
        <f>(SUM($AM741:$AQ741)*VLOOKUP($B741,Lifetime_morbidity_array!$A$30:$Y$48,11))+(SUM($AR741:$AS741)*VLOOKUP($B741,Lifetime_morbidity_array!$A$30:$Y$48,13))+(SUM($AT741:$AU741)*(VLOOKUP($B741,Lifetime_morbidity_array!$A$30:$Y$48,12)))</f>
        <v>54.061445694875751</v>
      </c>
      <c r="DE741" s="309"/>
      <c r="DF741" s="315">
        <f ca="1">(SUM($CN741:$CO741))-((SUM($CN741:$CO741)*VLOOKUP($B741,Lifetime_morbidity_array!$A$6:$Y$24,4))+(SUM($CN741:$CO741)*VLOOKUP($B741,Lifetime_morbidity_array!$A$6:$Y$24,7))+(SUM($CN741:$CO741)*VLOOKUP($B741,Lifetime_morbidity_array!$A$6:$Y$24,10))+(SUM($CN741:$CO741)*VLOOKUP($B741,Lifetime_morbidity_array!$A$6:$Y$24,13)))</f>
        <v>6.7396249577828229</v>
      </c>
      <c r="DG741" s="316">
        <f ca="1">(SUM($CP741:$CQ741))-(((SUM($CP741:$CQ741)*VLOOKUP($B741,Lifetime_morbidity_array!$A$6:$Y$24,3))+(SUM($CP741:$CQ741)*VLOOKUP($B741,Lifetime_morbidity_array!$A$6:$Y$24,6))+(SUM($CP741:$CQ741)*VLOOKUP($B741,Lifetime_morbidity_array!$A$6:$Y$24,9))+(SUM($CP741:$CQ741)*VLOOKUP($B741,Lifetime_morbidity_array!$A$6:$Y$24,12))))</f>
        <v>55.506893145301312</v>
      </c>
      <c r="DH741" s="316">
        <f ca="1">(SUM($CI741:$CM741))-((SUM($CI741:$CM741)*VLOOKUP($B741,Lifetime_morbidity_array!$A$6:$Y$24,2))+(SUM($CI741:$CM741)*VLOOKUP($B741,Lifetime_morbidity_array!$A$6:$Y$24,5))+(SUM($CI741:$CM741)*VLOOKUP($B741,Lifetime_morbidity_array!$A$6:$Y$24,8))+(SUM($CI741:$CM741)*VLOOKUP($B741,Lifetime_morbidity_array!$A$6:$Y$24,11)))</f>
        <v>146.83142652273642</v>
      </c>
      <c r="DI741" s="316">
        <f ca="1">(SUM($CI741:$CM741)*VLOOKUP($B741,Lifetime_morbidity_array!$A$6:$Y$24,2))+(SUM($CN741:$CO741)*VLOOKUP($B741,Lifetime_morbidity_array!$A$6:$Y$24,4))+(SUM($CP741:$CQ741)*VLOOKUP($B741,Lifetime_morbidity_array!$A$6:$Y$24,3))</f>
        <v>86.438590037202417</v>
      </c>
      <c r="DJ741" s="316">
        <f ca="1">(SUM($CI741:$CM741)*VLOOKUP($B741,Lifetime_morbidity_array!$A$6:$Y$24,5))+(SUM($CN741:$CO741)*VLOOKUP($B741,Lifetime_morbidity_array!$A$6:$Y$24,7))+(SUM($CP741:$CQ741)*VLOOKUP($B741,Lifetime_morbidity_array!$A$6:$Y$24,6))</f>
        <v>50.809780950920484</v>
      </c>
      <c r="DK741" s="316">
        <f ca="1">(SUM($CI741:$CM741)*VLOOKUP($B741,Lifetime_morbidity_array!$A$6:$Y$24,8))+(SUM($CN741:$CO741)*VLOOKUP($B741,Lifetime_morbidity_array!$A$6:$Y$24,10))+(SUM($CP741:$CQ741)*VLOOKUP($B741,Lifetime_morbidity_array!$A$6:$Y$24,9))</f>
        <v>1.8593543192442552</v>
      </c>
      <c r="DL741" s="317">
        <f ca="1">(SUM($CI741:$CM741)*VLOOKUP($B741,Lifetime_morbidity_array!$A$6:$Y$24,11))+(SUM($CN741:$CO741)*VLOOKUP($B741,Lifetime_morbidity_array!$A$6:$Y$24,13))+(SUM($CP741:$CQ741)*VLOOKUP($B741,Lifetime_morbidity_array!$A$6:$Y$24,12))</f>
        <v>46.980821662642661</v>
      </c>
      <c r="DM741" s="309"/>
      <c r="DN741" s="308">
        <f t="shared" si="266"/>
        <v>75</v>
      </c>
      <c r="DO741" s="309">
        <f t="shared" ca="1" si="267"/>
        <v>59.347179337135017</v>
      </c>
      <c r="DP741" s="310">
        <f t="shared" ca="1" si="298"/>
        <v>23327.405216555668</v>
      </c>
      <c r="DQ741" s="309"/>
      <c r="DR741" s="308">
        <f t="shared" si="268"/>
        <v>75</v>
      </c>
      <c r="DS741" s="309">
        <f ca="1">((VLOOKUP($B741,'Mahawesran Tariff'!$A$21:$M$120,4)*'Experimental (DET)'!$CX741)+(VLOOKUP($B741,'Mahawesran Tariff'!$A$21:$M$120,3)*'Experimental (DET)'!$CY741)+(VLOOKUP($B741,'Mahawesran Tariff'!$A$21:$M$120,2)*'Experimental (DET)'!$CZ741)+(VLOOKUP($B741,'Mahawesran Tariff'!$A$21:$M$120,7)*'Experimental (DET)'!$DF741)+(VLOOKUP($B741,'Mahawesran Tariff'!$A$21:$M$120,6)*'Experimental (DET)'!$DG741)+(VLOOKUP($B741,'Mahawesran Tariff'!$A$21:$M$120,5)*'Experimental (DET)'!$DH741)+(DET_UTIL_chd*('Experimental (DET)'!$DA741+'Experimental (DET)'!$DI741))+(DET_UTIL_copd*('Experimental (DET)'!$DB741+'Experimental (DET)'!$DJ741))+(DET_UTIL_lc*('Experimental (DET)'!$DC741+'Experimental (DET)'!$DK741))+(DET_UTIL_stroke*('Experimental (DET)'!$DD741+'Experimental (DET)'!$DL741)))/((1+Discount_rate_QALYs)^$A741)</f>
        <v>48.445426999205438</v>
      </c>
      <c r="DT741" s="310">
        <f t="shared" ca="1" si="299"/>
        <v>22941.323825650681</v>
      </c>
      <c r="DU741" s="309"/>
      <c r="DV741" s="308">
        <f t="shared" si="269"/>
        <v>75</v>
      </c>
      <c r="DW741" s="318">
        <f t="shared" ca="1" si="270"/>
        <v>207115.83948454648</v>
      </c>
      <c r="DX741" s="319">
        <f t="shared" ca="1" si="300"/>
        <v>9106539.6876513474</v>
      </c>
      <c r="DZ741" s="95">
        <f t="shared" si="271"/>
        <v>75</v>
      </c>
      <c r="EA741" s="268">
        <f t="shared" ca="1" si="304"/>
        <v>0.78329673634130814</v>
      </c>
      <c r="EB741" s="268">
        <f t="shared" ca="1" si="218"/>
        <v>0.21670326365869175</v>
      </c>
      <c r="EC741" s="268">
        <f t="shared" ca="1" si="219"/>
        <v>0.42397942485668438</v>
      </c>
      <c r="ED741" s="290">
        <f t="shared" ca="1" si="220"/>
        <v>0.43073221629150699</v>
      </c>
      <c r="EF741" s="95">
        <f t="shared" si="272"/>
        <v>75</v>
      </c>
      <c r="EG741" s="339">
        <f t="shared" ca="1" si="273"/>
        <v>207115.83948454648</v>
      </c>
      <c r="EH741" s="341">
        <f t="shared" ca="1" si="301"/>
        <v>12208555.411614897</v>
      </c>
      <c r="EJ741" s="308">
        <f t="shared" si="274"/>
        <v>75</v>
      </c>
      <c r="EK741" s="318">
        <f t="shared" ca="1" si="275"/>
        <v>207115.83948454648</v>
      </c>
      <c r="EL741" s="319">
        <f t="shared" ca="1" si="302"/>
        <v>9103499.6876513455</v>
      </c>
      <c r="EN741" s="95">
        <f t="shared" si="276"/>
        <v>75</v>
      </c>
      <c r="EO741" s="339">
        <f t="shared" ca="1" si="277"/>
        <v>207115.83948454648</v>
      </c>
      <c r="EP741" s="341">
        <f t="shared" ca="1" si="303"/>
        <v>12208555.411614897</v>
      </c>
    </row>
    <row r="742" spans="1:146" s="266" customFormat="1" x14ac:dyDescent="0.25">
      <c r="A742" s="313">
        <v>76</v>
      </c>
      <c r="B742" s="314">
        <v>76</v>
      </c>
      <c r="C742" s="308">
        <f>VLOOKUP($B742,'Infant adult mortality'!$A$27:$I$128,3)</f>
        <v>9.9470760779712553E-3</v>
      </c>
      <c r="D742" s="309">
        <f t="shared" si="221"/>
        <v>0.27</v>
      </c>
      <c r="E742" s="309">
        <f>VLOOKUP($B742,'Infant pick up smoking rates'!$A$19:$I$104,3)</f>
        <v>0</v>
      </c>
      <c r="F742" s="309">
        <f t="shared" si="222"/>
        <v>0.14624098391610749</v>
      </c>
      <c r="G742" s="309">
        <f t="shared" si="223"/>
        <v>0.57381194000592117</v>
      </c>
      <c r="H742" s="309">
        <f>VLOOKUP($B742,'Infant adult mortality'!$A$27:$I$128,3)</f>
        <v>9.9470760779712553E-3</v>
      </c>
      <c r="I742" s="309">
        <f t="shared" si="224"/>
        <v>0.14000000000000001</v>
      </c>
      <c r="J742" s="309">
        <f>VLOOKUP($B742,'Infant pick up smoking rates'!$A$19:$I$104,2)</f>
        <v>0</v>
      </c>
      <c r="K742" s="309">
        <f t="shared" si="225"/>
        <v>0.14624098391610749</v>
      </c>
      <c r="L742" s="309">
        <f t="shared" si="226"/>
        <v>0.70381194000592118</v>
      </c>
      <c r="M742" s="309">
        <f>VLOOKUP($B742,'Infant adult mortality'!$A$27:$I$128,3)</f>
        <v>9.9470760779712553E-3</v>
      </c>
      <c r="N742" s="309">
        <f t="shared" si="227"/>
        <v>0.5714285714285714</v>
      </c>
      <c r="O742" s="309">
        <f>VLOOKUP($B742,'Infant pick up smoking rates'!$A$19:$I$104,2)</f>
        <v>0</v>
      </c>
      <c r="P742" s="309">
        <f t="shared" si="228"/>
        <v>0.12016234480898272</v>
      </c>
      <c r="Q742" s="309">
        <f t="shared" si="229"/>
        <v>0.29846200768447467</v>
      </c>
      <c r="R742" s="309">
        <f>VLOOKUP($B742,'Infant adult mortality'!$A$27:$I$128,3)</f>
        <v>9.9470760779712553E-3</v>
      </c>
      <c r="S742" s="309">
        <f t="shared" si="230"/>
        <v>8.6261668788331098E-3</v>
      </c>
      <c r="T742" s="309">
        <f>VLOOKUP($B742,'Infant pick up smoking rates'!$A$19:$I$104,2)</f>
        <v>0</v>
      </c>
      <c r="U742" s="309">
        <f t="shared" si="231"/>
        <v>0.12016234480898272</v>
      </c>
      <c r="V742" s="309">
        <f t="shared" si="232"/>
        <v>0.86126441223421291</v>
      </c>
      <c r="W742" s="309">
        <f>VLOOKUP($B742,'Infant adult mortality'!$A$27:$I$128,3)</f>
        <v>9.9470760779712553E-3</v>
      </c>
      <c r="X742" s="309">
        <f>VLOOKUP($B742,'Infant pick up smoking rates'!$A$19:$I$104,2)</f>
        <v>0</v>
      </c>
      <c r="Y742" s="309">
        <f t="shared" si="233"/>
        <v>0.9900529239220287</v>
      </c>
      <c r="Z742" s="309">
        <f>VLOOKUP($B742,'Infant adult mortality'!$A$27:$I$128,5)</f>
        <v>1.5643769499480015E-2</v>
      </c>
      <c r="AA742" s="309">
        <f t="shared" si="234"/>
        <v>0.25</v>
      </c>
      <c r="AB742" s="309">
        <f t="shared" si="235"/>
        <v>0.73435623050052001</v>
      </c>
      <c r="AC742" s="309">
        <f>VLOOKUP($B742,'Infant adult mortality'!$A$27:$I$128,5)</f>
        <v>1.5643769499480015E-2</v>
      </c>
      <c r="AD742" s="309">
        <f t="shared" si="236"/>
        <v>0.14000000000000001</v>
      </c>
      <c r="AE742" s="309">
        <f t="shared" si="237"/>
        <v>0.84435623050052</v>
      </c>
      <c r="AF742" s="309">
        <f>VLOOKUP($B742,'Infant adult mortality'!$A$27:$I$128,4)</f>
        <v>1.1408145116130237E-2</v>
      </c>
      <c r="AG742" s="309">
        <f t="shared" si="238"/>
        <v>0.5714285714285714</v>
      </c>
      <c r="AH742" s="309">
        <f t="shared" si="239"/>
        <v>0.41716328345529835</v>
      </c>
      <c r="AI742" s="309">
        <f>VLOOKUP($B742,'Infant adult mortality'!$A$27:$I$128,4)</f>
        <v>1.1408145116130237E-2</v>
      </c>
      <c r="AJ742" s="309">
        <f t="shared" si="240"/>
        <v>8.6261668788331098E-3</v>
      </c>
      <c r="AK742" s="309">
        <f t="shared" si="241"/>
        <v>0.97996568800503669</v>
      </c>
      <c r="AL742" s="309"/>
      <c r="AM742" s="315">
        <f t="shared" si="278"/>
        <v>5.083307291483723</v>
      </c>
      <c r="AN742" s="316">
        <f t="shared" si="279"/>
        <v>1.6326808259437906</v>
      </c>
      <c r="AO742" s="316">
        <f t="shared" si="280"/>
        <v>0.27167340490340125</v>
      </c>
      <c r="AP742" s="316">
        <f t="shared" si="281"/>
        <v>15.267012077138446</v>
      </c>
      <c r="AQ742" s="316">
        <f t="shared" si="282"/>
        <v>124.84934580496298</v>
      </c>
      <c r="AR742" s="316">
        <f t="shared" si="283"/>
        <v>90.560735134923291</v>
      </c>
      <c r="AS742" s="316">
        <f t="shared" si="284"/>
        <v>23.184084957481726</v>
      </c>
      <c r="AT742" s="316">
        <f t="shared" si="285"/>
        <v>3.3177191430828938</v>
      </c>
      <c r="AU742" s="316">
        <f t="shared" si="286"/>
        <v>119.25975637083116</v>
      </c>
      <c r="AV742" s="316">
        <f t="shared" si="287"/>
        <v>126.57368498924825</v>
      </c>
      <c r="AW742" s="317">
        <f t="shared" si="242"/>
        <v>509.99999999999966</v>
      </c>
      <c r="AX742" s="309"/>
      <c r="AY742" s="308">
        <f>VLOOKUP($B742,'Infant adult mortality'!$A$134:$I$234,3)</f>
        <v>6.8973523372710061E-3</v>
      </c>
      <c r="AZ742" s="309">
        <f t="shared" si="243"/>
        <v>0.27</v>
      </c>
      <c r="BA742" s="309">
        <f ca="1">VLOOKUP($B742,'Infant pick up smoking rates'!$A$19:$I$104,7)</f>
        <v>0</v>
      </c>
      <c r="BB742" s="309">
        <f t="shared" si="244"/>
        <v>0.14624098391610749</v>
      </c>
      <c r="BC742" s="309">
        <f t="shared" ca="1" si="245"/>
        <v>0.57686166374662151</v>
      </c>
      <c r="BD742" s="309">
        <f>VLOOKUP($B742,'Infant adult mortality'!$A$134:$I$234,3)</f>
        <v>6.8973523372710061E-3</v>
      </c>
      <c r="BE742" s="309">
        <f t="shared" si="246"/>
        <v>0.14000000000000001</v>
      </c>
      <c r="BF742" s="309">
        <f>VLOOKUP($B742,'Infant pick up smoking rates'!$A$19:$I$104,6)</f>
        <v>0</v>
      </c>
      <c r="BG742" s="309">
        <f t="shared" si="247"/>
        <v>0.14624098391610749</v>
      </c>
      <c r="BH742" s="309">
        <f t="shared" si="248"/>
        <v>0.70686166374662152</v>
      </c>
      <c r="BI742" s="309">
        <f>VLOOKUP($B742,'Infant adult mortality'!$A$134:$I$234,3)</f>
        <v>6.8973523372710061E-3</v>
      </c>
      <c r="BJ742" s="309">
        <f t="shared" si="249"/>
        <v>0.5714285714285714</v>
      </c>
      <c r="BK742" s="309">
        <f>VLOOKUP($B742,'Infant pick up smoking rates'!$A$19:$I$104,6)</f>
        <v>0</v>
      </c>
      <c r="BL742" s="309">
        <f t="shared" si="250"/>
        <v>0.12016234480898272</v>
      </c>
      <c r="BM742" s="309">
        <f t="shared" si="251"/>
        <v>0.3015117314251749</v>
      </c>
      <c r="BN742" s="309">
        <f>VLOOKUP($B742,'Infant adult mortality'!$A$134:$I$234,3)</f>
        <v>6.8973523372710061E-3</v>
      </c>
      <c r="BO742" s="309">
        <f t="shared" si="252"/>
        <v>8.6261668788331098E-3</v>
      </c>
      <c r="BP742" s="309">
        <f>VLOOKUP($B742,'Infant pick up smoking rates'!$A$19:$I$104,6)</f>
        <v>0</v>
      </c>
      <c r="BQ742" s="309">
        <f t="shared" si="253"/>
        <v>0.12016234480898272</v>
      </c>
      <c r="BR742" s="309">
        <f t="shared" si="254"/>
        <v>0.86431413597491324</v>
      </c>
      <c r="BS742" s="309">
        <f>VLOOKUP($B742,'Infant adult mortality'!$A$134:$I$234,3)</f>
        <v>6.8973523372710061E-3</v>
      </c>
      <c r="BT742" s="309">
        <f>VLOOKUP($B742,'Infant pick up smoking rates'!$A$19:$I$104,6)</f>
        <v>0</v>
      </c>
      <c r="BU742" s="309">
        <f t="shared" si="255"/>
        <v>0.99310264766272904</v>
      </c>
      <c r="BV742" s="309">
        <f>VLOOKUP($B742,'Infant adult mortality'!$A$134:$I$234,5)</f>
        <v>1.0847468067518198E-2</v>
      </c>
      <c r="BW742" s="309">
        <f t="shared" si="256"/>
        <v>0.27</v>
      </c>
      <c r="BX742" s="309">
        <f t="shared" si="257"/>
        <v>0.71915253193248174</v>
      </c>
      <c r="BY742" s="309">
        <f>VLOOKUP($B742,'Infant adult mortality'!$A$134:$I$234,5)</f>
        <v>1.0847468067518198E-2</v>
      </c>
      <c r="BZ742" s="309">
        <f t="shared" si="258"/>
        <v>0.14000000000000001</v>
      </c>
      <c r="CA742" s="309">
        <f t="shared" si="259"/>
        <v>0.84915253193248175</v>
      </c>
      <c r="CB742" s="309">
        <f>VLOOKUP($B742,'Infant adult mortality'!$A$134:$I$234,4)</f>
        <v>7.9104649209354415E-3</v>
      </c>
      <c r="CC742" s="309">
        <f t="shared" si="260"/>
        <v>0.5714285714285714</v>
      </c>
      <c r="CD742" s="309">
        <f t="shared" si="261"/>
        <v>0.42066096365049316</v>
      </c>
      <c r="CE742" s="309">
        <f>VLOOKUP($B742,'Infant adult mortality'!$A$134:$I$234,4)</f>
        <v>7.9104649209354415E-3</v>
      </c>
      <c r="CF742" s="309">
        <f t="shared" si="262"/>
        <v>8.6261668788331098E-3</v>
      </c>
      <c r="CG742" s="309">
        <f t="shared" si="263"/>
        <v>0.9834633682002315</v>
      </c>
      <c r="CH742" s="309"/>
      <c r="CI742" s="315">
        <f t="shared" ca="1" si="288"/>
        <v>7.0657648927723562</v>
      </c>
      <c r="CJ742" s="316">
        <f t="shared" ca="1" si="289"/>
        <v>2.2612733494724835</v>
      </c>
      <c r="CK742" s="316">
        <f t="shared" ca="1" si="290"/>
        <v>0.37498149317175239</v>
      </c>
      <c r="CL742" s="316">
        <f t="shared" ca="1" si="291"/>
        <v>20.975735924528013</v>
      </c>
      <c r="CM742" s="316">
        <f t="shared" ca="1" si="292"/>
        <v>171.89784929053221</v>
      </c>
      <c r="CN742" s="316">
        <f t="shared" ca="1" si="293"/>
        <v>69.945727115821356</v>
      </c>
      <c r="CO742" s="316">
        <f t="shared" ca="1" si="294"/>
        <v>19.25337015224337</v>
      </c>
      <c r="CP742" s="316">
        <f t="shared" ca="1" si="295"/>
        <v>2.74445951486158</v>
      </c>
      <c r="CQ742" s="316">
        <f t="shared" ca="1" si="296"/>
        <v>97.461027467322182</v>
      </c>
      <c r="CR742" s="316">
        <f t="shared" ca="1" si="297"/>
        <v>98.019810799274879</v>
      </c>
      <c r="CS742" s="317">
        <f t="shared" ca="1" si="264"/>
        <v>490.00000000000017</v>
      </c>
      <c r="CT742" s="309"/>
      <c r="CU742" s="309">
        <f t="shared" ca="1" si="265"/>
        <v>999.99999999999977</v>
      </c>
      <c r="CV742" s="309" t="str">
        <f t="shared" ca="1" si="216"/>
        <v>OKAY</v>
      </c>
      <c r="CW742" s="309"/>
      <c r="CX742" s="315">
        <f>(SUM($AR742:$AS742))-((SUM($AR742:$AS742)*VLOOKUP($B742,Lifetime_morbidity_array!$A$30:$Y$48,4))+(SUM($AR742:$AS742)*VLOOKUP($B742,Lifetime_morbidity_array!$A$30:$Y$48,7))+(SUM($AR742:$AS742)*VLOOKUP($B742,Lifetime_morbidity_array!$A$30:$Y$48,10))+(SUM($AR742:$AS742)*VLOOKUP($B742,Lifetime_morbidity_array!$A$30:$Y$48,13)))</f>
        <v>-1.0261240370304421</v>
      </c>
      <c r="CY742" s="316">
        <f>(SUM($AT742:$AU742))-((SUM($AT742:$AU742)*(VLOOKUP($B742,Lifetime_morbidity_array!$A$30:$Y$48,3)))+(SUM($AT742:$AU742)*(VLOOKUP($B742,Lifetime_morbidity_array!$A$30:$Y$48,6)))+(SUM($AT742:$AU742)*(VLOOKUP($B742,Lifetime_morbidity_array!$A$30:$Y$48,9)))+(SUM($AT742:$AU742)*(VLOOKUP($B742,Lifetime_morbidity_array!$A$30:$Y$48,12))))</f>
        <v>56.209467889505063</v>
      </c>
      <c r="CZ742" s="316">
        <f>(SUM($AM742:$AQ742))-((SUM($AM742:$AQ742)*VLOOKUP($B742,Lifetime_morbidity_array!$A$30:$Y$48,2))+(SUM($AM742:$AQ742)*VLOOKUP($B742,Lifetime_morbidity_array!$A$30:$Y$48,5))+(SUM($AM742:$AQ742)*VLOOKUP($B742,Lifetime_morbidity_array!$A$30:$Y$48,8))+(SUM($AM742:$AQ742)*VLOOKUP($B742,Lifetime_morbidity_array!$A$30:$Y$48,11)))</f>
        <v>93.890961470621406</v>
      </c>
      <c r="DA742" s="316">
        <f>(SUM($AM742:$AQ742)*VLOOKUP($B742,Lifetime_morbidity_array!$A$30:$Y$48,2))+(SUM($AR742:$AS742)*VLOOKUP($B742,Lifetime_morbidity_array!$A$30:$Y$48,4))+(SUM($AT742:$AU742)*(VLOOKUP($B742,Lifetime_morbidity_array!$A$30:$Y$48,3)))</f>
        <v>121.32454747553723</v>
      </c>
      <c r="DB742" s="316">
        <f>(SUM($AM742:$AQ742)*VLOOKUP($B742,Lifetime_morbidity_array!$A$30:$Y$48,5))+(SUM($AR742:$AS742)*VLOOKUP($B742,Lifetime_morbidity_array!$A$30:$Y$48,7))+(SUM($AT742:$AU742)*(VLOOKUP($B742,Lifetime_morbidity_array!$A$30:$Y$48,6)))</f>
        <v>55.010660718551634</v>
      </c>
      <c r="DC742" s="316">
        <f>(SUM($AM742:$AQ742)*VLOOKUP($B742,Lifetime_morbidity_array!$A$30:$Y$48,8))+(SUM($AR742:$AS742)*VLOOKUP($B742,Lifetime_morbidity_array!$A$30:$Y$48,10))+(SUM($AT742:$AU742)*(VLOOKUP($B742,Lifetime_morbidity_array!$A$30:$Y$48,9)))</f>
        <v>4.6693453437466834</v>
      </c>
      <c r="DD742" s="317">
        <f>(SUM($AM742:$AQ742)*VLOOKUP($B742,Lifetime_morbidity_array!$A$30:$Y$48,11))+(SUM($AR742:$AS742)*VLOOKUP($B742,Lifetime_morbidity_array!$A$30:$Y$48,13))+(SUM($AT742:$AU742)*(VLOOKUP($B742,Lifetime_morbidity_array!$A$30:$Y$48,12)))</f>
        <v>53.347456149819848</v>
      </c>
      <c r="DE742" s="309"/>
      <c r="DF742" s="315">
        <f ca="1">(SUM($CN742:$CO742))-((SUM($CN742:$CO742)*VLOOKUP($B742,Lifetime_morbidity_array!$A$6:$Y$24,4))+(SUM($CN742:$CO742)*VLOOKUP($B742,Lifetime_morbidity_array!$A$6:$Y$24,7))+(SUM($CN742:$CO742)*VLOOKUP($B742,Lifetime_morbidity_array!$A$6:$Y$24,10))+(SUM($CN742:$CO742)*VLOOKUP($B742,Lifetime_morbidity_array!$A$6:$Y$24,13)))</f>
        <v>6.6126370720646861</v>
      </c>
      <c r="DG742" s="316">
        <f ca="1">(SUM($CP742:$CQ742))-(((SUM($CP742:$CQ742)*VLOOKUP($B742,Lifetime_morbidity_array!$A$6:$Y$24,3))+(SUM($CP742:$CQ742)*VLOOKUP($B742,Lifetime_morbidity_array!$A$6:$Y$24,6))+(SUM($CP742:$CQ742)*VLOOKUP($B742,Lifetime_morbidity_array!$A$6:$Y$24,9))+(SUM($CP742:$CQ742)*VLOOKUP($B742,Lifetime_morbidity_array!$A$6:$Y$24,12))))</f>
        <v>55.470136729963997</v>
      </c>
      <c r="DH742" s="316">
        <f ca="1">(SUM($CI742:$CM742))-((SUM($CI742:$CM742)*VLOOKUP($B742,Lifetime_morbidity_array!$A$6:$Y$24,2))+(SUM($CI742:$CM742)*VLOOKUP($B742,Lifetime_morbidity_array!$A$6:$Y$24,5))+(SUM($CI742:$CM742)*VLOOKUP($B742,Lifetime_morbidity_array!$A$6:$Y$24,8))+(SUM($CI742:$CM742)*VLOOKUP($B742,Lifetime_morbidity_array!$A$6:$Y$24,11)))</f>
        <v>145.81867843982496</v>
      </c>
      <c r="DI742" s="316">
        <f ca="1">(SUM($CI742:$CM742)*VLOOKUP($B742,Lifetime_morbidity_array!$A$6:$Y$24,2))+(SUM($CN742:$CO742)*VLOOKUP($B742,Lifetime_morbidity_array!$A$6:$Y$24,4))+(SUM($CP742:$CQ742)*VLOOKUP($B742,Lifetime_morbidity_array!$A$6:$Y$24,3))</f>
        <v>85.576359993020546</v>
      </c>
      <c r="DJ742" s="316">
        <f ca="1">(SUM($CI742:$CM742)*VLOOKUP($B742,Lifetime_morbidity_array!$A$6:$Y$24,5))+(SUM($CN742:$CO742)*VLOOKUP($B742,Lifetime_morbidity_array!$A$6:$Y$24,7))+(SUM($CP742:$CQ742)*VLOOKUP($B742,Lifetime_morbidity_array!$A$6:$Y$24,6))</f>
        <v>50.12846065162271</v>
      </c>
      <c r="DK742" s="316">
        <f ca="1">(SUM($CI742:$CM742)*VLOOKUP($B742,Lifetime_morbidity_array!$A$6:$Y$24,8))+(SUM($CN742:$CO742)*VLOOKUP($B742,Lifetime_morbidity_array!$A$6:$Y$24,10))+(SUM($CP742:$CQ742)*VLOOKUP($B742,Lifetime_morbidity_array!$A$6:$Y$24,9))</f>
        <v>1.8332107238774435</v>
      </c>
      <c r="DL742" s="317">
        <f ca="1">(SUM($CI742:$CM742)*VLOOKUP($B742,Lifetime_morbidity_array!$A$6:$Y$24,11))+(SUM($CN742:$CO742)*VLOOKUP($B742,Lifetime_morbidity_array!$A$6:$Y$24,13))+(SUM($CP742:$CQ742)*VLOOKUP($B742,Lifetime_morbidity_array!$A$6:$Y$24,12))</f>
        <v>46.540705590350946</v>
      </c>
      <c r="DM742" s="309"/>
      <c r="DN742" s="308">
        <f t="shared" si="266"/>
        <v>76</v>
      </c>
      <c r="DO742" s="309">
        <f t="shared" ca="1" si="267"/>
        <v>56.762675195562032</v>
      </c>
      <c r="DP742" s="310">
        <f t="shared" ca="1" si="298"/>
        <v>23384.167891751229</v>
      </c>
      <c r="DQ742" s="309"/>
      <c r="DR742" s="308">
        <f t="shared" si="268"/>
        <v>76</v>
      </c>
      <c r="DS742" s="309">
        <f ca="1">((VLOOKUP($B742,'Mahawesran Tariff'!$A$21:$M$120,4)*'Experimental (DET)'!$CX742)+(VLOOKUP($B742,'Mahawesran Tariff'!$A$21:$M$120,3)*'Experimental (DET)'!$CY742)+(VLOOKUP($B742,'Mahawesran Tariff'!$A$21:$M$120,2)*'Experimental (DET)'!$CZ742)+(VLOOKUP($B742,'Mahawesran Tariff'!$A$21:$M$120,7)*'Experimental (DET)'!$DF742)+(VLOOKUP($B742,'Mahawesran Tariff'!$A$21:$M$120,6)*'Experimental (DET)'!$DG742)+(VLOOKUP($B742,'Mahawesran Tariff'!$A$21:$M$120,5)*'Experimental (DET)'!$DH742)+(DET_UTIL_chd*('Experimental (DET)'!$DA742+'Experimental (DET)'!$DI742))+(DET_UTIL_copd*('Experimental (DET)'!$DB742+'Experimental (DET)'!$DJ742))+(DET_UTIL_lc*('Experimental (DET)'!$DC742+'Experimental (DET)'!$DK742))+(DET_UTIL_stroke*('Experimental (DET)'!$DD742+'Experimental (DET)'!$DL742)))/((1+Discount_rate_QALYs)^$A742)</f>
        <v>46.353201777386069</v>
      </c>
      <c r="DT742" s="310">
        <f t="shared" ca="1" si="299"/>
        <v>22987.677027428068</v>
      </c>
      <c r="DU742" s="309"/>
      <c r="DV742" s="308">
        <f t="shared" si="269"/>
        <v>76</v>
      </c>
      <c r="DW742" s="318">
        <f t="shared" ca="1" si="270"/>
        <v>197745.63049367678</v>
      </c>
      <c r="DX742" s="319">
        <f t="shared" ca="1" si="300"/>
        <v>9304285.3181450237</v>
      </c>
      <c r="DZ742" s="95">
        <f t="shared" si="271"/>
        <v>76</v>
      </c>
      <c r="EA742" s="268">
        <f t="shared" ca="1" si="304"/>
        <v>0.77540650421147661</v>
      </c>
      <c r="EB742" s="268">
        <f t="shared" ca="1" si="218"/>
        <v>0.22459349578852311</v>
      </c>
      <c r="EC742" s="268">
        <f t="shared" ca="1" si="219"/>
        <v>0.41843074664652702</v>
      </c>
      <c r="ED742" s="290">
        <f t="shared" ca="1" si="220"/>
        <v>0.42572687985656754</v>
      </c>
      <c r="EF742" s="95">
        <f t="shared" si="272"/>
        <v>76</v>
      </c>
      <c r="EG742" s="339">
        <f t="shared" ca="1" si="273"/>
        <v>197745.63049367678</v>
      </c>
      <c r="EH742" s="341">
        <f t="shared" ca="1" si="301"/>
        <v>12406301.042108573</v>
      </c>
      <c r="EJ742" s="308">
        <f t="shared" si="274"/>
        <v>76</v>
      </c>
      <c r="EK742" s="318">
        <f t="shared" ca="1" si="275"/>
        <v>197745.63049367678</v>
      </c>
      <c r="EL742" s="319">
        <f t="shared" ca="1" si="302"/>
        <v>9301245.3181450218</v>
      </c>
      <c r="EN742" s="95">
        <f t="shared" si="276"/>
        <v>76</v>
      </c>
      <c r="EO742" s="339">
        <f t="shared" ca="1" si="277"/>
        <v>197745.63049367678</v>
      </c>
      <c r="EP742" s="341">
        <f t="shared" ca="1" si="303"/>
        <v>12406301.042108573</v>
      </c>
    </row>
    <row r="743" spans="1:146" s="266" customFormat="1" x14ac:dyDescent="0.25">
      <c r="A743" s="313">
        <v>77</v>
      </c>
      <c r="B743" s="314">
        <v>77</v>
      </c>
      <c r="C743" s="308">
        <f>VLOOKUP($B743,'Infant adult mortality'!$A$27:$I$128,3)</f>
        <v>1.0849762672995386E-2</v>
      </c>
      <c r="D743" s="309">
        <f t="shared" si="221"/>
        <v>0.27</v>
      </c>
      <c r="E743" s="309">
        <f>VLOOKUP($B743,'Infant pick up smoking rates'!$A$19:$I$104,3)</f>
        <v>0</v>
      </c>
      <c r="F743" s="309">
        <f t="shared" si="222"/>
        <v>0.14624098391610749</v>
      </c>
      <c r="G743" s="309">
        <f t="shared" si="223"/>
        <v>0.57290925341089705</v>
      </c>
      <c r="H743" s="309">
        <f>VLOOKUP($B743,'Infant adult mortality'!$A$27:$I$128,3)</f>
        <v>1.0849762672995386E-2</v>
      </c>
      <c r="I743" s="309">
        <f t="shared" si="224"/>
        <v>0.14000000000000001</v>
      </c>
      <c r="J743" s="309">
        <f>VLOOKUP($B743,'Infant pick up smoking rates'!$A$19:$I$104,2)</f>
        <v>0</v>
      </c>
      <c r="K743" s="309">
        <f t="shared" si="225"/>
        <v>0.14624098391610749</v>
      </c>
      <c r="L743" s="309">
        <f t="shared" si="226"/>
        <v>0.70290925341089705</v>
      </c>
      <c r="M743" s="309">
        <f>VLOOKUP($B743,'Infant adult mortality'!$A$27:$I$128,3)</f>
        <v>1.0849762672995386E-2</v>
      </c>
      <c r="N743" s="309">
        <f t="shared" si="227"/>
        <v>0.5714285714285714</v>
      </c>
      <c r="O743" s="309">
        <f>VLOOKUP($B743,'Infant pick up smoking rates'!$A$19:$I$104,2)</f>
        <v>0</v>
      </c>
      <c r="P743" s="309">
        <f t="shared" si="228"/>
        <v>0.12016234480898272</v>
      </c>
      <c r="Q743" s="309">
        <f t="shared" si="229"/>
        <v>0.29755932108945055</v>
      </c>
      <c r="R743" s="309">
        <f>VLOOKUP($B743,'Infant adult mortality'!$A$27:$I$128,3)</f>
        <v>1.0849762672995386E-2</v>
      </c>
      <c r="S743" s="309">
        <f t="shared" si="230"/>
        <v>8.6261668788331098E-3</v>
      </c>
      <c r="T743" s="309">
        <f>VLOOKUP($B743,'Infant pick up smoking rates'!$A$19:$I$104,2)</f>
        <v>0</v>
      </c>
      <c r="U743" s="309">
        <f t="shared" si="231"/>
        <v>0.12016234480898272</v>
      </c>
      <c r="V743" s="309">
        <f t="shared" si="232"/>
        <v>0.86036172563918878</v>
      </c>
      <c r="W743" s="309">
        <f>VLOOKUP($B743,'Infant adult mortality'!$A$27:$I$128,3)</f>
        <v>1.0849762672995386E-2</v>
      </c>
      <c r="X743" s="309">
        <f>VLOOKUP($B743,'Infant pick up smoking rates'!$A$19:$I$104,2)</f>
        <v>0</v>
      </c>
      <c r="Y743" s="309">
        <f t="shared" si="233"/>
        <v>0.98915023732700458</v>
      </c>
      <c r="Z743" s="309">
        <f>VLOOKUP($B743,'Infant adult mortality'!$A$27:$I$128,5)</f>
        <v>1.7063424975333988E-2</v>
      </c>
      <c r="AA743" s="309">
        <f t="shared" si="234"/>
        <v>0.25</v>
      </c>
      <c r="AB743" s="309">
        <f t="shared" si="235"/>
        <v>0.73293657502466603</v>
      </c>
      <c r="AC743" s="309">
        <f>VLOOKUP($B743,'Infant adult mortality'!$A$27:$I$128,5)</f>
        <v>1.7063424975333988E-2</v>
      </c>
      <c r="AD743" s="309">
        <f t="shared" si="236"/>
        <v>0.14000000000000001</v>
      </c>
      <c r="AE743" s="309">
        <f t="shared" si="237"/>
        <v>0.84293657502466601</v>
      </c>
      <c r="AF743" s="309">
        <f>VLOOKUP($B743,'Infant adult mortality'!$A$27:$I$128,4)</f>
        <v>1.2443422175408654E-2</v>
      </c>
      <c r="AG743" s="309">
        <f t="shared" si="238"/>
        <v>0.5714285714285714</v>
      </c>
      <c r="AH743" s="309">
        <f t="shared" si="239"/>
        <v>0.41612800639601993</v>
      </c>
      <c r="AI743" s="309">
        <f>VLOOKUP($B743,'Infant adult mortality'!$A$27:$I$128,4)</f>
        <v>1.2443422175408654E-2</v>
      </c>
      <c r="AJ743" s="309">
        <f t="shared" si="240"/>
        <v>8.6261668788331098E-3</v>
      </c>
      <c r="AK743" s="309">
        <f t="shared" si="241"/>
        <v>0.97893041094575828</v>
      </c>
      <c r="AL743" s="309"/>
      <c r="AM743" s="315">
        <f t="shared" si="278"/>
        <v>4.2724349934842172</v>
      </c>
      <c r="AN743" s="316">
        <f t="shared" si="279"/>
        <v>1.3724929687006053</v>
      </c>
      <c r="AO743" s="316">
        <f t="shared" si="280"/>
        <v>0.22857531563213071</v>
      </c>
      <c r="AP743" s="316">
        <f t="shared" si="281"/>
        <v>13.290394801700257</v>
      </c>
      <c r="AQ743" s="316">
        <f t="shared" si="282"/>
        <v>126.34407762613333</v>
      </c>
      <c r="AR743" s="316">
        <f t="shared" si="283"/>
        <v>88.327338623823906</v>
      </c>
      <c r="AS743" s="316">
        <f t="shared" si="284"/>
        <v>22.640183783730823</v>
      </c>
      <c r="AT743" s="316">
        <f t="shared" si="285"/>
        <v>3.2457718940474418</v>
      </c>
      <c r="AU743" s="316">
        <f t="shared" si="286"/>
        <v>118.64284182372184</v>
      </c>
      <c r="AV743" s="316">
        <f t="shared" si="287"/>
        <v>131.63588816902512</v>
      </c>
      <c r="AW743" s="317">
        <f t="shared" si="242"/>
        <v>509.99999999999966</v>
      </c>
      <c r="AX743" s="309"/>
      <c r="AY743" s="308">
        <f>VLOOKUP($B743,'Infant adult mortality'!$A$134:$I$234,3)</f>
        <v>7.5645945441454891E-3</v>
      </c>
      <c r="AZ743" s="309">
        <f t="shared" si="243"/>
        <v>0.27</v>
      </c>
      <c r="BA743" s="309">
        <f ca="1">VLOOKUP($B743,'Infant pick up smoking rates'!$A$19:$I$104,7)</f>
        <v>0</v>
      </c>
      <c r="BB743" s="309">
        <f t="shared" si="244"/>
        <v>0.14624098391610749</v>
      </c>
      <c r="BC743" s="309">
        <f t="shared" ca="1" si="245"/>
        <v>0.57619442153974698</v>
      </c>
      <c r="BD743" s="309">
        <f>VLOOKUP($B743,'Infant adult mortality'!$A$134:$I$234,3)</f>
        <v>7.5645945441454891E-3</v>
      </c>
      <c r="BE743" s="309">
        <f t="shared" si="246"/>
        <v>0.14000000000000001</v>
      </c>
      <c r="BF743" s="309">
        <f>VLOOKUP($B743,'Infant pick up smoking rates'!$A$19:$I$104,6)</f>
        <v>0</v>
      </c>
      <c r="BG743" s="309">
        <f t="shared" si="247"/>
        <v>0.14624098391610749</v>
      </c>
      <c r="BH743" s="309">
        <f t="shared" si="248"/>
        <v>0.70619442153974699</v>
      </c>
      <c r="BI743" s="309">
        <f>VLOOKUP($B743,'Infant adult mortality'!$A$134:$I$234,3)</f>
        <v>7.5645945441454891E-3</v>
      </c>
      <c r="BJ743" s="309">
        <f t="shared" si="249"/>
        <v>0.5714285714285714</v>
      </c>
      <c r="BK743" s="309">
        <f>VLOOKUP($B743,'Infant pick up smoking rates'!$A$19:$I$104,6)</f>
        <v>0</v>
      </c>
      <c r="BL743" s="309">
        <f t="shared" si="250"/>
        <v>0.12016234480898272</v>
      </c>
      <c r="BM743" s="309">
        <f t="shared" si="251"/>
        <v>0.30084448921830043</v>
      </c>
      <c r="BN743" s="309">
        <f>VLOOKUP($B743,'Infant adult mortality'!$A$134:$I$234,3)</f>
        <v>7.5645945441454891E-3</v>
      </c>
      <c r="BO743" s="309">
        <f t="shared" si="252"/>
        <v>8.6261668788331098E-3</v>
      </c>
      <c r="BP743" s="309">
        <f>VLOOKUP($B743,'Infant pick up smoking rates'!$A$19:$I$104,6)</f>
        <v>0</v>
      </c>
      <c r="BQ743" s="309">
        <f t="shared" si="253"/>
        <v>0.12016234480898272</v>
      </c>
      <c r="BR743" s="309">
        <f t="shared" si="254"/>
        <v>0.86364689376803871</v>
      </c>
      <c r="BS743" s="309">
        <f>VLOOKUP($B743,'Infant adult mortality'!$A$134:$I$234,3)</f>
        <v>7.5645945441454891E-3</v>
      </c>
      <c r="BT743" s="309">
        <f>VLOOKUP($B743,'Infant pick up smoking rates'!$A$19:$I$104,6)</f>
        <v>0</v>
      </c>
      <c r="BU743" s="309">
        <f t="shared" si="255"/>
        <v>0.99243540545585451</v>
      </c>
      <c r="BV743" s="309">
        <f>VLOOKUP($B743,'Infant adult mortality'!$A$134:$I$234,5)</f>
        <v>1.1896840084264419E-2</v>
      </c>
      <c r="BW743" s="309">
        <f t="shared" si="256"/>
        <v>0.27</v>
      </c>
      <c r="BX743" s="309">
        <f t="shared" si="257"/>
        <v>0.71810315991573559</v>
      </c>
      <c r="BY743" s="309">
        <f>VLOOKUP($B743,'Infant adult mortality'!$A$134:$I$234,5)</f>
        <v>1.1896840084264419E-2</v>
      </c>
      <c r="BZ743" s="309">
        <f t="shared" si="258"/>
        <v>0.14000000000000001</v>
      </c>
      <c r="CA743" s="309">
        <f t="shared" si="259"/>
        <v>0.84810315991573559</v>
      </c>
      <c r="CB743" s="309">
        <f>VLOOKUP($B743,'Infant adult mortality'!$A$134:$I$234,4)</f>
        <v>8.6757145142796182E-3</v>
      </c>
      <c r="CC743" s="309">
        <f t="shared" si="260"/>
        <v>0.5714285714285714</v>
      </c>
      <c r="CD743" s="309">
        <f t="shared" si="261"/>
        <v>0.41989571405714898</v>
      </c>
      <c r="CE743" s="309">
        <f>VLOOKUP($B743,'Infant adult mortality'!$A$134:$I$234,4)</f>
        <v>8.6757145142796182E-3</v>
      </c>
      <c r="CF743" s="309">
        <f t="shared" si="262"/>
        <v>8.6261668788331098E-3</v>
      </c>
      <c r="CG743" s="309">
        <f t="shared" si="263"/>
        <v>0.98269811860688727</v>
      </c>
      <c r="CH743" s="309"/>
      <c r="CI743" s="315">
        <f t="shared" ca="1" si="288"/>
        <v>5.9619042543716718</v>
      </c>
      <c r="CJ743" s="316">
        <f t="shared" ca="1" si="289"/>
        <v>1.9077565210485363</v>
      </c>
      <c r="CK743" s="316">
        <f t="shared" ca="1" si="290"/>
        <v>0.31657826892614771</v>
      </c>
      <c r="CL743" s="316">
        <f t="shared" ca="1" si="291"/>
        <v>18.329904314672564</v>
      </c>
      <c r="CM743" s="316">
        <f t="shared" ca="1" si="292"/>
        <v>174.52705927547254</v>
      </c>
      <c r="CN743" s="316">
        <f t="shared" ca="1" si="293"/>
        <v>68.550193604429367</v>
      </c>
      <c r="CO743" s="316">
        <f t="shared" ca="1" si="294"/>
        <v>18.885346321271768</v>
      </c>
      <c r="CP743" s="316">
        <f t="shared" ca="1" si="295"/>
        <v>2.6954718213140723</v>
      </c>
      <c r="CQ743" s="316">
        <f t="shared" ca="1" si="296"/>
        <v>97.343030909552567</v>
      </c>
      <c r="CR743" s="316">
        <f t="shared" ca="1" si="297"/>
        <v>101.48275470894093</v>
      </c>
      <c r="CS743" s="317">
        <f t="shared" ca="1" si="264"/>
        <v>490.00000000000017</v>
      </c>
      <c r="CT743" s="309"/>
      <c r="CU743" s="309">
        <f t="shared" ca="1" si="265"/>
        <v>999.99999999999977</v>
      </c>
      <c r="CV743" s="309" t="str">
        <f t="shared" ca="1" si="216"/>
        <v>OKAY</v>
      </c>
      <c r="CW743" s="309"/>
      <c r="CX743" s="315">
        <f>(SUM($AR743:$AS743))-((SUM($AR743:$AS743)*VLOOKUP($B743,Lifetime_morbidity_array!$A$30:$Y$48,4))+(SUM($AR743:$AS743)*VLOOKUP($B743,Lifetime_morbidity_array!$A$30:$Y$48,7))+(SUM($AR743:$AS743)*VLOOKUP($B743,Lifetime_morbidity_array!$A$30:$Y$48,10))+(SUM($AR743:$AS743)*VLOOKUP($B743,Lifetime_morbidity_array!$A$30:$Y$48,13)))</f>
        <v>-1.0010692529084082</v>
      </c>
      <c r="CY743" s="316">
        <f>(SUM($AT743:$AU743))-((SUM($AT743:$AU743)*(VLOOKUP($B743,Lifetime_morbidity_array!$A$30:$Y$48,3)))+(SUM($AT743:$AU743)*(VLOOKUP($B743,Lifetime_morbidity_array!$A$30:$Y$48,6)))+(SUM($AT743:$AU743)*(VLOOKUP($B743,Lifetime_morbidity_array!$A$30:$Y$48,9)))+(SUM($AT743:$AU743)*(VLOOKUP($B743,Lifetime_morbidity_array!$A$30:$Y$48,12))))</f>
        <v>55.893581509496272</v>
      </c>
      <c r="CZ743" s="316">
        <f>(SUM($AM743:$AQ743))-((SUM($AM743:$AQ743)*VLOOKUP($B743,Lifetime_morbidity_array!$A$30:$Y$48,2))+(SUM($AM743:$AQ743)*VLOOKUP($B743,Lifetime_morbidity_array!$A$30:$Y$48,5))+(SUM($AM743:$AQ743)*VLOOKUP($B743,Lifetime_morbidity_array!$A$30:$Y$48,8))+(SUM($AM743:$AQ743)*VLOOKUP($B743,Lifetime_morbidity_array!$A$30:$Y$48,11)))</f>
        <v>92.872266821525812</v>
      </c>
      <c r="DA743" s="316">
        <f>(SUM($AM743:$AQ743)*VLOOKUP($B743,Lifetime_morbidity_array!$A$30:$Y$48,2))+(SUM($AR743:$AS743)*VLOOKUP($B743,Lifetime_morbidity_array!$A$30:$Y$48,4))+(SUM($AT743:$AU743)*(VLOOKUP($B743,Lifetime_morbidity_array!$A$30:$Y$48,3)))</f>
        <v>119.50636578704346</v>
      </c>
      <c r="DB743" s="316">
        <f>(SUM($AM743:$AQ743)*VLOOKUP($B743,Lifetime_morbidity_array!$A$30:$Y$48,5))+(SUM($AR743:$AS743)*VLOOKUP($B743,Lifetime_morbidity_array!$A$30:$Y$48,7))+(SUM($AT743:$AU743)*(VLOOKUP($B743,Lifetime_morbidity_array!$A$30:$Y$48,6)))</f>
        <v>53.930978842982249</v>
      </c>
      <c r="DC743" s="316">
        <f>(SUM($AM743:$AQ743)*VLOOKUP($B743,Lifetime_morbidity_array!$A$30:$Y$48,8))+(SUM($AR743:$AS743)*VLOOKUP($B743,Lifetime_morbidity_array!$A$30:$Y$48,10))+(SUM($AT743:$AU743)*(VLOOKUP($B743,Lifetime_morbidity_array!$A$30:$Y$48,9)))</f>
        <v>4.577858474566721</v>
      </c>
      <c r="DD743" s="317">
        <f>(SUM($AM743:$AQ743)*VLOOKUP($B743,Lifetime_morbidity_array!$A$30:$Y$48,11))+(SUM($AR743:$AS743)*VLOOKUP($B743,Lifetime_morbidity_array!$A$30:$Y$48,13))+(SUM($AT743:$AU743)*(VLOOKUP($B743,Lifetime_morbidity_array!$A$30:$Y$48,12)))</f>
        <v>52.584129648268444</v>
      </c>
      <c r="DE743" s="309"/>
      <c r="DF743" s="315">
        <f ca="1">(SUM($CN743:$CO743))-((SUM($CN743:$CO743)*VLOOKUP($B743,Lifetime_morbidity_array!$A$6:$Y$24,4))+(SUM($CN743:$CO743)*VLOOKUP($B743,Lifetime_morbidity_array!$A$6:$Y$24,7))+(SUM($CN743:$CO743)*VLOOKUP($B743,Lifetime_morbidity_array!$A$6:$Y$24,10))+(SUM($CN743:$CO743)*VLOOKUP($B743,Lifetime_morbidity_array!$A$6:$Y$24,13)))</f>
        <v>6.4818984769668049</v>
      </c>
      <c r="DG743" s="316">
        <f ca="1">(SUM($CP743:$CQ743))-(((SUM($CP743:$CQ743)*VLOOKUP($B743,Lifetime_morbidity_array!$A$6:$Y$24,3))+(SUM($CP743:$CQ743)*VLOOKUP($B743,Lifetime_morbidity_array!$A$6:$Y$24,6))+(SUM($CP743:$CQ743)*VLOOKUP($B743,Lifetime_morbidity_array!$A$6:$Y$24,9))+(SUM($CP743:$CQ743)*VLOOKUP($B743,Lifetime_morbidity_array!$A$6:$Y$24,12))))</f>
        <v>55.377700282307615</v>
      </c>
      <c r="DH743" s="316">
        <f ca="1">(SUM($CI743:$CM743))-((SUM($CI743:$CM743)*VLOOKUP($B743,Lifetime_morbidity_array!$A$6:$Y$24,2))+(SUM($CI743:$CM743)*VLOOKUP($B743,Lifetime_morbidity_array!$A$6:$Y$24,5))+(SUM($CI743:$CM743)*VLOOKUP($B743,Lifetime_morbidity_array!$A$6:$Y$24,8))+(SUM($CI743:$CM743)*VLOOKUP($B743,Lifetime_morbidity_array!$A$6:$Y$24,11)))</f>
        <v>144.71561926046454</v>
      </c>
      <c r="DI743" s="316">
        <f ca="1">(SUM($CI743:$CM743)*VLOOKUP($B743,Lifetime_morbidity_array!$A$6:$Y$24,2))+(SUM($CN743:$CO743)*VLOOKUP($B743,Lifetime_morbidity_array!$A$6:$Y$24,4))+(SUM($CP743:$CQ743)*VLOOKUP($B743,Lifetime_morbidity_array!$A$6:$Y$24,3))</f>
        <v>84.654925303313547</v>
      </c>
      <c r="DJ743" s="316">
        <f ca="1">(SUM($CI743:$CM743)*VLOOKUP($B743,Lifetime_morbidity_array!$A$6:$Y$24,5))+(SUM($CN743:$CO743)*VLOOKUP($B743,Lifetime_morbidity_array!$A$6:$Y$24,7))+(SUM($CP743:$CQ743)*VLOOKUP($B743,Lifetime_morbidity_array!$A$6:$Y$24,6))</f>
        <v>49.412946843305214</v>
      </c>
      <c r="DK743" s="316">
        <f ca="1">(SUM($CI743:$CM743)*VLOOKUP($B743,Lifetime_morbidity_array!$A$6:$Y$24,8))+(SUM($CN743:$CO743)*VLOOKUP($B743,Lifetime_morbidity_array!$A$6:$Y$24,10))+(SUM($CP743:$CQ743)*VLOOKUP($B743,Lifetime_morbidity_array!$A$6:$Y$24,9))</f>
        <v>1.8058442495772544</v>
      </c>
      <c r="DL743" s="317">
        <f ca="1">(SUM($CI743:$CM743)*VLOOKUP($B743,Lifetime_morbidity_array!$A$6:$Y$24,11))+(SUM($CN743:$CO743)*VLOOKUP($B743,Lifetime_morbidity_array!$A$6:$Y$24,13))+(SUM($CP743:$CQ743)*VLOOKUP($B743,Lifetime_morbidity_array!$A$6:$Y$24,12))</f>
        <v>46.068310875124233</v>
      </c>
      <c r="DM743" s="309"/>
      <c r="DN743" s="308">
        <f t="shared" si="266"/>
        <v>77</v>
      </c>
      <c r="DO743" s="309">
        <f t="shared" ca="1" si="267"/>
        <v>54.240195492690361</v>
      </c>
      <c r="DP743" s="310">
        <f t="shared" ca="1" si="298"/>
        <v>23438.408087243919</v>
      </c>
      <c r="DQ743" s="309"/>
      <c r="DR743" s="308">
        <f t="shared" si="268"/>
        <v>77</v>
      </c>
      <c r="DS743" s="309">
        <f ca="1">((VLOOKUP($B743,'Mahawesran Tariff'!$A$21:$M$120,4)*'Experimental (DET)'!$CX743)+(VLOOKUP($B743,'Mahawesran Tariff'!$A$21:$M$120,3)*'Experimental (DET)'!$CY743)+(VLOOKUP($B743,'Mahawesran Tariff'!$A$21:$M$120,2)*'Experimental (DET)'!$CZ743)+(VLOOKUP($B743,'Mahawesran Tariff'!$A$21:$M$120,7)*'Experimental (DET)'!$DF743)+(VLOOKUP($B743,'Mahawesran Tariff'!$A$21:$M$120,6)*'Experimental (DET)'!$DG743)+(VLOOKUP($B743,'Mahawesran Tariff'!$A$21:$M$120,5)*'Experimental (DET)'!$DH743)+(DET_UTIL_chd*('Experimental (DET)'!$DA743+'Experimental (DET)'!$DI743))+(DET_UTIL_copd*('Experimental (DET)'!$DB743+'Experimental (DET)'!$DJ743))+(DET_UTIL_lc*('Experimental (DET)'!$DC743+'Experimental (DET)'!$DK743))+(DET_UTIL_stroke*('Experimental (DET)'!$DD743+'Experimental (DET)'!$DL743)))/((1+Discount_rate_QALYs)^$A743)</f>
        <v>44.310411181994596</v>
      </c>
      <c r="DT743" s="310">
        <f t="shared" ca="1" si="299"/>
        <v>23031.987438610064</v>
      </c>
      <c r="DU743" s="309"/>
      <c r="DV743" s="308">
        <f t="shared" si="269"/>
        <v>77</v>
      </c>
      <c r="DW743" s="318">
        <f t="shared" ca="1" si="270"/>
        <v>188616.1077280647</v>
      </c>
      <c r="DX743" s="319">
        <f t="shared" ca="1" si="300"/>
        <v>9492901.4258730877</v>
      </c>
      <c r="DZ743" s="95">
        <f t="shared" si="271"/>
        <v>77</v>
      </c>
      <c r="EA743" s="268">
        <f t="shared" ca="1" si="304"/>
        <v>0.76688135712203376</v>
      </c>
      <c r="EB743" s="268">
        <f t="shared" ca="1" si="218"/>
        <v>0.23311864287796608</v>
      </c>
      <c r="EC743" s="268">
        <f t="shared" ca="1" si="219"/>
        <v>0.41254136002418113</v>
      </c>
      <c r="ED743" s="290">
        <f t="shared" ca="1" si="220"/>
        <v>0.42033017878189172</v>
      </c>
      <c r="EF743" s="95">
        <f t="shared" si="272"/>
        <v>77</v>
      </c>
      <c r="EG743" s="339">
        <f t="shared" ca="1" si="273"/>
        <v>188616.1077280647</v>
      </c>
      <c r="EH743" s="341">
        <f t="shared" ca="1" si="301"/>
        <v>12594917.149836637</v>
      </c>
      <c r="EJ743" s="308">
        <f t="shared" si="274"/>
        <v>77</v>
      </c>
      <c r="EK743" s="318">
        <f t="shared" ca="1" si="275"/>
        <v>188616.1077280647</v>
      </c>
      <c r="EL743" s="319">
        <f t="shared" ca="1" si="302"/>
        <v>9489861.4258730859</v>
      </c>
      <c r="EN743" s="95">
        <f t="shared" si="276"/>
        <v>77</v>
      </c>
      <c r="EO743" s="339">
        <f t="shared" ca="1" si="277"/>
        <v>188616.1077280647</v>
      </c>
      <c r="EP743" s="341">
        <f t="shared" ca="1" si="303"/>
        <v>12594917.149836637</v>
      </c>
    </row>
    <row r="744" spans="1:146" s="266" customFormat="1" x14ac:dyDescent="0.25">
      <c r="A744" s="313">
        <v>78</v>
      </c>
      <c r="B744" s="314">
        <v>78</v>
      </c>
      <c r="C744" s="308">
        <f>VLOOKUP($B744,'Infant adult mortality'!$A$27:$I$128,3)</f>
        <v>1.185543372176742E-2</v>
      </c>
      <c r="D744" s="309">
        <f t="shared" si="221"/>
        <v>0.27</v>
      </c>
      <c r="E744" s="309">
        <f>VLOOKUP($B744,'Infant pick up smoking rates'!$A$19:$I$104,3)</f>
        <v>0</v>
      </c>
      <c r="F744" s="309">
        <f t="shared" si="222"/>
        <v>0.14624098391610749</v>
      </c>
      <c r="G744" s="309">
        <f t="shared" si="223"/>
        <v>0.57190358236212502</v>
      </c>
      <c r="H744" s="309">
        <f>VLOOKUP($B744,'Infant adult mortality'!$A$27:$I$128,3)</f>
        <v>1.185543372176742E-2</v>
      </c>
      <c r="I744" s="309">
        <f t="shared" si="224"/>
        <v>0.14000000000000001</v>
      </c>
      <c r="J744" s="309">
        <f>VLOOKUP($B744,'Infant pick up smoking rates'!$A$19:$I$104,2)</f>
        <v>0</v>
      </c>
      <c r="K744" s="309">
        <f t="shared" si="225"/>
        <v>0.14624098391610749</v>
      </c>
      <c r="L744" s="309">
        <f t="shared" si="226"/>
        <v>0.70190358236212502</v>
      </c>
      <c r="M744" s="309">
        <f>VLOOKUP($B744,'Infant adult mortality'!$A$27:$I$128,3)</f>
        <v>1.185543372176742E-2</v>
      </c>
      <c r="N744" s="309">
        <f t="shared" si="227"/>
        <v>0.5714285714285714</v>
      </c>
      <c r="O744" s="309">
        <f>VLOOKUP($B744,'Infant pick up smoking rates'!$A$19:$I$104,2)</f>
        <v>0</v>
      </c>
      <c r="P744" s="309">
        <f t="shared" si="228"/>
        <v>0.12016234480898272</v>
      </c>
      <c r="Q744" s="309">
        <f t="shared" si="229"/>
        <v>0.29655365004067852</v>
      </c>
      <c r="R744" s="309">
        <f>VLOOKUP($B744,'Infant adult mortality'!$A$27:$I$128,3)</f>
        <v>1.185543372176742E-2</v>
      </c>
      <c r="S744" s="309">
        <f t="shared" si="230"/>
        <v>8.6261668788331098E-3</v>
      </c>
      <c r="T744" s="309">
        <f>VLOOKUP($B744,'Infant pick up smoking rates'!$A$19:$I$104,2)</f>
        <v>0</v>
      </c>
      <c r="U744" s="309">
        <f t="shared" si="231"/>
        <v>0.12016234480898272</v>
      </c>
      <c r="V744" s="309">
        <f t="shared" si="232"/>
        <v>0.85935605459041675</v>
      </c>
      <c r="W744" s="309">
        <f>VLOOKUP($B744,'Infant adult mortality'!$A$27:$I$128,3)</f>
        <v>1.185543372176742E-2</v>
      </c>
      <c r="X744" s="309">
        <f>VLOOKUP($B744,'Infant pick up smoking rates'!$A$19:$I$104,2)</f>
        <v>0</v>
      </c>
      <c r="Y744" s="309">
        <f t="shared" si="233"/>
        <v>0.98814456627823255</v>
      </c>
      <c r="Z744" s="309">
        <f>VLOOKUP($B744,'Infant adult mortality'!$A$27:$I$128,5)</f>
        <v>1.8645044132156476E-2</v>
      </c>
      <c r="AA744" s="309">
        <f t="shared" si="234"/>
        <v>0.25</v>
      </c>
      <c r="AB744" s="309">
        <f t="shared" si="235"/>
        <v>0.73135495586784349</v>
      </c>
      <c r="AC744" s="309">
        <f>VLOOKUP($B744,'Infant adult mortality'!$A$27:$I$128,5)</f>
        <v>1.8645044132156476E-2</v>
      </c>
      <c r="AD744" s="309">
        <f t="shared" si="236"/>
        <v>0.14000000000000001</v>
      </c>
      <c r="AE744" s="309">
        <f t="shared" si="237"/>
        <v>0.84135495586784348</v>
      </c>
      <c r="AF744" s="309">
        <f>VLOOKUP($B744,'Infant adult mortality'!$A$27:$I$128,4)</f>
        <v>1.3596810485053732E-2</v>
      </c>
      <c r="AG744" s="309">
        <f t="shared" si="238"/>
        <v>0.5714285714285714</v>
      </c>
      <c r="AH744" s="309">
        <f t="shared" si="239"/>
        <v>0.41497461808637487</v>
      </c>
      <c r="AI744" s="309">
        <f>VLOOKUP($B744,'Infant adult mortality'!$A$27:$I$128,4)</f>
        <v>1.3596810485053732E-2</v>
      </c>
      <c r="AJ744" s="309">
        <f t="shared" si="240"/>
        <v>8.6261668788331098E-3</v>
      </c>
      <c r="AK744" s="309">
        <f t="shared" si="241"/>
        <v>0.97777702263611321</v>
      </c>
      <c r="AL744" s="309"/>
      <c r="AM744" s="315">
        <f t="shared" si="278"/>
        <v>3.5892086172856601</v>
      </c>
      <c r="AN744" s="316">
        <f t="shared" si="279"/>
        <v>1.1535574482407387</v>
      </c>
      <c r="AO744" s="316">
        <f t="shared" si="280"/>
        <v>0.19214901561808476</v>
      </c>
      <c r="AP744" s="316">
        <f t="shared" si="281"/>
        <v>11.551795706813621</v>
      </c>
      <c r="AQ744" s="316">
        <f t="shared" si="282"/>
        <v>127.29620475572554</v>
      </c>
      <c r="AR744" s="316">
        <f t="shared" si="283"/>
        <v>86.01741357402976</v>
      </c>
      <c r="AS744" s="316">
        <f t="shared" si="284"/>
        <v>22.081834655955976</v>
      </c>
      <c r="AT744" s="316">
        <f t="shared" si="285"/>
        <v>3.1696257297223154</v>
      </c>
      <c r="AU744" s="316">
        <f t="shared" si="286"/>
        <v>117.86097143208461</v>
      </c>
      <c r="AV744" s="316">
        <f t="shared" si="287"/>
        <v>137.08723906452337</v>
      </c>
      <c r="AW744" s="317">
        <f t="shared" si="242"/>
        <v>509.99999999999972</v>
      </c>
      <c r="AX744" s="309"/>
      <c r="AY744" s="308">
        <f>VLOOKUP($B744,'Infant adult mortality'!$A$134:$I$234,3)</f>
        <v>8.325655049198688E-3</v>
      </c>
      <c r="AZ744" s="309">
        <f t="shared" si="243"/>
        <v>0.27</v>
      </c>
      <c r="BA744" s="309">
        <f ca="1">VLOOKUP($B744,'Infant pick up smoking rates'!$A$19:$I$104,7)</f>
        <v>0</v>
      </c>
      <c r="BB744" s="309">
        <f t="shared" si="244"/>
        <v>0.14624098391610749</v>
      </c>
      <c r="BC744" s="309">
        <f t="shared" ca="1" si="245"/>
        <v>0.57543336103469378</v>
      </c>
      <c r="BD744" s="309">
        <f>VLOOKUP($B744,'Infant adult mortality'!$A$134:$I$234,3)</f>
        <v>8.325655049198688E-3</v>
      </c>
      <c r="BE744" s="309">
        <f t="shared" si="246"/>
        <v>0.14000000000000001</v>
      </c>
      <c r="BF744" s="309">
        <f>VLOOKUP($B744,'Infant pick up smoking rates'!$A$19:$I$104,6)</f>
        <v>0</v>
      </c>
      <c r="BG744" s="309">
        <f t="shared" si="247"/>
        <v>0.14624098391610749</v>
      </c>
      <c r="BH744" s="309">
        <f t="shared" si="248"/>
        <v>0.70543336103469378</v>
      </c>
      <c r="BI744" s="309">
        <f>VLOOKUP($B744,'Infant adult mortality'!$A$134:$I$234,3)</f>
        <v>8.325655049198688E-3</v>
      </c>
      <c r="BJ744" s="309">
        <f t="shared" si="249"/>
        <v>0.5714285714285714</v>
      </c>
      <c r="BK744" s="309">
        <f>VLOOKUP($B744,'Infant pick up smoking rates'!$A$19:$I$104,6)</f>
        <v>0</v>
      </c>
      <c r="BL744" s="309">
        <f t="shared" si="250"/>
        <v>0.12016234480898272</v>
      </c>
      <c r="BM744" s="309">
        <f t="shared" si="251"/>
        <v>0.30008342871324722</v>
      </c>
      <c r="BN744" s="309">
        <f>VLOOKUP($B744,'Infant adult mortality'!$A$134:$I$234,3)</f>
        <v>8.325655049198688E-3</v>
      </c>
      <c r="BO744" s="309">
        <f t="shared" si="252"/>
        <v>8.6261668788331098E-3</v>
      </c>
      <c r="BP744" s="309">
        <f>VLOOKUP($B744,'Infant pick up smoking rates'!$A$19:$I$104,6)</f>
        <v>0</v>
      </c>
      <c r="BQ744" s="309">
        <f t="shared" si="253"/>
        <v>0.12016234480898272</v>
      </c>
      <c r="BR744" s="309">
        <f t="shared" si="254"/>
        <v>0.86288583326298551</v>
      </c>
      <c r="BS744" s="309">
        <f>VLOOKUP($B744,'Infant adult mortality'!$A$134:$I$234,3)</f>
        <v>8.325655049198688E-3</v>
      </c>
      <c r="BT744" s="309">
        <f>VLOOKUP($B744,'Infant pick up smoking rates'!$A$19:$I$104,6)</f>
        <v>0</v>
      </c>
      <c r="BU744" s="309">
        <f t="shared" si="255"/>
        <v>0.99167434495080131</v>
      </c>
      <c r="BV744" s="309">
        <f>VLOOKUP($B744,'Infant adult mortality'!$A$134:$I$234,5)</f>
        <v>1.3093760166395562E-2</v>
      </c>
      <c r="BW744" s="309">
        <f t="shared" si="256"/>
        <v>0.27</v>
      </c>
      <c r="BX744" s="309">
        <f t="shared" si="257"/>
        <v>0.71690623983360446</v>
      </c>
      <c r="BY744" s="309">
        <f>VLOOKUP($B744,'Infant adult mortality'!$A$134:$I$234,5)</f>
        <v>1.3093760166395562E-2</v>
      </c>
      <c r="BZ744" s="309">
        <f t="shared" si="258"/>
        <v>0.14000000000000001</v>
      </c>
      <c r="CA744" s="309">
        <f t="shared" si="259"/>
        <v>0.84690623983360447</v>
      </c>
      <c r="CB744" s="309">
        <f>VLOOKUP($B744,'Infant adult mortality'!$A$134:$I$234,4)</f>
        <v>9.548562838324311E-3</v>
      </c>
      <c r="CC744" s="309">
        <f t="shared" si="260"/>
        <v>0.5714285714285714</v>
      </c>
      <c r="CD744" s="309">
        <f t="shared" si="261"/>
        <v>0.41902286573310427</v>
      </c>
      <c r="CE744" s="309">
        <f>VLOOKUP($B744,'Infant adult mortality'!$A$134:$I$234,4)</f>
        <v>9.548562838324311E-3</v>
      </c>
      <c r="CF744" s="309">
        <f t="shared" si="262"/>
        <v>8.6261668788331098E-3</v>
      </c>
      <c r="CG744" s="309">
        <f t="shared" si="263"/>
        <v>0.98182527028284261</v>
      </c>
      <c r="CH744" s="309"/>
      <c r="CI744" s="315">
        <f t="shared" ca="1" si="288"/>
        <v>5.0295904038261252</v>
      </c>
      <c r="CJ744" s="316">
        <f t="shared" ca="1" si="289"/>
        <v>1.6097141486803515</v>
      </c>
      <c r="CK744" s="316">
        <f t="shared" ca="1" si="290"/>
        <v>0.26708591294679512</v>
      </c>
      <c r="CL744" s="316">
        <f t="shared" ca="1" si="291"/>
        <v>15.997516626154829</v>
      </c>
      <c r="CM744" s="316">
        <f t="shared" ca="1" si="292"/>
        <v>176.46547918776244</v>
      </c>
      <c r="CN744" s="316">
        <f t="shared" ca="1" si="293"/>
        <v>67.10734073390779</v>
      </c>
      <c r="CO744" s="316">
        <f t="shared" ca="1" si="294"/>
        <v>18.508552273195932</v>
      </c>
      <c r="CP744" s="316">
        <f t="shared" ca="1" si="295"/>
        <v>2.6439484849780479</v>
      </c>
      <c r="CQ744" s="316">
        <f t="shared" ca="1" si="296"/>
        <v>97.114117245102022</v>
      </c>
      <c r="CR744" s="316">
        <f t="shared" ca="1" si="297"/>
        <v>105.25665498344586</v>
      </c>
      <c r="CS744" s="317">
        <f t="shared" ca="1" si="264"/>
        <v>490.00000000000017</v>
      </c>
      <c r="CT744" s="309"/>
      <c r="CU744" s="309">
        <f t="shared" ca="1" si="265"/>
        <v>999.99999999999989</v>
      </c>
      <c r="CV744" s="309" t="str">
        <f t="shared" ca="1" si="216"/>
        <v>OKAY</v>
      </c>
      <c r="CW744" s="309"/>
      <c r="CX744" s="315">
        <f>(SUM($AR744:$AS744))-((SUM($AR744:$AS744)*VLOOKUP($B744,Lifetime_morbidity_array!$A$30:$Y$48,4))+(SUM($AR744:$AS744)*VLOOKUP($B744,Lifetime_morbidity_array!$A$30:$Y$48,7))+(SUM($AR744:$AS744)*VLOOKUP($B744,Lifetime_morbidity_array!$A$30:$Y$48,10))+(SUM($AR744:$AS744)*VLOOKUP($B744,Lifetime_morbidity_array!$A$30:$Y$48,13)))</f>
        <v>-0.9751937442390215</v>
      </c>
      <c r="CY744" s="316">
        <f>(SUM($AT744:$AU744))-((SUM($AT744:$AU744)*(VLOOKUP($B744,Lifetime_morbidity_array!$A$30:$Y$48,3)))+(SUM($AT744:$AU744)*(VLOOKUP($B744,Lifetime_morbidity_array!$A$30:$Y$48,6)))+(SUM($AT744:$AU744)*(VLOOKUP($B744,Lifetime_morbidity_array!$A$30:$Y$48,9)))+(SUM($AT744:$AU744)*(VLOOKUP($B744,Lifetime_morbidity_array!$A$30:$Y$48,12))))</f>
        <v>55.500127052640906</v>
      </c>
      <c r="CZ744" s="316">
        <f>(SUM($AM744:$AQ744))-((SUM($AM744:$AQ744)*VLOOKUP($B744,Lifetime_morbidity_array!$A$30:$Y$48,2))+(SUM($AM744:$AQ744)*VLOOKUP($B744,Lifetime_morbidity_array!$A$30:$Y$48,5))+(SUM($AM744:$AQ744)*VLOOKUP($B744,Lifetime_morbidity_array!$A$30:$Y$48,8))+(SUM($AM744:$AQ744)*VLOOKUP($B744,Lifetime_morbidity_array!$A$30:$Y$48,11)))</f>
        <v>91.77122581763291</v>
      </c>
      <c r="DA744" s="316">
        <f>(SUM($AM744:$AQ744)*VLOOKUP($B744,Lifetime_morbidity_array!$A$30:$Y$48,2))+(SUM($AR744:$AS744)*VLOOKUP($B744,Lifetime_morbidity_array!$A$30:$Y$48,4))+(SUM($AT744:$AU744)*(VLOOKUP($B744,Lifetime_morbidity_array!$A$30:$Y$48,3)))</f>
        <v>117.56724271101371</v>
      </c>
      <c r="DB744" s="316">
        <f>(SUM($AM744:$AQ744)*VLOOKUP($B744,Lifetime_morbidity_array!$A$30:$Y$48,5))+(SUM($AR744:$AS744)*VLOOKUP($B744,Lifetime_morbidity_array!$A$30:$Y$48,7))+(SUM($AT744:$AU744)*(VLOOKUP($B744,Lifetime_morbidity_array!$A$30:$Y$48,6)))</f>
        <v>52.799939628916654</v>
      </c>
      <c r="DC744" s="316">
        <f>(SUM($AM744:$AQ744)*VLOOKUP($B744,Lifetime_morbidity_array!$A$30:$Y$48,8))+(SUM($AR744:$AS744)*VLOOKUP($B744,Lifetime_morbidity_array!$A$30:$Y$48,10))+(SUM($AT744:$AU744)*(VLOOKUP($B744,Lifetime_morbidity_array!$A$30:$Y$48,9)))</f>
        <v>4.482008777204622</v>
      </c>
      <c r="DD744" s="317">
        <f>(SUM($AM744:$AQ744)*VLOOKUP($B744,Lifetime_morbidity_array!$A$30:$Y$48,11))+(SUM($AR744:$AS744)*VLOOKUP($B744,Lifetime_morbidity_array!$A$30:$Y$48,13))+(SUM($AT744:$AU744)*(VLOOKUP($B744,Lifetime_morbidity_array!$A$30:$Y$48,12)))</f>
        <v>51.767410692306548</v>
      </c>
      <c r="DE744" s="309"/>
      <c r="DF744" s="315">
        <f ca="1">(SUM($CN744:$CO744))-((SUM($CN744:$CO744)*VLOOKUP($B744,Lifetime_morbidity_array!$A$6:$Y$24,4))+(SUM($CN744:$CO744)*VLOOKUP($B744,Lifetime_morbidity_array!$A$6:$Y$24,7))+(SUM($CN744:$CO744)*VLOOKUP($B744,Lifetime_morbidity_array!$A$6:$Y$24,10))+(SUM($CN744:$CO744)*VLOOKUP($B744,Lifetime_morbidity_array!$A$6:$Y$24,13)))</f>
        <v>6.3470017679135253</v>
      </c>
      <c r="DG744" s="316">
        <f ca="1">(SUM($CP744:$CQ744))-(((SUM($CP744:$CQ744)*VLOOKUP($B744,Lifetime_morbidity_array!$A$6:$Y$24,3))+(SUM($CP744:$CQ744)*VLOOKUP($B744,Lifetime_morbidity_array!$A$6:$Y$24,6))+(SUM($CP744:$CQ744)*VLOOKUP($B744,Lifetime_morbidity_array!$A$6:$Y$24,9))+(SUM($CP744:$CQ744)*VLOOKUP($B744,Lifetime_morbidity_array!$A$6:$Y$24,12))))</f>
        <v>55.222460492089958</v>
      </c>
      <c r="DH744" s="316">
        <f ca="1">(SUM($CI744:$CM744))-((SUM($CI744:$CM744)*VLOOKUP($B744,Lifetime_morbidity_array!$A$6:$Y$24,2))+(SUM($CI744:$CM744)*VLOOKUP($B744,Lifetime_morbidity_array!$A$6:$Y$24,5))+(SUM($CI744:$CM744)*VLOOKUP($B744,Lifetime_morbidity_array!$A$6:$Y$24,8))+(SUM($CI744:$CM744)*VLOOKUP($B744,Lifetime_morbidity_array!$A$6:$Y$24,11)))</f>
        <v>143.51076693427075</v>
      </c>
      <c r="DI744" s="316">
        <f ca="1">(SUM($CI744:$CM744)*VLOOKUP($B744,Lifetime_morbidity_array!$A$6:$Y$24,2))+(SUM($CN744:$CO744)*VLOOKUP($B744,Lifetime_morbidity_array!$A$6:$Y$24,4))+(SUM($CP744:$CQ744)*VLOOKUP($B744,Lifetime_morbidity_array!$A$6:$Y$24,3))</f>
        <v>83.667082427105399</v>
      </c>
      <c r="DJ744" s="316">
        <f ca="1">(SUM($CI744:$CM744)*VLOOKUP($B744,Lifetime_morbidity_array!$A$6:$Y$24,5))+(SUM($CN744:$CO744)*VLOOKUP($B744,Lifetime_morbidity_array!$A$6:$Y$24,7))+(SUM($CP744:$CQ744)*VLOOKUP($B744,Lifetime_morbidity_array!$A$6:$Y$24,6))</f>
        <v>48.659236180808193</v>
      </c>
      <c r="DK744" s="316">
        <f ca="1">(SUM($CI744:$CM744)*VLOOKUP($B744,Lifetime_morbidity_array!$A$6:$Y$24,8))+(SUM($CN744:$CO744)*VLOOKUP($B744,Lifetime_morbidity_array!$A$6:$Y$24,10))+(SUM($CP744:$CQ744)*VLOOKUP($B744,Lifetime_morbidity_array!$A$6:$Y$24,9))</f>
        <v>1.777112765360382</v>
      </c>
      <c r="DL744" s="317">
        <f ca="1">(SUM($CI744:$CM744)*VLOOKUP($B744,Lifetime_morbidity_array!$A$6:$Y$24,11))+(SUM($CN744:$CO744)*VLOOKUP($B744,Lifetime_morbidity_array!$A$6:$Y$24,13))+(SUM($CP744:$CQ744)*VLOOKUP($B744,Lifetime_morbidity_array!$A$6:$Y$24,12))</f>
        <v>45.559684449006113</v>
      </c>
      <c r="DM744" s="309"/>
      <c r="DN744" s="308">
        <f t="shared" si="266"/>
        <v>78</v>
      </c>
      <c r="DO744" s="309">
        <f t="shared" ca="1" si="267"/>
        <v>51.775564629284631</v>
      </c>
      <c r="DP744" s="310">
        <f t="shared" ca="1" si="298"/>
        <v>23490.183651873205</v>
      </c>
      <c r="DQ744" s="309"/>
      <c r="DR744" s="308">
        <f t="shared" si="268"/>
        <v>78</v>
      </c>
      <c r="DS744" s="309">
        <f ca="1">((VLOOKUP($B744,'Mahawesran Tariff'!$A$21:$M$120,4)*'Experimental (DET)'!$CX744)+(VLOOKUP($B744,'Mahawesran Tariff'!$A$21:$M$120,3)*'Experimental (DET)'!$CY744)+(VLOOKUP($B744,'Mahawesran Tariff'!$A$21:$M$120,2)*'Experimental (DET)'!$CZ744)+(VLOOKUP($B744,'Mahawesran Tariff'!$A$21:$M$120,7)*'Experimental (DET)'!$DF744)+(VLOOKUP($B744,'Mahawesran Tariff'!$A$21:$M$120,6)*'Experimental (DET)'!$DG744)+(VLOOKUP($B744,'Mahawesran Tariff'!$A$21:$M$120,5)*'Experimental (DET)'!$DH744)+(DET_UTIL_chd*('Experimental (DET)'!$DA744+'Experimental (DET)'!$DI744))+(DET_UTIL_copd*('Experimental (DET)'!$DB744+'Experimental (DET)'!$DJ744))+(DET_UTIL_lc*('Experimental (DET)'!$DC744+'Experimental (DET)'!$DK744))+(DET_UTIL_stroke*('Experimental (DET)'!$DD744+'Experimental (DET)'!$DL744)))/((1+Discount_rate_QALYs)^$A744)</f>
        <v>42.313663780916315</v>
      </c>
      <c r="DT744" s="310">
        <f t="shared" ca="1" si="299"/>
        <v>23074.301102390978</v>
      </c>
      <c r="DU744" s="309"/>
      <c r="DV744" s="308">
        <f t="shared" si="269"/>
        <v>78</v>
      </c>
      <c r="DW744" s="318">
        <f t="shared" ca="1" si="270"/>
        <v>179712.40965372432</v>
      </c>
      <c r="DX744" s="319">
        <f t="shared" ca="1" si="300"/>
        <v>9672613.8355268128</v>
      </c>
      <c r="DZ744" s="95">
        <f t="shared" si="271"/>
        <v>78</v>
      </c>
      <c r="EA744" s="268">
        <f t="shared" ca="1" si="304"/>
        <v>0.7576561059520307</v>
      </c>
      <c r="EB744" s="268">
        <f t="shared" ca="1" si="218"/>
        <v>0.24234389404796922</v>
      </c>
      <c r="EC744" s="268">
        <f t="shared" ca="1" si="219"/>
        <v>0.4062797176317216</v>
      </c>
      <c r="ED744" s="290">
        <f t="shared" ca="1" si="220"/>
        <v>0.41450380412897642</v>
      </c>
      <c r="EF744" s="95">
        <f t="shared" si="272"/>
        <v>78</v>
      </c>
      <c r="EG744" s="339">
        <f t="shared" ca="1" si="273"/>
        <v>179712.40965372432</v>
      </c>
      <c r="EH744" s="341">
        <f t="shared" ca="1" si="301"/>
        <v>12774629.559490362</v>
      </c>
      <c r="EJ744" s="308">
        <f t="shared" si="274"/>
        <v>78</v>
      </c>
      <c r="EK744" s="318">
        <f t="shared" ca="1" si="275"/>
        <v>179712.40965372432</v>
      </c>
      <c r="EL744" s="319">
        <f t="shared" ca="1" si="302"/>
        <v>9669573.835526811</v>
      </c>
      <c r="EN744" s="95">
        <f t="shared" si="276"/>
        <v>78</v>
      </c>
      <c r="EO744" s="339">
        <f t="shared" ca="1" si="277"/>
        <v>179712.40965372432</v>
      </c>
      <c r="EP744" s="341">
        <f t="shared" ca="1" si="303"/>
        <v>12774629.559490362</v>
      </c>
    </row>
    <row r="745" spans="1:146" s="266" customFormat="1" x14ac:dyDescent="0.25">
      <c r="A745" s="313">
        <v>79</v>
      </c>
      <c r="B745" s="314">
        <v>79</v>
      </c>
      <c r="C745" s="308">
        <f>VLOOKUP($B745,'Infant adult mortality'!$A$27:$I$128,3)</f>
        <v>1.2964628409909071E-2</v>
      </c>
      <c r="D745" s="309">
        <f t="shared" si="221"/>
        <v>0.27</v>
      </c>
      <c r="E745" s="309">
        <f>VLOOKUP($B745,'Infant pick up smoking rates'!$A$19:$I$104,3)</f>
        <v>0</v>
      </c>
      <c r="F745" s="309">
        <f t="shared" si="222"/>
        <v>0.14624098391610749</v>
      </c>
      <c r="G745" s="309">
        <f t="shared" si="223"/>
        <v>0.57079438767398338</v>
      </c>
      <c r="H745" s="309">
        <f>VLOOKUP($B745,'Infant adult mortality'!$A$27:$I$128,3)</f>
        <v>1.2964628409909071E-2</v>
      </c>
      <c r="I745" s="309">
        <f t="shared" si="224"/>
        <v>0.14000000000000001</v>
      </c>
      <c r="J745" s="309">
        <f>VLOOKUP($B745,'Infant pick up smoking rates'!$A$19:$I$104,2)</f>
        <v>0</v>
      </c>
      <c r="K745" s="309">
        <f t="shared" si="225"/>
        <v>0.14624098391610749</v>
      </c>
      <c r="L745" s="309">
        <f t="shared" si="226"/>
        <v>0.70079438767398339</v>
      </c>
      <c r="M745" s="309">
        <f>VLOOKUP($B745,'Infant adult mortality'!$A$27:$I$128,3)</f>
        <v>1.2964628409909071E-2</v>
      </c>
      <c r="N745" s="309">
        <f t="shared" si="227"/>
        <v>0.5714285714285714</v>
      </c>
      <c r="O745" s="309">
        <f>VLOOKUP($B745,'Infant pick up smoking rates'!$A$19:$I$104,2)</f>
        <v>0</v>
      </c>
      <c r="P745" s="309">
        <f t="shared" si="228"/>
        <v>0.12016234480898272</v>
      </c>
      <c r="Q745" s="309">
        <f t="shared" si="229"/>
        <v>0.29544445535253683</v>
      </c>
      <c r="R745" s="309">
        <f>VLOOKUP($B745,'Infant adult mortality'!$A$27:$I$128,3)</f>
        <v>1.2964628409909071E-2</v>
      </c>
      <c r="S745" s="309">
        <f t="shared" si="230"/>
        <v>8.6261668788331098E-3</v>
      </c>
      <c r="T745" s="309">
        <f>VLOOKUP($B745,'Infant pick up smoking rates'!$A$19:$I$104,2)</f>
        <v>0</v>
      </c>
      <c r="U745" s="309">
        <f t="shared" si="231"/>
        <v>0.12016234480898272</v>
      </c>
      <c r="V745" s="309">
        <f t="shared" si="232"/>
        <v>0.85824685990227512</v>
      </c>
      <c r="W745" s="309">
        <f>VLOOKUP($B745,'Infant adult mortality'!$A$27:$I$128,3)</f>
        <v>1.2964628409909071E-2</v>
      </c>
      <c r="X745" s="309">
        <f>VLOOKUP($B745,'Infant pick up smoking rates'!$A$19:$I$104,2)</f>
        <v>0</v>
      </c>
      <c r="Y745" s="309">
        <f t="shared" si="233"/>
        <v>0.98703537159009092</v>
      </c>
      <c r="Z745" s="309">
        <f>VLOOKUP($B745,'Infant adult mortality'!$A$27:$I$128,5)</f>
        <v>2.038947494733474E-2</v>
      </c>
      <c r="AA745" s="309">
        <f t="shared" si="234"/>
        <v>0.25</v>
      </c>
      <c r="AB745" s="309">
        <f t="shared" si="235"/>
        <v>0.72961052505266522</v>
      </c>
      <c r="AC745" s="309">
        <f>VLOOKUP($B745,'Infant adult mortality'!$A$27:$I$128,5)</f>
        <v>2.038947494733474E-2</v>
      </c>
      <c r="AD745" s="309">
        <f t="shared" si="236"/>
        <v>0.14000000000000001</v>
      </c>
      <c r="AE745" s="309">
        <f t="shared" si="237"/>
        <v>0.8396105250526652</v>
      </c>
      <c r="AF745" s="309">
        <f>VLOOKUP($B745,'Infant adult mortality'!$A$27:$I$128,4)</f>
        <v>1.486892842857524E-2</v>
      </c>
      <c r="AG745" s="309">
        <f t="shared" si="238"/>
        <v>0.5714285714285714</v>
      </c>
      <c r="AH745" s="309">
        <f t="shared" si="239"/>
        <v>0.41370250014285337</v>
      </c>
      <c r="AI745" s="309">
        <f>VLOOKUP($B745,'Infant adult mortality'!$A$27:$I$128,4)</f>
        <v>1.486892842857524E-2</v>
      </c>
      <c r="AJ745" s="309">
        <f t="shared" si="240"/>
        <v>8.6261668788331098E-3</v>
      </c>
      <c r="AK745" s="309">
        <f t="shared" si="241"/>
        <v>0.97650490469259166</v>
      </c>
      <c r="AL745" s="309"/>
      <c r="AM745" s="315">
        <f t="shared" si="278"/>
        <v>3.0135237993073574</v>
      </c>
      <c r="AN745" s="316">
        <f t="shared" si="279"/>
        <v>0.96908632666712824</v>
      </c>
      <c r="AO745" s="316">
        <f t="shared" si="280"/>
        <v>0.16149804275370344</v>
      </c>
      <c r="AP745" s="316">
        <f t="shared" si="281"/>
        <v>10.024091829101422</v>
      </c>
      <c r="AQ745" s="316">
        <f t="shared" si="282"/>
        <v>127.75062347413683</v>
      </c>
      <c r="AR745" s="316">
        <f t="shared" si="283"/>
        <v>83.627321568011226</v>
      </c>
      <c r="AS745" s="316">
        <f t="shared" si="284"/>
        <v>21.50435339350744</v>
      </c>
      <c r="AT745" s="316">
        <f t="shared" si="285"/>
        <v>3.0914568518338368</v>
      </c>
      <c r="AU745" s="316">
        <f t="shared" si="286"/>
        <v>116.90303137796252</v>
      </c>
      <c r="AV745" s="316">
        <f t="shared" si="287"/>
        <v>142.95501333671822</v>
      </c>
      <c r="AW745" s="317">
        <f t="shared" si="242"/>
        <v>509.99999999999966</v>
      </c>
      <c r="AX745" s="309"/>
      <c r="AY745" s="308">
        <f>VLOOKUP($B745,'Infant adult mortality'!$A$134:$I$234,3)</f>
        <v>9.1860155729180555E-3</v>
      </c>
      <c r="AZ745" s="309">
        <f t="shared" si="243"/>
        <v>0.27</v>
      </c>
      <c r="BA745" s="309">
        <f ca="1">VLOOKUP($B745,'Infant pick up smoking rates'!$A$19:$I$104,7)</f>
        <v>0</v>
      </c>
      <c r="BB745" s="309">
        <f t="shared" si="244"/>
        <v>0.14624098391610749</v>
      </c>
      <c r="BC745" s="309">
        <f t="shared" ca="1" si="245"/>
        <v>0.57457300051097437</v>
      </c>
      <c r="BD745" s="309">
        <f>VLOOKUP($B745,'Infant adult mortality'!$A$134:$I$234,3)</f>
        <v>9.1860155729180555E-3</v>
      </c>
      <c r="BE745" s="309">
        <f t="shared" si="246"/>
        <v>0.14000000000000001</v>
      </c>
      <c r="BF745" s="309">
        <f>VLOOKUP($B745,'Infant pick up smoking rates'!$A$19:$I$104,6)</f>
        <v>0</v>
      </c>
      <c r="BG745" s="309">
        <f t="shared" si="247"/>
        <v>0.14624098391610749</v>
      </c>
      <c r="BH745" s="309">
        <f t="shared" si="248"/>
        <v>0.70457300051097438</v>
      </c>
      <c r="BI745" s="309">
        <f>VLOOKUP($B745,'Infant adult mortality'!$A$134:$I$234,3)</f>
        <v>9.1860155729180555E-3</v>
      </c>
      <c r="BJ745" s="309">
        <f t="shared" si="249"/>
        <v>0.5714285714285714</v>
      </c>
      <c r="BK745" s="309">
        <f>VLOOKUP($B745,'Infant pick up smoking rates'!$A$19:$I$104,6)</f>
        <v>0</v>
      </c>
      <c r="BL745" s="309">
        <f t="shared" si="250"/>
        <v>0.12016234480898272</v>
      </c>
      <c r="BM745" s="309">
        <f t="shared" si="251"/>
        <v>0.29922306818952787</v>
      </c>
      <c r="BN745" s="309">
        <f>VLOOKUP($B745,'Infant adult mortality'!$A$134:$I$234,3)</f>
        <v>9.1860155729180555E-3</v>
      </c>
      <c r="BO745" s="309">
        <f t="shared" si="252"/>
        <v>8.6261668788331098E-3</v>
      </c>
      <c r="BP745" s="309">
        <f>VLOOKUP($B745,'Infant pick up smoking rates'!$A$19:$I$104,6)</f>
        <v>0</v>
      </c>
      <c r="BQ745" s="309">
        <f t="shared" si="253"/>
        <v>0.12016234480898272</v>
      </c>
      <c r="BR745" s="309">
        <f t="shared" si="254"/>
        <v>0.86202547273926611</v>
      </c>
      <c r="BS745" s="309">
        <f>VLOOKUP($B745,'Infant adult mortality'!$A$134:$I$234,3)</f>
        <v>9.1860155729180555E-3</v>
      </c>
      <c r="BT745" s="309">
        <f>VLOOKUP($B745,'Infant pick up smoking rates'!$A$19:$I$104,6)</f>
        <v>0</v>
      </c>
      <c r="BU745" s="309">
        <f t="shared" si="255"/>
        <v>0.99081398442708191</v>
      </c>
      <c r="BV745" s="309">
        <f>VLOOKUP($B745,'Infant adult mortality'!$A$134:$I$234,5)</f>
        <v>1.444684941734887E-2</v>
      </c>
      <c r="BW745" s="309">
        <f t="shared" si="256"/>
        <v>0.27</v>
      </c>
      <c r="BX745" s="309">
        <f t="shared" si="257"/>
        <v>0.71555315058265112</v>
      </c>
      <c r="BY745" s="309">
        <f>VLOOKUP($B745,'Infant adult mortality'!$A$134:$I$234,5)</f>
        <v>1.444684941734887E-2</v>
      </c>
      <c r="BZ745" s="309">
        <f t="shared" si="258"/>
        <v>0.14000000000000001</v>
      </c>
      <c r="CA745" s="309">
        <f t="shared" si="259"/>
        <v>0.84555315058265113</v>
      </c>
      <c r="CB745" s="309">
        <f>VLOOKUP($B745,'Infant adult mortality'!$A$134:$I$234,4)</f>
        <v>1.0535296792085544E-2</v>
      </c>
      <c r="CC745" s="309">
        <f t="shared" si="260"/>
        <v>0.5714285714285714</v>
      </c>
      <c r="CD745" s="309">
        <f t="shared" si="261"/>
        <v>0.41803613177934307</v>
      </c>
      <c r="CE745" s="309">
        <f>VLOOKUP($B745,'Infant adult mortality'!$A$134:$I$234,4)</f>
        <v>1.0535296792085544E-2</v>
      </c>
      <c r="CF745" s="309">
        <f t="shared" si="262"/>
        <v>8.6261668788331098E-3</v>
      </c>
      <c r="CG745" s="309">
        <f t="shared" si="263"/>
        <v>0.98083853632908136</v>
      </c>
      <c r="CH745" s="309"/>
      <c r="CI745" s="315">
        <f t="shared" ca="1" si="288"/>
        <v>4.2419434917745242</v>
      </c>
      <c r="CJ745" s="316">
        <f t="shared" ca="1" si="289"/>
        <v>1.357989409033054</v>
      </c>
      <c r="CK745" s="316">
        <f t="shared" ca="1" si="290"/>
        <v>0.22535998081524922</v>
      </c>
      <c r="CL745" s="316">
        <f t="shared" ca="1" si="291"/>
        <v>13.942887353999268</v>
      </c>
      <c r="CM745" s="316">
        <f t="shared" ca="1" si="292"/>
        <v>177.76979575662304</v>
      </c>
      <c r="CN745" s="316">
        <f t="shared" ca="1" si="293"/>
        <v>65.6118223556266</v>
      </c>
      <c r="CO745" s="316">
        <f t="shared" ca="1" si="294"/>
        <v>18.118981998155103</v>
      </c>
      <c r="CP745" s="316">
        <f t="shared" ca="1" si="295"/>
        <v>2.5911973182474308</v>
      </c>
      <c r="CQ745" s="316">
        <f t="shared" ca="1" si="296"/>
        <v>96.764096321278416</v>
      </c>
      <c r="CR745" s="316">
        <f t="shared" ca="1" si="297"/>
        <v>109.37592601444753</v>
      </c>
      <c r="CS745" s="317">
        <f t="shared" ca="1" si="264"/>
        <v>490.00000000000028</v>
      </c>
      <c r="CT745" s="309"/>
      <c r="CU745" s="309">
        <f t="shared" ca="1" si="265"/>
        <v>1000</v>
      </c>
      <c r="CV745" s="309" t="str">
        <f t="shared" ref="CV745:CV766" ca="1" si="305">IF(CU745=Cohort,"OKAY",IF(CU745&lt;Cohort,"Too few","Too many"))</f>
        <v>OKAY</v>
      </c>
      <c r="CW745" s="309"/>
      <c r="CX745" s="315">
        <f>(SUM($AR745:$AS745))-((SUM($AR745:$AS745)*VLOOKUP($B745,Lifetime_morbidity_array!$A$30:$Y$48,4))+(SUM($AR745:$AS745)*VLOOKUP($B745,Lifetime_morbidity_array!$A$30:$Y$48,7))+(SUM($AR745:$AS745)*VLOOKUP($B745,Lifetime_morbidity_array!$A$30:$Y$48,10))+(SUM($AR745:$AS745)*VLOOKUP($B745,Lifetime_morbidity_array!$A$30:$Y$48,13)))</f>
        <v>-0.94842243052163155</v>
      </c>
      <c r="CY745" s="316">
        <f>(SUM($AT745:$AU745))-((SUM($AT745:$AU745)*(VLOOKUP($B745,Lifetime_morbidity_array!$A$30:$Y$48,3)))+(SUM($AT745:$AU745)*(VLOOKUP($B745,Lifetime_morbidity_array!$A$30:$Y$48,6)))+(SUM($AT745:$AU745)*(VLOOKUP($B745,Lifetime_morbidity_array!$A$30:$Y$48,9)))+(SUM($AT745:$AU745)*(VLOOKUP($B745,Lifetime_morbidity_array!$A$30:$Y$48,12))))</f>
        <v>55.025006060797125</v>
      </c>
      <c r="CZ745" s="316">
        <f>(SUM($AM745:$AQ745))-((SUM($AM745:$AQ745)*VLOOKUP($B745,Lifetime_morbidity_array!$A$30:$Y$48,2))+(SUM($AM745:$AQ745)*VLOOKUP($B745,Lifetime_morbidity_array!$A$30:$Y$48,5))+(SUM($AM745:$AQ745)*VLOOKUP($B745,Lifetime_morbidity_array!$A$30:$Y$48,8))+(SUM($AM745:$AQ745)*VLOOKUP($B745,Lifetime_morbidity_array!$A$30:$Y$48,11)))</f>
        <v>90.581445976185435</v>
      </c>
      <c r="DA745" s="316">
        <f>(SUM($AM745:$AQ745)*VLOOKUP($B745,Lifetime_morbidity_array!$A$30:$Y$48,2))+(SUM($AR745:$AS745)*VLOOKUP($B745,Lifetime_morbidity_array!$A$30:$Y$48,4))+(SUM($AT745:$AU745)*(VLOOKUP($B745,Lifetime_morbidity_array!$A$30:$Y$48,3)))</f>
        <v>115.49848032989084</v>
      </c>
      <c r="DB745" s="316">
        <f>(SUM($AM745:$AQ745)*VLOOKUP($B745,Lifetime_morbidity_array!$A$30:$Y$48,5))+(SUM($AR745:$AS745)*VLOOKUP($B745,Lifetime_morbidity_array!$A$30:$Y$48,7))+(SUM($AT745:$AU745)*(VLOOKUP($B745,Lifetime_morbidity_array!$A$30:$Y$48,6)))</f>
        <v>51.613532692128501</v>
      </c>
      <c r="DC745" s="316">
        <f>(SUM($AM745:$AQ745)*VLOOKUP($B745,Lifetime_morbidity_array!$A$30:$Y$48,8))+(SUM($AR745:$AS745)*VLOOKUP($B745,Lifetime_morbidity_array!$A$30:$Y$48,10))+(SUM($AT745:$AU745)*(VLOOKUP($B745,Lifetime_morbidity_array!$A$30:$Y$48,9)))</f>
        <v>4.3814558677435391</v>
      </c>
      <c r="DD745" s="317">
        <f>(SUM($AM745:$AQ745)*VLOOKUP($B745,Lifetime_morbidity_array!$A$30:$Y$48,11))+(SUM($AR745:$AS745)*VLOOKUP($B745,Lifetime_morbidity_array!$A$30:$Y$48,13))+(SUM($AT745:$AU745)*(VLOOKUP($B745,Lifetime_morbidity_array!$A$30:$Y$48,12)))</f>
        <v>50.893488167057676</v>
      </c>
      <c r="DE745" s="309"/>
      <c r="DF745" s="315">
        <f ca="1">(SUM($CN745:$CO745))-((SUM($CN745:$CO745)*VLOOKUP($B745,Lifetime_morbidity_array!$A$6:$Y$24,4))+(SUM($CN745:$CO745)*VLOOKUP($B745,Lifetime_morbidity_array!$A$6:$Y$24,7))+(SUM($CN745:$CO745)*VLOOKUP($B745,Lifetime_morbidity_array!$A$6:$Y$24,10))+(SUM($CN745:$CO745)*VLOOKUP($B745,Lifetime_morbidity_array!$A$6:$Y$24,13)))</f>
        <v>6.207253637104273</v>
      </c>
      <c r="DG745" s="316">
        <f ca="1">(SUM($CP745:$CQ745))-(((SUM($CP745:$CQ745)*VLOOKUP($B745,Lifetime_morbidity_array!$A$6:$Y$24,3))+(SUM($CP745:$CQ745)*VLOOKUP($B745,Lifetime_morbidity_array!$A$6:$Y$24,6))+(SUM($CP745:$CQ745)*VLOOKUP($B745,Lifetime_morbidity_array!$A$6:$Y$24,9))+(SUM($CP745:$CQ745)*VLOOKUP($B745,Lifetime_morbidity_array!$A$6:$Y$24,12))))</f>
        <v>54.99950041667983</v>
      </c>
      <c r="DH745" s="316">
        <f ca="1">(SUM($CI745:$CM745))-((SUM($CI745:$CM745)*VLOOKUP($B745,Lifetime_morbidity_array!$A$6:$Y$24,2))+(SUM($CI745:$CM745)*VLOOKUP($B745,Lifetime_morbidity_array!$A$6:$Y$24,5))+(SUM($CI745:$CM745)*VLOOKUP($B745,Lifetime_morbidity_array!$A$6:$Y$24,8))+(SUM($CI745:$CM745)*VLOOKUP($B745,Lifetime_morbidity_array!$A$6:$Y$24,11)))</f>
        <v>142.19247479433113</v>
      </c>
      <c r="DI745" s="316">
        <f ca="1">(SUM($CI745:$CM745)*VLOOKUP($B745,Lifetime_morbidity_array!$A$6:$Y$24,2))+(SUM($CN745:$CO745)*VLOOKUP($B745,Lifetime_morbidity_array!$A$6:$Y$24,4))+(SUM($CP745:$CQ745)*VLOOKUP($B745,Lifetime_morbidity_array!$A$6:$Y$24,3))</f>
        <v>82.605007755195089</v>
      </c>
      <c r="DJ745" s="316">
        <f ca="1">(SUM($CI745:$CM745)*VLOOKUP($B745,Lifetime_morbidity_array!$A$6:$Y$24,5))+(SUM($CN745:$CO745)*VLOOKUP($B745,Lifetime_morbidity_array!$A$6:$Y$24,7))+(SUM($CP745:$CQ745)*VLOOKUP($B745,Lifetime_morbidity_array!$A$6:$Y$24,6))</f>
        <v>47.862370885099054</v>
      </c>
      <c r="DK745" s="316">
        <f ca="1">(SUM($CI745:$CM745)*VLOOKUP($B745,Lifetime_morbidity_array!$A$6:$Y$24,8))+(SUM($CN745:$CO745)*VLOOKUP($B745,Lifetime_morbidity_array!$A$6:$Y$24,10))+(SUM($CP745:$CQ745)*VLOOKUP($B745,Lifetime_morbidity_array!$A$6:$Y$24,9))</f>
        <v>1.7468338116705169</v>
      </c>
      <c r="DL745" s="317">
        <f ca="1">(SUM($CI745:$CM745)*VLOOKUP($B745,Lifetime_morbidity_array!$A$6:$Y$24,11))+(SUM($CN745:$CO745)*VLOOKUP($B745,Lifetime_morbidity_array!$A$6:$Y$24,13))+(SUM($CP745:$CQ745)*VLOOKUP($B745,Lifetime_morbidity_array!$A$6:$Y$24,12))</f>
        <v>45.010632685472793</v>
      </c>
      <c r="DM745" s="309"/>
      <c r="DN745" s="308">
        <f t="shared" si="266"/>
        <v>79</v>
      </c>
      <c r="DO745" s="309">
        <f t="shared" ca="1" si="267"/>
        <v>49.365299451570863</v>
      </c>
      <c r="DP745" s="310">
        <f t="shared" ca="1" si="298"/>
        <v>23539.548951324778</v>
      </c>
      <c r="DQ745" s="309"/>
      <c r="DR745" s="308">
        <f t="shared" si="268"/>
        <v>79</v>
      </c>
      <c r="DS745" s="309">
        <f ca="1">((VLOOKUP($B745,'Mahawesran Tariff'!$A$21:$M$120,4)*'Experimental (DET)'!$CX745)+(VLOOKUP($B745,'Mahawesran Tariff'!$A$21:$M$120,3)*'Experimental (DET)'!$CY745)+(VLOOKUP($B745,'Mahawesran Tariff'!$A$21:$M$120,2)*'Experimental (DET)'!$CZ745)+(VLOOKUP($B745,'Mahawesran Tariff'!$A$21:$M$120,7)*'Experimental (DET)'!$DF745)+(VLOOKUP($B745,'Mahawesran Tariff'!$A$21:$M$120,6)*'Experimental (DET)'!$DG745)+(VLOOKUP($B745,'Mahawesran Tariff'!$A$21:$M$120,5)*'Experimental (DET)'!$DH745)+(DET_UTIL_chd*('Experimental (DET)'!$DA745+'Experimental (DET)'!$DI745))+(DET_UTIL_copd*('Experimental (DET)'!$DB745+'Experimental (DET)'!$DJ745))+(DET_UTIL_lc*('Experimental (DET)'!$DC745+'Experimental (DET)'!$DK745))+(DET_UTIL_stroke*('Experimental (DET)'!$DD745+'Experimental (DET)'!$DL745)))/((1+Discount_rate_QALYs)^$A745)</f>
        <v>40.360189312022804</v>
      </c>
      <c r="DT745" s="310">
        <f t="shared" ca="1" si="299"/>
        <v>23114.661291703</v>
      </c>
      <c r="DU745" s="309"/>
      <c r="DV745" s="308">
        <f t="shared" si="269"/>
        <v>79</v>
      </c>
      <c r="DW745" s="318">
        <f t="shared" ca="1" si="270"/>
        <v>171020.98271491902</v>
      </c>
      <c r="DX745" s="319">
        <f t="shared" ca="1" si="300"/>
        <v>9843634.8182417322</v>
      </c>
      <c r="DZ745" s="95">
        <f t="shared" si="271"/>
        <v>79</v>
      </c>
      <c r="EA745" s="268">
        <f t="shared" ca="1" si="304"/>
        <v>0.74766906064883409</v>
      </c>
      <c r="EB745" s="268">
        <f t="shared" ref="EB745:EB766" ca="1" si="306">($AV745+$CR745)/Cohort</f>
        <v>0.25233093935116574</v>
      </c>
      <c r="EC745" s="268">
        <f t="shared" ref="EC745:EC766" ca="1" si="307">(SUM($DA745:$DD745)+SUM($DI745:$DL745))/Cohort</f>
        <v>0.39961180219425801</v>
      </c>
      <c r="ED745" s="290">
        <f t="shared" ref="ED745:ED766" ca="1" si="308">(SUM($AR745:$AU745)+SUM($CN745:$CQ745))/Cohort</f>
        <v>0.40821226118462256</v>
      </c>
      <c r="EF745" s="95">
        <f t="shared" si="272"/>
        <v>79</v>
      </c>
      <c r="EG745" s="339">
        <f t="shared" ca="1" si="273"/>
        <v>171020.98271491902</v>
      </c>
      <c r="EH745" s="341">
        <f t="shared" ca="1" si="301"/>
        <v>12945650.542205282</v>
      </c>
      <c r="EJ745" s="308">
        <f t="shared" si="274"/>
        <v>79</v>
      </c>
      <c r="EK745" s="318">
        <f t="shared" ca="1" si="275"/>
        <v>171020.98271491902</v>
      </c>
      <c r="EL745" s="319">
        <f t="shared" ca="1" si="302"/>
        <v>9840594.8182417303</v>
      </c>
      <c r="EN745" s="95">
        <f t="shared" si="276"/>
        <v>79</v>
      </c>
      <c r="EO745" s="339">
        <f t="shared" ca="1" si="277"/>
        <v>171020.98271491902</v>
      </c>
      <c r="EP745" s="341">
        <f t="shared" ca="1" si="303"/>
        <v>12945650.542205282</v>
      </c>
    </row>
    <row r="746" spans="1:146" s="266" customFormat="1" x14ac:dyDescent="0.25">
      <c r="A746" s="313">
        <v>80</v>
      </c>
      <c r="B746" s="314">
        <v>80</v>
      </c>
      <c r="C746" s="308">
        <f>VLOOKUP($B746,'Infant adult mortality'!$A$27:$I$128,3)</f>
        <v>1.4186512892989521E-2</v>
      </c>
      <c r="D746" s="309">
        <f t="shared" ref="D746:D766" si="309">VLOOKUP($A746,$A$555:$N$655,4)</f>
        <v>0.27</v>
      </c>
      <c r="E746" s="309">
        <f>VLOOKUP($B746,'Infant pick up smoking rates'!$A$19:$I$104,3)</f>
        <v>0</v>
      </c>
      <c r="F746" s="309">
        <f t="shared" ref="F746:F766" si="310">VLOOKUP($A746,$A$555:$N$655,3)</f>
        <v>0.14624098391610749</v>
      </c>
      <c r="G746" s="309">
        <f t="shared" ref="G746:G766" si="311">1-F746-E746-D746-C746</f>
        <v>0.56957250319090291</v>
      </c>
      <c r="H746" s="309">
        <f>VLOOKUP($B746,'Infant adult mortality'!$A$27:$I$128,3)</f>
        <v>1.4186512892989521E-2</v>
      </c>
      <c r="I746" s="309">
        <f t="shared" ref="I746:I766" si="312">VLOOKUP($A746,$A$555:$N$655,7)</f>
        <v>0.14000000000000001</v>
      </c>
      <c r="J746" s="309">
        <f>VLOOKUP($B746,'Infant pick up smoking rates'!$A$19:$I$104,2)</f>
        <v>0</v>
      </c>
      <c r="K746" s="309">
        <f t="shared" ref="K746:K766" si="313">VLOOKUP($A746,$A$555:$N$655,6)</f>
        <v>0.14624098391610749</v>
      </c>
      <c r="L746" s="309">
        <f t="shared" ref="L746:L766" si="314">1-K746-J746-I746-H746</f>
        <v>0.69957250319090292</v>
      </c>
      <c r="M746" s="309">
        <f>VLOOKUP($B746,'Infant adult mortality'!$A$27:$I$128,3)</f>
        <v>1.4186512892989521E-2</v>
      </c>
      <c r="N746" s="309">
        <f t="shared" ref="N746:N766" si="315">VLOOKUP($A746,$A$555:$N$655,11)</f>
        <v>0.5714285714285714</v>
      </c>
      <c r="O746" s="309">
        <f>VLOOKUP($B746,'Infant pick up smoking rates'!$A$19:$I$104,2)</f>
        <v>0</v>
      </c>
      <c r="P746" s="309">
        <f t="shared" ref="P746:P766" si="316">VLOOKUP($A746,$A$555:$N$655,9)</f>
        <v>0.12016234480898272</v>
      </c>
      <c r="Q746" s="309">
        <f t="shared" ref="Q746:Q766" si="317">1-P746-O746-N746-M746</f>
        <v>0.29422257086945641</v>
      </c>
      <c r="R746" s="309">
        <f>VLOOKUP($B746,'Infant adult mortality'!$A$27:$I$128,3)</f>
        <v>1.4186512892989521E-2</v>
      </c>
      <c r="S746" s="309">
        <f t="shared" ref="S746:S766" si="318">VLOOKUP($A746,$A$555:$N$655,13)</f>
        <v>8.6261668788331098E-3</v>
      </c>
      <c r="T746" s="309">
        <f>VLOOKUP($B746,'Infant pick up smoking rates'!$A$19:$I$104,2)</f>
        <v>0</v>
      </c>
      <c r="U746" s="309">
        <f t="shared" ref="U746:U766" si="319">VLOOKUP($A746,$A$555:$N$655,12)</f>
        <v>0.12016234480898272</v>
      </c>
      <c r="V746" s="309">
        <f t="shared" ref="V746:V766" si="320">1-U746-T746-S746-R746</f>
        <v>0.85702497541919465</v>
      </c>
      <c r="W746" s="309">
        <f>VLOOKUP($B746,'Infant adult mortality'!$A$27:$I$128,3)</f>
        <v>1.4186512892989521E-2</v>
      </c>
      <c r="X746" s="309">
        <f>VLOOKUP($B746,'Infant pick up smoking rates'!$A$19:$I$104,2)</f>
        <v>0</v>
      </c>
      <c r="Y746" s="309">
        <f t="shared" ref="Y746:Y766" si="321">1-X746-W746</f>
        <v>0.98581348710701044</v>
      </c>
      <c r="Z746" s="309">
        <f>VLOOKUP($B746,'Infant adult mortality'!$A$27:$I$128,5)</f>
        <v>2.2311133036452362E-2</v>
      </c>
      <c r="AA746" s="309">
        <f t="shared" ref="AA746:AA766" si="322">DET_P_01Q_CS_MALE</f>
        <v>0.25</v>
      </c>
      <c r="AB746" s="309">
        <f t="shared" ref="AB746:AB766" si="323">1-AA746-Z746</f>
        <v>0.72768886696354762</v>
      </c>
      <c r="AC746" s="309">
        <f>VLOOKUP($B746,'Infant adult mortality'!$A$27:$I$128,5)</f>
        <v>2.2311133036452362E-2</v>
      </c>
      <c r="AD746" s="309">
        <f t="shared" ref="AD746:AD766" si="324">DET_P_12Q_01Q</f>
        <v>0.14000000000000001</v>
      </c>
      <c r="AE746" s="309">
        <f t="shared" ref="AE746:AE766" si="325">1-AD746-AC746</f>
        <v>0.83768886696354761</v>
      </c>
      <c r="AF746" s="309">
        <f>VLOOKUP($B746,'Infant adult mortality'!$A$27:$I$128,4)</f>
        <v>1.6270288525639314E-2</v>
      </c>
      <c r="AG746" s="309">
        <f t="shared" ref="AG746:AG766" si="326">DET_P_LTQ_12Q</f>
        <v>0.5714285714285714</v>
      </c>
      <c r="AH746" s="309">
        <f t="shared" ref="AH746:AH766" si="327">1-AG746-AF746</f>
        <v>0.41230114004578927</v>
      </c>
      <c r="AI746" s="309">
        <f>VLOOKUP($B746,'Infant adult mortality'!$A$27:$I$128,4)</f>
        <v>1.6270288525639314E-2</v>
      </c>
      <c r="AJ746" s="309">
        <f t="shared" ref="AJ746:AJ766" si="328">DET_P_CS_LTQ</f>
        <v>8.6261668788331098E-3</v>
      </c>
      <c r="AK746" s="309">
        <f t="shared" ref="AK746:AK766" si="329">1-AJ746-AI746</f>
        <v>0.97510354459552762</v>
      </c>
      <c r="AL746" s="309"/>
      <c r="AM746" s="315">
        <f t="shared" si="278"/>
        <v>2.5283522994074077</v>
      </c>
      <c r="AN746" s="316">
        <f t="shared" si="279"/>
        <v>0.81365142581298655</v>
      </c>
      <c r="AO746" s="316">
        <f t="shared" si="280"/>
        <v>0.13567208573339798</v>
      </c>
      <c r="AP746" s="316">
        <f t="shared" si="281"/>
        <v>8.6831816492946565</v>
      </c>
      <c r="AQ746" s="316">
        <f t="shared" si="282"/>
        <v>127.74463279277504</v>
      </c>
      <c r="AR746" s="316">
        <f t="shared" si="283"/>
        <v>81.151664549734519</v>
      </c>
      <c r="AS746" s="316">
        <f t="shared" si="284"/>
        <v>20.906830392002806</v>
      </c>
      <c r="AT746" s="316">
        <f t="shared" si="285"/>
        <v>3.0106094750910417</v>
      </c>
      <c r="AU746" s="316">
        <f t="shared" si="286"/>
        <v>115.75910704308991</v>
      </c>
      <c r="AV746" s="316">
        <f t="shared" si="287"/>
        <v>149.26629828705794</v>
      </c>
      <c r="AW746" s="317">
        <f t="shared" ref="AW746:AW766" si="330">SUM(AM746:AV746)</f>
        <v>509.99999999999966</v>
      </c>
      <c r="AX746" s="309"/>
      <c r="AY746" s="308">
        <f>VLOOKUP($B746,'Infant adult mortality'!$A$134:$I$234,3)</f>
        <v>1.0154842270872776E-2</v>
      </c>
      <c r="AZ746" s="309">
        <f t="shared" ref="AZ746:AZ766" si="331">VLOOKUP($A746,$A$555:$N$655,4)</f>
        <v>0.27</v>
      </c>
      <c r="BA746" s="309">
        <f ca="1">VLOOKUP($B746,'Infant pick up smoking rates'!$A$19:$I$104,7)</f>
        <v>0</v>
      </c>
      <c r="BB746" s="309">
        <f t="shared" ref="BB746:BB766" si="332">VLOOKUP($A746,$A$555:$N$655,3)</f>
        <v>0.14624098391610749</v>
      </c>
      <c r="BC746" s="309">
        <f t="shared" ref="BC746:BC766" ca="1" si="333">1-BB746-BA746-AZ746-AY746</f>
        <v>0.57360417381301965</v>
      </c>
      <c r="BD746" s="309">
        <f>VLOOKUP($B746,'Infant adult mortality'!$A$134:$I$234,3)</f>
        <v>1.0154842270872776E-2</v>
      </c>
      <c r="BE746" s="309">
        <f t="shared" ref="BE746:BE766" si="334">VLOOKUP($A746,$A$555:$N$655,7)</f>
        <v>0.14000000000000001</v>
      </c>
      <c r="BF746" s="309">
        <f>VLOOKUP($B746,'Infant pick up smoking rates'!$A$19:$I$104,6)</f>
        <v>0</v>
      </c>
      <c r="BG746" s="309">
        <f t="shared" ref="BG746:BG766" si="335">VLOOKUP($A746,$A$555:$N$655,6)</f>
        <v>0.14624098391610749</v>
      </c>
      <c r="BH746" s="309">
        <f t="shared" ref="BH746:BH766" si="336">1-BG746-BF746-BE746-BD746</f>
        <v>0.70360417381301965</v>
      </c>
      <c r="BI746" s="309">
        <f>VLOOKUP($B746,'Infant adult mortality'!$A$134:$I$234,3)</f>
        <v>1.0154842270872776E-2</v>
      </c>
      <c r="BJ746" s="309">
        <f t="shared" ref="BJ746:BJ766" si="337">VLOOKUP($A746,$A$555:$N$655,11)</f>
        <v>0.5714285714285714</v>
      </c>
      <c r="BK746" s="309">
        <f>VLOOKUP($B746,'Infant pick up smoking rates'!$A$19:$I$104,6)</f>
        <v>0</v>
      </c>
      <c r="BL746" s="309">
        <f t="shared" ref="BL746:BL766" si="338">VLOOKUP($A746,$A$555:$N$655,9)</f>
        <v>0.12016234480898272</v>
      </c>
      <c r="BM746" s="309">
        <f t="shared" ref="BM746:BM766" si="339">1-BL746-BK746-BJ746-BI746</f>
        <v>0.29825424149157315</v>
      </c>
      <c r="BN746" s="309">
        <f>VLOOKUP($B746,'Infant adult mortality'!$A$134:$I$234,3)</f>
        <v>1.0154842270872776E-2</v>
      </c>
      <c r="BO746" s="309">
        <f t="shared" ref="BO746:BO766" si="340">VLOOKUP($A746,$A$555:$N$655,13)</f>
        <v>8.6261668788331098E-3</v>
      </c>
      <c r="BP746" s="309">
        <f>VLOOKUP($B746,'Infant pick up smoking rates'!$A$19:$I$104,6)</f>
        <v>0</v>
      </c>
      <c r="BQ746" s="309">
        <f t="shared" ref="BQ746:BQ766" si="341">VLOOKUP($A746,$A$555:$N$655,12)</f>
        <v>0.12016234480898272</v>
      </c>
      <c r="BR746" s="309">
        <f t="shared" ref="BR746:BR766" si="342">1-BQ746-BP746-BO746-BN746</f>
        <v>0.86105664604131138</v>
      </c>
      <c r="BS746" s="309">
        <f>VLOOKUP($B746,'Infant adult mortality'!$A$134:$I$234,3)</f>
        <v>1.0154842270872776E-2</v>
      </c>
      <c r="BT746" s="309">
        <f>VLOOKUP($B746,'Infant pick up smoking rates'!$A$19:$I$104,6)</f>
        <v>0</v>
      </c>
      <c r="BU746" s="309">
        <f t="shared" ref="BU746:BU766" si="343">1-BT746-BS746</f>
        <v>0.98984515772912718</v>
      </c>
      <c r="BV746" s="309">
        <f>VLOOKUP($B746,'Infant adult mortality'!$A$134:$I$234,5)</f>
        <v>1.5970523452707927E-2</v>
      </c>
      <c r="BW746" s="309">
        <f t="shared" ref="BW746:BW766" si="344">DET_P_01Q_CS_FEMALE</f>
        <v>0.27</v>
      </c>
      <c r="BX746" s="309">
        <f t="shared" ref="BX746:BX766" si="345">1-BW746-BV746</f>
        <v>0.7140294765472921</v>
      </c>
      <c r="BY746" s="309">
        <f>VLOOKUP($B746,'Infant adult mortality'!$A$134:$I$234,5)</f>
        <v>1.5970523452707927E-2</v>
      </c>
      <c r="BZ746" s="309">
        <f t="shared" ref="BZ746:BZ766" si="346">DET_P_12Q_01Q</f>
        <v>0.14000000000000001</v>
      </c>
      <c r="CA746" s="309">
        <f t="shared" ref="CA746:CA766" si="347">1-BZ746-BY746</f>
        <v>0.8440294765472921</v>
      </c>
      <c r="CB746" s="309">
        <f>VLOOKUP($B746,'Infant adult mortality'!$A$134:$I$234,4)</f>
        <v>1.1646428895229459E-2</v>
      </c>
      <c r="CC746" s="309">
        <f t="shared" ref="CC746:CC766" si="348">DET_P_LTQ_12Q</f>
        <v>0.5714285714285714</v>
      </c>
      <c r="CD746" s="309">
        <f t="shared" ref="CD746:CD766" si="349">1-CC746-CB746</f>
        <v>0.41692499967619917</v>
      </c>
      <c r="CE746" s="309">
        <f>VLOOKUP($B746,'Infant adult mortality'!$A$134:$I$234,4)</f>
        <v>1.1646428895229459E-2</v>
      </c>
      <c r="CF746" s="309">
        <f t="shared" ref="CF746:CF766" si="350">DET_P_CS_LTQ</f>
        <v>8.6261668788331098E-3</v>
      </c>
      <c r="CG746" s="309">
        <f t="shared" ref="CG746:CG766" si="351">1-CF746-CE746</f>
        <v>0.9797274042259374</v>
      </c>
      <c r="CH746" s="309"/>
      <c r="CI746" s="315">
        <f t="shared" ca="1" si="288"/>
        <v>3.5761717513793516</v>
      </c>
      <c r="CJ746" s="316">
        <f t="shared" ca="1" si="289"/>
        <v>1.1453247427791216</v>
      </c>
      <c r="CK746" s="316">
        <f t="shared" ca="1" si="290"/>
        <v>0.19011851726462758</v>
      </c>
      <c r="CL746" s="316">
        <f t="shared" ca="1" si="291"/>
        <v>12.134392953060852</v>
      </c>
      <c r="CM746" s="316">
        <f t="shared" ca="1" si="292"/>
        <v>178.48600103905247</v>
      </c>
      <c r="CN746" s="316">
        <f t="shared" ca="1" si="293"/>
        <v>64.05676824719275</v>
      </c>
      <c r="CO746" s="316">
        <f t="shared" ca="1" si="294"/>
        <v>17.715192036019182</v>
      </c>
      <c r="CP746" s="316">
        <f t="shared" ca="1" si="295"/>
        <v>2.5366574797417147</v>
      </c>
      <c r="CQ746" s="316">
        <f t="shared" ca="1" si="296"/>
        <v>96.283121092970362</v>
      </c>
      <c r="CR746" s="316">
        <f t="shared" ca="1" si="297"/>
        <v>113.87625214053976</v>
      </c>
      <c r="CS746" s="317">
        <f t="shared" ref="CS746:CS766" ca="1" si="352">SUM(CI746:CR746)</f>
        <v>490.00000000000017</v>
      </c>
      <c r="CT746" s="309"/>
      <c r="CU746" s="309">
        <f t="shared" ref="CU746:CU766" ca="1" si="353">CS746+AW746</f>
        <v>999.99999999999977</v>
      </c>
      <c r="CV746" s="309" t="str">
        <f t="shared" ca="1" si="305"/>
        <v>OKAY</v>
      </c>
      <c r="CW746" s="309"/>
      <c r="CX746" s="315">
        <f>(SUM($AR746:$AS746))-((SUM($AR746:$AS746)*VLOOKUP($B746,Lifetime_morbidity_array!$A$30:$Y$48,4))+(SUM($AR746:$AS746)*VLOOKUP($B746,Lifetime_morbidity_array!$A$30:$Y$48,7))+(SUM($AR746:$AS746)*VLOOKUP($B746,Lifetime_morbidity_array!$A$30:$Y$48,10))+(SUM($AR746:$AS746)*VLOOKUP($B746,Lifetime_morbidity_array!$A$30:$Y$48,13)))</f>
        <v>-5.3876584236388396</v>
      </c>
      <c r="CY746" s="316">
        <f>(SUM($AT746:$AU746))-((SUM($AT746:$AU746)*(VLOOKUP($B746,Lifetime_morbidity_array!$A$30:$Y$48,3)))+(SUM($AT746:$AU746)*(VLOOKUP($B746,Lifetime_morbidity_array!$A$30:$Y$48,6)))+(SUM($AT746:$AU746)*(VLOOKUP($B746,Lifetime_morbidity_array!$A$30:$Y$48,9)))+(SUM($AT746:$AU746)*(VLOOKUP($B746,Lifetime_morbidity_array!$A$30:$Y$48,12))))</f>
        <v>53.008727668757643</v>
      </c>
      <c r="CZ746" s="316">
        <f>(SUM($AM746:$AQ746))-((SUM($AM746:$AQ746)*VLOOKUP($B746,Lifetime_morbidity_array!$A$30:$Y$48,2))+(SUM($AM746:$AQ746)*VLOOKUP($B746,Lifetime_morbidity_array!$A$30:$Y$48,5))+(SUM($AM746:$AQ746)*VLOOKUP($B746,Lifetime_morbidity_array!$A$30:$Y$48,8))+(SUM($AM746:$AQ746)*VLOOKUP($B746,Lifetime_morbidity_array!$A$30:$Y$48,11)))</f>
        <v>89.067356697149961</v>
      </c>
      <c r="DA746" s="316">
        <f>(SUM($AM746:$AQ746)*VLOOKUP($B746,Lifetime_morbidity_array!$A$30:$Y$48,2))+(SUM($AR746:$AS746)*VLOOKUP($B746,Lifetime_morbidity_array!$A$30:$Y$48,4))+(SUM($AT746:$AU746)*(VLOOKUP($B746,Lifetime_morbidity_array!$A$30:$Y$48,3)))</f>
        <v>113.19928030791834</v>
      </c>
      <c r="DB746" s="316">
        <f>(SUM($AM746:$AQ746)*VLOOKUP($B746,Lifetime_morbidity_array!$A$30:$Y$48,5))+(SUM($AR746:$AS746)*VLOOKUP($B746,Lifetime_morbidity_array!$A$30:$Y$48,7))+(SUM($AT746:$AU746)*(VLOOKUP($B746,Lifetime_morbidity_array!$A$30:$Y$48,6)))</f>
        <v>56.653075325204796</v>
      </c>
      <c r="DC746" s="316">
        <f>(SUM($AM746:$AQ746)*VLOOKUP($B746,Lifetime_morbidity_array!$A$30:$Y$48,8))+(SUM($AR746:$AS746)*VLOOKUP($B746,Lifetime_morbidity_array!$A$30:$Y$48,10))+(SUM($AT746:$AU746)*(VLOOKUP($B746,Lifetime_morbidity_array!$A$30:$Y$48,9)))</f>
        <v>4.2775319736383723</v>
      </c>
      <c r="DD746" s="317">
        <f>(SUM($AM746:$AQ746)*VLOOKUP($B746,Lifetime_morbidity_array!$A$30:$Y$48,11))+(SUM($AR746:$AS746)*VLOOKUP($B746,Lifetime_morbidity_array!$A$30:$Y$48,13))+(SUM($AT746:$AU746)*(VLOOKUP($B746,Lifetime_morbidity_array!$A$30:$Y$48,12)))</f>
        <v>49.915388163911494</v>
      </c>
      <c r="DE746" s="309"/>
      <c r="DF746" s="315">
        <f ca="1">(SUM($CN746:$CO746))-((SUM($CN746:$CO746)*VLOOKUP($B746,Lifetime_morbidity_array!$A$6:$Y$24,4))+(SUM($CN746:$CO746)*VLOOKUP($B746,Lifetime_morbidity_array!$A$6:$Y$24,7))+(SUM($CN746:$CO746)*VLOOKUP($B746,Lifetime_morbidity_array!$A$6:$Y$24,10))+(SUM($CN746:$CO746)*VLOOKUP($B746,Lifetime_morbidity_array!$A$6:$Y$24,13)))</f>
        <v>6.2277572863599602</v>
      </c>
      <c r="DG746" s="316">
        <f ca="1">(SUM($CP746:$CQ746))-(((SUM($CP746:$CQ746)*VLOOKUP($B746,Lifetime_morbidity_array!$A$6:$Y$24,3))+(SUM($CP746:$CQ746)*VLOOKUP($B746,Lifetime_morbidity_array!$A$6:$Y$24,6))+(SUM($CP746:$CQ746)*VLOOKUP($B746,Lifetime_morbidity_array!$A$6:$Y$24,9))+(SUM($CP746:$CQ746)*VLOOKUP($B746,Lifetime_morbidity_array!$A$6:$Y$24,12))))</f>
        <v>54.770103281658415</v>
      </c>
      <c r="DH746" s="316">
        <f ca="1">(SUM($CI746:$CM746))-((SUM($CI746:$CM746)*VLOOKUP($B746,Lifetime_morbidity_array!$A$6:$Y$24,2))+(SUM($CI746:$CM746)*VLOOKUP($B746,Lifetime_morbidity_array!$A$6:$Y$24,5))+(SUM($CI746:$CM746)*VLOOKUP($B746,Lifetime_morbidity_array!$A$6:$Y$24,8))+(SUM($CI746:$CM746)*VLOOKUP($B746,Lifetime_morbidity_array!$A$6:$Y$24,11)))</f>
        <v>140.76608945301558</v>
      </c>
      <c r="DI746" s="316">
        <f ca="1">(SUM($CI746:$CM746)*VLOOKUP($B746,Lifetime_morbidity_array!$A$6:$Y$24,2))+(SUM($CN746:$CO746)*VLOOKUP($B746,Lifetime_morbidity_array!$A$6:$Y$24,4))+(SUM($CP746:$CQ746)*VLOOKUP($B746,Lifetime_morbidity_array!$A$6:$Y$24,3))</f>
        <v>81.332120551502001</v>
      </c>
      <c r="DJ746" s="316">
        <f ca="1">(SUM($CI746:$CM746)*VLOOKUP($B746,Lifetime_morbidity_array!$A$6:$Y$24,5))+(SUM($CN746:$CO746)*VLOOKUP($B746,Lifetime_morbidity_array!$A$6:$Y$24,7))+(SUM($CP746:$CQ746)*VLOOKUP($B746,Lifetime_morbidity_array!$A$6:$Y$24,6))</f>
        <v>46.783230790845245</v>
      </c>
      <c r="DK746" s="316">
        <f ca="1">(SUM($CI746:$CM746)*VLOOKUP($B746,Lifetime_morbidity_array!$A$6:$Y$24,8))+(SUM($CN746:$CO746)*VLOOKUP($B746,Lifetime_morbidity_array!$A$6:$Y$24,10))+(SUM($CP746:$CQ746)*VLOOKUP($B746,Lifetime_morbidity_array!$A$6:$Y$24,9))</f>
        <v>1.7145044764986768</v>
      </c>
      <c r="DL746" s="317">
        <f ca="1">(SUM($CI746:$CM746)*VLOOKUP($B746,Lifetime_morbidity_array!$A$6:$Y$24,11))+(SUM($CN746:$CO746)*VLOOKUP($B746,Lifetime_morbidity_array!$A$6:$Y$24,13))+(SUM($CP746:$CQ746)*VLOOKUP($B746,Lifetime_morbidity_array!$A$6:$Y$24,12))</f>
        <v>44.529942019580567</v>
      </c>
      <c r="DM746" s="309"/>
      <c r="DN746" s="308">
        <f t="shared" ref="DN746:DN766" si="354">$B746</f>
        <v>80</v>
      </c>
      <c r="DO746" s="309">
        <f t="shared" ref="DO746:DO766" ca="1" si="355">((SUM($CX746:$DD746)+SUM($DF746:$DL746))/((1+Discount_rate_QALYs)^$A746))</f>
        <v>47.006237997174523</v>
      </c>
      <c r="DP746" s="310">
        <f t="shared" ca="1" si="298"/>
        <v>23586.555189321953</v>
      </c>
      <c r="DQ746" s="309"/>
      <c r="DR746" s="308">
        <f t="shared" ref="DR746:DR766" si="356">$B746</f>
        <v>80</v>
      </c>
      <c r="DS746" s="309">
        <f ca="1">((VLOOKUP($B746,'Mahawesran Tariff'!$A$21:$M$120,4)*'Experimental (DET)'!$CX746)+(VLOOKUP($B746,'Mahawesran Tariff'!$A$21:$M$120,3)*'Experimental (DET)'!$CY746)+(VLOOKUP($B746,'Mahawesran Tariff'!$A$21:$M$120,2)*'Experimental (DET)'!$CZ746)+(VLOOKUP($B746,'Mahawesran Tariff'!$A$21:$M$120,7)*'Experimental (DET)'!$DF746)+(VLOOKUP($B746,'Mahawesran Tariff'!$A$21:$M$120,6)*'Experimental (DET)'!$DG746)+(VLOOKUP($B746,'Mahawesran Tariff'!$A$21:$M$120,5)*'Experimental (DET)'!$DH746)+(DET_UTIL_chd*('Experimental (DET)'!$DA746+'Experimental (DET)'!$DI746))+(DET_UTIL_copd*('Experimental (DET)'!$DB746+'Experimental (DET)'!$DJ746))+(DET_UTIL_lc*('Experimental (DET)'!$DC746+'Experimental (DET)'!$DK746))+(DET_UTIL_stroke*('Experimental (DET)'!$DD746+'Experimental (DET)'!$DL746)))/((1+Discount_rate_QALYs)^$A746)</f>
        <v>38.38180719436135</v>
      </c>
      <c r="DT746" s="310">
        <f t="shared" ca="1" si="299"/>
        <v>23153.04309889736</v>
      </c>
      <c r="DU746" s="309"/>
      <c r="DV746" s="308">
        <f t="shared" ref="DV746:DV766" si="357">$B746</f>
        <v>80</v>
      </c>
      <c r="DW746" s="318">
        <f t="shared" ref="DW746:DW766" ca="1" si="358">((DET_COST_chd*($DA746+$DI746))+(DET_COST_copd*($DB746+$DJ746))+(DET_cost_lc*($DC746+$DK746))+(DET_COST_stroke*($DD746+$DL746)))/((1+Discount_rate_costs)^$A746)</f>
        <v>162927.05658967086</v>
      </c>
      <c r="DX746" s="319">
        <f t="shared" ca="1" si="300"/>
        <v>10006561.874831403</v>
      </c>
      <c r="DZ746" s="95">
        <f t="shared" ref="DZ746:DZ766" si="359">$A746</f>
        <v>80</v>
      </c>
      <c r="EA746" s="268">
        <f t="shared" ca="1" si="304"/>
        <v>0.73685744957240218</v>
      </c>
      <c r="EB746" s="268">
        <f t="shared" ca="1" si="306"/>
        <v>0.26314255042759771</v>
      </c>
      <c r="EC746" s="268">
        <f t="shared" ca="1" si="307"/>
        <v>0.39840507360909955</v>
      </c>
      <c r="ED746" s="290">
        <f t="shared" ca="1" si="308"/>
        <v>0.40141995031584232</v>
      </c>
      <c r="EF746" s="95">
        <f t="shared" ref="EF746:EF766" si="360">$A746</f>
        <v>80</v>
      </c>
      <c r="EG746" s="339">
        <f t="shared" ref="EG746:EG766" ca="1" si="361">((DET_COST_chd*($DA746+$DI746))+(DET_COST_copd*($DB746+$DJ746))+(DET_cost_lc*($DC746+$DK746))+(DET_COST_stroke*($DD746+$DL746)))/((1+Discount_rate_costs)^$A746)</f>
        <v>162927.05658967086</v>
      </c>
      <c r="EH746" s="341">
        <f t="shared" ca="1" si="301"/>
        <v>13108577.598794952</v>
      </c>
      <c r="EJ746" s="308">
        <f t="shared" ref="EJ746:EJ766" si="362">$B746</f>
        <v>80</v>
      </c>
      <c r="EK746" s="318">
        <f t="shared" ref="EK746:EK766" ca="1" si="363">((DET_COST_chd*($DA746+$DI746))+(DET_COST_copd*($DB746+$DJ746))+(DET_cost_lc*($DC746+$DK746))+(DET_COST_stroke*($DD746+$DL746)))/((1+Discount_rate_costs)^$A746)</f>
        <v>162927.05658967086</v>
      </c>
      <c r="EL746" s="319">
        <f t="shared" ca="1" si="302"/>
        <v>10003521.874831401</v>
      </c>
      <c r="EN746" s="95">
        <f t="shared" ref="EN746:EN766" si="364">$A746</f>
        <v>80</v>
      </c>
      <c r="EO746" s="339">
        <f t="shared" ref="EO746:EO766" ca="1" si="365">((DET_COST_chd*($DA746+$DI746))+(DET_COST_copd*($DB746+$DJ746))+(DET_cost_lc*($DC746+$DK746))+(DET_COST_stroke*($DD746+$DL746)))/((1+Discount_rate_costs)^$A746)</f>
        <v>162927.05658967086</v>
      </c>
      <c r="EP746" s="341">
        <f t="shared" ca="1" si="303"/>
        <v>13108577.598794952</v>
      </c>
    </row>
    <row r="747" spans="1:146" s="266" customFormat="1" x14ac:dyDescent="0.25">
      <c r="A747" s="313">
        <v>81</v>
      </c>
      <c r="B747" s="314">
        <v>81</v>
      </c>
      <c r="C747" s="308">
        <f>VLOOKUP($B747,'Infant adult mortality'!$A$27:$I$128,3)</f>
        <v>1.5544272152742594E-2</v>
      </c>
      <c r="D747" s="309">
        <f t="shared" si="309"/>
        <v>0.27</v>
      </c>
      <c r="E747" s="309">
        <f>VLOOKUP($B747,'Infant pick up smoking rates'!$A$19:$I$104,3)</f>
        <v>0</v>
      </c>
      <c r="F747" s="309">
        <f t="shared" si="310"/>
        <v>0.14624098391610749</v>
      </c>
      <c r="G747" s="309">
        <f t="shared" si="311"/>
        <v>0.5682147439311499</v>
      </c>
      <c r="H747" s="309">
        <f>VLOOKUP($B747,'Infant adult mortality'!$A$27:$I$128,3)</f>
        <v>1.5544272152742594E-2</v>
      </c>
      <c r="I747" s="309">
        <f t="shared" si="312"/>
        <v>0.14000000000000001</v>
      </c>
      <c r="J747" s="309">
        <f>VLOOKUP($B747,'Infant pick up smoking rates'!$A$19:$I$104,2)</f>
        <v>0</v>
      </c>
      <c r="K747" s="309">
        <f t="shared" si="313"/>
        <v>0.14624098391610749</v>
      </c>
      <c r="L747" s="309">
        <f t="shared" si="314"/>
        <v>0.69821474393114991</v>
      </c>
      <c r="M747" s="309">
        <f>VLOOKUP($B747,'Infant adult mortality'!$A$27:$I$128,3)</f>
        <v>1.5544272152742594E-2</v>
      </c>
      <c r="N747" s="309">
        <f t="shared" si="315"/>
        <v>0.5714285714285714</v>
      </c>
      <c r="O747" s="309">
        <f>VLOOKUP($B747,'Infant pick up smoking rates'!$A$19:$I$104,2)</f>
        <v>0</v>
      </c>
      <c r="P747" s="309">
        <f t="shared" si="316"/>
        <v>0.12016234480898272</v>
      </c>
      <c r="Q747" s="309">
        <f t="shared" si="317"/>
        <v>0.29286481160970335</v>
      </c>
      <c r="R747" s="309">
        <f>VLOOKUP($B747,'Infant adult mortality'!$A$27:$I$128,3)</f>
        <v>1.5544272152742594E-2</v>
      </c>
      <c r="S747" s="309">
        <f t="shared" si="318"/>
        <v>8.6261668788331098E-3</v>
      </c>
      <c r="T747" s="309">
        <f>VLOOKUP($B747,'Infant pick up smoking rates'!$A$19:$I$104,2)</f>
        <v>0</v>
      </c>
      <c r="U747" s="309">
        <f t="shared" si="319"/>
        <v>0.12016234480898272</v>
      </c>
      <c r="V747" s="309">
        <f t="shared" si="320"/>
        <v>0.85566721615944163</v>
      </c>
      <c r="W747" s="309">
        <f>VLOOKUP($B747,'Infant adult mortality'!$A$27:$I$128,3)</f>
        <v>1.5544272152742594E-2</v>
      </c>
      <c r="X747" s="309">
        <f>VLOOKUP($B747,'Infant pick up smoking rates'!$A$19:$I$104,2)</f>
        <v>0</v>
      </c>
      <c r="Y747" s="309">
        <f t="shared" si="321"/>
        <v>0.98445572784725743</v>
      </c>
      <c r="Z747" s="309">
        <f>VLOOKUP($B747,'Infant adult mortality'!$A$27:$I$128,5)</f>
        <v>2.444648142716194E-2</v>
      </c>
      <c r="AA747" s="309">
        <f t="shared" si="322"/>
        <v>0.25</v>
      </c>
      <c r="AB747" s="309">
        <f t="shared" si="323"/>
        <v>0.72555351857283801</v>
      </c>
      <c r="AC747" s="309">
        <f>VLOOKUP($B747,'Infant adult mortality'!$A$27:$I$128,5)</f>
        <v>2.444648142716194E-2</v>
      </c>
      <c r="AD747" s="309">
        <f t="shared" si="324"/>
        <v>0.14000000000000001</v>
      </c>
      <c r="AE747" s="309">
        <f t="shared" si="325"/>
        <v>0.83555351857283799</v>
      </c>
      <c r="AF747" s="309">
        <f>VLOOKUP($B747,'Infant adult mortality'!$A$27:$I$128,4)</f>
        <v>1.7827481267166208E-2</v>
      </c>
      <c r="AG747" s="309">
        <f t="shared" si="326"/>
        <v>0.5714285714285714</v>
      </c>
      <c r="AH747" s="309">
        <f t="shared" si="327"/>
        <v>0.41074394730426239</v>
      </c>
      <c r="AI747" s="309">
        <f>VLOOKUP($B747,'Infant adult mortality'!$A$27:$I$128,4)</f>
        <v>1.7827481267166208E-2</v>
      </c>
      <c r="AJ747" s="309">
        <f t="shared" si="328"/>
        <v>8.6261668788331098E-3</v>
      </c>
      <c r="AK747" s="309">
        <f t="shared" si="329"/>
        <v>0.97354635185400074</v>
      </c>
      <c r="AL747" s="309"/>
      <c r="AM747" s="315">
        <f t="shared" ref="AM747:AM766" si="366">(AM746*G747)+(AN746*L747)+(AO746*Q747)+(AP746*S747)</f>
        <v>2.1193866300737878</v>
      </c>
      <c r="AN747" s="316">
        <f t="shared" ref="AN747:AN766" si="367">AM746*D747</f>
        <v>0.68265512084000013</v>
      </c>
      <c r="AO747" s="316">
        <f t="shared" ref="AO747:AO766" si="368">AN746*I747</f>
        <v>0.11391119961381813</v>
      </c>
      <c r="AP747" s="316">
        <f t="shared" ref="AP747:AP766" si="369">(AO746*N747)+(AP746*V747)</f>
        <v>7.5074407753920775</v>
      </c>
      <c r="AQ747" s="316">
        <f t="shared" ref="AQ747:AQ766" si="370">(AM746*F747)+(AN746*K747)+(AO746*P747)+(AP746*U747)+(AQ746*Y747)</f>
        <v>127.30736751094793</v>
      </c>
      <c r="AR747" s="316">
        <f t="shared" ref="AR747:AR766" si="371">(AR746*AB747)+(AS746*AE747)+(AT746*AH747)+(AU746*AJ747)+(AM746*E747)+(AN746*J747)+(AO746*O747)+(AP746*T747)+(AQ746*X747)</f>
        <v>78.583798443034908</v>
      </c>
      <c r="AS747" s="316">
        <f t="shared" ref="AS747:AS766" si="372">AR746*AA747</f>
        <v>20.28791613743363</v>
      </c>
      <c r="AT747" s="316">
        <f t="shared" ref="AT747:AT766" si="373">AS746*AD747</f>
        <v>2.9269562548803933</v>
      </c>
      <c r="AU747" s="316">
        <f t="shared" ref="AU747:AU766" si="374">(AT746*AG747)+(AU746*AK747)</f>
        <v>114.41720462715753</v>
      </c>
      <c r="AV747" s="316">
        <f t="shared" ref="AV747:AV766" si="375">AV746+(AM746*C747)+(AN746*H747)+(AO746*M747)+(AP746*R747)+(AQ746*W747)+(AR746*Z747)+(AS746*AC747)+(AT746*AF747)+(AU746*AI747)</f>
        <v>156.05336330062562</v>
      </c>
      <c r="AW747" s="317">
        <f t="shared" si="330"/>
        <v>509.99999999999966</v>
      </c>
      <c r="AX747" s="309"/>
      <c r="AY747" s="308">
        <f>VLOOKUP($B747,'Infant adult mortality'!$A$134:$I$234,3)</f>
        <v>1.1236987813658303E-2</v>
      </c>
      <c r="AZ747" s="309">
        <f t="shared" si="331"/>
        <v>0.27</v>
      </c>
      <c r="BA747" s="309">
        <f ca="1">VLOOKUP($B747,'Infant pick up smoking rates'!$A$19:$I$104,7)</f>
        <v>0</v>
      </c>
      <c r="BB747" s="309">
        <f t="shared" si="332"/>
        <v>0.14624098391610749</v>
      </c>
      <c r="BC747" s="309">
        <f t="shared" ca="1" si="333"/>
        <v>0.57252202827023413</v>
      </c>
      <c r="BD747" s="309">
        <f>VLOOKUP($B747,'Infant adult mortality'!$A$134:$I$234,3)</f>
        <v>1.1236987813658303E-2</v>
      </c>
      <c r="BE747" s="309">
        <f t="shared" si="334"/>
        <v>0.14000000000000001</v>
      </c>
      <c r="BF747" s="309">
        <f>VLOOKUP($B747,'Infant pick up smoking rates'!$A$19:$I$104,6)</f>
        <v>0</v>
      </c>
      <c r="BG747" s="309">
        <f t="shared" si="335"/>
        <v>0.14624098391610749</v>
      </c>
      <c r="BH747" s="309">
        <f t="shared" si="336"/>
        <v>0.70252202827023413</v>
      </c>
      <c r="BI747" s="309">
        <f>VLOOKUP($B747,'Infant adult mortality'!$A$134:$I$234,3)</f>
        <v>1.1236987813658303E-2</v>
      </c>
      <c r="BJ747" s="309">
        <f t="shared" si="337"/>
        <v>0.5714285714285714</v>
      </c>
      <c r="BK747" s="309">
        <f>VLOOKUP($B747,'Infant pick up smoking rates'!$A$19:$I$104,6)</f>
        <v>0</v>
      </c>
      <c r="BL747" s="309">
        <f t="shared" si="338"/>
        <v>0.12016234480898272</v>
      </c>
      <c r="BM747" s="309">
        <f t="shared" si="339"/>
        <v>0.29717209594878763</v>
      </c>
      <c r="BN747" s="309">
        <f>VLOOKUP($B747,'Infant adult mortality'!$A$134:$I$234,3)</f>
        <v>1.1236987813658303E-2</v>
      </c>
      <c r="BO747" s="309">
        <f t="shared" si="340"/>
        <v>8.6261668788331098E-3</v>
      </c>
      <c r="BP747" s="309">
        <f>VLOOKUP($B747,'Infant pick up smoking rates'!$A$19:$I$104,6)</f>
        <v>0</v>
      </c>
      <c r="BQ747" s="309">
        <f t="shared" si="341"/>
        <v>0.12016234480898272</v>
      </c>
      <c r="BR747" s="309">
        <f t="shared" si="342"/>
        <v>0.85997450049852586</v>
      </c>
      <c r="BS747" s="309">
        <f>VLOOKUP($B747,'Infant adult mortality'!$A$134:$I$234,3)</f>
        <v>1.1236987813658303E-2</v>
      </c>
      <c r="BT747" s="309">
        <f>VLOOKUP($B747,'Infant pick up smoking rates'!$A$19:$I$104,6)</f>
        <v>0</v>
      </c>
      <c r="BU747" s="309">
        <f t="shared" si="343"/>
        <v>0.98876301218634166</v>
      </c>
      <c r="BV747" s="309">
        <f>VLOOKUP($B747,'Infant adult mortality'!$A$134:$I$234,5)</f>
        <v>1.7672414068958159E-2</v>
      </c>
      <c r="BW747" s="309">
        <f t="shared" si="344"/>
        <v>0.27</v>
      </c>
      <c r="BX747" s="309">
        <f t="shared" si="345"/>
        <v>0.71232758593104184</v>
      </c>
      <c r="BY747" s="309">
        <f>VLOOKUP($B747,'Infant adult mortality'!$A$134:$I$234,5)</f>
        <v>1.7672414068958159E-2</v>
      </c>
      <c r="BZ747" s="309">
        <f t="shared" si="346"/>
        <v>0.14000000000000001</v>
      </c>
      <c r="CA747" s="309">
        <f t="shared" si="347"/>
        <v>0.84232758593104184</v>
      </c>
      <c r="CB747" s="309">
        <f>VLOOKUP($B747,'Infant adult mortality'!$A$134:$I$234,4)</f>
        <v>1.2887524599344016E-2</v>
      </c>
      <c r="CC747" s="309">
        <f t="shared" si="348"/>
        <v>0.5714285714285714</v>
      </c>
      <c r="CD747" s="309">
        <f t="shared" si="349"/>
        <v>0.4156839039720846</v>
      </c>
      <c r="CE747" s="309">
        <f>VLOOKUP($B747,'Infant adult mortality'!$A$134:$I$234,4)</f>
        <v>1.2887524599344016E-2</v>
      </c>
      <c r="CF747" s="309">
        <f t="shared" si="350"/>
        <v>8.6261668788331098E-3</v>
      </c>
      <c r="CG747" s="309">
        <f t="shared" si="351"/>
        <v>0.97848630852182283</v>
      </c>
      <c r="CH747" s="309"/>
      <c r="CI747" s="315">
        <f t="shared" ref="CI747:CI766" ca="1" si="376">(CI746*BC747)+(CJ746*BH747)+(CK746*BM747)+(CL746*BO747)</f>
        <v>3.0132241827083392</v>
      </c>
      <c r="CJ747" s="316">
        <f t="shared" ref="CJ747:CJ766" ca="1" si="377">CI746*AZ747</f>
        <v>0.96556637287242497</v>
      </c>
      <c r="CK747" s="316">
        <f t="shared" ref="CK747:CK766" ca="1" si="378">CJ746*BE747</f>
        <v>0.16034546398907704</v>
      </c>
      <c r="CL747" s="316">
        <f t="shared" ref="CL747:CL766" ca="1" si="379">(CK746*BJ747)+(CL746*BR747)</f>
        <v>10.543907671383982</v>
      </c>
      <c r="CM747" s="316">
        <f t="shared" ref="CM747:CM766" ca="1" si="380">(CI746*BB747)+(CJ746*BG747)+(CK746*BL747)+(CL746*BQ747)+(CM746*BU747)</f>
        <v>178.65177451022973</v>
      </c>
      <c r="CN747" s="316">
        <f t="shared" ref="CN747:CN766" ca="1" si="381">(CN746*BX747)+(CO746*CA747)+(CP746*CD747)+(CQ746*CF747)+(CI746*BA747)+(CJ746*BF747)+(CK746*BK747)+(CL746*BP747)+(CM746*BT747)</f>
        <v>62.436399984453772</v>
      </c>
      <c r="CO747" s="316">
        <f t="shared" ref="CO747:CO766" ca="1" si="382">CN746*BW747</f>
        <v>17.295327426742045</v>
      </c>
      <c r="CP747" s="316">
        <f t="shared" ref="CP747:CP766" ca="1" si="383">CO746*BZ747</f>
        <v>2.4801268850426856</v>
      </c>
      <c r="CQ747" s="316">
        <f t="shared" ref="CQ747:CQ766" ca="1" si="384">(CP746*CC747)+(CQ746*CG747)</f>
        <v>95.661234291072631</v>
      </c>
      <c r="CR747" s="316">
        <f t="shared" ref="CR747:CR766" ca="1" si="385">CR746+(CI746*AY747)+(CJ746*BD747)+(CK746*BI747)+(CL746*BN747)+(CM746*BS747)+(CN746*BV747)+(CO746*BY747)+(CP746*CB747)+(CQ746*CE747)</f>
        <v>118.7920932115055</v>
      </c>
      <c r="CS747" s="317">
        <f t="shared" ca="1" si="352"/>
        <v>490.00000000000023</v>
      </c>
      <c r="CT747" s="309"/>
      <c r="CU747" s="309">
        <f t="shared" ca="1" si="353"/>
        <v>999.99999999999989</v>
      </c>
      <c r="CV747" s="309" t="str">
        <f t="shared" ca="1" si="305"/>
        <v>OKAY</v>
      </c>
      <c r="CW747" s="309"/>
      <c r="CX747" s="315">
        <f>(SUM($AR747:$AS747))-((SUM($AR747:$AS747)*VLOOKUP($B747,Lifetime_morbidity_array!$A$30:$Y$48,4))+(SUM($AR747:$AS747)*VLOOKUP($B747,Lifetime_morbidity_array!$A$30:$Y$48,7))+(SUM($AR747:$AS747)*VLOOKUP($B747,Lifetime_morbidity_array!$A$30:$Y$48,10))+(SUM($AR747:$AS747)*VLOOKUP($B747,Lifetime_morbidity_array!$A$30:$Y$48,13)))</f>
        <v>-5.2194285857651863</v>
      </c>
      <c r="CY747" s="316">
        <f>(SUM($AT747:$AU747))-((SUM($AT747:$AU747)*(VLOOKUP($B747,Lifetime_morbidity_array!$A$30:$Y$48,3)))+(SUM($AT747:$AU747)*(VLOOKUP($B747,Lifetime_morbidity_array!$A$30:$Y$48,6)))+(SUM($AT747:$AU747)*(VLOOKUP($B747,Lifetime_morbidity_array!$A$30:$Y$48,9)))+(SUM($AT747:$AU747)*(VLOOKUP($B747,Lifetime_morbidity_array!$A$30:$Y$48,12))))</f>
        <v>52.372480545262988</v>
      </c>
      <c r="CZ747" s="316">
        <f>(SUM($AM747:$AQ747))-((SUM($AM747:$AQ747)*VLOOKUP($B747,Lifetime_morbidity_array!$A$30:$Y$48,2))+(SUM($AM747:$AQ747)*VLOOKUP($B747,Lifetime_morbidity_array!$A$30:$Y$48,5))+(SUM($AM747:$AQ747)*VLOOKUP($B747,Lifetime_morbidity_array!$A$30:$Y$48,8))+(SUM($AM747:$AQ747)*VLOOKUP($B747,Lifetime_morbidity_array!$A$30:$Y$48,11)))</f>
        <v>87.682869464724064</v>
      </c>
      <c r="DA747" s="316">
        <f>(SUM($AM747:$AQ747)*VLOOKUP($B747,Lifetime_morbidity_array!$A$30:$Y$48,2))+(SUM($AR747:$AS747)*VLOOKUP($B747,Lifetime_morbidity_array!$A$30:$Y$48,4))+(SUM($AT747:$AU747)*(VLOOKUP($B747,Lifetime_morbidity_array!$A$30:$Y$48,3)))</f>
        <v>110.84652034285165</v>
      </c>
      <c r="DB747" s="316">
        <f>(SUM($AM747:$AQ747)*VLOOKUP($B747,Lifetime_morbidity_array!$A$30:$Y$48,5))+(SUM($AR747:$AS747)*VLOOKUP($B747,Lifetime_morbidity_array!$A$30:$Y$48,7))+(SUM($AT747:$AU747)*(VLOOKUP($B747,Lifetime_morbidity_array!$A$30:$Y$48,6)))</f>
        <v>55.181510839906508</v>
      </c>
      <c r="DC747" s="316">
        <f>(SUM($AM747:$AQ747)*VLOOKUP($B747,Lifetime_morbidity_array!$A$30:$Y$48,8))+(SUM($AR747:$AS747)*VLOOKUP($B747,Lifetime_morbidity_array!$A$30:$Y$48,10))+(SUM($AT747:$AU747)*(VLOOKUP($B747,Lifetime_morbidity_array!$A$30:$Y$48,9)))</f>
        <v>4.1665812639566617</v>
      </c>
      <c r="DD747" s="317">
        <f>(SUM($AM747:$AQ747)*VLOOKUP($B747,Lifetime_morbidity_array!$A$30:$Y$48,11))+(SUM($AR747:$AS747)*VLOOKUP($B747,Lifetime_morbidity_array!$A$30:$Y$48,13))+(SUM($AT747:$AU747)*(VLOOKUP($B747,Lifetime_morbidity_array!$A$30:$Y$48,12)))</f>
        <v>48.916102828437403</v>
      </c>
      <c r="DE747" s="309"/>
      <c r="DF747" s="315">
        <f ca="1">(SUM($CN747:$CO747))-((SUM($CN747:$CO747)*VLOOKUP($B747,Lifetime_morbidity_array!$A$6:$Y$24,4))+(SUM($CN747:$CO747)*VLOOKUP($B747,Lifetime_morbidity_array!$A$6:$Y$24,7))+(SUM($CN747:$CO747)*VLOOKUP($B747,Lifetime_morbidity_array!$A$6:$Y$24,10))+(SUM($CN747:$CO747)*VLOOKUP($B747,Lifetime_morbidity_array!$A$6:$Y$24,13)))</f>
        <v>6.0723730312856929</v>
      </c>
      <c r="DG747" s="316">
        <f ca="1">(SUM($CP747:$CQ747))-(((SUM($CP747:$CQ747)*VLOOKUP($B747,Lifetime_morbidity_array!$A$6:$Y$24,3))+(SUM($CP747:$CQ747)*VLOOKUP($B747,Lifetime_morbidity_array!$A$6:$Y$24,6))+(SUM($CP747:$CQ747)*VLOOKUP($B747,Lifetime_morbidity_array!$A$6:$Y$24,9))+(SUM($CP747:$CQ747)*VLOOKUP($B747,Lifetime_morbidity_array!$A$6:$Y$24,12))))</f>
        <v>54.394095650227236</v>
      </c>
      <c r="DH747" s="316">
        <f ca="1">(SUM($CI747:$CM747))-((SUM($CI747:$CM747)*VLOOKUP($B747,Lifetime_morbidity_array!$A$6:$Y$24,2))+(SUM($CI747:$CM747)*VLOOKUP($B747,Lifetime_morbidity_array!$A$6:$Y$24,5))+(SUM($CI747:$CM747)*VLOOKUP($B747,Lifetime_morbidity_array!$A$6:$Y$24,8))+(SUM($CI747:$CM747)*VLOOKUP($B747,Lifetime_morbidity_array!$A$6:$Y$24,11)))</f>
        <v>139.18430262125571</v>
      </c>
      <c r="DI747" s="316">
        <f ca="1">(SUM($CI747:$CM747)*VLOOKUP($B747,Lifetime_morbidity_array!$A$6:$Y$24,2))+(SUM($CN747:$CO747)*VLOOKUP($B747,Lifetime_morbidity_array!$A$6:$Y$24,4))+(SUM($CP747:$CQ747)*VLOOKUP($B747,Lifetime_morbidity_array!$A$6:$Y$24,3))</f>
        <v>80.100220552468471</v>
      </c>
      <c r="DJ747" s="316">
        <f ca="1">(SUM($CI747:$CM747)*VLOOKUP($B747,Lifetime_morbidity_array!$A$6:$Y$24,5))+(SUM($CN747:$CO747)*VLOOKUP($B747,Lifetime_morbidity_array!$A$6:$Y$24,7))+(SUM($CP747:$CQ747)*VLOOKUP($B747,Lifetime_morbidity_array!$A$6:$Y$24,6))</f>
        <v>45.890501437924136</v>
      </c>
      <c r="DK747" s="316">
        <f ca="1">(SUM($CI747:$CM747)*VLOOKUP($B747,Lifetime_morbidity_array!$A$6:$Y$24,8))+(SUM($CN747:$CO747)*VLOOKUP($B747,Lifetime_morbidity_array!$A$6:$Y$24,10))+(SUM($CP747:$CQ747)*VLOOKUP($B747,Lifetime_morbidity_array!$A$6:$Y$24,9))</f>
        <v>1.6806263233473153</v>
      </c>
      <c r="DL747" s="317">
        <f ca="1">(SUM($CI747:$CM747)*VLOOKUP($B747,Lifetime_morbidity_array!$A$6:$Y$24,11))+(SUM($CN747:$CO747)*VLOOKUP($B747,Lifetime_morbidity_array!$A$6:$Y$24,13))+(SUM($CP747:$CQ747)*VLOOKUP($B747,Lifetime_morbidity_array!$A$6:$Y$24,12))</f>
        <v>43.885787171986131</v>
      </c>
      <c r="DM747" s="309"/>
      <c r="DN747" s="308">
        <f t="shared" si="354"/>
        <v>81</v>
      </c>
      <c r="DO747" s="309">
        <f t="shared" ca="1" si="355"/>
        <v>44.695339367133322</v>
      </c>
      <c r="DP747" s="310">
        <f t="shared" ref="DP747:DP766" ca="1" si="386">DO747+DP746</f>
        <v>23631.250528689085</v>
      </c>
      <c r="DQ747" s="309"/>
      <c r="DR747" s="308">
        <f t="shared" si="356"/>
        <v>81</v>
      </c>
      <c r="DS747" s="309">
        <f ca="1">((VLOOKUP($B747,'Mahawesran Tariff'!$A$21:$M$120,4)*'Experimental (DET)'!$CX747)+(VLOOKUP($B747,'Mahawesran Tariff'!$A$21:$M$120,3)*'Experimental (DET)'!$CY747)+(VLOOKUP($B747,'Mahawesran Tariff'!$A$21:$M$120,2)*'Experimental (DET)'!$CZ747)+(VLOOKUP($B747,'Mahawesran Tariff'!$A$21:$M$120,7)*'Experimental (DET)'!$DF747)+(VLOOKUP($B747,'Mahawesran Tariff'!$A$21:$M$120,6)*'Experimental (DET)'!$DG747)+(VLOOKUP($B747,'Mahawesran Tariff'!$A$21:$M$120,5)*'Experimental (DET)'!$DH747)+(DET_UTIL_chd*('Experimental (DET)'!$DA747+'Experimental (DET)'!$DI747))+(DET_UTIL_copd*('Experimental (DET)'!$DB747+'Experimental (DET)'!$DJ747))+(DET_UTIL_lc*('Experimental (DET)'!$DC747+'Experimental (DET)'!$DK747))+(DET_UTIL_stroke*('Experimental (DET)'!$DD747+'Experimental (DET)'!$DL747)))/((1+Discount_rate_QALYs)^$A747)</f>
        <v>36.511245942827919</v>
      </c>
      <c r="DT747" s="310">
        <f t="shared" ref="DT747:DT766" ca="1" si="387">DS747+DT746</f>
        <v>23189.554344840188</v>
      </c>
      <c r="DU747" s="309"/>
      <c r="DV747" s="308">
        <f t="shared" si="357"/>
        <v>81</v>
      </c>
      <c r="DW747" s="318">
        <f t="shared" ca="1" si="358"/>
        <v>154602.37141769665</v>
      </c>
      <c r="DX747" s="319">
        <f t="shared" ref="DX747:DX766" ca="1" si="388">DW747+DX746</f>
        <v>10161164.2462491</v>
      </c>
      <c r="DZ747" s="95">
        <f t="shared" si="359"/>
        <v>81</v>
      </c>
      <c r="EA747" s="268">
        <f t="shared" ca="1" si="304"/>
        <v>0.72515454348786879</v>
      </c>
      <c r="EB747" s="268">
        <f t="shared" ca="1" si="306"/>
        <v>0.27484545651213116</v>
      </c>
      <c r="EC747" s="268">
        <f t="shared" ca="1" si="307"/>
        <v>0.39066785076087829</v>
      </c>
      <c r="ED747" s="290">
        <f t="shared" ca="1" si="308"/>
        <v>0.39408896404981758</v>
      </c>
      <c r="EF747" s="95">
        <f t="shared" si="360"/>
        <v>81</v>
      </c>
      <c r="EG747" s="339">
        <f t="shared" ca="1" si="361"/>
        <v>154602.37141769665</v>
      </c>
      <c r="EH747" s="341">
        <f t="shared" ref="EH747:EH766" ca="1" si="389">EG747+EH746</f>
        <v>13263179.97021265</v>
      </c>
      <c r="EJ747" s="308">
        <f t="shared" si="362"/>
        <v>81</v>
      </c>
      <c r="EK747" s="318">
        <f t="shared" ca="1" si="363"/>
        <v>154602.37141769665</v>
      </c>
      <c r="EL747" s="319">
        <f t="shared" ref="EL747:EL766" ca="1" si="390">EK747+EL746</f>
        <v>10158124.246249098</v>
      </c>
      <c r="EN747" s="95">
        <f t="shared" si="364"/>
        <v>81</v>
      </c>
      <c r="EO747" s="339">
        <f t="shared" ca="1" si="365"/>
        <v>154602.37141769665</v>
      </c>
      <c r="EP747" s="341">
        <f t="shared" ref="EP747:EP766" ca="1" si="391">EO747+EP746</f>
        <v>13263179.97021265</v>
      </c>
    </row>
    <row r="748" spans="1:146" s="266" customFormat="1" x14ac:dyDescent="0.25">
      <c r="A748" s="313">
        <v>82</v>
      </c>
      <c r="B748" s="314">
        <v>82</v>
      </c>
      <c r="C748" s="308">
        <f>VLOOKUP($B748,'Infant adult mortality'!$A$27:$I$128,3)</f>
        <v>1.7060821578091252E-2</v>
      </c>
      <c r="D748" s="309">
        <f t="shared" si="309"/>
        <v>0.27</v>
      </c>
      <c r="E748" s="309">
        <f>VLOOKUP($B748,'Infant pick up smoking rates'!$A$19:$I$104,3)</f>
        <v>0</v>
      </c>
      <c r="F748" s="309">
        <f t="shared" si="310"/>
        <v>0.14624098391610749</v>
      </c>
      <c r="G748" s="309">
        <f t="shared" si="311"/>
        <v>0.56669819450580117</v>
      </c>
      <c r="H748" s="309">
        <f>VLOOKUP($B748,'Infant adult mortality'!$A$27:$I$128,3)</f>
        <v>1.7060821578091252E-2</v>
      </c>
      <c r="I748" s="309">
        <f t="shared" si="312"/>
        <v>0.14000000000000001</v>
      </c>
      <c r="J748" s="309">
        <f>VLOOKUP($B748,'Infant pick up smoking rates'!$A$19:$I$104,2)</f>
        <v>0</v>
      </c>
      <c r="K748" s="309">
        <f t="shared" si="313"/>
        <v>0.14624098391610749</v>
      </c>
      <c r="L748" s="309">
        <f t="shared" si="314"/>
        <v>0.69669819450580117</v>
      </c>
      <c r="M748" s="309">
        <f>VLOOKUP($B748,'Infant adult mortality'!$A$27:$I$128,3)</f>
        <v>1.7060821578091252E-2</v>
      </c>
      <c r="N748" s="309">
        <f t="shared" si="315"/>
        <v>0.5714285714285714</v>
      </c>
      <c r="O748" s="309">
        <f>VLOOKUP($B748,'Infant pick up smoking rates'!$A$19:$I$104,2)</f>
        <v>0</v>
      </c>
      <c r="P748" s="309">
        <f t="shared" si="316"/>
        <v>0.12016234480898272</v>
      </c>
      <c r="Q748" s="309">
        <f t="shared" si="317"/>
        <v>0.29134826218435467</v>
      </c>
      <c r="R748" s="309">
        <f>VLOOKUP($B748,'Infant adult mortality'!$A$27:$I$128,3)</f>
        <v>1.7060821578091252E-2</v>
      </c>
      <c r="S748" s="309">
        <f t="shared" si="318"/>
        <v>8.6261668788331098E-3</v>
      </c>
      <c r="T748" s="309">
        <f>VLOOKUP($B748,'Infant pick up smoking rates'!$A$19:$I$104,2)</f>
        <v>0</v>
      </c>
      <c r="U748" s="309">
        <f t="shared" si="319"/>
        <v>0.12016234480898272</v>
      </c>
      <c r="V748" s="309">
        <f t="shared" si="320"/>
        <v>0.8541506667340929</v>
      </c>
      <c r="W748" s="309">
        <f>VLOOKUP($B748,'Infant adult mortality'!$A$27:$I$128,3)</f>
        <v>1.7060821578091252E-2</v>
      </c>
      <c r="X748" s="309">
        <f>VLOOKUP($B748,'Infant pick up smoking rates'!$A$19:$I$104,2)</f>
        <v>0</v>
      </c>
      <c r="Y748" s="309">
        <f t="shared" si="321"/>
        <v>0.9829391784219087</v>
      </c>
      <c r="Z748" s="309">
        <f>VLOOKUP($B748,'Infant adult mortality'!$A$27:$I$128,5)</f>
        <v>2.6831559158422443E-2</v>
      </c>
      <c r="AA748" s="309">
        <f t="shared" si="322"/>
        <v>0.25</v>
      </c>
      <c r="AB748" s="309">
        <f t="shared" si="323"/>
        <v>0.72316844084157761</v>
      </c>
      <c r="AC748" s="309">
        <f>VLOOKUP($B748,'Infant adult mortality'!$A$27:$I$128,5)</f>
        <v>2.6831559158422443E-2</v>
      </c>
      <c r="AD748" s="309">
        <f t="shared" si="324"/>
        <v>0.14000000000000001</v>
      </c>
      <c r="AE748" s="309">
        <f t="shared" si="325"/>
        <v>0.8331684408415776</v>
      </c>
      <c r="AF748" s="309">
        <f>VLOOKUP($B748,'Infant adult mortality'!$A$27:$I$128,4)</f>
        <v>1.9566787952321273E-2</v>
      </c>
      <c r="AG748" s="309">
        <f t="shared" si="326"/>
        <v>0.5714285714285714</v>
      </c>
      <c r="AH748" s="309">
        <f t="shared" si="327"/>
        <v>0.40900464061910735</v>
      </c>
      <c r="AI748" s="309">
        <f>VLOOKUP($B748,'Infant adult mortality'!$A$27:$I$128,4)</f>
        <v>1.9566787952321273E-2</v>
      </c>
      <c r="AJ748" s="309">
        <f t="shared" si="328"/>
        <v>8.6261668788331098E-3</v>
      </c>
      <c r="AK748" s="309">
        <f t="shared" si="329"/>
        <v>0.97180704516884564</v>
      </c>
      <c r="AL748" s="309"/>
      <c r="AM748" s="315">
        <f t="shared" si="366"/>
        <v>1.774605433894227</v>
      </c>
      <c r="AN748" s="316">
        <f t="shared" si="367"/>
        <v>0.57223439011992272</v>
      </c>
      <c r="AO748" s="316">
        <f t="shared" si="368"/>
        <v>9.5571716917600025E-2</v>
      </c>
      <c r="AP748" s="316">
        <f t="shared" si="369"/>
        <v>6.4775776578328976</v>
      </c>
      <c r="AQ748" s="316">
        <f t="shared" si="370"/>
        <v>126.46097209482608</v>
      </c>
      <c r="AR748" s="316">
        <f t="shared" si="371"/>
        <v>75.916695043667261</v>
      </c>
      <c r="AS748" s="316">
        <f t="shared" si="372"/>
        <v>19.645949610758727</v>
      </c>
      <c r="AT748" s="316">
        <f t="shared" si="373"/>
        <v>2.8403082592407083</v>
      </c>
      <c r="AU748" s="316">
        <f t="shared" si="374"/>
        <v>112.86399197655736</v>
      </c>
      <c r="AV748" s="316">
        <f t="shared" si="375"/>
        <v>163.35209381618492</v>
      </c>
      <c r="AW748" s="317">
        <f t="shared" si="330"/>
        <v>509.99999999999966</v>
      </c>
      <c r="AX748" s="309"/>
      <c r="AY748" s="308">
        <f>VLOOKUP($B748,'Infant adult mortality'!$A$134:$I$234,3)</f>
        <v>1.2441618356843818E-2</v>
      </c>
      <c r="AZ748" s="309">
        <f t="shared" si="331"/>
        <v>0.27</v>
      </c>
      <c r="BA748" s="309">
        <f ca="1">VLOOKUP($B748,'Infant pick up smoking rates'!$A$19:$I$104,7)</f>
        <v>0</v>
      </c>
      <c r="BB748" s="309">
        <f t="shared" si="332"/>
        <v>0.14624098391610749</v>
      </c>
      <c r="BC748" s="309">
        <f t="shared" ca="1" si="333"/>
        <v>0.5713173977270487</v>
      </c>
      <c r="BD748" s="309">
        <f>VLOOKUP($B748,'Infant adult mortality'!$A$134:$I$234,3)</f>
        <v>1.2441618356843818E-2</v>
      </c>
      <c r="BE748" s="309">
        <f t="shared" si="334"/>
        <v>0.14000000000000001</v>
      </c>
      <c r="BF748" s="309">
        <f>VLOOKUP($B748,'Infant pick up smoking rates'!$A$19:$I$104,6)</f>
        <v>0</v>
      </c>
      <c r="BG748" s="309">
        <f t="shared" si="335"/>
        <v>0.14624098391610749</v>
      </c>
      <c r="BH748" s="309">
        <f t="shared" si="336"/>
        <v>0.70131739772704871</v>
      </c>
      <c r="BI748" s="309">
        <f>VLOOKUP($B748,'Infant adult mortality'!$A$134:$I$234,3)</f>
        <v>1.2441618356843818E-2</v>
      </c>
      <c r="BJ748" s="309">
        <f t="shared" si="337"/>
        <v>0.5714285714285714</v>
      </c>
      <c r="BK748" s="309">
        <f>VLOOKUP($B748,'Infant pick up smoking rates'!$A$19:$I$104,6)</f>
        <v>0</v>
      </c>
      <c r="BL748" s="309">
        <f t="shared" si="338"/>
        <v>0.12016234480898272</v>
      </c>
      <c r="BM748" s="309">
        <f t="shared" si="339"/>
        <v>0.29596746540560209</v>
      </c>
      <c r="BN748" s="309">
        <f>VLOOKUP($B748,'Infant adult mortality'!$A$134:$I$234,3)</f>
        <v>1.2441618356843818E-2</v>
      </c>
      <c r="BO748" s="309">
        <f t="shared" si="340"/>
        <v>8.6261668788331098E-3</v>
      </c>
      <c r="BP748" s="309">
        <f>VLOOKUP($B748,'Infant pick up smoking rates'!$A$19:$I$104,6)</f>
        <v>0</v>
      </c>
      <c r="BQ748" s="309">
        <f t="shared" si="341"/>
        <v>0.12016234480898272</v>
      </c>
      <c r="BR748" s="309">
        <f t="shared" si="342"/>
        <v>0.85876986995534044</v>
      </c>
      <c r="BS748" s="309">
        <f>VLOOKUP($B748,'Infant adult mortality'!$A$134:$I$234,3)</f>
        <v>1.2441618356843818E-2</v>
      </c>
      <c r="BT748" s="309">
        <f>VLOOKUP($B748,'Infant pick up smoking rates'!$A$19:$I$104,6)</f>
        <v>0</v>
      </c>
      <c r="BU748" s="309">
        <f t="shared" si="343"/>
        <v>0.98755838164315624</v>
      </c>
      <c r="BV748" s="309">
        <f>VLOOKUP($B748,'Infant adult mortality'!$A$134:$I$234,5)</f>
        <v>1.9566936881683154E-2</v>
      </c>
      <c r="BW748" s="309">
        <f t="shared" si="344"/>
        <v>0.27</v>
      </c>
      <c r="BX748" s="309">
        <f t="shared" si="345"/>
        <v>0.71043306311831678</v>
      </c>
      <c r="BY748" s="309">
        <f>VLOOKUP($B748,'Infant adult mortality'!$A$134:$I$234,5)</f>
        <v>1.9566936881683154E-2</v>
      </c>
      <c r="BZ748" s="309">
        <f t="shared" si="346"/>
        <v>0.14000000000000001</v>
      </c>
      <c r="CA748" s="309">
        <f t="shared" si="347"/>
        <v>0.84043306311831678</v>
      </c>
      <c r="CB748" s="309">
        <f>VLOOKUP($B748,'Infant adult mortality'!$A$134:$I$234,4)</f>
        <v>1.4269096424095356E-2</v>
      </c>
      <c r="CC748" s="309">
        <f t="shared" si="348"/>
        <v>0.5714285714285714</v>
      </c>
      <c r="CD748" s="309">
        <f t="shared" si="349"/>
        <v>0.41430233214733325</v>
      </c>
      <c r="CE748" s="309">
        <f>VLOOKUP($B748,'Infant adult mortality'!$A$134:$I$234,4)</f>
        <v>1.4269096424095356E-2</v>
      </c>
      <c r="CF748" s="309">
        <f t="shared" si="350"/>
        <v>8.6261668788331098E-3</v>
      </c>
      <c r="CG748" s="309">
        <f t="shared" si="351"/>
        <v>0.97710473669707154</v>
      </c>
      <c r="CH748" s="309"/>
      <c r="CI748" s="315">
        <f t="shared" ca="1" si="376"/>
        <v>2.5370864424832749</v>
      </c>
      <c r="CJ748" s="316">
        <f t="shared" ca="1" si="377"/>
        <v>0.81357052933125162</v>
      </c>
      <c r="CK748" s="316">
        <f t="shared" ca="1" si="378"/>
        <v>0.13517929220213951</v>
      </c>
      <c r="CL748" s="316">
        <f t="shared" ca="1" si="379"/>
        <v>9.1464161991978692</v>
      </c>
      <c r="CM748" s="316">
        <f t="shared" ca="1" si="380"/>
        <v>178.29716771482012</v>
      </c>
      <c r="CN748" s="316">
        <f t="shared" ca="1" si="381"/>
        <v>60.745160021251401</v>
      </c>
      <c r="CO748" s="316">
        <f t="shared" ca="1" si="382"/>
        <v>16.85782799580252</v>
      </c>
      <c r="CP748" s="316">
        <f t="shared" ca="1" si="383"/>
        <v>2.4213458397438865</v>
      </c>
      <c r="CQ748" s="316">
        <f t="shared" ca="1" si="384"/>
        <v>94.888260506976934</v>
      </c>
      <c r="CR748" s="316">
        <f t="shared" ca="1" si="385"/>
        <v>124.15798545819082</v>
      </c>
      <c r="CS748" s="317">
        <f t="shared" ca="1" si="352"/>
        <v>490.00000000000017</v>
      </c>
      <c r="CT748" s="309"/>
      <c r="CU748" s="309">
        <f t="shared" ca="1" si="353"/>
        <v>999.99999999999977</v>
      </c>
      <c r="CV748" s="309" t="str">
        <f t="shared" ca="1" si="305"/>
        <v>OKAY</v>
      </c>
      <c r="CW748" s="309"/>
      <c r="CX748" s="315">
        <f>(SUM($AR748:$AS748))-((SUM($AR748:$AS748)*VLOOKUP($B748,Lifetime_morbidity_array!$A$30:$Y$48,4))+(SUM($AR748:$AS748)*VLOOKUP($B748,Lifetime_morbidity_array!$A$30:$Y$48,7))+(SUM($AR748:$AS748)*VLOOKUP($B748,Lifetime_morbidity_array!$A$30:$Y$48,10))+(SUM($AR748:$AS748)*VLOOKUP($B748,Lifetime_morbidity_array!$A$30:$Y$48,13)))</f>
        <v>-5.044743093179477</v>
      </c>
      <c r="CY748" s="316">
        <f>(SUM($AT748:$AU748))-((SUM($AT748:$AU748)*(VLOOKUP($B748,Lifetime_morbidity_array!$A$30:$Y$48,3)))+(SUM($AT748:$AU748)*(VLOOKUP($B748,Lifetime_morbidity_array!$A$30:$Y$48,6)))+(SUM($AT748:$AU748)*(VLOOKUP($B748,Lifetime_morbidity_array!$A$30:$Y$48,9)))+(SUM($AT748:$AU748)*(VLOOKUP($B748,Lifetime_morbidity_array!$A$30:$Y$48,12))))</f>
        <v>51.640585842138606</v>
      </c>
      <c r="CZ748" s="316">
        <f>(SUM($AM748:$AQ748))-((SUM($AM748:$AQ748)*VLOOKUP($B748,Lifetime_morbidity_array!$A$30:$Y$48,2))+(SUM($AM748:$AQ748)*VLOOKUP($B748,Lifetime_morbidity_array!$A$30:$Y$48,5))+(SUM($AM748:$AQ748)*VLOOKUP($B748,Lifetime_morbidity_array!$A$30:$Y$48,8))+(SUM($AM748:$AQ748)*VLOOKUP($B748,Lifetime_morbidity_array!$A$30:$Y$48,11)))</f>
        <v>86.18692767333134</v>
      </c>
      <c r="DA748" s="316">
        <f>(SUM($AM748:$AQ748)*VLOOKUP($B748,Lifetime_morbidity_array!$A$30:$Y$48,2))+(SUM($AR748:$AS748)*VLOOKUP($B748,Lifetime_morbidity_array!$A$30:$Y$48,4))+(SUM($AT748:$AU748)*(VLOOKUP($B748,Lifetime_morbidity_array!$A$30:$Y$48,3)))</f>
        <v>108.33486681353003</v>
      </c>
      <c r="DB748" s="316">
        <f>(SUM($AM748:$AQ748)*VLOOKUP($B748,Lifetime_morbidity_array!$A$30:$Y$48,5))+(SUM($AR748:$AS748)*VLOOKUP($B748,Lifetime_morbidity_array!$A$30:$Y$48,7))+(SUM($AT748:$AU748)*(VLOOKUP($B748,Lifetime_morbidity_array!$A$30:$Y$48,6)))</f>
        <v>53.633754992984748</v>
      </c>
      <c r="DC748" s="316">
        <f>(SUM($AM748:$AQ748)*VLOOKUP($B748,Lifetime_morbidity_array!$A$30:$Y$48,8))+(SUM($AR748:$AS748)*VLOOKUP($B748,Lifetime_morbidity_array!$A$30:$Y$48,10))+(SUM($AT748:$AU748)*(VLOOKUP($B748,Lifetime_morbidity_array!$A$30:$Y$48,9)))</f>
        <v>4.0498743715509296</v>
      </c>
      <c r="DD748" s="317">
        <f>(SUM($AM748:$AQ748)*VLOOKUP($B748,Lifetime_morbidity_array!$A$30:$Y$48,11))+(SUM($AR748:$AS748)*VLOOKUP($B748,Lifetime_morbidity_array!$A$30:$Y$48,13))+(SUM($AT748:$AU748)*(VLOOKUP($B748,Lifetime_morbidity_array!$A$30:$Y$48,12)))</f>
        <v>47.846639583458639</v>
      </c>
      <c r="DE748" s="309"/>
      <c r="DF748" s="315">
        <f ca="1">(SUM($CN748:$CO748))-((SUM($CN748:$CO748)*VLOOKUP($B748,Lifetime_morbidity_array!$A$6:$Y$24,4))+(SUM($CN748:$CO748)*VLOOKUP($B748,Lifetime_morbidity_array!$A$6:$Y$24,7))+(SUM($CN748:$CO748)*VLOOKUP($B748,Lifetime_morbidity_array!$A$6:$Y$24,10))+(SUM($CN748:$CO748)*VLOOKUP($B748,Lifetime_morbidity_array!$A$6:$Y$24,13)))</f>
        <v>5.9102481143005434</v>
      </c>
      <c r="DG748" s="316">
        <f ca="1">(SUM($CP748:$CQ748))-(((SUM($CP748:$CQ748)*VLOOKUP($B748,Lifetime_morbidity_array!$A$6:$Y$24,3))+(SUM($CP748:$CQ748)*VLOOKUP($B748,Lifetime_morbidity_array!$A$6:$Y$24,6))+(SUM($CP748:$CQ748)*VLOOKUP($B748,Lifetime_morbidity_array!$A$6:$Y$24,9))+(SUM($CP748:$CQ748)*VLOOKUP($B748,Lifetime_morbidity_array!$A$6:$Y$24,12))))</f>
        <v>53.933101924386882</v>
      </c>
      <c r="DH748" s="316">
        <f ca="1">(SUM($CI748:$CM748))-((SUM($CI748:$CM748)*VLOOKUP($B748,Lifetime_morbidity_array!$A$6:$Y$24,2))+(SUM($CI748:$CM748)*VLOOKUP($B748,Lifetime_morbidity_array!$A$6:$Y$24,5))+(SUM($CI748:$CM748)*VLOOKUP($B748,Lifetime_morbidity_array!$A$6:$Y$24,8))+(SUM($CI748:$CM748)*VLOOKUP($B748,Lifetime_morbidity_array!$A$6:$Y$24,11)))</f>
        <v>137.45262464677859</v>
      </c>
      <c r="DI748" s="316">
        <f ca="1">(SUM($CI748:$CM748)*VLOOKUP($B748,Lifetime_morbidity_array!$A$6:$Y$24,2))+(SUM($CN748:$CO748)*VLOOKUP($B748,Lifetime_morbidity_array!$A$6:$Y$24,4))+(SUM($CP748:$CQ748)*VLOOKUP($B748,Lifetime_morbidity_array!$A$6:$Y$24,3))</f>
        <v>78.771356311475316</v>
      </c>
      <c r="DJ748" s="316">
        <f ca="1">(SUM($CI748:$CM748)*VLOOKUP($B748,Lifetime_morbidity_array!$A$6:$Y$24,5))+(SUM($CN748:$CO748)*VLOOKUP($B748,Lifetime_morbidity_array!$A$6:$Y$24,7))+(SUM($CP748:$CQ748)*VLOOKUP($B748,Lifetime_morbidity_array!$A$6:$Y$24,6))</f>
        <v>44.941321802991354</v>
      </c>
      <c r="DK748" s="316">
        <f ca="1">(SUM($CI748:$CM748)*VLOOKUP($B748,Lifetime_morbidity_array!$A$6:$Y$24,8))+(SUM($CN748:$CO748)*VLOOKUP($B748,Lifetime_morbidity_array!$A$6:$Y$24,10))+(SUM($CP748:$CQ748)*VLOOKUP($B748,Lifetime_morbidity_array!$A$6:$Y$24,9))</f>
        <v>1.6447076541335215</v>
      </c>
      <c r="DL748" s="317">
        <f ca="1">(SUM($CI748:$CM748)*VLOOKUP($B748,Lifetime_morbidity_array!$A$6:$Y$24,11))+(SUM($CN748:$CO748)*VLOOKUP($B748,Lifetime_morbidity_array!$A$6:$Y$24,13))+(SUM($CP748:$CQ748)*VLOOKUP($B748,Lifetime_morbidity_array!$A$6:$Y$24,12))</f>
        <v>43.188654087743203</v>
      </c>
      <c r="DM748" s="309"/>
      <c r="DN748" s="308">
        <f t="shared" si="354"/>
        <v>82</v>
      </c>
      <c r="DO748" s="309">
        <f t="shared" ca="1" si="355"/>
        <v>42.429707898343032</v>
      </c>
      <c r="DP748" s="310">
        <f t="shared" ca="1" si="386"/>
        <v>23673.680236587428</v>
      </c>
      <c r="DQ748" s="309"/>
      <c r="DR748" s="308">
        <f t="shared" si="356"/>
        <v>82</v>
      </c>
      <c r="DS748" s="309">
        <f ca="1">((VLOOKUP($B748,'Mahawesran Tariff'!$A$21:$M$120,4)*'Experimental (DET)'!$CX748)+(VLOOKUP($B748,'Mahawesran Tariff'!$A$21:$M$120,3)*'Experimental (DET)'!$CY748)+(VLOOKUP($B748,'Mahawesran Tariff'!$A$21:$M$120,2)*'Experimental (DET)'!$CZ748)+(VLOOKUP($B748,'Mahawesran Tariff'!$A$21:$M$120,7)*'Experimental (DET)'!$DF748)+(VLOOKUP($B748,'Mahawesran Tariff'!$A$21:$M$120,6)*'Experimental (DET)'!$DG748)+(VLOOKUP($B748,'Mahawesran Tariff'!$A$21:$M$120,5)*'Experimental (DET)'!$DH748)+(DET_UTIL_chd*('Experimental (DET)'!$DA748+'Experimental (DET)'!$DI748))+(DET_UTIL_copd*('Experimental (DET)'!$DB748+'Experimental (DET)'!$DJ748))+(DET_UTIL_lc*('Experimental (DET)'!$DC748+'Experimental (DET)'!$DK748))+(DET_UTIL_stroke*('Experimental (DET)'!$DD748+'Experimental (DET)'!$DL748)))/((1+Discount_rate_QALYs)^$A748)</f>
        <v>34.676568895257304</v>
      </c>
      <c r="DT748" s="310">
        <f t="shared" ca="1" si="387"/>
        <v>23224.230913735446</v>
      </c>
      <c r="DU748" s="309"/>
      <c r="DV748" s="308">
        <f t="shared" si="357"/>
        <v>82</v>
      </c>
      <c r="DW748" s="318">
        <f t="shared" ca="1" si="358"/>
        <v>146455.94552005621</v>
      </c>
      <c r="DX748" s="319">
        <f t="shared" ca="1" si="388"/>
        <v>10307620.191769157</v>
      </c>
      <c r="DZ748" s="95">
        <f t="shared" si="359"/>
        <v>82</v>
      </c>
      <c r="EA748" s="268">
        <f t="shared" ca="1" si="304"/>
        <v>0.71248992072562423</v>
      </c>
      <c r="EB748" s="268">
        <f t="shared" ca="1" si="306"/>
        <v>0.28751007927437577</v>
      </c>
      <c r="EC748" s="268">
        <f t="shared" ca="1" si="307"/>
        <v>0.38241117561786775</v>
      </c>
      <c r="ED748" s="290">
        <f t="shared" ca="1" si="308"/>
        <v>0.38617953925399884</v>
      </c>
      <c r="EF748" s="95">
        <f t="shared" si="360"/>
        <v>82</v>
      </c>
      <c r="EG748" s="339">
        <f t="shared" ca="1" si="361"/>
        <v>146455.94552005621</v>
      </c>
      <c r="EH748" s="341">
        <f t="shared" ca="1" si="389"/>
        <v>13409635.915732706</v>
      </c>
      <c r="EJ748" s="308">
        <f t="shared" si="362"/>
        <v>82</v>
      </c>
      <c r="EK748" s="318">
        <f t="shared" ca="1" si="363"/>
        <v>146455.94552005621</v>
      </c>
      <c r="EL748" s="319">
        <f t="shared" ca="1" si="390"/>
        <v>10304580.191769155</v>
      </c>
      <c r="EN748" s="95">
        <f t="shared" si="364"/>
        <v>82</v>
      </c>
      <c r="EO748" s="339">
        <f t="shared" ca="1" si="365"/>
        <v>146455.94552005621</v>
      </c>
      <c r="EP748" s="341">
        <f t="shared" ca="1" si="391"/>
        <v>13409635.915732706</v>
      </c>
    </row>
    <row r="749" spans="1:146" s="266" customFormat="1" x14ac:dyDescent="0.25">
      <c r="A749" s="313">
        <v>83</v>
      </c>
      <c r="B749" s="314">
        <v>83</v>
      </c>
      <c r="C749" s="308">
        <f>VLOOKUP($B749,'Infant adult mortality'!$A$27:$I$128,3)</f>
        <v>1.8754223887363003E-2</v>
      </c>
      <c r="D749" s="309">
        <f t="shared" si="309"/>
        <v>0.27</v>
      </c>
      <c r="E749" s="309">
        <f>VLOOKUP($B749,'Infant pick up smoking rates'!$A$19:$I$104,3)</f>
        <v>0</v>
      </c>
      <c r="F749" s="309">
        <f t="shared" si="310"/>
        <v>0.14624098391610749</v>
      </c>
      <c r="G749" s="309">
        <f t="shared" si="311"/>
        <v>0.56500479219652944</v>
      </c>
      <c r="H749" s="309">
        <f>VLOOKUP($B749,'Infant adult mortality'!$A$27:$I$128,3)</f>
        <v>1.8754223887363003E-2</v>
      </c>
      <c r="I749" s="309">
        <f t="shared" si="312"/>
        <v>0.14000000000000001</v>
      </c>
      <c r="J749" s="309">
        <f>VLOOKUP($B749,'Infant pick up smoking rates'!$A$19:$I$104,2)</f>
        <v>0</v>
      </c>
      <c r="K749" s="309">
        <f t="shared" si="313"/>
        <v>0.14624098391610749</v>
      </c>
      <c r="L749" s="309">
        <f t="shared" si="314"/>
        <v>0.69500479219652944</v>
      </c>
      <c r="M749" s="309">
        <f>VLOOKUP($B749,'Infant adult mortality'!$A$27:$I$128,3)</f>
        <v>1.8754223887363003E-2</v>
      </c>
      <c r="N749" s="309">
        <f t="shared" si="315"/>
        <v>0.5714285714285714</v>
      </c>
      <c r="O749" s="309">
        <f>VLOOKUP($B749,'Infant pick up smoking rates'!$A$19:$I$104,2)</f>
        <v>0</v>
      </c>
      <c r="P749" s="309">
        <f t="shared" si="316"/>
        <v>0.12016234480898272</v>
      </c>
      <c r="Q749" s="309">
        <f t="shared" si="317"/>
        <v>0.28965485987508288</v>
      </c>
      <c r="R749" s="309">
        <f>VLOOKUP($B749,'Infant adult mortality'!$A$27:$I$128,3)</f>
        <v>1.8754223887363003E-2</v>
      </c>
      <c r="S749" s="309">
        <f t="shared" si="318"/>
        <v>8.6261668788331098E-3</v>
      </c>
      <c r="T749" s="309">
        <f>VLOOKUP($B749,'Infant pick up smoking rates'!$A$19:$I$104,2)</f>
        <v>0</v>
      </c>
      <c r="U749" s="309">
        <f t="shared" si="319"/>
        <v>0.12016234480898272</v>
      </c>
      <c r="V749" s="309">
        <f t="shared" si="320"/>
        <v>0.85245726442482117</v>
      </c>
      <c r="W749" s="309">
        <f>VLOOKUP($B749,'Infant adult mortality'!$A$27:$I$128,3)</f>
        <v>1.8754223887363003E-2</v>
      </c>
      <c r="X749" s="309">
        <f>VLOOKUP($B749,'Infant pick up smoking rates'!$A$19:$I$104,2)</f>
        <v>0</v>
      </c>
      <c r="Y749" s="309">
        <f t="shared" si="321"/>
        <v>0.98124577611263697</v>
      </c>
      <c r="Z749" s="309">
        <f>VLOOKUP($B749,'Infant adult mortality'!$A$27:$I$128,5)</f>
        <v>2.9494773472707392E-2</v>
      </c>
      <c r="AA749" s="309">
        <f t="shared" si="322"/>
        <v>0.25</v>
      </c>
      <c r="AB749" s="309">
        <f t="shared" si="323"/>
        <v>0.72050522652729265</v>
      </c>
      <c r="AC749" s="309">
        <f>VLOOKUP($B749,'Infant adult mortality'!$A$27:$I$128,5)</f>
        <v>2.9494773472707392E-2</v>
      </c>
      <c r="AD749" s="309">
        <f t="shared" si="324"/>
        <v>0.14000000000000001</v>
      </c>
      <c r="AE749" s="309">
        <f t="shared" si="325"/>
        <v>0.83050522652729264</v>
      </c>
      <c r="AF749" s="309">
        <f>VLOOKUP($B749,'Infant adult mortality'!$A$27:$I$128,4)</f>
        <v>2.1508924428681898E-2</v>
      </c>
      <c r="AG749" s="309">
        <f t="shared" si="326"/>
        <v>0.5714285714285714</v>
      </c>
      <c r="AH749" s="309">
        <f t="shared" si="327"/>
        <v>0.4070625041427467</v>
      </c>
      <c r="AI749" s="309">
        <f>VLOOKUP($B749,'Infant adult mortality'!$A$27:$I$128,4)</f>
        <v>2.1508924428681898E-2</v>
      </c>
      <c r="AJ749" s="309">
        <f t="shared" si="328"/>
        <v>8.6261668788331098E-3</v>
      </c>
      <c r="AK749" s="309">
        <f t="shared" si="329"/>
        <v>0.96986490869248498</v>
      </c>
      <c r="AL749" s="309"/>
      <c r="AM749" s="315">
        <f t="shared" si="366"/>
        <v>1.4839256959201004</v>
      </c>
      <c r="AN749" s="316">
        <f t="shared" si="367"/>
        <v>0.47914346715144129</v>
      </c>
      <c r="AO749" s="316">
        <f t="shared" si="368"/>
        <v>8.0112814616789194E-2</v>
      </c>
      <c r="AP749" s="316">
        <f t="shared" si="369"/>
        <v>5.5764705399627728</v>
      </c>
      <c r="AQ749" s="316">
        <f t="shared" si="370"/>
        <v>125.22234391775319</v>
      </c>
      <c r="AR749" s="316">
        <f t="shared" si="371"/>
        <v>73.144206013412727</v>
      </c>
      <c r="AS749" s="316">
        <f t="shared" si="372"/>
        <v>18.979173760916815</v>
      </c>
      <c r="AT749" s="316">
        <f t="shared" si="373"/>
        <v>2.7504329455062222</v>
      </c>
      <c r="AU749" s="316">
        <f t="shared" si="374"/>
        <v>111.08585856400785</v>
      </c>
      <c r="AV749" s="316">
        <f t="shared" si="375"/>
        <v>171.19833228075177</v>
      </c>
      <c r="AW749" s="317">
        <f t="shared" si="330"/>
        <v>509.99999999999966</v>
      </c>
      <c r="AX749" s="309"/>
      <c r="AY749" s="308">
        <f>VLOOKUP($B749,'Infant adult mortality'!$A$134:$I$234,3)</f>
        <v>1.3787156075837978E-2</v>
      </c>
      <c r="AZ749" s="309">
        <f t="shared" si="331"/>
        <v>0.27</v>
      </c>
      <c r="BA749" s="309">
        <f ca="1">VLOOKUP($B749,'Infant pick up smoking rates'!$A$19:$I$104,7)</f>
        <v>0</v>
      </c>
      <c r="BB749" s="309">
        <f t="shared" si="332"/>
        <v>0.14624098391610749</v>
      </c>
      <c r="BC749" s="309">
        <f t="shared" ca="1" si="333"/>
        <v>0.56997186000805444</v>
      </c>
      <c r="BD749" s="309">
        <f>VLOOKUP($B749,'Infant adult mortality'!$A$134:$I$234,3)</f>
        <v>1.3787156075837978E-2</v>
      </c>
      <c r="BE749" s="309">
        <f t="shared" si="334"/>
        <v>0.14000000000000001</v>
      </c>
      <c r="BF749" s="309">
        <f>VLOOKUP($B749,'Infant pick up smoking rates'!$A$19:$I$104,6)</f>
        <v>0</v>
      </c>
      <c r="BG749" s="309">
        <f t="shared" si="335"/>
        <v>0.14624098391610749</v>
      </c>
      <c r="BH749" s="309">
        <f t="shared" si="336"/>
        <v>0.69997186000805445</v>
      </c>
      <c r="BI749" s="309">
        <f>VLOOKUP($B749,'Infant adult mortality'!$A$134:$I$234,3)</f>
        <v>1.3787156075837978E-2</v>
      </c>
      <c r="BJ749" s="309">
        <f t="shared" si="337"/>
        <v>0.5714285714285714</v>
      </c>
      <c r="BK749" s="309">
        <f>VLOOKUP($B749,'Infant pick up smoking rates'!$A$19:$I$104,6)</f>
        <v>0</v>
      </c>
      <c r="BL749" s="309">
        <f t="shared" si="338"/>
        <v>0.12016234480898272</v>
      </c>
      <c r="BM749" s="309">
        <f t="shared" si="339"/>
        <v>0.29462192768660794</v>
      </c>
      <c r="BN749" s="309">
        <f>VLOOKUP($B749,'Infant adult mortality'!$A$134:$I$234,3)</f>
        <v>1.3787156075837978E-2</v>
      </c>
      <c r="BO749" s="309">
        <f t="shared" si="340"/>
        <v>8.6261668788331098E-3</v>
      </c>
      <c r="BP749" s="309">
        <f>VLOOKUP($B749,'Infant pick up smoking rates'!$A$19:$I$104,6)</f>
        <v>0</v>
      </c>
      <c r="BQ749" s="309">
        <f t="shared" si="341"/>
        <v>0.12016234480898272</v>
      </c>
      <c r="BR749" s="309">
        <f t="shared" si="342"/>
        <v>0.85742433223634618</v>
      </c>
      <c r="BS749" s="309">
        <f>VLOOKUP($B749,'Infant adult mortality'!$A$134:$I$234,3)</f>
        <v>1.3787156075837978E-2</v>
      </c>
      <c r="BT749" s="309">
        <f>VLOOKUP($B749,'Infant pick up smoking rates'!$A$19:$I$104,6)</f>
        <v>0</v>
      </c>
      <c r="BU749" s="309">
        <f t="shared" si="343"/>
        <v>0.98621284392416197</v>
      </c>
      <c r="BV749" s="309">
        <f>VLOOKUP($B749,'Infant adult mortality'!$A$134:$I$234,5)</f>
        <v>2.1683064451614623E-2</v>
      </c>
      <c r="BW749" s="309">
        <f t="shared" si="344"/>
        <v>0.27</v>
      </c>
      <c r="BX749" s="309">
        <f t="shared" si="345"/>
        <v>0.70831693554838537</v>
      </c>
      <c r="BY749" s="309">
        <f>VLOOKUP($B749,'Infant adult mortality'!$A$134:$I$234,5)</f>
        <v>2.1683064451614623E-2</v>
      </c>
      <c r="BZ749" s="309">
        <f t="shared" si="346"/>
        <v>0.14000000000000001</v>
      </c>
      <c r="CA749" s="309">
        <f t="shared" si="347"/>
        <v>0.83831693554838538</v>
      </c>
      <c r="CB749" s="309">
        <f>VLOOKUP($B749,'Infant adult mortality'!$A$134:$I$234,4)</f>
        <v>1.5812272472734059E-2</v>
      </c>
      <c r="CC749" s="309">
        <f t="shared" si="348"/>
        <v>0.5714285714285714</v>
      </c>
      <c r="CD749" s="309">
        <f t="shared" si="349"/>
        <v>0.41275915609869457</v>
      </c>
      <c r="CE749" s="309">
        <f>VLOOKUP($B749,'Infant adult mortality'!$A$134:$I$234,4)</f>
        <v>1.5812272472734059E-2</v>
      </c>
      <c r="CF749" s="309">
        <f t="shared" si="350"/>
        <v>8.6261668788331098E-3</v>
      </c>
      <c r="CG749" s="309">
        <f t="shared" si="351"/>
        <v>0.9755615606484328</v>
      </c>
      <c r="CH749" s="309"/>
      <c r="CI749" s="315">
        <f t="shared" ca="1" si="376"/>
        <v>2.1342696514165924</v>
      </c>
      <c r="CJ749" s="316">
        <f t="shared" ca="1" si="377"/>
        <v>0.68501333947048426</v>
      </c>
      <c r="CK749" s="316">
        <f t="shared" ca="1" si="378"/>
        <v>0.11389987410637524</v>
      </c>
      <c r="CL749" s="316">
        <f t="shared" ca="1" si="379"/>
        <v>7.9196051117827269</v>
      </c>
      <c r="CM749" s="316">
        <f t="shared" ca="1" si="380"/>
        <v>177.44425848579468</v>
      </c>
      <c r="CN749" s="316">
        <f t="shared" ca="1" si="381"/>
        <v>58.976982936503177</v>
      </c>
      <c r="CO749" s="316">
        <f t="shared" ca="1" si="382"/>
        <v>16.401193205737879</v>
      </c>
      <c r="CP749" s="316">
        <f t="shared" ca="1" si="383"/>
        <v>2.3600959194123532</v>
      </c>
      <c r="CQ749" s="316">
        <f t="shared" ca="1" si="384"/>
        <v>93.952965701540833</v>
      </c>
      <c r="CR749" s="316">
        <f t="shared" ca="1" si="385"/>
        <v>130.01171577423514</v>
      </c>
      <c r="CS749" s="317">
        <f t="shared" ca="1" si="352"/>
        <v>490.00000000000023</v>
      </c>
      <c r="CT749" s="309"/>
      <c r="CU749" s="309">
        <f t="shared" ca="1" si="353"/>
        <v>999.99999999999989</v>
      </c>
      <c r="CV749" s="309" t="str">
        <f t="shared" ca="1" si="305"/>
        <v>OKAY</v>
      </c>
      <c r="CW749" s="309"/>
      <c r="CX749" s="315">
        <f>(SUM($AR749:$AS749))-((SUM($AR749:$AS749)*VLOOKUP($B749,Lifetime_morbidity_array!$A$30:$Y$48,4))+(SUM($AR749:$AS749)*VLOOKUP($B749,Lifetime_morbidity_array!$A$30:$Y$48,7))+(SUM($AR749:$AS749)*VLOOKUP($B749,Lifetime_morbidity_array!$A$30:$Y$48,10))+(SUM($AR749:$AS749)*VLOOKUP($B749,Lifetime_morbidity_array!$A$30:$Y$48,13)))</f>
        <v>-4.8631846211193732</v>
      </c>
      <c r="CY749" s="316">
        <f>(SUM($AT749:$AU749))-((SUM($AT749:$AU749)*(VLOOKUP($B749,Lifetime_morbidity_array!$A$30:$Y$48,3)))+(SUM($AT749:$AU749)*(VLOOKUP($B749,Lifetime_morbidity_array!$A$30:$Y$48,6)))+(SUM($AT749:$AU749)*(VLOOKUP($B749,Lifetime_morbidity_array!$A$30:$Y$48,9)))+(SUM($AT749:$AU749)*(VLOOKUP($B749,Lifetime_morbidity_array!$A$30:$Y$48,12))))</f>
        <v>50.806865187098616</v>
      </c>
      <c r="CZ749" s="316">
        <f>(SUM($AM749:$AQ749))-((SUM($AM749:$AQ749)*VLOOKUP($B749,Lifetime_morbidity_array!$A$30:$Y$48,2))+(SUM($AM749:$AQ749)*VLOOKUP($B749,Lifetime_morbidity_array!$A$30:$Y$48,5))+(SUM($AM749:$AQ749)*VLOOKUP($B749,Lifetime_morbidity_array!$A$30:$Y$48,8))+(SUM($AM749:$AQ749)*VLOOKUP($B749,Lifetime_morbidity_array!$A$30:$Y$48,11)))</f>
        <v>84.570558735581713</v>
      </c>
      <c r="DA749" s="316">
        <f>(SUM($AM749:$AQ749)*VLOOKUP($B749,Lifetime_morbidity_array!$A$30:$Y$48,2))+(SUM($AR749:$AS749)*VLOOKUP($B749,Lifetime_morbidity_array!$A$30:$Y$48,4))+(SUM($AT749:$AU749)*(VLOOKUP($B749,Lifetime_morbidity_array!$A$30:$Y$48,3)))</f>
        <v>105.65342108512426</v>
      </c>
      <c r="DB749" s="316">
        <f>(SUM($AM749:$AQ749)*VLOOKUP($B749,Lifetime_morbidity_array!$A$30:$Y$48,5))+(SUM($AR749:$AS749)*VLOOKUP($B749,Lifetime_morbidity_array!$A$30:$Y$48,7))+(SUM($AT749:$AU749)*(VLOOKUP($B749,Lifetime_morbidity_array!$A$30:$Y$48,6)))</f>
        <v>52.004835455386264</v>
      </c>
      <c r="DC749" s="316">
        <f>(SUM($AM749:$AQ749)*VLOOKUP($B749,Lifetime_morbidity_array!$A$30:$Y$48,8))+(SUM($AR749:$AS749)*VLOOKUP($B749,Lifetime_morbidity_array!$A$30:$Y$48,10))+(SUM($AT749:$AU749)*(VLOOKUP($B749,Lifetime_morbidity_array!$A$30:$Y$48,9)))</f>
        <v>3.9270355743933689</v>
      </c>
      <c r="DD749" s="317">
        <f>(SUM($AM749:$AQ749)*VLOOKUP($B749,Lifetime_morbidity_array!$A$30:$Y$48,11))+(SUM($AR749:$AS749)*VLOOKUP($B749,Lifetime_morbidity_array!$A$30:$Y$48,13))+(SUM($AT749:$AU749)*(VLOOKUP($B749,Lifetime_morbidity_array!$A$30:$Y$48,12)))</f>
        <v>46.702136302783067</v>
      </c>
      <c r="DE749" s="309"/>
      <c r="DF749" s="315">
        <f ca="1">(SUM($CN749:$CO749))-((SUM($CN749:$CO749)*VLOOKUP($B749,Lifetime_morbidity_array!$A$6:$Y$24,4))+(SUM($CN749:$CO749)*VLOOKUP($B749,Lifetime_morbidity_array!$A$6:$Y$24,7))+(SUM($CN749:$CO749)*VLOOKUP($B749,Lifetime_morbidity_array!$A$6:$Y$24,10))+(SUM($CN749:$CO749)*VLOOKUP($B749,Lifetime_morbidity_array!$A$6:$Y$24,13)))</f>
        <v>5.7408063115584014</v>
      </c>
      <c r="DG749" s="316">
        <f ca="1">(SUM($CP749:$CQ749))-(((SUM($CP749:$CQ749)*VLOOKUP($B749,Lifetime_morbidity_array!$A$6:$Y$24,3))+(SUM($CP749:$CQ749)*VLOOKUP($B749,Lifetime_morbidity_array!$A$6:$Y$24,6))+(SUM($CP749:$CQ749)*VLOOKUP($B749,Lifetime_morbidity_array!$A$6:$Y$24,9))+(SUM($CP749:$CQ749)*VLOOKUP($B749,Lifetime_morbidity_array!$A$6:$Y$24,12))))</f>
        <v>53.380774664162097</v>
      </c>
      <c r="DH749" s="316">
        <f ca="1">(SUM($CI749:$CM749))-((SUM($CI749:$CM749)*VLOOKUP($B749,Lifetime_morbidity_array!$A$6:$Y$24,2))+(SUM($CI749:$CM749)*VLOOKUP($B749,Lifetime_morbidity_array!$A$6:$Y$24,5))+(SUM($CI749:$CM749)*VLOOKUP($B749,Lifetime_morbidity_array!$A$6:$Y$24,8))+(SUM($CI749:$CM749)*VLOOKUP($B749,Lifetime_morbidity_array!$A$6:$Y$24,11)))</f>
        <v>135.55754385773989</v>
      </c>
      <c r="DI749" s="316">
        <f ca="1">(SUM($CI749:$CM749)*VLOOKUP($B749,Lifetime_morbidity_array!$A$6:$Y$24,2))+(SUM($CN749:$CO749)*VLOOKUP($B749,Lifetime_morbidity_array!$A$6:$Y$24,4))+(SUM($CP749:$CQ749)*VLOOKUP($B749,Lifetime_morbidity_array!$A$6:$Y$24,3))</f>
        <v>77.337421269291539</v>
      </c>
      <c r="DJ749" s="316">
        <f ca="1">(SUM($CI749:$CM749)*VLOOKUP($B749,Lifetime_morbidity_array!$A$6:$Y$24,5))+(SUM($CN749:$CO749)*VLOOKUP($B749,Lifetime_morbidity_array!$A$6:$Y$24,7))+(SUM($CP749:$CQ749)*VLOOKUP($B749,Lifetime_morbidity_array!$A$6:$Y$24,6))</f>
        <v>43.931058578650472</v>
      </c>
      <c r="DK749" s="316">
        <f ca="1">(SUM($CI749:$CM749)*VLOOKUP($B749,Lifetime_morbidity_array!$A$6:$Y$24,8))+(SUM($CN749:$CO749)*VLOOKUP($B749,Lifetime_morbidity_array!$A$6:$Y$24,10))+(SUM($CP749:$CQ749)*VLOOKUP($B749,Lifetime_morbidity_array!$A$6:$Y$24,9))</f>
        <v>1.6065800972214928</v>
      </c>
      <c r="DL749" s="317">
        <f ca="1">(SUM($CI749:$CM749)*VLOOKUP($B749,Lifetime_morbidity_array!$A$6:$Y$24,11))+(SUM($CN749:$CO749)*VLOOKUP($B749,Lifetime_morbidity_array!$A$6:$Y$24,13))+(SUM($CP749:$CQ749)*VLOOKUP($B749,Lifetime_morbidity_array!$A$6:$Y$24,12))</f>
        <v>42.434099447141207</v>
      </c>
      <c r="DM749" s="309"/>
      <c r="DN749" s="308">
        <f t="shared" si="354"/>
        <v>83</v>
      </c>
      <c r="DO749" s="309">
        <f t="shared" ca="1" si="355"/>
        <v>40.206624942187972</v>
      </c>
      <c r="DP749" s="310">
        <f t="shared" ca="1" si="386"/>
        <v>23713.886861529616</v>
      </c>
      <c r="DQ749" s="309"/>
      <c r="DR749" s="308">
        <f t="shared" si="356"/>
        <v>83</v>
      </c>
      <c r="DS749" s="309">
        <f ca="1">((VLOOKUP($B749,'Mahawesran Tariff'!$A$21:$M$120,4)*'Experimental (DET)'!$CX749)+(VLOOKUP($B749,'Mahawesran Tariff'!$A$21:$M$120,3)*'Experimental (DET)'!$CY749)+(VLOOKUP($B749,'Mahawesran Tariff'!$A$21:$M$120,2)*'Experimental (DET)'!$CZ749)+(VLOOKUP($B749,'Mahawesran Tariff'!$A$21:$M$120,7)*'Experimental (DET)'!$DF749)+(VLOOKUP($B749,'Mahawesran Tariff'!$A$21:$M$120,6)*'Experimental (DET)'!$DG749)+(VLOOKUP($B749,'Mahawesran Tariff'!$A$21:$M$120,5)*'Experimental (DET)'!$DH749)+(DET_UTIL_chd*('Experimental (DET)'!$DA749+'Experimental (DET)'!$DI749))+(DET_UTIL_copd*('Experimental (DET)'!$DB749+'Experimental (DET)'!$DJ749))+(DET_UTIL_lc*('Experimental (DET)'!$DC749+'Experimental (DET)'!$DK749))+(DET_UTIL_stroke*('Experimental (DET)'!$DD749+'Experimental (DET)'!$DL749)))/((1+Discount_rate_QALYs)^$A749)</f>
        <v>32.875595744739556</v>
      </c>
      <c r="DT749" s="310">
        <f t="shared" ca="1" si="387"/>
        <v>23257.106509480185</v>
      </c>
      <c r="DU749" s="309"/>
      <c r="DV749" s="308">
        <f t="shared" si="357"/>
        <v>83</v>
      </c>
      <c r="DW749" s="318">
        <f t="shared" ca="1" si="358"/>
        <v>138477.54548087963</v>
      </c>
      <c r="DX749" s="319">
        <f t="shared" ca="1" si="388"/>
        <v>10446097.737250036</v>
      </c>
      <c r="DZ749" s="95">
        <f t="shared" si="359"/>
        <v>83</v>
      </c>
      <c r="EA749" s="268">
        <f t="shared" ca="1" si="304"/>
        <v>0.69878995194501292</v>
      </c>
      <c r="EB749" s="268">
        <f t="shared" ca="1" si="306"/>
        <v>0.30121004805498697</v>
      </c>
      <c r="EC749" s="268">
        <f t="shared" ca="1" si="307"/>
        <v>0.37359658780999166</v>
      </c>
      <c r="ED749" s="290">
        <f t="shared" ca="1" si="308"/>
        <v>0.37765090904703791</v>
      </c>
      <c r="EF749" s="95">
        <f t="shared" si="360"/>
        <v>83</v>
      </c>
      <c r="EG749" s="339">
        <f t="shared" ca="1" si="361"/>
        <v>138477.54548087963</v>
      </c>
      <c r="EH749" s="341">
        <f t="shared" ca="1" si="389"/>
        <v>13548113.461213585</v>
      </c>
      <c r="EJ749" s="308">
        <f t="shared" si="362"/>
        <v>83</v>
      </c>
      <c r="EK749" s="318">
        <f t="shared" ca="1" si="363"/>
        <v>138477.54548087963</v>
      </c>
      <c r="EL749" s="319">
        <f t="shared" ca="1" si="390"/>
        <v>10443057.737250034</v>
      </c>
      <c r="EN749" s="95">
        <f t="shared" si="364"/>
        <v>83</v>
      </c>
      <c r="EO749" s="339">
        <f t="shared" ca="1" si="365"/>
        <v>138477.54548087963</v>
      </c>
      <c r="EP749" s="341">
        <f t="shared" ca="1" si="391"/>
        <v>13548113.461213585</v>
      </c>
    </row>
    <row r="750" spans="1:146" s="266" customFormat="1" x14ac:dyDescent="0.25">
      <c r="A750" s="313">
        <v>84</v>
      </c>
      <c r="B750" s="314">
        <v>84</v>
      </c>
      <c r="C750" s="308">
        <f>VLOOKUP($B750,'Infant adult mortality'!$A$27:$I$128,3)</f>
        <v>2.063723980693848E-2</v>
      </c>
      <c r="D750" s="309">
        <f t="shared" si="309"/>
        <v>0.27</v>
      </c>
      <c r="E750" s="309">
        <f>VLOOKUP($B750,'Infant pick up smoking rates'!$A$19:$I$104,3)</f>
        <v>0</v>
      </c>
      <c r="F750" s="309">
        <f t="shared" si="310"/>
        <v>0.14624098391610749</v>
      </c>
      <c r="G750" s="309">
        <f t="shared" si="311"/>
        <v>0.56312177627695403</v>
      </c>
      <c r="H750" s="309">
        <f>VLOOKUP($B750,'Infant adult mortality'!$A$27:$I$128,3)</f>
        <v>2.063723980693848E-2</v>
      </c>
      <c r="I750" s="309">
        <f t="shared" si="312"/>
        <v>0.14000000000000001</v>
      </c>
      <c r="J750" s="309">
        <f>VLOOKUP($B750,'Infant pick up smoking rates'!$A$19:$I$104,2)</f>
        <v>0</v>
      </c>
      <c r="K750" s="309">
        <f t="shared" si="313"/>
        <v>0.14624098391610749</v>
      </c>
      <c r="L750" s="309">
        <f t="shared" si="314"/>
        <v>0.69312177627695404</v>
      </c>
      <c r="M750" s="309">
        <f>VLOOKUP($B750,'Infant adult mortality'!$A$27:$I$128,3)</f>
        <v>2.063723980693848E-2</v>
      </c>
      <c r="N750" s="309">
        <f t="shared" si="315"/>
        <v>0.5714285714285714</v>
      </c>
      <c r="O750" s="309">
        <f>VLOOKUP($B750,'Infant pick up smoking rates'!$A$19:$I$104,2)</f>
        <v>0</v>
      </c>
      <c r="P750" s="309">
        <f t="shared" si="316"/>
        <v>0.12016234480898272</v>
      </c>
      <c r="Q750" s="309">
        <f t="shared" si="317"/>
        <v>0.28777184395550742</v>
      </c>
      <c r="R750" s="309">
        <f>VLOOKUP($B750,'Infant adult mortality'!$A$27:$I$128,3)</f>
        <v>2.063723980693848E-2</v>
      </c>
      <c r="S750" s="309">
        <f t="shared" si="318"/>
        <v>8.6261668788331098E-3</v>
      </c>
      <c r="T750" s="309">
        <f>VLOOKUP($B750,'Infant pick up smoking rates'!$A$19:$I$104,2)</f>
        <v>0</v>
      </c>
      <c r="U750" s="309">
        <f t="shared" si="319"/>
        <v>0.12016234480898272</v>
      </c>
      <c r="V750" s="309">
        <f t="shared" si="320"/>
        <v>0.85057424850524577</v>
      </c>
      <c r="W750" s="309">
        <f>VLOOKUP($B750,'Infant adult mortality'!$A$27:$I$128,3)</f>
        <v>2.063723980693848E-2</v>
      </c>
      <c r="X750" s="309">
        <f>VLOOKUP($B750,'Infant pick up smoking rates'!$A$19:$I$104,2)</f>
        <v>0</v>
      </c>
      <c r="Y750" s="309">
        <f t="shared" si="321"/>
        <v>0.97936276019306157</v>
      </c>
      <c r="Z750" s="309">
        <f>VLOOKUP($B750,'Infant adult mortality'!$A$27:$I$128,5)</f>
        <v>3.2456193168182178E-2</v>
      </c>
      <c r="AA750" s="309">
        <f t="shared" si="322"/>
        <v>0.25</v>
      </c>
      <c r="AB750" s="309">
        <f t="shared" si="323"/>
        <v>0.71754380683181784</v>
      </c>
      <c r="AC750" s="309">
        <f>VLOOKUP($B750,'Infant adult mortality'!$A$27:$I$128,5)</f>
        <v>3.2456193168182178E-2</v>
      </c>
      <c r="AD750" s="309">
        <f t="shared" si="324"/>
        <v>0.14000000000000001</v>
      </c>
      <c r="AE750" s="309">
        <f t="shared" si="325"/>
        <v>0.82754380683181783</v>
      </c>
      <c r="AF750" s="309">
        <f>VLOOKUP($B750,'Infant adult mortality'!$A$27:$I$128,4)</f>
        <v>2.3668525772646058E-2</v>
      </c>
      <c r="AG750" s="309">
        <f t="shared" si="326"/>
        <v>0.5714285714285714</v>
      </c>
      <c r="AH750" s="309">
        <f t="shared" si="327"/>
        <v>0.40490290279878255</v>
      </c>
      <c r="AI750" s="309">
        <f>VLOOKUP($B750,'Infant adult mortality'!$A$27:$I$128,4)</f>
        <v>2.3668525772646058E-2</v>
      </c>
      <c r="AJ750" s="309">
        <f t="shared" si="328"/>
        <v>8.6261668788331098E-3</v>
      </c>
      <c r="AK750" s="309">
        <f t="shared" si="329"/>
        <v>0.96770530734852078</v>
      </c>
      <c r="AL750" s="309"/>
      <c r="AM750" s="315">
        <f t="shared" si="366"/>
        <v>1.238893422652402</v>
      </c>
      <c r="AN750" s="316">
        <f t="shared" si="367"/>
        <v>0.40065993789842713</v>
      </c>
      <c r="AO750" s="316">
        <f t="shared" si="368"/>
        <v>6.7080085401201792E-2</v>
      </c>
      <c r="AP750" s="316">
        <f t="shared" si="369"/>
        <v>4.7889809900500708</v>
      </c>
      <c r="AQ750" s="316">
        <f t="shared" si="370"/>
        <v>123.60488986253229</v>
      </c>
      <c r="AR750" s="316">
        <f t="shared" si="371"/>
        <v>70.262173172627016</v>
      </c>
      <c r="AS750" s="316">
        <f t="shared" si="372"/>
        <v>18.286051503353182</v>
      </c>
      <c r="AT750" s="316">
        <f t="shared" si="373"/>
        <v>2.6570843265283544</v>
      </c>
      <c r="AU750" s="316">
        <f t="shared" si="374"/>
        <v>109.07005087261822</v>
      </c>
      <c r="AV750" s="316">
        <f t="shared" si="375"/>
        <v>179.62413582633852</v>
      </c>
      <c r="AW750" s="317">
        <f t="shared" si="330"/>
        <v>509.99999999999966</v>
      </c>
      <c r="AX750" s="309"/>
      <c r="AY750" s="308">
        <f>VLOOKUP($B750,'Infant adult mortality'!$A$134:$I$234,3)</f>
        <v>1.5291573824698009E-2</v>
      </c>
      <c r="AZ750" s="309">
        <f t="shared" si="331"/>
        <v>0.27</v>
      </c>
      <c r="BA750" s="309">
        <f ca="1">VLOOKUP($B750,'Infant pick up smoking rates'!$A$19:$I$104,7)</f>
        <v>0</v>
      </c>
      <c r="BB750" s="309">
        <f t="shared" si="332"/>
        <v>0.14624098391610749</v>
      </c>
      <c r="BC750" s="309">
        <f t="shared" ca="1" si="333"/>
        <v>0.56846744225919443</v>
      </c>
      <c r="BD750" s="309">
        <f>VLOOKUP($B750,'Infant adult mortality'!$A$134:$I$234,3)</f>
        <v>1.5291573824698009E-2</v>
      </c>
      <c r="BE750" s="309">
        <f t="shared" si="334"/>
        <v>0.14000000000000001</v>
      </c>
      <c r="BF750" s="309">
        <f>VLOOKUP($B750,'Infant pick up smoking rates'!$A$19:$I$104,6)</f>
        <v>0</v>
      </c>
      <c r="BG750" s="309">
        <f t="shared" si="335"/>
        <v>0.14624098391610749</v>
      </c>
      <c r="BH750" s="309">
        <f t="shared" si="336"/>
        <v>0.69846744225919444</v>
      </c>
      <c r="BI750" s="309">
        <f>VLOOKUP($B750,'Infant adult mortality'!$A$134:$I$234,3)</f>
        <v>1.5291573824698009E-2</v>
      </c>
      <c r="BJ750" s="309">
        <f t="shared" si="337"/>
        <v>0.5714285714285714</v>
      </c>
      <c r="BK750" s="309">
        <f>VLOOKUP($B750,'Infant pick up smoking rates'!$A$19:$I$104,6)</f>
        <v>0</v>
      </c>
      <c r="BL750" s="309">
        <f t="shared" si="338"/>
        <v>0.12016234480898272</v>
      </c>
      <c r="BM750" s="309">
        <f t="shared" si="339"/>
        <v>0.29311750993774788</v>
      </c>
      <c r="BN750" s="309">
        <f>VLOOKUP($B750,'Infant adult mortality'!$A$134:$I$234,3)</f>
        <v>1.5291573824698009E-2</v>
      </c>
      <c r="BO750" s="309">
        <f t="shared" si="340"/>
        <v>8.6261668788331098E-3</v>
      </c>
      <c r="BP750" s="309">
        <f>VLOOKUP($B750,'Infant pick up smoking rates'!$A$19:$I$104,6)</f>
        <v>0</v>
      </c>
      <c r="BQ750" s="309">
        <f t="shared" si="341"/>
        <v>0.12016234480898272</v>
      </c>
      <c r="BR750" s="309">
        <f t="shared" si="342"/>
        <v>0.85591991448748617</v>
      </c>
      <c r="BS750" s="309">
        <f>VLOOKUP($B750,'Infant adult mortality'!$A$134:$I$234,3)</f>
        <v>1.5291573824698009E-2</v>
      </c>
      <c r="BT750" s="309">
        <f>VLOOKUP($B750,'Infant pick up smoking rates'!$A$19:$I$104,6)</f>
        <v>0</v>
      </c>
      <c r="BU750" s="309">
        <f t="shared" si="343"/>
        <v>0.98470842617530197</v>
      </c>
      <c r="BV750" s="309">
        <f>VLOOKUP($B750,'Infant adult mortality'!$A$134:$I$234,5)</f>
        <v>2.4049062691661554E-2</v>
      </c>
      <c r="BW750" s="309">
        <f t="shared" si="344"/>
        <v>0.27</v>
      </c>
      <c r="BX750" s="309">
        <f t="shared" si="345"/>
        <v>0.70595093730833847</v>
      </c>
      <c r="BY750" s="309">
        <f>VLOOKUP($B750,'Infant adult mortality'!$A$134:$I$234,5)</f>
        <v>2.4049062691661554E-2</v>
      </c>
      <c r="BZ750" s="309">
        <f t="shared" si="346"/>
        <v>0.14000000000000001</v>
      </c>
      <c r="CA750" s="309">
        <f t="shared" si="347"/>
        <v>0.83595093730833847</v>
      </c>
      <c r="CB750" s="309">
        <f>VLOOKUP($B750,'Infant adult mortality'!$A$134:$I$234,4)</f>
        <v>1.7537665528919229E-2</v>
      </c>
      <c r="CC750" s="309">
        <f t="shared" si="348"/>
        <v>0.5714285714285714</v>
      </c>
      <c r="CD750" s="309">
        <f t="shared" si="349"/>
        <v>0.41103376304250938</v>
      </c>
      <c r="CE750" s="309">
        <f>VLOOKUP($B750,'Infant adult mortality'!$A$134:$I$234,4)</f>
        <v>1.7537665528919229E-2</v>
      </c>
      <c r="CF750" s="309">
        <f t="shared" si="350"/>
        <v>8.6261668788331098E-3</v>
      </c>
      <c r="CG750" s="309">
        <f t="shared" si="351"/>
        <v>0.97383616759224767</v>
      </c>
      <c r="CH750" s="309"/>
      <c r="CI750" s="315">
        <f t="shared" ca="1" si="376"/>
        <v>1.7934242077545721</v>
      </c>
      <c r="CJ750" s="316">
        <f t="shared" ca="1" si="377"/>
        <v>0.57625280588247996</v>
      </c>
      <c r="CK750" s="316">
        <f t="shared" ca="1" si="378"/>
        <v>9.5901867525867809E-2</v>
      </c>
      <c r="CL750" s="316">
        <f t="shared" ca="1" si="379"/>
        <v>6.8436333723982301</v>
      </c>
      <c r="CM750" s="316">
        <f t="shared" ca="1" si="380"/>
        <v>176.1084760220547</v>
      </c>
      <c r="CN750" s="316">
        <f t="shared" ca="1" si="381"/>
        <v>57.125982284754144</v>
      </c>
      <c r="CO750" s="316">
        <f t="shared" ca="1" si="382"/>
        <v>15.923785392855859</v>
      </c>
      <c r="CP750" s="316">
        <f t="shared" ca="1" si="383"/>
        <v>2.2961670488033032</v>
      </c>
      <c r="CQ750" s="316">
        <f t="shared" ca="1" si="384"/>
        <v>92.843422292378619</v>
      </c>
      <c r="CR750" s="316">
        <f t="shared" ca="1" si="385"/>
        <v>136.39295470559244</v>
      </c>
      <c r="CS750" s="317">
        <f t="shared" ca="1" si="352"/>
        <v>490.00000000000017</v>
      </c>
      <c r="CT750" s="309"/>
      <c r="CU750" s="309">
        <f t="shared" ca="1" si="353"/>
        <v>999.99999999999977</v>
      </c>
      <c r="CV750" s="309" t="str">
        <f t="shared" ca="1" si="305"/>
        <v>OKAY</v>
      </c>
      <c r="CW750" s="309"/>
      <c r="CX750" s="315">
        <f>(SUM($AR750:$AS750))-((SUM($AR750:$AS750)*VLOOKUP($B750,Lifetime_morbidity_array!$A$30:$Y$48,4))+(SUM($AR750:$AS750)*VLOOKUP($B750,Lifetime_morbidity_array!$A$30:$Y$48,7))+(SUM($AR750:$AS750)*VLOOKUP($B750,Lifetime_morbidity_array!$A$30:$Y$48,10))+(SUM($AR750:$AS750)*VLOOKUP($B750,Lifetime_morbidity_array!$A$30:$Y$48,13)))</f>
        <v>-4.6744525171192919</v>
      </c>
      <c r="CY750" s="316">
        <f>(SUM($AT750:$AU750))-((SUM($AT750:$AU750)*(VLOOKUP($B750,Lifetime_morbidity_array!$A$30:$Y$48,3)))+(SUM($AT750:$AU750)*(VLOOKUP($B750,Lifetime_morbidity_array!$A$30:$Y$48,6)))+(SUM($AT750:$AU750)*(VLOOKUP($B750,Lifetime_morbidity_array!$A$30:$Y$48,9)))+(SUM($AT750:$AU750)*(VLOOKUP($B750,Lifetime_morbidity_array!$A$30:$Y$48,12))))</f>
        <v>49.865516704129078</v>
      </c>
      <c r="CZ750" s="316">
        <f>(SUM($AM750:$AQ750))-((SUM($AM750:$AQ750)*VLOOKUP($B750,Lifetime_morbidity_array!$A$30:$Y$48,2))+(SUM($AM750:$AQ750)*VLOOKUP($B750,Lifetime_morbidity_array!$A$30:$Y$48,5))+(SUM($AM750:$AQ750)*VLOOKUP($B750,Lifetime_morbidity_array!$A$30:$Y$48,8))+(SUM($AM750:$AQ750)*VLOOKUP($B750,Lifetime_morbidity_array!$A$30:$Y$48,11)))</f>
        <v>82.825255834348738</v>
      </c>
      <c r="DA750" s="316">
        <f>(SUM($AM750:$AQ750)*VLOOKUP($B750,Lifetime_morbidity_array!$A$30:$Y$48,2))+(SUM($AR750:$AS750)*VLOOKUP($B750,Lifetime_morbidity_array!$A$30:$Y$48,4))+(SUM($AT750:$AU750)*(VLOOKUP($B750,Lifetime_morbidity_array!$A$30:$Y$48,3)))</f>
        <v>102.79269649792343</v>
      </c>
      <c r="DB750" s="316">
        <f>(SUM($AM750:$AQ750)*VLOOKUP($B750,Lifetime_morbidity_array!$A$30:$Y$48,5))+(SUM($AR750:$AS750)*VLOOKUP($B750,Lifetime_morbidity_array!$A$30:$Y$48,7))+(SUM($AT750:$AU750)*(VLOOKUP($B750,Lifetime_morbidity_array!$A$30:$Y$48,6)))</f>
        <v>50.290770515633668</v>
      </c>
      <c r="DC750" s="316">
        <f>(SUM($AM750:$AQ750)*VLOOKUP($B750,Lifetime_morbidity_array!$A$30:$Y$48,8))+(SUM($AR750:$AS750)*VLOOKUP($B750,Lifetime_morbidity_array!$A$30:$Y$48,10))+(SUM($AT750:$AU750)*(VLOOKUP($B750,Lifetime_morbidity_array!$A$30:$Y$48,9)))</f>
        <v>3.7977638101347608</v>
      </c>
      <c r="DD750" s="317">
        <f>(SUM($AM750:$AQ750)*VLOOKUP($B750,Lifetime_morbidity_array!$A$30:$Y$48,11))+(SUM($AR750:$AS750)*VLOOKUP($B750,Lifetime_morbidity_array!$A$30:$Y$48,13))+(SUM($AT750:$AU750)*(VLOOKUP($B750,Lifetime_morbidity_array!$A$30:$Y$48,12)))</f>
        <v>45.478313328610774</v>
      </c>
      <c r="DE750" s="309"/>
      <c r="DF750" s="315">
        <f ca="1">(SUM($CN750:$CO750))-((SUM($CN750:$CO750)*VLOOKUP($B750,Lifetime_morbidity_array!$A$6:$Y$24,4))+(SUM($CN750:$CO750)*VLOOKUP($B750,Lifetime_morbidity_array!$A$6:$Y$24,7))+(SUM($CN750:$CO750)*VLOOKUP($B750,Lifetime_morbidity_array!$A$6:$Y$24,10))+(SUM($CN750:$CO750)*VLOOKUP($B750,Lifetime_morbidity_array!$A$6:$Y$24,13)))</f>
        <v>5.5634745864657731</v>
      </c>
      <c r="DG750" s="316">
        <f ca="1">(SUM($CP750:$CQ750))-(((SUM($CP750:$CQ750)*VLOOKUP($B750,Lifetime_morbidity_array!$A$6:$Y$24,3))+(SUM($CP750:$CQ750)*VLOOKUP($B750,Lifetime_morbidity_array!$A$6:$Y$24,6))+(SUM($CP750:$CQ750)*VLOOKUP($B750,Lifetime_morbidity_array!$A$6:$Y$24,9))+(SUM($CP750:$CQ750)*VLOOKUP($B750,Lifetime_morbidity_array!$A$6:$Y$24,12))))</f>
        <v>52.730386666035336</v>
      </c>
      <c r="DH750" s="316">
        <f ca="1">(SUM($CI750:$CM750))-((SUM($CI750:$CM750)*VLOOKUP($B750,Lifetime_morbidity_array!$A$6:$Y$24,2))+(SUM($CI750:$CM750)*VLOOKUP($B750,Lifetime_morbidity_array!$A$6:$Y$24,5))+(SUM($CI750:$CM750)*VLOOKUP($B750,Lifetime_morbidity_array!$A$6:$Y$24,8))+(SUM($CI750:$CM750)*VLOOKUP($B750,Lifetime_morbidity_array!$A$6:$Y$24,11)))</f>
        <v>133.48465566834452</v>
      </c>
      <c r="DI750" s="316">
        <f ca="1">(SUM($CI750:$CM750)*VLOOKUP($B750,Lifetime_morbidity_array!$A$6:$Y$24,2))+(SUM($CN750:$CO750)*VLOOKUP($B750,Lifetime_morbidity_array!$A$6:$Y$24,4))+(SUM($CP750:$CQ750)*VLOOKUP($B750,Lifetime_morbidity_array!$A$6:$Y$24,3))</f>
        <v>75.78998414006864</v>
      </c>
      <c r="DJ750" s="316">
        <f ca="1">(SUM($CI750:$CM750)*VLOOKUP($B750,Lifetime_morbidity_array!$A$6:$Y$24,5))+(SUM($CN750:$CO750)*VLOOKUP($B750,Lifetime_morbidity_array!$A$6:$Y$24,7))+(SUM($CP750:$CQ750)*VLOOKUP($B750,Lifetime_morbidity_array!$A$6:$Y$24,6))</f>
        <v>42.854985136262037</v>
      </c>
      <c r="DK750" s="316">
        <f ca="1">(SUM($CI750:$CM750)*VLOOKUP($B750,Lifetime_morbidity_array!$A$6:$Y$24,8))+(SUM($CN750:$CO750)*VLOOKUP($B750,Lifetime_morbidity_array!$A$6:$Y$24,10))+(SUM($CP750:$CQ750)*VLOOKUP($B750,Lifetime_morbidity_array!$A$6:$Y$24,9))</f>
        <v>1.5660723452422514</v>
      </c>
      <c r="DL750" s="317">
        <f ca="1">(SUM($CI750:$CM750)*VLOOKUP($B750,Lifetime_morbidity_array!$A$6:$Y$24,11))+(SUM($CN750:$CO750)*VLOOKUP($B750,Lifetime_morbidity_array!$A$6:$Y$24,13))+(SUM($CP750:$CQ750)*VLOOKUP($B750,Lifetime_morbidity_array!$A$6:$Y$24,12))</f>
        <v>41.617486751989219</v>
      </c>
      <c r="DM750" s="309"/>
      <c r="DN750" s="308">
        <f t="shared" si="354"/>
        <v>84</v>
      </c>
      <c r="DO750" s="309">
        <f t="shared" ca="1" si="355"/>
        <v>38.023830701747976</v>
      </c>
      <c r="DP750" s="310">
        <f t="shared" ca="1" si="386"/>
        <v>23751.910692231362</v>
      </c>
      <c r="DQ750" s="309"/>
      <c r="DR750" s="308">
        <f t="shared" si="356"/>
        <v>84</v>
      </c>
      <c r="DS750" s="309">
        <f ca="1">((VLOOKUP($B750,'Mahawesran Tariff'!$A$21:$M$120,4)*'Experimental (DET)'!$CX750)+(VLOOKUP($B750,'Mahawesran Tariff'!$A$21:$M$120,3)*'Experimental (DET)'!$CY750)+(VLOOKUP($B750,'Mahawesran Tariff'!$A$21:$M$120,2)*'Experimental (DET)'!$CZ750)+(VLOOKUP($B750,'Mahawesran Tariff'!$A$21:$M$120,7)*'Experimental (DET)'!$DF750)+(VLOOKUP($B750,'Mahawesran Tariff'!$A$21:$M$120,6)*'Experimental (DET)'!$DG750)+(VLOOKUP($B750,'Mahawesran Tariff'!$A$21:$M$120,5)*'Experimental (DET)'!$DH750)+(DET_UTIL_chd*('Experimental (DET)'!$DA750+'Experimental (DET)'!$DI750))+(DET_UTIL_copd*('Experimental (DET)'!$DB750+'Experimental (DET)'!$DJ750))+(DET_UTIL_lc*('Experimental (DET)'!$DC750+'Experimental (DET)'!$DK750))+(DET_UTIL_stroke*('Experimental (DET)'!$DD750+'Experimental (DET)'!$DL750)))/((1+Discount_rate_QALYs)^$A750)</f>
        <v>31.106505715723138</v>
      </c>
      <c r="DT750" s="310">
        <f t="shared" ca="1" si="387"/>
        <v>23288.21301519591</v>
      </c>
      <c r="DU750" s="309"/>
      <c r="DV750" s="308">
        <f t="shared" si="357"/>
        <v>84</v>
      </c>
      <c r="DW750" s="318">
        <f t="shared" ca="1" si="358"/>
        <v>130658.83511805061</v>
      </c>
      <c r="DX750" s="319">
        <f t="shared" ca="1" si="388"/>
        <v>10576756.572368085</v>
      </c>
      <c r="DZ750" s="95">
        <f t="shared" si="359"/>
        <v>84</v>
      </c>
      <c r="EA750" s="268">
        <f t="shared" ca="1" si="304"/>
        <v>0.68398290946806894</v>
      </c>
      <c r="EB750" s="268">
        <f t="shared" ca="1" si="306"/>
        <v>0.316017090531931</v>
      </c>
      <c r="EC750" s="268">
        <f t="shared" ca="1" si="307"/>
        <v>0.36418807252586477</v>
      </c>
      <c r="ED750" s="290">
        <f t="shared" ca="1" si="308"/>
        <v>0.36846471689391863</v>
      </c>
      <c r="EF750" s="95">
        <f t="shared" si="360"/>
        <v>84</v>
      </c>
      <c r="EG750" s="339">
        <f t="shared" ca="1" si="361"/>
        <v>130658.83511805061</v>
      </c>
      <c r="EH750" s="341">
        <f t="shared" ca="1" si="389"/>
        <v>13678772.296331635</v>
      </c>
      <c r="EJ750" s="308">
        <f t="shared" si="362"/>
        <v>84</v>
      </c>
      <c r="EK750" s="318">
        <f t="shared" ca="1" si="363"/>
        <v>130658.83511805061</v>
      </c>
      <c r="EL750" s="319">
        <f t="shared" ca="1" si="390"/>
        <v>10573716.572368084</v>
      </c>
      <c r="EN750" s="95">
        <f t="shared" si="364"/>
        <v>84</v>
      </c>
      <c r="EO750" s="339">
        <f t="shared" ca="1" si="365"/>
        <v>130658.83511805061</v>
      </c>
      <c r="EP750" s="341">
        <f t="shared" ca="1" si="391"/>
        <v>13678772.296331635</v>
      </c>
    </row>
    <row r="751" spans="1:146" s="266" customFormat="1" x14ac:dyDescent="0.25">
      <c r="A751" s="313">
        <v>85</v>
      </c>
      <c r="B751" s="314">
        <v>85</v>
      </c>
      <c r="C751" s="308">
        <f>VLOOKUP($B751,'Infant adult mortality'!$A$27:$I$128,3)</f>
        <v>2.3954593856425128E-2</v>
      </c>
      <c r="D751" s="309">
        <f t="shared" si="309"/>
        <v>0.27</v>
      </c>
      <c r="E751" s="309">
        <f>VLOOKUP($B751,'Infant pick up smoking rates'!$A$19:$I$104,3)</f>
        <v>0</v>
      </c>
      <c r="F751" s="309">
        <f t="shared" si="310"/>
        <v>0.14624098391610749</v>
      </c>
      <c r="G751" s="309">
        <f t="shared" si="311"/>
        <v>0.55980442222746729</v>
      </c>
      <c r="H751" s="309">
        <f>VLOOKUP($B751,'Infant adult mortality'!$A$27:$I$128,3)</f>
        <v>2.3954593856425128E-2</v>
      </c>
      <c r="I751" s="309">
        <f t="shared" si="312"/>
        <v>0.14000000000000001</v>
      </c>
      <c r="J751" s="309">
        <f>VLOOKUP($B751,'Infant pick up smoking rates'!$A$19:$I$104,2)</f>
        <v>0</v>
      </c>
      <c r="K751" s="309">
        <f t="shared" si="313"/>
        <v>0.14624098391610749</v>
      </c>
      <c r="L751" s="309">
        <f t="shared" si="314"/>
        <v>0.6898044222274673</v>
      </c>
      <c r="M751" s="309">
        <f>VLOOKUP($B751,'Infant adult mortality'!$A$27:$I$128,3)</f>
        <v>2.3954593856425128E-2</v>
      </c>
      <c r="N751" s="309">
        <f t="shared" si="315"/>
        <v>0.5714285714285714</v>
      </c>
      <c r="O751" s="309">
        <f>VLOOKUP($B751,'Infant pick up smoking rates'!$A$19:$I$104,2)</f>
        <v>0</v>
      </c>
      <c r="P751" s="309">
        <f t="shared" si="316"/>
        <v>0.12016234480898272</v>
      </c>
      <c r="Q751" s="309">
        <f t="shared" si="317"/>
        <v>0.28445448990602079</v>
      </c>
      <c r="R751" s="309">
        <f>VLOOKUP($B751,'Infant adult mortality'!$A$27:$I$128,3)</f>
        <v>2.3954593856425128E-2</v>
      </c>
      <c r="S751" s="309">
        <f t="shared" si="318"/>
        <v>8.6261668788331098E-3</v>
      </c>
      <c r="T751" s="309">
        <f>VLOOKUP($B751,'Infant pick up smoking rates'!$A$19:$I$104,2)</f>
        <v>0</v>
      </c>
      <c r="U751" s="309">
        <f t="shared" si="319"/>
        <v>0.12016234480898272</v>
      </c>
      <c r="V751" s="309">
        <f t="shared" si="320"/>
        <v>0.84725689445575902</v>
      </c>
      <c r="W751" s="309">
        <f>VLOOKUP($B751,'Infant adult mortality'!$A$27:$I$128,3)</f>
        <v>2.3954593856425128E-2</v>
      </c>
      <c r="X751" s="309">
        <f>VLOOKUP($B751,'Infant pick up smoking rates'!$A$19:$I$104,2)</f>
        <v>0</v>
      </c>
      <c r="Y751" s="309">
        <f t="shared" si="321"/>
        <v>0.97604540614357482</v>
      </c>
      <c r="Z751" s="309">
        <f>VLOOKUP($B751,'Infant adult mortality'!$A$27:$I$128,5)</f>
        <v>3.1072773881377077E-2</v>
      </c>
      <c r="AA751" s="309">
        <f t="shared" si="322"/>
        <v>0.25</v>
      </c>
      <c r="AB751" s="309">
        <f t="shared" si="323"/>
        <v>0.71892722611862292</v>
      </c>
      <c r="AC751" s="309">
        <f>VLOOKUP($B751,'Infant adult mortality'!$A$27:$I$128,5)</f>
        <v>3.1072773881377077E-2</v>
      </c>
      <c r="AD751" s="309">
        <f t="shared" si="324"/>
        <v>0.14000000000000001</v>
      </c>
      <c r="AE751" s="309">
        <f t="shared" si="325"/>
        <v>0.82892722611862291</v>
      </c>
      <c r="AF751" s="309">
        <f>VLOOKUP($B751,'Infant adult mortality'!$A$27:$I$128,4)</f>
        <v>2.5531675658360592E-2</v>
      </c>
      <c r="AG751" s="309">
        <f t="shared" si="326"/>
        <v>0.5714285714285714</v>
      </c>
      <c r="AH751" s="309">
        <f t="shared" si="327"/>
        <v>0.40303975291306804</v>
      </c>
      <c r="AI751" s="309">
        <f>VLOOKUP($B751,'Infant adult mortality'!$A$27:$I$128,4)</f>
        <v>2.5531675658360592E-2</v>
      </c>
      <c r="AJ751" s="309">
        <f t="shared" si="328"/>
        <v>8.6261668788331098E-3</v>
      </c>
      <c r="AK751" s="309">
        <f t="shared" si="329"/>
        <v>0.96584215746280633</v>
      </c>
      <c r="AL751" s="309"/>
      <c r="AM751" s="315">
        <f t="shared" si="366"/>
        <v>1.0303067943164375</v>
      </c>
      <c r="AN751" s="316">
        <f t="shared" si="367"/>
        <v>0.33450122411614858</v>
      </c>
      <c r="AO751" s="316">
        <f t="shared" si="368"/>
        <v>5.6092391305779803E-2</v>
      </c>
      <c r="AP751" s="316">
        <f t="shared" si="369"/>
        <v>4.0958286386096043</v>
      </c>
      <c r="AQ751" s="316">
        <f t="shared" si="370"/>
        <v>121.46727050919893</v>
      </c>
      <c r="AR751" s="316">
        <f t="shared" si="371"/>
        <v>67.682962280143087</v>
      </c>
      <c r="AS751" s="316">
        <f t="shared" si="372"/>
        <v>17.565543293156754</v>
      </c>
      <c r="AT751" s="316">
        <f t="shared" si="373"/>
        <v>2.5600472104694458</v>
      </c>
      <c r="AU751" s="316">
        <f t="shared" si="374"/>
        <v>106.86278715026097</v>
      </c>
      <c r="AV751" s="316">
        <f t="shared" si="375"/>
        <v>188.34466050842249</v>
      </c>
      <c r="AW751" s="317">
        <f t="shared" si="330"/>
        <v>509.99999999999966</v>
      </c>
      <c r="AX751" s="309"/>
      <c r="AY751" s="308">
        <f>VLOOKUP($B751,'Infant adult mortality'!$A$134:$I$234,3)</f>
        <v>1.7904997471086086E-2</v>
      </c>
      <c r="AZ751" s="309">
        <f t="shared" si="331"/>
        <v>0.27</v>
      </c>
      <c r="BA751" s="309">
        <f ca="1">VLOOKUP($B751,'Infant pick up smoking rates'!$A$19:$I$104,7)</f>
        <v>0</v>
      </c>
      <c r="BB751" s="309">
        <f t="shared" si="332"/>
        <v>0.14624098391610749</v>
      </c>
      <c r="BC751" s="309">
        <f t="shared" ca="1" si="333"/>
        <v>0.56585401861280638</v>
      </c>
      <c r="BD751" s="309">
        <f>VLOOKUP($B751,'Infant adult mortality'!$A$134:$I$234,3)</f>
        <v>1.7904997471086086E-2</v>
      </c>
      <c r="BE751" s="309">
        <f t="shared" si="334"/>
        <v>0.14000000000000001</v>
      </c>
      <c r="BF751" s="309">
        <f>VLOOKUP($B751,'Infant pick up smoking rates'!$A$19:$I$104,6)</f>
        <v>0</v>
      </c>
      <c r="BG751" s="309">
        <f t="shared" si="335"/>
        <v>0.14624098391610749</v>
      </c>
      <c r="BH751" s="309">
        <f t="shared" si="336"/>
        <v>0.69585401861280638</v>
      </c>
      <c r="BI751" s="309">
        <f>VLOOKUP($B751,'Infant adult mortality'!$A$134:$I$234,3)</f>
        <v>1.7904997471086086E-2</v>
      </c>
      <c r="BJ751" s="309">
        <f t="shared" si="337"/>
        <v>0.5714285714285714</v>
      </c>
      <c r="BK751" s="309">
        <f>VLOOKUP($B751,'Infant pick up smoking rates'!$A$19:$I$104,6)</f>
        <v>0</v>
      </c>
      <c r="BL751" s="309">
        <f t="shared" si="338"/>
        <v>0.12016234480898272</v>
      </c>
      <c r="BM751" s="309">
        <f t="shared" si="339"/>
        <v>0.29050408629135982</v>
      </c>
      <c r="BN751" s="309">
        <f>VLOOKUP($B751,'Infant adult mortality'!$A$134:$I$234,3)</f>
        <v>1.7904997471086086E-2</v>
      </c>
      <c r="BO751" s="309">
        <f t="shared" si="340"/>
        <v>8.6261668788331098E-3</v>
      </c>
      <c r="BP751" s="309">
        <f>VLOOKUP($B751,'Infant pick up smoking rates'!$A$19:$I$104,6)</f>
        <v>0</v>
      </c>
      <c r="BQ751" s="309">
        <f t="shared" si="341"/>
        <v>0.12016234480898272</v>
      </c>
      <c r="BR751" s="309">
        <f t="shared" si="342"/>
        <v>0.85330649084109811</v>
      </c>
      <c r="BS751" s="309">
        <f>VLOOKUP($B751,'Infant adult mortality'!$A$134:$I$234,3)</f>
        <v>1.7904997471086086E-2</v>
      </c>
      <c r="BT751" s="309">
        <f>VLOOKUP($B751,'Infant pick up smoking rates'!$A$19:$I$104,6)</f>
        <v>0</v>
      </c>
      <c r="BU751" s="309">
        <f t="shared" si="343"/>
        <v>0.98209500252891391</v>
      </c>
      <c r="BV751" s="309">
        <f>VLOOKUP($B751,'Infant adult mortality'!$A$134:$I$234,5)</f>
        <v>2.3225521630643692E-2</v>
      </c>
      <c r="BW751" s="309">
        <f t="shared" si="344"/>
        <v>0.27</v>
      </c>
      <c r="BX751" s="309">
        <f t="shared" si="345"/>
        <v>0.70677447836935625</v>
      </c>
      <c r="BY751" s="309">
        <f>VLOOKUP($B751,'Infant adult mortality'!$A$134:$I$234,5)</f>
        <v>2.3225521630643692E-2</v>
      </c>
      <c r="BZ751" s="309">
        <f t="shared" si="346"/>
        <v>0.14000000000000001</v>
      </c>
      <c r="CA751" s="309">
        <f t="shared" si="347"/>
        <v>0.83677447836935626</v>
      </c>
      <c r="CB751" s="309">
        <f>VLOOKUP($B751,'Infant adult mortality'!$A$134:$I$234,4)</f>
        <v>1.9083796236976095E-2</v>
      </c>
      <c r="CC751" s="309">
        <f t="shared" si="348"/>
        <v>0.5714285714285714</v>
      </c>
      <c r="CD751" s="309">
        <f t="shared" si="349"/>
        <v>0.40948763233445251</v>
      </c>
      <c r="CE751" s="309">
        <f>VLOOKUP($B751,'Infant adult mortality'!$A$134:$I$234,4)</f>
        <v>1.9083796236976095E-2</v>
      </c>
      <c r="CF751" s="309">
        <f t="shared" si="350"/>
        <v>8.6261668788331098E-3</v>
      </c>
      <c r="CG751" s="309">
        <f t="shared" si="351"/>
        <v>0.9722900368841908</v>
      </c>
      <c r="CH751" s="309"/>
      <c r="CI751" s="315">
        <f t="shared" ca="1" si="376"/>
        <v>1.502698333672738</v>
      </c>
      <c r="CJ751" s="316">
        <f t="shared" ca="1" si="377"/>
        <v>0.4842245360937345</v>
      </c>
      <c r="CK751" s="316">
        <f t="shared" ca="1" si="378"/>
        <v>8.0675392823547201E-2</v>
      </c>
      <c r="CL751" s="316">
        <f t="shared" ca="1" si="379"/>
        <v>5.8945178447618023</v>
      </c>
      <c r="CM751" s="316">
        <f t="shared" ca="1" si="380"/>
        <v>174.1356689285945</v>
      </c>
      <c r="CN751" s="316">
        <f t="shared" ca="1" si="381"/>
        <v>55.440938408971618</v>
      </c>
      <c r="CO751" s="316">
        <f t="shared" ca="1" si="382"/>
        <v>15.424015216883619</v>
      </c>
      <c r="CP751" s="316">
        <f t="shared" ca="1" si="383"/>
        <v>2.2293299549998205</v>
      </c>
      <c r="CQ751" s="316">
        <f t="shared" ca="1" si="384"/>
        <v>91.582829941570338</v>
      </c>
      <c r="CR751" s="316">
        <f t="shared" ca="1" si="385"/>
        <v>143.22510144162848</v>
      </c>
      <c r="CS751" s="317">
        <f t="shared" ca="1" si="352"/>
        <v>490.00000000000023</v>
      </c>
      <c r="CT751" s="309"/>
      <c r="CU751" s="309">
        <f t="shared" ca="1" si="353"/>
        <v>999.99999999999989</v>
      </c>
      <c r="CV751" s="309" t="str">
        <f t="shared" ca="1" si="305"/>
        <v>OKAY</v>
      </c>
      <c r="CW751" s="309"/>
      <c r="CX751" s="315">
        <f>(SUM($AR751:$AS751))-((SUM($AR751:$AS751)*VLOOKUP($B751,Lifetime_morbidity_array!$A$30:$Y$48,4))+(SUM($AR751:$AS751)*VLOOKUP($B751,Lifetime_morbidity_array!$A$30:$Y$48,7))+(SUM($AR751:$AS751)*VLOOKUP($B751,Lifetime_morbidity_array!$A$30:$Y$48,10))+(SUM($AR751:$AS751)*VLOOKUP($B751,Lifetime_morbidity_array!$A$30:$Y$48,13)))</f>
        <v>-2.3026147971830682</v>
      </c>
      <c r="CY751" s="316">
        <f>(SUM($AT751:$AU751))-((SUM($AT751:$AU751)*(VLOOKUP($B751,Lifetime_morbidity_array!$A$30:$Y$48,3)))+(SUM($AT751:$AU751)*(VLOOKUP($B751,Lifetime_morbidity_array!$A$30:$Y$48,6)))+(SUM($AT751:$AU751)*(VLOOKUP($B751,Lifetime_morbidity_array!$A$30:$Y$48,9)))+(SUM($AT751:$AU751)*(VLOOKUP($B751,Lifetime_morbidity_array!$A$30:$Y$48,12))))</f>
        <v>49.623451797679849</v>
      </c>
      <c r="CZ751" s="316">
        <f>(SUM($AM751:$AQ751))-((SUM($AM751:$AQ751)*VLOOKUP($B751,Lifetime_morbidity_array!$A$30:$Y$48,2))+(SUM($AM751:$AQ751)*VLOOKUP($B751,Lifetime_morbidity_array!$A$30:$Y$48,5))+(SUM($AM751:$AQ751)*VLOOKUP($B751,Lifetime_morbidity_array!$A$30:$Y$48,8))+(SUM($AM751:$AQ751)*VLOOKUP($B751,Lifetime_morbidity_array!$A$30:$Y$48,11)))</f>
        <v>80.956928280091816</v>
      </c>
      <c r="DA751" s="316">
        <f>(SUM($AM751:$AQ751)*VLOOKUP($B751,Lifetime_morbidity_array!$A$30:$Y$48,2))+(SUM($AR751:$AS751)*VLOOKUP($B751,Lifetime_morbidity_array!$A$30:$Y$48,4))+(SUM($AT751:$AU751)*(VLOOKUP($B751,Lifetime_morbidity_array!$A$30:$Y$48,3)))</f>
        <v>99.885759079073381</v>
      </c>
      <c r="DB751" s="316">
        <f>(SUM($AM751:$AQ751)*VLOOKUP($B751,Lifetime_morbidity_array!$A$30:$Y$48,5))+(SUM($AR751:$AS751)*VLOOKUP($B751,Lifetime_morbidity_array!$A$30:$Y$48,7))+(SUM($AT751:$AU751)*(VLOOKUP($B751,Lifetime_morbidity_array!$A$30:$Y$48,6)))</f>
        <v>45.478542407328064</v>
      </c>
      <c r="DC751" s="316">
        <f>(SUM($AM751:$AQ751)*VLOOKUP($B751,Lifetime_morbidity_array!$A$30:$Y$48,8))+(SUM($AR751:$AS751)*VLOOKUP($B751,Lifetime_morbidity_array!$A$30:$Y$48,10))+(SUM($AT751:$AU751)*(VLOOKUP($B751,Lifetime_morbidity_array!$A$30:$Y$48,9)))</f>
        <v>3.6747045902676665</v>
      </c>
      <c r="DD751" s="317">
        <f>(SUM($AM751:$AQ751)*VLOOKUP($B751,Lifetime_morbidity_array!$A$30:$Y$48,11))+(SUM($AR751:$AS751)*VLOOKUP($B751,Lifetime_morbidity_array!$A$30:$Y$48,13))+(SUM($AT751:$AU751)*(VLOOKUP($B751,Lifetime_morbidity_array!$A$30:$Y$48,12)))</f>
        <v>44.338568134319459</v>
      </c>
      <c r="DE751" s="309"/>
      <c r="DF751" s="315">
        <f ca="1">(SUM($CN751:$CO751))-((SUM($CN751:$CO751)*VLOOKUP($B751,Lifetime_morbidity_array!$A$6:$Y$24,4))+(SUM($CN751:$CO751)*VLOOKUP($B751,Lifetime_morbidity_array!$A$6:$Y$24,7))+(SUM($CN751:$CO751)*VLOOKUP($B751,Lifetime_morbidity_array!$A$6:$Y$24,10))+(SUM($CN751:$CO751)*VLOOKUP($B751,Lifetime_morbidity_array!$A$6:$Y$24,13)))</f>
        <v>11.235250048694063</v>
      </c>
      <c r="DG751" s="316">
        <f ca="1">(SUM($CP751:$CQ751))-(((SUM($CP751:$CQ751)*VLOOKUP($B751,Lifetime_morbidity_array!$A$6:$Y$24,3))+(SUM($CP751:$CQ751)*VLOOKUP($B751,Lifetime_morbidity_array!$A$6:$Y$24,6))+(SUM($CP751:$CQ751)*VLOOKUP($B751,Lifetime_morbidity_array!$A$6:$Y$24,9))+(SUM($CP751:$CQ751)*VLOOKUP($B751,Lifetime_morbidity_array!$A$6:$Y$24,12))))</f>
        <v>54.597059011565094</v>
      </c>
      <c r="DH751" s="316">
        <f ca="1">(SUM($CI751:$CM751))-((SUM($CI751:$CM751)*VLOOKUP($B751,Lifetime_morbidity_array!$A$6:$Y$24,2))+(SUM($CI751:$CM751)*VLOOKUP($B751,Lifetime_morbidity_array!$A$6:$Y$24,5))+(SUM($CI751:$CM751)*VLOOKUP($B751,Lifetime_morbidity_array!$A$6:$Y$24,8))+(SUM($CI751:$CM751)*VLOOKUP($B751,Lifetime_morbidity_array!$A$6:$Y$24,11)))</f>
        <v>131.80727412941246</v>
      </c>
      <c r="DI751" s="316">
        <f ca="1">(SUM($CI751:$CM751)*VLOOKUP($B751,Lifetime_morbidity_array!$A$6:$Y$24,2))+(SUM($CN751:$CO751)*VLOOKUP($B751,Lifetime_morbidity_array!$A$6:$Y$24,4))+(SUM($CP751:$CQ751)*VLOOKUP($B751,Lifetime_morbidity_array!$A$6:$Y$24,3))</f>
        <v>74.232159651180567</v>
      </c>
      <c r="DJ751" s="316">
        <f ca="1">(SUM($CI751:$CM751)*VLOOKUP($B751,Lifetime_morbidity_array!$A$6:$Y$24,5))+(SUM($CN751:$CO751)*VLOOKUP($B751,Lifetime_morbidity_array!$A$6:$Y$24,7))+(SUM($CP751:$CQ751)*VLOOKUP($B751,Lifetime_morbidity_array!$A$6:$Y$24,6))</f>
        <v>32.638274491258528</v>
      </c>
      <c r="DK751" s="316">
        <f ca="1">(SUM($CI751:$CM751)*VLOOKUP($B751,Lifetime_morbidity_array!$A$6:$Y$24,8))+(SUM($CN751:$CO751)*VLOOKUP($B751,Lifetime_morbidity_array!$A$6:$Y$24,10))+(SUM($CP751:$CQ751)*VLOOKUP($B751,Lifetime_morbidity_array!$A$6:$Y$24,9))</f>
        <v>1.5275016023898114</v>
      </c>
      <c r="DL751" s="317">
        <f ca="1">(SUM($CI751:$CM751)*VLOOKUP($B751,Lifetime_morbidity_array!$A$6:$Y$24,11))+(SUM($CN751:$CO751)*VLOOKUP($B751,Lifetime_morbidity_array!$A$6:$Y$24,13))+(SUM($CP751:$CQ751)*VLOOKUP($B751,Lifetime_morbidity_array!$A$6:$Y$24,12))</f>
        <v>40.737379623871185</v>
      </c>
      <c r="DM751" s="309"/>
      <c r="DN751" s="308">
        <f t="shared" si="354"/>
        <v>85</v>
      </c>
      <c r="DO751" s="309">
        <f t="shared" ca="1" si="355"/>
        <v>35.902637622603848</v>
      </c>
      <c r="DP751" s="310">
        <f t="shared" ca="1" si="386"/>
        <v>23787.813329853965</v>
      </c>
      <c r="DQ751" s="309"/>
      <c r="DR751" s="308">
        <f t="shared" si="356"/>
        <v>85</v>
      </c>
      <c r="DS751" s="309">
        <f ca="1">((VLOOKUP($B751,'Mahawesran Tariff'!$A$21:$M$120,4)*'Experimental (DET)'!$CX751)+(VLOOKUP($B751,'Mahawesran Tariff'!$A$21:$M$120,3)*'Experimental (DET)'!$CY751)+(VLOOKUP($B751,'Mahawesran Tariff'!$A$21:$M$120,2)*'Experimental (DET)'!$CZ751)+(VLOOKUP($B751,'Mahawesran Tariff'!$A$21:$M$120,7)*'Experimental (DET)'!$DF751)+(VLOOKUP($B751,'Mahawesran Tariff'!$A$21:$M$120,6)*'Experimental (DET)'!$DG751)+(VLOOKUP($B751,'Mahawesran Tariff'!$A$21:$M$120,5)*'Experimental (DET)'!$DH751)+(DET_UTIL_chd*('Experimental (DET)'!$DA751+'Experimental (DET)'!$DI751))+(DET_UTIL_copd*('Experimental (DET)'!$DB751+'Experimental (DET)'!$DJ751))+(DET_UTIL_lc*('Experimental (DET)'!$DC751+'Experimental (DET)'!$DK751))+(DET_UTIL_stroke*('Experimental (DET)'!$DD751+'Experimental (DET)'!$DL751)))/((1+Discount_rate_QALYs)^$A751)</f>
        <v>29.49124078189444</v>
      </c>
      <c r="DT751" s="310">
        <f t="shared" ca="1" si="387"/>
        <v>23317.704255977806</v>
      </c>
      <c r="DU751" s="309"/>
      <c r="DV751" s="308">
        <f t="shared" si="357"/>
        <v>85</v>
      </c>
      <c r="DW751" s="318">
        <f t="shared" ca="1" si="358"/>
        <v>122678.59188091186</v>
      </c>
      <c r="DX751" s="319">
        <f t="shared" ca="1" si="388"/>
        <v>10699435.164248997</v>
      </c>
      <c r="DZ751" s="95">
        <f t="shared" si="359"/>
        <v>85</v>
      </c>
      <c r="EA751" s="268">
        <f t="shared" ca="1" si="304"/>
        <v>0.66843023804994894</v>
      </c>
      <c r="EB751" s="268">
        <f t="shared" ca="1" si="306"/>
        <v>0.331569761950051</v>
      </c>
      <c r="EC751" s="268">
        <f t="shared" ca="1" si="307"/>
        <v>0.34251288957968873</v>
      </c>
      <c r="ED751" s="290">
        <f t="shared" ca="1" si="308"/>
        <v>0.35934845345645566</v>
      </c>
      <c r="EF751" s="95">
        <f t="shared" si="360"/>
        <v>85</v>
      </c>
      <c r="EG751" s="339">
        <f t="shared" ca="1" si="361"/>
        <v>122678.59188091186</v>
      </c>
      <c r="EH751" s="341">
        <f t="shared" ca="1" si="389"/>
        <v>13801450.888212547</v>
      </c>
      <c r="EJ751" s="308">
        <f t="shared" si="362"/>
        <v>85</v>
      </c>
      <c r="EK751" s="318">
        <f t="shared" ca="1" si="363"/>
        <v>122678.59188091186</v>
      </c>
      <c r="EL751" s="319">
        <f t="shared" ca="1" si="390"/>
        <v>10696395.164248995</v>
      </c>
      <c r="EN751" s="95">
        <f t="shared" si="364"/>
        <v>85</v>
      </c>
      <c r="EO751" s="339">
        <f t="shared" ca="1" si="365"/>
        <v>122678.59188091186</v>
      </c>
      <c r="EP751" s="341">
        <f t="shared" ca="1" si="391"/>
        <v>13801450.888212547</v>
      </c>
    </row>
    <row r="752" spans="1:146" s="266" customFormat="1" x14ac:dyDescent="0.25">
      <c r="A752" s="313">
        <v>86</v>
      </c>
      <c r="B752" s="314">
        <v>86</v>
      </c>
      <c r="C752" s="308">
        <f>VLOOKUP($B752,'Infant adult mortality'!$A$27:$I$128,3)</f>
        <v>2.6381235458744989E-2</v>
      </c>
      <c r="D752" s="309">
        <f t="shared" si="309"/>
        <v>0.27</v>
      </c>
      <c r="E752" s="309">
        <f>VLOOKUP($B752,'Infant pick up smoking rates'!$A$19:$I$104,3)</f>
        <v>0</v>
      </c>
      <c r="F752" s="309">
        <f t="shared" si="310"/>
        <v>0.14624098391610749</v>
      </c>
      <c r="G752" s="309">
        <f t="shared" si="311"/>
        <v>0.55737778062514742</v>
      </c>
      <c r="H752" s="309">
        <f>VLOOKUP($B752,'Infant adult mortality'!$A$27:$I$128,3)</f>
        <v>2.6381235458744989E-2</v>
      </c>
      <c r="I752" s="309">
        <f t="shared" si="312"/>
        <v>0.14000000000000001</v>
      </c>
      <c r="J752" s="309">
        <f>VLOOKUP($B752,'Infant pick up smoking rates'!$A$19:$I$104,2)</f>
        <v>0</v>
      </c>
      <c r="K752" s="309">
        <f t="shared" si="313"/>
        <v>0.14624098391610749</v>
      </c>
      <c r="L752" s="309">
        <f t="shared" si="314"/>
        <v>0.68737778062514754</v>
      </c>
      <c r="M752" s="309">
        <f>VLOOKUP($B752,'Infant adult mortality'!$A$27:$I$128,3)</f>
        <v>2.6381235458744989E-2</v>
      </c>
      <c r="N752" s="309">
        <f t="shared" si="315"/>
        <v>0.5714285714285714</v>
      </c>
      <c r="O752" s="309">
        <f>VLOOKUP($B752,'Infant pick up smoking rates'!$A$19:$I$104,2)</f>
        <v>0</v>
      </c>
      <c r="P752" s="309">
        <f t="shared" si="316"/>
        <v>0.12016234480898272</v>
      </c>
      <c r="Q752" s="309">
        <f t="shared" si="317"/>
        <v>0.28202784830370092</v>
      </c>
      <c r="R752" s="309">
        <f>VLOOKUP($B752,'Infant adult mortality'!$A$27:$I$128,3)</f>
        <v>2.6381235458744989E-2</v>
      </c>
      <c r="S752" s="309">
        <f t="shared" si="318"/>
        <v>8.6261668788331098E-3</v>
      </c>
      <c r="T752" s="309">
        <f>VLOOKUP($B752,'Infant pick up smoking rates'!$A$19:$I$104,2)</f>
        <v>0</v>
      </c>
      <c r="U752" s="309">
        <f t="shared" si="319"/>
        <v>0.12016234480898272</v>
      </c>
      <c r="V752" s="309">
        <f t="shared" si="320"/>
        <v>0.84483025285343927</v>
      </c>
      <c r="W752" s="309">
        <f>VLOOKUP($B752,'Infant adult mortality'!$A$27:$I$128,3)</f>
        <v>2.6381235458744989E-2</v>
      </c>
      <c r="X752" s="309">
        <f>VLOOKUP($B752,'Infant pick up smoking rates'!$A$19:$I$104,2)</f>
        <v>0</v>
      </c>
      <c r="Y752" s="309">
        <f t="shared" si="321"/>
        <v>0.97361876454125507</v>
      </c>
      <c r="Z752" s="309">
        <f>VLOOKUP($B752,'Infant adult mortality'!$A$27:$I$128,5)</f>
        <v>3.4220499376201238E-2</v>
      </c>
      <c r="AA752" s="309">
        <f t="shared" si="322"/>
        <v>0.25</v>
      </c>
      <c r="AB752" s="309">
        <f t="shared" si="323"/>
        <v>0.7157795006237988</v>
      </c>
      <c r="AC752" s="309">
        <f>VLOOKUP($B752,'Infant adult mortality'!$A$27:$I$128,5)</f>
        <v>3.4220499376201238E-2</v>
      </c>
      <c r="AD752" s="309">
        <f t="shared" si="324"/>
        <v>0.14000000000000001</v>
      </c>
      <c r="AE752" s="309">
        <f t="shared" si="325"/>
        <v>0.82577950062379879</v>
      </c>
      <c r="AF752" s="309">
        <f>VLOOKUP($B752,'Infant adult mortality'!$A$27:$I$128,4)</f>
        <v>2.8118078362612545E-2</v>
      </c>
      <c r="AG752" s="309">
        <f t="shared" si="326"/>
        <v>0.5714285714285714</v>
      </c>
      <c r="AH752" s="309">
        <f t="shared" si="327"/>
        <v>0.40045335020881606</v>
      </c>
      <c r="AI752" s="309">
        <f>VLOOKUP($B752,'Infant adult mortality'!$A$27:$I$128,4)</f>
        <v>2.8118078362612545E-2</v>
      </c>
      <c r="AJ752" s="309">
        <f t="shared" si="328"/>
        <v>8.6261668788331098E-3</v>
      </c>
      <c r="AK752" s="309">
        <f t="shared" si="329"/>
        <v>0.96325575475855429</v>
      </c>
      <c r="AL752" s="309"/>
      <c r="AM752" s="315">
        <f t="shared" si="366"/>
        <v>0.85534974119838802</v>
      </c>
      <c r="AN752" s="316">
        <f t="shared" si="367"/>
        <v>0.27818283446543812</v>
      </c>
      <c r="AO752" s="316">
        <f t="shared" si="368"/>
        <v>4.6830171376260804E-2</v>
      </c>
      <c r="AP752" s="316">
        <f t="shared" si="369"/>
        <v>3.4923327394327841</v>
      </c>
      <c r="AQ752" s="316">
        <f t="shared" si="370"/>
        <v>118.96130927925323</v>
      </c>
      <c r="AR752" s="316">
        <f t="shared" si="371"/>
        <v>64.898338227649532</v>
      </c>
      <c r="AS752" s="316">
        <f t="shared" si="372"/>
        <v>16.920740570035772</v>
      </c>
      <c r="AT752" s="316">
        <f t="shared" si="373"/>
        <v>2.459176061041946</v>
      </c>
      <c r="AU752" s="316">
        <f t="shared" si="374"/>
        <v>104.39907881229563</v>
      </c>
      <c r="AV752" s="316">
        <f t="shared" si="375"/>
        <v>197.68866156325066</v>
      </c>
      <c r="AW752" s="317">
        <f t="shared" si="330"/>
        <v>509.99999999999966</v>
      </c>
      <c r="AX752" s="309"/>
      <c r="AY752" s="308">
        <f>VLOOKUP($B752,'Infant adult mortality'!$A$134:$I$234,3)</f>
        <v>1.9891714940823414E-2</v>
      </c>
      <c r="AZ752" s="309">
        <f t="shared" si="331"/>
        <v>0.27</v>
      </c>
      <c r="BA752" s="309">
        <f ca="1">VLOOKUP($B752,'Infant pick up smoking rates'!$A$19:$I$104,7)</f>
        <v>0</v>
      </c>
      <c r="BB752" s="309">
        <f t="shared" si="332"/>
        <v>0.14624098391610749</v>
      </c>
      <c r="BC752" s="309">
        <f t="shared" ca="1" si="333"/>
        <v>0.56386730114306904</v>
      </c>
      <c r="BD752" s="309">
        <f>VLOOKUP($B752,'Infant adult mortality'!$A$134:$I$234,3)</f>
        <v>1.9891714940823414E-2</v>
      </c>
      <c r="BE752" s="309">
        <f t="shared" si="334"/>
        <v>0.14000000000000001</v>
      </c>
      <c r="BF752" s="309">
        <f>VLOOKUP($B752,'Infant pick up smoking rates'!$A$19:$I$104,6)</f>
        <v>0</v>
      </c>
      <c r="BG752" s="309">
        <f t="shared" si="335"/>
        <v>0.14624098391610749</v>
      </c>
      <c r="BH752" s="309">
        <f t="shared" si="336"/>
        <v>0.69386730114306905</v>
      </c>
      <c r="BI752" s="309">
        <f>VLOOKUP($B752,'Infant adult mortality'!$A$134:$I$234,3)</f>
        <v>1.9891714940823414E-2</v>
      </c>
      <c r="BJ752" s="309">
        <f t="shared" si="337"/>
        <v>0.5714285714285714</v>
      </c>
      <c r="BK752" s="309">
        <f>VLOOKUP($B752,'Infant pick up smoking rates'!$A$19:$I$104,6)</f>
        <v>0</v>
      </c>
      <c r="BL752" s="309">
        <f t="shared" si="338"/>
        <v>0.12016234480898272</v>
      </c>
      <c r="BM752" s="309">
        <f t="shared" si="339"/>
        <v>0.28851736882162249</v>
      </c>
      <c r="BN752" s="309">
        <f>VLOOKUP($B752,'Infant adult mortality'!$A$134:$I$234,3)</f>
        <v>1.9891714940823414E-2</v>
      </c>
      <c r="BO752" s="309">
        <f t="shared" si="340"/>
        <v>8.6261668788331098E-3</v>
      </c>
      <c r="BP752" s="309">
        <f>VLOOKUP($B752,'Infant pick up smoking rates'!$A$19:$I$104,6)</f>
        <v>0</v>
      </c>
      <c r="BQ752" s="309">
        <f t="shared" si="341"/>
        <v>0.12016234480898272</v>
      </c>
      <c r="BR752" s="309">
        <f t="shared" si="342"/>
        <v>0.85131977337136078</v>
      </c>
      <c r="BS752" s="309">
        <f>VLOOKUP($B752,'Infant adult mortality'!$A$134:$I$234,3)</f>
        <v>1.9891714940823414E-2</v>
      </c>
      <c r="BT752" s="309">
        <f>VLOOKUP($B752,'Infant pick up smoking rates'!$A$19:$I$104,6)</f>
        <v>0</v>
      </c>
      <c r="BU752" s="309">
        <f t="shared" si="343"/>
        <v>0.98010828505917658</v>
      </c>
      <c r="BV752" s="309">
        <f>VLOOKUP($B752,'Infant adult mortality'!$A$134:$I$234,5)</f>
        <v>2.580259820615706E-2</v>
      </c>
      <c r="BW752" s="309">
        <f t="shared" si="344"/>
        <v>0.27</v>
      </c>
      <c r="BX752" s="309">
        <f t="shared" si="345"/>
        <v>0.70419740179384294</v>
      </c>
      <c r="BY752" s="309">
        <f>VLOOKUP($B752,'Infant adult mortality'!$A$134:$I$234,5)</f>
        <v>2.580259820615706E-2</v>
      </c>
      <c r="BZ752" s="309">
        <f t="shared" si="346"/>
        <v>0.14000000000000001</v>
      </c>
      <c r="CA752" s="309">
        <f t="shared" si="347"/>
        <v>0.83419740179384294</v>
      </c>
      <c r="CB752" s="309">
        <f>VLOOKUP($B752,'Infant adult mortality'!$A$134:$I$234,4)</f>
        <v>2.1201311831945242E-2</v>
      </c>
      <c r="CC752" s="309">
        <f t="shared" si="348"/>
        <v>0.5714285714285714</v>
      </c>
      <c r="CD752" s="309">
        <f t="shared" si="349"/>
        <v>0.40737011673948337</v>
      </c>
      <c r="CE752" s="309">
        <f>VLOOKUP($B752,'Infant adult mortality'!$A$134:$I$234,4)</f>
        <v>2.1201311831945242E-2</v>
      </c>
      <c r="CF752" s="309">
        <f t="shared" si="350"/>
        <v>8.6261668788331098E-3</v>
      </c>
      <c r="CG752" s="309">
        <f t="shared" si="351"/>
        <v>0.9701725212892216</v>
      </c>
      <c r="CH752" s="309"/>
      <c r="CI752" s="315">
        <f t="shared" ca="1" si="376"/>
        <v>1.2574333725121236</v>
      </c>
      <c r="CJ752" s="316">
        <f t="shared" ca="1" si="377"/>
        <v>0.40572855009163927</v>
      </c>
      <c r="CK752" s="316">
        <f t="shared" ca="1" si="378"/>
        <v>6.7791435053122837E-2</v>
      </c>
      <c r="CL752" s="316">
        <f t="shared" ca="1" si="379"/>
        <v>5.0642198202066577</v>
      </c>
      <c r="CM752" s="316">
        <f t="shared" ca="1" si="380"/>
        <v>171.68037462679237</v>
      </c>
      <c r="CN752" s="316">
        <f t="shared" ca="1" si="381"/>
        <v>53.606209378094178</v>
      </c>
      <c r="CO752" s="316">
        <f t="shared" ca="1" si="382"/>
        <v>14.969053370422339</v>
      </c>
      <c r="CP752" s="316">
        <f t="shared" ca="1" si="383"/>
        <v>2.1593621303637067</v>
      </c>
      <c r="CQ752" s="316">
        <f t="shared" ca="1" si="384"/>
        <v>90.125047862643783</v>
      </c>
      <c r="CR752" s="316">
        <f t="shared" ca="1" si="385"/>
        <v>150.6647794538203</v>
      </c>
      <c r="CS752" s="317">
        <f t="shared" ca="1" si="352"/>
        <v>490.00000000000023</v>
      </c>
      <c r="CT752" s="309"/>
      <c r="CU752" s="309">
        <f t="shared" ca="1" si="353"/>
        <v>999.99999999999989</v>
      </c>
      <c r="CV752" s="309" t="str">
        <f t="shared" ca="1" si="305"/>
        <v>OKAY</v>
      </c>
      <c r="CW752" s="309"/>
      <c r="CX752" s="315">
        <f>(SUM($AR752:$AS752))-((SUM($AR752:$AS752)*VLOOKUP($B752,Lifetime_morbidity_array!$A$30:$Y$48,4))+(SUM($AR752:$AS752)*VLOOKUP($B752,Lifetime_morbidity_array!$A$30:$Y$48,7))+(SUM($AR752:$AS752)*VLOOKUP($B752,Lifetime_morbidity_array!$A$30:$Y$48,10))+(SUM($AR752:$AS752)*VLOOKUP($B752,Lifetime_morbidity_array!$A$30:$Y$48,13)))</f>
        <v>-2.2099838614701355</v>
      </c>
      <c r="CY752" s="316">
        <f>(SUM($AT752:$AU752))-((SUM($AT752:$AU752)*(VLOOKUP($B752,Lifetime_morbidity_array!$A$30:$Y$48,3)))+(SUM($AT752:$AU752)*(VLOOKUP($B752,Lifetime_morbidity_array!$A$30:$Y$48,6)))+(SUM($AT752:$AU752)*(VLOOKUP($B752,Lifetime_morbidity_array!$A$30:$Y$48,9)))+(SUM($AT752:$AU752)*(VLOOKUP($B752,Lifetime_morbidity_array!$A$30:$Y$48,12))))</f>
        <v>48.460410396701207</v>
      </c>
      <c r="CZ752" s="316">
        <f>(SUM($AM752:$AQ752))-((SUM($AM752:$AQ752)*VLOOKUP($B752,Lifetime_morbidity_array!$A$30:$Y$48,2))+(SUM($AM752:$AQ752)*VLOOKUP($B752,Lifetime_morbidity_array!$A$30:$Y$48,5))+(SUM($AM752:$AQ752)*VLOOKUP($B752,Lifetime_morbidity_array!$A$30:$Y$48,8))+(SUM($AM752:$AQ752)*VLOOKUP($B752,Lifetime_morbidity_array!$A$30:$Y$48,11)))</f>
        <v>78.821184493117997</v>
      </c>
      <c r="DA752" s="316">
        <f>(SUM($AM752:$AQ752)*VLOOKUP($B752,Lifetime_morbidity_array!$A$30:$Y$48,2))+(SUM($AR752:$AS752)*VLOOKUP($B752,Lifetime_morbidity_array!$A$30:$Y$48,4))+(SUM($AT752:$AU752)*(VLOOKUP($B752,Lifetime_morbidity_array!$A$30:$Y$48,3)))</f>
        <v>96.816786378120838</v>
      </c>
      <c r="DB752" s="316">
        <f>(SUM($AM752:$AQ752)*VLOOKUP($B752,Lifetime_morbidity_array!$A$30:$Y$48,5))+(SUM($AR752:$AS752)*VLOOKUP($B752,Lifetime_morbidity_array!$A$30:$Y$48,7))+(SUM($AT752:$AU752)*(VLOOKUP($B752,Lifetime_morbidity_array!$A$30:$Y$48,6)))</f>
        <v>43.872614703304301</v>
      </c>
      <c r="DC752" s="316">
        <f>(SUM($AM752:$AQ752)*VLOOKUP($B752,Lifetime_morbidity_array!$A$30:$Y$48,8))+(SUM($AR752:$AS752)*VLOOKUP($B752,Lifetime_morbidity_array!$A$30:$Y$48,10))+(SUM($AT752:$AU752)*(VLOOKUP($B752,Lifetime_morbidity_array!$A$30:$Y$48,9)))</f>
        <v>3.5450679361332798</v>
      </c>
      <c r="DD752" s="317">
        <f>(SUM($AM752:$AQ752)*VLOOKUP($B752,Lifetime_morbidity_array!$A$30:$Y$48,11))+(SUM($AR752:$AS752)*VLOOKUP($B752,Lifetime_morbidity_array!$A$30:$Y$48,13))+(SUM($AT752:$AU752)*(VLOOKUP($B752,Lifetime_morbidity_array!$A$30:$Y$48,12)))</f>
        <v>43.005258390841476</v>
      </c>
      <c r="DE752" s="309"/>
      <c r="DF752" s="315">
        <f ca="1">(SUM($CN752:$CO752))-((SUM($CN752:$CO752)*VLOOKUP($B752,Lifetime_morbidity_array!$A$6:$Y$24,4))+(SUM($CN752:$CO752)*VLOOKUP($B752,Lifetime_morbidity_array!$A$6:$Y$24,7))+(SUM($CN752:$CO752)*VLOOKUP($B752,Lifetime_morbidity_array!$A$6:$Y$24,10))+(SUM($CN752:$CO752)*VLOOKUP($B752,Lifetime_morbidity_array!$A$6:$Y$24,13)))</f>
        <v>10.872232107880393</v>
      </c>
      <c r="DG752" s="316">
        <f ca="1">(SUM($CP752:$CQ752))-(((SUM($CP752:$CQ752)*VLOOKUP($B752,Lifetime_morbidity_array!$A$6:$Y$24,3))+(SUM($CP752:$CQ752)*VLOOKUP($B752,Lifetime_morbidity_array!$A$6:$Y$24,6))+(SUM($CP752:$CQ752)*VLOOKUP($B752,Lifetime_morbidity_array!$A$6:$Y$24,9))+(SUM($CP752:$CQ752)*VLOOKUP($B752,Lifetime_morbidity_array!$A$6:$Y$24,12))))</f>
        <v>53.707934917932818</v>
      </c>
      <c r="DH752" s="316">
        <f ca="1">(SUM($CI752:$CM752))-((SUM($CI752:$CM752)*VLOOKUP($B752,Lifetime_morbidity_array!$A$6:$Y$24,2))+(SUM($CI752:$CM752)*VLOOKUP($B752,Lifetime_morbidity_array!$A$6:$Y$24,5))+(SUM($CI752:$CM752)*VLOOKUP($B752,Lifetime_morbidity_array!$A$6:$Y$24,8))+(SUM($CI752:$CM752)*VLOOKUP($B752,Lifetime_morbidity_array!$A$6:$Y$24,11)))</f>
        <v>129.1854014053032</v>
      </c>
      <c r="DI752" s="316">
        <f ca="1">(SUM($CI752:$CM752)*VLOOKUP($B752,Lifetime_morbidity_array!$A$6:$Y$24,2))+(SUM($CN752:$CO752)*VLOOKUP($B752,Lifetime_morbidity_array!$A$6:$Y$24,4))+(SUM($CP752:$CQ752)*VLOOKUP($B752,Lifetime_morbidity_array!$A$6:$Y$24,3))</f>
        <v>72.50572227790704</v>
      </c>
      <c r="DJ752" s="316">
        <f ca="1">(SUM($CI752:$CM752)*VLOOKUP($B752,Lifetime_morbidity_array!$A$6:$Y$24,5))+(SUM($CN752:$CO752)*VLOOKUP($B752,Lifetime_morbidity_array!$A$6:$Y$24,7))+(SUM($CP752:$CQ752)*VLOOKUP($B752,Lifetime_morbidity_array!$A$6:$Y$24,6))</f>
        <v>31.764086916255835</v>
      </c>
      <c r="DK752" s="316">
        <f ca="1">(SUM($CI752:$CM752)*VLOOKUP($B752,Lifetime_morbidity_array!$A$6:$Y$24,8))+(SUM($CN752:$CO752)*VLOOKUP($B752,Lifetime_morbidity_array!$A$6:$Y$24,10))+(SUM($CP752:$CQ752)*VLOOKUP($B752,Lifetime_morbidity_array!$A$6:$Y$24,9))</f>
        <v>1.4856405058212721</v>
      </c>
      <c r="DL752" s="317">
        <f ca="1">(SUM($CI752:$CM752)*VLOOKUP($B752,Lifetime_morbidity_array!$A$6:$Y$24,11))+(SUM($CN752:$CO752)*VLOOKUP($B752,Lifetime_morbidity_array!$A$6:$Y$24,13))+(SUM($CP752:$CQ752)*VLOOKUP($B752,Lifetime_morbidity_array!$A$6:$Y$24,12))</f>
        <v>39.814202415079365</v>
      </c>
      <c r="DM752" s="309"/>
      <c r="DN752" s="308">
        <f t="shared" si="354"/>
        <v>86</v>
      </c>
      <c r="DO752" s="309">
        <f t="shared" ca="1" si="355"/>
        <v>33.817540913208788</v>
      </c>
      <c r="DP752" s="310">
        <f t="shared" ca="1" si="386"/>
        <v>23821.630870767174</v>
      </c>
      <c r="DQ752" s="309"/>
      <c r="DR752" s="308">
        <f t="shared" si="356"/>
        <v>86</v>
      </c>
      <c r="DS752" s="309">
        <f ca="1">((VLOOKUP($B752,'Mahawesran Tariff'!$A$21:$M$120,4)*'Experimental (DET)'!$CX752)+(VLOOKUP($B752,'Mahawesran Tariff'!$A$21:$M$120,3)*'Experimental (DET)'!$CY752)+(VLOOKUP($B752,'Mahawesran Tariff'!$A$21:$M$120,2)*'Experimental (DET)'!$CZ752)+(VLOOKUP($B752,'Mahawesran Tariff'!$A$21:$M$120,7)*'Experimental (DET)'!$DF752)+(VLOOKUP($B752,'Mahawesran Tariff'!$A$21:$M$120,6)*'Experimental (DET)'!$DG752)+(VLOOKUP($B752,'Mahawesran Tariff'!$A$21:$M$120,5)*'Experimental (DET)'!$DH752)+(DET_UTIL_chd*('Experimental (DET)'!$DA752+'Experimental (DET)'!$DI752))+(DET_UTIL_copd*('Experimental (DET)'!$DB752+'Experimental (DET)'!$DJ752))+(DET_UTIL_lc*('Experimental (DET)'!$DC752+'Experimental (DET)'!$DK752))+(DET_UTIL_stroke*('Experimental (DET)'!$DD752+'Experimental (DET)'!$DL752)))/((1+Discount_rate_QALYs)^$A752)</f>
        <v>27.78922425996435</v>
      </c>
      <c r="DT752" s="310">
        <f t="shared" ca="1" si="387"/>
        <v>23345.493480237768</v>
      </c>
      <c r="DU752" s="309"/>
      <c r="DV752" s="308">
        <f t="shared" si="357"/>
        <v>86</v>
      </c>
      <c r="DW752" s="318">
        <f t="shared" ca="1" si="358"/>
        <v>115334.83914865596</v>
      </c>
      <c r="DX752" s="319">
        <f t="shared" ca="1" si="388"/>
        <v>10814770.003397653</v>
      </c>
      <c r="DZ752" s="95">
        <f t="shared" si="359"/>
        <v>86</v>
      </c>
      <c r="EA752" s="268">
        <f t="shared" ca="1" si="304"/>
        <v>0.65164655898292889</v>
      </c>
      <c r="EB752" s="268">
        <f t="shared" ca="1" si="306"/>
        <v>0.34835344101707094</v>
      </c>
      <c r="EC752" s="268">
        <f t="shared" ca="1" si="307"/>
        <v>0.33280937952346334</v>
      </c>
      <c r="ED752" s="290">
        <f t="shared" ca="1" si="308"/>
        <v>0.34953700641254692</v>
      </c>
      <c r="EF752" s="95">
        <f t="shared" si="360"/>
        <v>86</v>
      </c>
      <c r="EG752" s="339">
        <f t="shared" ca="1" si="361"/>
        <v>115334.83914865596</v>
      </c>
      <c r="EH752" s="341">
        <f t="shared" ca="1" si="389"/>
        <v>13916785.727361202</v>
      </c>
      <c r="EJ752" s="308">
        <f t="shared" si="362"/>
        <v>86</v>
      </c>
      <c r="EK752" s="318">
        <f t="shared" ca="1" si="363"/>
        <v>115334.83914865596</v>
      </c>
      <c r="EL752" s="319">
        <f t="shared" ca="1" si="390"/>
        <v>10811730.003397651</v>
      </c>
      <c r="EN752" s="95">
        <f t="shared" si="364"/>
        <v>86</v>
      </c>
      <c r="EO752" s="339">
        <f t="shared" ca="1" si="365"/>
        <v>115334.83914865596</v>
      </c>
      <c r="EP752" s="341">
        <f t="shared" ca="1" si="391"/>
        <v>13916785.727361202</v>
      </c>
    </row>
    <row r="753" spans="1:146" s="266" customFormat="1" x14ac:dyDescent="0.25">
      <c r="A753" s="313">
        <v>87</v>
      </c>
      <c r="B753" s="314">
        <v>87</v>
      </c>
      <c r="C753" s="308">
        <f>VLOOKUP($B753,'Infant adult mortality'!$A$27:$I$128,3)</f>
        <v>2.9052900495667132E-2</v>
      </c>
      <c r="D753" s="309">
        <f t="shared" si="309"/>
        <v>0.27</v>
      </c>
      <c r="E753" s="309">
        <f>VLOOKUP($B753,'Infant pick up smoking rates'!$A$19:$I$104,3)</f>
        <v>0</v>
      </c>
      <c r="F753" s="309">
        <f t="shared" si="310"/>
        <v>0.14624098391610749</v>
      </c>
      <c r="G753" s="309">
        <f t="shared" si="311"/>
        <v>0.55470611558822536</v>
      </c>
      <c r="H753" s="309">
        <f>VLOOKUP($B753,'Infant adult mortality'!$A$27:$I$128,3)</f>
        <v>2.9052900495667132E-2</v>
      </c>
      <c r="I753" s="309">
        <f t="shared" si="312"/>
        <v>0.14000000000000001</v>
      </c>
      <c r="J753" s="309">
        <f>VLOOKUP($B753,'Infant pick up smoking rates'!$A$19:$I$104,2)</f>
        <v>0</v>
      </c>
      <c r="K753" s="309">
        <f t="shared" si="313"/>
        <v>0.14624098391610749</v>
      </c>
      <c r="L753" s="309">
        <f t="shared" si="314"/>
        <v>0.68470611558822536</v>
      </c>
      <c r="M753" s="309">
        <f>VLOOKUP($B753,'Infant adult mortality'!$A$27:$I$128,3)</f>
        <v>2.9052900495667132E-2</v>
      </c>
      <c r="N753" s="309">
        <f t="shared" si="315"/>
        <v>0.5714285714285714</v>
      </c>
      <c r="O753" s="309">
        <f>VLOOKUP($B753,'Infant pick up smoking rates'!$A$19:$I$104,2)</f>
        <v>0</v>
      </c>
      <c r="P753" s="309">
        <f t="shared" si="316"/>
        <v>0.12016234480898272</v>
      </c>
      <c r="Q753" s="309">
        <f t="shared" si="317"/>
        <v>0.2793561832667788</v>
      </c>
      <c r="R753" s="309">
        <f>VLOOKUP($B753,'Infant adult mortality'!$A$27:$I$128,3)</f>
        <v>2.9052900495667132E-2</v>
      </c>
      <c r="S753" s="309">
        <f t="shared" si="318"/>
        <v>8.6261668788331098E-3</v>
      </c>
      <c r="T753" s="309">
        <f>VLOOKUP($B753,'Infant pick up smoking rates'!$A$19:$I$104,2)</f>
        <v>0</v>
      </c>
      <c r="U753" s="309">
        <f t="shared" si="319"/>
        <v>0.12016234480898272</v>
      </c>
      <c r="V753" s="309">
        <f t="shared" si="320"/>
        <v>0.84215858781651709</v>
      </c>
      <c r="W753" s="309">
        <f>VLOOKUP($B753,'Infant adult mortality'!$A$27:$I$128,3)</f>
        <v>2.9052900495667132E-2</v>
      </c>
      <c r="X753" s="309">
        <f>VLOOKUP($B753,'Infant pick up smoking rates'!$A$19:$I$104,2)</f>
        <v>0</v>
      </c>
      <c r="Y753" s="309">
        <f t="shared" si="321"/>
        <v>0.97094709950433289</v>
      </c>
      <c r="Z753" s="309">
        <f>VLOOKUP($B753,'Infant adult mortality'!$A$27:$I$128,5)</f>
        <v>3.768605776039384E-2</v>
      </c>
      <c r="AA753" s="309">
        <f t="shared" si="322"/>
        <v>0.25</v>
      </c>
      <c r="AB753" s="309">
        <f t="shared" si="323"/>
        <v>0.7123139422396062</v>
      </c>
      <c r="AC753" s="309">
        <f>VLOOKUP($B753,'Infant adult mortality'!$A$27:$I$128,5)</f>
        <v>3.768605776039384E-2</v>
      </c>
      <c r="AD753" s="309">
        <f t="shared" si="324"/>
        <v>0.14000000000000001</v>
      </c>
      <c r="AE753" s="309">
        <f t="shared" si="325"/>
        <v>0.82231394223960619</v>
      </c>
      <c r="AF753" s="309">
        <f>VLOOKUP($B753,'Infant adult mortality'!$A$27:$I$128,4)</f>
        <v>3.0965635937552694E-2</v>
      </c>
      <c r="AG753" s="309">
        <f t="shared" si="326"/>
        <v>0.5714285714285714</v>
      </c>
      <c r="AH753" s="309">
        <f t="shared" si="327"/>
        <v>0.39760579263387591</v>
      </c>
      <c r="AI753" s="309">
        <f>VLOOKUP($B753,'Infant adult mortality'!$A$27:$I$128,4)</f>
        <v>3.0965635937552694E-2</v>
      </c>
      <c r="AJ753" s="309">
        <f t="shared" si="328"/>
        <v>8.6261668788331098E-3</v>
      </c>
      <c r="AK753" s="309">
        <f t="shared" si="329"/>
        <v>0.96040819718361425</v>
      </c>
      <c r="AL753" s="309"/>
      <c r="AM753" s="315">
        <f t="shared" si="366"/>
        <v>0.70814896336386501</v>
      </c>
      <c r="AN753" s="316">
        <f t="shared" si="367"/>
        <v>0.23094443012356478</v>
      </c>
      <c r="AO753" s="316">
        <f t="shared" si="368"/>
        <v>3.8945596825161341E-2</v>
      </c>
      <c r="AP753" s="316">
        <f t="shared" si="369"/>
        <v>2.9678581059553939</v>
      </c>
      <c r="AQ753" s="316">
        <f t="shared" si="370"/>
        <v>116.09618123111863</v>
      </c>
      <c r="AR753" s="316">
        <f t="shared" si="371"/>
        <v>62.020498554304275</v>
      </c>
      <c r="AS753" s="316">
        <f t="shared" si="372"/>
        <v>16.224584556912383</v>
      </c>
      <c r="AT753" s="316">
        <f t="shared" si="373"/>
        <v>2.3689036798050083</v>
      </c>
      <c r="AU753" s="316">
        <f t="shared" si="374"/>
        <v>101.67097453319944</v>
      </c>
      <c r="AV753" s="316">
        <f t="shared" si="375"/>
        <v>207.67296034839191</v>
      </c>
      <c r="AW753" s="317">
        <f t="shared" si="330"/>
        <v>509.99999999999966</v>
      </c>
      <c r="AX753" s="309"/>
      <c r="AY753" s="308">
        <f>VLOOKUP($B753,'Infant adult mortality'!$A$134:$I$234,3)</f>
        <v>2.2100242101358872E-2</v>
      </c>
      <c r="AZ753" s="309">
        <f t="shared" si="331"/>
        <v>0.27</v>
      </c>
      <c r="BA753" s="309">
        <f ca="1">VLOOKUP($B753,'Infant pick up smoking rates'!$A$19:$I$104,7)</f>
        <v>0</v>
      </c>
      <c r="BB753" s="309">
        <f t="shared" si="332"/>
        <v>0.14624098391610749</v>
      </c>
      <c r="BC753" s="309">
        <f t="shared" ca="1" si="333"/>
        <v>0.56165877398253361</v>
      </c>
      <c r="BD753" s="309">
        <f>VLOOKUP($B753,'Infant adult mortality'!$A$134:$I$234,3)</f>
        <v>2.2100242101358872E-2</v>
      </c>
      <c r="BE753" s="309">
        <f t="shared" si="334"/>
        <v>0.14000000000000001</v>
      </c>
      <c r="BF753" s="309">
        <f>VLOOKUP($B753,'Infant pick up smoking rates'!$A$19:$I$104,6)</f>
        <v>0</v>
      </c>
      <c r="BG753" s="309">
        <f t="shared" si="335"/>
        <v>0.14624098391610749</v>
      </c>
      <c r="BH753" s="309">
        <f t="shared" si="336"/>
        <v>0.69165877398253361</v>
      </c>
      <c r="BI753" s="309">
        <f>VLOOKUP($B753,'Infant adult mortality'!$A$134:$I$234,3)</f>
        <v>2.2100242101358872E-2</v>
      </c>
      <c r="BJ753" s="309">
        <f t="shared" si="337"/>
        <v>0.5714285714285714</v>
      </c>
      <c r="BK753" s="309">
        <f>VLOOKUP($B753,'Infant pick up smoking rates'!$A$19:$I$104,6)</f>
        <v>0</v>
      </c>
      <c r="BL753" s="309">
        <f t="shared" si="338"/>
        <v>0.12016234480898272</v>
      </c>
      <c r="BM753" s="309">
        <f t="shared" si="339"/>
        <v>0.28630884166108705</v>
      </c>
      <c r="BN753" s="309">
        <f>VLOOKUP($B753,'Infant adult mortality'!$A$134:$I$234,3)</f>
        <v>2.2100242101358872E-2</v>
      </c>
      <c r="BO753" s="309">
        <f t="shared" si="340"/>
        <v>8.6261668788331098E-3</v>
      </c>
      <c r="BP753" s="309">
        <f>VLOOKUP($B753,'Infant pick up smoking rates'!$A$19:$I$104,6)</f>
        <v>0</v>
      </c>
      <c r="BQ753" s="309">
        <f t="shared" si="341"/>
        <v>0.12016234480898272</v>
      </c>
      <c r="BR753" s="309">
        <f t="shared" si="342"/>
        <v>0.84911124621082534</v>
      </c>
      <c r="BS753" s="309">
        <f>VLOOKUP($B753,'Infant adult mortality'!$A$134:$I$234,3)</f>
        <v>2.2100242101358872E-2</v>
      </c>
      <c r="BT753" s="309">
        <f>VLOOKUP($B753,'Infant pick up smoking rates'!$A$19:$I$104,6)</f>
        <v>0</v>
      </c>
      <c r="BU753" s="309">
        <f t="shared" si="343"/>
        <v>0.97789975789864114</v>
      </c>
      <c r="BV753" s="309">
        <f>VLOOKUP($B753,'Infant adult mortality'!$A$134:$I$234,5)</f>
        <v>2.86673958930438E-2</v>
      </c>
      <c r="BW753" s="309">
        <f t="shared" si="344"/>
        <v>0.27</v>
      </c>
      <c r="BX753" s="309">
        <f t="shared" si="345"/>
        <v>0.70133260410695619</v>
      </c>
      <c r="BY753" s="309">
        <f>VLOOKUP($B753,'Infant adult mortality'!$A$134:$I$234,5)</f>
        <v>2.86673958930438E-2</v>
      </c>
      <c r="BZ753" s="309">
        <f t="shared" si="346"/>
        <v>0.14000000000000001</v>
      </c>
      <c r="CA753" s="309">
        <f t="shared" si="347"/>
        <v>0.8313326041069562</v>
      </c>
      <c r="CB753" s="309">
        <f>VLOOKUP($B753,'Infant adult mortality'!$A$134:$I$234,4)</f>
        <v>2.3555240246822002E-2</v>
      </c>
      <c r="CC753" s="309">
        <f t="shared" si="348"/>
        <v>0.5714285714285714</v>
      </c>
      <c r="CD753" s="309">
        <f t="shared" si="349"/>
        <v>0.40501618832460662</v>
      </c>
      <c r="CE753" s="309">
        <f>VLOOKUP($B753,'Infant adult mortality'!$A$134:$I$234,4)</f>
        <v>2.3555240246822002E-2</v>
      </c>
      <c r="CF753" s="309">
        <f t="shared" si="350"/>
        <v>8.6261668788331098E-3</v>
      </c>
      <c r="CG753" s="309">
        <f t="shared" si="351"/>
        <v>0.96781859287434491</v>
      </c>
      <c r="CH753" s="309"/>
      <c r="CI753" s="315">
        <f t="shared" ca="1" si="376"/>
        <v>1.0499682904207752</v>
      </c>
      <c r="CJ753" s="316">
        <f t="shared" ca="1" si="377"/>
        <v>0.33950701057827337</v>
      </c>
      <c r="CK753" s="316">
        <f t="shared" ca="1" si="378"/>
        <v>5.6801997012829501E-2</v>
      </c>
      <c r="CL753" s="316">
        <f t="shared" ca="1" si="379"/>
        <v>4.3388239655087357</v>
      </c>
      <c r="CM753" s="316">
        <f t="shared" ca="1" si="380"/>
        <v>168.74609372547977</v>
      </c>
      <c r="CN753" s="316">
        <f t="shared" ca="1" si="381"/>
        <v>51.692054860969137</v>
      </c>
      <c r="CO753" s="316">
        <f t="shared" ca="1" si="382"/>
        <v>14.473676532085429</v>
      </c>
      <c r="CP753" s="316">
        <f t="shared" ca="1" si="383"/>
        <v>2.0956674718591275</v>
      </c>
      <c r="CQ753" s="316">
        <f t="shared" ca="1" si="384"/>
        <v>88.458618222507582</v>
      </c>
      <c r="CR753" s="316">
        <f t="shared" ca="1" si="385"/>
        <v>158.74878792357859</v>
      </c>
      <c r="CS753" s="317">
        <f t="shared" ca="1" si="352"/>
        <v>490.00000000000023</v>
      </c>
      <c r="CT753" s="309"/>
      <c r="CU753" s="309">
        <f t="shared" ca="1" si="353"/>
        <v>999.99999999999989</v>
      </c>
      <c r="CV753" s="309" t="str">
        <f t="shared" ca="1" si="305"/>
        <v>OKAY</v>
      </c>
      <c r="CW753" s="309"/>
      <c r="CX753" s="315">
        <f>(SUM($AR753:$AS753))-((SUM($AR753:$AS753)*VLOOKUP($B753,Lifetime_morbidity_array!$A$30:$Y$48,4))+(SUM($AR753:$AS753)*VLOOKUP($B753,Lifetime_morbidity_array!$A$30:$Y$48,7))+(SUM($AR753:$AS753)*VLOOKUP($B753,Lifetime_morbidity_array!$A$30:$Y$48,10))+(SUM($AR753:$AS753)*VLOOKUP($B753,Lifetime_morbidity_array!$A$30:$Y$48,13)))</f>
        <v>-2.1134480301685983</v>
      </c>
      <c r="CY753" s="316">
        <f>(SUM($AT753:$AU753))-((SUM($AT753:$AU753)*(VLOOKUP($B753,Lifetime_morbidity_array!$A$30:$Y$48,3)))+(SUM($AT753:$AU753)*(VLOOKUP($B753,Lifetime_morbidity_array!$A$30:$Y$48,6)))+(SUM($AT753:$AU753)*(VLOOKUP($B753,Lifetime_morbidity_array!$A$30:$Y$48,9)))+(SUM($AT753:$AU753)*(VLOOKUP($B753,Lifetime_morbidity_array!$A$30:$Y$48,12))))</f>
        <v>47.182271522225676</v>
      </c>
      <c r="CZ753" s="316">
        <f>(SUM($AM753:$AQ753))-((SUM($AM753:$AQ753)*VLOOKUP($B753,Lifetime_morbidity_array!$A$30:$Y$48,2))+(SUM($AM753:$AQ753)*VLOOKUP($B753,Lifetime_morbidity_array!$A$30:$Y$48,5))+(SUM($AM753:$AQ753)*VLOOKUP($B753,Lifetime_morbidity_array!$A$30:$Y$48,8))+(SUM($AM753:$AQ753)*VLOOKUP($B753,Lifetime_morbidity_array!$A$30:$Y$48,11)))</f>
        <v>76.531200463088808</v>
      </c>
      <c r="DA753" s="316">
        <f>(SUM($AM753:$AQ753)*VLOOKUP($B753,Lifetime_morbidity_array!$A$30:$Y$48,2))+(SUM($AR753:$AS753)*VLOOKUP($B753,Lifetime_morbidity_array!$A$30:$Y$48,4))+(SUM($AT753:$AU753)*(VLOOKUP($B753,Lifetime_morbidity_array!$A$30:$Y$48,3)))</f>
        <v>93.551953507952632</v>
      </c>
      <c r="DB753" s="316">
        <f>(SUM($AM753:$AQ753)*VLOOKUP($B753,Lifetime_morbidity_array!$A$30:$Y$48,5))+(SUM($AR753:$AS753)*VLOOKUP($B753,Lifetime_morbidity_array!$A$30:$Y$48,7))+(SUM($AT753:$AU753)*(VLOOKUP($B753,Lifetime_morbidity_array!$A$30:$Y$48,6)))</f>
        <v>42.181885695641249</v>
      </c>
      <c r="DC753" s="316">
        <f>(SUM($AM753:$AQ753)*VLOOKUP($B753,Lifetime_morbidity_array!$A$30:$Y$48,8))+(SUM($AR753:$AS753)*VLOOKUP($B753,Lifetime_morbidity_array!$A$30:$Y$48,10))+(SUM($AT753:$AU753)*(VLOOKUP($B753,Lifetime_morbidity_array!$A$30:$Y$48,9)))</f>
        <v>3.4085756395657176</v>
      </c>
      <c r="DD753" s="317">
        <f>(SUM($AM753:$AQ753)*VLOOKUP($B753,Lifetime_morbidity_array!$A$30:$Y$48,11))+(SUM($AR753:$AS753)*VLOOKUP($B753,Lifetime_morbidity_array!$A$30:$Y$48,13))+(SUM($AT753:$AU753)*(VLOOKUP($B753,Lifetime_morbidity_array!$A$30:$Y$48,12)))</f>
        <v>41.584600853302227</v>
      </c>
      <c r="DE753" s="309"/>
      <c r="DF753" s="315">
        <f ca="1">(SUM($CN753:$CO753))-((SUM($CN753:$CO753)*VLOOKUP($B753,Lifetime_morbidity_array!$A$6:$Y$24,4))+(SUM($CN753:$CO753)*VLOOKUP($B753,Lifetime_morbidity_array!$A$6:$Y$24,7))+(SUM($CN753:$CO753)*VLOOKUP($B753,Lifetime_morbidity_array!$A$6:$Y$24,10))+(SUM($CN753:$CO753)*VLOOKUP($B753,Lifetime_morbidity_array!$A$6:$Y$24,13)))</f>
        <v>10.490214116000885</v>
      </c>
      <c r="DG753" s="316">
        <f ca="1">(SUM($CP753:$CQ753))-(((SUM($CP753:$CQ753)*VLOOKUP($B753,Lifetime_morbidity_array!$A$6:$Y$24,3))+(SUM($CP753:$CQ753)*VLOOKUP($B753,Lifetime_morbidity_array!$A$6:$Y$24,6))+(SUM($CP753:$CQ753)*VLOOKUP($B753,Lifetime_morbidity_array!$A$6:$Y$24,9))+(SUM($CP753:$CQ753)*VLOOKUP($B753,Lifetime_morbidity_array!$A$6:$Y$24,12))))</f>
        <v>52.7010324168671</v>
      </c>
      <c r="DH753" s="316">
        <f ca="1">(SUM($CI753:$CM753))-((SUM($CI753:$CM753)*VLOOKUP($B753,Lifetime_morbidity_array!$A$6:$Y$24,2))+(SUM($CI753:$CM753)*VLOOKUP($B753,Lifetime_morbidity_array!$A$6:$Y$24,5))+(SUM($CI753:$CM753)*VLOOKUP($B753,Lifetime_morbidity_array!$A$6:$Y$24,8))+(SUM($CI753:$CM753)*VLOOKUP($B753,Lifetime_morbidity_array!$A$6:$Y$24,11)))</f>
        <v>126.33037275828478</v>
      </c>
      <c r="DI753" s="316">
        <f ca="1">(SUM($CI753:$CM753)*VLOOKUP($B753,Lifetime_morbidity_array!$A$6:$Y$24,2))+(SUM($CN753:$CO753)*VLOOKUP($B753,Lifetime_morbidity_array!$A$6:$Y$24,4))+(SUM($CP753:$CQ753)*VLOOKUP($B753,Lifetime_morbidity_array!$A$6:$Y$24,3))</f>
        <v>70.642518702073701</v>
      </c>
      <c r="DJ753" s="316">
        <f ca="1">(SUM($CI753:$CM753)*VLOOKUP($B753,Lifetime_morbidity_array!$A$6:$Y$24,5))+(SUM($CN753:$CO753)*VLOOKUP($B753,Lifetime_morbidity_array!$A$6:$Y$24,7))+(SUM($CP753:$CQ753)*VLOOKUP($B753,Lifetime_morbidity_array!$A$6:$Y$24,6))</f>
        <v>30.830180978143549</v>
      </c>
      <c r="DK753" s="316">
        <f ca="1">(SUM($CI753:$CM753)*VLOOKUP($B753,Lifetime_morbidity_array!$A$6:$Y$24,8))+(SUM($CN753:$CO753)*VLOOKUP($B753,Lifetime_morbidity_array!$A$6:$Y$24,10))+(SUM($CP753:$CQ753)*VLOOKUP($B753,Lifetime_morbidity_array!$A$6:$Y$24,9))</f>
        <v>1.4410109063606265</v>
      </c>
      <c r="DL753" s="317">
        <f ca="1">(SUM($CI753:$CM753)*VLOOKUP($B753,Lifetime_morbidity_array!$A$6:$Y$24,11))+(SUM($CN753:$CO753)*VLOOKUP($B753,Lifetime_morbidity_array!$A$6:$Y$24,13))+(SUM($CP753:$CQ753)*VLOOKUP($B753,Lifetime_morbidity_array!$A$6:$Y$24,12))</f>
        <v>38.815882198691007</v>
      </c>
      <c r="DM753" s="309"/>
      <c r="DN753" s="308">
        <f t="shared" si="354"/>
        <v>87</v>
      </c>
      <c r="DO753" s="309">
        <f t="shared" ca="1" si="355"/>
        <v>31.767996719955583</v>
      </c>
      <c r="DP753" s="310">
        <f t="shared" ca="1" si="386"/>
        <v>23853.398867487129</v>
      </c>
      <c r="DQ753" s="309"/>
      <c r="DR753" s="308">
        <f t="shared" si="356"/>
        <v>87</v>
      </c>
      <c r="DS753" s="309">
        <f ca="1">((VLOOKUP($B753,'Mahawesran Tariff'!$A$21:$M$120,4)*'Experimental (DET)'!$CX753)+(VLOOKUP($B753,'Mahawesran Tariff'!$A$21:$M$120,3)*'Experimental (DET)'!$CY753)+(VLOOKUP($B753,'Mahawesran Tariff'!$A$21:$M$120,2)*'Experimental (DET)'!$CZ753)+(VLOOKUP($B753,'Mahawesran Tariff'!$A$21:$M$120,7)*'Experimental (DET)'!$DF753)+(VLOOKUP($B753,'Mahawesran Tariff'!$A$21:$M$120,6)*'Experimental (DET)'!$DG753)+(VLOOKUP($B753,'Mahawesran Tariff'!$A$21:$M$120,5)*'Experimental (DET)'!$DH753)+(DET_UTIL_chd*('Experimental (DET)'!$DA753+'Experimental (DET)'!$DI753))+(DET_UTIL_copd*('Experimental (DET)'!$DB753+'Experimental (DET)'!$DJ753))+(DET_UTIL_lc*('Experimental (DET)'!$DC753+'Experimental (DET)'!$DK753))+(DET_UTIL_stroke*('Experimental (DET)'!$DD753+'Experimental (DET)'!$DL753)))/((1+Discount_rate_QALYs)^$A753)</f>
        <v>26.115616737364885</v>
      </c>
      <c r="DT753" s="310">
        <f t="shared" ca="1" si="387"/>
        <v>23371.609096975135</v>
      </c>
      <c r="DU753" s="309"/>
      <c r="DV753" s="308">
        <f t="shared" si="357"/>
        <v>87</v>
      </c>
      <c r="DW753" s="318">
        <f t="shared" ca="1" si="358"/>
        <v>108129.08619726422</v>
      </c>
      <c r="DX753" s="319">
        <f t="shared" ca="1" si="388"/>
        <v>10922899.089594917</v>
      </c>
      <c r="DZ753" s="95">
        <f t="shared" si="359"/>
        <v>87</v>
      </c>
      <c r="EA753" s="268">
        <f t="shared" ca="1" si="304"/>
        <v>0.63357825172802928</v>
      </c>
      <c r="EB753" s="268">
        <f t="shared" ca="1" si="306"/>
        <v>0.36642174827197049</v>
      </c>
      <c r="EC753" s="268">
        <f t="shared" ca="1" si="307"/>
        <v>0.32245660848173069</v>
      </c>
      <c r="ED753" s="290">
        <f t="shared" ca="1" si="308"/>
        <v>0.3390049784116424</v>
      </c>
      <c r="EF753" s="95">
        <f t="shared" si="360"/>
        <v>87</v>
      </c>
      <c r="EG753" s="339">
        <f t="shared" ca="1" si="361"/>
        <v>108129.08619726422</v>
      </c>
      <c r="EH753" s="341">
        <f t="shared" ca="1" si="389"/>
        <v>14024914.813558467</v>
      </c>
      <c r="EJ753" s="308">
        <f t="shared" si="362"/>
        <v>87</v>
      </c>
      <c r="EK753" s="318">
        <f t="shared" ca="1" si="363"/>
        <v>108129.08619726422</v>
      </c>
      <c r="EL753" s="319">
        <f t="shared" ca="1" si="390"/>
        <v>10919859.089594916</v>
      </c>
      <c r="EN753" s="95">
        <f t="shared" si="364"/>
        <v>87</v>
      </c>
      <c r="EO753" s="339">
        <f t="shared" ca="1" si="365"/>
        <v>108129.08619726422</v>
      </c>
      <c r="EP753" s="341">
        <f t="shared" ca="1" si="391"/>
        <v>14024914.813558467</v>
      </c>
    </row>
    <row r="754" spans="1:146" s="266" customFormat="1" x14ac:dyDescent="0.25">
      <c r="A754" s="313">
        <v>88</v>
      </c>
      <c r="B754" s="314">
        <v>88</v>
      </c>
      <c r="C754" s="308">
        <f>VLOOKUP($B754,'Infant adult mortality'!$A$27:$I$128,3)</f>
        <v>3.1963524968810067E-2</v>
      </c>
      <c r="D754" s="309">
        <f t="shared" si="309"/>
        <v>0.27</v>
      </c>
      <c r="E754" s="309">
        <f>VLOOKUP($B754,'Infant pick up smoking rates'!$A$19:$I$104,3)</f>
        <v>0</v>
      </c>
      <c r="F754" s="309">
        <f t="shared" si="310"/>
        <v>0.14624098391610749</v>
      </c>
      <c r="G754" s="309">
        <f t="shared" si="311"/>
        <v>0.55179549111508241</v>
      </c>
      <c r="H754" s="309">
        <f>VLOOKUP($B754,'Infant adult mortality'!$A$27:$I$128,3)</f>
        <v>3.1963524968810067E-2</v>
      </c>
      <c r="I754" s="309">
        <f t="shared" si="312"/>
        <v>0.14000000000000001</v>
      </c>
      <c r="J754" s="309">
        <f>VLOOKUP($B754,'Infant pick up smoking rates'!$A$19:$I$104,2)</f>
        <v>0</v>
      </c>
      <c r="K754" s="309">
        <f t="shared" si="313"/>
        <v>0.14624098391610749</v>
      </c>
      <c r="L754" s="309">
        <f t="shared" si="314"/>
        <v>0.68179549111508242</v>
      </c>
      <c r="M754" s="309">
        <f>VLOOKUP($B754,'Infant adult mortality'!$A$27:$I$128,3)</f>
        <v>3.1963524968810067E-2</v>
      </c>
      <c r="N754" s="309">
        <f t="shared" si="315"/>
        <v>0.5714285714285714</v>
      </c>
      <c r="O754" s="309">
        <f>VLOOKUP($B754,'Infant pick up smoking rates'!$A$19:$I$104,2)</f>
        <v>0</v>
      </c>
      <c r="P754" s="309">
        <f t="shared" si="316"/>
        <v>0.12016234480898272</v>
      </c>
      <c r="Q754" s="309">
        <f t="shared" si="317"/>
        <v>0.27644555879363586</v>
      </c>
      <c r="R754" s="309">
        <f>VLOOKUP($B754,'Infant adult mortality'!$A$27:$I$128,3)</f>
        <v>3.1963524968810067E-2</v>
      </c>
      <c r="S754" s="309">
        <f t="shared" si="318"/>
        <v>8.6261668788331098E-3</v>
      </c>
      <c r="T754" s="309">
        <f>VLOOKUP($B754,'Infant pick up smoking rates'!$A$19:$I$104,2)</f>
        <v>0</v>
      </c>
      <c r="U754" s="309">
        <f t="shared" si="319"/>
        <v>0.12016234480898272</v>
      </c>
      <c r="V754" s="309">
        <f t="shared" si="320"/>
        <v>0.83924796334337415</v>
      </c>
      <c r="W754" s="309">
        <f>VLOOKUP($B754,'Infant adult mortality'!$A$27:$I$128,3)</f>
        <v>3.1963524968810067E-2</v>
      </c>
      <c r="X754" s="309">
        <f>VLOOKUP($B754,'Infant pick up smoking rates'!$A$19:$I$104,2)</f>
        <v>0</v>
      </c>
      <c r="Y754" s="309">
        <f t="shared" si="321"/>
        <v>0.96803647503118995</v>
      </c>
      <c r="Z754" s="309">
        <f>VLOOKUP($B754,'Infant adult mortality'!$A$27:$I$128,5)</f>
        <v>4.1461583100111277E-2</v>
      </c>
      <c r="AA754" s="309">
        <f t="shared" si="322"/>
        <v>0.25</v>
      </c>
      <c r="AB754" s="309">
        <f t="shared" si="323"/>
        <v>0.70853841689988872</v>
      </c>
      <c r="AC754" s="309">
        <f>VLOOKUP($B754,'Infant adult mortality'!$A$27:$I$128,5)</f>
        <v>4.1461583100111277E-2</v>
      </c>
      <c r="AD754" s="309">
        <f t="shared" si="324"/>
        <v>0.14000000000000001</v>
      </c>
      <c r="AE754" s="309">
        <f t="shared" si="325"/>
        <v>0.81853841689988871</v>
      </c>
      <c r="AF754" s="309">
        <f>VLOOKUP($B754,'Infant adult mortality'!$A$27:$I$128,4)</f>
        <v>3.4067885153589376E-2</v>
      </c>
      <c r="AG754" s="309">
        <f t="shared" si="326"/>
        <v>0.5714285714285714</v>
      </c>
      <c r="AH754" s="309">
        <f t="shared" si="327"/>
        <v>0.39450354341783922</v>
      </c>
      <c r="AI754" s="309">
        <f>VLOOKUP($B754,'Infant adult mortality'!$A$27:$I$128,4)</f>
        <v>3.4067885153589376E-2</v>
      </c>
      <c r="AJ754" s="309">
        <f t="shared" si="328"/>
        <v>8.6261668788331098E-3</v>
      </c>
      <c r="AK754" s="309">
        <f t="shared" si="329"/>
        <v>0.95730594796757751</v>
      </c>
      <c r="AL754" s="309"/>
      <c r="AM754" s="315">
        <f t="shared" si="366"/>
        <v>0.58457785274994123</v>
      </c>
      <c r="AN754" s="316">
        <f t="shared" si="367"/>
        <v>0.19120022010824356</v>
      </c>
      <c r="AO754" s="316">
        <f t="shared" si="368"/>
        <v>3.2332220217299069E-2</v>
      </c>
      <c r="AP754" s="316">
        <f t="shared" si="369"/>
        <v>2.5130234976724233</v>
      </c>
      <c r="AQ754" s="316">
        <f t="shared" si="370"/>
        <v>112.88397656871344</v>
      </c>
      <c r="AR754" s="316">
        <f t="shared" si="371"/>
        <v>59.035923307837628</v>
      </c>
      <c r="AS754" s="316">
        <f t="shared" si="372"/>
        <v>15.505124638576069</v>
      </c>
      <c r="AT754" s="316">
        <f t="shared" si="373"/>
        <v>2.2714418379677337</v>
      </c>
      <c r="AU754" s="316">
        <f t="shared" si="374"/>
        <v>98.683887901894778</v>
      </c>
      <c r="AV754" s="316">
        <f t="shared" si="375"/>
        <v>218.2985119542621</v>
      </c>
      <c r="AW754" s="317">
        <f t="shared" si="330"/>
        <v>509.99999999999966</v>
      </c>
      <c r="AX754" s="309"/>
      <c r="AY754" s="308">
        <f>VLOOKUP($B754,'Infant adult mortality'!$A$134:$I$234,3)</f>
        <v>2.4552560946825373E-2</v>
      </c>
      <c r="AZ754" s="309">
        <f t="shared" si="331"/>
        <v>0.27</v>
      </c>
      <c r="BA754" s="309">
        <f ca="1">VLOOKUP($B754,'Infant pick up smoking rates'!$A$19:$I$104,7)</f>
        <v>0</v>
      </c>
      <c r="BB754" s="309">
        <f t="shared" si="332"/>
        <v>0.14624098391610749</v>
      </c>
      <c r="BC754" s="309">
        <f t="shared" ca="1" si="333"/>
        <v>0.55920645513706713</v>
      </c>
      <c r="BD754" s="309">
        <f>VLOOKUP($B754,'Infant adult mortality'!$A$134:$I$234,3)</f>
        <v>2.4552560946825373E-2</v>
      </c>
      <c r="BE754" s="309">
        <f t="shared" si="334"/>
        <v>0.14000000000000001</v>
      </c>
      <c r="BF754" s="309">
        <f>VLOOKUP($B754,'Infant pick up smoking rates'!$A$19:$I$104,6)</f>
        <v>0</v>
      </c>
      <c r="BG754" s="309">
        <f t="shared" si="335"/>
        <v>0.14624098391610749</v>
      </c>
      <c r="BH754" s="309">
        <f t="shared" si="336"/>
        <v>0.68920645513706713</v>
      </c>
      <c r="BI754" s="309">
        <f>VLOOKUP($B754,'Infant adult mortality'!$A$134:$I$234,3)</f>
        <v>2.4552560946825373E-2</v>
      </c>
      <c r="BJ754" s="309">
        <f t="shared" si="337"/>
        <v>0.5714285714285714</v>
      </c>
      <c r="BK754" s="309">
        <f>VLOOKUP($B754,'Infant pick up smoking rates'!$A$19:$I$104,6)</f>
        <v>0</v>
      </c>
      <c r="BL754" s="309">
        <f t="shared" si="338"/>
        <v>0.12016234480898272</v>
      </c>
      <c r="BM754" s="309">
        <f t="shared" si="339"/>
        <v>0.28385652281562052</v>
      </c>
      <c r="BN754" s="309">
        <f>VLOOKUP($B754,'Infant adult mortality'!$A$134:$I$234,3)</f>
        <v>2.4552560946825373E-2</v>
      </c>
      <c r="BO754" s="309">
        <f t="shared" si="340"/>
        <v>8.6261668788331098E-3</v>
      </c>
      <c r="BP754" s="309">
        <f>VLOOKUP($B754,'Infant pick up smoking rates'!$A$19:$I$104,6)</f>
        <v>0</v>
      </c>
      <c r="BQ754" s="309">
        <f t="shared" si="341"/>
        <v>0.12016234480898272</v>
      </c>
      <c r="BR754" s="309">
        <f t="shared" si="342"/>
        <v>0.84665892736535886</v>
      </c>
      <c r="BS754" s="309">
        <f>VLOOKUP($B754,'Infant adult mortality'!$A$134:$I$234,3)</f>
        <v>2.4552560946825373E-2</v>
      </c>
      <c r="BT754" s="309">
        <f>VLOOKUP($B754,'Infant pick up smoking rates'!$A$19:$I$104,6)</f>
        <v>0</v>
      </c>
      <c r="BU754" s="309">
        <f t="shared" si="343"/>
        <v>0.97544743905317466</v>
      </c>
      <c r="BV754" s="309">
        <f>VLOOKUP($B754,'Infant adult mortality'!$A$134:$I$234,5)</f>
        <v>3.1848428701486999E-2</v>
      </c>
      <c r="BW754" s="309">
        <f t="shared" si="344"/>
        <v>0.27</v>
      </c>
      <c r="BX754" s="309">
        <f t="shared" si="345"/>
        <v>0.69815157129851302</v>
      </c>
      <c r="BY754" s="309">
        <f>VLOOKUP($B754,'Infant adult mortality'!$A$134:$I$234,5)</f>
        <v>3.1848428701486999E-2</v>
      </c>
      <c r="BZ754" s="309">
        <f t="shared" si="346"/>
        <v>0.14000000000000001</v>
      </c>
      <c r="CA754" s="309">
        <f t="shared" si="347"/>
        <v>0.82815157129851302</v>
      </c>
      <c r="CB754" s="309">
        <f>VLOOKUP($B754,'Infant adult mortality'!$A$134:$I$234,4)</f>
        <v>2.6169010688876154E-2</v>
      </c>
      <c r="CC754" s="309">
        <f t="shared" si="348"/>
        <v>0.5714285714285714</v>
      </c>
      <c r="CD754" s="309">
        <f t="shared" si="349"/>
        <v>0.40240241788255243</v>
      </c>
      <c r="CE754" s="309">
        <f>VLOOKUP($B754,'Infant adult mortality'!$A$134:$I$234,4)</f>
        <v>2.6169010688876154E-2</v>
      </c>
      <c r="CF754" s="309">
        <f t="shared" si="350"/>
        <v>8.6261668788331098E-3</v>
      </c>
      <c r="CG754" s="309">
        <f t="shared" si="351"/>
        <v>0.96520482243229078</v>
      </c>
      <c r="CH754" s="309"/>
      <c r="CI754" s="315">
        <f t="shared" ca="1" si="376"/>
        <v>0.87469050589276676</v>
      </c>
      <c r="CJ754" s="316">
        <f t="shared" ca="1" si="377"/>
        <v>0.28349143841360935</v>
      </c>
      <c r="CK754" s="316">
        <f t="shared" ca="1" si="378"/>
        <v>4.7530981480958273E-2</v>
      </c>
      <c r="CL754" s="316">
        <f t="shared" ca="1" si="379"/>
        <v>3.70596232867207</v>
      </c>
      <c r="CM754" s="316">
        <f t="shared" ca="1" si="380"/>
        <v>165.33433193245131</v>
      </c>
      <c r="CN754" s="316">
        <f t="shared" ca="1" si="381"/>
        <v>49.681647747759762</v>
      </c>
      <c r="CO754" s="316">
        <f t="shared" ca="1" si="382"/>
        <v>13.956854812461668</v>
      </c>
      <c r="CP754" s="316">
        <f t="shared" ca="1" si="383"/>
        <v>2.0263147144919604</v>
      </c>
      <c r="CQ754" s="316">
        <f t="shared" ca="1" si="384"/>
        <v>86.578209163695021</v>
      </c>
      <c r="CR754" s="316">
        <f t="shared" ca="1" si="385"/>
        <v>167.51096637468115</v>
      </c>
      <c r="CS754" s="317">
        <f t="shared" ca="1" si="352"/>
        <v>490.00000000000034</v>
      </c>
      <c r="CT754" s="309"/>
      <c r="CU754" s="309">
        <f t="shared" ca="1" si="353"/>
        <v>1000</v>
      </c>
      <c r="CV754" s="309" t="str">
        <f t="shared" ca="1" si="305"/>
        <v>OKAY</v>
      </c>
      <c r="CW754" s="309"/>
      <c r="CX754" s="315">
        <f>(SUM($AR754:$AS754))-((SUM($AR754:$AS754)*VLOOKUP($B754,Lifetime_morbidity_array!$A$30:$Y$48,4))+(SUM($AR754:$AS754)*VLOOKUP($B754,Lifetime_morbidity_array!$A$30:$Y$48,7))+(SUM($AR754:$AS754)*VLOOKUP($B754,Lifetime_morbidity_array!$A$30:$Y$48,10))+(SUM($AR754:$AS754)*VLOOKUP($B754,Lifetime_morbidity_array!$A$30:$Y$48,13)))</f>
        <v>-2.0133997522263201</v>
      </c>
      <c r="CY754" s="316">
        <f>(SUM($AT754:$AU754))-((SUM($AT754:$AU754)*(VLOOKUP($B754,Lifetime_morbidity_array!$A$30:$Y$48,3)))+(SUM($AT754:$AU754)*(VLOOKUP($B754,Lifetime_morbidity_array!$A$30:$Y$48,6)))+(SUM($AT754:$AU754)*(VLOOKUP($B754,Lifetime_morbidity_array!$A$30:$Y$48,9)))+(SUM($AT754:$AU754)*(VLOOKUP($B754,Lifetime_morbidity_array!$A$30:$Y$48,12))))</f>
        <v>45.78342325286026</v>
      </c>
      <c r="CZ754" s="316">
        <f>(SUM($AM754:$AQ754))-((SUM($AM754:$AQ754)*VLOOKUP($B754,Lifetime_morbidity_array!$A$30:$Y$48,2))+(SUM($AM754:$AQ754)*VLOOKUP($B754,Lifetime_morbidity_array!$A$30:$Y$48,5))+(SUM($AM754:$AQ754)*VLOOKUP($B754,Lifetime_morbidity_array!$A$30:$Y$48,8))+(SUM($AM754:$AQ754)*VLOOKUP($B754,Lifetime_morbidity_array!$A$30:$Y$48,11)))</f>
        <v>74.08499352619387</v>
      </c>
      <c r="DA754" s="316">
        <f>(SUM($AM754:$AQ754)*VLOOKUP($B754,Lifetime_morbidity_array!$A$30:$Y$48,2))+(SUM($AR754:$AS754)*VLOOKUP($B754,Lifetime_morbidity_array!$A$30:$Y$48,4))+(SUM($AT754:$AU754)*(VLOOKUP($B754,Lifetime_morbidity_array!$A$30:$Y$48,3)))</f>
        <v>90.093376078970294</v>
      </c>
      <c r="DB754" s="316">
        <f>(SUM($AM754:$AQ754)*VLOOKUP($B754,Lifetime_morbidity_array!$A$30:$Y$48,5))+(SUM($AR754:$AS754)*VLOOKUP($B754,Lifetime_morbidity_array!$A$30:$Y$48,7))+(SUM($AT754:$AU754)*(VLOOKUP($B754,Lifetime_morbidity_array!$A$30:$Y$48,6)))</f>
        <v>40.410410906871235</v>
      </c>
      <c r="DC754" s="316">
        <f>(SUM($AM754:$AQ754)*VLOOKUP($B754,Lifetime_morbidity_array!$A$30:$Y$48,8))+(SUM($AR754:$AS754)*VLOOKUP($B754,Lifetime_morbidity_array!$A$30:$Y$48,10))+(SUM($AT754:$AU754)*(VLOOKUP($B754,Lifetime_morbidity_array!$A$30:$Y$48,9)))</f>
        <v>3.2655534254898164</v>
      </c>
      <c r="DD754" s="317">
        <f>(SUM($AM754:$AQ754)*VLOOKUP($B754,Lifetime_morbidity_array!$A$30:$Y$48,11))+(SUM($AR754:$AS754)*VLOOKUP($B754,Lifetime_morbidity_array!$A$30:$Y$48,13))+(SUM($AT754:$AU754)*(VLOOKUP($B754,Lifetime_morbidity_array!$A$30:$Y$48,12)))</f>
        <v>40.077130607578397</v>
      </c>
      <c r="DE754" s="309"/>
      <c r="DF754" s="315">
        <f ca="1">(SUM($CN754:$CO754))-((SUM($CN754:$CO754)*VLOOKUP($B754,Lifetime_morbidity_array!$A$6:$Y$24,4))+(SUM($CN754:$CO754)*VLOOKUP($B754,Lifetime_morbidity_array!$A$6:$Y$24,7))+(SUM($CN754:$CO754)*VLOOKUP($B754,Lifetime_morbidity_array!$A$6:$Y$24,10))+(SUM($CN754:$CO754)*VLOOKUP($B754,Lifetime_morbidity_array!$A$6:$Y$24,13)))</f>
        <v>10.089535834080863</v>
      </c>
      <c r="DG754" s="316">
        <f ca="1">(SUM($CP754:$CQ754))-(((SUM($CP754:$CQ754)*VLOOKUP($B754,Lifetime_morbidity_array!$A$6:$Y$24,3))+(SUM($CP754:$CQ754)*VLOOKUP($B754,Lifetime_morbidity_array!$A$6:$Y$24,6))+(SUM($CP754:$CQ754)*VLOOKUP($B754,Lifetime_morbidity_array!$A$6:$Y$24,9))+(SUM($CP754:$CQ754)*VLOOKUP($B754,Lifetime_morbidity_array!$A$6:$Y$24,12))))</f>
        <v>51.566304668845675</v>
      </c>
      <c r="DH754" s="316">
        <f ca="1">(SUM($CI754:$CM754))-((SUM($CI754:$CM754)*VLOOKUP($B754,Lifetime_morbidity_array!$A$6:$Y$24,2))+(SUM($CI754:$CM754)*VLOOKUP($B754,Lifetime_morbidity_array!$A$6:$Y$24,5))+(SUM($CI754:$CM754)*VLOOKUP($B754,Lifetime_morbidity_array!$A$6:$Y$24,8))+(SUM($CI754:$CM754)*VLOOKUP($B754,Lifetime_morbidity_array!$A$6:$Y$24,11)))</f>
        <v>123.22863858170184</v>
      </c>
      <c r="DI754" s="316">
        <f ca="1">(SUM($CI754:$CM754)*VLOOKUP($B754,Lifetime_morbidity_array!$A$6:$Y$24,2))+(SUM($CN754:$CO754)*VLOOKUP($B754,Lifetime_morbidity_array!$A$6:$Y$24,4))+(SUM($CP754:$CQ754)*VLOOKUP($B754,Lifetime_morbidity_array!$A$6:$Y$24,3))</f>
        <v>68.636776804771472</v>
      </c>
      <c r="DJ754" s="316">
        <f ca="1">(SUM($CI754:$CM754)*VLOOKUP($B754,Lifetime_morbidity_array!$A$6:$Y$24,5))+(SUM($CN754:$CO754)*VLOOKUP($B754,Lifetime_morbidity_array!$A$6:$Y$24,7))+(SUM($CP754:$CQ754)*VLOOKUP($B754,Lifetime_morbidity_array!$A$6:$Y$24,6))</f>
        <v>29.835216261017294</v>
      </c>
      <c r="DK754" s="316">
        <f ca="1">(SUM($CI754:$CM754)*VLOOKUP($B754,Lifetime_morbidity_array!$A$6:$Y$24,8))+(SUM($CN754:$CO754)*VLOOKUP($B754,Lifetime_morbidity_array!$A$6:$Y$24,10))+(SUM($CP754:$CQ754)*VLOOKUP($B754,Lifetime_morbidity_array!$A$6:$Y$24,9))</f>
        <v>1.3935626090982103</v>
      </c>
      <c r="DL754" s="317">
        <f ca="1">(SUM($CI754:$CM754)*VLOOKUP($B754,Lifetime_morbidity_array!$A$6:$Y$24,11))+(SUM($CN754:$CO754)*VLOOKUP($B754,Lifetime_morbidity_array!$A$6:$Y$24,13))+(SUM($CP754:$CQ754)*VLOOKUP($B754,Lifetime_morbidity_array!$A$6:$Y$24,12))</f>
        <v>37.738998865803751</v>
      </c>
      <c r="DM754" s="309"/>
      <c r="DN754" s="308">
        <f t="shared" si="354"/>
        <v>88</v>
      </c>
      <c r="DO754" s="309">
        <f t="shared" ca="1" si="355"/>
        <v>29.754477497101611</v>
      </c>
      <c r="DP754" s="310">
        <f t="shared" ca="1" si="386"/>
        <v>23883.153344984232</v>
      </c>
      <c r="DQ754" s="309"/>
      <c r="DR754" s="308">
        <f t="shared" si="356"/>
        <v>88</v>
      </c>
      <c r="DS754" s="309">
        <f ca="1">((VLOOKUP($B754,'Mahawesran Tariff'!$A$21:$M$120,4)*'Experimental (DET)'!$CX754)+(VLOOKUP($B754,'Mahawesran Tariff'!$A$21:$M$120,3)*'Experimental (DET)'!$CY754)+(VLOOKUP($B754,'Mahawesran Tariff'!$A$21:$M$120,2)*'Experimental (DET)'!$CZ754)+(VLOOKUP($B754,'Mahawesran Tariff'!$A$21:$M$120,7)*'Experimental (DET)'!$DF754)+(VLOOKUP($B754,'Mahawesran Tariff'!$A$21:$M$120,6)*'Experimental (DET)'!$DG754)+(VLOOKUP($B754,'Mahawesran Tariff'!$A$21:$M$120,5)*'Experimental (DET)'!$DH754)+(DET_UTIL_chd*('Experimental (DET)'!$DA754+'Experimental (DET)'!$DI754))+(DET_UTIL_copd*('Experimental (DET)'!$DB754+'Experimental (DET)'!$DJ754))+(DET_UTIL_lc*('Experimental (DET)'!$DC754+'Experimental (DET)'!$DK754))+(DET_UTIL_stroke*('Experimental (DET)'!$DD754+'Experimental (DET)'!$DL754)))/((1+Discount_rate_QALYs)^$A754)</f>
        <v>24.470723300581913</v>
      </c>
      <c r="DT754" s="310">
        <f t="shared" ca="1" si="387"/>
        <v>23396.079820275718</v>
      </c>
      <c r="DU754" s="309"/>
      <c r="DV754" s="308">
        <f t="shared" si="357"/>
        <v>88</v>
      </c>
      <c r="DW754" s="318">
        <f t="shared" ca="1" si="358"/>
        <v>101064.65926578274</v>
      </c>
      <c r="DX754" s="319">
        <f t="shared" ca="1" si="388"/>
        <v>11023963.7488607</v>
      </c>
      <c r="DZ754" s="95">
        <f t="shared" si="359"/>
        <v>88</v>
      </c>
      <c r="EA754" s="268">
        <f t="shared" ca="1" si="304"/>
        <v>0.61419052167105681</v>
      </c>
      <c r="EB754" s="268">
        <f t="shared" ca="1" si="306"/>
        <v>0.38580947832894319</v>
      </c>
      <c r="EC754" s="268">
        <f t="shared" ca="1" si="307"/>
        <v>0.31145102555960053</v>
      </c>
      <c r="ED754" s="290">
        <f t="shared" ca="1" si="308"/>
        <v>0.32773940412468461</v>
      </c>
      <c r="EF754" s="95">
        <f t="shared" si="360"/>
        <v>88</v>
      </c>
      <c r="EG754" s="339">
        <f t="shared" ca="1" si="361"/>
        <v>101064.65926578274</v>
      </c>
      <c r="EH754" s="341">
        <f t="shared" ca="1" si="389"/>
        <v>14125979.472824249</v>
      </c>
      <c r="EJ754" s="308">
        <f t="shared" si="362"/>
        <v>88</v>
      </c>
      <c r="EK754" s="318">
        <f t="shared" ca="1" si="363"/>
        <v>101064.65926578274</v>
      </c>
      <c r="EL754" s="319">
        <f t="shared" ca="1" si="390"/>
        <v>11020923.748860698</v>
      </c>
      <c r="EN754" s="95">
        <f t="shared" si="364"/>
        <v>88</v>
      </c>
      <c r="EO754" s="339">
        <f t="shared" ca="1" si="365"/>
        <v>101064.65926578274</v>
      </c>
      <c r="EP754" s="341">
        <f t="shared" ca="1" si="391"/>
        <v>14125979.472824249</v>
      </c>
    </row>
    <row r="755" spans="1:146" s="266" customFormat="1" x14ac:dyDescent="0.25">
      <c r="A755" s="313">
        <v>89</v>
      </c>
      <c r="B755" s="314">
        <v>89</v>
      </c>
      <c r="C755" s="308">
        <f>VLOOKUP($B755,'Infant adult mortality'!$A$27:$I$128,3)</f>
        <v>3.5093400883433927E-2</v>
      </c>
      <c r="D755" s="309">
        <f t="shared" si="309"/>
        <v>0.27</v>
      </c>
      <c r="E755" s="309">
        <f>VLOOKUP($B755,'Infant pick up smoking rates'!$A$19:$I$104,3)</f>
        <v>0</v>
      </c>
      <c r="F755" s="309">
        <f t="shared" si="310"/>
        <v>0.14624098391610749</v>
      </c>
      <c r="G755" s="309">
        <f t="shared" si="311"/>
        <v>0.54866561520045853</v>
      </c>
      <c r="H755" s="309">
        <f>VLOOKUP($B755,'Infant adult mortality'!$A$27:$I$128,3)</f>
        <v>3.5093400883433927E-2</v>
      </c>
      <c r="I755" s="309">
        <f t="shared" si="312"/>
        <v>0.14000000000000001</v>
      </c>
      <c r="J755" s="309">
        <f>VLOOKUP($B755,'Infant pick up smoking rates'!$A$19:$I$104,2)</f>
        <v>0</v>
      </c>
      <c r="K755" s="309">
        <f t="shared" si="313"/>
        <v>0.14624098391610749</v>
      </c>
      <c r="L755" s="309">
        <f t="shared" si="314"/>
        <v>0.67866561520045854</v>
      </c>
      <c r="M755" s="309">
        <f>VLOOKUP($B755,'Infant adult mortality'!$A$27:$I$128,3)</f>
        <v>3.5093400883433927E-2</v>
      </c>
      <c r="N755" s="309">
        <f t="shared" si="315"/>
        <v>0.5714285714285714</v>
      </c>
      <c r="O755" s="309">
        <f>VLOOKUP($B755,'Infant pick up smoking rates'!$A$19:$I$104,2)</f>
        <v>0</v>
      </c>
      <c r="P755" s="309">
        <f t="shared" si="316"/>
        <v>0.12016234480898272</v>
      </c>
      <c r="Q755" s="309">
        <f t="shared" si="317"/>
        <v>0.27331568287901198</v>
      </c>
      <c r="R755" s="309">
        <f>VLOOKUP($B755,'Infant adult mortality'!$A$27:$I$128,3)</f>
        <v>3.5093400883433927E-2</v>
      </c>
      <c r="S755" s="309">
        <f t="shared" si="318"/>
        <v>8.6261668788331098E-3</v>
      </c>
      <c r="T755" s="309">
        <f>VLOOKUP($B755,'Infant pick up smoking rates'!$A$19:$I$104,2)</f>
        <v>0</v>
      </c>
      <c r="U755" s="309">
        <f t="shared" si="319"/>
        <v>0.12016234480898272</v>
      </c>
      <c r="V755" s="309">
        <f t="shared" si="320"/>
        <v>0.83611808742875027</v>
      </c>
      <c r="W755" s="309">
        <f>VLOOKUP($B755,'Infant adult mortality'!$A$27:$I$128,3)</f>
        <v>3.5093400883433927E-2</v>
      </c>
      <c r="X755" s="309">
        <f>VLOOKUP($B755,'Infant pick up smoking rates'!$A$19:$I$104,2)</f>
        <v>0</v>
      </c>
      <c r="Y755" s="309">
        <f t="shared" si="321"/>
        <v>0.96490659911656607</v>
      </c>
      <c r="Z755" s="309">
        <f>VLOOKUP($B755,'Infant adult mortality'!$A$27:$I$128,5)</f>
        <v>4.5521511110361797E-2</v>
      </c>
      <c r="AA755" s="309">
        <f t="shared" si="322"/>
        <v>0.25</v>
      </c>
      <c r="AB755" s="309">
        <f t="shared" si="323"/>
        <v>0.70447848888963815</v>
      </c>
      <c r="AC755" s="309">
        <f>VLOOKUP($B755,'Infant adult mortality'!$A$27:$I$128,5)</f>
        <v>4.5521511110361797E-2</v>
      </c>
      <c r="AD755" s="309">
        <f t="shared" si="324"/>
        <v>0.14000000000000001</v>
      </c>
      <c r="AE755" s="309">
        <f t="shared" si="325"/>
        <v>0.81447848888963814</v>
      </c>
      <c r="AF755" s="309">
        <f>VLOOKUP($B755,'Infant adult mortality'!$A$27:$I$128,4)</f>
        <v>3.7403820514549685E-2</v>
      </c>
      <c r="AG755" s="309">
        <f t="shared" si="326"/>
        <v>0.5714285714285714</v>
      </c>
      <c r="AH755" s="309">
        <f t="shared" si="327"/>
        <v>0.39116760805687889</v>
      </c>
      <c r="AI755" s="309">
        <f>VLOOKUP($B755,'Infant adult mortality'!$A$27:$I$128,4)</f>
        <v>3.7403820514549685E-2</v>
      </c>
      <c r="AJ755" s="309">
        <f t="shared" si="328"/>
        <v>8.6261668788331098E-3</v>
      </c>
      <c r="AK755" s="309">
        <f t="shared" si="329"/>
        <v>0.95397001260661718</v>
      </c>
      <c r="AL755" s="309"/>
      <c r="AM755" s="315">
        <f t="shared" si="366"/>
        <v>0.48101344512687066</v>
      </c>
      <c r="AN755" s="316">
        <f t="shared" si="367"/>
        <v>0.15783602024248414</v>
      </c>
      <c r="AO755" s="316">
        <f t="shared" si="368"/>
        <v>2.6768030815154102E-2</v>
      </c>
      <c r="AP755" s="316">
        <f t="shared" si="369"/>
        <v>2.1196599549472603</v>
      </c>
      <c r="AQ755" s="316">
        <f t="shared" si="370"/>
        <v>109.34180038578133</v>
      </c>
      <c r="AR755" s="316">
        <f t="shared" si="371"/>
        <v>55.957906683674913</v>
      </c>
      <c r="AS755" s="316">
        <f t="shared" si="372"/>
        <v>14.758980826959407</v>
      </c>
      <c r="AT755" s="316">
        <f t="shared" si="373"/>
        <v>2.1707174494006498</v>
      </c>
      <c r="AU755" s="316">
        <f t="shared" si="374"/>
        <v>95.439436550393552</v>
      </c>
      <c r="AV755" s="316">
        <f t="shared" si="375"/>
        <v>229.54588065265801</v>
      </c>
      <c r="AW755" s="317">
        <f t="shared" si="330"/>
        <v>509.9999999999996</v>
      </c>
      <c r="AX755" s="309"/>
      <c r="AY755" s="308">
        <f>VLOOKUP($B755,'Infant adult mortality'!$A$134:$I$234,3)</f>
        <v>2.7264115723100786E-2</v>
      </c>
      <c r="AZ755" s="309">
        <f t="shared" si="331"/>
        <v>0.27</v>
      </c>
      <c r="BA755" s="309">
        <f ca="1">VLOOKUP($B755,'Infant pick up smoking rates'!$A$19:$I$104,7)</f>
        <v>0</v>
      </c>
      <c r="BB755" s="309">
        <f t="shared" si="332"/>
        <v>0.14624098391610749</v>
      </c>
      <c r="BC755" s="309">
        <f t="shared" ca="1" si="333"/>
        <v>0.55649490036079163</v>
      </c>
      <c r="BD755" s="309">
        <f>VLOOKUP($B755,'Infant adult mortality'!$A$134:$I$234,3)</f>
        <v>2.7264115723100786E-2</v>
      </c>
      <c r="BE755" s="309">
        <f t="shared" si="334"/>
        <v>0.14000000000000001</v>
      </c>
      <c r="BF755" s="309">
        <f>VLOOKUP($B755,'Infant pick up smoking rates'!$A$19:$I$104,6)</f>
        <v>0</v>
      </c>
      <c r="BG755" s="309">
        <f t="shared" si="335"/>
        <v>0.14624098391610749</v>
      </c>
      <c r="BH755" s="309">
        <f t="shared" si="336"/>
        <v>0.68649490036079164</v>
      </c>
      <c r="BI755" s="309">
        <f>VLOOKUP($B755,'Infant adult mortality'!$A$134:$I$234,3)</f>
        <v>2.7264115723100786E-2</v>
      </c>
      <c r="BJ755" s="309">
        <f t="shared" si="337"/>
        <v>0.5714285714285714</v>
      </c>
      <c r="BK755" s="309">
        <f>VLOOKUP($B755,'Infant pick up smoking rates'!$A$19:$I$104,6)</f>
        <v>0</v>
      </c>
      <c r="BL755" s="309">
        <f t="shared" si="338"/>
        <v>0.12016234480898272</v>
      </c>
      <c r="BM755" s="309">
        <f t="shared" si="339"/>
        <v>0.28114496803934513</v>
      </c>
      <c r="BN755" s="309">
        <f>VLOOKUP($B755,'Infant adult mortality'!$A$134:$I$234,3)</f>
        <v>2.7264115723100786E-2</v>
      </c>
      <c r="BO755" s="309">
        <f t="shared" si="340"/>
        <v>8.6261668788331098E-3</v>
      </c>
      <c r="BP755" s="309">
        <f>VLOOKUP($B755,'Infant pick up smoking rates'!$A$19:$I$104,6)</f>
        <v>0</v>
      </c>
      <c r="BQ755" s="309">
        <f t="shared" si="341"/>
        <v>0.12016234480898272</v>
      </c>
      <c r="BR755" s="309">
        <f t="shared" si="342"/>
        <v>0.84394737258908337</v>
      </c>
      <c r="BS755" s="309">
        <f>VLOOKUP($B755,'Infant adult mortality'!$A$134:$I$234,3)</f>
        <v>2.7264115723100786E-2</v>
      </c>
      <c r="BT755" s="309">
        <f>VLOOKUP($B755,'Infant pick up smoking rates'!$A$19:$I$104,6)</f>
        <v>0</v>
      </c>
      <c r="BU755" s="309">
        <f t="shared" si="343"/>
        <v>0.97273588427689917</v>
      </c>
      <c r="BV755" s="309">
        <f>VLOOKUP($B755,'Infant adult mortality'!$A$134:$I$234,5)</f>
        <v>3.536573018174461E-2</v>
      </c>
      <c r="BW755" s="309">
        <f t="shared" si="344"/>
        <v>0.27</v>
      </c>
      <c r="BX755" s="309">
        <f t="shared" si="345"/>
        <v>0.69463426981825538</v>
      </c>
      <c r="BY755" s="309">
        <f>VLOOKUP($B755,'Infant adult mortality'!$A$134:$I$234,5)</f>
        <v>3.536573018174461E-2</v>
      </c>
      <c r="BZ755" s="309">
        <f t="shared" si="346"/>
        <v>0.14000000000000001</v>
      </c>
      <c r="CA755" s="309">
        <f t="shared" si="347"/>
        <v>0.82463426981825538</v>
      </c>
      <c r="CB755" s="309">
        <f>VLOOKUP($B755,'Infant adult mortality'!$A$134:$I$234,4)</f>
        <v>2.9059084195973972E-2</v>
      </c>
      <c r="CC755" s="309">
        <f t="shared" si="348"/>
        <v>0.5714285714285714</v>
      </c>
      <c r="CD755" s="309">
        <f t="shared" si="349"/>
        <v>0.39951234437545463</v>
      </c>
      <c r="CE755" s="309">
        <f>VLOOKUP($B755,'Infant adult mortality'!$A$134:$I$234,4)</f>
        <v>2.9059084195973972E-2</v>
      </c>
      <c r="CF755" s="309">
        <f t="shared" si="350"/>
        <v>8.6261668788331098E-3</v>
      </c>
      <c r="CG755" s="309">
        <f t="shared" si="351"/>
        <v>0.96231474892519286</v>
      </c>
      <c r="CH755" s="309"/>
      <c r="CI755" s="315">
        <f t="shared" ca="1" si="376"/>
        <v>0.72670757845335099</v>
      </c>
      <c r="CJ755" s="316">
        <f t="shared" ca="1" si="377"/>
        <v>0.23616643659104705</v>
      </c>
      <c r="CK755" s="316">
        <f t="shared" ca="1" si="378"/>
        <v>3.9688801377905314E-2</v>
      </c>
      <c r="CL755" s="316">
        <f t="shared" ca="1" si="379"/>
        <v>3.1547977310431761</v>
      </c>
      <c r="CM755" s="316">
        <f t="shared" ca="1" si="380"/>
        <v>161.44703979810544</v>
      </c>
      <c r="CN755" s="316">
        <f t="shared" ca="1" si="381"/>
        <v>47.576251706212318</v>
      </c>
      <c r="CO755" s="316">
        <f t="shared" ca="1" si="382"/>
        <v>13.414044891895136</v>
      </c>
      <c r="CP755" s="316">
        <f t="shared" ca="1" si="383"/>
        <v>1.9539596737446336</v>
      </c>
      <c r="CQ755" s="316">
        <f t="shared" ca="1" si="384"/>
        <v>84.473381736320832</v>
      </c>
      <c r="CR755" s="316">
        <f t="shared" ca="1" si="385"/>
        <v>176.9779616462564</v>
      </c>
      <c r="CS755" s="317">
        <f t="shared" ca="1" si="352"/>
        <v>490.00000000000023</v>
      </c>
      <c r="CT755" s="309"/>
      <c r="CU755" s="309">
        <f t="shared" ca="1" si="353"/>
        <v>999.99999999999977</v>
      </c>
      <c r="CV755" s="309" t="str">
        <f t="shared" ca="1" si="305"/>
        <v>OKAY</v>
      </c>
      <c r="CW755" s="309"/>
      <c r="CX755" s="315">
        <f>(SUM($AR755:$AS755))-((SUM($AR755:$AS755)*VLOOKUP($B755,Lifetime_morbidity_array!$A$30:$Y$48,4))+(SUM($AR755:$AS755)*VLOOKUP($B755,Lifetime_morbidity_array!$A$30:$Y$48,7))+(SUM($AR755:$AS755)*VLOOKUP($B755,Lifetime_morbidity_array!$A$30:$Y$48,10))+(SUM($AR755:$AS755)*VLOOKUP($B755,Lifetime_morbidity_array!$A$30:$Y$48,13)))</f>
        <v>-1.9101068165084456</v>
      </c>
      <c r="CY755" s="316">
        <f>(SUM($AT755:$AU755))-((SUM($AT755:$AU755)*(VLOOKUP($B755,Lifetime_morbidity_array!$A$30:$Y$48,3)))+(SUM($AT755:$AU755)*(VLOOKUP($B755,Lifetime_morbidity_array!$A$30:$Y$48,6)))+(SUM($AT755:$AU755)*(VLOOKUP($B755,Lifetime_morbidity_array!$A$30:$Y$48,9)))+(SUM($AT755:$AU755)*(VLOOKUP($B755,Lifetime_morbidity_array!$A$30:$Y$48,12))))</f>
        <v>44.266380050115174</v>
      </c>
      <c r="CZ755" s="316">
        <f>(SUM($AM755:$AQ755))-((SUM($AM755:$AQ755)*VLOOKUP($B755,Lifetime_morbidity_array!$A$30:$Y$48,2))+(SUM($AM755:$AQ755)*VLOOKUP($B755,Lifetime_morbidity_array!$A$30:$Y$48,5))+(SUM($AM755:$AQ755)*VLOOKUP($B755,Lifetime_morbidity_array!$A$30:$Y$48,8))+(SUM($AM755:$AQ755)*VLOOKUP($B755,Lifetime_morbidity_array!$A$30:$Y$48,11)))</f>
        <v>71.485099148932534</v>
      </c>
      <c r="DA755" s="316">
        <f>(SUM($AM755:$AQ755)*VLOOKUP($B755,Lifetime_morbidity_array!$A$30:$Y$48,2))+(SUM($AR755:$AS755)*VLOOKUP($B755,Lifetime_morbidity_array!$A$30:$Y$48,4))+(SUM($AT755:$AU755)*(VLOOKUP($B755,Lifetime_morbidity_array!$A$30:$Y$48,3)))</f>
        <v>86.448071260843207</v>
      </c>
      <c r="DB755" s="316">
        <f>(SUM($AM755:$AQ755)*VLOOKUP($B755,Lifetime_morbidity_array!$A$30:$Y$48,5))+(SUM($AR755:$AS755)*VLOOKUP($B755,Lifetime_morbidity_array!$A$30:$Y$48,7))+(SUM($AT755:$AU755)*(VLOOKUP($B755,Lifetime_morbidity_array!$A$30:$Y$48,6)))</f>
        <v>38.56254190660102</v>
      </c>
      <c r="DC755" s="316">
        <f>(SUM($AM755:$AQ755)*VLOOKUP($B755,Lifetime_morbidity_array!$A$30:$Y$48,8))+(SUM($AR755:$AS755)*VLOOKUP($B755,Lifetime_morbidity_array!$A$30:$Y$48,10))+(SUM($AT755:$AU755)*(VLOOKUP($B755,Lifetime_morbidity_array!$A$30:$Y$48,9)))</f>
        <v>3.1163523232508608</v>
      </c>
      <c r="DD755" s="317">
        <f>(SUM($AM755:$AQ755)*VLOOKUP($B755,Lifetime_morbidity_array!$A$30:$Y$48,11))+(SUM($AR755:$AS755)*VLOOKUP($B755,Lifetime_morbidity_array!$A$30:$Y$48,13))+(SUM($AT755:$AU755)*(VLOOKUP($B755,Lifetime_morbidity_array!$A$30:$Y$48,12)))</f>
        <v>38.485781474107249</v>
      </c>
      <c r="DE755" s="309"/>
      <c r="DF755" s="315">
        <f ca="1">(SUM($CN755:$CO755))-((SUM($CN755:$CO755)*VLOOKUP($B755,Lifetime_morbidity_array!$A$6:$Y$24,4))+(SUM($CN755:$CO755)*VLOOKUP($B755,Lifetime_morbidity_array!$A$6:$Y$24,7))+(SUM($CN755:$CO755)*VLOOKUP($B755,Lifetime_morbidity_array!$A$6:$Y$24,10))+(SUM($CN755:$CO755)*VLOOKUP($B755,Lifetime_morbidity_array!$A$6:$Y$24,13)))</f>
        <v>9.6696772912829587</v>
      </c>
      <c r="DG755" s="316">
        <f ca="1">(SUM($CP755:$CQ755))-(((SUM($CP755:$CQ755)*VLOOKUP($B755,Lifetime_morbidity_array!$A$6:$Y$24,3))+(SUM($CP755:$CQ755)*VLOOKUP($B755,Lifetime_morbidity_array!$A$6:$Y$24,6))+(SUM($CP755:$CQ755)*VLOOKUP($B755,Lifetime_morbidity_array!$A$6:$Y$24,9))+(SUM($CP755:$CQ755)*VLOOKUP($B755,Lifetime_morbidity_array!$A$6:$Y$24,12))))</f>
        <v>50.299222023887609</v>
      </c>
      <c r="DH755" s="316">
        <f ca="1">(SUM($CI755:$CM755))-((SUM($CI755:$CM755)*VLOOKUP($B755,Lifetime_morbidity_array!$A$6:$Y$24,2))+(SUM($CI755:$CM755)*VLOOKUP($B755,Lifetime_morbidity_array!$A$6:$Y$24,5))+(SUM($CI755:$CM755)*VLOOKUP($B755,Lifetime_morbidity_array!$A$6:$Y$24,8))+(SUM($CI755:$CM755)*VLOOKUP($B755,Lifetime_morbidity_array!$A$6:$Y$24,11)))</f>
        <v>119.86891871901017</v>
      </c>
      <c r="DI755" s="316">
        <f ca="1">(SUM($CI755:$CM755)*VLOOKUP($B755,Lifetime_morbidity_array!$A$6:$Y$24,2))+(SUM($CN755:$CO755)*VLOOKUP($B755,Lifetime_morbidity_array!$A$6:$Y$24,4))+(SUM($CP755:$CQ755)*VLOOKUP($B755,Lifetime_morbidity_array!$A$6:$Y$24,3))</f>
        <v>66.483203674597348</v>
      </c>
      <c r="DJ755" s="316">
        <f ca="1">(SUM($CI755:$CM755)*VLOOKUP($B755,Lifetime_morbidity_array!$A$6:$Y$24,5))+(SUM($CN755:$CO755)*VLOOKUP($B755,Lifetime_morbidity_array!$A$6:$Y$24,7))+(SUM($CP755:$CQ755)*VLOOKUP($B755,Lifetime_morbidity_array!$A$6:$Y$24,6))</f>
        <v>28.777241612893224</v>
      </c>
      <c r="DK755" s="316">
        <f ca="1">(SUM($CI755:$CM755)*VLOOKUP($B755,Lifetime_morbidity_array!$A$6:$Y$24,8))+(SUM($CN755:$CO755)*VLOOKUP($B755,Lifetime_morbidity_array!$A$6:$Y$24,10))+(SUM($CP755:$CQ755)*VLOOKUP($B755,Lifetime_morbidity_array!$A$6:$Y$24,9))</f>
        <v>1.3432065155663746</v>
      </c>
      <c r="DL755" s="317">
        <f ca="1">(SUM($CI755:$CM755)*VLOOKUP($B755,Lifetime_morbidity_array!$A$6:$Y$24,11))+(SUM($CN755:$CO755)*VLOOKUP($B755,Lifetime_morbidity_array!$A$6:$Y$24,13))+(SUM($CP755:$CQ755)*VLOOKUP($B755,Lifetime_morbidity_array!$A$6:$Y$24,12))</f>
        <v>36.580568516506176</v>
      </c>
      <c r="DM755" s="309"/>
      <c r="DN755" s="308">
        <f t="shared" si="354"/>
        <v>89</v>
      </c>
      <c r="DO755" s="309">
        <f t="shared" ca="1" si="355"/>
        <v>27.778714529925423</v>
      </c>
      <c r="DP755" s="310">
        <f t="shared" ca="1" si="386"/>
        <v>23910.932059514158</v>
      </c>
      <c r="DQ755" s="309"/>
      <c r="DR755" s="308">
        <f t="shared" si="356"/>
        <v>89</v>
      </c>
      <c r="DS755" s="309">
        <f ca="1">((VLOOKUP($B755,'Mahawesran Tariff'!$A$21:$M$120,4)*'Experimental (DET)'!$CX755)+(VLOOKUP($B755,'Mahawesran Tariff'!$A$21:$M$120,3)*'Experimental (DET)'!$CY755)+(VLOOKUP($B755,'Mahawesran Tariff'!$A$21:$M$120,2)*'Experimental (DET)'!$CZ755)+(VLOOKUP($B755,'Mahawesran Tariff'!$A$21:$M$120,7)*'Experimental (DET)'!$DF755)+(VLOOKUP($B755,'Mahawesran Tariff'!$A$21:$M$120,6)*'Experimental (DET)'!$DG755)+(VLOOKUP($B755,'Mahawesran Tariff'!$A$21:$M$120,5)*'Experimental (DET)'!$DH755)+(DET_UTIL_chd*('Experimental (DET)'!$DA755+'Experimental (DET)'!$DI755))+(DET_UTIL_copd*('Experimental (DET)'!$DB755+'Experimental (DET)'!$DJ755))+(DET_UTIL_lc*('Experimental (DET)'!$DC755+'Experimental (DET)'!$DK755))+(DET_UTIL_stroke*('Experimental (DET)'!$DD755+'Experimental (DET)'!$DL755)))/((1+Discount_rate_QALYs)^$A755)</f>
        <v>22.855952658210764</v>
      </c>
      <c r="DT755" s="310">
        <f t="shared" ca="1" si="387"/>
        <v>23418.935772933928</v>
      </c>
      <c r="DU755" s="309"/>
      <c r="DV755" s="308">
        <f t="shared" si="357"/>
        <v>89</v>
      </c>
      <c r="DW755" s="318">
        <f t="shared" ca="1" si="358"/>
        <v>94147.790671551964</v>
      </c>
      <c r="DX755" s="319">
        <f t="shared" ca="1" si="388"/>
        <v>11118111.539532252</v>
      </c>
      <c r="DZ755" s="95">
        <f t="shared" si="359"/>
        <v>89</v>
      </c>
      <c r="EA755" s="268">
        <f t="shared" ca="1" si="304"/>
        <v>0.59347615770108542</v>
      </c>
      <c r="EB755" s="268">
        <f t="shared" ca="1" si="306"/>
        <v>0.40652384229891442</v>
      </c>
      <c r="EC755" s="268">
        <f t="shared" ca="1" si="307"/>
        <v>0.29979696728436545</v>
      </c>
      <c r="ED755" s="290">
        <f t="shared" ca="1" si="308"/>
        <v>0.31574467951860147</v>
      </c>
      <c r="EF755" s="95">
        <f t="shared" si="360"/>
        <v>89</v>
      </c>
      <c r="EG755" s="339">
        <f t="shared" ca="1" si="361"/>
        <v>94147.790671551964</v>
      </c>
      <c r="EH755" s="341">
        <f t="shared" ca="1" si="389"/>
        <v>14220127.263495801</v>
      </c>
      <c r="EJ755" s="308">
        <f t="shared" si="362"/>
        <v>89</v>
      </c>
      <c r="EK755" s="318">
        <f t="shared" ca="1" si="363"/>
        <v>94147.790671551964</v>
      </c>
      <c r="EL755" s="319">
        <f t="shared" ca="1" si="390"/>
        <v>11115071.53953225</v>
      </c>
      <c r="EN755" s="95">
        <f t="shared" si="364"/>
        <v>89</v>
      </c>
      <c r="EO755" s="339">
        <f t="shared" ca="1" si="365"/>
        <v>94147.790671551964</v>
      </c>
      <c r="EP755" s="341">
        <f t="shared" ca="1" si="391"/>
        <v>14220127.263495801</v>
      </c>
    </row>
    <row r="756" spans="1:146" s="266" customFormat="1" x14ac:dyDescent="0.25">
      <c r="A756" s="313">
        <v>90</v>
      </c>
      <c r="B756" s="314">
        <v>90</v>
      </c>
      <c r="C756" s="308">
        <f>VLOOKUP($B756,'Infant adult mortality'!$A$27:$I$128,3)</f>
        <v>3.8455414236099404E-2</v>
      </c>
      <c r="D756" s="309">
        <f t="shared" si="309"/>
        <v>0.27</v>
      </c>
      <c r="E756" s="309">
        <f>VLOOKUP($B756,'Infant pick up smoking rates'!$A$19:$I$104,3)</f>
        <v>0</v>
      </c>
      <c r="F756" s="309">
        <f t="shared" si="310"/>
        <v>0.14624098391610749</v>
      </c>
      <c r="G756" s="309">
        <f t="shared" si="311"/>
        <v>0.54530360184779303</v>
      </c>
      <c r="H756" s="309">
        <f>VLOOKUP($B756,'Infant adult mortality'!$A$27:$I$128,3)</f>
        <v>3.8455414236099404E-2</v>
      </c>
      <c r="I756" s="309">
        <f t="shared" si="312"/>
        <v>0.14000000000000001</v>
      </c>
      <c r="J756" s="309">
        <f>VLOOKUP($B756,'Infant pick up smoking rates'!$A$19:$I$104,2)</f>
        <v>0</v>
      </c>
      <c r="K756" s="309">
        <f t="shared" si="313"/>
        <v>0.14624098391610749</v>
      </c>
      <c r="L756" s="309">
        <f t="shared" si="314"/>
        <v>0.67530360184779303</v>
      </c>
      <c r="M756" s="309">
        <f>VLOOKUP($B756,'Infant adult mortality'!$A$27:$I$128,3)</f>
        <v>3.8455414236099404E-2</v>
      </c>
      <c r="N756" s="309">
        <f t="shared" si="315"/>
        <v>0.5714285714285714</v>
      </c>
      <c r="O756" s="309">
        <f>VLOOKUP($B756,'Infant pick up smoking rates'!$A$19:$I$104,2)</f>
        <v>0</v>
      </c>
      <c r="P756" s="309">
        <f t="shared" si="316"/>
        <v>0.12016234480898272</v>
      </c>
      <c r="Q756" s="309">
        <f t="shared" si="317"/>
        <v>0.26995366952634653</v>
      </c>
      <c r="R756" s="309">
        <f>VLOOKUP($B756,'Infant adult mortality'!$A$27:$I$128,3)</f>
        <v>3.8455414236099404E-2</v>
      </c>
      <c r="S756" s="309">
        <f t="shared" si="318"/>
        <v>8.6261668788331098E-3</v>
      </c>
      <c r="T756" s="309">
        <f>VLOOKUP($B756,'Infant pick up smoking rates'!$A$19:$I$104,2)</f>
        <v>0</v>
      </c>
      <c r="U756" s="309">
        <f t="shared" si="319"/>
        <v>0.12016234480898272</v>
      </c>
      <c r="V756" s="309">
        <f t="shared" si="320"/>
        <v>0.83275607407608476</v>
      </c>
      <c r="W756" s="309">
        <f>VLOOKUP($B756,'Infant adult mortality'!$A$27:$I$128,3)</f>
        <v>3.8455414236099404E-2</v>
      </c>
      <c r="X756" s="309">
        <f>VLOOKUP($B756,'Infant pick up smoking rates'!$A$19:$I$104,2)</f>
        <v>0</v>
      </c>
      <c r="Y756" s="309">
        <f t="shared" si="321"/>
        <v>0.96154458576390056</v>
      </c>
      <c r="Z756" s="309">
        <f>VLOOKUP($B756,'Infant adult mortality'!$A$27:$I$128,5)</f>
        <v>4.9882556900563105E-2</v>
      </c>
      <c r="AA756" s="309">
        <f t="shared" si="322"/>
        <v>0.25</v>
      </c>
      <c r="AB756" s="309">
        <f t="shared" si="323"/>
        <v>0.70011744309943691</v>
      </c>
      <c r="AC756" s="309">
        <f>VLOOKUP($B756,'Infant adult mortality'!$A$27:$I$128,5)</f>
        <v>4.9882556900563105E-2</v>
      </c>
      <c r="AD756" s="309">
        <f t="shared" si="324"/>
        <v>0.14000000000000001</v>
      </c>
      <c r="AE756" s="309">
        <f t="shared" si="325"/>
        <v>0.8101174430994369</v>
      </c>
      <c r="AF756" s="309">
        <f>VLOOKUP($B756,'Infant adult mortality'!$A$27:$I$128,4)</f>
        <v>4.0987176383315914E-2</v>
      </c>
      <c r="AG756" s="309">
        <f t="shared" si="326"/>
        <v>0.5714285714285714</v>
      </c>
      <c r="AH756" s="309">
        <f t="shared" si="327"/>
        <v>0.38758425218811271</v>
      </c>
      <c r="AI756" s="309">
        <f>VLOOKUP($B756,'Infant adult mortality'!$A$27:$I$128,4)</f>
        <v>4.0987176383315914E-2</v>
      </c>
      <c r="AJ756" s="309">
        <f t="shared" si="328"/>
        <v>8.6261668788331098E-3</v>
      </c>
      <c r="AK756" s="309">
        <f t="shared" si="329"/>
        <v>0.95038665673785094</v>
      </c>
      <c r="AL756" s="309"/>
      <c r="AM756" s="315">
        <f t="shared" si="366"/>
        <v>0.39439626577826914</v>
      </c>
      <c r="AN756" s="316">
        <f t="shared" si="367"/>
        <v>0.1298736301842551</v>
      </c>
      <c r="AO756" s="316">
        <f t="shared" si="368"/>
        <v>2.209704283394778E-2</v>
      </c>
      <c r="AP756" s="316">
        <f t="shared" si="369"/>
        <v>1.7804557200668307</v>
      </c>
      <c r="AQ756" s="316">
        <f t="shared" si="370"/>
        <v>105.48836195274792</v>
      </c>
      <c r="AR756" s="316">
        <f t="shared" si="371"/>
        <v>52.798226764704474</v>
      </c>
      <c r="AS756" s="316">
        <f t="shared" si="372"/>
        <v>13.989476670918728</v>
      </c>
      <c r="AT756" s="316">
        <f t="shared" si="373"/>
        <v>2.0662573157743171</v>
      </c>
      <c r="AU756" s="316">
        <f t="shared" si="374"/>
        <v>91.944776995158861</v>
      </c>
      <c r="AV756" s="316">
        <f t="shared" si="375"/>
        <v>241.38607764183197</v>
      </c>
      <c r="AW756" s="317">
        <f t="shared" si="330"/>
        <v>509.99999999999955</v>
      </c>
      <c r="AX756" s="309"/>
      <c r="AY756" s="308">
        <f>VLOOKUP($B756,'Infant adult mortality'!$A$134:$I$234,3)</f>
        <v>3.0253287925279027E-2</v>
      </c>
      <c r="AZ756" s="309">
        <f t="shared" si="331"/>
        <v>0.27</v>
      </c>
      <c r="BA756" s="309">
        <f ca="1">VLOOKUP($B756,'Infant pick up smoking rates'!$A$19:$I$104,7)</f>
        <v>0</v>
      </c>
      <c r="BB756" s="309">
        <f t="shared" si="332"/>
        <v>0.14624098391610749</v>
      </c>
      <c r="BC756" s="309">
        <f t="shared" ca="1" si="333"/>
        <v>0.55350572815861343</v>
      </c>
      <c r="BD756" s="309">
        <f>VLOOKUP($B756,'Infant adult mortality'!$A$134:$I$234,3)</f>
        <v>3.0253287925279027E-2</v>
      </c>
      <c r="BE756" s="309">
        <f t="shared" si="334"/>
        <v>0.14000000000000001</v>
      </c>
      <c r="BF756" s="309">
        <f>VLOOKUP($B756,'Infant pick up smoking rates'!$A$19:$I$104,6)</f>
        <v>0</v>
      </c>
      <c r="BG756" s="309">
        <f t="shared" si="335"/>
        <v>0.14624098391610749</v>
      </c>
      <c r="BH756" s="309">
        <f t="shared" si="336"/>
        <v>0.68350572815861343</v>
      </c>
      <c r="BI756" s="309">
        <f>VLOOKUP($B756,'Infant adult mortality'!$A$134:$I$234,3)</f>
        <v>3.0253287925279027E-2</v>
      </c>
      <c r="BJ756" s="309">
        <f t="shared" si="337"/>
        <v>0.5714285714285714</v>
      </c>
      <c r="BK756" s="309">
        <f>VLOOKUP($B756,'Infant pick up smoking rates'!$A$19:$I$104,6)</f>
        <v>0</v>
      </c>
      <c r="BL756" s="309">
        <f t="shared" si="338"/>
        <v>0.12016234480898272</v>
      </c>
      <c r="BM756" s="309">
        <f t="shared" si="339"/>
        <v>0.27815579583716687</v>
      </c>
      <c r="BN756" s="309">
        <f>VLOOKUP($B756,'Infant adult mortality'!$A$134:$I$234,3)</f>
        <v>3.0253287925279027E-2</v>
      </c>
      <c r="BO756" s="309">
        <f t="shared" si="340"/>
        <v>8.6261668788331098E-3</v>
      </c>
      <c r="BP756" s="309">
        <f>VLOOKUP($B756,'Infant pick up smoking rates'!$A$19:$I$104,6)</f>
        <v>0</v>
      </c>
      <c r="BQ756" s="309">
        <f t="shared" si="341"/>
        <v>0.12016234480898272</v>
      </c>
      <c r="BR756" s="309">
        <f t="shared" si="342"/>
        <v>0.84095820038690516</v>
      </c>
      <c r="BS756" s="309">
        <f>VLOOKUP($B756,'Infant adult mortality'!$A$134:$I$234,3)</f>
        <v>3.0253287925279027E-2</v>
      </c>
      <c r="BT756" s="309">
        <f>VLOOKUP($B756,'Infant pick up smoking rates'!$A$19:$I$104,6)</f>
        <v>0</v>
      </c>
      <c r="BU756" s="309">
        <f t="shared" si="343"/>
        <v>0.96974671207472096</v>
      </c>
      <c r="BV756" s="309">
        <f>VLOOKUP($B756,'Infant adult mortality'!$A$134:$I$234,5)</f>
        <v>3.9243143945780087E-2</v>
      </c>
      <c r="BW756" s="309">
        <f t="shared" si="344"/>
        <v>0.27</v>
      </c>
      <c r="BX756" s="309">
        <f t="shared" si="345"/>
        <v>0.69075685605421988</v>
      </c>
      <c r="BY756" s="309">
        <f>VLOOKUP($B756,'Infant adult mortality'!$A$134:$I$234,5)</f>
        <v>3.9243143945780087E-2</v>
      </c>
      <c r="BZ756" s="309">
        <f t="shared" si="346"/>
        <v>0.14000000000000001</v>
      </c>
      <c r="CA756" s="309">
        <f t="shared" si="347"/>
        <v>0.82075685605421989</v>
      </c>
      <c r="CB756" s="309">
        <f>VLOOKUP($B756,'Infant adult mortality'!$A$134:$I$234,4)</f>
        <v>3.224505243281519E-2</v>
      </c>
      <c r="CC756" s="309">
        <f t="shared" si="348"/>
        <v>0.5714285714285714</v>
      </c>
      <c r="CD756" s="309">
        <f t="shared" si="349"/>
        <v>0.39632637613861343</v>
      </c>
      <c r="CE756" s="309">
        <f>VLOOKUP($B756,'Infant adult mortality'!$A$134:$I$234,4)</f>
        <v>3.224505243281519E-2</v>
      </c>
      <c r="CF756" s="309">
        <f t="shared" si="350"/>
        <v>8.6261668788331098E-3</v>
      </c>
      <c r="CG756" s="309">
        <f t="shared" si="351"/>
        <v>0.95912878068835172</v>
      </c>
      <c r="CH756" s="309"/>
      <c r="CI756" s="315">
        <f t="shared" ca="1" si="376"/>
        <v>0.60191140140903032</v>
      </c>
      <c r="CJ756" s="316">
        <f t="shared" ca="1" si="377"/>
        <v>0.19621104618240479</v>
      </c>
      <c r="CK756" s="316">
        <f t="shared" ca="1" si="378"/>
        <v>3.3063301122746587E-2</v>
      </c>
      <c r="CL756" s="316">
        <f t="shared" ca="1" si="379"/>
        <v>2.6757323375558495</v>
      </c>
      <c r="CM756" s="316">
        <f t="shared" ca="1" si="380"/>
        <v>157.08740465395314</v>
      </c>
      <c r="CN756" s="316">
        <f t="shared" ca="1" si="381"/>
        <v>45.376378608162526</v>
      </c>
      <c r="CO756" s="316">
        <f t="shared" ca="1" si="382"/>
        <v>12.845587960677326</v>
      </c>
      <c r="CP756" s="316">
        <f t="shared" ca="1" si="383"/>
        <v>1.8779662848653191</v>
      </c>
      <c r="CQ756" s="316">
        <f t="shared" ca="1" si="384"/>
        <v>82.137400010376012</v>
      </c>
      <c r="CR756" s="316">
        <f t="shared" ca="1" si="385"/>
        <v>187.16834439569587</v>
      </c>
      <c r="CS756" s="317">
        <f t="shared" ca="1" si="352"/>
        <v>490.00000000000023</v>
      </c>
      <c r="CT756" s="309"/>
      <c r="CU756" s="309">
        <f t="shared" ca="1" si="353"/>
        <v>999.99999999999977</v>
      </c>
      <c r="CV756" s="309" t="str">
        <f t="shared" ca="1" si="305"/>
        <v>OKAY</v>
      </c>
      <c r="CW756" s="309"/>
      <c r="CX756" s="315">
        <f>(SUM($AR756:$AS756))-((SUM($AR756:$AS756)*VLOOKUP($B756,Lifetime_morbidity_array!$A$30:$Y$48,4))+(SUM($AR756:$AS756)*VLOOKUP($B756,Lifetime_morbidity_array!$A$30:$Y$48,7))+(SUM($AR756:$AS756)*VLOOKUP($B756,Lifetime_morbidity_array!$A$30:$Y$48,10))+(SUM($AR756:$AS756)*VLOOKUP($B756,Lifetime_morbidity_array!$A$30:$Y$48,13)))</f>
        <v>-1.8039771274173262</v>
      </c>
      <c r="CY756" s="316">
        <f>(SUM($AT756:$AU756))-((SUM($AT756:$AU756)*(VLOOKUP($B756,Lifetime_morbidity_array!$A$30:$Y$48,3)))+(SUM($AT756:$AU756)*(VLOOKUP($B756,Lifetime_morbidity_array!$A$30:$Y$48,6)))+(SUM($AT756:$AU756)*(VLOOKUP($B756,Lifetime_morbidity_array!$A$30:$Y$48,9)))+(SUM($AT756:$AU756)*(VLOOKUP($B756,Lifetime_morbidity_array!$A$30:$Y$48,12))))</f>
        <v>42.634172810760653</v>
      </c>
      <c r="CZ756" s="316">
        <f>(SUM($AM756:$AQ756))-((SUM($AM756:$AQ756)*VLOOKUP($B756,Lifetime_morbidity_array!$A$30:$Y$48,2))+(SUM($AM756:$AQ756)*VLOOKUP($B756,Lifetime_morbidity_array!$A$30:$Y$48,5))+(SUM($AM756:$AQ756)*VLOOKUP($B756,Lifetime_morbidity_array!$A$30:$Y$48,8))+(SUM($AM756:$AQ756)*VLOOKUP($B756,Lifetime_morbidity_array!$A$30:$Y$48,11)))</f>
        <v>68.736110049451696</v>
      </c>
      <c r="DA756" s="316">
        <f>(SUM($AM756:$AQ756)*VLOOKUP($B756,Lifetime_morbidity_array!$A$30:$Y$48,2))+(SUM($AR756:$AS756)*VLOOKUP($B756,Lifetime_morbidity_array!$A$30:$Y$48,4))+(SUM($AT756:$AU756)*(VLOOKUP($B756,Lifetime_morbidity_array!$A$30:$Y$48,3)))</f>
        <v>82.626460025235218</v>
      </c>
      <c r="DB756" s="316">
        <f>(SUM($AM756:$AQ756)*VLOOKUP($B756,Lifetime_morbidity_array!$A$30:$Y$48,5))+(SUM($AR756:$AS756)*VLOOKUP($B756,Lifetime_morbidity_array!$A$30:$Y$48,7))+(SUM($AT756:$AU756)*(VLOOKUP($B756,Lifetime_morbidity_array!$A$30:$Y$48,6)))</f>
        <v>36.644738586036922</v>
      </c>
      <c r="DC756" s="316">
        <f>(SUM($AM756:$AQ756)*VLOOKUP($B756,Lifetime_morbidity_array!$A$30:$Y$48,8))+(SUM($AR756:$AS756)*VLOOKUP($B756,Lifetime_morbidity_array!$A$30:$Y$48,10))+(SUM($AT756:$AU756)*(VLOOKUP($B756,Lifetime_morbidity_array!$A$30:$Y$48,9)))</f>
        <v>2.9614933644002872</v>
      </c>
      <c r="DD756" s="317">
        <f>(SUM($AM756:$AQ756)*VLOOKUP($B756,Lifetime_morbidity_array!$A$30:$Y$48,11))+(SUM($AR756:$AS756)*VLOOKUP($B756,Lifetime_morbidity_array!$A$30:$Y$48,13))+(SUM($AT756:$AU756)*(VLOOKUP($B756,Lifetime_morbidity_array!$A$30:$Y$48,12)))</f>
        <v>36.814924649700146</v>
      </c>
      <c r="DE756" s="309"/>
      <c r="DF756" s="315">
        <f ca="1">(SUM($CN756:$CO756))-((SUM($CN756:$CO756)*VLOOKUP($B756,Lifetime_morbidity_array!$A$6:$Y$24,4))+(SUM($CN756:$CO756)*VLOOKUP($B756,Lifetime_morbidity_array!$A$6:$Y$24,7))+(SUM($CN756:$CO756)*VLOOKUP($B756,Lifetime_morbidity_array!$A$6:$Y$24,10))+(SUM($CN756:$CO756)*VLOOKUP($B756,Lifetime_morbidity_array!$A$6:$Y$24,13)))</f>
        <v>9.2307737359325372</v>
      </c>
      <c r="DG756" s="316">
        <f ca="1">(SUM($CP756:$CQ756))-(((SUM($CP756:$CQ756)*VLOOKUP($B756,Lifetime_morbidity_array!$A$6:$Y$24,3))+(SUM($CP756:$CQ756)*VLOOKUP($B756,Lifetime_morbidity_array!$A$6:$Y$24,6))+(SUM($CP756:$CQ756)*VLOOKUP($B756,Lifetime_morbidity_array!$A$6:$Y$24,9))+(SUM($CP756:$CQ756)*VLOOKUP($B756,Lifetime_morbidity_array!$A$6:$Y$24,12))))</f>
        <v>48.895494108192381</v>
      </c>
      <c r="DH756" s="316">
        <f ca="1">(SUM($CI756:$CM756))-((SUM($CI756:$CM756)*VLOOKUP($B756,Lifetime_morbidity_array!$A$6:$Y$24,2))+(SUM($CI756:$CM756)*VLOOKUP($B756,Lifetime_morbidity_array!$A$6:$Y$24,5))+(SUM($CI756:$CM756)*VLOOKUP($B756,Lifetime_morbidity_array!$A$6:$Y$24,8))+(SUM($CI756:$CM756)*VLOOKUP($B756,Lifetime_morbidity_array!$A$6:$Y$24,11)))</f>
        <v>116.24248980771206</v>
      </c>
      <c r="DI756" s="316">
        <f ca="1">(SUM($CI756:$CM756)*VLOOKUP($B756,Lifetime_morbidity_array!$A$6:$Y$24,2))+(SUM($CN756:$CO756)*VLOOKUP($B756,Lifetime_morbidity_array!$A$6:$Y$24,4))+(SUM($CP756:$CQ756)*VLOOKUP($B756,Lifetime_morbidity_array!$A$6:$Y$24,3))</f>
        <v>64.178658038056312</v>
      </c>
      <c r="DJ756" s="316">
        <f ca="1">(SUM($CI756:$CM756)*VLOOKUP($B756,Lifetime_morbidity_array!$A$6:$Y$24,5))+(SUM($CN756:$CO756)*VLOOKUP($B756,Lifetime_morbidity_array!$A$6:$Y$24,7))+(SUM($CP756:$CQ756)*VLOOKUP($B756,Lifetime_morbidity_array!$A$6:$Y$24,6))</f>
        <v>27.655609549764463</v>
      </c>
      <c r="DK756" s="316">
        <f ca="1">(SUM($CI756:$CM756)*VLOOKUP($B756,Lifetime_morbidity_array!$A$6:$Y$24,8))+(SUM($CN756:$CO756)*VLOOKUP($B756,Lifetime_morbidity_array!$A$6:$Y$24,10))+(SUM($CP756:$CQ756)*VLOOKUP($B756,Lifetime_morbidity_array!$A$6:$Y$24,9))</f>
        <v>1.2899177195215756</v>
      </c>
      <c r="DL756" s="317">
        <f ca="1">(SUM($CI756:$CM756)*VLOOKUP($B756,Lifetime_morbidity_array!$A$6:$Y$24,11))+(SUM($CN756:$CO756)*VLOOKUP($B756,Lifetime_morbidity_array!$A$6:$Y$24,13))+(SUM($CP756:$CQ756)*VLOOKUP($B756,Lifetime_morbidity_array!$A$6:$Y$24,12))</f>
        <v>35.338712645125014</v>
      </c>
      <c r="DM756" s="309"/>
      <c r="DN756" s="308">
        <f t="shared" si="354"/>
        <v>90</v>
      </c>
      <c r="DO756" s="309">
        <f t="shared" ca="1" si="355"/>
        <v>25.843027813069142</v>
      </c>
      <c r="DP756" s="310">
        <f t="shared" ca="1" si="386"/>
        <v>23936.775087327227</v>
      </c>
      <c r="DQ756" s="309"/>
      <c r="DR756" s="308">
        <f t="shared" si="356"/>
        <v>90</v>
      </c>
      <c r="DS756" s="309">
        <f ca="1">((VLOOKUP($B756,'Mahawesran Tariff'!$A$21:$M$120,4)*'Experimental (DET)'!$CX756)+(VLOOKUP($B756,'Mahawesran Tariff'!$A$21:$M$120,3)*'Experimental (DET)'!$CY756)+(VLOOKUP($B756,'Mahawesran Tariff'!$A$21:$M$120,2)*'Experimental (DET)'!$CZ756)+(VLOOKUP($B756,'Mahawesran Tariff'!$A$21:$M$120,7)*'Experimental (DET)'!$DF756)+(VLOOKUP($B756,'Mahawesran Tariff'!$A$21:$M$120,6)*'Experimental (DET)'!$DG756)+(VLOOKUP($B756,'Mahawesran Tariff'!$A$21:$M$120,5)*'Experimental (DET)'!$DH756)+(DET_UTIL_chd*('Experimental (DET)'!$DA756+'Experimental (DET)'!$DI756))+(DET_UTIL_copd*('Experimental (DET)'!$DB756+'Experimental (DET)'!$DJ756))+(DET_UTIL_lc*('Experimental (DET)'!$DC756+'Experimental (DET)'!$DK756))+(DET_UTIL_stroke*('Experimental (DET)'!$DD756+'Experimental (DET)'!$DL756)))/((1+Discount_rate_QALYs)^$A756)</f>
        <v>21.273180170830379</v>
      </c>
      <c r="DT756" s="310">
        <f t="shared" ca="1" si="387"/>
        <v>23440.208953104757</v>
      </c>
      <c r="DU756" s="309"/>
      <c r="DV756" s="308">
        <f t="shared" si="357"/>
        <v>90</v>
      </c>
      <c r="DW756" s="318">
        <f t="shared" ca="1" si="358"/>
        <v>87387.055362107247</v>
      </c>
      <c r="DX756" s="319">
        <f t="shared" ca="1" si="388"/>
        <v>11205498.594894359</v>
      </c>
      <c r="DZ756" s="95">
        <f t="shared" si="359"/>
        <v>90</v>
      </c>
      <c r="EA756" s="268">
        <f t="shared" ca="1" si="304"/>
        <v>0.57144557796247208</v>
      </c>
      <c r="EB756" s="268">
        <f t="shared" ca="1" si="306"/>
        <v>0.42855442203752786</v>
      </c>
      <c r="EC756" s="268">
        <f t="shared" ca="1" si="307"/>
        <v>0.28751051457783988</v>
      </c>
      <c r="ED756" s="290">
        <f t="shared" ca="1" si="308"/>
        <v>0.30303607061063759</v>
      </c>
      <c r="EF756" s="95">
        <f t="shared" si="360"/>
        <v>90</v>
      </c>
      <c r="EG756" s="339">
        <f t="shared" ca="1" si="361"/>
        <v>87387.055362107247</v>
      </c>
      <c r="EH756" s="341">
        <f t="shared" ca="1" si="389"/>
        <v>14307514.318857908</v>
      </c>
      <c r="EJ756" s="308">
        <f t="shared" si="362"/>
        <v>90</v>
      </c>
      <c r="EK756" s="318">
        <f t="shared" ca="1" si="363"/>
        <v>87387.055362107247</v>
      </c>
      <c r="EL756" s="319">
        <f t="shared" ca="1" si="390"/>
        <v>11202458.594894357</v>
      </c>
      <c r="EN756" s="95">
        <f t="shared" si="364"/>
        <v>90</v>
      </c>
      <c r="EO756" s="339">
        <f t="shared" ca="1" si="365"/>
        <v>87387.055362107247</v>
      </c>
      <c r="EP756" s="341">
        <f t="shared" ca="1" si="391"/>
        <v>14307514.318857908</v>
      </c>
    </row>
    <row r="757" spans="1:146" s="266" customFormat="1" x14ac:dyDescent="0.25">
      <c r="A757" s="313">
        <v>91</v>
      </c>
      <c r="B757" s="314">
        <v>91</v>
      </c>
      <c r="C757" s="308">
        <f>VLOOKUP($B757,'Infant adult mortality'!$A$27:$I$128,3)</f>
        <v>4.2102435512695151E-2</v>
      </c>
      <c r="D757" s="309">
        <f t="shared" si="309"/>
        <v>0.27</v>
      </c>
      <c r="E757" s="309">
        <f>VLOOKUP($B757,'Infant pick up smoking rates'!$A$19:$I$104,3)</f>
        <v>0</v>
      </c>
      <c r="F757" s="309">
        <f t="shared" si="310"/>
        <v>0.14624098391610749</v>
      </c>
      <c r="G757" s="309">
        <f t="shared" si="311"/>
        <v>0.54165658057119737</v>
      </c>
      <c r="H757" s="309">
        <f>VLOOKUP($B757,'Infant adult mortality'!$A$27:$I$128,3)</f>
        <v>4.2102435512695151E-2</v>
      </c>
      <c r="I757" s="309">
        <f t="shared" si="312"/>
        <v>0.14000000000000001</v>
      </c>
      <c r="J757" s="309">
        <f>VLOOKUP($B757,'Infant pick up smoking rates'!$A$19:$I$104,2)</f>
        <v>0</v>
      </c>
      <c r="K757" s="309">
        <f t="shared" si="313"/>
        <v>0.14624098391610749</v>
      </c>
      <c r="L757" s="309">
        <f t="shared" si="314"/>
        <v>0.67165658057119737</v>
      </c>
      <c r="M757" s="309">
        <f>VLOOKUP($B757,'Infant adult mortality'!$A$27:$I$128,3)</f>
        <v>4.2102435512695151E-2</v>
      </c>
      <c r="N757" s="309">
        <f t="shared" si="315"/>
        <v>0.5714285714285714</v>
      </c>
      <c r="O757" s="309">
        <f>VLOOKUP($B757,'Infant pick up smoking rates'!$A$19:$I$104,2)</f>
        <v>0</v>
      </c>
      <c r="P757" s="309">
        <f t="shared" si="316"/>
        <v>0.12016234480898272</v>
      </c>
      <c r="Q757" s="309">
        <f t="shared" si="317"/>
        <v>0.26630664824975075</v>
      </c>
      <c r="R757" s="309">
        <f>VLOOKUP($B757,'Infant adult mortality'!$A$27:$I$128,3)</f>
        <v>4.2102435512695151E-2</v>
      </c>
      <c r="S757" s="309">
        <f t="shared" si="318"/>
        <v>8.6261668788331098E-3</v>
      </c>
      <c r="T757" s="309">
        <f>VLOOKUP($B757,'Infant pick up smoking rates'!$A$19:$I$104,2)</f>
        <v>0</v>
      </c>
      <c r="U757" s="309">
        <f t="shared" si="319"/>
        <v>0.12016234480898272</v>
      </c>
      <c r="V757" s="309">
        <f t="shared" si="320"/>
        <v>0.8291090527994891</v>
      </c>
      <c r="W757" s="309">
        <f>VLOOKUP($B757,'Infant adult mortality'!$A$27:$I$128,3)</f>
        <v>4.2102435512695151E-2</v>
      </c>
      <c r="X757" s="309">
        <f>VLOOKUP($B757,'Infant pick up smoking rates'!$A$19:$I$104,2)</f>
        <v>0</v>
      </c>
      <c r="Y757" s="309">
        <f t="shared" si="321"/>
        <v>0.9578975644873049</v>
      </c>
      <c r="Z757" s="309">
        <f>VLOOKUP($B757,'Infant adult mortality'!$A$27:$I$128,5)</f>
        <v>5.461330158141417E-2</v>
      </c>
      <c r="AA757" s="309">
        <f t="shared" si="322"/>
        <v>0.25</v>
      </c>
      <c r="AB757" s="309">
        <f t="shared" si="323"/>
        <v>0.6953866984185858</v>
      </c>
      <c r="AC757" s="309">
        <f>VLOOKUP($B757,'Infant adult mortality'!$A$27:$I$128,5)</f>
        <v>5.461330158141417E-2</v>
      </c>
      <c r="AD757" s="309">
        <f t="shared" si="324"/>
        <v>0.14000000000000001</v>
      </c>
      <c r="AE757" s="309">
        <f t="shared" si="325"/>
        <v>0.80538669841858579</v>
      </c>
      <c r="AF757" s="309">
        <f>VLOOKUP($B757,'Infant adult mortality'!$A$27:$I$128,4)</f>
        <v>4.4874304042890382E-2</v>
      </c>
      <c r="AG757" s="309">
        <f t="shared" si="326"/>
        <v>0.5714285714285714</v>
      </c>
      <c r="AH757" s="309">
        <f t="shared" si="327"/>
        <v>0.38369712452853821</v>
      </c>
      <c r="AI757" s="309">
        <f>VLOOKUP($B757,'Infant adult mortality'!$A$27:$I$128,4)</f>
        <v>4.4874304042890382E-2</v>
      </c>
      <c r="AJ757" s="309">
        <f t="shared" si="328"/>
        <v>8.6261668788331098E-3</v>
      </c>
      <c r="AK757" s="309">
        <f t="shared" si="329"/>
        <v>0.9464995290782765</v>
      </c>
      <c r="AL757" s="309"/>
      <c r="AM757" s="315">
        <f t="shared" si="366"/>
        <v>0.32210090864244068</v>
      </c>
      <c r="AN757" s="316">
        <f t="shared" si="367"/>
        <v>0.10648699176013267</v>
      </c>
      <c r="AO757" s="316">
        <f t="shared" si="368"/>
        <v>1.8182308225795717E-2</v>
      </c>
      <c r="AP757" s="316">
        <f t="shared" si="369"/>
        <v>1.488818837235441</v>
      </c>
      <c r="AQ757" s="316">
        <f t="shared" si="370"/>
        <v>101.34031370834774</v>
      </c>
      <c r="AR757" s="316">
        <f t="shared" si="371"/>
        <v>49.568071001454712</v>
      </c>
      <c r="AS757" s="316">
        <f t="shared" si="372"/>
        <v>13.199556691176118</v>
      </c>
      <c r="AT757" s="316">
        <f t="shared" si="373"/>
        <v>1.9585267339286221</v>
      </c>
      <c r="AU757" s="316">
        <f t="shared" si="374"/>
        <v>88.206406593281756</v>
      </c>
      <c r="AV757" s="316">
        <f t="shared" si="375"/>
        <v>253.7915362259468</v>
      </c>
      <c r="AW757" s="317">
        <f t="shared" si="330"/>
        <v>509.99999999999955</v>
      </c>
      <c r="AX757" s="309"/>
      <c r="AY757" s="308">
        <f>VLOOKUP($B757,'Infant adult mortality'!$A$134:$I$234,3)</f>
        <v>3.3548407795798638E-2</v>
      </c>
      <c r="AZ757" s="309">
        <f t="shared" si="331"/>
        <v>0.27</v>
      </c>
      <c r="BA757" s="309">
        <f ca="1">VLOOKUP($B757,'Infant pick up smoking rates'!$A$19:$I$104,7)</f>
        <v>0</v>
      </c>
      <c r="BB757" s="309">
        <f t="shared" si="332"/>
        <v>0.14624098391610749</v>
      </c>
      <c r="BC757" s="309">
        <f t="shared" ca="1" si="333"/>
        <v>0.55021060828809387</v>
      </c>
      <c r="BD757" s="309">
        <f>VLOOKUP($B757,'Infant adult mortality'!$A$134:$I$234,3)</f>
        <v>3.3548407795798638E-2</v>
      </c>
      <c r="BE757" s="309">
        <f t="shared" si="334"/>
        <v>0.14000000000000001</v>
      </c>
      <c r="BF757" s="309">
        <f>VLOOKUP($B757,'Infant pick up smoking rates'!$A$19:$I$104,6)</f>
        <v>0</v>
      </c>
      <c r="BG757" s="309">
        <f t="shared" si="335"/>
        <v>0.14624098391610749</v>
      </c>
      <c r="BH757" s="309">
        <f t="shared" si="336"/>
        <v>0.68021060828809388</v>
      </c>
      <c r="BI757" s="309">
        <f>VLOOKUP($B757,'Infant adult mortality'!$A$134:$I$234,3)</f>
        <v>3.3548407795798638E-2</v>
      </c>
      <c r="BJ757" s="309">
        <f t="shared" si="337"/>
        <v>0.5714285714285714</v>
      </c>
      <c r="BK757" s="309">
        <f>VLOOKUP($B757,'Infant pick up smoking rates'!$A$19:$I$104,6)</f>
        <v>0</v>
      </c>
      <c r="BL757" s="309">
        <f t="shared" si="338"/>
        <v>0.12016234480898272</v>
      </c>
      <c r="BM757" s="309">
        <f t="shared" si="339"/>
        <v>0.27486067596664726</v>
      </c>
      <c r="BN757" s="309">
        <f>VLOOKUP($B757,'Infant adult mortality'!$A$134:$I$234,3)</f>
        <v>3.3548407795798638E-2</v>
      </c>
      <c r="BO757" s="309">
        <f t="shared" si="340"/>
        <v>8.6261668788331098E-3</v>
      </c>
      <c r="BP757" s="309">
        <f>VLOOKUP($B757,'Infant pick up smoking rates'!$A$19:$I$104,6)</f>
        <v>0</v>
      </c>
      <c r="BQ757" s="309">
        <f t="shared" si="341"/>
        <v>0.12016234480898272</v>
      </c>
      <c r="BR757" s="309">
        <f t="shared" si="342"/>
        <v>0.83766308051638561</v>
      </c>
      <c r="BS757" s="309">
        <f>VLOOKUP($B757,'Infant adult mortality'!$A$134:$I$234,3)</f>
        <v>3.3548407795798638E-2</v>
      </c>
      <c r="BT757" s="309">
        <f>VLOOKUP($B757,'Infant pick up smoking rates'!$A$19:$I$104,6)</f>
        <v>0</v>
      </c>
      <c r="BU757" s="309">
        <f t="shared" si="343"/>
        <v>0.9664515922042014</v>
      </c>
      <c r="BV757" s="309">
        <f>VLOOKUP($B757,'Infant adult mortality'!$A$134:$I$234,5)</f>
        <v>4.3517418653269045E-2</v>
      </c>
      <c r="BW757" s="309">
        <f t="shared" si="344"/>
        <v>0.27</v>
      </c>
      <c r="BX757" s="309">
        <f t="shared" si="345"/>
        <v>0.6864825813467309</v>
      </c>
      <c r="BY757" s="309">
        <f>VLOOKUP($B757,'Infant adult mortality'!$A$134:$I$234,5)</f>
        <v>4.3517418653269045E-2</v>
      </c>
      <c r="BZ757" s="309">
        <f t="shared" si="346"/>
        <v>0.14000000000000001</v>
      </c>
      <c r="CA757" s="309">
        <f t="shared" si="347"/>
        <v>0.81648258134673091</v>
      </c>
      <c r="CB757" s="309">
        <f>VLOOKUP($B757,'Infant adult mortality'!$A$134:$I$234,4)</f>
        <v>3.5757110800148373E-2</v>
      </c>
      <c r="CC757" s="309">
        <f t="shared" si="348"/>
        <v>0.5714285714285714</v>
      </c>
      <c r="CD757" s="309">
        <f t="shared" si="349"/>
        <v>0.39281431777128023</v>
      </c>
      <c r="CE757" s="309">
        <f>VLOOKUP($B757,'Infant adult mortality'!$A$134:$I$234,4)</f>
        <v>3.5757110800148373E-2</v>
      </c>
      <c r="CF757" s="309">
        <f t="shared" si="350"/>
        <v>8.6261668788331098E-3</v>
      </c>
      <c r="CG757" s="309">
        <f t="shared" si="351"/>
        <v>0.95561672232101857</v>
      </c>
      <c r="CH757" s="309"/>
      <c r="CI757" s="315">
        <f t="shared" ca="1" si="376"/>
        <v>0.49681198834451235</v>
      </c>
      <c r="CJ757" s="316">
        <f t="shared" ca="1" si="377"/>
        <v>0.16251607838043819</v>
      </c>
      <c r="CK757" s="316">
        <f t="shared" ca="1" si="378"/>
        <v>2.7469546465536673E-2</v>
      </c>
      <c r="CL757" s="316">
        <f t="shared" ca="1" si="379"/>
        <v>2.260255507441626</v>
      </c>
      <c r="CM757" s="316">
        <f t="shared" ca="1" si="380"/>
        <v>152.25958579061196</v>
      </c>
      <c r="CN757" s="316">
        <f t="shared" ca="1" si="381"/>
        <v>43.084515300618115</v>
      </c>
      <c r="CO757" s="316">
        <f t="shared" ca="1" si="382"/>
        <v>12.251622224203883</v>
      </c>
      <c r="CP757" s="316">
        <f t="shared" ca="1" si="383"/>
        <v>1.7983823144948259</v>
      </c>
      <c r="CQ757" s="316">
        <f t="shared" ca="1" si="384"/>
        <v>79.564996569237536</v>
      </c>
      <c r="CR757" s="316">
        <f t="shared" ca="1" si="385"/>
        <v>198.09384468020181</v>
      </c>
      <c r="CS757" s="317">
        <f t="shared" ca="1" si="352"/>
        <v>490.00000000000028</v>
      </c>
      <c r="CT757" s="309"/>
      <c r="CU757" s="309">
        <f t="shared" ca="1" si="353"/>
        <v>999.99999999999977</v>
      </c>
      <c r="CV757" s="309" t="str">
        <f t="shared" ca="1" si="305"/>
        <v>OKAY</v>
      </c>
      <c r="CW757" s="309"/>
      <c r="CX757" s="315">
        <f>(SUM($AR757:$AS757))-((SUM($AR757:$AS757)*VLOOKUP($B757,Lifetime_morbidity_array!$A$30:$Y$48,4))+(SUM($AR757:$AS757)*VLOOKUP($B757,Lifetime_morbidity_array!$A$30:$Y$48,7))+(SUM($AR757:$AS757)*VLOOKUP($B757,Lifetime_morbidity_array!$A$30:$Y$48,10))+(SUM($AR757:$AS757)*VLOOKUP($B757,Lifetime_morbidity_array!$A$30:$Y$48,13)))</f>
        <v>-1.6953923982263674</v>
      </c>
      <c r="CY757" s="316">
        <f>(SUM($AT757:$AU757))-((SUM($AT757:$AU757)*(VLOOKUP($B757,Lifetime_morbidity_array!$A$30:$Y$48,3)))+(SUM($AT757:$AU757)*(VLOOKUP($B757,Lifetime_morbidity_array!$A$30:$Y$48,6)))+(SUM($AT757:$AU757)*(VLOOKUP($B757,Lifetime_morbidity_array!$A$30:$Y$48,9)))+(SUM($AT757:$AU757)*(VLOOKUP($B757,Lifetime_morbidity_array!$A$30:$Y$48,12))))</f>
        <v>40.889959110852395</v>
      </c>
      <c r="CZ757" s="316">
        <f>(SUM($AM757:$AQ757))-((SUM($AM757:$AQ757)*VLOOKUP($B757,Lifetime_morbidity_array!$A$30:$Y$48,2))+(SUM($AM757:$AQ757)*VLOOKUP($B757,Lifetime_morbidity_array!$A$30:$Y$48,5))+(SUM($AM757:$AQ757)*VLOOKUP($B757,Lifetime_morbidity_array!$A$30:$Y$48,8))+(SUM($AM757:$AQ757)*VLOOKUP($B757,Lifetime_morbidity_array!$A$30:$Y$48,11)))</f>
        <v>65.842152408701139</v>
      </c>
      <c r="DA757" s="316">
        <f>(SUM($AM757:$AQ757)*VLOOKUP($B757,Lifetime_morbidity_array!$A$30:$Y$48,2))+(SUM($AR757:$AS757)*VLOOKUP($B757,Lifetime_morbidity_array!$A$30:$Y$48,4))+(SUM($AT757:$AU757)*(VLOOKUP($B757,Lifetime_morbidity_array!$A$30:$Y$48,3)))</f>
        <v>78.638445328323741</v>
      </c>
      <c r="DB757" s="316">
        <f>(SUM($AM757:$AQ757)*VLOOKUP($B757,Lifetime_morbidity_array!$A$30:$Y$48,5))+(SUM($AR757:$AS757)*VLOOKUP($B757,Lifetime_morbidity_array!$A$30:$Y$48,7))+(SUM($AT757:$AU757)*(VLOOKUP($B757,Lifetime_morbidity_array!$A$30:$Y$48,6)))</f>
        <v>34.663116918645443</v>
      </c>
      <c r="DC757" s="316">
        <f>(SUM($AM757:$AQ757)*VLOOKUP($B757,Lifetime_morbidity_array!$A$30:$Y$48,8))+(SUM($AR757:$AS757)*VLOOKUP($B757,Lifetime_morbidity_array!$A$30:$Y$48,10))+(SUM($AT757:$AU757)*(VLOOKUP($B757,Lifetime_morbidity_array!$A$30:$Y$48,9)))</f>
        <v>2.8014698755897842</v>
      </c>
      <c r="DD757" s="317">
        <f>(SUM($AM757:$AQ757)*VLOOKUP($B757,Lifetime_morbidity_array!$A$30:$Y$48,11))+(SUM($AR757:$AS757)*VLOOKUP($B757,Lifetime_morbidity_array!$A$30:$Y$48,13))+(SUM($AT757:$AU757)*(VLOOKUP($B757,Lifetime_morbidity_array!$A$30:$Y$48,12)))</f>
        <v>35.068712530166593</v>
      </c>
      <c r="DE757" s="309"/>
      <c r="DF757" s="315">
        <f ca="1">(SUM($CN757:$CO757))-((SUM($CN757:$CO757)*VLOOKUP($B757,Lifetime_morbidity_array!$A$6:$Y$24,4))+(SUM($CN757:$CO757)*VLOOKUP($B757,Lifetime_morbidity_array!$A$6:$Y$24,7))+(SUM($CN757:$CO757)*VLOOKUP($B757,Lifetime_morbidity_array!$A$6:$Y$24,10))+(SUM($CN757:$CO757)*VLOOKUP($B757,Lifetime_morbidity_array!$A$6:$Y$24,13)))</f>
        <v>8.7732413557025737</v>
      </c>
      <c r="DG757" s="316">
        <f ca="1">(SUM($CP757:$CQ757))-(((SUM($CP757:$CQ757)*VLOOKUP($B757,Lifetime_morbidity_array!$A$6:$Y$24,3))+(SUM($CP757:$CQ757)*VLOOKUP($B757,Lifetime_morbidity_array!$A$6:$Y$24,6))+(SUM($CP757:$CQ757)*VLOOKUP($B757,Lifetime_morbidity_array!$A$6:$Y$24,9))+(SUM($CP757:$CQ757)*VLOOKUP($B757,Lifetime_morbidity_array!$A$6:$Y$24,12))))</f>
        <v>47.35208317549754</v>
      </c>
      <c r="DH757" s="316">
        <f ca="1">(SUM($CI757:$CM757))-((SUM($CI757:$CM757)*VLOOKUP($B757,Lifetime_morbidity_array!$A$6:$Y$24,2))+(SUM($CI757:$CM757)*VLOOKUP($B757,Lifetime_morbidity_array!$A$6:$Y$24,5))+(SUM($CI757:$CM757)*VLOOKUP($B757,Lifetime_morbidity_array!$A$6:$Y$24,8))+(SUM($CI757:$CM757)*VLOOKUP($B757,Lifetime_morbidity_array!$A$6:$Y$24,11)))</f>
        <v>112.34273935644399</v>
      </c>
      <c r="DI757" s="316">
        <f ca="1">(SUM($CI757:$CM757)*VLOOKUP($B757,Lifetime_morbidity_array!$A$6:$Y$24,2))+(SUM($CN757:$CO757)*VLOOKUP($B757,Lifetime_morbidity_array!$A$6:$Y$24,4))+(SUM($CP757:$CQ757)*VLOOKUP($B757,Lifetime_morbidity_array!$A$6:$Y$24,3))</f>
        <v>61.72155142680365</v>
      </c>
      <c r="DJ757" s="316">
        <f ca="1">(SUM($CI757:$CM757)*VLOOKUP($B757,Lifetime_morbidity_array!$A$6:$Y$24,5))+(SUM($CN757:$CO757)*VLOOKUP($B757,Lifetime_morbidity_array!$A$6:$Y$24,7))+(SUM($CP757:$CQ757)*VLOOKUP($B757,Lifetime_morbidity_array!$A$6:$Y$24,6))</f>
        <v>26.470446645297663</v>
      </c>
      <c r="DK757" s="316">
        <f ca="1">(SUM($CI757:$CM757)*VLOOKUP($B757,Lifetime_morbidity_array!$A$6:$Y$24,8))+(SUM($CN757:$CO757)*VLOOKUP($B757,Lifetime_morbidity_array!$A$6:$Y$24,10))+(SUM($CP757:$CQ757)*VLOOKUP($B757,Lifetime_morbidity_array!$A$6:$Y$24,9))</f>
        <v>1.2337076949363359</v>
      </c>
      <c r="DL757" s="317">
        <f ca="1">(SUM($CI757:$CM757)*VLOOKUP($B757,Lifetime_morbidity_array!$A$6:$Y$24,11))+(SUM($CN757:$CO757)*VLOOKUP($B757,Lifetime_morbidity_array!$A$6:$Y$24,13))+(SUM($CP757:$CQ757)*VLOOKUP($B757,Lifetime_morbidity_array!$A$6:$Y$24,12))</f>
        <v>34.012385665116703</v>
      </c>
      <c r="DM757" s="309"/>
      <c r="DN757" s="308">
        <f t="shared" si="354"/>
        <v>91</v>
      </c>
      <c r="DO757" s="309">
        <f t="shared" ca="1" si="355"/>
        <v>23.949671141779479</v>
      </c>
      <c r="DP757" s="310">
        <f t="shared" ca="1" si="386"/>
        <v>23960.724758469005</v>
      </c>
      <c r="DQ757" s="309"/>
      <c r="DR757" s="308">
        <f t="shared" si="356"/>
        <v>91</v>
      </c>
      <c r="DS757" s="309">
        <f ca="1">((VLOOKUP($B757,'Mahawesran Tariff'!$A$21:$M$120,4)*'Experimental (DET)'!$CX757)+(VLOOKUP($B757,'Mahawesran Tariff'!$A$21:$M$120,3)*'Experimental (DET)'!$CY757)+(VLOOKUP($B757,'Mahawesran Tariff'!$A$21:$M$120,2)*'Experimental (DET)'!$CZ757)+(VLOOKUP($B757,'Mahawesran Tariff'!$A$21:$M$120,7)*'Experimental (DET)'!$DF757)+(VLOOKUP($B757,'Mahawesran Tariff'!$A$21:$M$120,6)*'Experimental (DET)'!$DG757)+(VLOOKUP($B757,'Mahawesran Tariff'!$A$21:$M$120,5)*'Experimental (DET)'!$DH757)+(DET_UTIL_chd*('Experimental (DET)'!$DA757+'Experimental (DET)'!$DI757))+(DET_UTIL_copd*('Experimental (DET)'!$DB757+'Experimental (DET)'!$DJ757))+(DET_UTIL_lc*('Experimental (DET)'!$DC757+'Experimental (DET)'!$DK757))+(DET_UTIL_stroke*('Experimental (DET)'!$DD757+'Experimental (DET)'!$DL757)))/((1+Discount_rate_QALYs)^$A757)</f>
        <v>19.724239798216225</v>
      </c>
      <c r="DT757" s="310">
        <f t="shared" ca="1" si="387"/>
        <v>23459.933192902972</v>
      </c>
      <c r="DU757" s="309"/>
      <c r="DV757" s="308">
        <f t="shared" si="357"/>
        <v>91</v>
      </c>
      <c r="DW757" s="318">
        <f t="shared" ca="1" si="358"/>
        <v>80790.492862376515</v>
      </c>
      <c r="DX757" s="319">
        <f t="shared" ca="1" si="388"/>
        <v>11286289.087756736</v>
      </c>
      <c r="DZ757" s="95">
        <f t="shared" si="359"/>
        <v>91</v>
      </c>
      <c r="EA757" s="268">
        <f t="shared" ca="1" si="304"/>
        <v>0.54811461909385117</v>
      </c>
      <c r="EB757" s="268">
        <f t="shared" ca="1" si="306"/>
        <v>0.4518853809061486</v>
      </c>
      <c r="EC757" s="268">
        <f t="shared" ca="1" si="307"/>
        <v>0.27460983608487993</v>
      </c>
      <c r="ED757" s="290">
        <f t="shared" ca="1" si="308"/>
        <v>0.28963207742839558</v>
      </c>
      <c r="EF757" s="95">
        <f t="shared" si="360"/>
        <v>91</v>
      </c>
      <c r="EG757" s="339">
        <f t="shared" ca="1" si="361"/>
        <v>80790.492862376515</v>
      </c>
      <c r="EH757" s="341">
        <f t="shared" ca="1" si="389"/>
        <v>14388304.811720286</v>
      </c>
      <c r="EJ757" s="308">
        <f t="shared" si="362"/>
        <v>91</v>
      </c>
      <c r="EK757" s="318">
        <f t="shared" ca="1" si="363"/>
        <v>80790.492862376515</v>
      </c>
      <c r="EL757" s="319">
        <f t="shared" ca="1" si="390"/>
        <v>11283249.087756734</v>
      </c>
      <c r="EN757" s="95">
        <f t="shared" si="364"/>
        <v>91</v>
      </c>
      <c r="EO757" s="339">
        <f t="shared" ca="1" si="365"/>
        <v>80790.492862376515</v>
      </c>
      <c r="EP757" s="341">
        <f t="shared" ca="1" si="391"/>
        <v>14388304.811720286</v>
      </c>
    </row>
    <row r="758" spans="1:146" s="266" customFormat="1" x14ac:dyDescent="0.25">
      <c r="A758" s="313">
        <v>92</v>
      </c>
      <c r="B758" s="314">
        <v>92</v>
      </c>
      <c r="C758" s="308">
        <f>VLOOKUP($B758,'Infant adult mortality'!$A$27:$I$128,3)</f>
        <v>4.6031053714131569E-2</v>
      </c>
      <c r="D758" s="309">
        <f t="shared" si="309"/>
        <v>0.27</v>
      </c>
      <c r="E758" s="309">
        <f>VLOOKUP($B758,'Infant pick up smoking rates'!$A$19:$I$104,3)</f>
        <v>0</v>
      </c>
      <c r="F758" s="309">
        <f t="shared" si="310"/>
        <v>0.14624098391610749</v>
      </c>
      <c r="G758" s="309">
        <f t="shared" si="311"/>
        <v>0.53772796236976095</v>
      </c>
      <c r="H758" s="309">
        <f>VLOOKUP($B758,'Infant adult mortality'!$A$27:$I$128,3)</f>
        <v>4.6031053714131569E-2</v>
      </c>
      <c r="I758" s="309">
        <f t="shared" si="312"/>
        <v>0.14000000000000001</v>
      </c>
      <c r="J758" s="309">
        <f>VLOOKUP($B758,'Infant pick up smoking rates'!$A$19:$I$104,2)</f>
        <v>0</v>
      </c>
      <c r="K758" s="309">
        <f t="shared" si="313"/>
        <v>0.14624098391610749</v>
      </c>
      <c r="L758" s="309">
        <f t="shared" si="314"/>
        <v>0.66772796236976095</v>
      </c>
      <c r="M758" s="309">
        <f>VLOOKUP($B758,'Infant adult mortality'!$A$27:$I$128,3)</f>
        <v>4.6031053714131569E-2</v>
      </c>
      <c r="N758" s="309">
        <f t="shared" si="315"/>
        <v>0.5714285714285714</v>
      </c>
      <c r="O758" s="309">
        <f>VLOOKUP($B758,'Infant pick up smoking rates'!$A$19:$I$104,2)</f>
        <v>0</v>
      </c>
      <c r="P758" s="309">
        <f t="shared" si="316"/>
        <v>0.12016234480898272</v>
      </c>
      <c r="Q758" s="309">
        <f t="shared" si="317"/>
        <v>0.26237803004831434</v>
      </c>
      <c r="R758" s="309">
        <f>VLOOKUP($B758,'Infant adult mortality'!$A$27:$I$128,3)</f>
        <v>4.6031053714131569E-2</v>
      </c>
      <c r="S758" s="309">
        <f t="shared" si="318"/>
        <v>8.6261668788331098E-3</v>
      </c>
      <c r="T758" s="309">
        <f>VLOOKUP($B758,'Infant pick up smoking rates'!$A$19:$I$104,2)</f>
        <v>0</v>
      </c>
      <c r="U758" s="309">
        <f t="shared" si="319"/>
        <v>0.12016234480898272</v>
      </c>
      <c r="V758" s="309">
        <f t="shared" si="320"/>
        <v>0.82518043459805268</v>
      </c>
      <c r="W758" s="309">
        <f>VLOOKUP($B758,'Infant adult mortality'!$A$27:$I$128,3)</f>
        <v>4.6031053714131569E-2</v>
      </c>
      <c r="X758" s="309">
        <f>VLOOKUP($B758,'Infant pick up smoking rates'!$A$19:$I$104,2)</f>
        <v>0</v>
      </c>
      <c r="Y758" s="309">
        <f t="shared" si="321"/>
        <v>0.95396894628586848</v>
      </c>
      <c r="Z758" s="309">
        <f>VLOOKUP($B758,'Infant adult mortality'!$A$27:$I$128,5)</f>
        <v>5.9709320565127955E-2</v>
      </c>
      <c r="AA758" s="309">
        <f t="shared" si="322"/>
        <v>0.25</v>
      </c>
      <c r="AB758" s="309">
        <f t="shared" si="323"/>
        <v>0.69029067943487199</v>
      </c>
      <c r="AC758" s="309">
        <f>VLOOKUP($B758,'Infant adult mortality'!$A$27:$I$128,5)</f>
        <v>5.9709320565127955E-2</v>
      </c>
      <c r="AD758" s="309">
        <f t="shared" si="324"/>
        <v>0.14000000000000001</v>
      </c>
      <c r="AE758" s="309">
        <f t="shared" si="325"/>
        <v>0.80029067943487209</v>
      </c>
      <c r="AF758" s="309">
        <f>VLOOKUP($B758,'Infant adult mortality'!$A$27:$I$128,4)</f>
        <v>4.9061567926627775E-2</v>
      </c>
      <c r="AG758" s="309">
        <f t="shared" si="326"/>
        <v>0.5714285714285714</v>
      </c>
      <c r="AH758" s="309">
        <f t="shared" si="327"/>
        <v>0.37950986064480086</v>
      </c>
      <c r="AI758" s="309">
        <f>VLOOKUP($B758,'Infant adult mortality'!$A$27:$I$128,4)</f>
        <v>4.9061567926627775E-2</v>
      </c>
      <c r="AJ758" s="309">
        <f t="shared" si="328"/>
        <v>8.6261668788331098E-3</v>
      </c>
      <c r="AK758" s="309">
        <f t="shared" si="329"/>
        <v>0.94231226519453914</v>
      </c>
      <c r="AL758" s="309"/>
      <c r="AM758" s="315">
        <f t="shared" si="366"/>
        <v>0.26192044526498581</v>
      </c>
      <c r="AN758" s="316">
        <f t="shared" si="367"/>
        <v>8.6967245333458981E-2</v>
      </c>
      <c r="AO758" s="316">
        <f t="shared" si="368"/>
        <v>1.4908178846418575E-2</v>
      </c>
      <c r="AP758" s="316">
        <f t="shared" si="369"/>
        <v>1.238934065562449</v>
      </c>
      <c r="AQ758" s="316">
        <f t="shared" si="370"/>
        <v>96.919274192149686</v>
      </c>
      <c r="AR758" s="316">
        <f t="shared" si="371"/>
        <v>46.284022993408819</v>
      </c>
      <c r="AS758" s="316">
        <f t="shared" si="372"/>
        <v>12.392017750363678</v>
      </c>
      <c r="AT758" s="316">
        <f t="shared" si="373"/>
        <v>1.8479379367646567</v>
      </c>
      <c r="AU758" s="316">
        <f t="shared" si="374"/>
        <v>84.237136935259358</v>
      </c>
      <c r="AV758" s="316">
        <f t="shared" si="375"/>
        <v>266.716880257046</v>
      </c>
      <c r="AW758" s="317">
        <f t="shared" si="330"/>
        <v>509.99999999999949</v>
      </c>
      <c r="AX758" s="309"/>
      <c r="AY758" s="308">
        <f>VLOOKUP($B758,'Infant adult mortality'!$A$134:$I$234,3)</f>
        <v>3.7185480325049737E-2</v>
      </c>
      <c r="AZ758" s="309">
        <f t="shared" si="331"/>
        <v>0.27</v>
      </c>
      <c r="BA758" s="309">
        <f ca="1">VLOOKUP($B758,'Infant pick up smoking rates'!$A$19:$I$104,7)</f>
        <v>0</v>
      </c>
      <c r="BB758" s="309">
        <f t="shared" si="332"/>
        <v>0.14624098391610749</v>
      </c>
      <c r="BC758" s="309">
        <f t="shared" ca="1" si="333"/>
        <v>0.54657353575884271</v>
      </c>
      <c r="BD758" s="309">
        <f>VLOOKUP($B758,'Infant adult mortality'!$A$134:$I$234,3)</f>
        <v>3.7185480325049737E-2</v>
      </c>
      <c r="BE758" s="309">
        <f t="shared" si="334"/>
        <v>0.14000000000000001</v>
      </c>
      <c r="BF758" s="309">
        <f>VLOOKUP($B758,'Infant pick up smoking rates'!$A$19:$I$104,6)</f>
        <v>0</v>
      </c>
      <c r="BG758" s="309">
        <f t="shared" si="335"/>
        <v>0.14624098391610749</v>
      </c>
      <c r="BH758" s="309">
        <f t="shared" si="336"/>
        <v>0.67657353575884271</v>
      </c>
      <c r="BI758" s="309">
        <f>VLOOKUP($B758,'Infant adult mortality'!$A$134:$I$234,3)</f>
        <v>3.7185480325049737E-2</v>
      </c>
      <c r="BJ758" s="309">
        <f t="shared" si="337"/>
        <v>0.5714285714285714</v>
      </c>
      <c r="BK758" s="309">
        <f>VLOOKUP($B758,'Infant pick up smoking rates'!$A$19:$I$104,6)</f>
        <v>0</v>
      </c>
      <c r="BL758" s="309">
        <f t="shared" si="338"/>
        <v>0.12016234480898272</v>
      </c>
      <c r="BM758" s="309">
        <f t="shared" si="339"/>
        <v>0.27122360343739615</v>
      </c>
      <c r="BN758" s="309">
        <f>VLOOKUP($B758,'Infant adult mortality'!$A$134:$I$234,3)</f>
        <v>3.7185480325049737E-2</v>
      </c>
      <c r="BO758" s="309">
        <f t="shared" si="340"/>
        <v>8.6261668788331098E-3</v>
      </c>
      <c r="BP758" s="309">
        <f>VLOOKUP($B758,'Infant pick up smoking rates'!$A$19:$I$104,6)</f>
        <v>0</v>
      </c>
      <c r="BQ758" s="309">
        <f t="shared" si="341"/>
        <v>0.12016234480898272</v>
      </c>
      <c r="BR758" s="309">
        <f t="shared" si="342"/>
        <v>0.83402600798713444</v>
      </c>
      <c r="BS758" s="309">
        <f>VLOOKUP($B758,'Infant adult mortality'!$A$134:$I$234,3)</f>
        <v>3.7185480325049737E-2</v>
      </c>
      <c r="BT758" s="309">
        <f>VLOOKUP($B758,'Infant pick up smoking rates'!$A$19:$I$104,6)</f>
        <v>0</v>
      </c>
      <c r="BU758" s="309">
        <f t="shared" si="343"/>
        <v>0.96281451967495024</v>
      </c>
      <c r="BV758" s="309">
        <f>VLOOKUP($B758,'Infant adult mortality'!$A$134:$I$234,5)</f>
        <v>4.8235258286407928E-2</v>
      </c>
      <c r="BW758" s="309">
        <f t="shared" si="344"/>
        <v>0.27</v>
      </c>
      <c r="BX758" s="309">
        <f t="shared" si="345"/>
        <v>0.68176474171359203</v>
      </c>
      <c r="BY758" s="309">
        <f>VLOOKUP($B758,'Infant adult mortality'!$A$134:$I$234,5)</f>
        <v>4.8235258286407928E-2</v>
      </c>
      <c r="BZ758" s="309">
        <f t="shared" si="346"/>
        <v>0.14000000000000001</v>
      </c>
      <c r="CA758" s="309">
        <f t="shared" si="347"/>
        <v>0.81176474171359203</v>
      </c>
      <c r="CB758" s="309">
        <f>VLOOKUP($B758,'Infant adult mortality'!$A$134:$I$234,4)</f>
        <v>3.9633634723674011E-2</v>
      </c>
      <c r="CC758" s="309">
        <f t="shared" si="348"/>
        <v>0.5714285714285714</v>
      </c>
      <c r="CD758" s="309">
        <f t="shared" si="349"/>
        <v>0.38893779384775462</v>
      </c>
      <c r="CE758" s="309">
        <f>VLOOKUP($B758,'Infant adult mortality'!$A$134:$I$234,4)</f>
        <v>3.9633634723674011E-2</v>
      </c>
      <c r="CF758" s="309">
        <f t="shared" si="350"/>
        <v>8.6261668788331098E-3</v>
      </c>
      <c r="CG758" s="309">
        <f t="shared" si="351"/>
        <v>0.95174019839749291</v>
      </c>
      <c r="CH758" s="309"/>
      <c r="CI758" s="315">
        <f t="shared" ca="1" si="376"/>
        <v>0.40844609341752225</v>
      </c>
      <c r="CJ758" s="316">
        <f t="shared" ca="1" si="377"/>
        <v>0.13413923685301835</v>
      </c>
      <c r="CK758" s="316">
        <f t="shared" ca="1" si="378"/>
        <v>2.2752250973261348E-2</v>
      </c>
      <c r="CL758" s="316">
        <f t="shared" ca="1" si="379"/>
        <v>1.9008087615970666</v>
      </c>
      <c r="CM758" s="316">
        <f t="shared" ca="1" si="380"/>
        <v>146.96905915085205</v>
      </c>
      <c r="CN758" s="316">
        <f t="shared" ca="1" si="381"/>
        <v>40.704738184199044</v>
      </c>
      <c r="CO758" s="316">
        <f t="shared" ca="1" si="382"/>
        <v>11.632819131166892</v>
      </c>
      <c r="CP758" s="316">
        <f t="shared" ca="1" si="383"/>
        <v>1.7152271113885438</v>
      </c>
      <c r="CQ758" s="316">
        <f t="shared" ca="1" si="384"/>
        <v>76.752852657156168</v>
      </c>
      <c r="CR758" s="316">
        <f t="shared" ca="1" si="385"/>
        <v>209.7591574223967</v>
      </c>
      <c r="CS758" s="317">
        <f t="shared" ca="1" si="352"/>
        <v>490.00000000000023</v>
      </c>
      <c r="CT758" s="309"/>
      <c r="CU758" s="309">
        <f t="shared" ca="1" si="353"/>
        <v>999.99999999999977</v>
      </c>
      <c r="CV758" s="309" t="str">
        <f t="shared" ca="1" si="305"/>
        <v>OKAY</v>
      </c>
      <c r="CW758" s="309"/>
      <c r="CX758" s="315">
        <f>(SUM($AR758:$AS758))-((SUM($AR758:$AS758)*VLOOKUP($B758,Lifetime_morbidity_array!$A$30:$Y$48,4))+(SUM($AR758:$AS758)*VLOOKUP($B758,Lifetime_morbidity_array!$A$30:$Y$48,7))+(SUM($AR758:$AS758)*VLOOKUP($B758,Lifetime_morbidity_array!$A$30:$Y$48,10))+(SUM($AR758:$AS758)*VLOOKUP($B758,Lifetime_morbidity_array!$A$30:$Y$48,13)))</f>
        <v>-1.5848761071894373</v>
      </c>
      <c r="CY758" s="316">
        <f>(SUM($AT758:$AU758))-((SUM($AT758:$AU758)*(VLOOKUP($B758,Lifetime_morbidity_array!$A$30:$Y$48,3)))+(SUM($AT758:$AU758)*(VLOOKUP($B758,Lifetime_morbidity_array!$A$30:$Y$48,6)))+(SUM($AT758:$AU758)*(VLOOKUP($B758,Lifetime_morbidity_array!$A$30:$Y$48,9)))+(SUM($AT758:$AU758)*(VLOOKUP($B758,Lifetime_morbidity_array!$A$30:$Y$48,12))))</f>
        <v>39.039735978038408</v>
      </c>
      <c r="CZ758" s="316">
        <f>(SUM($AM758:$AQ758))-((SUM($AM758:$AQ758)*VLOOKUP($B758,Lifetime_morbidity_array!$A$30:$Y$48,2))+(SUM($AM758:$AQ758)*VLOOKUP($B758,Lifetime_morbidity_array!$A$30:$Y$48,5))+(SUM($AM758:$AQ758)*VLOOKUP($B758,Lifetime_morbidity_array!$A$30:$Y$48,8))+(SUM($AM758:$AQ758)*VLOOKUP($B758,Lifetime_morbidity_array!$A$30:$Y$48,11)))</f>
        <v>62.811368754522178</v>
      </c>
      <c r="DA758" s="316">
        <f>(SUM($AM758:$AQ758)*VLOOKUP($B758,Lifetime_morbidity_array!$A$30:$Y$48,2))+(SUM($AR758:$AS758)*VLOOKUP($B758,Lifetime_morbidity_array!$A$30:$Y$48,4))+(SUM($AT758:$AU758)*(VLOOKUP($B758,Lifetime_morbidity_array!$A$30:$Y$48,3)))</f>
        <v>74.499592832720694</v>
      </c>
      <c r="DB758" s="316">
        <f>(SUM($AM758:$AQ758)*VLOOKUP($B758,Lifetime_morbidity_array!$A$30:$Y$48,5))+(SUM($AR758:$AS758)*VLOOKUP($B758,Lifetime_morbidity_array!$A$30:$Y$48,7))+(SUM($AT758:$AU758)*(VLOOKUP($B758,Lifetime_morbidity_array!$A$30:$Y$48,6)))</f>
        <v>32.626517730824901</v>
      </c>
      <c r="DC758" s="316">
        <f>(SUM($AM758:$AQ758)*VLOOKUP($B758,Lifetime_morbidity_array!$A$30:$Y$48,8))+(SUM($AR758:$AS758)*VLOOKUP($B758,Lifetime_morbidity_array!$A$30:$Y$48,10))+(SUM($AT758:$AU758)*(VLOOKUP($B758,Lifetime_morbidity_array!$A$30:$Y$48,9)))</f>
        <v>2.6369952953307485</v>
      </c>
      <c r="DD758" s="317">
        <f>(SUM($AM758:$AQ758)*VLOOKUP($B758,Lifetime_morbidity_array!$A$30:$Y$48,11))+(SUM($AR758:$AS758)*VLOOKUP($B758,Lifetime_morbidity_array!$A$30:$Y$48,13))+(SUM($AT758:$AU758)*(VLOOKUP($B758,Lifetime_morbidity_array!$A$30:$Y$48,12)))</f>
        <v>33.253785258706017</v>
      </c>
      <c r="DE758" s="309"/>
      <c r="DF758" s="315">
        <f ca="1">(SUM($CN758:$CO758))-((SUM($CN758:$CO758)*VLOOKUP($B758,Lifetime_morbidity_array!$A$6:$Y$24,4))+(SUM($CN758:$CO758)*VLOOKUP($B758,Lifetime_morbidity_array!$A$6:$Y$24,7))+(SUM($CN758:$CO758)*VLOOKUP($B758,Lifetime_morbidity_array!$A$6:$Y$24,10))+(SUM($CN758:$CO758)*VLOOKUP($B758,Lifetime_morbidity_array!$A$6:$Y$24,13)))</f>
        <v>8.2978328960826602</v>
      </c>
      <c r="DG758" s="316">
        <f ca="1">(SUM($CP758:$CQ758))-(((SUM($CP758:$CQ758)*VLOOKUP($B758,Lifetime_morbidity_array!$A$6:$Y$24,3))+(SUM($CP758:$CQ758)*VLOOKUP($B758,Lifetime_morbidity_array!$A$6:$Y$24,6))+(SUM($CP758:$CQ758)*VLOOKUP($B758,Lifetime_morbidity_array!$A$6:$Y$24,9))+(SUM($CP758:$CQ758)*VLOOKUP($B758,Lifetime_morbidity_array!$A$6:$Y$24,12))))</f>
        <v>45.66706902784</v>
      </c>
      <c r="DH758" s="316">
        <f ca="1">(SUM($CI758:$CM758))-((SUM($CI758:$CM758)*VLOOKUP($B758,Lifetime_morbidity_array!$A$6:$Y$24,2))+(SUM($CI758:$CM758)*VLOOKUP($B758,Lifetime_morbidity_array!$A$6:$Y$24,5))+(SUM($CI758:$CM758)*VLOOKUP($B758,Lifetime_morbidity_array!$A$6:$Y$24,8))+(SUM($CI758:$CM758)*VLOOKUP($B758,Lifetime_morbidity_array!$A$6:$Y$24,11)))</f>
        <v>108.16522063244274</v>
      </c>
      <c r="DI758" s="316">
        <f ca="1">(SUM($CI758:$CM758)*VLOOKUP($B758,Lifetime_morbidity_array!$A$6:$Y$24,2))+(SUM($CN758:$CO758)*VLOOKUP($B758,Lifetime_morbidity_array!$A$6:$Y$24,4))+(SUM($CP758:$CQ758)*VLOOKUP($B758,Lifetime_morbidity_array!$A$6:$Y$24,3))</f>
        <v>59.111940084584361</v>
      </c>
      <c r="DJ758" s="316">
        <f ca="1">(SUM($CI758:$CM758)*VLOOKUP($B758,Lifetime_morbidity_array!$A$6:$Y$24,5))+(SUM($CN758:$CO758)*VLOOKUP($B758,Lifetime_morbidity_array!$A$6:$Y$24,7))+(SUM($CP758:$CQ758)*VLOOKUP($B758,Lifetime_morbidity_array!$A$6:$Y$24,6))</f>
        <v>25.222734646631054</v>
      </c>
      <c r="DK758" s="316">
        <f ca="1">(SUM($CI758:$CM758)*VLOOKUP($B758,Lifetime_morbidity_array!$A$6:$Y$24,8))+(SUM($CN758:$CO758)*VLOOKUP($B758,Lifetime_morbidity_array!$A$6:$Y$24,10))+(SUM($CP758:$CQ758)*VLOOKUP($B758,Lifetime_morbidity_array!$A$6:$Y$24,9))</f>
        <v>1.1746285264274372</v>
      </c>
      <c r="DL758" s="317">
        <f ca="1">(SUM($CI758:$CM758)*VLOOKUP($B758,Lifetime_morbidity_array!$A$6:$Y$24,11))+(SUM($CN758:$CO758)*VLOOKUP($B758,Lifetime_morbidity_array!$A$6:$Y$24,13))+(SUM($CP758:$CQ758)*VLOOKUP($B758,Lifetime_morbidity_array!$A$6:$Y$24,12))</f>
        <v>32.601416763595303</v>
      </c>
      <c r="DM758" s="309"/>
      <c r="DN758" s="308">
        <f t="shared" si="354"/>
        <v>92</v>
      </c>
      <c r="DO758" s="309">
        <f t="shared" ca="1" si="355"/>
        <v>22.101634046911489</v>
      </c>
      <c r="DP758" s="310">
        <f t="shared" ca="1" si="386"/>
        <v>23982.826392515915</v>
      </c>
      <c r="DQ758" s="309"/>
      <c r="DR758" s="308">
        <f t="shared" si="356"/>
        <v>92</v>
      </c>
      <c r="DS758" s="309">
        <f ca="1">((VLOOKUP($B758,'Mahawesran Tariff'!$A$21:$M$120,4)*'Experimental (DET)'!$CX758)+(VLOOKUP($B758,'Mahawesran Tariff'!$A$21:$M$120,3)*'Experimental (DET)'!$CY758)+(VLOOKUP($B758,'Mahawesran Tariff'!$A$21:$M$120,2)*'Experimental (DET)'!$CZ758)+(VLOOKUP($B758,'Mahawesran Tariff'!$A$21:$M$120,7)*'Experimental (DET)'!$DF758)+(VLOOKUP($B758,'Mahawesran Tariff'!$A$21:$M$120,6)*'Experimental (DET)'!$DG758)+(VLOOKUP($B758,'Mahawesran Tariff'!$A$21:$M$120,5)*'Experimental (DET)'!$DH758)+(DET_UTIL_chd*('Experimental (DET)'!$DA758+'Experimental (DET)'!$DI758))+(DET_UTIL_copd*('Experimental (DET)'!$DB758+'Experimental (DET)'!$DJ758))+(DET_UTIL_lc*('Experimental (DET)'!$DC758+'Experimental (DET)'!$DK758))+(DET_UTIL_stroke*('Experimental (DET)'!$DD758+'Experimental (DET)'!$DL758)))/((1+Discount_rate_QALYs)^$A758)</f>
        <v>18.211563683674452</v>
      </c>
      <c r="DT758" s="310">
        <f t="shared" ca="1" si="387"/>
        <v>23478.144756586647</v>
      </c>
      <c r="DU758" s="309"/>
      <c r="DV758" s="308">
        <f t="shared" si="357"/>
        <v>92</v>
      </c>
      <c r="DW758" s="318">
        <f t="shared" ca="1" si="358"/>
        <v>74368.805568462674</v>
      </c>
      <c r="DX758" s="319">
        <f t="shared" ca="1" si="388"/>
        <v>11360657.893325198</v>
      </c>
      <c r="DZ758" s="95">
        <f t="shared" si="359"/>
        <v>92</v>
      </c>
      <c r="EA758" s="268">
        <f t="shared" ca="1" si="304"/>
        <v>0.52352396232055709</v>
      </c>
      <c r="EB758" s="268">
        <f t="shared" ca="1" si="306"/>
        <v>0.47647603767944269</v>
      </c>
      <c r="EC758" s="268">
        <f t="shared" ca="1" si="307"/>
        <v>0.26112761113882049</v>
      </c>
      <c r="ED758" s="290">
        <f t="shared" ca="1" si="308"/>
        <v>0.27556675269970721</v>
      </c>
      <c r="EF758" s="95">
        <f t="shared" si="360"/>
        <v>92</v>
      </c>
      <c r="EG758" s="339">
        <f t="shared" ca="1" si="361"/>
        <v>74368.805568462674</v>
      </c>
      <c r="EH758" s="341">
        <f t="shared" ca="1" si="389"/>
        <v>14462673.617288748</v>
      </c>
      <c r="EJ758" s="308">
        <f t="shared" si="362"/>
        <v>92</v>
      </c>
      <c r="EK758" s="318">
        <f t="shared" ca="1" si="363"/>
        <v>74368.805568462674</v>
      </c>
      <c r="EL758" s="319">
        <f t="shared" ca="1" si="390"/>
        <v>11357617.893325197</v>
      </c>
      <c r="EN758" s="95">
        <f t="shared" si="364"/>
        <v>92</v>
      </c>
      <c r="EO758" s="339">
        <f t="shared" ca="1" si="365"/>
        <v>74368.805568462674</v>
      </c>
      <c r="EP758" s="341">
        <f t="shared" ca="1" si="391"/>
        <v>14462673.617288748</v>
      </c>
    </row>
    <row r="759" spans="1:146" s="266" customFormat="1" x14ac:dyDescent="0.25">
      <c r="A759" s="313">
        <v>93</v>
      </c>
      <c r="B759" s="314">
        <v>93</v>
      </c>
      <c r="C759" s="308">
        <f>VLOOKUP($B759,'Infant adult mortality'!$A$27:$I$128,3)</f>
        <v>5.0221845095592951E-2</v>
      </c>
      <c r="D759" s="309">
        <f t="shared" si="309"/>
        <v>0.27</v>
      </c>
      <c r="E759" s="309">
        <f>VLOOKUP($B759,'Infant pick up smoking rates'!$A$19:$I$104,3)</f>
        <v>0</v>
      </c>
      <c r="F759" s="309">
        <f t="shared" si="310"/>
        <v>0.14624098391610749</v>
      </c>
      <c r="G759" s="309">
        <f t="shared" si="311"/>
        <v>0.53353717098829956</v>
      </c>
      <c r="H759" s="309">
        <f>VLOOKUP($B759,'Infant adult mortality'!$A$27:$I$128,3)</f>
        <v>5.0221845095592951E-2</v>
      </c>
      <c r="I759" s="309">
        <f t="shared" si="312"/>
        <v>0.14000000000000001</v>
      </c>
      <c r="J759" s="309">
        <f>VLOOKUP($B759,'Infant pick up smoking rates'!$A$19:$I$104,2)</f>
        <v>0</v>
      </c>
      <c r="K759" s="309">
        <f t="shared" si="313"/>
        <v>0.14624098391610749</v>
      </c>
      <c r="L759" s="309">
        <f t="shared" si="314"/>
        <v>0.66353717098829956</v>
      </c>
      <c r="M759" s="309">
        <f>VLOOKUP($B759,'Infant adult mortality'!$A$27:$I$128,3)</f>
        <v>5.0221845095592951E-2</v>
      </c>
      <c r="N759" s="309">
        <f t="shared" si="315"/>
        <v>0.5714285714285714</v>
      </c>
      <c r="O759" s="309">
        <f>VLOOKUP($B759,'Infant pick up smoking rates'!$A$19:$I$104,2)</f>
        <v>0</v>
      </c>
      <c r="P759" s="309">
        <f t="shared" si="316"/>
        <v>0.12016234480898272</v>
      </c>
      <c r="Q759" s="309">
        <f t="shared" si="317"/>
        <v>0.25818723866685295</v>
      </c>
      <c r="R759" s="309">
        <f>VLOOKUP($B759,'Infant adult mortality'!$A$27:$I$128,3)</f>
        <v>5.0221845095592951E-2</v>
      </c>
      <c r="S759" s="309">
        <f t="shared" si="318"/>
        <v>8.6261668788331098E-3</v>
      </c>
      <c r="T759" s="309">
        <f>VLOOKUP($B759,'Infant pick up smoking rates'!$A$19:$I$104,2)</f>
        <v>0</v>
      </c>
      <c r="U759" s="309">
        <f t="shared" si="319"/>
        <v>0.12016234480898272</v>
      </c>
      <c r="V759" s="309">
        <f t="shared" si="320"/>
        <v>0.82098964321659129</v>
      </c>
      <c r="W759" s="309">
        <f>VLOOKUP($B759,'Infant adult mortality'!$A$27:$I$128,3)</f>
        <v>5.0221845095592951E-2</v>
      </c>
      <c r="X759" s="309">
        <f>VLOOKUP($B759,'Infant pick up smoking rates'!$A$19:$I$104,2)</f>
        <v>0</v>
      </c>
      <c r="Y759" s="309">
        <f t="shared" si="321"/>
        <v>0.94977815490440709</v>
      </c>
      <c r="Z759" s="309">
        <f>VLOOKUP($B759,'Infant adult mortality'!$A$27:$I$128,5)</f>
        <v>6.5145418282361672E-2</v>
      </c>
      <c r="AA759" s="309">
        <f t="shared" si="322"/>
        <v>0.25</v>
      </c>
      <c r="AB759" s="309">
        <f t="shared" si="323"/>
        <v>0.68485458171763836</v>
      </c>
      <c r="AC759" s="309">
        <f>VLOOKUP($B759,'Infant adult mortality'!$A$27:$I$128,5)</f>
        <v>6.5145418282361672E-2</v>
      </c>
      <c r="AD759" s="309">
        <f t="shared" si="324"/>
        <v>0.14000000000000001</v>
      </c>
      <c r="AE759" s="309">
        <f t="shared" si="325"/>
        <v>0.79485458171763834</v>
      </c>
      <c r="AF759" s="309">
        <f>VLOOKUP($B759,'Infant adult mortality'!$A$27:$I$128,4)</f>
        <v>5.3528265502242316E-2</v>
      </c>
      <c r="AG759" s="309">
        <f t="shared" si="326"/>
        <v>0.5714285714285714</v>
      </c>
      <c r="AH759" s="309">
        <f t="shared" si="327"/>
        <v>0.37504316306918628</v>
      </c>
      <c r="AI759" s="309">
        <f>VLOOKUP($B759,'Infant adult mortality'!$A$27:$I$128,4)</f>
        <v>5.3528265502242316E-2</v>
      </c>
      <c r="AJ759" s="309">
        <f t="shared" si="328"/>
        <v>8.6261668788331098E-3</v>
      </c>
      <c r="AK759" s="309">
        <f t="shared" si="329"/>
        <v>0.93784556761892457</v>
      </c>
      <c r="AL759" s="309"/>
      <c r="AM759" s="315">
        <f t="shared" si="366"/>
        <v>0.21198664685920629</v>
      </c>
      <c r="AN759" s="316">
        <f t="shared" si="367"/>
        <v>7.0718520221546177E-2</v>
      </c>
      <c r="AO759" s="316">
        <f t="shared" si="368"/>
        <v>1.2175414346684258E-2</v>
      </c>
      <c r="AP759" s="316">
        <f t="shared" si="369"/>
        <v>1.0256709957958066</v>
      </c>
      <c r="AQ759" s="316">
        <f t="shared" si="370"/>
        <v>92.253495720152301</v>
      </c>
      <c r="AR759" s="316">
        <f t="shared" si="371"/>
        <v>42.967377382521846</v>
      </c>
      <c r="AS759" s="316">
        <f t="shared" si="372"/>
        <v>11.571005748352205</v>
      </c>
      <c r="AT759" s="316">
        <f t="shared" si="373"/>
        <v>1.734882485050915</v>
      </c>
      <c r="AU759" s="316">
        <f t="shared" si="374"/>
        <v>80.05739003893548</v>
      </c>
      <c r="AV759" s="316">
        <f t="shared" si="375"/>
        <v>280.09529704776344</v>
      </c>
      <c r="AW759" s="317">
        <f t="shared" si="330"/>
        <v>509.99999999999943</v>
      </c>
      <c r="AX759" s="309"/>
      <c r="AY759" s="308">
        <f>VLOOKUP($B759,'Infant adult mortality'!$A$134:$I$234,3)</f>
        <v>4.1199184003776514E-2</v>
      </c>
      <c r="AZ759" s="309">
        <f t="shared" si="331"/>
        <v>0.27</v>
      </c>
      <c r="BA759" s="309">
        <f ca="1">VLOOKUP($B759,'Infant pick up smoking rates'!$A$19:$I$104,7)</f>
        <v>0</v>
      </c>
      <c r="BB759" s="309">
        <f t="shared" si="332"/>
        <v>0.14624098391610749</v>
      </c>
      <c r="BC759" s="309">
        <f t="shared" ca="1" si="333"/>
        <v>0.54255983208011593</v>
      </c>
      <c r="BD759" s="309">
        <f>VLOOKUP($B759,'Infant adult mortality'!$A$134:$I$234,3)</f>
        <v>4.1199184003776514E-2</v>
      </c>
      <c r="BE759" s="309">
        <f t="shared" si="334"/>
        <v>0.14000000000000001</v>
      </c>
      <c r="BF759" s="309">
        <f>VLOOKUP($B759,'Infant pick up smoking rates'!$A$19:$I$104,6)</f>
        <v>0</v>
      </c>
      <c r="BG759" s="309">
        <f t="shared" si="335"/>
        <v>0.14624098391610749</v>
      </c>
      <c r="BH759" s="309">
        <f t="shared" si="336"/>
        <v>0.67255983208011594</v>
      </c>
      <c r="BI759" s="309">
        <f>VLOOKUP($B759,'Infant adult mortality'!$A$134:$I$234,3)</f>
        <v>4.1199184003776514E-2</v>
      </c>
      <c r="BJ759" s="309">
        <f t="shared" si="337"/>
        <v>0.5714285714285714</v>
      </c>
      <c r="BK759" s="309">
        <f>VLOOKUP($B759,'Infant pick up smoking rates'!$A$19:$I$104,6)</f>
        <v>0</v>
      </c>
      <c r="BL759" s="309">
        <f t="shared" si="338"/>
        <v>0.12016234480898272</v>
      </c>
      <c r="BM759" s="309">
        <f t="shared" si="339"/>
        <v>0.26720989975866938</v>
      </c>
      <c r="BN759" s="309">
        <f>VLOOKUP($B759,'Infant adult mortality'!$A$134:$I$234,3)</f>
        <v>4.1199184003776514E-2</v>
      </c>
      <c r="BO759" s="309">
        <f t="shared" si="340"/>
        <v>8.6261668788331098E-3</v>
      </c>
      <c r="BP759" s="309">
        <f>VLOOKUP($B759,'Infant pick up smoking rates'!$A$19:$I$104,6)</f>
        <v>0</v>
      </c>
      <c r="BQ759" s="309">
        <f t="shared" si="341"/>
        <v>0.12016234480898272</v>
      </c>
      <c r="BR759" s="309">
        <f t="shared" si="342"/>
        <v>0.83001230430840767</v>
      </c>
      <c r="BS759" s="309">
        <f>VLOOKUP($B759,'Infant adult mortality'!$A$134:$I$234,3)</f>
        <v>4.1199184003776514E-2</v>
      </c>
      <c r="BT759" s="309">
        <f>VLOOKUP($B759,'Infant pick up smoking rates'!$A$19:$I$104,6)</f>
        <v>0</v>
      </c>
      <c r="BU759" s="309">
        <f t="shared" si="343"/>
        <v>0.95880081599622347</v>
      </c>
      <c r="BV759" s="309">
        <f>VLOOKUP($B759,'Infant adult mortality'!$A$134:$I$234,5)</f>
        <v>5.3441646154364905E-2</v>
      </c>
      <c r="BW759" s="309">
        <f t="shared" si="344"/>
        <v>0.27</v>
      </c>
      <c r="BX759" s="309">
        <f t="shared" si="345"/>
        <v>0.67655835384563512</v>
      </c>
      <c r="BY759" s="309">
        <f>VLOOKUP($B759,'Infant adult mortality'!$A$134:$I$234,5)</f>
        <v>5.3441646154364905E-2</v>
      </c>
      <c r="BZ759" s="309">
        <f t="shared" si="346"/>
        <v>0.14000000000000001</v>
      </c>
      <c r="CA759" s="309">
        <f t="shared" si="347"/>
        <v>0.80655835384563512</v>
      </c>
      <c r="CB759" s="309">
        <f>VLOOKUP($B759,'Infant adult mortality'!$A$134:$I$234,4)</f>
        <v>4.3911585797619453E-2</v>
      </c>
      <c r="CC759" s="309">
        <f t="shared" si="348"/>
        <v>0.5714285714285714</v>
      </c>
      <c r="CD759" s="309">
        <f t="shared" si="349"/>
        <v>0.38465984277380916</v>
      </c>
      <c r="CE759" s="309">
        <f>VLOOKUP($B759,'Infant adult mortality'!$A$134:$I$234,4)</f>
        <v>4.3911585797619453E-2</v>
      </c>
      <c r="CF759" s="309">
        <f t="shared" si="350"/>
        <v>8.6261668788331098E-3</v>
      </c>
      <c r="CG759" s="309">
        <f t="shared" si="351"/>
        <v>0.94746224732354745</v>
      </c>
      <c r="CH759" s="309"/>
      <c r="CI759" s="315">
        <f t="shared" ca="1" si="376"/>
        <v>0.33429942675574481</v>
      </c>
      <c r="CJ759" s="316">
        <f t="shared" ca="1" si="377"/>
        <v>0.11028044522273102</v>
      </c>
      <c r="CK759" s="316">
        <f t="shared" ca="1" si="378"/>
        <v>1.877949315942257E-2</v>
      </c>
      <c r="CL759" s="316">
        <f t="shared" ca="1" si="379"/>
        <v>1.5906959465332269</v>
      </c>
      <c r="CM759" s="316">
        <f t="shared" ca="1" si="380"/>
        <v>141.22454165424497</v>
      </c>
      <c r="CN759" s="316">
        <f t="shared" ca="1" si="381"/>
        <v>38.243540015072462</v>
      </c>
      <c r="CO759" s="316">
        <f t="shared" ca="1" si="382"/>
        <v>10.990279309733742</v>
      </c>
      <c r="CP759" s="316">
        <f t="shared" ca="1" si="383"/>
        <v>1.6285946783633651</v>
      </c>
      <c r="CQ759" s="316">
        <f t="shared" ca="1" si="384"/>
        <v>73.700560044978602</v>
      </c>
      <c r="CR759" s="316">
        <f t="shared" ca="1" si="385"/>
        <v>222.15842898593598</v>
      </c>
      <c r="CS759" s="317">
        <f t="shared" ca="1" si="352"/>
        <v>490.00000000000023</v>
      </c>
      <c r="CT759" s="309"/>
      <c r="CU759" s="309">
        <f t="shared" ca="1" si="353"/>
        <v>999.99999999999966</v>
      </c>
      <c r="CV759" s="309" t="str">
        <f t="shared" ca="1" si="305"/>
        <v>OKAY</v>
      </c>
      <c r="CW759" s="309"/>
      <c r="CX759" s="315">
        <f>(SUM($AR759:$AS759))-((SUM($AR759:$AS759)*VLOOKUP($B759,Lifetime_morbidity_array!$A$30:$Y$48,4))+(SUM($AR759:$AS759)*VLOOKUP($B759,Lifetime_morbidity_array!$A$30:$Y$48,7))+(SUM($AR759:$AS759)*VLOOKUP($B759,Lifetime_morbidity_array!$A$30:$Y$48,10))+(SUM($AR759:$AS759)*VLOOKUP($B759,Lifetime_morbidity_array!$A$30:$Y$48,13)))</f>
        <v>-1.4731154190569526</v>
      </c>
      <c r="CY759" s="316">
        <f>(SUM($AT759:$AU759))-((SUM($AT759:$AU759)*(VLOOKUP($B759,Lifetime_morbidity_array!$A$30:$Y$48,3)))+(SUM($AT759:$AU759)*(VLOOKUP($B759,Lifetime_morbidity_array!$A$30:$Y$48,6)))+(SUM($AT759:$AU759)*(VLOOKUP($B759,Lifetime_morbidity_array!$A$30:$Y$48,9)))+(SUM($AT759:$AU759)*(VLOOKUP($B759,Lifetime_morbidity_array!$A$30:$Y$48,12))))</f>
        <v>37.09294240757994</v>
      </c>
      <c r="CZ759" s="316">
        <f>(SUM($AM759:$AQ759))-((SUM($AM759:$AQ759)*VLOOKUP($B759,Lifetime_morbidity_array!$A$30:$Y$48,2))+(SUM($AM759:$AQ759)*VLOOKUP($B759,Lifetime_morbidity_array!$A$30:$Y$48,5))+(SUM($AM759:$AQ759)*VLOOKUP($B759,Lifetime_morbidity_array!$A$30:$Y$48,8))+(SUM($AM759:$AQ759)*VLOOKUP($B759,Lifetime_morbidity_array!$A$30:$Y$48,11)))</f>
        <v>59.656865922690393</v>
      </c>
      <c r="DA759" s="316">
        <f>(SUM($AM759:$AQ759)*VLOOKUP($B759,Lifetime_morbidity_array!$A$30:$Y$48,2))+(SUM($AR759:$AS759)*VLOOKUP($B759,Lifetime_morbidity_array!$A$30:$Y$48,4))+(SUM($AT759:$AU759)*(VLOOKUP($B759,Lifetime_morbidity_array!$A$30:$Y$48,3)))</f>
        <v>70.23223083883839</v>
      </c>
      <c r="DB759" s="316">
        <f>(SUM($AM759:$AQ759)*VLOOKUP($B759,Lifetime_morbidity_array!$A$30:$Y$48,5))+(SUM($AR759:$AS759)*VLOOKUP($B759,Lifetime_morbidity_array!$A$30:$Y$48,7))+(SUM($AT759:$AU759)*(VLOOKUP($B759,Lifetime_morbidity_array!$A$30:$Y$48,6)))</f>
        <v>30.546974636600517</v>
      </c>
      <c r="DC759" s="316">
        <f>(SUM($AM759:$AQ759)*VLOOKUP($B759,Lifetime_morbidity_array!$A$30:$Y$48,8))+(SUM($AR759:$AS759)*VLOOKUP($B759,Lifetime_morbidity_array!$A$30:$Y$48,10))+(SUM($AT759:$AU759)*(VLOOKUP($B759,Lifetime_morbidity_array!$A$30:$Y$48,9)))</f>
        <v>2.4690410029048615</v>
      </c>
      <c r="DD759" s="317">
        <f>(SUM($AM759:$AQ759)*VLOOKUP($B759,Lifetime_morbidity_array!$A$30:$Y$48,11))+(SUM($AR759:$AS759)*VLOOKUP($B759,Lifetime_morbidity_array!$A$30:$Y$48,13))+(SUM($AT759:$AU759)*(VLOOKUP($B759,Lifetime_morbidity_array!$A$30:$Y$48,12)))</f>
        <v>31.379763562678846</v>
      </c>
      <c r="DE759" s="309"/>
      <c r="DF759" s="315">
        <f ca="1">(SUM($CN759:$CO759))-((SUM($CN759:$CO759)*VLOOKUP($B759,Lifetime_morbidity_array!$A$6:$Y$24,4))+(SUM($CN759:$CO759)*VLOOKUP($B759,Lifetime_morbidity_array!$A$6:$Y$24,7))+(SUM($CN759:$CO759)*VLOOKUP($B759,Lifetime_morbidity_array!$A$6:$Y$24,10))+(SUM($CN759:$CO759)*VLOOKUP($B759,Lifetime_morbidity_array!$A$6:$Y$24,13)))</f>
        <v>7.8057522465463691</v>
      </c>
      <c r="DG759" s="316">
        <f ca="1">(SUM($CP759:$CQ759))-(((SUM($CP759:$CQ759)*VLOOKUP($B759,Lifetime_morbidity_array!$A$6:$Y$24,3))+(SUM($CP759:$CQ759)*VLOOKUP($B759,Lifetime_morbidity_array!$A$6:$Y$24,6))+(SUM($CP759:$CQ759)*VLOOKUP($B759,Lifetime_morbidity_array!$A$6:$Y$24,9))+(SUM($CP759:$CQ759)*VLOOKUP($B759,Lifetime_morbidity_array!$A$6:$Y$24,12))))</f>
        <v>43.840268790911658</v>
      </c>
      <c r="DH759" s="316">
        <f ca="1">(SUM($CI759:$CM759))-((SUM($CI759:$CM759)*VLOOKUP($B759,Lifetime_morbidity_array!$A$6:$Y$24,2))+(SUM($CI759:$CM759)*VLOOKUP($B759,Lifetime_morbidity_array!$A$6:$Y$24,5))+(SUM($CI759:$CM759)*VLOOKUP($B759,Lifetime_morbidity_array!$A$6:$Y$24,8))+(SUM($CI759:$CM759)*VLOOKUP($B759,Lifetime_morbidity_array!$A$6:$Y$24,11)))</f>
        <v>103.70890180479766</v>
      </c>
      <c r="DI759" s="316">
        <f ca="1">(SUM($CI759:$CM759)*VLOOKUP($B759,Lifetime_morbidity_array!$A$6:$Y$24,2))+(SUM($CN759:$CO759)*VLOOKUP($B759,Lifetime_morbidity_array!$A$6:$Y$24,4))+(SUM($CP759:$CQ759)*VLOOKUP($B759,Lifetime_morbidity_array!$A$6:$Y$24,3))</f>
        <v>56.352283003676206</v>
      </c>
      <c r="DJ759" s="316">
        <f ca="1">(SUM($CI759:$CM759)*VLOOKUP($B759,Lifetime_morbidity_array!$A$6:$Y$24,5))+(SUM($CN759:$CO759)*VLOOKUP($B759,Lifetime_morbidity_array!$A$6:$Y$24,7))+(SUM($CP759:$CQ759)*VLOOKUP($B759,Lifetime_morbidity_array!$A$6:$Y$24,6))</f>
        <v>23.91465220285918</v>
      </c>
      <c r="DK759" s="316">
        <f ca="1">(SUM($CI759:$CM759)*VLOOKUP($B759,Lifetime_morbidity_array!$A$6:$Y$24,8))+(SUM($CN759:$CO759)*VLOOKUP($B759,Lifetime_morbidity_array!$A$6:$Y$24,10))+(SUM($CP759:$CQ759)*VLOOKUP($B759,Lifetime_morbidity_array!$A$6:$Y$24,9))</f>
        <v>1.1127888411375786</v>
      </c>
      <c r="DL759" s="317">
        <f ca="1">(SUM($CI759:$CM759)*VLOOKUP($B759,Lifetime_morbidity_array!$A$6:$Y$24,11))+(SUM($CN759:$CO759)*VLOOKUP($B759,Lifetime_morbidity_array!$A$6:$Y$24,13))+(SUM($CP759:$CQ759)*VLOOKUP($B759,Lifetime_morbidity_array!$A$6:$Y$24,12))</f>
        <v>31.106924124135645</v>
      </c>
      <c r="DM759" s="309"/>
      <c r="DN759" s="308">
        <f t="shared" si="354"/>
        <v>93</v>
      </c>
      <c r="DO759" s="309">
        <f t="shared" ca="1" si="355"/>
        <v>20.302778984186268</v>
      </c>
      <c r="DP759" s="310">
        <f t="shared" ca="1" si="386"/>
        <v>24003.129171500103</v>
      </c>
      <c r="DQ759" s="309"/>
      <c r="DR759" s="308">
        <f t="shared" si="356"/>
        <v>93</v>
      </c>
      <c r="DS759" s="309">
        <f ca="1">((VLOOKUP($B759,'Mahawesran Tariff'!$A$21:$M$120,4)*'Experimental (DET)'!$CX759)+(VLOOKUP($B759,'Mahawesran Tariff'!$A$21:$M$120,3)*'Experimental (DET)'!$CY759)+(VLOOKUP($B759,'Mahawesran Tariff'!$A$21:$M$120,2)*'Experimental (DET)'!$CZ759)+(VLOOKUP($B759,'Mahawesran Tariff'!$A$21:$M$120,7)*'Experimental (DET)'!$DF759)+(VLOOKUP($B759,'Mahawesran Tariff'!$A$21:$M$120,6)*'Experimental (DET)'!$DG759)+(VLOOKUP($B759,'Mahawesran Tariff'!$A$21:$M$120,5)*'Experimental (DET)'!$DH759)+(DET_UTIL_chd*('Experimental (DET)'!$DA759+'Experimental (DET)'!$DI759))+(DET_UTIL_copd*('Experimental (DET)'!$DB759+'Experimental (DET)'!$DJ759))+(DET_UTIL_lc*('Experimental (DET)'!$DC759+'Experimental (DET)'!$DK759))+(DET_UTIL_stroke*('Experimental (DET)'!$DD759+'Experimental (DET)'!$DL759)))/((1+Discount_rate_QALYs)^$A759)</f>
        <v>16.738296625815238</v>
      </c>
      <c r="DT759" s="310">
        <f t="shared" ca="1" si="387"/>
        <v>23494.883053212463</v>
      </c>
      <c r="DU759" s="309"/>
      <c r="DV759" s="308">
        <f t="shared" si="357"/>
        <v>93</v>
      </c>
      <c r="DW759" s="318">
        <f t="shared" ca="1" si="358"/>
        <v>68135.788889068848</v>
      </c>
      <c r="DX759" s="319">
        <f t="shared" ca="1" si="388"/>
        <v>11428793.682214268</v>
      </c>
      <c r="DZ759" s="95">
        <f t="shared" si="359"/>
        <v>93</v>
      </c>
      <c r="EA759" s="268">
        <f t="shared" ca="1" si="304"/>
        <v>0.49774627396630022</v>
      </c>
      <c r="EB759" s="268">
        <f t="shared" ca="1" si="306"/>
        <v>0.50225372603369944</v>
      </c>
      <c r="EC759" s="268">
        <f t="shared" ca="1" si="307"/>
        <v>0.24711465821283121</v>
      </c>
      <c r="ED759" s="290">
        <f t="shared" ca="1" si="308"/>
        <v>0.26089362970300861</v>
      </c>
      <c r="EF759" s="95">
        <f t="shared" si="360"/>
        <v>93</v>
      </c>
      <c r="EG759" s="339">
        <f t="shared" ca="1" si="361"/>
        <v>68135.788889068848</v>
      </c>
      <c r="EH759" s="341">
        <f t="shared" ca="1" si="389"/>
        <v>14530809.406177817</v>
      </c>
      <c r="EJ759" s="308">
        <f t="shared" si="362"/>
        <v>93</v>
      </c>
      <c r="EK759" s="318">
        <f t="shared" ca="1" si="363"/>
        <v>68135.788889068848</v>
      </c>
      <c r="EL759" s="319">
        <f t="shared" ca="1" si="390"/>
        <v>11425753.682214266</v>
      </c>
      <c r="EN759" s="95">
        <f t="shared" si="364"/>
        <v>93</v>
      </c>
      <c r="EO759" s="339">
        <f t="shared" ca="1" si="365"/>
        <v>68135.788889068848</v>
      </c>
      <c r="EP759" s="341">
        <f t="shared" ca="1" si="391"/>
        <v>14530809.406177817</v>
      </c>
    </row>
    <row r="760" spans="1:146" s="266" customFormat="1" x14ac:dyDescent="0.25">
      <c r="A760" s="313">
        <v>94</v>
      </c>
      <c r="B760" s="314">
        <v>94</v>
      </c>
      <c r="C760" s="308">
        <f>VLOOKUP($B760,'Infant adult mortality'!$A$27:$I$128,3)</f>
        <v>5.4694422901844425E-2</v>
      </c>
      <c r="D760" s="309">
        <f t="shared" si="309"/>
        <v>0.27</v>
      </c>
      <c r="E760" s="309">
        <f>VLOOKUP($B760,'Infant pick up smoking rates'!$A$19:$I$104,3)</f>
        <v>0</v>
      </c>
      <c r="F760" s="309">
        <f t="shared" si="310"/>
        <v>0.14624098391610749</v>
      </c>
      <c r="G760" s="309">
        <f t="shared" si="311"/>
        <v>0.52906459318204802</v>
      </c>
      <c r="H760" s="309">
        <f>VLOOKUP($B760,'Infant adult mortality'!$A$27:$I$128,3)</f>
        <v>5.4694422901844425E-2</v>
      </c>
      <c r="I760" s="309">
        <f t="shared" si="312"/>
        <v>0.14000000000000001</v>
      </c>
      <c r="J760" s="309">
        <f>VLOOKUP($B760,'Infant pick up smoking rates'!$A$19:$I$104,2)</f>
        <v>0</v>
      </c>
      <c r="K760" s="309">
        <f t="shared" si="313"/>
        <v>0.14624098391610749</v>
      </c>
      <c r="L760" s="309">
        <f t="shared" si="314"/>
        <v>0.65906459318204802</v>
      </c>
      <c r="M760" s="309">
        <f>VLOOKUP($B760,'Infant adult mortality'!$A$27:$I$128,3)</f>
        <v>5.4694422901844425E-2</v>
      </c>
      <c r="N760" s="309">
        <f t="shared" si="315"/>
        <v>0.5714285714285714</v>
      </c>
      <c r="O760" s="309">
        <f>VLOOKUP($B760,'Infant pick up smoking rates'!$A$19:$I$104,2)</f>
        <v>0</v>
      </c>
      <c r="P760" s="309">
        <f t="shared" si="316"/>
        <v>0.12016234480898272</v>
      </c>
      <c r="Q760" s="309">
        <f t="shared" si="317"/>
        <v>0.25371466086060146</v>
      </c>
      <c r="R760" s="309">
        <f>VLOOKUP($B760,'Infant adult mortality'!$A$27:$I$128,3)</f>
        <v>5.4694422901844425E-2</v>
      </c>
      <c r="S760" s="309">
        <f t="shared" si="318"/>
        <v>8.6261668788331098E-3</v>
      </c>
      <c r="T760" s="309">
        <f>VLOOKUP($B760,'Infant pick up smoking rates'!$A$19:$I$104,2)</f>
        <v>0</v>
      </c>
      <c r="U760" s="309">
        <f t="shared" si="319"/>
        <v>0.12016234480898272</v>
      </c>
      <c r="V760" s="309">
        <f t="shared" si="320"/>
        <v>0.81651706541033975</v>
      </c>
      <c r="W760" s="309">
        <f>VLOOKUP($B760,'Infant adult mortality'!$A$27:$I$128,3)</f>
        <v>5.4694422901844425E-2</v>
      </c>
      <c r="X760" s="309">
        <f>VLOOKUP($B760,'Infant pick up smoking rates'!$A$19:$I$104,2)</f>
        <v>0</v>
      </c>
      <c r="Y760" s="309">
        <f t="shared" si="321"/>
        <v>0.94530557709815555</v>
      </c>
      <c r="Z760" s="309">
        <f>VLOOKUP($B760,'Infant adult mortality'!$A$27:$I$128,5)</f>
        <v>7.0947036112890716E-2</v>
      </c>
      <c r="AA760" s="309">
        <f t="shared" si="322"/>
        <v>0.25</v>
      </c>
      <c r="AB760" s="309">
        <f t="shared" si="323"/>
        <v>0.67905296388710923</v>
      </c>
      <c r="AC760" s="309">
        <f>VLOOKUP($B760,'Infant adult mortality'!$A$27:$I$128,5)</f>
        <v>7.0947036112890716E-2</v>
      </c>
      <c r="AD760" s="309">
        <f t="shared" si="324"/>
        <v>0.14000000000000001</v>
      </c>
      <c r="AE760" s="309">
        <f t="shared" si="325"/>
        <v>0.78905296388710933</v>
      </c>
      <c r="AF760" s="309">
        <f>VLOOKUP($B760,'Infant adult mortality'!$A$27:$I$128,4)</f>
        <v>5.8295301277944508E-2</v>
      </c>
      <c r="AG760" s="309">
        <f t="shared" si="326"/>
        <v>0.5714285714285714</v>
      </c>
      <c r="AH760" s="309">
        <f t="shared" si="327"/>
        <v>0.37027612729348408</v>
      </c>
      <c r="AI760" s="309">
        <f>VLOOKUP($B760,'Infant adult mortality'!$A$27:$I$128,4)</f>
        <v>5.8295301277944508E-2</v>
      </c>
      <c r="AJ760" s="309">
        <f t="shared" si="328"/>
        <v>8.6261668788331098E-3</v>
      </c>
      <c r="AK760" s="309">
        <f t="shared" si="329"/>
        <v>0.93307853184322243</v>
      </c>
      <c r="AL760" s="309"/>
      <c r="AM760" s="315">
        <f t="shared" si="366"/>
        <v>0.17069939213516211</v>
      </c>
      <c r="AN760" s="316">
        <f t="shared" si="367"/>
        <v>5.7236394651985704E-2</v>
      </c>
      <c r="AO760" s="316">
        <f t="shared" si="368"/>
        <v>9.9005928310164654E-3</v>
      </c>
      <c r="AP760" s="316">
        <f t="shared" si="369"/>
        <v>0.84443525119036966</v>
      </c>
      <c r="AQ760" s="316">
        <f t="shared" si="370"/>
        <v>87.373797151047157</v>
      </c>
      <c r="AR760" s="316">
        <f t="shared" si="371"/>
        <v>39.640235317183127</v>
      </c>
      <c r="AS760" s="316">
        <f t="shared" si="372"/>
        <v>10.741844345630462</v>
      </c>
      <c r="AT760" s="316">
        <f t="shared" si="373"/>
        <v>1.6199408047693089</v>
      </c>
      <c r="AU760" s="316">
        <f t="shared" si="374"/>
        <v>75.691193380759231</v>
      </c>
      <c r="AV760" s="316">
        <f t="shared" si="375"/>
        <v>293.85071736980166</v>
      </c>
      <c r="AW760" s="317">
        <f t="shared" si="330"/>
        <v>509.99999999999949</v>
      </c>
      <c r="AX760" s="309"/>
      <c r="AY760" s="308">
        <f>VLOOKUP($B760,'Infant adult mortality'!$A$134:$I$234,3)</f>
        <v>4.5577959335064241E-2</v>
      </c>
      <c r="AZ760" s="309">
        <f t="shared" si="331"/>
        <v>0.27</v>
      </c>
      <c r="BA760" s="309">
        <f ca="1">VLOOKUP($B760,'Infant pick up smoking rates'!$A$19:$I$104,7)</f>
        <v>0</v>
      </c>
      <c r="BB760" s="309">
        <f t="shared" si="332"/>
        <v>0.14624098391610749</v>
      </c>
      <c r="BC760" s="309">
        <f t="shared" ca="1" si="333"/>
        <v>0.53818105674882821</v>
      </c>
      <c r="BD760" s="309">
        <f>VLOOKUP($B760,'Infant adult mortality'!$A$134:$I$234,3)</f>
        <v>4.5577959335064241E-2</v>
      </c>
      <c r="BE760" s="309">
        <f t="shared" si="334"/>
        <v>0.14000000000000001</v>
      </c>
      <c r="BF760" s="309">
        <f>VLOOKUP($B760,'Infant pick up smoking rates'!$A$19:$I$104,6)</f>
        <v>0</v>
      </c>
      <c r="BG760" s="309">
        <f t="shared" si="335"/>
        <v>0.14624098391610749</v>
      </c>
      <c r="BH760" s="309">
        <f t="shared" si="336"/>
        <v>0.66818105674882822</v>
      </c>
      <c r="BI760" s="309">
        <f>VLOOKUP($B760,'Infant adult mortality'!$A$134:$I$234,3)</f>
        <v>4.5577959335064241E-2</v>
      </c>
      <c r="BJ760" s="309">
        <f t="shared" si="337"/>
        <v>0.5714285714285714</v>
      </c>
      <c r="BK760" s="309">
        <f>VLOOKUP($B760,'Infant pick up smoking rates'!$A$19:$I$104,6)</f>
        <v>0</v>
      </c>
      <c r="BL760" s="309">
        <f t="shared" si="338"/>
        <v>0.12016234480898272</v>
      </c>
      <c r="BM760" s="309">
        <f t="shared" si="339"/>
        <v>0.26283112442738166</v>
      </c>
      <c r="BN760" s="309">
        <f>VLOOKUP($B760,'Infant adult mortality'!$A$134:$I$234,3)</f>
        <v>4.5577959335064241E-2</v>
      </c>
      <c r="BO760" s="309">
        <f t="shared" si="340"/>
        <v>8.6261668788331098E-3</v>
      </c>
      <c r="BP760" s="309">
        <f>VLOOKUP($B760,'Infant pick up smoking rates'!$A$19:$I$104,6)</f>
        <v>0</v>
      </c>
      <c r="BQ760" s="309">
        <f t="shared" si="341"/>
        <v>0.12016234480898272</v>
      </c>
      <c r="BR760" s="309">
        <f t="shared" si="342"/>
        <v>0.82563352897711995</v>
      </c>
      <c r="BS760" s="309">
        <f>VLOOKUP($B760,'Infant adult mortality'!$A$134:$I$234,3)</f>
        <v>4.5577959335064241E-2</v>
      </c>
      <c r="BT760" s="309">
        <f>VLOOKUP($B760,'Infant pick up smoking rates'!$A$19:$I$104,6)</f>
        <v>0</v>
      </c>
      <c r="BU760" s="309">
        <f t="shared" si="343"/>
        <v>0.95442204066493574</v>
      </c>
      <c r="BV760" s="309">
        <f>VLOOKUP($B760,'Infant adult mortality'!$A$134:$I$234,5)</f>
        <v>5.9121587820750582E-2</v>
      </c>
      <c r="BW760" s="309">
        <f t="shared" si="344"/>
        <v>0.27</v>
      </c>
      <c r="BX760" s="309">
        <f t="shared" si="345"/>
        <v>0.67087841217924937</v>
      </c>
      <c r="BY760" s="309">
        <f>VLOOKUP($B760,'Infant adult mortality'!$A$134:$I$234,5)</f>
        <v>5.9121587820750582E-2</v>
      </c>
      <c r="BZ760" s="309">
        <f t="shared" si="346"/>
        <v>0.14000000000000001</v>
      </c>
      <c r="CA760" s="309">
        <f t="shared" si="347"/>
        <v>0.80087841217924938</v>
      </c>
      <c r="CB760" s="309">
        <f>VLOOKUP($B760,'Infant adult mortality'!$A$134:$I$234,4)</f>
        <v>4.8578643490575592E-2</v>
      </c>
      <c r="CC760" s="309">
        <f t="shared" si="348"/>
        <v>0.5714285714285714</v>
      </c>
      <c r="CD760" s="309">
        <f t="shared" si="349"/>
        <v>0.37999278508085299</v>
      </c>
      <c r="CE760" s="309">
        <f>VLOOKUP($B760,'Infant adult mortality'!$A$134:$I$234,4)</f>
        <v>4.8578643490575592E-2</v>
      </c>
      <c r="CF760" s="309">
        <f t="shared" si="350"/>
        <v>8.6261668788331098E-3</v>
      </c>
      <c r="CG760" s="309">
        <f t="shared" si="351"/>
        <v>0.94279518963059128</v>
      </c>
      <c r="CH760" s="309"/>
      <c r="CI760" s="315">
        <f t="shared" ca="1" si="376"/>
        <v>0.27225836718113627</v>
      </c>
      <c r="CJ760" s="316">
        <f t="shared" ca="1" si="377"/>
        <v>9.0260845224051103E-2</v>
      </c>
      <c r="CK760" s="316">
        <f t="shared" ca="1" si="378"/>
        <v>1.5439262331182344E-2</v>
      </c>
      <c r="CL760" s="316">
        <f t="shared" ca="1" si="379"/>
        <v>1.3240630468140697</v>
      </c>
      <c r="CM760" s="316">
        <f t="shared" ca="1" si="380"/>
        <v>135.04622937826807</v>
      </c>
      <c r="CN760" s="316">
        <f t="shared" ca="1" si="381"/>
        <v>35.713250402022013</v>
      </c>
      <c r="CO760" s="316">
        <f t="shared" ca="1" si="382"/>
        <v>10.325755804069566</v>
      </c>
      <c r="CP760" s="316">
        <f t="shared" ca="1" si="383"/>
        <v>1.538639103362724</v>
      </c>
      <c r="CQ760" s="316">
        <f t="shared" ca="1" si="384"/>
        <v>70.415159013979718</v>
      </c>
      <c r="CR760" s="316">
        <f t="shared" ca="1" si="385"/>
        <v>235.25894477674771</v>
      </c>
      <c r="CS760" s="317">
        <f t="shared" ca="1" si="352"/>
        <v>490.00000000000023</v>
      </c>
      <c r="CT760" s="309"/>
      <c r="CU760" s="309">
        <f t="shared" ca="1" si="353"/>
        <v>999.99999999999977</v>
      </c>
      <c r="CV760" s="309" t="str">
        <f t="shared" ca="1" si="305"/>
        <v>OKAY</v>
      </c>
      <c r="CW760" s="309"/>
      <c r="CX760" s="315">
        <f>(SUM($AR760:$AS760))-((SUM($AR760:$AS760)*VLOOKUP($B760,Lifetime_morbidity_array!$A$30:$Y$48,4))+(SUM($AR760:$AS760)*VLOOKUP($B760,Lifetime_morbidity_array!$A$30:$Y$48,7))+(SUM($AR760:$AS760)*VLOOKUP($B760,Lifetime_morbidity_array!$A$30:$Y$48,10))+(SUM($AR760:$AS760)*VLOOKUP($B760,Lifetime_morbidity_array!$A$30:$Y$48,13)))</f>
        <v>-1.3608510948582122</v>
      </c>
      <c r="CY760" s="316">
        <f>(SUM($AT760:$AU760))-((SUM($AT760:$AU760)*(VLOOKUP($B760,Lifetime_morbidity_array!$A$30:$Y$48,3)))+(SUM($AT760:$AU760)*(VLOOKUP($B760,Lifetime_morbidity_array!$A$30:$Y$48,6)))+(SUM($AT760:$AU760)*(VLOOKUP($B760,Lifetime_morbidity_array!$A$30:$Y$48,9)))+(SUM($AT760:$AU760)*(VLOOKUP($B760,Lifetime_morbidity_array!$A$30:$Y$48,12))))</f>
        <v>35.060738127400896</v>
      </c>
      <c r="CZ760" s="316">
        <f>(SUM($AM760:$AQ760))-((SUM($AM760:$AQ760)*VLOOKUP($B760,Lifetime_morbidity_array!$A$30:$Y$48,2))+(SUM($AM760:$AQ760)*VLOOKUP($B760,Lifetime_morbidity_array!$A$30:$Y$48,5))+(SUM($AM760:$AQ760)*VLOOKUP($B760,Lifetime_morbidity_array!$A$30:$Y$48,8))+(SUM($AM760:$AQ760)*VLOOKUP($B760,Lifetime_morbidity_array!$A$30:$Y$48,11)))</f>
        <v>56.393968068916138</v>
      </c>
      <c r="DA760" s="316">
        <f>(SUM($AM760:$AQ760)*VLOOKUP($B760,Lifetime_morbidity_array!$A$30:$Y$48,2))+(SUM($AR760:$AS760)*VLOOKUP($B760,Lifetime_morbidity_array!$A$30:$Y$48,4))+(SUM($AT760:$AU760)*(VLOOKUP($B760,Lifetime_morbidity_array!$A$30:$Y$48,3)))</f>
        <v>65.861504712829699</v>
      </c>
      <c r="DB760" s="316">
        <f>(SUM($AM760:$AQ760)*VLOOKUP($B760,Lifetime_morbidity_array!$A$30:$Y$48,5))+(SUM($AR760:$AS760)*VLOOKUP($B760,Lifetime_morbidity_array!$A$30:$Y$48,7))+(SUM($AT760:$AU760)*(VLOOKUP($B760,Lifetime_morbidity_array!$A$30:$Y$48,6)))</f>
        <v>28.437720741940289</v>
      </c>
      <c r="DC760" s="316">
        <f>(SUM($AM760:$AQ760)*VLOOKUP($B760,Lifetime_morbidity_array!$A$30:$Y$48,8))+(SUM($AR760:$AS760)*VLOOKUP($B760,Lifetime_morbidity_array!$A$30:$Y$48,10))+(SUM($AT760:$AU760)*(VLOOKUP($B760,Lifetime_morbidity_array!$A$30:$Y$48,9)))</f>
        <v>2.298675364738842</v>
      </c>
      <c r="DD760" s="317">
        <f>(SUM($AM760:$AQ760)*VLOOKUP($B760,Lifetime_morbidity_array!$A$30:$Y$48,11))+(SUM($AR760:$AS760)*VLOOKUP($B760,Lifetime_morbidity_array!$A$30:$Y$48,13))+(SUM($AT760:$AU760)*(VLOOKUP($B760,Lifetime_morbidity_array!$A$30:$Y$48,12)))</f>
        <v>29.457526709230166</v>
      </c>
      <c r="DE760" s="309"/>
      <c r="DF760" s="315">
        <f ca="1">(SUM($CN760:$CO760))-((SUM($CN760:$CO760)*VLOOKUP($B760,Lifetime_morbidity_array!$A$6:$Y$24,4))+(SUM($CN760:$CO760)*VLOOKUP($B760,Lifetime_morbidity_array!$A$6:$Y$24,7))+(SUM($CN760:$CO760)*VLOOKUP($B760,Lifetime_morbidity_array!$A$6:$Y$24,10))+(SUM($CN760:$CO760)*VLOOKUP($B760,Lifetime_morbidity_array!$A$6:$Y$24,13)))</f>
        <v>7.2992321345440558</v>
      </c>
      <c r="DG760" s="316">
        <f ca="1">(SUM($CP760:$CQ760))-(((SUM($CP760:$CQ760)*VLOOKUP($B760,Lifetime_morbidity_array!$A$6:$Y$24,3))+(SUM($CP760:$CQ760)*VLOOKUP($B760,Lifetime_morbidity_array!$A$6:$Y$24,6))+(SUM($CP760:$CQ760)*VLOOKUP($B760,Lifetime_morbidity_array!$A$6:$Y$24,9))+(SUM($CP760:$CQ760)*VLOOKUP($B760,Lifetime_morbidity_array!$A$6:$Y$24,12))))</f>
        <v>41.875869463510924</v>
      </c>
      <c r="DH760" s="316">
        <f ca="1">(SUM($CI760:$CM760))-((SUM($CI760:$CM760)*VLOOKUP($B760,Lifetime_morbidity_array!$A$6:$Y$24,2))+(SUM($CI760:$CM760)*VLOOKUP($B760,Lifetime_morbidity_array!$A$6:$Y$24,5))+(SUM($CI760:$CM760)*VLOOKUP($B760,Lifetime_morbidity_array!$A$6:$Y$24,8))+(SUM($CI760:$CM760)*VLOOKUP($B760,Lifetime_morbidity_array!$A$6:$Y$24,11)))</f>
        <v>98.982061695654409</v>
      </c>
      <c r="DI760" s="316">
        <f ca="1">(SUM($CI760:$CM760)*VLOOKUP($B760,Lifetime_morbidity_array!$A$6:$Y$24,2))+(SUM($CN760:$CO760)*VLOOKUP($B760,Lifetime_morbidity_array!$A$6:$Y$24,4))+(SUM($CP760:$CQ760)*VLOOKUP($B760,Lifetime_morbidity_array!$A$6:$Y$24,3))</f>
        <v>53.451001119127042</v>
      </c>
      <c r="DJ760" s="316">
        <f ca="1">(SUM($CI760:$CM760)*VLOOKUP($B760,Lifetime_morbidity_array!$A$6:$Y$24,5))+(SUM($CN760:$CO760)*VLOOKUP($B760,Lifetime_morbidity_array!$A$6:$Y$24,7))+(SUM($CP760:$CQ760)*VLOOKUP($B760,Lifetime_morbidity_array!$A$6:$Y$24,6))</f>
        <v>22.551206304713432</v>
      </c>
      <c r="DK760" s="316">
        <f ca="1">(SUM($CI760:$CM760)*VLOOKUP($B760,Lifetime_morbidity_array!$A$6:$Y$24,8))+(SUM($CN760:$CO760)*VLOOKUP($B760,Lifetime_morbidity_array!$A$6:$Y$24,10))+(SUM($CP760:$CQ760)*VLOOKUP($B760,Lifetime_morbidity_array!$A$6:$Y$24,9))</f>
        <v>1.0484303689755872</v>
      </c>
      <c r="DL760" s="317">
        <f ca="1">(SUM($CI760:$CM760)*VLOOKUP($B760,Lifetime_morbidity_array!$A$6:$Y$24,11))+(SUM($CN760:$CO760)*VLOOKUP($B760,Lifetime_morbidity_array!$A$6:$Y$24,13))+(SUM($CP760:$CQ760)*VLOOKUP($B760,Lifetime_morbidity_array!$A$6:$Y$24,12))</f>
        <v>29.533254136727084</v>
      </c>
      <c r="DM760" s="309"/>
      <c r="DN760" s="308">
        <f t="shared" si="354"/>
        <v>94</v>
      </c>
      <c r="DO760" s="309">
        <f t="shared" ca="1" si="355"/>
        <v>18.557817468322519</v>
      </c>
      <c r="DP760" s="310">
        <f t="shared" ca="1" si="386"/>
        <v>24021.686988968424</v>
      </c>
      <c r="DQ760" s="309"/>
      <c r="DR760" s="308">
        <f t="shared" si="356"/>
        <v>94</v>
      </c>
      <c r="DS760" s="309">
        <f ca="1">((VLOOKUP($B760,'Mahawesran Tariff'!$A$21:$M$120,4)*'Experimental (DET)'!$CX760)+(VLOOKUP($B760,'Mahawesran Tariff'!$A$21:$M$120,3)*'Experimental (DET)'!$CY760)+(VLOOKUP($B760,'Mahawesran Tariff'!$A$21:$M$120,2)*'Experimental (DET)'!$CZ760)+(VLOOKUP($B760,'Mahawesran Tariff'!$A$21:$M$120,7)*'Experimental (DET)'!$DF760)+(VLOOKUP($B760,'Mahawesran Tariff'!$A$21:$M$120,6)*'Experimental (DET)'!$DG760)+(VLOOKUP($B760,'Mahawesran Tariff'!$A$21:$M$120,5)*'Experimental (DET)'!$DH760)+(DET_UTIL_chd*('Experimental (DET)'!$DA760+'Experimental (DET)'!$DI760))+(DET_UTIL_copd*('Experimental (DET)'!$DB760+'Experimental (DET)'!$DJ760))+(DET_UTIL_lc*('Experimental (DET)'!$DC760+'Experimental (DET)'!$DK760))+(DET_UTIL_stroke*('Experimental (DET)'!$DD760+'Experimental (DET)'!$DL760)))/((1+Discount_rate_QALYs)^$A760)</f>
        <v>15.308295018646845</v>
      </c>
      <c r="DT760" s="310">
        <f t="shared" ca="1" si="387"/>
        <v>23510.19134823111</v>
      </c>
      <c r="DU760" s="309"/>
      <c r="DV760" s="308">
        <f t="shared" si="357"/>
        <v>94</v>
      </c>
      <c r="DW760" s="318">
        <f t="shared" ca="1" si="358"/>
        <v>62107.776565131942</v>
      </c>
      <c r="DX760" s="319">
        <f t="shared" ca="1" si="388"/>
        <v>11490901.4587794</v>
      </c>
      <c r="DZ760" s="95">
        <f t="shared" si="359"/>
        <v>94</v>
      </c>
      <c r="EA760" s="268">
        <f t="shared" ca="1" si="304"/>
        <v>0.47089033785345036</v>
      </c>
      <c r="EB760" s="268">
        <f t="shared" ca="1" si="306"/>
        <v>0.52910966214654931</v>
      </c>
      <c r="EC760" s="268">
        <f t="shared" ca="1" si="307"/>
        <v>0.23263931945828212</v>
      </c>
      <c r="ED760" s="290">
        <f t="shared" ca="1" si="308"/>
        <v>0.24568601817177613</v>
      </c>
      <c r="EF760" s="95">
        <f t="shared" si="360"/>
        <v>94</v>
      </c>
      <c r="EG760" s="339">
        <f t="shared" ca="1" si="361"/>
        <v>62107.776565131942</v>
      </c>
      <c r="EH760" s="341">
        <f t="shared" ca="1" si="389"/>
        <v>14592917.18274295</v>
      </c>
      <c r="EJ760" s="308">
        <f t="shared" si="362"/>
        <v>94</v>
      </c>
      <c r="EK760" s="318">
        <f t="shared" ca="1" si="363"/>
        <v>62107.776565131942</v>
      </c>
      <c r="EL760" s="319">
        <f t="shared" ca="1" si="390"/>
        <v>11487861.458779398</v>
      </c>
      <c r="EN760" s="95">
        <f t="shared" si="364"/>
        <v>94</v>
      </c>
      <c r="EO760" s="339">
        <f t="shared" ca="1" si="365"/>
        <v>62107.776565131942</v>
      </c>
      <c r="EP760" s="341">
        <f t="shared" ca="1" si="391"/>
        <v>14592917.18274295</v>
      </c>
    </row>
    <row r="761" spans="1:146" s="266" customFormat="1" x14ac:dyDescent="0.25">
      <c r="A761" s="313">
        <v>95</v>
      </c>
      <c r="B761" s="314">
        <v>95</v>
      </c>
      <c r="C761" s="308">
        <f>VLOOKUP($B761,'Infant adult mortality'!$A$27:$I$128,3)</f>
        <v>5.9510090366523931E-2</v>
      </c>
      <c r="D761" s="309">
        <f t="shared" si="309"/>
        <v>0.27</v>
      </c>
      <c r="E761" s="309">
        <f>VLOOKUP($B761,'Infant pick up smoking rates'!$A$19:$I$104,3)</f>
        <v>0</v>
      </c>
      <c r="F761" s="309">
        <f t="shared" si="310"/>
        <v>0.14624098391610749</v>
      </c>
      <c r="G761" s="309">
        <f t="shared" si="311"/>
        <v>0.52424892571736859</v>
      </c>
      <c r="H761" s="309">
        <f>VLOOKUP($B761,'Infant adult mortality'!$A$27:$I$128,3)</f>
        <v>5.9510090366523931E-2</v>
      </c>
      <c r="I761" s="309">
        <f t="shared" si="312"/>
        <v>0.14000000000000001</v>
      </c>
      <c r="J761" s="309">
        <f>VLOOKUP($B761,'Infant pick up smoking rates'!$A$19:$I$104,2)</f>
        <v>0</v>
      </c>
      <c r="K761" s="309">
        <f t="shared" si="313"/>
        <v>0.14624098391610749</v>
      </c>
      <c r="L761" s="309">
        <f t="shared" si="314"/>
        <v>0.65424892571736859</v>
      </c>
      <c r="M761" s="309">
        <f>VLOOKUP($B761,'Infant adult mortality'!$A$27:$I$128,3)</f>
        <v>5.9510090366523931E-2</v>
      </c>
      <c r="N761" s="309">
        <f t="shared" si="315"/>
        <v>0.5714285714285714</v>
      </c>
      <c r="O761" s="309">
        <f>VLOOKUP($B761,'Infant pick up smoking rates'!$A$19:$I$104,2)</f>
        <v>0</v>
      </c>
      <c r="P761" s="309">
        <f t="shared" si="316"/>
        <v>0.12016234480898272</v>
      </c>
      <c r="Q761" s="309">
        <f t="shared" si="317"/>
        <v>0.24889899339592197</v>
      </c>
      <c r="R761" s="309">
        <f>VLOOKUP($B761,'Infant adult mortality'!$A$27:$I$128,3)</f>
        <v>5.9510090366523931E-2</v>
      </c>
      <c r="S761" s="309">
        <f t="shared" si="318"/>
        <v>8.6261668788331098E-3</v>
      </c>
      <c r="T761" s="309">
        <f>VLOOKUP($B761,'Infant pick up smoking rates'!$A$19:$I$104,2)</f>
        <v>0</v>
      </c>
      <c r="U761" s="309">
        <f t="shared" si="319"/>
        <v>0.12016234480898272</v>
      </c>
      <c r="V761" s="309">
        <f t="shared" si="320"/>
        <v>0.81170139794566032</v>
      </c>
      <c r="W761" s="309">
        <f>VLOOKUP($B761,'Infant adult mortality'!$A$27:$I$128,3)</f>
        <v>5.9510090366523931E-2</v>
      </c>
      <c r="X761" s="309">
        <f>VLOOKUP($B761,'Infant pick up smoking rates'!$A$19:$I$104,2)</f>
        <v>0</v>
      </c>
      <c r="Y761" s="309">
        <f t="shared" si="321"/>
        <v>0.94048990963347612</v>
      </c>
      <c r="Z761" s="309">
        <f>VLOOKUP($B761,'Infant adult mortality'!$A$27:$I$128,5)</f>
        <v>7.7193693731665375E-2</v>
      </c>
      <c r="AA761" s="309">
        <f t="shared" si="322"/>
        <v>0.25</v>
      </c>
      <c r="AB761" s="309">
        <f t="shared" si="323"/>
        <v>0.6728063062683346</v>
      </c>
      <c r="AC761" s="309">
        <f>VLOOKUP($B761,'Infant adult mortality'!$A$27:$I$128,5)</f>
        <v>7.7193693731665375E-2</v>
      </c>
      <c r="AD761" s="309">
        <f t="shared" si="324"/>
        <v>0.14000000000000001</v>
      </c>
      <c r="AE761" s="309">
        <f t="shared" si="325"/>
        <v>0.78280630626833458</v>
      </c>
      <c r="AF761" s="309">
        <f>VLOOKUP($B761,'Infant adult mortality'!$A$27:$I$128,4)</f>
        <v>6.3428014465387608E-2</v>
      </c>
      <c r="AG761" s="309">
        <f t="shared" si="326"/>
        <v>0.5714285714285714</v>
      </c>
      <c r="AH761" s="309">
        <f t="shared" si="327"/>
        <v>0.36514341410604101</v>
      </c>
      <c r="AI761" s="309">
        <f>VLOOKUP($B761,'Infant adult mortality'!$A$27:$I$128,4)</f>
        <v>6.3428014465387608E-2</v>
      </c>
      <c r="AJ761" s="309">
        <f t="shared" si="328"/>
        <v>8.6261668788331098E-3</v>
      </c>
      <c r="AK761" s="309">
        <f t="shared" si="329"/>
        <v>0.9279458186557793</v>
      </c>
      <c r="AL761" s="309"/>
      <c r="AM761" s="315">
        <f t="shared" si="366"/>
        <v>0.1366843096452639</v>
      </c>
      <c r="AN761" s="316">
        <f t="shared" si="367"/>
        <v>4.6088835876493775E-2</v>
      </c>
      <c r="AO761" s="316">
        <f t="shared" si="368"/>
        <v>8.0130952512779997E-3</v>
      </c>
      <c r="AP761" s="316">
        <f t="shared" si="369"/>
        <v>0.69108675548354159</v>
      </c>
      <c r="AQ761" s="316">
        <f t="shared" si="370"/>
        <v>82.310167138923418</v>
      </c>
      <c r="AR761" s="316">
        <f t="shared" si="371"/>
        <v>36.323419379537548</v>
      </c>
      <c r="AS761" s="316">
        <f t="shared" si="372"/>
        <v>9.9100588292957816</v>
      </c>
      <c r="AT761" s="316">
        <f t="shared" si="373"/>
        <v>1.5038582083882648</v>
      </c>
      <c r="AU761" s="316">
        <f t="shared" si="374"/>
        <v>71.163006866609706</v>
      </c>
      <c r="AV761" s="316">
        <f t="shared" si="375"/>
        <v>307.90761658098819</v>
      </c>
      <c r="AW761" s="317">
        <f t="shared" si="330"/>
        <v>509.99999999999949</v>
      </c>
      <c r="AX761" s="309"/>
      <c r="AY761" s="308">
        <f>VLOOKUP($B761,'Infant adult mortality'!$A$134:$I$234,3)</f>
        <v>5.0274431331557477E-2</v>
      </c>
      <c r="AZ761" s="309">
        <f t="shared" si="331"/>
        <v>0.27</v>
      </c>
      <c r="BA761" s="309">
        <f ca="1">VLOOKUP($B761,'Infant pick up smoking rates'!$A$19:$I$104,7)</f>
        <v>0</v>
      </c>
      <c r="BB761" s="309">
        <f t="shared" si="332"/>
        <v>0.14624098391610749</v>
      </c>
      <c r="BC761" s="309">
        <f t="shared" ca="1" si="333"/>
        <v>0.53348458475233496</v>
      </c>
      <c r="BD761" s="309">
        <f>VLOOKUP($B761,'Infant adult mortality'!$A$134:$I$234,3)</f>
        <v>5.0274431331557477E-2</v>
      </c>
      <c r="BE761" s="309">
        <f t="shared" si="334"/>
        <v>0.14000000000000001</v>
      </c>
      <c r="BF761" s="309">
        <f>VLOOKUP($B761,'Infant pick up smoking rates'!$A$19:$I$104,6)</f>
        <v>0</v>
      </c>
      <c r="BG761" s="309">
        <f t="shared" si="335"/>
        <v>0.14624098391610749</v>
      </c>
      <c r="BH761" s="309">
        <f t="shared" si="336"/>
        <v>0.66348458475233496</v>
      </c>
      <c r="BI761" s="309">
        <f>VLOOKUP($B761,'Infant adult mortality'!$A$134:$I$234,3)</f>
        <v>5.0274431331557477E-2</v>
      </c>
      <c r="BJ761" s="309">
        <f t="shared" si="337"/>
        <v>0.5714285714285714</v>
      </c>
      <c r="BK761" s="309">
        <f>VLOOKUP($B761,'Infant pick up smoking rates'!$A$19:$I$104,6)</f>
        <v>0</v>
      </c>
      <c r="BL761" s="309">
        <f t="shared" si="338"/>
        <v>0.12016234480898272</v>
      </c>
      <c r="BM761" s="309">
        <f t="shared" si="339"/>
        <v>0.25813465243088846</v>
      </c>
      <c r="BN761" s="309">
        <f>VLOOKUP($B761,'Infant adult mortality'!$A$134:$I$234,3)</f>
        <v>5.0274431331557477E-2</v>
      </c>
      <c r="BO761" s="309">
        <f t="shared" si="340"/>
        <v>8.6261668788331098E-3</v>
      </c>
      <c r="BP761" s="309">
        <f>VLOOKUP($B761,'Infant pick up smoking rates'!$A$19:$I$104,6)</f>
        <v>0</v>
      </c>
      <c r="BQ761" s="309">
        <f t="shared" si="341"/>
        <v>0.12016234480898272</v>
      </c>
      <c r="BR761" s="309">
        <f t="shared" si="342"/>
        <v>0.82093705698062669</v>
      </c>
      <c r="BS761" s="309">
        <f>VLOOKUP($B761,'Infant adult mortality'!$A$134:$I$234,3)</f>
        <v>5.0274431331557477E-2</v>
      </c>
      <c r="BT761" s="309">
        <f>VLOOKUP($B761,'Infant pick up smoking rates'!$A$19:$I$104,6)</f>
        <v>0</v>
      </c>
      <c r="BU761" s="309">
        <f t="shared" si="343"/>
        <v>0.94972556866844249</v>
      </c>
      <c r="BV761" s="309">
        <f>VLOOKUP($B761,'Infant adult mortality'!$A$134:$I$234,5)</f>
        <v>6.5213630677411732E-2</v>
      </c>
      <c r="BW761" s="309">
        <f t="shared" si="344"/>
        <v>0.27</v>
      </c>
      <c r="BX761" s="309">
        <f t="shared" si="345"/>
        <v>0.66478636932258828</v>
      </c>
      <c r="BY761" s="309">
        <f>VLOOKUP($B761,'Infant adult mortality'!$A$134:$I$234,5)</f>
        <v>6.5213630677411732E-2</v>
      </c>
      <c r="BZ761" s="309">
        <f t="shared" si="346"/>
        <v>0.14000000000000001</v>
      </c>
      <c r="CA761" s="309">
        <f t="shared" si="347"/>
        <v>0.79478636932258828</v>
      </c>
      <c r="CB761" s="309">
        <f>VLOOKUP($B761,'Infant adult mortality'!$A$134:$I$234,4)</f>
        <v>5.3584313821357525E-2</v>
      </c>
      <c r="CC761" s="309">
        <f t="shared" si="348"/>
        <v>0.5714285714285714</v>
      </c>
      <c r="CD761" s="309">
        <f t="shared" si="349"/>
        <v>0.37498711475007107</v>
      </c>
      <c r="CE761" s="309">
        <f>VLOOKUP($B761,'Infant adult mortality'!$A$134:$I$234,4)</f>
        <v>5.3584313821357525E-2</v>
      </c>
      <c r="CF761" s="309">
        <f t="shared" si="350"/>
        <v>8.6261668788331098E-3</v>
      </c>
      <c r="CG761" s="309">
        <f t="shared" si="351"/>
        <v>0.93778951929980936</v>
      </c>
      <c r="CH761" s="309"/>
      <c r="CI761" s="315">
        <f t="shared" ca="1" si="376"/>
        <v>0.22053931878941496</v>
      </c>
      <c r="CJ761" s="316">
        <f t="shared" ca="1" si="377"/>
        <v>7.3509759138906797E-2</v>
      </c>
      <c r="CK761" s="316">
        <f t="shared" ca="1" si="378"/>
        <v>1.2636518331367155E-2</v>
      </c>
      <c r="CL761" s="316">
        <f t="shared" ca="1" si="379"/>
        <v>1.0957948565261628</v>
      </c>
      <c r="CM761" s="316">
        <f t="shared" ca="1" si="380"/>
        <v>128.47082989745911</v>
      </c>
      <c r="CN761" s="316">
        <f t="shared" ca="1" si="381"/>
        <v>33.132834787962551</v>
      </c>
      <c r="CO761" s="316">
        <f t="shared" ca="1" si="382"/>
        <v>9.6425776085459436</v>
      </c>
      <c r="CP761" s="316">
        <f t="shared" ca="1" si="383"/>
        <v>1.4456058125697393</v>
      </c>
      <c r="CQ761" s="316">
        <f t="shared" ca="1" si="384"/>
        <v>66.91382046791837</v>
      </c>
      <c r="CR761" s="316">
        <f t="shared" ca="1" si="385"/>
        <v>248.99185097275867</v>
      </c>
      <c r="CS761" s="317">
        <f t="shared" ca="1" si="352"/>
        <v>490.00000000000023</v>
      </c>
      <c r="CT761" s="309"/>
      <c r="CU761" s="309">
        <f t="shared" ca="1" si="353"/>
        <v>999.99999999999977</v>
      </c>
      <c r="CV761" s="309" t="str">
        <f t="shared" ca="1" si="305"/>
        <v>OKAY</v>
      </c>
      <c r="CW761" s="309"/>
      <c r="CX761" s="315">
        <f>(SUM($AR761:$AS761))-((SUM($AR761:$AS761)*VLOOKUP($B761,Lifetime_morbidity_array!$A$30:$Y$48,4))+(SUM($AR761:$AS761)*VLOOKUP($B761,Lifetime_morbidity_array!$A$30:$Y$48,7))+(SUM($AR761:$AS761)*VLOOKUP($B761,Lifetime_morbidity_array!$A$30:$Y$48,10))+(SUM($AR761:$AS761)*VLOOKUP($B761,Lifetime_morbidity_array!$A$30:$Y$48,13)))</f>
        <v>-1.248794806817628</v>
      </c>
      <c r="CY761" s="316">
        <f>(SUM($AT761:$AU761))-((SUM($AT761:$AU761)*(VLOOKUP($B761,Lifetime_morbidity_array!$A$30:$Y$48,3)))+(SUM($AT761:$AU761)*(VLOOKUP($B761,Lifetime_morbidity_array!$A$30:$Y$48,6)))+(SUM($AT761:$AU761)*(VLOOKUP($B761,Lifetime_morbidity_array!$A$30:$Y$48,9)))+(SUM($AT761:$AU761)*(VLOOKUP($B761,Lifetime_morbidity_array!$A$30:$Y$48,12))))</f>
        <v>32.954553749265507</v>
      </c>
      <c r="CZ761" s="316">
        <f>(SUM($AM761:$AQ761))-((SUM($AM761:$AQ761)*VLOOKUP($B761,Lifetime_morbidity_array!$A$30:$Y$48,2))+(SUM($AM761:$AQ761)*VLOOKUP($B761,Lifetime_morbidity_array!$A$30:$Y$48,5))+(SUM($AM761:$AQ761)*VLOOKUP($B761,Lifetime_morbidity_array!$A$30:$Y$48,8))+(SUM($AM761:$AQ761)*VLOOKUP($B761,Lifetime_morbidity_array!$A$30:$Y$48,11)))</f>
        <v>53.037957933008059</v>
      </c>
      <c r="DA761" s="316">
        <f>(SUM($AM761:$AQ761)*VLOOKUP($B761,Lifetime_morbidity_array!$A$30:$Y$48,2))+(SUM($AR761:$AS761)*VLOOKUP($B761,Lifetime_morbidity_array!$A$30:$Y$48,4))+(SUM($AT761:$AU761)*(VLOOKUP($B761,Lifetime_morbidity_array!$A$30:$Y$48,3)))</f>
        <v>61.412240150002134</v>
      </c>
      <c r="DB761" s="316">
        <f>(SUM($AM761:$AQ761)*VLOOKUP($B761,Lifetime_morbidity_array!$A$30:$Y$48,5))+(SUM($AR761:$AS761)*VLOOKUP($B761,Lifetime_morbidity_array!$A$30:$Y$48,7))+(SUM($AT761:$AU761)*(VLOOKUP($B761,Lifetime_morbidity_array!$A$30:$Y$48,6)))</f>
        <v>26.31164979214093</v>
      </c>
      <c r="DC761" s="316">
        <f>(SUM($AM761:$AQ761)*VLOOKUP($B761,Lifetime_morbidity_array!$A$30:$Y$48,8))+(SUM($AR761:$AS761)*VLOOKUP($B761,Lifetime_morbidity_array!$A$30:$Y$48,10))+(SUM($AT761:$AU761)*(VLOOKUP($B761,Lifetime_morbidity_array!$A$30:$Y$48,9)))</f>
        <v>2.1269394509942994</v>
      </c>
      <c r="DD761" s="317">
        <f>(SUM($AM761:$AQ761)*VLOOKUP($B761,Lifetime_morbidity_array!$A$30:$Y$48,11))+(SUM($AR761:$AS761)*VLOOKUP($B761,Lifetime_morbidity_array!$A$30:$Y$48,13))+(SUM($AT761:$AU761)*(VLOOKUP($B761,Lifetime_morbidity_array!$A$30:$Y$48,12)))</f>
        <v>27.497837150418</v>
      </c>
      <c r="DE761" s="309"/>
      <c r="DF761" s="315">
        <f ca="1">(SUM($CN761:$CO761))-((SUM($CN761:$CO761)*VLOOKUP($B761,Lifetime_morbidity_array!$A$6:$Y$24,4))+(SUM($CN761:$CO761)*VLOOKUP($B761,Lifetime_morbidity_array!$A$6:$Y$24,7))+(SUM($CN761:$CO761)*VLOOKUP($B761,Lifetime_morbidity_array!$A$6:$Y$24,10))+(SUM($CN761:$CO761)*VLOOKUP($B761,Lifetime_morbidity_array!$A$6:$Y$24,13)))</f>
        <v>6.7818072209312135</v>
      </c>
      <c r="DG761" s="316">
        <f ca="1">(SUM($CP761:$CQ761))-(((SUM($CP761:$CQ761)*VLOOKUP($B761,Lifetime_morbidity_array!$A$6:$Y$24,3))+(SUM($CP761:$CQ761)*VLOOKUP($B761,Lifetime_morbidity_array!$A$6:$Y$24,6))+(SUM($CP761:$CQ761)*VLOOKUP($B761,Lifetime_morbidity_array!$A$6:$Y$24,9))+(SUM($CP761:$CQ761)*VLOOKUP($B761,Lifetime_morbidity_array!$A$6:$Y$24,12))))</f>
        <v>39.784007049271608</v>
      </c>
      <c r="DH761" s="316">
        <f ca="1">(SUM($CI761:$CM761))-((SUM($CI761:$CM761)*VLOOKUP($B761,Lifetime_morbidity_array!$A$6:$Y$24,2))+(SUM($CI761:$CM761)*VLOOKUP($B761,Lifetime_morbidity_array!$A$6:$Y$24,5))+(SUM($CI761:$CM761)*VLOOKUP($B761,Lifetime_morbidity_array!$A$6:$Y$24,8))+(SUM($CI761:$CM761)*VLOOKUP($B761,Lifetime_morbidity_array!$A$6:$Y$24,11)))</f>
        <v>94.005794831880223</v>
      </c>
      <c r="DI761" s="316">
        <f ca="1">(SUM($CI761:$CM761)*VLOOKUP($B761,Lifetime_morbidity_array!$A$6:$Y$24,2))+(SUM($CN761:$CO761)*VLOOKUP($B761,Lifetime_morbidity_array!$A$6:$Y$24,4))+(SUM($CP761:$CQ761)*VLOOKUP($B761,Lifetime_morbidity_array!$A$6:$Y$24,3))</f>
        <v>50.424437348703314</v>
      </c>
      <c r="DJ761" s="316">
        <f ca="1">(SUM($CI761:$CM761)*VLOOKUP($B761,Lifetime_morbidity_array!$A$6:$Y$24,5))+(SUM($CN761:$CO761)*VLOOKUP($B761,Lifetime_morbidity_array!$A$6:$Y$24,7))+(SUM($CP761:$CQ761)*VLOOKUP($B761,Lifetime_morbidity_array!$A$6:$Y$24,6))</f>
        <v>21.141074287007271</v>
      </c>
      <c r="DK761" s="316">
        <f ca="1">(SUM($CI761:$CM761)*VLOOKUP($B761,Lifetime_morbidity_array!$A$6:$Y$24,8))+(SUM($CN761:$CO761)*VLOOKUP($B761,Lifetime_morbidity_array!$A$6:$Y$24,10))+(SUM($CP761:$CQ761)*VLOOKUP($B761,Lifetime_morbidity_array!$A$6:$Y$24,9))</f>
        <v>0.98196708145996714</v>
      </c>
      <c r="DL761" s="317">
        <f ca="1">(SUM($CI761:$CM761)*VLOOKUP($B761,Lifetime_morbidity_array!$A$6:$Y$24,11))+(SUM($CN761:$CO761)*VLOOKUP($B761,Lifetime_morbidity_array!$A$6:$Y$24,13))+(SUM($CP761:$CQ761)*VLOOKUP($B761,Lifetime_morbidity_array!$A$6:$Y$24,12))</f>
        <v>27.889061207987957</v>
      </c>
      <c r="DM761" s="309"/>
      <c r="DN761" s="308">
        <f t="shared" si="354"/>
        <v>95</v>
      </c>
      <c r="DO761" s="309">
        <f t="shared" ca="1" si="355"/>
        <v>16.872096145715286</v>
      </c>
      <c r="DP761" s="310">
        <f t="shared" ca="1" si="386"/>
        <v>24038.559085114139</v>
      </c>
      <c r="DQ761" s="309"/>
      <c r="DR761" s="308">
        <f t="shared" si="356"/>
        <v>95</v>
      </c>
      <c r="DS761" s="309">
        <f ca="1">((VLOOKUP($B761,'Mahawesran Tariff'!$A$21:$M$120,4)*'Experimental (DET)'!$CX761)+(VLOOKUP($B761,'Mahawesran Tariff'!$A$21:$M$120,3)*'Experimental (DET)'!$CY761)+(VLOOKUP($B761,'Mahawesran Tariff'!$A$21:$M$120,2)*'Experimental (DET)'!$CZ761)+(VLOOKUP($B761,'Mahawesran Tariff'!$A$21:$M$120,7)*'Experimental (DET)'!$DF761)+(VLOOKUP($B761,'Mahawesran Tariff'!$A$21:$M$120,6)*'Experimental (DET)'!$DG761)+(VLOOKUP($B761,'Mahawesran Tariff'!$A$21:$M$120,5)*'Experimental (DET)'!$DH761)+(DET_UTIL_chd*('Experimental (DET)'!$DA761+'Experimental (DET)'!$DI761))+(DET_UTIL_copd*('Experimental (DET)'!$DB761+'Experimental (DET)'!$DJ761))+(DET_UTIL_lc*('Experimental (DET)'!$DC761+'Experimental (DET)'!$DK761))+(DET_UTIL_stroke*('Experimental (DET)'!$DD761+'Experimental (DET)'!$DL761)))/((1+Discount_rate_QALYs)^$A761)</f>
        <v>13.925961714419648</v>
      </c>
      <c r="DT761" s="310">
        <f t="shared" ca="1" si="387"/>
        <v>23524.11730994553</v>
      </c>
      <c r="DU761" s="309"/>
      <c r="DV761" s="308">
        <f t="shared" si="357"/>
        <v>95</v>
      </c>
      <c r="DW761" s="318">
        <f t="shared" ca="1" si="358"/>
        <v>56302.645141241832</v>
      </c>
      <c r="DX761" s="319">
        <f t="shared" ca="1" si="388"/>
        <v>11547204.103920642</v>
      </c>
      <c r="DZ761" s="95">
        <f t="shared" si="359"/>
        <v>95</v>
      </c>
      <c r="EA761" s="268">
        <f t="shared" ca="1" si="304"/>
        <v>0.4431005324462528</v>
      </c>
      <c r="EB761" s="268">
        <f t="shared" ca="1" si="306"/>
        <v>0.55689946755374686</v>
      </c>
      <c r="EC761" s="268">
        <f t="shared" ca="1" si="307"/>
        <v>0.21778520646871388</v>
      </c>
      <c r="ED761" s="290">
        <f t="shared" ca="1" si="308"/>
        <v>0.23003518196082792</v>
      </c>
      <c r="EF761" s="95">
        <f t="shared" si="360"/>
        <v>95</v>
      </c>
      <c r="EG761" s="339">
        <f t="shared" ca="1" si="361"/>
        <v>56302.645141241832</v>
      </c>
      <c r="EH761" s="341">
        <f t="shared" ca="1" si="389"/>
        <v>14649219.827884192</v>
      </c>
      <c r="EJ761" s="308">
        <f t="shared" si="362"/>
        <v>95</v>
      </c>
      <c r="EK761" s="318">
        <f t="shared" ca="1" si="363"/>
        <v>56302.645141241832</v>
      </c>
      <c r="EL761" s="319">
        <f t="shared" ca="1" si="390"/>
        <v>11544164.10392064</v>
      </c>
      <c r="EN761" s="95">
        <f t="shared" si="364"/>
        <v>95</v>
      </c>
      <c r="EO761" s="339">
        <f t="shared" ca="1" si="365"/>
        <v>56302.645141241832</v>
      </c>
      <c r="EP761" s="341">
        <f t="shared" ca="1" si="391"/>
        <v>14649219.827884192</v>
      </c>
    </row>
    <row r="762" spans="1:146" s="266" customFormat="1" x14ac:dyDescent="0.25">
      <c r="A762" s="313">
        <v>96</v>
      </c>
      <c r="B762" s="314">
        <v>96</v>
      </c>
      <c r="C762" s="308">
        <f>VLOOKUP($B762,'Infant adult mortality'!$A$27:$I$128,3)</f>
        <v>6.477060896247093E-2</v>
      </c>
      <c r="D762" s="309">
        <f t="shared" si="309"/>
        <v>0.27</v>
      </c>
      <c r="E762" s="309">
        <f>VLOOKUP($B762,'Infant pick up smoking rates'!$A$19:$I$104,3)</f>
        <v>0</v>
      </c>
      <c r="F762" s="309">
        <f t="shared" si="310"/>
        <v>0.14624098391610749</v>
      </c>
      <c r="G762" s="309">
        <f t="shared" si="311"/>
        <v>0.51898840712142158</v>
      </c>
      <c r="H762" s="309">
        <f>VLOOKUP($B762,'Infant adult mortality'!$A$27:$I$128,3)</f>
        <v>6.477060896247093E-2</v>
      </c>
      <c r="I762" s="309">
        <f t="shared" si="312"/>
        <v>0.14000000000000001</v>
      </c>
      <c r="J762" s="309">
        <f>VLOOKUP($B762,'Infant pick up smoking rates'!$A$19:$I$104,2)</f>
        <v>0</v>
      </c>
      <c r="K762" s="309">
        <f t="shared" si="313"/>
        <v>0.14624098391610749</v>
      </c>
      <c r="L762" s="309">
        <f t="shared" si="314"/>
        <v>0.64898840712142158</v>
      </c>
      <c r="M762" s="309">
        <f>VLOOKUP($B762,'Infant adult mortality'!$A$27:$I$128,3)</f>
        <v>6.477060896247093E-2</v>
      </c>
      <c r="N762" s="309">
        <f t="shared" si="315"/>
        <v>0.5714285714285714</v>
      </c>
      <c r="O762" s="309">
        <f>VLOOKUP($B762,'Infant pick up smoking rates'!$A$19:$I$104,2)</f>
        <v>0</v>
      </c>
      <c r="P762" s="309">
        <f t="shared" si="316"/>
        <v>0.12016234480898272</v>
      </c>
      <c r="Q762" s="309">
        <f t="shared" si="317"/>
        <v>0.24363847479997497</v>
      </c>
      <c r="R762" s="309">
        <f>VLOOKUP($B762,'Infant adult mortality'!$A$27:$I$128,3)</f>
        <v>6.477060896247093E-2</v>
      </c>
      <c r="S762" s="309">
        <f t="shared" si="318"/>
        <v>8.6261668788331098E-3</v>
      </c>
      <c r="T762" s="309">
        <f>VLOOKUP($B762,'Infant pick up smoking rates'!$A$19:$I$104,2)</f>
        <v>0</v>
      </c>
      <c r="U762" s="309">
        <f t="shared" si="319"/>
        <v>0.12016234480898272</v>
      </c>
      <c r="V762" s="309">
        <f t="shared" si="320"/>
        <v>0.80644087934971331</v>
      </c>
      <c r="W762" s="309">
        <f>VLOOKUP($B762,'Infant adult mortality'!$A$27:$I$128,3)</f>
        <v>6.477060896247093E-2</v>
      </c>
      <c r="X762" s="309">
        <f>VLOOKUP($B762,'Infant pick up smoking rates'!$A$19:$I$104,2)</f>
        <v>0</v>
      </c>
      <c r="Y762" s="309">
        <f t="shared" si="321"/>
        <v>0.93522939103752911</v>
      </c>
      <c r="Z762" s="309">
        <f>VLOOKUP($B762,'Infant adult mortality'!$A$27:$I$128,5)</f>
        <v>8.4017391340998754E-2</v>
      </c>
      <c r="AA762" s="309">
        <f t="shared" si="322"/>
        <v>0.25</v>
      </c>
      <c r="AB762" s="309">
        <f t="shared" si="323"/>
        <v>0.66598260865900127</v>
      </c>
      <c r="AC762" s="309">
        <f>VLOOKUP($B762,'Infant adult mortality'!$A$27:$I$128,5)</f>
        <v>8.4017391340998754E-2</v>
      </c>
      <c r="AD762" s="309">
        <f t="shared" si="324"/>
        <v>0.14000000000000001</v>
      </c>
      <c r="AE762" s="309">
        <f t="shared" si="325"/>
        <v>0.77598260865900126</v>
      </c>
      <c r="AF762" s="309">
        <f>VLOOKUP($B762,'Infant adult mortality'!$A$27:$I$128,4)</f>
        <v>6.9034866136156739E-2</v>
      </c>
      <c r="AG762" s="309">
        <f t="shared" si="326"/>
        <v>0.5714285714285714</v>
      </c>
      <c r="AH762" s="309">
        <f t="shared" si="327"/>
        <v>0.35953656243527188</v>
      </c>
      <c r="AI762" s="309">
        <f>VLOOKUP($B762,'Infant adult mortality'!$A$27:$I$128,4)</f>
        <v>6.9034866136156739E-2</v>
      </c>
      <c r="AJ762" s="309">
        <f t="shared" si="328"/>
        <v>8.6261668788331098E-3</v>
      </c>
      <c r="AK762" s="309">
        <f t="shared" si="329"/>
        <v>0.92233896698501017</v>
      </c>
      <c r="AL762" s="309"/>
      <c r="AM762" s="315">
        <f t="shared" si="366"/>
        <v>0.10876242030885365</v>
      </c>
      <c r="AN762" s="316">
        <f t="shared" si="367"/>
        <v>3.6904763604221257E-2</v>
      </c>
      <c r="AO762" s="316">
        <f t="shared" si="368"/>
        <v>6.452437022709129E-3</v>
      </c>
      <c r="AP762" s="316">
        <f t="shared" si="369"/>
        <v>0.56189952237124641</v>
      </c>
      <c r="AQ762" s="316">
        <f t="shared" si="370"/>
        <v>77.089621891487027</v>
      </c>
      <c r="AR762" s="316">
        <f t="shared" si="371"/>
        <v>33.035354879585348</v>
      </c>
      <c r="AS762" s="316">
        <f t="shared" si="372"/>
        <v>9.0808548448843869</v>
      </c>
      <c r="AT762" s="316">
        <f t="shared" si="373"/>
        <v>1.3874082361014095</v>
      </c>
      <c r="AU762" s="316">
        <f t="shared" si="374"/>
        <v>66.495761788546432</v>
      </c>
      <c r="AV762" s="316">
        <f t="shared" si="375"/>
        <v>322.19697921608775</v>
      </c>
      <c r="AW762" s="317">
        <f t="shared" si="330"/>
        <v>509.99999999999937</v>
      </c>
      <c r="AX762" s="309"/>
      <c r="AY762" s="308">
        <f>VLOOKUP($B762,'Infant adult mortality'!$A$134:$I$234,3)</f>
        <v>5.5186838520416774E-2</v>
      </c>
      <c r="AZ762" s="309">
        <f t="shared" si="331"/>
        <v>0.27</v>
      </c>
      <c r="BA762" s="309">
        <f ca="1">VLOOKUP($B762,'Infant pick up smoking rates'!$A$19:$I$104,7)</f>
        <v>0</v>
      </c>
      <c r="BB762" s="309">
        <f t="shared" si="332"/>
        <v>0.14624098391610749</v>
      </c>
      <c r="BC762" s="309">
        <f t="shared" ca="1" si="333"/>
        <v>0.52857217756347574</v>
      </c>
      <c r="BD762" s="309">
        <f>VLOOKUP($B762,'Infant adult mortality'!$A$134:$I$234,3)</f>
        <v>5.5186838520416774E-2</v>
      </c>
      <c r="BE762" s="309">
        <f t="shared" si="334"/>
        <v>0.14000000000000001</v>
      </c>
      <c r="BF762" s="309">
        <f>VLOOKUP($B762,'Infant pick up smoking rates'!$A$19:$I$104,6)</f>
        <v>0</v>
      </c>
      <c r="BG762" s="309">
        <f t="shared" si="335"/>
        <v>0.14624098391610749</v>
      </c>
      <c r="BH762" s="309">
        <f t="shared" si="336"/>
        <v>0.65857217756347575</v>
      </c>
      <c r="BI762" s="309">
        <f>VLOOKUP($B762,'Infant adult mortality'!$A$134:$I$234,3)</f>
        <v>5.5186838520416774E-2</v>
      </c>
      <c r="BJ762" s="309">
        <f t="shared" si="337"/>
        <v>0.5714285714285714</v>
      </c>
      <c r="BK762" s="309">
        <f>VLOOKUP($B762,'Infant pick up smoking rates'!$A$19:$I$104,6)</f>
        <v>0</v>
      </c>
      <c r="BL762" s="309">
        <f t="shared" si="338"/>
        <v>0.12016234480898272</v>
      </c>
      <c r="BM762" s="309">
        <f t="shared" si="339"/>
        <v>0.25322224524202913</v>
      </c>
      <c r="BN762" s="309">
        <f>VLOOKUP($B762,'Infant adult mortality'!$A$134:$I$234,3)</f>
        <v>5.5186838520416774E-2</v>
      </c>
      <c r="BO762" s="309">
        <f t="shared" si="340"/>
        <v>8.6261668788331098E-3</v>
      </c>
      <c r="BP762" s="309">
        <f>VLOOKUP($B762,'Infant pick up smoking rates'!$A$19:$I$104,6)</f>
        <v>0</v>
      </c>
      <c r="BQ762" s="309">
        <f t="shared" si="341"/>
        <v>0.12016234480898272</v>
      </c>
      <c r="BR762" s="309">
        <f t="shared" si="342"/>
        <v>0.81602464979176748</v>
      </c>
      <c r="BS762" s="309">
        <f>VLOOKUP($B762,'Infant adult mortality'!$A$134:$I$234,3)</f>
        <v>5.5186838520416774E-2</v>
      </c>
      <c r="BT762" s="309">
        <f>VLOOKUP($B762,'Infant pick up smoking rates'!$A$19:$I$104,6)</f>
        <v>0</v>
      </c>
      <c r="BU762" s="309">
        <f t="shared" si="343"/>
        <v>0.94481316147958327</v>
      </c>
      <c r="BV762" s="309">
        <f>VLOOKUP($B762,'Infant adult mortality'!$A$134:$I$234,5)</f>
        <v>7.1585774522035281E-2</v>
      </c>
      <c r="BW762" s="309">
        <f t="shared" si="344"/>
        <v>0.27</v>
      </c>
      <c r="BX762" s="309">
        <f t="shared" si="345"/>
        <v>0.65841422547796469</v>
      </c>
      <c r="BY762" s="309">
        <f>VLOOKUP($B762,'Infant adult mortality'!$A$134:$I$234,5)</f>
        <v>7.1585774522035281E-2</v>
      </c>
      <c r="BZ762" s="309">
        <f t="shared" si="346"/>
        <v>0.14000000000000001</v>
      </c>
      <c r="CA762" s="309">
        <f t="shared" si="347"/>
        <v>0.78841422547796469</v>
      </c>
      <c r="CB762" s="309">
        <f>VLOOKUP($B762,'Infant adult mortality'!$A$134:$I$234,4)</f>
        <v>5.8820135718380157E-2</v>
      </c>
      <c r="CC762" s="309">
        <f t="shared" si="348"/>
        <v>0.5714285714285714</v>
      </c>
      <c r="CD762" s="309">
        <f t="shared" si="349"/>
        <v>0.36975129285304842</v>
      </c>
      <c r="CE762" s="309">
        <f>VLOOKUP($B762,'Infant adult mortality'!$A$134:$I$234,4)</f>
        <v>5.8820135718380157E-2</v>
      </c>
      <c r="CF762" s="309">
        <f t="shared" si="350"/>
        <v>8.6261668788331098E-3</v>
      </c>
      <c r="CG762" s="309">
        <f t="shared" si="351"/>
        <v>0.93255369740278671</v>
      </c>
      <c r="CH762" s="309"/>
      <c r="CI762" s="315">
        <f t="shared" ca="1" si="376"/>
        <v>0.17763478696043558</v>
      </c>
      <c r="CJ762" s="316">
        <f t="shared" ca="1" si="377"/>
        <v>5.9545616073142044E-2</v>
      </c>
      <c r="CK762" s="316">
        <f t="shared" ca="1" si="378"/>
        <v>1.0291366279446953E-2</v>
      </c>
      <c r="CL762" s="316">
        <f t="shared" ca="1" si="379"/>
        <v>0.90141648165830612</v>
      </c>
      <c r="CM762" s="316">
        <f t="shared" ca="1" si="380"/>
        <v>121.5571246928627</v>
      </c>
      <c r="CN762" s="316">
        <f t="shared" ca="1" si="381"/>
        <v>30.529199511668729</v>
      </c>
      <c r="CO762" s="316">
        <f t="shared" ca="1" si="382"/>
        <v>8.945865392749889</v>
      </c>
      <c r="CP762" s="316">
        <f t="shared" ca="1" si="383"/>
        <v>1.3499608651964323</v>
      </c>
      <c r="CQ762" s="316">
        <f t="shared" ca="1" si="384"/>
        <v>63.226791149029111</v>
      </c>
      <c r="CR762" s="316">
        <f t="shared" ca="1" si="385"/>
        <v>263.24217013752207</v>
      </c>
      <c r="CS762" s="317">
        <f t="shared" ca="1" si="352"/>
        <v>490.00000000000023</v>
      </c>
      <c r="CT762" s="309"/>
      <c r="CU762" s="309">
        <f t="shared" ca="1" si="353"/>
        <v>999.99999999999955</v>
      </c>
      <c r="CV762" s="309" t="str">
        <f t="shared" ca="1" si="305"/>
        <v>OKAY</v>
      </c>
      <c r="CW762" s="309"/>
      <c r="CX762" s="315">
        <f>(SUM($AR762:$AS762))-((SUM($AR762:$AS762)*VLOOKUP($B762,Lifetime_morbidity_array!$A$30:$Y$48,4))+(SUM($AR762:$AS762)*VLOOKUP($B762,Lifetime_morbidity_array!$A$30:$Y$48,7))+(SUM($AR762:$AS762)*VLOOKUP($B762,Lifetime_morbidity_array!$A$30:$Y$48,10))+(SUM($AR762:$AS762)*VLOOKUP($B762,Lifetime_morbidity_array!$A$30:$Y$48,13)))</f>
        <v>-1.1375848416421235</v>
      </c>
      <c r="CY762" s="316">
        <f>(SUM($AT762:$AU762))-((SUM($AT762:$AU762)*(VLOOKUP($B762,Lifetime_morbidity_array!$A$30:$Y$48,3)))+(SUM($AT762:$AU762)*(VLOOKUP($B762,Lifetime_morbidity_array!$A$30:$Y$48,6)))+(SUM($AT762:$AU762)*(VLOOKUP($B762,Lifetime_morbidity_array!$A$30:$Y$48,9)))+(SUM($AT762:$AU762)*(VLOOKUP($B762,Lifetime_morbidity_array!$A$30:$Y$48,12))))</f>
        <v>30.785139457150976</v>
      </c>
      <c r="CZ762" s="316">
        <f>(SUM($AM762:$AQ762))-((SUM($AM762:$AQ762)*VLOOKUP($B762,Lifetime_morbidity_array!$A$30:$Y$48,2))+(SUM($AM762:$AQ762)*VLOOKUP($B762,Lifetime_morbidity_array!$A$30:$Y$48,5))+(SUM($AM762:$AQ762)*VLOOKUP($B762,Lifetime_morbidity_array!$A$30:$Y$48,8))+(SUM($AM762:$AQ762)*VLOOKUP($B762,Lifetime_morbidity_array!$A$30:$Y$48,11)))</f>
        <v>49.602657099561213</v>
      </c>
      <c r="DA762" s="316">
        <f>(SUM($AM762:$AQ762)*VLOOKUP($B762,Lifetime_morbidity_array!$A$30:$Y$48,2))+(SUM($AR762:$AS762)*VLOOKUP($B762,Lifetime_morbidity_array!$A$30:$Y$48,4))+(SUM($AT762:$AU762)*(VLOOKUP($B762,Lifetime_morbidity_array!$A$30:$Y$48,3)))</f>
        <v>56.907072809557533</v>
      </c>
      <c r="DB762" s="316">
        <f>(SUM($AM762:$AQ762)*VLOOKUP($B762,Lifetime_morbidity_array!$A$30:$Y$48,5))+(SUM($AR762:$AS762)*VLOOKUP($B762,Lifetime_morbidity_array!$A$30:$Y$48,7))+(SUM($AT762:$AU762)*(VLOOKUP($B762,Lifetime_morbidity_array!$A$30:$Y$48,6)))</f>
        <v>24.180445554196147</v>
      </c>
      <c r="DC762" s="316">
        <f>(SUM($AM762:$AQ762)*VLOOKUP($B762,Lifetime_morbidity_array!$A$30:$Y$48,8))+(SUM($AR762:$AS762)*VLOOKUP($B762,Lifetime_morbidity_array!$A$30:$Y$48,10))+(SUM($AT762:$AU762)*(VLOOKUP($B762,Lifetime_morbidity_array!$A$30:$Y$48,9)))</f>
        <v>1.9547766946387843</v>
      </c>
      <c r="DD762" s="317">
        <f>(SUM($AM762:$AQ762)*VLOOKUP($B762,Lifetime_morbidity_array!$A$30:$Y$48,11))+(SUM($AR762:$AS762)*VLOOKUP($B762,Lifetime_morbidity_array!$A$30:$Y$48,13))+(SUM($AT762:$AU762)*(VLOOKUP($B762,Lifetime_morbidity_array!$A$30:$Y$48,12)))</f>
        <v>25.5105140104491</v>
      </c>
      <c r="DE762" s="309"/>
      <c r="DF762" s="315">
        <f ca="1">(SUM($CN762:$CO762))-((SUM($CN762:$CO762)*VLOOKUP($B762,Lifetime_morbidity_array!$A$6:$Y$24,4))+(SUM($CN762:$CO762)*VLOOKUP($B762,Lifetime_morbidity_array!$A$6:$Y$24,7))+(SUM($CN762:$CO762)*VLOOKUP($B762,Lifetime_morbidity_array!$A$6:$Y$24,10))+(SUM($CN762:$CO762)*VLOOKUP($B762,Lifetime_morbidity_array!$A$6:$Y$24,13)))</f>
        <v>6.2585552123716326</v>
      </c>
      <c r="DG762" s="316">
        <f ca="1">(SUM($CP762:$CQ762))-(((SUM($CP762:$CQ762)*VLOOKUP($B762,Lifetime_morbidity_array!$A$6:$Y$24,3))+(SUM($CP762:$CQ762)*VLOOKUP($B762,Lifetime_morbidity_array!$A$6:$Y$24,6))+(SUM($CP762:$CQ762)*VLOOKUP($B762,Lifetime_morbidity_array!$A$6:$Y$24,9))+(SUM($CP762:$CQ762)*VLOOKUP($B762,Lifetime_morbidity_array!$A$6:$Y$24,12))))</f>
        <v>37.582555868909054</v>
      </c>
      <c r="DH762" s="316">
        <f ca="1">(SUM($CI762:$CM762))-((SUM($CI762:$CM762)*VLOOKUP($B762,Lifetime_morbidity_array!$A$6:$Y$24,2))+(SUM($CI762:$CM762)*VLOOKUP($B762,Lifetime_morbidity_array!$A$6:$Y$24,5))+(SUM($CI762:$CM762)*VLOOKUP($B762,Lifetime_morbidity_array!$A$6:$Y$24,8))+(SUM($CI762:$CM762)*VLOOKUP($B762,Lifetime_morbidity_array!$A$6:$Y$24,11)))</f>
        <v>88.817912212509825</v>
      </c>
      <c r="DI762" s="316">
        <f ca="1">(SUM($CI762:$CM762)*VLOOKUP($B762,Lifetime_morbidity_array!$A$6:$Y$24,2))+(SUM($CN762:$CO762)*VLOOKUP($B762,Lifetime_morbidity_array!$A$6:$Y$24,4))+(SUM($CP762:$CQ762)*VLOOKUP($B762,Lifetime_morbidity_array!$A$6:$Y$24,3))</f>
        <v>47.298905492566725</v>
      </c>
      <c r="DJ762" s="316">
        <f ca="1">(SUM($CI762:$CM762)*VLOOKUP($B762,Lifetime_morbidity_array!$A$6:$Y$24,5))+(SUM($CN762:$CO762)*VLOOKUP($B762,Lifetime_morbidity_array!$A$6:$Y$24,7))+(SUM($CP762:$CQ762)*VLOOKUP($B762,Lifetime_morbidity_array!$A$6:$Y$24,6))</f>
        <v>19.697429974513263</v>
      </c>
      <c r="DK762" s="316">
        <f ca="1">(SUM($CI762:$CM762)*VLOOKUP($B762,Lifetime_morbidity_array!$A$6:$Y$24,8))+(SUM($CN762:$CO762)*VLOOKUP($B762,Lifetime_morbidity_array!$A$6:$Y$24,10))+(SUM($CP762:$CQ762)*VLOOKUP($B762,Lifetime_morbidity_array!$A$6:$Y$24,9))</f>
        <v>0.91402318938712668</v>
      </c>
      <c r="DL762" s="317">
        <f ca="1">(SUM($CI762:$CM762)*VLOOKUP($B762,Lifetime_morbidity_array!$A$6:$Y$24,11))+(SUM($CN762:$CO762)*VLOOKUP($B762,Lifetime_morbidity_array!$A$6:$Y$24,13))+(SUM($CP762:$CQ762)*VLOOKUP($B762,Lifetime_morbidity_array!$A$6:$Y$24,12))</f>
        <v>26.188447912220564</v>
      </c>
      <c r="DM762" s="309"/>
      <c r="DN762" s="308">
        <f t="shared" si="354"/>
        <v>96</v>
      </c>
      <c r="DO762" s="309">
        <f t="shared" ca="1" si="355"/>
        <v>15.25157541887836</v>
      </c>
      <c r="DP762" s="310">
        <f t="shared" ca="1" si="386"/>
        <v>24053.810660533018</v>
      </c>
      <c r="DQ762" s="309"/>
      <c r="DR762" s="308">
        <f t="shared" si="356"/>
        <v>96</v>
      </c>
      <c r="DS762" s="309">
        <f ca="1">((VLOOKUP($B762,'Mahawesran Tariff'!$A$21:$M$120,4)*'Experimental (DET)'!$CX762)+(VLOOKUP($B762,'Mahawesran Tariff'!$A$21:$M$120,3)*'Experimental (DET)'!$CY762)+(VLOOKUP($B762,'Mahawesran Tariff'!$A$21:$M$120,2)*'Experimental (DET)'!$CZ762)+(VLOOKUP($B762,'Mahawesran Tariff'!$A$21:$M$120,7)*'Experimental (DET)'!$DF762)+(VLOOKUP($B762,'Mahawesran Tariff'!$A$21:$M$120,6)*'Experimental (DET)'!$DG762)+(VLOOKUP($B762,'Mahawesran Tariff'!$A$21:$M$120,5)*'Experimental (DET)'!$DH762)+(DET_UTIL_chd*('Experimental (DET)'!$DA762+'Experimental (DET)'!$DI762))+(DET_UTIL_copd*('Experimental (DET)'!$DB762+'Experimental (DET)'!$DJ762))+(DET_UTIL_lc*('Experimental (DET)'!$DC762+'Experimental (DET)'!$DK762))+(DET_UTIL_stroke*('Experimental (DET)'!$DD762+'Experimental (DET)'!$DL762)))/((1+Discount_rate_QALYs)^$A762)</f>
        <v>12.596234621507305</v>
      </c>
      <c r="DT762" s="310">
        <f t="shared" ca="1" si="387"/>
        <v>23536.713544567036</v>
      </c>
      <c r="DU762" s="309"/>
      <c r="DV762" s="308">
        <f t="shared" si="357"/>
        <v>96</v>
      </c>
      <c r="DW762" s="318">
        <f t="shared" ca="1" si="358"/>
        <v>50739.581778701293</v>
      </c>
      <c r="DX762" s="319">
        <f t="shared" ca="1" si="388"/>
        <v>11597943.685699344</v>
      </c>
      <c r="DZ762" s="95">
        <f t="shared" si="359"/>
        <v>96</v>
      </c>
      <c r="EA762" s="268">
        <f t="shared" ca="1" si="304"/>
        <v>0.41456085064638976</v>
      </c>
      <c r="EB762" s="268">
        <f t="shared" ca="1" si="306"/>
        <v>0.58543914935360974</v>
      </c>
      <c r="EC762" s="268">
        <f t="shared" ca="1" si="307"/>
        <v>0.20265161563752923</v>
      </c>
      <c r="ED762" s="290">
        <f t="shared" ca="1" si="308"/>
        <v>0.21405119666776173</v>
      </c>
      <c r="EF762" s="95">
        <f t="shared" si="360"/>
        <v>96</v>
      </c>
      <c r="EG762" s="339">
        <f t="shared" ca="1" si="361"/>
        <v>50739.581778701293</v>
      </c>
      <c r="EH762" s="341">
        <f t="shared" ca="1" si="389"/>
        <v>14699959.409662893</v>
      </c>
      <c r="EJ762" s="308">
        <f t="shared" si="362"/>
        <v>96</v>
      </c>
      <c r="EK762" s="318">
        <f t="shared" ca="1" si="363"/>
        <v>50739.581778701293</v>
      </c>
      <c r="EL762" s="319">
        <f t="shared" ca="1" si="390"/>
        <v>11594903.685699342</v>
      </c>
      <c r="EN762" s="95">
        <f t="shared" si="364"/>
        <v>96</v>
      </c>
      <c r="EO762" s="339">
        <f t="shared" ca="1" si="365"/>
        <v>50739.581778701293</v>
      </c>
      <c r="EP762" s="341">
        <f t="shared" ca="1" si="391"/>
        <v>14699959.409662893</v>
      </c>
    </row>
    <row r="763" spans="1:146" s="266" customFormat="1" x14ac:dyDescent="0.25">
      <c r="A763" s="313">
        <v>97</v>
      </c>
      <c r="B763" s="314">
        <v>97</v>
      </c>
      <c r="C763" s="308">
        <f>VLOOKUP($B763,'Infant adult mortality'!$A$27:$I$128,3)</f>
        <v>7.0547514920592108E-2</v>
      </c>
      <c r="D763" s="309">
        <f t="shared" si="309"/>
        <v>0.27</v>
      </c>
      <c r="E763" s="309">
        <f>VLOOKUP($B763,'Infant pick up smoking rates'!$A$19:$I$104,3)</f>
        <v>0</v>
      </c>
      <c r="F763" s="309">
        <f t="shared" si="310"/>
        <v>0.14624098391610749</v>
      </c>
      <c r="G763" s="309">
        <f t="shared" si="311"/>
        <v>0.51321150116330039</v>
      </c>
      <c r="H763" s="309">
        <f>VLOOKUP($B763,'Infant adult mortality'!$A$27:$I$128,3)</f>
        <v>7.0547514920592108E-2</v>
      </c>
      <c r="I763" s="309">
        <f t="shared" si="312"/>
        <v>0.14000000000000001</v>
      </c>
      <c r="J763" s="309">
        <f>VLOOKUP($B763,'Infant pick up smoking rates'!$A$19:$I$104,2)</f>
        <v>0</v>
      </c>
      <c r="K763" s="309">
        <f t="shared" si="313"/>
        <v>0.14624098391610749</v>
      </c>
      <c r="L763" s="309">
        <f t="shared" si="314"/>
        <v>0.64321150116330039</v>
      </c>
      <c r="M763" s="309">
        <f>VLOOKUP($B763,'Infant adult mortality'!$A$27:$I$128,3)</f>
        <v>7.0547514920592108E-2</v>
      </c>
      <c r="N763" s="309">
        <f t="shared" si="315"/>
        <v>0.5714285714285714</v>
      </c>
      <c r="O763" s="309">
        <f>VLOOKUP($B763,'Infant pick up smoking rates'!$A$19:$I$104,2)</f>
        <v>0</v>
      </c>
      <c r="P763" s="309">
        <f t="shared" si="316"/>
        <v>0.12016234480898272</v>
      </c>
      <c r="Q763" s="309">
        <f t="shared" si="317"/>
        <v>0.2378615688418538</v>
      </c>
      <c r="R763" s="309">
        <f>VLOOKUP($B763,'Infant adult mortality'!$A$27:$I$128,3)</f>
        <v>7.0547514920592108E-2</v>
      </c>
      <c r="S763" s="309">
        <f t="shared" si="318"/>
        <v>8.6261668788331098E-3</v>
      </c>
      <c r="T763" s="309">
        <f>VLOOKUP($B763,'Infant pick up smoking rates'!$A$19:$I$104,2)</f>
        <v>0</v>
      </c>
      <c r="U763" s="309">
        <f t="shared" si="319"/>
        <v>0.12016234480898272</v>
      </c>
      <c r="V763" s="309">
        <f t="shared" si="320"/>
        <v>0.80066397339159212</v>
      </c>
      <c r="W763" s="309">
        <f>VLOOKUP($B763,'Infant adult mortality'!$A$27:$I$128,3)</f>
        <v>7.0547514920592108E-2</v>
      </c>
      <c r="X763" s="309">
        <f>VLOOKUP($B763,'Infant pick up smoking rates'!$A$19:$I$104,2)</f>
        <v>0</v>
      </c>
      <c r="Y763" s="309">
        <f t="shared" si="321"/>
        <v>0.92945248507940792</v>
      </c>
      <c r="Z763" s="309">
        <f>VLOOKUP($B763,'Infant adult mortality'!$A$27:$I$128,5)</f>
        <v>9.1510922379202206E-2</v>
      </c>
      <c r="AA763" s="309">
        <f t="shared" si="322"/>
        <v>0.25</v>
      </c>
      <c r="AB763" s="309">
        <f t="shared" si="323"/>
        <v>0.65848907762079778</v>
      </c>
      <c r="AC763" s="309">
        <f>VLOOKUP($B763,'Infant adult mortality'!$A$27:$I$128,5)</f>
        <v>9.1510922379202206E-2</v>
      </c>
      <c r="AD763" s="309">
        <f t="shared" si="324"/>
        <v>0.14000000000000001</v>
      </c>
      <c r="AE763" s="309">
        <f t="shared" si="325"/>
        <v>0.76848907762079777</v>
      </c>
      <c r="AF763" s="309">
        <f>VLOOKUP($B763,'Infant adult mortality'!$A$27:$I$128,4)</f>
        <v>7.5192102201841055E-2</v>
      </c>
      <c r="AG763" s="309">
        <f t="shared" si="326"/>
        <v>0.5714285714285714</v>
      </c>
      <c r="AH763" s="309">
        <f t="shared" si="327"/>
        <v>0.35337932636958758</v>
      </c>
      <c r="AI763" s="309">
        <f>VLOOKUP($B763,'Infant adult mortality'!$A$27:$I$128,4)</f>
        <v>7.5192102201841055E-2</v>
      </c>
      <c r="AJ763" s="309">
        <f t="shared" si="328"/>
        <v>8.6261668788331098E-3</v>
      </c>
      <c r="AK763" s="309">
        <f t="shared" si="329"/>
        <v>0.91618173091932587</v>
      </c>
      <c r="AL763" s="309"/>
      <c r="AM763" s="315">
        <f t="shared" si="366"/>
        <v>8.5937519236994345E-2</v>
      </c>
      <c r="AN763" s="316">
        <f t="shared" si="367"/>
        <v>2.9365853483390488E-2</v>
      </c>
      <c r="AO763" s="316">
        <f t="shared" si="368"/>
        <v>5.1666669045909762E-3</v>
      </c>
      <c r="AP763" s="316">
        <f t="shared" si="369"/>
        <v>0.45357981109871948</v>
      </c>
      <c r="AQ763" s="316">
        <f t="shared" si="370"/>
        <v>71.740737657291845</v>
      </c>
      <c r="AR763" s="316">
        <f t="shared" si="371"/>
        <v>29.795843053083697</v>
      </c>
      <c r="AS763" s="316">
        <f t="shared" si="372"/>
        <v>8.2588387198963371</v>
      </c>
      <c r="AT763" s="316">
        <f t="shared" si="373"/>
        <v>1.2713196782838143</v>
      </c>
      <c r="AU763" s="316">
        <f t="shared" si="374"/>
        <v>61.715006840573295</v>
      </c>
      <c r="AV763" s="316">
        <f t="shared" si="375"/>
        <v>336.6442042001467</v>
      </c>
      <c r="AW763" s="317">
        <f t="shared" si="330"/>
        <v>509.99999999999937</v>
      </c>
      <c r="AX763" s="309"/>
      <c r="AY763" s="308">
        <f>VLOOKUP($B763,'Infant adult mortality'!$A$134:$I$234,3)</f>
        <v>6.0210103179687766E-2</v>
      </c>
      <c r="AZ763" s="309">
        <f t="shared" si="331"/>
        <v>0.27</v>
      </c>
      <c r="BA763" s="309">
        <f ca="1">VLOOKUP($B763,'Infant pick up smoking rates'!$A$19:$I$104,7)</f>
        <v>0</v>
      </c>
      <c r="BB763" s="309">
        <f t="shared" si="332"/>
        <v>0.14624098391610749</v>
      </c>
      <c r="BC763" s="309">
        <f t="shared" ca="1" si="333"/>
        <v>0.52354891290420469</v>
      </c>
      <c r="BD763" s="309">
        <f>VLOOKUP($B763,'Infant adult mortality'!$A$134:$I$234,3)</f>
        <v>6.0210103179687766E-2</v>
      </c>
      <c r="BE763" s="309">
        <f t="shared" si="334"/>
        <v>0.14000000000000001</v>
      </c>
      <c r="BF763" s="309">
        <f>VLOOKUP($B763,'Infant pick up smoking rates'!$A$19:$I$104,6)</f>
        <v>0</v>
      </c>
      <c r="BG763" s="309">
        <f t="shared" si="335"/>
        <v>0.14624098391610749</v>
      </c>
      <c r="BH763" s="309">
        <f t="shared" si="336"/>
        <v>0.65354891290420469</v>
      </c>
      <c r="BI763" s="309">
        <f>VLOOKUP($B763,'Infant adult mortality'!$A$134:$I$234,3)</f>
        <v>6.0210103179687766E-2</v>
      </c>
      <c r="BJ763" s="309">
        <f t="shared" si="337"/>
        <v>0.5714285714285714</v>
      </c>
      <c r="BK763" s="309">
        <f>VLOOKUP($B763,'Infant pick up smoking rates'!$A$19:$I$104,6)</f>
        <v>0</v>
      </c>
      <c r="BL763" s="309">
        <f t="shared" si="338"/>
        <v>0.12016234480898272</v>
      </c>
      <c r="BM763" s="309">
        <f t="shared" si="339"/>
        <v>0.24819898058275813</v>
      </c>
      <c r="BN763" s="309">
        <f>VLOOKUP($B763,'Infant adult mortality'!$A$134:$I$234,3)</f>
        <v>6.0210103179687766E-2</v>
      </c>
      <c r="BO763" s="309">
        <f t="shared" si="340"/>
        <v>8.6261668788331098E-3</v>
      </c>
      <c r="BP763" s="309">
        <f>VLOOKUP($B763,'Infant pick up smoking rates'!$A$19:$I$104,6)</f>
        <v>0</v>
      </c>
      <c r="BQ763" s="309">
        <f t="shared" si="341"/>
        <v>0.12016234480898272</v>
      </c>
      <c r="BR763" s="309">
        <f t="shared" si="342"/>
        <v>0.81100138513249642</v>
      </c>
      <c r="BS763" s="309">
        <f>VLOOKUP($B763,'Infant adult mortality'!$A$134:$I$234,3)</f>
        <v>6.0210103179687766E-2</v>
      </c>
      <c r="BT763" s="309">
        <f>VLOOKUP($B763,'Infant pick up smoking rates'!$A$19:$I$104,6)</f>
        <v>0</v>
      </c>
      <c r="BU763" s="309">
        <f t="shared" si="343"/>
        <v>0.93978989682031222</v>
      </c>
      <c r="BV763" s="309">
        <f>VLOOKUP($B763,'Infant adult mortality'!$A$134:$I$234,5)</f>
        <v>7.810171746973732E-2</v>
      </c>
      <c r="BW763" s="309">
        <f t="shared" si="344"/>
        <v>0.27</v>
      </c>
      <c r="BX763" s="309">
        <f t="shared" si="345"/>
        <v>0.65189828253026261</v>
      </c>
      <c r="BY763" s="309">
        <f>VLOOKUP($B763,'Infant adult mortality'!$A$134:$I$234,5)</f>
        <v>7.810171746973732E-2</v>
      </c>
      <c r="BZ763" s="309">
        <f t="shared" si="346"/>
        <v>0.14000000000000001</v>
      </c>
      <c r="CA763" s="309">
        <f t="shared" si="347"/>
        <v>0.78189828253026272</v>
      </c>
      <c r="CB763" s="309">
        <f>VLOOKUP($B763,'Infant adult mortality'!$A$134:$I$234,4)</f>
        <v>6.4174113531375393E-2</v>
      </c>
      <c r="CC763" s="309">
        <f t="shared" si="348"/>
        <v>0.5714285714285714</v>
      </c>
      <c r="CD763" s="309">
        <f t="shared" si="349"/>
        <v>0.36439731504005324</v>
      </c>
      <c r="CE763" s="309">
        <f>VLOOKUP($B763,'Infant adult mortality'!$A$134:$I$234,4)</f>
        <v>6.4174113531375393E-2</v>
      </c>
      <c r="CF763" s="309">
        <f t="shared" si="350"/>
        <v>8.6261668788331098E-3</v>
      </c>
      <c r="CG763" s="309">
        <f t="shared" si="351"/>
        <v>0.92719971958979153</v>
      </c>
      <c r="CH763" s="309"/>
      <c r="CI763" s="315">
        <f t="shared" ca="1" si="376"/>
        <v>0.14224654787739685</v>
      </c>
      <c r="CJ763" s="316">
        <f t="shared" ca="1" si="377"/>
        <v>4.7961392479317612E-2</v>
      </c>
      <c r="CK763" s="316">
        <f t="shared" ca="1" si="378"/>
        <v>8.3363862502398873E-3</v>
      </c>
      <c r="CL763" s="316">
        <f t="shared" ca="1" si="379"/>
        <v>0.73693079593726041</v>
      </c>
      <c r="CM763" s="316">
        <f t="shared" ca="1" si="380"/>
        <v>114.38239612117347</v>
      </c>
      <c r="CN763" s="316">
        <f t="shared" ca="1" si="381"/>
        <v>27.934016481370008</v>
      </c>
      <c r="CO763" s="316">
        <f t="shared" ca="1" si="382"/>
        <v>8.2428838681505567</v>
      </c>
      <c r="CP763" s="316">
        <f t="shared" ca="1" si="383"/>
        <v>1.2524211549849846</v>
      </c>
      <c r="CQ763" s="316">
        <f t="shared" ca="1" si="384"/>
        <v>59.395269232625786</v>
      </c>
      <c r="CR763" s="316">
        <f t="shared" ca="1" si="385"/>
        <v>277.85753801915126</v>
      </c>
      <c r="CS763" s="317">
        <f t="shared" ca="1" si="352"/>
        <v>490.00000000000028</v>
      </c>
      <c r="CT763" s="309"/>
      <c r="CU763" s="309">
        <f t="shared" ca="1" si="353"/>
        <v>999.99999999999966</v>
      </c>
      <c r="CV763" s="309" t="str">
        <f t="shared" ca="1" si="305"/>
        <v>OKAY</v>
      </c>
      <c r="CW763" s="309"/>
      <c r="CX763" s="315">
        <f>(SUM($AR763:$AS763))-((SUM($AR763:$AS763)*VLOOKUP($B763,Lifetime_morbidity_array!$A$30:$Y$48,4))+(SUM($AR763:$AS763)*VLOOKUP($B763,Lifetime_morbidity_array!$A$30:$Y$48,7))+(SUM($AR763:$AS763)*VLOOKUP($B763,Lifetime_morbidity_array!$A$30:$Y$48,10))+(SUM($AR763:$AS763)*VLOOKUP($B763,Lifetime_morbidity_array!$A$30:$Y$48,13)))</f>
        <v>-1.0278804626928491</v>
      </c>
      <c r="CY763" s="316">
        <f>(SUM($AT763:$AU763))-((SUM($AT763:$AU763)*(VLOOKUP($B763,Lifetime_morbidity_array!$A$30:$Y$48,3)))+(SUM($AT763:$AU763)*(VLOOKUP($B763,Lifetime_morbidity_array!$A$30:$Y$48,6)))+(SUM($AT763:$AU763)*(VLOOKUP($B763,Lifetime_morbidity_array!$A$30:$Y$48,9)))+(SUM($AT763:$AU763)*(VLOOKUP($B763,Lifetime_morbidity_array!$A$30:$Y$48,12))))</f>
        <v>28.564412137391514</v>
      </c>
      <c r="CZ763" s="316">
        <f>(SUM($AM763:$AQ763))-((SUM($AM763:$AQ763)*VLOOKUP($B763,Lifetime_morbidity_array!$A$30:$Y$48,2))+(SUM($AM763:$AQ763)*VLOOKUP($B763,Lifetime_morbidity_array!$A$30:$Y$48,5))+(SUM($AM763:$AQ763)*VLOOKUP($B763,Lifetime_morbidity_array!$A$30:$Y$48,8))+(SUM($AM763:$AQ763)*VLOOKUP($B763,Lifetime_morbidity_array!$A$30:$Y$48,11)))</f>
        <v>46.103312907728906</v>
      </c>
      <c r="DA763" s="316">
        <f>(SUM($AM763:$AQ763)*VLOOKUP($B763,Lifetime_morbidity_array!$A$30:$Y$48,2))+(SUM($AR763:$AS763)*VLOOKUP($B763,Lifetime_morbidity_array!$A$30:$Y$48,4))+(SUM($AT763:$AU763)*(VLOOKUP($B763,Lifetime_morbidity_array!$A$30:$Y$48,3)))</f>
        <v>52.370265227627286</v>
      </c>
      <c r="DB763" s="316">
        <f>(SUM($AM763:$AQ763)*VLOOKUP($B763,Lifetime_morbidity_array!$A$30:$Y$48,5))+(SUM($AR763:$AS763)*VLOOKUP($B763,Lifetime_morbidity_array!$A$30:$Y$48,7))+(SUM($AT763:$AU763)*(VLOOKUP($B763,Lifetime_morbidity_array!$A$30:$Y$48,6)))</f>
        <v>22.056390934538097</v>
      </c>
      <c r="DC763" s="316">
        <f>(SUM($AM763:$AQ763)*VLOOKUP($B763,Lifetime_morbidity_array!$A$30:$Y$48,8))+(SUM($AR763:$AS763)*VLOOKUP($B763,Lifetime_morbidity_array!$A$30:$Y$48,10))+(SUM($AT763:$AU763)*(VLOOKUP($B763,Lifetime_morbidity_array!$A$30:$Y$48,9)))</f>
        <v>1.7831790349683279</v>
      </c>
      <c r="DD763" s="317">
        <f>(SUM($AM763:$AQ763)*VLOOKUP($B763,Lifetime_morbidity_array!$A$30:$Y$48,11))+(SUM($AR763:$AS763)*VLOOKUP($B763,Lifetime_morbidity_array!$A$30:$Y$48,13))+(SUM($AT763:$AU763)*(VLOOKUP($B763,Lifetime_morbidity_array!$A$30:$Y$48,12)))</f>
        <v>23.506116020291397</v>
      </c>
      <c r="DE763" s="309"/>
      <c r="DF763" s="315">
        <f ca="1">(SUM($CN763:$CO763))-((SUM($CN763:$CO763)*VLOOKUP($B763,Lifetime_morbidity_array!$A$6:$Y$24,4))+(SUM($CN763:$CO763)*VLOOKUP($B763,Lifetime_morbidity_array!$A$6:$Y$24,7))+(SUM($CN763:$CO763)*VLOOKUP($B763,Lifetime_morbidity_array!$A$6:$Y$24,10))+(SUM($CN763:$CO763)*VLOOKUP($B763,Lifetime_morbidity_array!$A$6:$Y$24,13)))</f>
        <v>5.7356492965410588</v>
      </c>
      <c r="DG763" s="316">
        <f ca="1">(SUM($CP763:$CQ763))-(((SUM($CP763:$CQ763)*VLOOKUP($B763,Lifetime_morbidity_array!$A$6:$Y$24,3))+(SUM($CP763:$CQ763)*VLOOKUP($B763,Lifetime_morbidity_array!$A$6:$Y$24,6))+(SUM($CP763:$CQ763)*VLOOKUP($B763,Lifetime_morbidity_array!$A$6:$Y$24,9))+(SUM($CP763:$CQ763)*VLOOKUP($B763,Lifetime_morbidity_array!$A$6:$Y$24,12))))</f>
        <v>35.295909769673401</v>
      </c>
      <c r="DH763" s="316">
        <f ca="1">(SUM($CI763:$CM763))-((SUM($CI763:$CM763)*VLOOKUP($B763,Lifetime_morbidity_array!$A$6:$Y$24,2))+(SUM($CI763:$CM763)*VLOOKUP($B763,Lifetime_morbidity_array!$A$6:$Y$24,5))+(SUM($CI763:$CM763)*VLOOKUP($B763,Lifetime_morbidity_array!$A$6:$Y$24,8))+(SUM($CI763:$CM763)*VLOOKUP($B763,Lifetime_morbidity_array!$A$6:$Y$24,11)))</f>
        <v>83.470176553990171</v>
      </c>
      <c r="DI763" s="316">
        <f ca="1">(SUM($CI763:$CM763)*VLOOKUP($B763,Lifetime_morbidity_array!$A$6:$Y$24,2))+(SUM($CN763:$CO763)*VLOOKUP($B763,Lifetime_morbidity_array!$A$6:$Y$24,4))+(SUM($CP763:$CQ763)*VLOOKUP($B763,Lifetime_morbidity_array!$A$6:$Y$24,3))</f>
        <v>44.10862273130855</v>
      </c>
      <c r="DJ763" s="316">
        <f ca="1">(SUM($CI763:$CM763)*VLOOKUP($B763,Lifetime_morbidity_array!$A$6:$Y$24,5))+(SUM($CN763:$CO763)*VLOOKUP($B763,Lifetime_morbidity_array!$A$6:$Y$24,7))+(SUM($CP763:$CQ763)*VLOOKUP($B763,Lifetime_morbidity_array!$A$6:$Y$24,6))</f>
        <v>18.236854115573202</v>
      </c>
      <c r="DK763" s="316">
        <f ca="1">(SUM($CI763:$CM763)*VLOOKUP($B763,Lifetime_morbidity_array!$A$6:$Y$24,8))+(SUM($CN763:$CO763)*VLOOKUP($B763,Lifetime_morbidity_array!$A$6:$Y$24,10))+(SUM($CP763:$CQ763)*VLOOKUP($B763,Lifetime_morbidity_array!$A$6:$Y$24,9))</f>
        <v>0.84538109122387217</v>
      </c>
      <c r="DL763" s="317">
        <f ca="1">(SUM($CI763:$CM763)*VLOOKUP($B763,Lifetime_morbidity_array!$A$6:$Y$24,11))+(SUM($CN763:$CO763)*VLOOKUP($B763,Lifetime_morbidity_array!$A$6:$Y$24,13))+(SUM($CP763:$CQ763)*VLOOKUP($B763,Lifetime_morbidity_array!$A$6:$Y$24,12))</f>
        <v>24.449868422538774</v>
      </c>
      <c r="DM763" s="309"/>
      <c r="DN763" s="308">
        <f t="shared" si="354"/>
        <v>97</v>
      </c>
      <c r="DO763" s="309">
        <f t="shared" ca="1" si="355"/>
        <v>13.702773834841627</v>
      </c>
      <c r="DP763" s="310">
        <f t="shared" ca="1" si="386"/>
        <v>24067.513434367858</v>
      </c>
      <c r="DQ763" s="309"/>
      <c r="DR763" s="308">
        <f t="shared" si="356"/>
        <v>97</v>
      </c>
      <c r="DS763" s="309">
        <f ca="1">((VLOOKUP($B763,'Mahawesran Tariff'!$A$21:$M$120,4)*'Experimental (DET)'!$CX763)+(VLOOKUP($B763,'Mahawesran Tariff'!$A$21:$M$120,3)*'Experimental (DET)'!$CY763)+(VLOOKUP($B763,'Mahawesran Tariff'!$A$21:$M$120,2)*'Experimental (DET)'!$CZ763)+(VLOOKUP($B763,'Mahawesran Tariff'!$A$21:$M$120,7)*'Experimental (DET)'!$DF763)+(VLOOKUP($B763,'Mahawesran Tariff'!$A$21:$M$120,6)*'Experimental (DET)'!$DG763)+(VLOOKUP($B763,'Mahawesran Tariff'!$A$21:$M$120,5)*'Experimental (DET)'!$DH763)+(DET_UTIL_chd*('Experimental (DET)'!$DA763+'Experimental (DET)'!$DI763))+(DET_UTIL_copd*('Experimental (DET)'!$DB763+'Experimental (DET)'!$DJ763))+(DET_UTIL_lc*('Experimental (DET)'!$DC763+'Experimental (DET)'!$DK763))+(DET_UTIL_stroke*('Experimental (DET)'!$DD763+'Experimental (DET)'!$DL763)))/((1+Discount_rate_QALYs)^$A763)</f>
        <v>11.324528705963427</v>
      </c>
      <c r="DT763" s="310">
        <f t="shared" ca="1" si="387"/>
        <v>23548.038073272997</v>
      </c>
      <c r="DU763" s="309"/>
      <c r="DV763" s="308">
        <f t="shared" si="357"/>
        <v>97</v>
      </c>
      <c r="DW763" s="318">
        <f t="shared" ca="1" si="358"/>
        <v>45439.237089474176</v>
      </c>
      <c r="DX763" s="319">
        <f t="shared" ca="1" si="388"/>
        <v>11643382.922788817</v>
      </c>
      <c r="DZ763" s="95">
        <f t="shared" si="359"/>
        <v>97</v>
      </c>
      <c r="EA763" s="268">
        <f t="shared" ca="1" si="304"/>
        <v>0.38549825778070168</v>
      </c>
      <c r="EB763" s="268">
        <f t="shared" ca="1" si="306"/>
        <v>0.61450174221929799</v>
      </c>
      <c r="EC763" s="268">
        <f t="shared" ca="1" si="307"/>
        <v>0.18735667757806951</v>
      </c>
      <c r="ED763" s="290">
        <f t="shared" ca="1" si="308"/>
        <v>0.19786559902896847</v>
      </c>
      <c r="EF763" s="95">
        <f t="shared" si="360"/>
        <v>97</v>
      </c>
      <c r="EG763" s="339">
        <f t="shared" ca="1" si="361"/>
        <v>45439.237089474176</v>
      </c>
      <c r="EH763" s="341">
        <f t="shared" ca="1" si="389"/>
        <v>14745398.646752367</v>
      </c>
      <c r="EJ763" s="308">
        <f t="shared" si="362"/>
        <v>97</v>
      </c>
      <c r="EK763" s="318">
        <f t="shared" ca="1" si="363"/>
        <v>45439.237089474176</v>
      </c>
      <c r="EL763" s="319">
        <f t="shared" ca="1" si="390"/>
        <v>11640342.922788816</v>
      </c>
      <c r="EN763" s="95">
        <f t="shared" si="364"/>
        <v>97</v>
      </c>
      <c r="EO763" s="339">
        <f t="shared" ca="1" si="365"/>
        <v>45439.237089474176</v>
      </c>
      <c r="EP763" s="341">
        <f t="shared" ca="1" si="391"/>
        <v>14745398.646752367</v>
      </c>
    </row>
    <row r="764" spans="1:146" s="266" customFormat="1" x14ac:dyDescent="0.25">
      <c r="A764" s="313">
        <v>98</v>
      </c>
      <c r="B764" s="314">
        <v>98</v>
      </c>
      <c r="C764" s="308">
        <f>VLOOKUP($B764,'Infant adult mortality'!$A$27:$I$128,3)</f>
        <v>7.6726918771285041E-2</v>
      </c>
      <c r="D764" s="309">
        <f t="shared" si="309"/>
        <v>0.27</v>
      </c>
      <c r="E764" s="309">
        <f>VLOOKUP($B764,'Infant pick up smoking rates'!$A$19:$I$104,3)</f>
        <v>0</v>
      </c>
      <c r="F764" s="309">
        <f t="shared" si="310"/>
        <v>0.14624098391610749</v>
      </c>
      <c r="G764" s="309">
        <f t="shared" si="311"/>
        <v>0.50703209731260745</v>
      </c>
      <c r="H764" s="309">
        <f>VLOOKUP($B764,'Infant adult mortality'!$A$27:$I$128,3)</f>
        <v>7.6726918771285041E-2</v>
      </c>
      <c r="I764" s="309">
        <f t="shared" si="312"/>
        <v>0.14000000000000001</v>
      </c>
      <c r="J764" s="309">
        <f>VLOOKUP($B764,'Infant pick up smoking rates'!$A$19:$I$104,2)</f>
        <v>0</v>
      </c>
      <c r="K764" s="309">
        <f t="shared" si="313"/>
        <v>0.14624098391610749</v>
      </c>
      <c r="L764" s="309">
        <f t="shared" si="314"/>
        <v>0.63703209731260746</v>
      </c>
      <c r="M764" s="309">
        <f>VLOOKUP($B764,'Infant adult mortality'!$A$27:$I$128,3)</f>
        <v>7.6726918771285041E-2</v>
      </c>
      <c r="N764" s="309">
        <f t="shared" si="315"/>
        <v>0.5714285714285714</v>
      </c>
      <c r="O764" s="309">
        <f>VLOOKUP($B764,'Infant pick up smoking rates'!$A$19:$I$104,2)</f>
        <v>0</v>
      </c>
      <c r="P764" s="309">
        <f t="shared" si="316"/>
        <v>0.12016234480898272</v>
      </c>
      <c r="Q764" s="309">
        <f t="shared" si="317"/>
        <v>0.23168216499116087</v>
      </c>
      <c r="R764" s="309">
        <f>VLOOKUP($B764,'Infant adult mortality'!$A$27:$I$128,3)</f>
        <v>7.6726918771285041E-2</v>
      </c>
      <c r="S764" s="309">
        <f t="shared" si="318"/>
        <v>8.6261668788331098E-3</v>
      </c>
      <c r="T764" s="309">
        <f>VLOOKUP($B764,'Infant pick up smoking rates'!$A$19:$I$104,2)</f>
        <v>0</v>
      </c>
      <c r="U764" s="309">
        <f t="shared" si="319"/>
        <v>0.12016234480898272</v>
      </c>
      <c r="V764" s="309">
        <f t="shared" si="320"/>
        <v>0.79448456954089919</v>
      </c>
      <c r="W764" s="309">
        <f>VLOOKUP($B764,'Infant adult mortality'!$A$27:$I$128,3)</f>
        <v>7.6726918771285041E-2</v>
      </c>
      <c r="X764" s="309">
        <f>VLOOKUP($B764,'Infant pick up smoking rates'!$A$19:$I$104,2)</f>
        <v>0</v>
      </c>
      <c r="Y764" s="309">
        <f t="shared" si="321"/>
        <v>0.92327308122871499</v>
      </c>
      <c r="Z764" s="309">
        <f>VLOOKUP($B764,'Infant adult mortality'!$A$27:$I$128,5)</f>
        <v>9.9526554776275422E-2</v>
      </c>
      <c r="AA764" s="309">
        <f t="shared" si="322"/>
        <v>0.25</v>
      </c>
      <c r="AB764" s="309">
        <f t="shared" si="323"/>
        <v>0.65047344522372463</v>
      </c>
      <c r="AC764" s="309">
        <f>VLOOKUP($B764,'Infant adult mortality'!$A$27:$I$128,5)</f>
        <v>9.9526554776275422E-2</v>
      </c>
      <c r="AD764" s="309">
        <f t="shared" si="324"/>
        <v>0.14000000000000001</v>
      </c>
      <c r="AE764" s="309">
        <f t="shared" si="325"/>
        <v>0.76047344522372451</v>
      </c>
      <c r="AF764" s="309">
        <f>VLOOKUP($B764,'Infant adult mortality'!$A$27:$I$128,4)</f>
        <v>8.1778335131672139E-2</v>
      </c>
      <c r="AG764" s="309">
        <f t="shared" si="326"/>
        <v>0.5714285714285714</v>
      </c>
      <c r="AH764" s="309">
        <f t="shared" si="327"/>
        <v>0.34679309343975645</v>
      </c>
      <c r="AI764" s="309">
        <f>VLOOKUP($B764,'Infant adult mortality'!$A$27:$I$128,4)</f>
        <v>8.1778335131672139E-2</v>
      </c>
      <c r="AJ764" s="309">
        <f t="shared" si="328"/>
        <v>8.6261668788331098E-3</v>
      </c>
      <c r="AK764" s="309">
        <f t="shared" si="329"/>
        <v>0.90959549798949479</v>
      </c>
      <c r="AL764" s="309"/>
      <c r="AM764" s="315">
        <f t="shared" si="366"/>
        <v>6.7389751568125739E-2</v>
      </c>
      <c r="AN764" s="316">
        <f t="shared" si="367"/>
        <v>2.3203130193988473E-2</v>
      </c>
      <c r="AO764" s="316">
        <f t="shared" si="368"/>
        <v>4.111219487674669E-3</v>
      </c>
      <c r="AP764" s="316">
        <f t="shared" si="369"/>
        <v>0.36331454206154618</v>
      </c>
      <c r="AQ764" s="316">
        <f t="shared" si="370"/>
        <v>66.30827803761396</v>
      </c>
      <c r="AR764" s="316">
        <f t="shared" si="371"/>
        <v>26.635281050869388</v>
      </c>
      <c r="AS764" s="316">
        <f t="shared" si="372"/>
        <v>7.4489607632709243</v>
      </c>
      <c r="AT764" s="316">
        <f t="shared" si="373"/>
        <v>1.1562374207854873</v>
      </c>
      <c r="AU764" s="316">
        <f t="shared" si="374"/>
        <v>56.862160768167094</v>
      </c>
      <c r="AV764" s="316">
        <f t="shared" si="375"/>
        <v>351.13106331598124</v>
      </c>
      <c r="AW764" s="317">
        <f t="shared" si="330"/>
        <v>509.99999999999943</v>
      </c>
      <c r="AX764" s="309"/>
      <c r="AY764" s="308">
        <f>VLOOKUP($B764,'Infant adult mortality'!$A$134:$I$234,3)</f>
        <v>6.5325370064403018E-2</v>
      </c>
      <c r="AZ764" s="309">
        <f t="shared" si="331"/>
        <v>0.27</v>
      </c>
      <c r="BA764" s="309">
        <f ca="1">VLOOKUP($B764,'Infant pick up smoking rates'!$A$19:$I$104,7)</f>
        <v>0</v>
      </c>
      <c r="BB764" s="309">
        <f t="shared" si="332"/>
        <v>0.14624098391610749</v>
      </c>
      <c r="BC764" s="309">
        <f t="shared" ca="1" si="333"/>
        <v>0.51843364601948949</v>
      </c>
      <c r="BD764" s="309">
        <f>VLOOKUP($B764,'Infant adult mortality'!$A$134:$I$234,3)</f>
        <v>6.5325370064403018E-2</v>
      </c>
      <c r="BE764" s="309">
        <f t="shared" si="334"/>
        <v>0.14000000000000001</v>
      </c>
      <c r="BF764" s="309">
        <f>VLOOKUP($B764,'Infant pick up smoking rates'!$A$19:$I$104,6)</f>
        <v>0</v>
      </c>
      <c r="BG764" s="309">
        <f t="shared" si="335"/>
        <v>0.14624098391610749</v>
      </c>
      <c r="BH764" s="309">
        <f t="shared" si="336"/>
        <v>0.6484336460194895</v>
      </c>
      <c r="BI764" s="309">
        <f>VLOOKUP($B764,'Infant adult mortality'!$A$134:$I$234,3)</f>
        <v>6.5325370064403018E-2</v>
      </c>
      <c r="BJ764" s="309">
        <f t="shared" si="337"/>
        <v>0.5714285714285714</v>
      </c>
      <c r="BK764" s="309">
        <f>VLOOKUP($B764,'Infant pick up smoking rates'!$A$19:$I$104,6)</f>
        <v>0</v>
      </c>
      <c r="BL764" s="309">
        <f t="shared" si="338"/>
        <v>0.12016234480898272</v>
      </c>
      <c r="BM764" s="309">
        <f t="shared" si="339"/>
        <v>0.24308371369804288</v>
      </c>
      <c r="BN764" s="309">
        <f>VLOOKUP($B764,'Infant adult mortality'!$A$134:$I$234,3)</f>
        <v>6.5325370064403018E-2</v>
      </c>
      <c r="BO764" s="309">
        <f t="shared" si="340"/>
        <v>8.6261668788331098E-3</v>
      </c>
      <c r="BP764" s="309">
        <f>VLOOKUP($B764,'Infant pick up smoking rates'!$A$19:$I$104,6)</f>
        <v>0</v>
      </c>
      <c r="BQ764" s="309">
        <f t="shared" si="341"/>
        <v>0.12016234480898272</v>
      </c>
      <c r="BR764" s="309">
        <f t="shared" si="342"/>
        <v>0.80588611824778122</v>
      </c>
      <c r="BS764" s="309">
        <f>VLOOKUP($B764,'Infant adult mortality'!$A$134:$I$234,3)</f>
        <v>6.5325370064403018E-2</v>
      </c>
      <c r="BT764" s="309">
        <f>VLOOKUP($B764,'Infant pick up smoking rates'!$A$19:$I$104,6)</f>
        <v>0</v>
      </c>
      <c r="BU764" s="309">
        <f t="shared" si="343"/>
        <v>0.93467462993559702</v>
      </c>
      <c r="BV764" s="309">
        <f>VLOOKUP($B764,'Infant adult mortality'!$A$134:$I$234,5)</f>
        <v>8.4737001382472948E-2</v>
      </c>
      <c r="BW764" s="309">
        <f t="shared" si="344"/>
        <v>0.27</v>
      </c>
      <c r="BX764" s="309">
        <f t="shared" si="345"/>
        <v>0.64526299861752701</v>
      </c>
      <c r="BY764" s="309">
        <f>VLOOKUP($B764,'Infant adult mortality'!$A$134:$I$234,5)</f>
        <v>8.4737001382472948E-2</v>
      </c>
      <c r="BZ764" s="309">
        <f t="shared" si="346"/>
        <v>0.14000000000000001</v>
      </c>
      <c r="CA764" s="309">
        <f t="shared" si="347"/>
        <v>0.77526299861752701</v>
      </c>
      <c r="CB764" s="309">
        <f>VLOOKUP($B764,'Infant adult mortality'!$A$134:$I$234,4)</f>
        <v>6.9626150655831692E-2</v>
      </c>
      <c r="CC764" s="309">
        <f t="shared" si="348"/>
        <v>0.5714285714285714</v>
      </c>
      <c r="CD764" s="309">
        <f t="shared" si="349"/>
        <v>0.35894527791559694</v>
      </c>
      <c r="CE764" s="309">
        <f>VLOOKUP($B764,'Infant adult mortality'!$A$134:$I$234,4)</f>
        <v>6.9626150655831692E-2</v>
      </c>
      <c r="CF764" s="309">
        <f t="shared" si="350"/>
        <v>8.6261668788331098E-3</v>
      </c>
      <c r="CG764" s="309">
        <f t="shared" si="351"/>
        <v>0.92174768246533523</v>
      </c>
      <c r="CH764" s="309"/>
      <c r="CI764" s="315">
        <f t="shared" ca="1" si="376"/>
        <v>0.1132285047957361</v>
      </c>
      <c r="CJ764" s="316">
        <f t="shared" ca="1" si="377"/>
        <v>3.8406567926897152E-2</v>
      </c>
      <c r="CK764" s="316">
        <f t="shared" ca="1" si="378"/>
        <v>6.714594947104466E-3</v>
      </c>
      <c r="CL764" s="316">
        <f t="shared" ca="1" si="379"/>
        <v>0.59864594784097791</v>
      </c>
      <c r="CM764" s="316">
        <f t="shared" ca="1" si="380"/>
        <v>107.02769301417194</v>
      </c>
      <c r="CN764" s="316">
        <f t="shared" ca="1" si="381"/>
        <v>25.377094266835982</v>
      </c>
      <c r="CO764" s="316">
        <f t="shared" ca="1" si="382"/>
        <v>7.5421844499699029</v>
      </c>
      <c r="CP764" s="316">
        <f t="shared" ca="1" si="383"/>
        <v>1.154003741541078</v>
      </c>
      <c r="CQ764" s="316">
        <f t="shared" ca="1" si="384"/>
        <v>55.463120995997443</v>
      </c>
      <c r="CR764" s="316">
        <f t="shared" ca="1" si="385"/>
        <v>292.67890791597324</v>
      </c>
      <c r="CS764" s="317">
        <f t="shared" ca="1" si="352"/>
        <v>490.00000000000034</v>
      </c>
      <c r="CT764" s="309"/>
      <c r="CU764" s="309">
        <f t="shared" ca="1" si="353"/>
        <v>999.99999999999977</v>
      </c>
      <c r="CV764" s="309" t="str">
        <f t="shared" ca="1" si="305"/>
        <v>OKAY</v>
      </c>
      <c r="CW764" s="309"/>
      <c r="CX764" s="315">
        <f>(SUM($AR764:$AS764))-((SUM($AR764:$AS764)*VLOOKUP($B764,Lifetime_morbidity_array!$A$30:$Y$48,4))+(SUM($AR764:$AS764)*VLOOKUP($B764,Lifetime_morbidity_array!$A$30:$Y$48,7))+(SUM($AR764:$AS764)*VLOOKUP($B764,Lifetime_morbidity_array!$A$30:$Y$48,10))+(SUM($AR764:$AS764)*VLOOKUP($B764,Lifetime_morbidity_array!$A$30:$Y$48,13)))</f>
        <v>-0.9206364266939957</v>
      </c>
      <c r="CY764" s="316">
        <f>(SUM($AT764:$AU764))-((SUM($AT764:$AU764)*(VLOOKUP($B764,Lifetime_morbidity_array!$A$30:$Y$48,3)))+(SUM($AT764:$AU764)*(VLOOKUP($B764,Lifetime_morbidity_array!$A$30:$Y$48,6)))+(SUM($AT764:$AU764)*(VLOOKUP($B764,Lifetime_morbidity_array!$A$30:$Y$48,9)))+(SUM($AT764:$AU764)*(VLOOKUP($B764,Lifetime_morbidity_array!$A$30:$Y$48,12))))</f>
        <v>26.311447722298478</v>
      </c>
      <c r="CZ764" s="316">
        <f>(SUM($AM764:$AQ764))-((SUM($AM764:$AQ764)*VLOOKUP($B764,Lifetime_morbidity_array!$A$30:$Y$48,2))+(SUM($AM764:$AQ764)*VLOOKUP($B764,Lifetime_morbidity_array!$A$30:$Y$48,5))+(SUM($AM764:$AQ764)*VLOOKUP($B764,Lifetime_morbidity_array!$A$30:$Y$48,8))+(SUM($AM764:$AQ764)*VLOOKUP($B764,Lifetime_morbidity_array!$A$30:$Y$48,11)))</f>
        <v>42.565947763170456</v>
      </c>
      <c r="DA764" s="316">
        <f>(SUM($AM764:$AQ764)*VLOOKUP($B764,Lifetime_morbidity_array!$A$30:$Y$48,2))+(SUM($AR764:$AS764)*VLOOKUP($B764,Lifetime_morbidity_array!$A$30:$Y$48,4))+(SUM($AT764:$AU764)*(VLOOKUP($B764,Lifetime_morbidity_array!$A$30:$Y$48,3)))</f>
        <v>47.839557913426546</v>
      </c>
      <c r="DB764" s="316">
        <f>(SUM($AM764:$AQ764)*VLOOKUP($B764,Lifetime_morbidity_array!$A$30:$Y$48,5))+(SUM($AR764:$AS764)*VLOOKUP($B764,Lifetime_morbidity_array!$A$30:$Y$48,7))+(SUM($AT764:$AU764)*(VLOOKUP($B764,Lifetime_morbidity_array!$A$30:$Y$48,6)))</f>
        <v>19.957800078255538</v>
      </c>
      <c r="DC764" s="316">
        <f>(SUM($AM764:$AQ764)*VLOOKUP($B764,Lifetime_morbidity_array!$A$30:$Y$48,8))+(SUM($AR764:$AS764)*VLOOKUP($B764,Lifetime_morbidity_array!$A$30:$Y$48,10))+(SUM($AT764:$AU764)*(VLOOKUP($B764,Lifetime_morbidity_array!$A$30:$Y$48,9)))</f>
        <v>1.6136258312645473</v>
      </c>
      <c r="DD764" s="317">
        <f>(SUM($AM764:$AQ764)*VLOOKUP($B764,Lifetime_morbidity_array!$A$30:$Y$48,11))+(SUM($AR764:$AS764)*VLOOKUP($B764,Lifetime_morbidity_array!$A$30:$Y$48,13))+(SUM($AT764:$AU764)*(VLOOKUP($B764,Lifetime_morbidity_array!$A$30:$Y$48,12)))</f>
        <v>21.501193802296619</v>
      </c>
      <c r="DE764" s="309"/>
      <c r="DF764" s="315">
        <f ca="1">(SUM($CN764:$CO764))-((SUM($CN764:$CO764)*VLOOKUP($B764,Lifetime_morbidity_array!$A$6:$Y$24,4))+(SUM($CN764:$CO764)*VLOOKUP($B764,Lifetime_morbidity_array!$A$6:$Y$24,7))+(SUM($CN764:$CO764)*VLOOKUP($B764,Lifetime_morbidity_array!$A$6:$Y$24,10))+(SUM($CN764:$CO764)*VLOOKUP($B764,Lifetime_morbidity_array!$A$6:$Y$24,13)))</f>
        <v>5.2191712388424349</v>
      </c>
      <c r="DG764" s="316">
        <f ca="1">(SUM($CP764:$CQ764))-(((SUM($CP764:$CQ764)*VLOOKUP($B764,Lifetime_morbidity_array!$A$6:$Y$24,3))+(SUM($CP764:$CQ764)*VLOOKUP($B764,Lifetime_morbidity_array!$A$6:$Y$24,6))+(SUM($CP764:$CQ764)*VLOOKUP($B764,Lifetime_morbidity_array!$A$6:$Y$24,9))+(SUM($CP764:$CQ764)*VLOOKUP($B764,Lifetime_morbidity_array!$A$6:$Y$24,12))))</f>
        <v>32.950190079501049</v>
      </c>
      <c r="DH764" s="316">
        <f ca="1">(SUM($CI764:$CM764))-((SUM($CI764:$CM764)*VLOOKUP($B764,Lifetime_morbidity_array!$A$6:$Y$24,2))+(SUM($CI764:$CM764)*VLOOKUP($B764,Lifetime_morbidity_array!$A$6:$Y$24,5))+(SUM($CI764:$CM764)*VLOOKUP($B764,Lifetime_morbidity_array!$A$6:$Y$24,8))+(SUM($CI764:$CM764)*VLOOKUP($B764,Lifetime_morbidity_array!$A$6:$Y$24,11)))</f>
        <v>78.017456381259706</v>
      </c>
      <c r="DI764" s="316">
        <f ca="1">(SUM($CI764:$CM764)*VLOOKUP($B764,Lifetime_morbidity_array!$A$6:$Y$24,2))+(SUM($CN764:$CO764)*VLOOKUP($B764,Lifetime_morbidity_array!$A$6:$Y$24,4))+(SUM($CP764:$CQ764)*VLOOKUP($B764,Lifetime_morbidity_array!$A$6:$Y$24,3))</f>
        <v>40.888896010270869</v>
      </c>
      <c r="DJ764" s="316">
        <f ca="1">(SUM($CI764:$CM764)*VLOOKUP($B764,Lifetime_morbidity_array!$A$6:$Y$24,5))+(SUM($CN764:$CO764)*VLOOKUP($B764,Lifetime_morbidity_array!$A$6:$Y$24,7))+(SUM($CP764:$CQ764)*VLOOKUP($B764,Lifetime_morbidity_array!$A$6:$Y$24,6))</f>
        <v>16.776111829576024</v>
      </c>
      <c r="DK764" s="316">
        <f ca="1">(SUM($CI764:$CM764)*VLOOKUP($B764,Lifetime_morbidity_array!$A$6:$Y$24,8))+(SUM($CN764:$CO764)*VLOOKUP($B764,Lifetime_morbidity_array!$A$6:$Y$24,10))+(SUM($CP764:$CQ764)*VLOOKUP($B764,Lifetime_morbidity_array!$A$6:$Y$24,9))</f>
        <v>0.77682945659432867</v>
      </c>
      <c r="DL764" s="317">
        <f ca="1">(SUM($CI764:$CM764)*VLOOKUP($B764,Lifetime_morbidity_array!$A$6:$Y$24,11))+(SUM($CN764:$CO764)*VLOOKUP($B764,Lifetime_morbidity_array!$A$6:$Y$24,13))+(SUM($CP764:$CQ764)*VLOOKUP($B764,Lifetime_morbidity_array!$A$6:$Y$24,12))</f>
        <v>22.692437087982647</v>
      </c>
      <c r="DM764" s="309"/>
      <c r="DN764" s="308">
        <f t="shared" si="354"/>
        <v>98</v>
      </c>
      <c r="DO764" s="309">
        <f t="shared" ca="1" si="355"/>
        <v>12.232845140356259</v>
      </c>
      <c r="DP764" s="310">
        <f t="shared" ca="1" si="386"/>
        <v>24079.746279508214</v>
      </c>
      <c r="DQ764" s="309"/>
      <c r="DR764" s="308">
        <f t="shared" si="356"/>
        <v>98</v>
      </c>
      <c r="DS764" s="309">
        <f ca="1">((VLOOKUP($B764,'Mahawesran Tariff'!$A$21:$M$120,4)*'Experimental (DET)'!$CX764)+(VLOOKUP($B764,'Mahawesran Tariff'!$A$21:$M$120,3)*'Experimental (DET)'!$CY764)+(VLOOKUP($B764,'Mahawesran Tariff'!$A$21:$M$120,2)*'Experimental (DET)'!$CZ764)+(VLOOKUP($B764,'Mahawesran Tariff'!$A$21:$M$120,7)*'Experimental (DET)'!$DF764)+(VLOOKUP($B764,'Mahawesran Tariff'!$A$21:$M$120,6)*'Experimental (DET)'!$DG764)+(VLOOKUP($B764,'Mahawesran Tariff'!$A$21:$M$120,5)*'Experimental (DET)'!$DH764)+(DET_UTIL_chd*('Experimental (DET)'!$DA764+'Experimental (DET)'!$DI764))+(DET_UTIL_copd*('Experimental (DET)'!$DB764+'Experimental (DET)'!$DJ764))+(DET_UTIL_lc*('Experimental (DET)'!$DC764+'Experimental (DET)'!$DK764))+(DET_UTIL_stroke*('Experimental (DET)'!$DD764+'Experimental (DET)'!$DL764)))/((1+Discount_rate_QALYs)^$A764)</f>
        <v>10.116768435132464</v>
      </c>
      <c r="DT764" s="310">
        <f t="shared" ca="1" si="387"/>
        <v>23558.154841708129</v>
      </c>
      <c r="DU764" s="309"/>
      <c r="DV764" s="308">
        <f t="shared" si="357"/>
        <v>98</v>
      </c>
      <c r="DW764" s="318">
        <f t="shared" ca="1" si="358"/>
        <v>40424.849354443002</v>
      </c>
      <c r="DX764" s="319">
        <f t="shared" ca="1" si="388"/>
        <v>11683807.77214326</v>
      </c>
      <c r="DZ764" s="95">
        <f t="shared" si="359"/>
        <v>98</v>
      </c>
      <c r="EA764" s="268">
        <f t="shared" ca="1" si="304"/>
        <v>0.35619002876804529</v>
      </c>
      <c r="EB764" s="268">
        <f t="shared" ca="1" si="306"/>
        <v>0.64380997123195449</v>
      </c>
      <c r="EC764" s="268">
        <f t="shared" ca="1" si="307"/>
        <v>0.17204645200966709</v>
      </c>
      <c r="ED764" s="290">
        <f t="shared" ca="1" si="308"/>
        <v>0.18163904345743728</v>
      </c>
      <c r="EF764" s="95">
        <f t="shared" si="360"/>
        <v>98</v>
      </c>
      <c r="EG764" s="339">
        <f t="shared" ca="1" si="361"/>
        <v>40424.849354443002</v>
      </c>
      <c r="EH764" s="341">
        <f t="shared" ca="1" si="389"/>
        <v>14785823.496106809</v>
      </c>
      <c r="EJ764" s="308">
        <f t="shared" si="362"/>
        <v>98</v>
      </c>
      <c r="EK764" s="318">
        <f t="shared" ca="1" si="363"/>
        <v>40424.849354443002</v>
      </c>
      <c r="EL764" s="319">
        <f t="shared" ca="1" si="390"/>
        <v>11680767.772143258</v>
      </c>
      <c r="EN764" s="95">
        <f t="shared" si="364"/>
        <v>98</v>
      </c>
      <c r="EO764" s="339">
        <f t="shared" ca="1" si="365"/>
        <v>40424.849354443002</v>
      </c>
      <c r="EP764" s="341">
        <f t="shared" ca="1" si="391"/>
        <v>14785823.496106809</v>
      </c>
    </row>
    <row r="765" spans="1:146" s="266" customFormat="1" x14ac:dyDescent="0.25">
      <c r="A765" s="313">
        <v>99</v>
      </c>
      <c r="B765" s="314">
        <v>99</v>
      </c>
      <c r="C765" s="308">
        <f>VLOOKUP($B765,'Infant adult mortality'!$A$27:$I$128,3)</f>
        <v>8.3243158782075055E-2</v>
      </c>
      <c r="D765" s="309">
        <f t="shared" si="309"/>
        <v>0.27</v>
      </c>
      <c r="E765" s="309">
        <f>VLOOKUP($B765,'Infant pick up smoking rates'!$A$19:$I$104,3)</f>
        <v>0</v>
      </c>
      <c r="F765" s="309">
        <f t="shared" si="310"/>
        <v>0.14624098391610749</v>
      </c>
      <c r="G765" s="309">
        <f t="shared" si="311"/>
        <v>0.50051585730181736</v>
      </c>
      <c r="H765" s="309">
        <f>VLOOKUP($B765,'Infant adult mortality'!$A$27:$I$128,3)</f>
        <v>8.3243158782075055E-2</v>
      </c>
      <c r="I765" s="309">
        <f t="shared" si="312"/>
        <v>0.14000000000000001</v>
      </c>
      <c r="J765" s="309">
        <f>VLOOKUP($B765,'Infant pick up smoking rates'!$A$19:$I$104,2)</f>
        <v>0</v>
      </c>
      <c r="K765" s="309">
        <f t="shared" si="313"/>
        <v>0.14624098391610749</v>
      </c>
      <c r="L765" s="309">
        <f t="shared" si="314"/>
        <v>0.63051585730181747</v>
      </c>
      <c r="M765" s="309">
        <f>VLOOKUP($B765,'Infant adult mortality'!$A$27:$I$128,3)</f>
        <v>8.3243158782075055E-2</v>
      </c>
      <c r="N765" s="309">
        <f t="shared" si="315"/>
        <v>0.5714285714285714</v>
      </c>
      <c r="O765" s="309">
        <f>VLOOKUP($B765,'Infant pick up smoking rates'!$A$19:$I$104,2)</f>
        <v>0</v>
      </c>
      <c r="P765" s="309">
        <f t="shared" si="316"/>
        <v>0.12016234480898272</v>
      </c>
      <c r="Q765" s="309">
        <f t="shared" si="317"/>
        <v>0.22516592498037086</v>
      </c>
      <c r="R765" s="309">
        <f>VLOOKUP($B765,'Infant adult mortality'!$A$27:$I$128,3)</f>
        <v>8.3243158782075055E-2</v>
      </c>
      <c r="S765" s="309">
        <f t="shared" si="318"/>
        <v>8.6261668788331098E-3</v>
      </c>
      <c r="T765" s="309">
        <f>VLOOKUP($B765,'Infant pick up smoking rates'!$A$19:$I$104,2)</f>
        <v>0</v>
      </c>
      <c r="U765" s="309">
        <f t="shared" si="319"/>
        <v>0.12016234480898272</v>
      </c>
      <c r="V765" s="309">
        <f t="shared" si="320"/>
        <v>0.7879683295301092</v>
      </c>
      <c r="W765" s="309">
        <f>VLOOKUP($B765,'Infant adult mortality'!$A$27:$I$128,3)</f>
        <v>8.3243158782075055E-2</v>
      </c>
      <c r="X765" s="309">
        <f>VLOOKUP($B765,'Infant pick up smoking rates'!$A$19:$I$104,2)</f>
        <v>0</v>
      </c>
      <c r="Y765" s="309">
        <f t="shared" si="321"/>
        <v>0.916756841217925</v>
      </c>
      <c r="Z765" s="309">
        <f>VLOOKUP($B765,'Infant adult mortality'!$A$27:$I$128,5)</f>
        <v>0.10797911521731798</v>
      </c>
      <c r="AA765" s="309">
        <f t="shared" si="322"/>
        <v>0.25</v>
      </c>
      <c r="AB765" s="309">
        <f t="shared" si="323"/>
        <v>0.64202088478268204</v>
      </c>
      <c r="AC765" s="309">
        <f>VLOOKUP($B765,'Infant adult mortality'!$A$27:$I$128,5)</f>
        <v>0.10797911521731798</v>
      </c>
      <c r="AD765" s="309">
        <f t="shared" si="324"/>
        <v>0.14000000000000001</v>
      </c>
      <c r="AE765" s="309">
        <f t="shared" si="325"/>
        <v>0.75202088478268203</v>
      </c>
      <c r="AF765" s="309">
        <f>VLOOKUP($B765,'Infant adult mortality'!$A$27:$I$128,4)</f>
        <v>8.8723580267727684E-2</v>
      </c>
      <c r="AG765" s="309">
        <f t="shared" si="326"/>
        <v>0.5714285714285714</v>
      </c>
      <c r="AH765" s="309">
        <f t="shared" si="327"/>
        <v>0.33984784830370091</v>
      </c>
      <c r="AI765" s="309">
        <f>VLOOKUP($B765,'Infant adult mortality'!$A$27:$I$128,4)</f>
        <v>8.8723580267727684E-2</v>
      </c>
      <c r="AJ765" s="309">
        <f t="shared" si="328"/>
        <v>8.6261668788331098E-3</v>
      </c>
      <c r="AK765" s="309">
        <f t="shared" si="329"/>
        <v>0.90265025285343925</v>
      </c>
      <c r="AL765" s="309"/>
      <c r="AM765" s="315">
        <f t="shared" si="366"/>
        <v>5.2419299213894592E-2</v>
      </c>
      <c r="AN765" s="316">
        <f t="shared" si="367"/>
        <v>1.819523292339395E-2</v>
      </c>
      <c r="AO765" s="316">
        <f t="shared" si="368"/>
        <v>3.2484382271583865E-3</v>
      </c>
      <c r="AP765" s="316">
        <f t="shared" si="369"/>
        <v>0.28862962108090434</v>
      </c>
      <c r="AQ765" s="316">
        <f t="shared" si="370"/>
        <v>60.84596665357855</v>
      </c>
      <c r="AR765" s="316">
        <f t="shared" si="371"/>
        <v>23.585628058080466</v>
      </c>
      <c r="AS765" s="316">
        <f t="shared" si="372"/>
        <v>6.6588202627173469</v>
      </c>
      <c r="AT765" s="316">
        <f t="shared" si="373"/>
        <v>1.0428545068579296</v>
      </c>
      <c r="AU765" s="316">
        <f t="shared" si="374"/>
        <v>51.987350892770642</v>
      </c>
      <c r="AV765" s="316">
        <f t="shared" si="375"/>
        <v>365.5168870345492</v>
      </c>
      <c r="AW765" s="317">
        <f t="shared" si="330"/>
        <v>509.99999999999949</v>
      </c>
      <c r="AX765" s="309"/>
      <c r="AY765" s="308">
        <f>VLOOKUP($B765,'Infant adult mortality'!$A$134:$I$234,3)</f>
        <v>7.064870789358331E-2</v>
      </c>
      <c r="AZ765" s="309">
        <f t="shared" si="331"/>
        <v>0.27</v>
      </c>
      <c r="BA765" s="309">
        <f ca="1">VLOOKUP($B765,'Infant pick up smoking rates'!$A$19:$I$104,7)</f>
        <v>0</v>
      </c>
      <c r="BB765" s="309">
        <f t="shared" si="332"/>
        <v>0.14624098391610749</v>
      </c>
      <c r="BC765" s="309">
        <f t="shared" ca="1" si="333"/>
        <v>0.51311030819030912</v>
      </c>
      <c r="BD765" s="309">
        <f>VLOOKUP($B765,'Infant adult mortality'!$A$134:$I$234,3)</f>
        <v>7.064870789358331E-2</v>
      </c>
      <c r="BE765" s="309">
        <f t="shared" si="334"/>
        <v>0.14000000000000001</v>
      </c>
      <c r="BF765" s="309">
        <f>VLOOKUP($B765,'Infant pick up smoking rates'!$A$19:$I$104,6)</f>
        <v>0</v>
      </c>
      <c r="BG765" s="309">
        <f t="shared" si="335"/>
        <v>0.14624098391610749</v>
      </c>
      <c r="BH765" s="309">
        <f t="shared" si="336"/>
        <v>0.64311030819030912</v>
      </c>
      <c r="BI765" s="309">
        <f>VLOOKUP($B765,'Infant adult mortality'!$A$134:$I$234,3)</f>
        <v>7.064870789358331E-2</v>
      </c>
      <c r="BJ765" s="309">
        <f t="shared" si="337"/>
        <v>0.5714285714285714</v>
      </c>
      <c r="BK765" s="309">
        <f>VLOOKUP($B765,'Infant pick up smoking rates'!$A$19:$I$104,6)</f>
        <v>0</v>
      </c>
      <c r="BL765" s="309">
        <f t="shared" si="338"/>
        <v>0.12016234480898272</v>
      </c>
      <c r="BM765" s="309">
        <f t="shared" si="339"/>
        <v>0.23776037586886262</v>
      </c>
      <c r="BN765" s="309">
        <f>VLOOKUP($B765,'Infant adult mortality'!$A$134:$I$234,3)</f>
        <v>7.064870789358331E-2</v>
      </c>
      <c r="BO765" s="309">
        <f t="shared" si="340"/>
        <v>8.6261668788331098E-3</v>
      </c>
      <c r="BP765" s="309">
        <f>VLOOKUP($B765,'Infant pick up smoking rates'!$A$19:$I$104,6)</f>
        <v>0</v>
      </c>
      <c r="BQ765" s="309">
        <f t="shared" si="341"/>
        <v>0.12016234480898272</v>
      </c>
      <c r="BR765" s="309">
        <f t="shared" si="342"/>
        <v>0.80056278041860085</v>
      </c>
      <c r="BS765" s="309">
        <f>VLOOKUP($B765,'Infant adult mortality'!$A$134:$I$234,3)</f>
        <v>7.064870789358331E-2</v>
      </c>
      <c r="BT765" s="309">
        <f>VLOOKUP($B765,'Infant pick up smoking rates'!$A$19:$I$104,6)</f>
        <v>0</v>
      </c>
      <c r="BU765" s="309">
        <f t="shared" si="343"/>
        <v>0.92935129210641665</v>
      </c>
      <c r="BV765" s="309">
        <f>VLOOKUP($B765,'Infant adult mortality'!$A$134:$I$234,5)</f>
        <v>9.1642185150217492E-2</v>
      </c>
      <c r="BW765" s="309">
        <f t="shared" si="344"/>
        <v>0.27</v>
      </c>
      <c r="BX765" s="309">
        <f t="shared" si="345"/>
        <v>0.63835781484978249</v>
      </c>
      <c r="BY765" s="309">
        <f>VLOOKUP($B765,'Infant adult mortality'!$A$134:$I$234,5)</f>
        <v>9.1642185150217492E-2</v>
      </c>
      <c r="BZ765" s="309">
        <f t="shared" si="346"/>
        <v>0.14000000000000001</v>
      </c>
      <c r="CA765" s="309">
        <f t="shared" si="347"/>
        <v>0.76835781484978249</v>
      </c>
      <c r="CB765" s="309">
        <f>VLOOKUP($B765,'Infant adult mortality'!$A$134:$I$234,4)</f>
        <v>7.5299957345651966E-2</v>
      </c>
      <c r="CC765" s="309">
        <f t="shared" si="348"/>
        <v>0.5714285714285714</v>
      </c>
      <c r="CD765" s="309">
        <f t="shared" si="349"/>
        <v>0.35327147122577662</v>
      </c>
      <c r="CE765" s="309">
        <f>VLOOKUP($B765,'Infant adult mortality'!$A$134:$I$234,4)</f>
        <v>7.5299957345651966E-2</v>
      </c>
      <c r="CF765" s="309">
        <f t="shared" si="350"/>
        <v>8.6261668788331098E-3</v>
      </c>
      <c r="CG765" s="309">
        <f t="shared" si="351"/>
        <v>0.91607387577551491</v>
      </c>
      <c r="CH765" s="309"/>
      <c r="CI765" s="315">
        <f t="shared" ca="1" si="376"/>
        <v>8.9558857193511129E-2</v>
      </c>
      <c r="CJ765" s="316">
        <f t="shared" ca="1" si="377"/>
        <v>3.0571696294848748E-2</v>
      </c>
      <c r="CK765" s="316">
        <f t="shared" ca="1" si="378"/>
        <v>5.3769195097656021E-3</v>
      </c>
      <c r="CL765" s="316">
        <f t="shared" ca="1" si="379"/>
        <v>0.48309057588824739</v>
      </c>
      <c r="CM765" s="316">
        <f t="shared" ca="1" si="380"/>
        <v>99.561241598397004</v>
      </c>
      <c r="CN765" s="316">
        <f t="shared" ca="1" si="381"/>
        <v>22.880873543493898</v>
      </c>
      <c r="CO765" s="316">
        <f t="shared" ca="1" si="382"/>
        <v>6.8518154520457157</v>
      </c>
      <c r="CP765" s="316">
        <f t="shared" ca="1" si="383"/>
        <v>1.0559058229957865</v>
      </c>
      <c r="CQ765" s="316">
        <f t="shared" ca="1" si="384"/>
        <v>51.467746922861757</v>
      </c>
      <c r="CR765" s="316">
        <f t="shared" ca="1" si="385"/>
        <v>307.57381861131984</v>
      </c>
      <c r="CS765" s="317">
        <f t="shared" ca="1" si="352"/>
        <v>490.00000000000034</v>
      </c>
      <c r="CT765" s="309"/>
      <c r="CU765" s="309">
        <f t="shared" ca="1" si="353"/>
        <v>999.99999999999977</v>
      </c>
      <c r="CV765" s="309" t="str">
        <f t="shared" ca="1" si="305"/>
        <v>OKAY</v>
      </c>
      <c r="CW765" s="309"/>
      <c r="CX765" s="315">
        <f>(SUM($AR765:$AS765))-((SUM($AR765:$AS765)*VLOOKUP($B765,Lifetime_morbidity_array!$A$30:$Y$48,4))+(SUM($AR765:$AS765)*VLOOKUP($B765,Lifetime_morbidity_array!$A$30:$Y$48,7))+(SUM($AR765:$AS765)*VLOOKUP($B765,Lifetime_morbidity_array!$A$30:$Y$48,10))+(SUM($AR765:$AS765)*VLOOKUP($B765,Lifetime_morbidity_array!$A$30:$Y$48,13)))</f>
        <v>-0.81692123243412951</v>
      </c>
      <c r="CY765" s="316">
        <f>(SUM($AT765:$AU765))-((SUM($AT765:$AU765)*(VLOOKUP($B765,Lifetime_morbidity_array!$A$30:$Y$48,3)))+(SUM($AT765:$AU765)*(VLOOKUP($B765,Lifetime_morbidity_array!$A$30:$Y$48,6)))+(SUM($AT765:$AU765)*(VLOOKUP($B765,Lifetime_morbidity_array!$A$30:$Y$48,9)))+(SUM($AT765:$AU765)*(VLOOKUP($B765,Lifetime_morbidity_array!$A$30:$Y$48,12))))</f>
        <v>24.049293338483796</v>
      </c>
      <c r="CZ765" s="316">
        <f>(SUM($AM765:$AQ765))-((SUM($AM765:$AQ765)*VLOOKUP($B765,Lifetime_morbidity_array!$A$30:$Y$48,2))+(SUM($AM765:$AQ765)*VLOOKUP($B765,Lifetime_morbidity_array!$A$30:$Y$48,5))+(SUM($AM765:$AQ765)*VLOOKUP($B765,Lifetime_morbidity_array!$A$30:$Y$48,8))+(SUM($AM765:$AQ765)*VLOOKUP($B765,Lifetime_morbidity_array!$A$30:$Y$48,11)))</f>
        <v>39.022623814811347</v>
      </c>
      <c r="DA765" s="316">
        <f>(SUM($AM765:$AQ765)*VLOOKUP($B765,Lifetime_morbidity_array!$A$30:$Y$48,2))+(SUM($AR765:$AS765)*VLOOKUP($B765,Lifetime_morbidity_array!$A$30:$Y$48,4))+(SUM($AT765:$AU765)*(VLOOKUP($B765,Lifetime_morbidity_array!$A$30:$Y$48,3)))</f>
        <v>43.359355565488791</v>
      </c>
      <c r="DB765" s="316">
        <f>(SUM($AM765:$AQ765)*VLOOKUP($B765,Lifetime_morbidity_array!$A$30:$Y$48,5))+(SUM($AR765:$AS765)*VLOOKUP($B765,Lifetime_morbidity_array!$A$30:$Y$48,7))+(SUM($AT765:$AU765)*(VLOOKUP($B765,Lifetime_morbidity_array!$A$30:$Y$48,6)))</f>
        <v>17.905641419068264</v>
      </c>
      <c r="DC765" s="316">
        <f>(SUM($AM765:$AQ765)*VLOOKUP($B765,Lifetime_morbidity_array!$A$30:$Y$48,8))+(SUM($AR765:$AS765)*VLOOKUP($B765,Lifetime_morbidity_array!$A$30:$Y$48,10))+(SUM($AT765:$AU765)*(VLOOKUP($B765,Lifetime_morbidity_array!$A$30:$Y$48,9)))</f>
        <v>1.4478111369762414</v>
      </c>
      <c r="DD765" s="317">
        <f>(SUM($AM765:$AQ765)*VLOOKUP($B765,Lifetime_morbidity_array!$A$30:$Y$48,11))+(SUM($AR765:$AS765)*VLOOKUP($B765,Lifetime_morbidity_array!$A$30:$Y$48,13))+(SUM($AT765:$AU765)*(VLOOKUP($B765,Lifetime_morbidity_array!$A$30:$Y$48,12)))</f>
        <v>19.515308923055976</v>
      </c>
      <c r="DE765" s="309"/>
      <c r="DF765" s="315">
        <f ca="1">(SUM($CN765:$CO765))-((SUM($CN765:$CO765)*VLOOKUP($B765,Lifetime_morbidity_array!$A$6:$Y$24,4))+(SUM($CN765:$CO765)*VLOOKUP($B765,Lifetime_morbidity_array!$A$6:$Y$24,7))+(SUM($CN765:$CO765)*VLOOKUP($B765,Lifetime_morbidity_array!$A$6:$Y$24,10))+(SUM($CN765:$CO765)*VLOOKUP($B765,Lifetime_morbidity_array!$A$6:$Y$24,13)))</f>
        <v>4.7139549014403279</v>
      </c>
      <c r="DG765" s="316">
        <f ca="1">(SUM($CP765:$CQ765))-(((SUM($CP765:$CQ765)*VLOOKUP($B765,Lifetime_morbidity_array!$A$6:$Y$24,3))+(SUM($CP765:$CQ765)*VLOOKUP($B765,Lifetime_morbidity_array!$A$6:$Y$24,6))+(SUM($CP765:$CQ765)*VLOOKUP($B765,Lifetime_morbidity_array!$A$6:$Y$24,9))+(SUM($CP765:$CQ765)*VLOOKUP($B765,Lifetime_morbidity_array!$A$6:$Y$24,12))))</f>
        <v>30.567859983504974</v>
      </c>
      <c r="DH765" s="316">
        <f ca="1">(SUM($CI765:$CM765))-((SUM($CI765:$CM765)*VLOOKUP($B765,Lifetime_morbidity_array!$A$6:$Y$24,2))+(SUM($CI765:$CM765)*VLOOKUP($B765,Lifetime_morbidity_array!$A$6:$Y$24,5))+(SUM($CI765:$CM765)*VLOOKUP($B765,Lifetime_morbidity_array!$A$6:$Y$24,8))+(SUM($CI765:$CM765)*VLOOKUP($B765,Lifetime_morbidity_array!$A$6:$Y$24,11)))</f>
        <v>72.505623894779717</v>
      </c>
      <c r="DI765" s="316">
        <f ca="1">(SUM($CI765:$CM765)*VLOOKUP($B765,Lifetime_morbidity_array!$A$6:$Y$24,2))+(SUM($CN765:$CO765)*VLOOKUP($B765,Lifetime_morbidity_array!$A$6:$Y$24,4))+(SUM($CP765:$CQ765)*VLOOKUP($B765,Lifetime_morbidity_array!$A$6:$Y$24,3))</f>
        <v>37.668889621295392</v>
      </c>
      <c r="DJ765" s="316">
        <f ca="1">(SUM($CI765:$CM765)*VLOOKUP($B765,Lifetime_morbidity_array!$A$6:$Y$24,5))+(SUM($CN765:$CO765)*VLOOKUP($B765,Lifetime_morbidity_array!$A$6:$Y$24,7))+(SUM($CP765:$CQ765)*VLOOKUP($B765,Lifetime_morbidity_array!$A$6:$Y$24,6))</f>
        <v>15.328861208347805</v>
      </c>
      <c r="DK765" s="316">
        <f ca="1">(SUM($CI765:$CM765)*VLOOKUP($B765,Lifetime_morbidity_array!$A$6:$Y$24,8))+(SUM($CN765:$CO765)*VLOOKUP($B765,Lifetime_morbidity_array!$A$6:$Y$24,10))+(SUM($CP765:$CQ765)*VLOOKUP($B765,Lifetime_morbidity_array!$A$6:$Y$24,9))</f>
        <v>0.70900889861185401</v>
      </c>
      <c r="DL765" s="317">
        <f ca="1">(SUM($CI765:$CM765)*VLOOKUP($B765,Lifetime_morbidity_array!$A$6:$Y$24,11))+(SUM($CN765:$CO765)*VLOOKUP($B765,Lifetime_morbidity_array!$A$6:$Y$24,13))+(SUM($CP765:$CQ765)*VLOOKUP($B765,Lifetime_morbidity_array!$A$6:$Y$24,12))</f>
        <v>20.931982880700474</v>
      </c>
      <c r="DM765" s="309"/>
      <c r="DN765" s="308">
        <f t="shared" si="354"/>
        <v>99</v>
      </c>
      <c r="DO765" s="309">
        <f t="shared" ca="1" si="355"/>
        <v>10.847574429462993</v>
      </c>
      <c r="DP765" s="310">
        <f t="shared" ca="1" si="386"/>
        <v>24090.593853937677</v>
      </c>
      <c r="DQ765" s="309"/>
      <c r="DR765" s="308">
        <f t="shared" si="356"/>
        <v>99</v>
      </c>
      <c r="DS765" s="309">
        <f ca="1">((VLOOKUP($B765,'Mahawesran Tariff'!$A$21:$M$120,4)*'Experimental (DET)'!$CX765)+(VLOOKUP($B765,'Mahawesran Tariff'!$A$21:$M$120,3)*'Experimental (DET)'!$CY765)+(VLOOKUP($B765,'Mahawesran Tariff'!$A$21:$M$120,2)*'Experimental (DET)'!$CZ765)+(VLOOKUP($B765,'Mahawesran Tariff'!$A$21:$M$120,7)*'Experimental (DET)'!$DF765)+(VLOOKUP($B765,'Mahawesran Tariff'!$A$21:$M$120,6)*'Experimental (DET)'!$DG765)+(VLOOKUP($B765,'Mahawesran Tariff'!$A$21:$M$120,5)*'Experimental (DET)'!$DH765)+(DET_UTIL_chd*('Experimental (DET)'!$DA765+'Experimental (DET)'!$DI765))+(DET_UTIL_copd*('Experimental (DET)'!$DB765+'Experimental (DET)'!$DJ765))+(DET_UTIL_lc*('Experimental (DET)'!$DC765+'Experimental (DET)'!$DK765))+(DET_UTIL_stroke*('Experimental (DET)'!$DD765+'Experimental (DET)'!$DL765)))/((1+Discount_rate_QALYs)^$A765)</f>
        <v>8.9777462152983301</v>
      </c>
      <c r="DT765" s="310">
        <f t="shared" ca="1" si="387"/>
        <v>23567.132587923428</v>
      </c>
      <c r="DU765" s="309"/>
      <c r="DV765" s="308">
        <f t="shared" si="357"/>
        <v>99</v>
      </c>
      <c r="DW765" s="318">
        <f t="shared" ca="1" si="358"/>
        <v>35715.340243955958</v>
      </c>
      <c r="DX765" s="319">
        <f t="shared" ca="1" si="388"/>
        <v>11719523.112387216</v>
      </c>
      <c r="DZ765" s="95">
        <f t="shared" si="359"/>
        <v>99</v>
      </c>
      <c r="EA765" s="268">
        <f t="shared" ca="1" si="304"/>
        <v>0.3269092943541308</v>
      </c>
      <c r="EB765" s="268">
        <f t="shared" ca="1" si="306"/>
        <v>0.67309070564586915</v>
      </c>
      <c r="EC765" s="268">
        <f t="shared" ca="1" si="307"/>
        <v>0.1568668596535448</v>
      </c>
      <c r="ED765" s="290">
        <f t="shared" ca="1" si="308"/>
        <v>0.16553099546182354</v>
      </c>
      <c r="EF765" s="95">
        <f t="shared" si="360"/>
        <v>99</v>
      </c>
      <c r="EG765" s="339">
        <f t="shared" ca="1" si="361"/>
        <v>35715.340243955958</v>
      </c>
      <c r="EH765" s="341">
        <f t="shared" ca="1" si="389"/>
        <v>14821538.836350765</v>
      </c>
      <c r="EJ765" s="308">
        <f t="shared" si="362"/>
        <v>99</v>
      </c>
      <c r="EK765" s="318">
        <f t="shared" ca="1" si="363"/>
        <v>35715.340243955958</v>
      </c>
      <c r="EL765" s="319">
        <f t="shared" ca="1" si="390"/>
        <v>11716483.112387214</v>
      </c>
      <c r="EN765" s="95">
        <f t="shared" si="364"/>
        <v>99</v>
      </c>
      <c r="EO765" s="339">
        <f t="shared" ca="1" si="365"/>
        <v>35715.340243955958</v>
      </c>
      <c r="EP765" s="341">
        <f t="shared" ca="1" si="391"/>
        <v>14821538.836350765</v>
      </c>
    </row>
    <row r="766" spans="1:146" s="267" customFormat="1" ht="15.75" thickBot="1" x14ac:dyDescent="0.3">
      <c r="A766" s="313">
        <v>100</v>
      </c>
      <c r="B766" s="314">
        <v>100</v>
      </c>
      <c r="C766" s="308">
        <f>VLOOKUP($B766,'Infant adult mortality'!$A$27:$I$128,3)</f>
        <v>9.0223010419125338E-2</v>
      </c>
      <c r="D766" s="309">
        <f t="shared" si="309"/>
        <v>0.27</v>
      </c>
      <c r="E766" s="309">
        <f>VLOOKUP($B766,'Infant pick up smoking rates'!$A$19:$I$104,3)</f>
        <v>0</v>
      </c>
      <c r="F766" s="309">
        <f t="shared" si="310"/>
        <v>0.14624098391610749</v>
      </c>
      <c r="G766" s="309">
        <f t="shared" si="311"/>
        <v>0.49353600566476713</v>
      </c>
      <c r="H766" s="309">
        <f>VLOOKUP($B766,'Infant adult mortality'!$A$27:$I$128,3)</f>
        <v>9.0223010419125338E-2</v>
      </c>
      <c r="I766" s="309">
        <f t="shared" si="312"/>
        <v>0.14000000000000001</v>
      </c>
      <c r="J766" s="309">
        <f>VLOOKUP($B766,'Infant pick up smoking rates'!$A$19:$I$104,2)</f>
        <v>0</v>
      </c>
      <c r="K766" s="309">
        <f t="shared" si="313"/>
        <v>0.14624098391610749</v>
      </c>
      <c r="L766" s="309">
        <f t="shared" si="314"/>
        <v>0.62353600566476719</v>
      </c>
      <c r="M766" s="309">
        <f>VLOOKUP($B766,'Infant adult mortality'!$A$27:$I$128,3)</f>
        <v>9.0223010419125338E-2</v>
      </c>
      <c r="N766" s="309">
        <f t="shared" si="315"/>
        <v>0.5714285714285714</v>
      </c>
      <c r="O766" s="309">
        <f>VLOOKUP($B766,'Infant pick up smoking rates'!$A$19:$I$104,2)</f>
        <v>0</v>
      </c>
      <c r="P766" s="309">
        <f t="shared" si="316"/>
        <v>0.12016234480898272</v>
      </c>
      <c r="Q766" s="309">
        <f t="shared" si="317"/>
        <v>0.21818607334332057</v>
      </c>
      <c r="R766" s="309">
        <f>VLOOKUP($B766,'Infant adult mortality'!$A$27:$I$128,3)</f>
        <v>9.0223010419125338E-2</v>
      </c>
      <c r="S766" s="309">
        <f t="shared" si="318"/>
        <v>8.6261668788331098E-3</v>
      </c>
      <c r="T766" s="309">
        <f>VLOOKUP($B766,'Infant pick up smoking rates'!$A$19:$I$104,2)</f>
        <v>0</v>
      </c>
      <c r="U766" s="309">
        <f t="shared" si="319"/>
        <v>0.12016234480898272</v>
      </c>
      <c r="V766" s="309">
        <f t="shared" si="320"/>
        <v>0.78098847789305892</v>
      </c>
      <c r="W766" s="309">
        <f>VLOOKUP($B766,'Infant adult mortality'!$A$27:$I$128,3)</f>
        <v>9.0223010419125338E-2</v>
      </c>
      <c r="X766" s="309">
        <f>VLOOKUP($B766,'Infant pick up smoking rates'!$A$19:$I$104,2)</f>
        <v>0</v>
      </c>
      <c r="Y766" s="309">
        <f t="shared" si="321"/>
        <v>0.90977698958087472</v>
      </c>
      <c r="Z766" s="309">
        <f>VLOOKUP($B766,'Infant adult mortality'!$A$27:$I$128,5)</f>
        <v>0.11703305088174798</v>
      </c>
      <c r="AA766" s="309">
        <f t="shared" si="322"/>
        <v>0.25</v>
      </c>
      <c r="AB766" s="309">
        <f t="shared" si="323"/>
        <v>0.63296694911825202</v>
      </c>
      <c r="AC766" s="309">
        <f>VLOOKUP($B766,'Infant adult mortality'!$A$27:$I$128,5)</f>
        <v>0.11703305088174798</v>
      </c>
      <c r="AD766" s="309">
        <f t="shared" si="324"/>
        <v>0.14000000000000001</v>
      </c>
      <c r="AE766" s="309">
        <f t="shared" si="325"/>
        <v>0.74296694911825201</v>
      </c>
      <c r="AF766" s="309">
        <f>VLOOKUP($B766,'Infant adult mortality'!$A$27:$I$128,4)</f>
        <v>9.616295950365851E-2</v>
      </c>
      <c r="AG766" s="309">
        <f t="shared" si="326"/>
        <v>0.5714285714285714</v>
      </c>
      <c r="AH766" s="309">
        <f t="shared" si="327"/>
        <v>0.33240846906777011</v>
      </c>
      <c r="AI766" s="309">
        <f>VLOOKUP($B766,'Infant adult mortality'!$A$27:$I$128,4)</f>
        <v>9.616295950365851E-2</v>
      </c>
      <c r="AJ766" s="309">
        <f t="shared" si="328"/>
        <v>8.6261668788331098E-3</v>
      </c>
      <c r="AK766" s="309">
        <f t="shared" si="329"/>
        <v>0.8952108736175084</v>
      </c>
      <c r="AL766" s="309"/>
      <c r="AM766" s="315">
        <f t="shared" si="366"/>
        <v>4.0414725671865208E-2</v>
      </c>
      <c r="AN766" s="316">
        <f t="shared" si="367"/>
        <v>1.415321078775154E-2</v>
      </c>
      <c r="AO766" s="316">
        <f t="shared" si="368"/>
        <v>2.5473326092751531E-3</v>
      </c>
      <c r="AP766" s="316">
        <f t="shared" si="369"/>
        <v>0.22727265885834491</v>
      </c>
      <c r="AQ766" s="316">
        <f t="shared" si="370"/>
        <v>55.40165986089427</v>
      </c>
      <c r="AR766" s="316">
        <f t="shared" si="371"/>
        <v>20.671311644753501</v>
      </c>
      <c r="AS766" s="316">
        <f t="shared" si="372"/>
        <v>5.8964070145201166</v>
      </c>
      <c r="AT766" s="316">
        <f t="shared" si="373"/>
        <v>0.93223483678042862</v>
      </c>
      <c r="AU766" s="316">
        <f t="shared" si="374"/>
        <v>47.135558670838833</v>
      </c>
      <c r="AV766" s="316">
        <f t="shared" si="375"/>
        <v>379.67844004428508</v>
      </c>
      <c r="AW766" s="317">
        <f t="shared" si="330"/>
        <v>509.99999999999943</v>
      </c>
      <c r="AX766" s="309"/>
      <c r="AY766" s="308">
        <f>VLOOKUP($B766,'Infant adult mortality'!$A$134:$I$234,3)</f>
        <v>7.6370279866473337E-2</v>
      </c>
      <c r="AZ766" s="309">
        <f t="shared" si="331"/>
        <v>0.27</v>
      </c>
      <c r="BA766" s="309">
        <f ca="1">VLOOKUP($B766,'Infant pick up smoking rates'!$A$19:$I$104,7)</f>
        <v>0</v>
      </c>
      <c r="BB766" s="309">
        <f t="shared" si="332"/>
        <v>0.14624098391610749</v>
      </c>
      <c r="BC766" s="309">
        <f t="shared" ca="1" si="333"/>
        <v>0.50738873621741909</v>
      </c>
      <c r="BD766" s="309">
        <f>VLOOKUP($B766,'Infant adult mortality'!$A$134:$I$234,3)</f>
        <v>7.6370279866473337E-2</v>
      </c>
      <c r="BE766" s="309">
        <f t="shared" si="334"/>
        <v>0.14000000000000001</v>
      </c>
      <c r="BF766" s="309">
        <f>VLOOKUP($B766,'Infant pick up smoking rates'!$A$19:$I$104,6)</f>
        <v>0</v>
      </c>
      <c r="BG766" s="309">
        <f t="shared" si="335"/>
        <v>0.14624098391610749</v>
      </c>
      <c r="BH766" s="309">
        <f t="shared" si="336"/>
        <v>0.63738873621741909</v>
      </c>
      <c r="BI766" s="309">
        <f>VLOOKUP($B766,'Infant adult mortality'!$A$134:$I$234,3)</f>
        <v>7.6370279866473337E-2</v>
      </c>
      <c r="BJ766" s="309">
        <f t="shared" si="337"/>
        <v>0.5714285714285714</v>
      </c>
      <c r="BK766" s="309">
        <f>VLOOKUP($B766,'Infant pick up smoking rates'!$A$19:$I$104,6)</f>
        <v>0</v>
      </c>
      <c r="BL766" s="309">
        <f t="shared" si="338"/>
        <v>0.12016234480898272</v>
      </c>
      <c r="BM766" s="309">
        <f t="shared" si="339"/>
        <v>0.23203880389597259</v>
      </c>
      <c r="BN766" s="309">
        <f>VLOOKUP($B766,'Infant adult mortality'!$A$134:$I$234,3)</f>
        <v>7.6370279866473337E-2</v>
      </c>
      <c r="BO766" s="309">
        <f t="shared" si="340"/>
        <v>8.6261668788331098E-3</v>
      </c>
      <c r="BP766" s="309">
        <f>VLOOKUP($B766,'Infant pick up smoking rates'!$A$19:$I$104,6)</f>
        <v>0</v>
      </c>
      <c r="BQ766" s="309">
        <f t="shared" si="341"/>
        <v>0.12016234480898272</v>
      </c>
      <c r="BR766" s="309">
        <f t="shared" si="342"/>
        <v>0.79484120844571082</v>
      </c>
      <c r="BS766" s="309">
        <f>VLOOKUP($B766,'Infant adult mortality'!$A$134:$I$234,3)</f>
        <v>7.6370279866473337E-2</v>
      </c>
      <c r="BT766" s="309">
        <f>VLOOKUP($B766,'Infant pick up smoking rates'!$A$19:$I$104,6)</f>
        <v>0</v>
      </c>
      <c r="BU766" s="309">
        <f t="shared" si="343"/>
        <v>0.92362972013352662</v>
      </c>
      <c r="BV766" s="309">
        <f>VLOOKUP($B766,'Infant adult mortality'!$A$134:$I$234,5)</f>
        <v>9.9063939542097967E-2</v>
      </c>
      <c r="BW766" s="309">
        <f t="shared" si="344"/>
        <v>0.27</v>
      </c>
      <c r="BX766" s="309">
        <f t="shared" si="345"/>
        <v>0.63093606045790196</v>
      </c>
      <c r="BY766" s="309">
        <f>VLOOKUP($B766,'Infant adult mortality'!$A$134:$I$234,5)</f>
        <v>9.9063939542097967E-2</v>
      </c>
      <c r="BZ766" s="309">
        <f t="shared" si="346"/>
        <v>0.14000000000000001</v>
      </c>
      <c r="CA766" s="309">
        <f t="shared" si="347"/>
        <v>0.76093606045790207</v>
      </c>
      <c r="CB766" s="309">
        <f>VLOOKUP($B766,'Infant adult mortality'!$A$134:$I$234,4)</f>
        <v>8.1398216441312329E-2</v>
      </c>
      <c r="CC766" s="309">
        <f t="shared" si="348"/>
        <v>0.5714285714285714</v>
      </c>
      <c r="CD766" s="309">
        <f t="shared" si="349"/>
        <v>0.34717321213011626</v>
      </c>
      <c r="CE766" s="309">
        <f>VLOOKUP($B766,'Infant adult mortality'!$A$134:$I$234,4)</f>
        <v>8.1398216441312329E-2</v>
      </c>
      <c r="CF766" s="309">
        <f t="shared" si="350"/>
        <v>8.6261668788331098E-3</v>
      </c>
      <c r="CG766" s="309">
        <f t="shared" si="351"/>
        <v>0.9099756166798546</v>
      </c>
      <c r="CH766" s="309"/>
      <c r="CI766" s="315">
        <f t="shared" ca="1" si="376"/>
        <v>7.0342084130782842E-2</v>
      </c>
      <c r="CJ766" s="316">
        <f t="shared" ca="1" si="377"/>
        <v>2.4180891442248005E-2</v>
      </c>
      <c r="CK766" s="316">
        <f t="shared" ca="1" si="378"/>
        <v>4.2800374812788254E-3</v>
      </c>
      <c r="CL766" s="316">
        <f t="shared" ca="1" si="379"/>
        <v>0.38705282256190071</v>
      </c>
      <c r="CM766" s="316">
        <f t="shared" ca="1" si="380"/>
        <v>92.033985123624362</v>
      </c>
      <c r="CN766" s="316">
        <f t="shared" ca="1" si="381"/>
        <v>20.460713260542217</v>
      </c>
      <c r="CO766" s="316">
        <f t="shared" ca="1" si="382"/>
        <v>6.1778358567433527</v>
      </c>
      <c r="CP766" s="316">
        <f t="shared" ca="1" si="383"/>
        <v>0.95925416328640034</v>
      </c>
      <c r="CQ766" s="316">
        <f t="shared" ca="1" si="384"/>
        <v>47.43776950125141</v>
      </c>
      <c r="CR766" s="316">
        <f t="shared" ca="1" si="385"/>
        <v>322.44458625893645</v>
      </c>
      <c r="CS766" s="317">
        <f t="shared" ca="1" si="352"/>
        <v>490.0000000000004</v>
      </c>
      <c r="CT766" s="309"/>
      <c r="CU766" s="309">
        <f t="shared" ca="1" si="353"/>
        <v>999.99999999999977</v>
      </c>
      <c r="CV766" s="309" t="str">
        <f t="shared" ca="1" si="305"/>
        <v>OKAY</v>
      </c>
      <c r="CW766" s="309"/>
      <c r="CX766" s="315">
        <f>(SUM($AR766:$AS766))-((SUM($AR766:$AS766)*VLOOKUP($B766,Lifetime_morbidity_array!$A$30:$Y$48,4))+(SUM($AR766:$AS766)*VLOOKUP($B766,Lifetime_morbidity_array!$A$30:$Y$48,7))+(SUM($AR766:$AS766)*VLOOKUP($B766,Lifetime_morbidity_array!$A$30:$Y$48,10))+(SUM($AR766:$AS766)*VLOOKUP($B766,Lifetime_morbidity_array!$A$30:$Y$48,13)))</f>
        <v>-0.71761049300318547</v>
      </c>
      <c r="CY766" s="316">
        <f>(SUM($AT766:$AU766))-((SUM($AT766:$AU766)*(VLOOKUP($B766,Lifetime_morbidity_array!$A$30:$Y$48,3)))+(SUM($AT766:$AU766)*(VLOOKUP($B766,Lifetime_morbidity_array!$A$30:$Y$48,6)))+(SUM($AT766:$AU766)*(VLOOKUP($B766,Lifetime_morbidity_array!$A$30:$Y$48,9)))+(SUM($AT766:$AU766)*(VLOOKUP($B766,Lifetime_morbidity_array!$A$30:$Y$48,12))))</f>
        <v>21.798830637878304</v>
      </c>
      <c r="CZ766" s="316">
        <f>(SUM($AM766:$AQ766))-((SUM($AM766:$AQ766)*VLOOKUP($B766,Lifetime_morbidity_array!$A$30:$Y$48,2))+(SUM($AM766:$AQ766)*VLOOKUP($B766,Lifetime_morbidity_array!$A$30:$Y$48,5))+(SUM($AM766:$AQ766)*VLOOKUP($B766,Lifetime_morbidity_array!$A$30:$Y$48,8))+(SUM($AM766:$AQ766)*VLOOKUP($B766,Lifetime_morbidity_array!$A$30:$Y$48,11)))</f>
        <v>35.501885219786018</v>
      </c>
      <c r="DA766" s="316">
        <f>(SUM($AM766:$AQ766)*VLOOKUP($B766,Lifetime_morbidity_array!$A$30:$Y$48,2))+(SUM($AR766:$AS766)*VLOOKUP($B766,Lifetime_morbidity_array!$A$30:$Y$48,4))+(SUM($AT766:$AU766)*(VLOOKUP($B766,Lifetime_morbidity_array!$A$30:$Y$48,3)))</f>
        <v>38.968172375416174</v>
      </c>
      <c r="DB766" s="316">
        <f>(SUM($AM766:$AQ766)*VLOOKUP($B766,Lifetime_morbidity_array!$A$30:$Y$48,5))+(SUM($AR766:$AS766)*VLOOKUP($B766,Lifetime_morbidity_array!$A$30:$Y$48,7))+(SUM($AT766:$AU766)*(VLOOKUP($B766,Lifetime_morbidity_array!$A$30:$Y$48,6)))</f>
        <v>15.917623012271775</v>
      </c>
      <c r="DC766" s="316">
        <f>(SUM($AM766:$AQ766)*VLOOKUP($B766,Lifetime_morbidity_array!$A$30:$Y$48,8))+(SUM($AR766:$AS766)*VLOOKUP($B766,Lifetime_morbidity_array!$A$30:$Y$48,10))+(SUM($AT766:$AU766)*(VLOOKUP($B766,Lifetime_morbidity_array!$A$30:$Y$48,9)))</f>
        <v>1.2871658826505112</v>
      </c>
      <c r="DD766" s="317">
        <f>(SUM($AM766:$AQ766)*VLOOKUP($B766,Lifetime_morbidity_array!$A$30:$Y$48,11))+(SUM($AR766:$AS766)*VLOOKUP($B766,Lifetime_morbidity_array!$A$30:$Y$48,13))+(SUM($AT766:$AU766)*(VLOOKUP($B766,Lifetime_morbidity_array!$A$30:$Y$48,12)))</f>
        <v>17.565493320714793</v>
      </c>
      <c r="DE766" s="309"/>
      <c r="DF766" s="315">
        <f ca="1">(SUM($CN766:$CO766))-((SUM($CN766:$CO766)*VLOOKUP($B766,Lifetime_morbidity_array!$A$6:$Y$24,4))+(SUM($CN766:$CO766)*VLOOKUP($B766,Lifetime_morbidity_array!$A$6:$Y$24,7))+(SUM($CN766:$CO766)*VLOOKUP($B766,Lifetime_morbidity_array!$A$6:$Y$24,10))+(SUM($CN766:$CO766)*VLOOKUP($B766,Lifetime_morbidity_array!$A$6:$Y$24,13)))</f>
        <v>4.2233959800112686</v>
      </c>
      <c r="DG766" s="316">
        <f ca="1">(SUM($CP766:$CQ766))-(((SUM($CP766:$CQ766)*VLOOKUP($B766,Lifetime_morbidity_array!$A$6:$Y$24,3))+(SUM($CP766:$CQ766)*VLOOKUP($B766,Lifetime_morbidity_array!$A$6:$Y$24,6))+(SUM($CP766:$CQ766)*VLOOKUP($B766,Lifetime_morbidity_array!$A$6:$Y$24,9))+(SUM($CP766:$CQ766)*VLOOKUP($B766,Lifetime_morbidity_array!$A$6:$Y$24,12))))</f>
        <v>28.166233033224177</v>
      </c>
      <c r="DH766" s="316">
        <f ca="1">(SUM($CI766:$CM766))-((SUM($CI766:$CM766)*VLOOKUP($B766,Lifetime_morbidity_array!$A$6:$Y$24,2))+(SUM($CI766:$CM766)*VLOOKUP($B766,Lifetime_morbidity_array!$A$6:$Y$24,5))+(SUM($CI766:$CM766)*VLOOKUP($B766,Lifetime_morbidity_array!$A$6:$Y$24,8))+(SUM($CI766:$CM766)*VLOOKUP($B766,Lifetime_morbidity_array!$A$6:$Y$24,11)))</f>
        <v>66.968349106042112</v>
      </c>
      <c r="DI766" s="316">
        <f ca="1">(SUM($CI766:$CM766)*VLOOKUP($B766,Lifetime_morbidity_array!$A$6:$Y$24,2))+(SUM($CN766:$CO766)*VLOOKUP($B766,Lifetime_morbidity_array!$A$6:$Y$24,4))+(SUM($CP766:$CQ766)*VLOOKUP($B766,Lifetime_morbidity_array!$A$6:$Y$24,3))</f>
        <v>34.469951999571407</v>
      </c>
      <c r="DJ766" s="316">
        <f ca="1">(SUM($CI766:$CM766)*VLOOKUP($B766,Lifetime_morbidity_array!$A$6:$Y$24,5))+(SUM($CN766:$CO766)*VLOOKUP($B766,Lifetime_morbidity_array!$A$6:$Y$24,7))+(SUM($CP766:$CQ766)*VLOOKUP($B766,Lifetime_morbidity_array!$A$6:$Y$24,6))</f>
        <v>13.904985410469713</v>
      </c>
      <c r="DK766" s="316">
        <f ca="1">(SUM($CI766:$CM766)*VLOOKUP($B766,Lifetime_morbidity_array!$A$6:$Y$24,8))+(SUM($CN766:$CO766)*VLOOKUP($B766,Lifetime_morbidity_array!$A$6:$Y$24,10))+(SUM($CP766:$CQ766)*VLOOKUP($B766,Lifetime_morbidity_array!$A$6:$Y$24,9))</f>
        <v>0.64238132691074423</v>
      </c>
      <c r="DL766" s="317">
        <f ca="1">(SUM($CI766:$CM766)*VLOOKUP($B766,Lifetime_morbidity_array!$A$6:$Y$24,11))+(SUM($CN766:$CO766)*VLOOKUP($B766,Lifetime_morbidity_array!$A$6:$Y$24,13))+(SUM($CP766:$CQ766)*VLOOKUP($B766,Lifetime_morbidity_array!$A$6:$Y$24,12))</f>
        <v>19.180116884834522</v>
      </c>
      <c r="DM766" s="309"/>
      <c r="DN766" s="308">
        <f t="shared" si="354"/>
        <v>100</v>
      </c>
      <c r="DO766" s="309">
        <f t="shared" ca="1" si="355"/>
        <v>9.5499688201982771</v>
      </c>
      <c r="DP766" s="310">
        <f t="shared" ca="1" si="386"/>
        <v>24100.143822757876</v>
      </c>
      <c r="DQ766" s="309"/>
      <c r="DR766" s="308">
        <f t="shared" si="356"/>
        <v>100</v>
      </c>
      <c r="DS766" s="309">
        <f ca="1">((VLOOKUP($B766,'Mahawesran Tariff'!$A$21:$M$120,4)*'Experimental (DET)'!$CX766)+(VLOOKUP($B766,'Mahawesran Tariff'!$A$21:$M$120,3)*'Experimental (DET)'!$CY766)+(VLOOKUP($B766,'Mahawesran Tariff'!$A$21:$M$120,2)*'Experimental (DET)'!$CZ766)+(VLOOKUP($B766,'Mahawesran Tariff'!$A$21:$M$120,7)*'Experimental (DET)'!$DF766)+(VLOOKUP($B766,'Mahawesran Tariff'!$A$21:$M$120,6)*'Experimental (DET)'!$DG766)+(VLOOKUP($B766,'Mahawesran Tariff'!$A$21:$M$120,5)*'Experimental (DET)'!$DH766)+(DET_UTIL_chd*('Experimental (DET)'!$DA766+'Experimental (DET)'!$DI766))+(DET_UTIL_copd*('Experimental (DET)'!$DB766+'Experimental (DET)'!$DJ766))+(DET_UTIL_lc*('Experimental (DET)'!$DC766+'Experimental (DET)'!$DK766))+(DET_UTIL_stroke*('Experimental (DET)'!$DD766+'Experimental (DET)'!$DL766)))/((1+Discount_rate_QALYs)^$A766)</f>
        <v>7.909982248564841</v>
      </c>
      <c r="DT766" s="310">
        <f t="shared" ca="1" si="387"/>
        <v>23575.042570171994</v>
      </c>
      <c r="DU766" s="309"/>
      <c r="DV766" s="308">
        <f t="shared" si="357"/>
        <v>100</v>
      </c>
      <c r="DW766" s="318">
        <f t="shared" ca="1" si="358"/>
        <v>31320.030223451067</v>
      </c>
      <c r="DX766" s="319">
        <f t="shared" ca="1" si="388"/>
        <v>11750843.142610667</v>
      </c>
      <c r="DY766" s="266"/>
      <c r="DZ766" s="95">
        <f t="shared" si="359"/>
        <v>100</v>
      </c>
      <c r="EA766" s="268">
        <f t="shared" ca="1" si="304"/>
        <v>0.29787697369677835</v>
      </c>
      <c r="EB766" s="268">
        <f t="shared" ca="1" si="306"/>
        <v>0.70212302630322154</v>
      </c>
      <c r="EC766" s="268">
        <f t="shared" ca="1" si="307"/>
        <v>0.14193589021283964</v>
      </c>
      <c r="ED766" s="290">
        <f t="shared" ca="1" si="308"/>
        <v>0.14967108494871628</v>
      </c>
      <c r="EE766" s="266"/>
      <c r="EF766" s="95">
        <f t="shared" si="360"/>
        <v>100</v>
      </c>
      <c r="EG766" s="339">
        <f t="shared" ca="1" si="361"/>
        <v>31320.030223451067</v>
      </c>
      <c r="EH766" s="341">
        <f t="shared" ca="1" si="389"/>
        <v>14852858.866574217</v>
      </c>
      <c r="EJ766" s="308">
        <f t="shared" si="362"/>
        <v>100</v>
      </c>
      <c r="EK766" s="318">
        <f t="shared" ca="1" si="363"/>
        <v>31320.030223451067</v>
      </c>
      <c r="EL766" s="319">
        <f t="shared" ca="1" si="390"/>
        <v>11747803.142610665</v>
      </c>
      <c r="EN766" s="95">
        <f t="shared" si="364"/>
        <v>100</v>
      </c>
      <c r="EO766" s="339">
        <f t="shared" ca="1" si="365"/>
        <v>31320.030223451067</v>
      </c>
      <c r="EP766" s="341">
        <f t="shared" ca="1" si="391"/>
        <v>14852858.866574217</v>
      </c>
    </row>
    <row r="767" spans="1:146" s="376" customForma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581"/>
      <c r="AN767" s="582"/>
      <c r="AO767" s="582"/>
      <c r="AP767" s="582"/>
      <c r="AQ767" s="582"/>
      <c r="AR767" s="582"/>
      <c r="AS767" s="582"/>
      <c r="AT767" s="582"/>
      <c r="AU767" s="582"/>
      <c r="AV767" s="582"/>
      <c r="AW767" s="582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581"/>
      <c r="CJ767" s="581"/>
      <c r="CK767" s="581"/>
      <c r="CL767" s="581"/>
      <c r="CM767" s="581"/>
      <c r="CN767" s="581"/>
      <c r="CO767" s="581"/>
      <c r="CP767" s="581"/>
      <c r="CQ767" s="581"/>
      <c r="CR767" s="581"/>
      <c r="CS767" s="581"/>
      <c r="CT767" s="3"/>
      <c r="CU767" s="3"/>
      <c r="CV767" s="3"/>
      <c r="CW767" s="3"/>
      <c r="CX767" s="402"/>
      <c r="CY767" s="402"/>
      <c r="CZ767" s="402"/>
      <c r="DA767" s="402"/>
      <c r="DB767" s="402"/>
      <c r="DC767" s="402"/>
      <c r="DD767" s="402"/>
      <c r="DE767" s="3"/>
      <c r="DF767" s="402"/>
      <c r="DG767" s="402"/>
      <c r="DH767" s="402"/>
      <c r="DI767" s="402"/>
      <c r="DJ767" s="402"/>
      <c r="DK767" s="402"/>
      <c r="DL767" s="402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</row>
    <row r="768" spans="1:146" s="247" customFormat="1" x14ac:dyDescent="0.25">
      <c r="C768" s="581"/>
      <c r="D768" s="581"/>
      <c r="E768" s="581"/>
      <c r="F768" s="581"/>
      <c r="G768" s="581"/>
      <c r="H768" s="581"/>
      <c r="I768" s="581"/>
      <c r="J768" s="581"/>
      <c r="K768" s="581"/>
      <c r="L768" s="581"/>
      <c r="M768" s="581"/>
      <c r="N768" s="581"/>
      <c r="O768" s="581"/>
      <c r="P768" s="581"/>
      <c r="Q768" s="581"/>
      <c r="R768" s="581"/>
      <c r="S768" s="581"/>
      <c r="T768" s="581"/>
      <c r="U768" s="581"/>
      <c r="V768" s="581"/>
      <c r="W768" s="581"/>
      <c r="X768" s="581"/>
      <c r="Y768" s="581"/>
      <c r="Z768" s="581"/>
      <c r="AA768" s="581"/>
      <c r="AB768" s="581"/>
      <c r="AC768" s="581"/>
      <c r="AD768" s="581"/>
      <c r="AE768" s="581"/>
      <c r="AF768" s="581"/>
      <c r="AG768" s="581"/>
      <c r="AH768" s="581"/>
      <c r="AI768" s="581"/>
      <c r="AJ768" s="581"/>
      <c r="AK768" s="581"/>
      <c r="AL768" s="581"/>
      <c r="AM768" s="581"/>
      <c r="AN768" s="581"/>
      <c r="AO768" s="581"/>
      <c r="AP768" s="581"/>
      <c r="AQ768" s="581"/>
      <c r="AR768" s="581"/>
      <c r="AS768" s="581"/>
      <c r="AT768" s="581"/>
      <c r="AU768" s="581"/>
      <c r="AV768" s="581"/>
      <c r="AW768" s="581"/>
      <c r="AY768" s="581"/>
      <c r="AZ768" s="581"/>
      <c r="BA768" s="581"/>
      <c r="BB768" s="581"/>
      <c r="BC768" s="581"/>
      <c r="BD768" s="581"/>
      <c r="BE768" s="581"/>
      <c r="BF768" s="581"/>
      <c r="BG768" s="581"/>
      <c r="BH768" s="581"/>
      <c r="BI768" s="581"/>
      <c r="BJ768" s="581"/>
      <c r="BK768" s="581"/>
      <c r="BL768" s="581"/>
      <c r="BM768" s="581"/>
      <c r="BN768" s="581"/>
      <c r="BO768" s="581"/>
      <c r="BP768" s="581"/>
      <c r="BQ768" s="581"/>
      <c r="BR768" s="581"/>
      <c r="BS768" s="581"/>
      <c r="BT768" s="581"/>
      <c r="BU768" s="581"/>
      <c r="BV768" s="581"/>
      <c r="BW768" s="581"/>
      <c r="BX768" s="581"/>
      <c r="BY768" s="581"/>
      <c r="BZ768" s="581"/>
      <c r="CA768" s="581"/>
      <c r="CB768" s="581"/>
      <c r="CC768" s="581"/>
      <c r="CD768" s="581"/>
      <c r="CE768" s="581"/>
      <c r="CF768" s="581"/>
      <c r="CG768" s="581"/>
      <c r="CH768" s="581"/>
      <c r="CI768" s="581"/>
      <c r="CJ768" s="581"/>
      <c r="CK768" s="581"/>
      <c r="CL768" s="581"/>
      <c r="CM768" s="581"/>
      <c r="CN768" s="581"/>
      <c r="CO768" s="581"/>
      <c r="CP768" s="581"/>
      <c r="CQ768" s="581"/>
      <c r="CR768" s="581"/>
      <c r="CS768" s="581"/>
      <c r="CX768" s="590"/>
      <c r="CY768" s="590"/>
      <c r="CZ768" s="590"/>
      <c r="DA768" s="590"/>
      <c r="DB768" s="590"/>
      <c r="DC768" s="590"/>
      <c r="DD768" s="590"/>
      <c r="DE768" s="403"/>
      <c r="DF768" s="590"/>
      <c r="DG768" s="590"/>
      <c r="DH768" s="590"/>
      <c r="DI768" s="590"/>
      <c r="DJ768" s="590"/>
      <c r="DK768" s="590"/>
      <c r="DL768" s="590"/>
      <c r="DN768" s="581"/>
      <c r="DO768" s="581"/>
      <c r="DP768" s="581"/>
      <c r="DR768" s="581"/>
      <c r="DS768" s="581"/>
      <c r="DT768" s="581"/>
      <c r="DV768" s="581"/>
      <c r="DW768" s="581"/>
      <c r="DX768" s="581"/>
      <c r="DZ768" s="581"/>
      <c r="EA768" s="581"/>
      <c r="EB768" s="581"/>
      <c r="EC768" s="581"/>
      <c r="ED768" s="581"/>
    </row>
    <row r="769" spans="1:138" s="406" customFormat="1" ht="15.75" thickBot="1" x14ac:dyDescent="0.3">
      <c r="A769" s="404"/>
      <c r="B769" s="404"/>
      <c r="C769" s="258"/>
      <c r="D769" s="258"/>
      <c r="E769" s="258"/>
      <c r="F769" s="258"/>
      <c r="G769" s="258"/>
      <c r="H769" s="258"/>
      <c r="I769" s="258"/>
      <c r="J769" s="258"/>
      <c r="K769" s="258"/>
      <c r="L769" s="258"/>
      <c r="M769" s="258"/>
      <c r="N769" s="258"/>
      <c r="O769" s="258"/>
      <c r="P769" s="258"/>
      <c r="Q769" s="258"/>
      <c r="R769" s="258"/>
      <c r="S769" s="258"/>
      <c r="T769" s="258"/>
      <c r="U769" s="258"/>
      <c r="V769" s="258"/>
      <c r="W769" s="258"/>
      <c r="X769" s="258"/>
      <c r="Y769" s="258"/>
      <c r="Z769" s="258"/>
      <c r="AA769" s="258"/>
      <c r="AB769" s="258"/>
      <c r="AC769" s="258"/>
      <c r="AD769" s="258"/>
      <c r="AE769" s="258"/>
      <c r="AF769" s="258"/>
      <c r="AG769" s="258"/>
      <c r="AH769" s="258"/>
      <c r="AI769" s="258"/>
      <c r="AJ769" s="258"/>
      <c r="AK769" s="258"/>
      <c r="AL769" s="258"/>
      <c r="AM769" s="258"/>
      <c r="AN769" s="258"/>
      <c r="AO769" s="258"/>
      <c r="AP769" s="258"/>
      <c r="AQ769" s="258"/>
      <c r="AR769" s="258"/>
      <c r="AS769" s="258"/>
      <c r="AT769" s="258"/>
      <c r="AU769" s="258"/>
      <c r="AV769" s="258"/>
      <c r="AW769" s="258"/>
      <c r="AX769" s="258"/>
      <c r="AY769" s="258"/>
      <c r="AZ769" s="258"/>
      <c r="BA769" s="258"/>
      <c r="BB769" s="258"/>
      <c r="BC769" s="258"/>
      <c r="BD769" s="258"/>
      <c r="BE769" s="258"/>
      <c r="BF769" s="258"/>
      <c r="BG769" s="258"/>
      <c r="BH769" s="258"/>
      <c r="BI769" s="258"/>
      <c r="BJ769" s="258"/>
      <c r="BK769" s="258"/>
      <c r="BL769" s="258"/>
      <c r="BM769" s="258"/>
      <c r="BN769" s="258"/>
      <c r="BO769" s="258"/>
      <c r="BP769" s="258"/>
      <c r="BQ769" s="258"/>
      <c r="BR769" s="258"/>
      <c r="BS769" s="258"/>
      <c r="BT769" s="258"/>
      <c r="BU769" s="258"/>
      <c r="BV769" s="258"/>
      <c r="BW769" s="258"/>
      <c r="BX769" s="258"/>
      <c r="BY769" s="258"/>
      <c r="BZ769" s="258"/>
      <c r="CA769" s="258"/>
      <c r="CB769" s="258"/>
      <c r="CC769" s="258"/>
      <c r="CD769" s="258"/>
      <c r="CE769" s="258"/>
      <c r="CF769" s="258"/>
      <c r="CG769" s="258"/>
      <c r="CH769" s="258"/>
      <c r="CI769" s="258"/>
      <c r="CJ769" s="258"/>
      <c r="CK769" s="258"/>
      <c r="CL769" s="258"/>
      <c r="CM769" s="258"/>
      <c r="CN769" s="258"/>
      <c r="CO769" s="258"/>
      <c r="CP769" s="258"/>
      <c r="CQ769" s="258"/>
      <c r="CR769" s="258"/>
      <c r="CS769" s="258"/>
      <c r="CT769" s="258"/>
      <c r="CU769" s="258"/>
      <c r="CV769" s="258"/>
      <c r="CW769" s="258"/>
      <c r="CX769" s="405"/>
      <c r="CY769" s="405"/>
      <c r="CZ769" s="405"/>
      <c r="DA769" s="405"/>
      <c r="DB769" s="405"/>
      <c r="DC769" s="405"/>
      <c r="DD769" s="405"/>
      <c r="DE769" s="258"/>
      <c r="DF769" s="405"/>
      <c r="DG769" s="405"/>
      <c r="DH769" s="405"/>
      <c r="DI769" s="405"/>
      <c r="DJ769" s="405"/>
      <c r="DK769" s="405"/>
      <c r="DL769" s="405"/>
      <c r="DM769" s="258"/>
      <c r="DN769" s="258"/>
      <c r="DO769" s="258"/>
      <c r="DP769" s="258"/>
      <c r="DQ769" s="258"/>
      <c r="DR769" s="258"/>
      <c r="DS769" s="258"/>
      <c r="DT769" s="258"/>
      <c r="DU769" s="258"/>
      <c r="DV769" s="258"/>
      <c r="DW769" s="258"/>
      <c r="DX769" s="258"/>
      <c r="DY769" s="258"/>
      <c r="DZ769" s="258"/>
      <c r="EA769" s="258"/>
      <c r="EB769" s="258"/>
      <c r="EC769" s="258"/>
      <c r="ED769" s="258"/>
      <c r="EE769" s="247"/>
      <c r="EF769" s="247"/>
      <c r="EG769" s="247"/>
      <c r="EH769" s="247"/>
    </row>
    <row r="770" spans="1:138" s="3" customFormat="1" x14ac:dyDescent="0.25">
      <c r="A770" s="407"/>
      <c r="B770" s="407"/>
      <c r="C770" s="250"/>
      <c r="D770" s="250"/>
      <c r="E770" s="250"/>
      <c r="F770" s="250"/>
      <c r="G770" s="250"/>
      <c r="H770" s="250"/>
      <c r="I770" s="250"/>
      <c r="J770" s="250"/>
      <c r="K770" s="250"/>
      <c r="L770" s="250"/>
      <c r="M770" s="250"/>
      <c r="N770" s="250"/>
      <c r="O770" s="250"/>
      <c r="P770" s="250"/>
      <c r="Q770" s="250"/>
      <c r="R770" s="250"/>
      <c r="S770" s="250"/>
      <c r="T770" s="250"/>
      <c r="U770" s="250"/>
      <c r="V770" s="250"/>
      <c r="W770" s="250"/>
      <c r="X770" s="250"/>
      <c r="Y770" s="250"/>
      <c r="Z770" s="250"/>
      <c r="AA770" s="250"/>
      <c r="AB770" s="250"/>
      <c r="AC770" s="250"/>
      <c r="AD770" s="250"/>
      <c r="AE770" s="250"/>
      <c r="AF770" s="250"/>
      <c r="AG770" s="250"/>
      <c r="AH770" s="250"/>
      <c r="AI770" s="250"/>
      <c r="AJ770" s="250"/>
      <c r="AK770" s="250"/>
      <c r="AL770" s="250"/>
      <c r="AM770" s="408"/>
      <c r="AN770" s="408"/>
      <c r="AO770" s="408"/>
      <c r="AP770" s="408"/>
      <c r="AQ770" s="408"/>
      <c r="AR770" s="408"/>
      <c r="AS770" s="408"/>
      <c r="AT770" s="408"/>
      <c r="AU770" s="408"/>
      <c r="AV770" s="408"/>
      <c r="AW770" s="408"/>
      <c r="AX770" s="250"/>
      <c r="AY770" s="250"/>
      <c r="AZ770" s="250"/>
      <c r="BA770" s="250"/>
      <c r="BB770" s="250"/>
      <c r="BC770" s="250"/>
      <c r="BD770" s="250"/>
      <c r="BE770" s="250"/>
      <c r="BF770" s="250"/>
      <c r="BG770" s="250"/>
      <c r="BH770" s="250"/>
      <c r="BI770" s="250"/>
      <c r="BJ770" s="250"/>
      <c r="BK770" s="250"/>
      <c r="BL770" s="250"/>
      <c r="BM770" s="250"/>
      <c r="BN770" s="250"/>
      <c r="BO770" s="250"/>
      <c r="BP770" s="250"/>
      <c r="BQ770" s="250"/>
      <c r="BR770" s="250"/>
      <c r="BS770" s="250"/>
      <c r="BT770" s="250"/>
      <c r="BU770" s="250"/>
      <c r="BV770" s="250"/>
      <c r="BW770" s="250"/>
      <c r="BX770" s="250"/>
      <c r="BY770" s="250"/>
      <c r="BZ770" s="250"/>
      <c r="CA770" s="250"/>
      <c r="CB770" s="250"/>
      <c r="CC770" s="250"/>
      <c r="CD770" s="250"/>
      <c r="CE770" s="250"/>
      <c r="CF770" s="250"/>
      <c r="CG770" s="250"/>
      <c r="CH770" s="250"/>
      <c r="CI770" s="408"/>
      <c r="CJ770" s="408"/>
      <c r="CK770" s="408"/>
      <c r="CL770" s="408"/>
      <c r="CM770" s="408"/>
      <c r="CN770" s="408"/>
      <c r="CO770" s="408"/>
      <c r="CP770" s="408"/>
      <c r="CQ770" s="408"/>
      <c r="CR770" s="408"/>
      <c r="CS770" s="408"/>
      <c r="CT770" s="250"/>
      <c r="CU770" s="250"/>
      <c r="CV770" s="250"/>
      <c r="CW770" s="250"/>
      <c r="CX770" s="408"/>
      <c r="CY770" s="408"/>
      <c r="CZ770" s="408"/>
      <c r="DA770" s="408"/>
      <c r="DB770" s="408"/>
      <c r="DC770" s="408"/>
      <c r="DD770" s="408"/>
      <c r="DE770" s="250"/>
      <c r="DF770" s="408"/>
      <c r="DG770" s="408"/>
      <c r="DH770" s="408"/>
      <c r="DI770" s="408"/>
      <c r="DJ770" s="408"/>
      <c r="DK770" s="408"/>
      <c r="DL770" s="408"/>
      <c r="DM770" s="250"/>
      <c r="DN770" s="250"/>
      <c r="DO770" s="250"/>
      <c r="DP770" s="250"/>
      <c r="DQ770" s="250"/>
      <c r="DR770" s="250"/>
      <c r="DS770" s="250"/>
      <c r="DT770" s="250"/>
      <c r="DU770" s="250"/>
      <c r="DV770" s="250"/>
      <c r="DW770" s="252"/>
      <c r="DX770" s="252"/>
      <c r="DY770" s="250"/>
      <c r="DZ770" s="250"/>
      <c r="EA770" s="260"/>
      <c r="EB770" s="260"/>
      <c r="EC770" s="260"/>
      <c r="ED770" s="260"/>
      <c r="EH770" s="396"/>
    </row>
    <row r="771" spans="1:138" s="3" customFormat="1" x14ac:dyDescent="0.25">
      <c r="A771" s="407"/>
      <c r="B771" s="407"/>
      <c r="C771" s="250"/>
      <c r="D771" s="250"/>
      <c r="E771" s="250"/>
      <c r="F771" s="250"/>
      <c r="G771" s="250"/>
      <c r="H771" s="250"/>
      <c r="I771" s="250"/>
      <c r="J771" s="250"/>
      <c r="K771" s="250"/>
      <c r="L771" s="250"/>
      <c r="M771" s="250"/>
      <c r="N771" s="250"/>
      <c r="O771" s="250"/>
      <c r="P771" s="250"/>
      <c r="Q771" s="250"/>
      <c r="R771" s="250"/>
      <c r="S771" s="250"/>
      <c r="T771" s="250"/>
      <c r="U771" s="250"/>
      <c r="V771" s="250"/>
      <c r="W771" s="250"/>
      <c r="X771" s="250"/>
      <c r="Y771" s="250"/>
      <c r="Z771" s="250"/>
      <c r="AA771" s="250"/>
      <c r="AB771" s="250"/>
      <c r="AC771" s="250"/>
      <c r="AD771" s="250"/>
      <c r="AE771" s="250"/>
      <c r="AF771" s="250"/>
      <c r="AG771" s="250"/>
      <c r="AH771" s="250"/>
      <c r="AI771" s="250"/>
      <c r="AJ771" s="250"/>
      <c r="AK771" s="250"/>
      <c r="AL771" s="250"/>
      <c r="AM771" s="408"/>
      <c r="AN771" s="408"/>
      <c r="AO771" s="408"/>
      <c r="AP771" s="408"/>
      <c r="AQ771" s="408"/>
      <c r="AR771" s="408"/>
      <c r="AS771" s="408"/>
      <c r="AT771" s="408"/>
      <c r="AU771" s="408"/>
      <c r="AV771" s="408"/>
      <c r="AW771" s="408"/>
      <c r="AX771" s="250"/>
      <c r="AY771" s="250"/>
      <c r="AZ771" s="250"/>
      <c r="BA771" s="250"/>
      <c r="BB771" s="250"/>
      <c r="BC771" s="250"/>
      <c r="BD771" s="250"/>
      <c r="BE771" s="250"/>
      <c r="BF771" s="250"/>
      <c r="BG771" s="250"/>
      <c r="BH771" s="250"/>
      <c r="BI771" s="250"/>
      <c r="BJ771" s="250"/>
      <c r="BK771" s="250"/>
      <c r="BL771" s="250"/>
      <c r="BM771" s="250"/>
      <c r="BN771" s="250"/>
      <c r="BO771" s="250"/>
      <c r="BP771" s="250"/>
      <c r="BQ771" s="250"/>
      <c r="BR771" s="250"/>
      <c r="BS771" s="250"/>
      <c r="BT771" s="250"/>
      <c r="BU771" s="250"/>
      <c r="BV771" s="250"/>
      <c r="BW771" s="250"/>
      <c r="BX771" s="250"/>
      <c r="BY771" s="250"/>
      <c r="BZ771" s="250"/>
      <c r="CA771" s="250"/>
      <c r="CB771" s="250"/>
      <c r="CC771" s="250"/>
      <c r="CD771" s="250"/>
      <c r="CE771" s="250"/>
      <c r="CF771" s="250"/>
      <c r="CG771" s="250"/>
      <c r="CH771" s="250"/>
      <c r="CI771" s="408"/>
      <c r="CJ771" s="408"/>
      <c r="CK771" s="408"/>
      <c r="CL771" s="408"/>
      <c r="CM771" s="408"/>
      <c r="CN771" s="408"/>
      <c r="CO771" s="408"/>
      <c r="CP771" s="408"/>
      <c r="CQ771" s="408"/>
      <c r="CR771" s="408"/>
      <c r="CS771" s="408"/>
      <c r="CT771" s="250"/>
      <c r="CU771" s="250"/>
      <c r="CV771" s="250"/>
      <c r="CW771" s="250"/>
      <c r="CX771" s="408"/>
      <c r="CY771" s="408"/>
      <c r="CZ771" s="408"/>
      <c r="DA771" s="408"/>
      <c r="DB771" s="408"/>
      <c r="DC771" s="408"/>
      <c r="DD771" s="408"/>
      <c r="DE771" s="250"/>
      <c r="DF771" s="408"/>
      <c r="DG771" s="408"/>
      <c r="DH771" s="408"/>
      <c r="DI771" s="408"/>
      <c r="DJ771" s="408"/>
      <c r="DK771" s="408"/>
      <c r="DL771" s="408"/>
      <c r="DM771" s="250"/>
      <c r="DN771" s="250"/>
      <c r="DO771" s="250"/>
      <c r="DP771" s="250"/>
      <c r="DQ771" s="250"/>
      <c r="DR771" s="250"/>
      <c r="DS771" s="250"/>
      <c r="DT771" s="250"/>
      <c r="DU771" s="250"/>
      <c r="DV771" s="250"/>
      <c r="DW771" s="252"/>
      <c r="DX771" s="252"/>
      <c r="DY771" s="250"/>
      <c r="DZ771" s="250"/>
      <c r="EA771" s="260"/>
      <c r="EB771" s="260"/>
      <c r="EC771" s="260"/>
      <c r="ED771" s="260"/>
      <c r="EG771" s="396"/>
      <c r="EH771" s="396"/>
    </row>
    <row r="772" spans="1:138" s="3" customFormat="1" x14ac:dyDescent="0.25">
      <c r="A772" s="407"/>
      <c r="B772" s="407"/>
      <c r="C772" s="250"/>
      <c r="D772" s="250"/>
      <c r="E772" s="250"/>
      <c r="F772" s="250"/>
      <c r="G772" s="250"/>
      <c r="H772" s="250"/>
      <c r="I772" s="250"/>
      <c r="J772" s="250"/>
      <c r="K772" s="250"/>
      <c r="L772" s="250"/>
      <c r="M772" s="250"/>
      <c r="N772" s="250"/>
      <c r="O772" s="250"/>
      <c r="P772" s="250"/>
      <c r="Q772" s="250"/>
      <c r="R772" s="250"/>
      <c r="S772" s="250"/>
      <c r="T772" s="250"/>
      <c r="U772" s="250"/>
      <c r="V772" s="250"/>
      <c r="W772" s="250"/>
      <c r="X772" s="250"/>
      <c r="Y772" s="250"/>
      <c r="Z772" s="250"/>
      <c r="AA772" s="250"/>
      <c r="AB772" s="250"/>
      <c r="AC772" s="250"/>
      <c r="AD772" s="250"/>
      <c r="AE772" s="250"/>
      <c r="AF772" s="250"/>
      <c r="AG772" s="250"/>
      <c r="AH772" s="250"/>
      <c r="AI772" s="250"/>
      <c r="AJ772" s="250"/>
      <c r="AK772" s="250"/>
      <c r="AL772" s="250"/>
      <c r="AM772" s="408"/>
      <c r="AN772" s="408"/>
      <c r="AO772" s="408"/>
      <c r="AP772" s="408"/>
      <c r="AQ772" s="408"/>
      <c r="AR772" s="408"/>
      <c r="AS772" s="408"/>
      <c r="AT772" s="408"/>
      <c r="AU772" s="408"/>
      <c r="AV772" s="408"/>
      <c r="AW772" s="408"/>
      <c r="AX772" s="250"/>
      <c r="AY772" s="250"/>
      <c r="AZ772" s="250"/>
      <c r="BA772" s="250"/>
      <c r="BB772" s="250"/>
      <c r="BC772" s="250"/>
      <c r="BD772" s="250"/>
      <c r="BE772" s="250"/>
      <c r="BF772" s="250"/>
      <c r="BG772" s="250"/>
      <c r="BH772" s="250"/>
      <c r="BI772" s="250"/>
      <c r="BJ772" s="250"/>
      <c r="BK772" s="250"/>
      <c r="BL772" s="250"/>
      <c r="BM772" s="250"/>
      <c r="BN772" s="250"/>
      <c r="BO772" s="250"/>
      <c r="BP772" s="250"/>
      <c r="BQ772" s="250"/>
      <c r="BR772" s="250"/>
      <c r="BS772" s="250"/>
      <c r="BT772" s="250"/>
      <c r="BU772" s="250"/>
      <c r="BV772" s="250"/>
      <c r="BW772" s="250"/>
      <c r="BX772" s="250"/>
      <c r="BY772" s="250"/>
      <c r="BZ772" s="250"/>
      <c r="CA772" s="250"/>
      <c r="CB772" s="250"/>
      <c r="CC772" s="250"/>
      <c r="CD772" s="250"/>
      <c r="CE772" s="250"/>
      <c r="CF772" s="250"/>
      <c r="CG772" s="250"/>
      <c r="CH772" s="250"/>
      <c r="CI772" s="408"/>
      <c r="CJ772" s="408"/>
      <c r="CK772" s="408"/>
      <c r="CL772" s="408"/>
      <c r="CM772" s="408"/>
      <c r="CN772" s="408"/>
      <c r="CO772" s="408"/>
      <c r="CP772" s="408"/>
      <c r="CQ772" s="408"/>
      <c r="CR772" s="408"/>
      <c r="CS772" s="408"/>
      <c r="CT772" s="250"/>
      <c r="CU772" s="250"/>
      <c r="CV772" s="250"/>
      <c r="CW772" s="250"/>
      <c r="CX772" s="408"/>
      <c r="CY772" s="408"/>
      <c r="CZ772" s="408"/>
      <c r="DA772" s="408"/>
      <c r="DB772" s="408"/>
      <c r="DC772" s="408"/>
      <c r="DD772" s="408"/>
      <c r="DE772" s="250"/>
      <c r="DF772" s="408"/>
      <c r="DG772" s="408"/>
      <c r="DH772" s="408"/>
      <c r="DI772" s="408"/>
      <c r="DJ772" s="408"/>
      <c r="DK772" s="408"/>
      <c r="DL772" s="408"/>
      <c r="DM772" s="250"/>
      <c r="DN772" s="250"/>
      <c r="DO772" s="250"/>
      <c r="DP772" s="250"/>
      <c r="DQ772" s="250"/>
      <c r="DR772" s="250"/>
      <c r="DS772" s="250"/>
      <c r="DT772" s="250"/>
      <c r="DU772" s="250"/>
      <c r="DV772" s="250"/>
      <c r="DW772" s="252"/>
      <c r="DX772" s="252"/>
      <c r="DY772" s="250"/>
      <c r="DZ772" s="250"/>
      <c r="EA772" s="260"/>
      <c r="EB772" s="260"/>
      <c r="EC772" s="260"/>
      <c r="ED772" s="260"/>
      <c r="EG772" s="396"/>
      <c r="EH772" s="396"/>
    </row>
    <row r="773" spans="1:138" s="3" customFormat="1" x14ac:dyDescent="0.25">
      <c r="A773" s="407"/>
      <c r="B773" s="407"/>
      <c r="C773" s="250"/>
      <c r="D773" s="250"/>
      <c r="E773" s="250"/>
      <c r="F773" s="250"/>
      <c r="G773" s="250"/>
      <c r="H773" s="250"/>
      <c r="I773" s="250"/>
      <c r="J773" s="250"/>
      <c r="K773" s="250"/>
      <c r="L773" s="250"/>
      <c r="M773" s="250"/>
      <c r="N773" s="250"/>
      <c r="O773" s="250"/>
      <c r="P773" s="250"/>
      <c r="Q773" s="250"/>
      <c r="R773" s="250"/>
      <c r="S773" s="250"/>
      <c r="T773" s="250"/>
      <c r="U773" s="250"/>
      <c r="V773" s="250"/>
      <c r="W773" s="250"/>
      <c r="X773" s="250"/>
      <c r="Y773" s="250"/>
      <c r="Z773" s="250"/>
      <c r="AA773" s="250"/>
      <c r="AB773" s="250"/>
      <c r="AC773" s="250"/>
      <c r="AD773" s="250"/>
      <c r="AE773" s="250"/>
      <c r="AF773" s="250"/>
      <c r="AG773" s="250"/>
      <c r="AH773" s="250"/>
      <c r="AI773" s="250"/>
      <c r="AJ773" s="250"/>
      <c r="AK773" s="250"/>
      <c r="AL773" s="250"/>
      <c r="AM773" s="408"/>
      <c r="AN773" s="408"/>
      <c r="AO773" s="408"/>
      <c r="AP773" s="408"/>
      <c r="AQ773" s="408"/>
      <c r="AR773" s="408"/>
      <c r="AS773" s="408"/>
      <c r="AT773" s="408"/>
      <c r="AU773" s="408"/>
      <c r="AV773" s="408"/>
      <c r="AW773" s="408"/>
      <c r="AX773" s="250"/>
      <c r="AY773" s="250"/>
      <c r="AZ773" s="250"/>
      <c r="BA773" s="250"/>
      <c r="BB773" s="250"/>
      <c r="BC773" s="250"/>
      <c r="BD773" s="250"/>
      <c r="BE773" s="250"/>
      <c r="BF773" s="250"/>
      <c r="BG773" s="250"/>
      <c r="BH773" s="250"/>
      <c r="BI773" s="250"/>
      <c r="BJ773" s="250"/>
      <c r="BK773" s="250"/>
      <c r="BL773" s="250"/>
      <c r="BM773" s="250"/>
      <c r="BN773" s="250"/>
      <c r="BO773" s="250"/>
      <c r="BP773" s="250"/>
      <c r="BQ773" s="250"/>
      <c r="BR773" s="250"/>
      <c r="BS773" s="250"/>
      <c r="BT773" s="250"/>
      <c r="BU773" s="250"/>
      <c r="BV773" s="250"/>
      <c r="BW773" s="250"/>
      <c r="BX773" s="250"/>
      <c r="BY773" s="250"/>
      <c r="BZ773" s="250"/>
      <c r="CA773" s="250"/>
      <c r="CB773" s="250"/>
      <c r="CC773" s="250"/>
      <c r="CD773" s="250"/>
      <c r="CE773" s="250"/>
      <c r="CF773" s="250"/>
      <c r="CG773" s="250"/>
      <c r="CH773" s="250"/>
      <c r="CI773" s="408"/>
      <c r="CJ773" s="408"/>
      <c r="CK773" s="408"/>
      <c r="CL773" s="408"/>
      <c r="CM773" s="408"/>
      <c r="CN773" s="408"/>
      <c r="CO773" s="408"/>
      <c r="CP773" s="408"/>
      <c r="CQ773" s="408"/>
      <c r="CR773" s="408"/>
      <c r="CS773" s="408"/>
      <c r="CT773" s="250"/>
      <c r="CU773" s="250"/>
      <c r="CV773" s="250"/>
      <c r="CW773" s="250"/>
      <c r="CX773" s="408"/>
      <c r="CY773" s="408"/>
      <c r="CZ773" s="408"/>
      <c r="DA773" s="408"/>
      <c r="DB773" s="408"/>
      <c r="DC773" s="408"/>
      <c r="DD773" s="408"/>
      <c r="DE773" s="250"/>
      <c r="DF773" s="408"/>
      <c r="DG773" s="408"/>
      <c r="DH773" s="408"/>
      <c r="DI773" s="408"/>
      <c r="DJ773" s="408"/>
      <c r="DK773" s="408"/>
      <c r="DL773" s="408"/>
      <c r="DM773" s="250"/>
      <c r="DN773" s="250"/>
      <c r="DO773" s="250"/>
      <c r="DP773" s="250"/>
      <c r="DQ773" s="250"/>
      <c r="DR773" s="250"/>
      <c r="DS773" s="250"/>
      <c r="DT773" s="250"/>
      <c r="DU773" s="250"/>
      <c r="DV773" s="250"/>
      <c r="DW773" s="252"/>
      <c r="DX773" s="252"/>
      <c r="DY773" s="250"/>
      <c r="DZ773" s="250"/>
      <c r="EA773" s="260"/>
      <c r="EB773" s="260"/>
      <c r="EC773" s="260"/>
      <c r="ED773" s="260"/>
      <c r="EG773" s="396"/>
      <c r="EH773" s="396"/>
    </row>
    <row r="774" spans="1:138" s="3" customFormat="1" x14ac:dyDescent="0.25">
      <c r="A774" s="407"/>
      <c r="B774" s="407"/>
      <c r="C774" s="250"/>
      <c r="D774" s="250"/>
      <c r="E774" s="250"/>
      <c r="F774" s="250"/>
      <c r="G774" s="250"/>
      <c r="H774" s="250"/>
      <c r="I774" s="250"/>
      <c r="J774" s="250"/>
      <c r="K774" s="250"/>
      <c r="L774" s="250"/>
      <c r="M774" s="250"/>
      <c r="N774" s="250"/>
      <c r="O774" s="250"/>
      <c r="P774" s="250"/>
      <c r="Q774" s="250"/>
      <c r="R774" s="250"/>
      <c r="S774" s="250"/>
      <c r="T774" s="250"/>
      <c r="U774" s="250"/>
      <c r="V774" s="250"/>
      <c r="W774" s="250"/>
      <c r="X774" s="250"/>
      <c r="Y774" s="250"/>
      <c r="Z774" s="250"/>
      <c r="AA774" s="250"/>
      <c r="AB774" s="250"/>
      <c r="AC774" s="250"/>
      <c r="AD774" s="250"/>
      <c r="AE774" s="250"/>
      <c r="AF774" s="250"/>
      <c r="AG774" s="250"/>
      <c r="AH774" s="250"/>
      <c r="AI774" s="250"/>
      <c r="AJ774" s="250"/>
      <c r="AK774" s="250"/>
      <c r="AL774" s="250"/>
      <c r="AM774" s="408"/>
      <c r="AN774" s="408"/>
      <c r="AO774" s="408"/>
      <c r="AP774" s="408"/>
      <c r="AQ774" s="408"/>
      <c r="AR774" s="408"/>
      <c r="AS774" s="408"/>
      <c r="AT774" s="408"/>
      <c r="AU774" s="408"/>
      <c r="AV774" s="408"/>
      <c r="AW774" s="408"/>
      <c r="AX774" s="250"/>
      <c r="AY774" s="250"/>
      <c r="AZ774" s="250"/>
      <c r="BA774" s="250"/>
      <c r="BB774" s="250"/>
      <c r="BC774" s="250"/>
      <c r="BD774" s="250"/>
      <c r="BE774" s="250"/>
      <c r="BF774" s="250"/>
      <c r="BG774" s="250"/>
      <c r="BH774" s="250"/>
      <c r="BI774" s="250"/>
      <c r="BJ774" s="250"/>
      <c r="BK774" s="250"/>
      <c r="BL774" s="250"/>
      <c r="BM774" s="250"/>
      <c r="BN774" s="250"/>
      <c r="BO774" s="250"/>
      <c r="BP774" s="250"/>
      <c r="BQ774" s="250"/>
      <c r="BR774" s="250"/>
      <c r="BS774" s="250"/>
      <c r="BT774" s="250"/>
      <c r="BU774" s="250"/>
      <c r="BV774" s="250"/>
      <c r="BW774" s="250"/>
      <c r="BX774" s="250"/>
      <c r="BY774" s="250"/>
      <c r="BZ774" s="250"/>
      <c r="CA774" s="250"/>
      <c r="CB774" s="250"/>
      <c r="CC774" s="250"/>
      <c r="CD774" s="250"/>
      <c r="CE774" s="250"/>
      <c r="CF774" s="250"/>
      <c r="CG774" s="250"/>
      <c r="CH774" s="250"/>
      <c r="CI774" s="408"/>
      <c r="CJ774" s="408"/>
      <c r="CK774" s="408"/>
      <c r="CL774" s="408"/>
      <c r="CM774" s="408"/>
      <c r="CN774" s="408"/>
      <c r="CO774" s="408"/>
      <c r="CP774" s="408"/>
      <c r="CQ774" s="408"/>
      <c r="CR774" s="408"/>
      <c r="CS774" s="408"/>
      <c r="CT774" s="250"/>
      <c r="CU774" s="250"/>
      <c r="CV774" s="250"/>
      <c r="CW774" s="250"/>
      <c r="CX774" s="408"/>
      <c r="CY774" s="408"/>
      <c r="CZ774" s="408"/>
      <c r="DA774" s="408"/>
      <c r="DB774" s="408"/>
      <c r="DC774" s="408"/>
      <c r="DD774" s="408"/>
      <c r="DE774" s="250"/>
      <c r="DF774" s="408"/>
      <c r="DG774" s="408"/>
      <c r="DH774" s="408"/>
      <c r="DI774" s="408"/>
      <c r="DJ774" s="408"/>
      <c r="DK774" s="408"/>
      <c r="DL774" s="408"/>
      <c r="DM774" s="250"/>
      <c r="DN774" s="250"/>
      <c r="DO774" s="250"/>
      <c r="DP774" s="250"/>
      <c r="DQ774" s="250"/>
      <c r="DR774" s="250"/>
      <c r="DS774" s="250"/>
      <c r="DT774" s="250"/>
      <c r="DU774" s="250"/>
      <c r="DV774" s="250"/>
      <c r="DW774" s="252"/>
      <c r="DX774" s="252"/>
      <c r="DY774" s="250"/>
      <c r="DZ774" s="250"/>
      <c r="EA774" s="260"/>
      <c r="EB774" s="260"/>
      <c r="EC774" s="260"/>
      <c r="ED774" s="260"/>
      <c r="EG774" s="396"/>
      <c r="EH774" s="396"/>
    </row>
    <row r="775" spans="1:138" s="3" customFormat="1" x14ac:dyDescent="0.25">
      <c r="A775" s="407"/>
      <c r="B775" s="407"/>
      <c r="C775" s="250"/>
      <c r="D775" s="250"/>
      <c r="E775" s="250"/>
      <c r="F775" s="250"/>
      <c r="G775" s="250"/>
      <c r="H775" s="250"/>
      <c r="I775" s="250"/>
      <c r="J775" s="250"/>
      <c r="K775" s="250"/>
      <c r="L775" s="250"/>
      <c r="M775" s="250"/>
      <c r="N775" s="250"/>
      <c r="O775" s="250"/>
      <c r="P775" s="250"/>
      <c r="Q775" s="250"/>
      <c r="R775" s="250"/>
      <c r="S775" s="250"/>
      <c r="T775" s="250"/>
      <c r="U775" s="250"/>
      <c r="V775" s="250"/>
      <c r="W775" s="250"/>
      <c r="X775" s="250"/>
      <c r="Y775" s="250"/>
      <c r="Z775" s="250"/>
      <c r="AA775" s="250"/>
      <c r="AB775" s="250"/>
      <c r="AC775" s="250"/>
      <c r="AD775" s="250"/>
      <c r="AE775" s="250"/>
      <c r="AF775" s="250"/>
      <c r="AG775" s="250"/>
      <c r="AH775" s="250"/>
      <c r="AI775" s="250"/>
      <c r="AJ775" s="250"/>
      <c r="AK775" s="250"/>
      <c r="AL775" s="250"/>
      <c r="AM775" s="408"/>
      <c r="AN775" s="408"/>
      <c r="AO775" s="408"/>
      <c r="AP775" s="408"/>
      <c r="AQ775" s="408"/>
      <c r="AR775" s="408"/>
      <c r="AS775" s="408"/>
      <c r="AT775" s="408"/>
      <c r="AU775" s="408"/>
      <c r="AV775" s="408"/>
      <c r="AW775" s="408"/>
      <c r="AX775" s="250"/>
      <c r="AY775" s="250"/>
      <c r="AZ775" s="250"/>
      <c r="BA775" s="250"/>
      <c r="BB775" s="250"/>
      <c r="BC775" s="250"/>
      <c r="BD775" s="250"/>
      <c r="BE775" s="250"/>
      <c r="BF775" s="250"/>
      <c r="BG775" s="250"/>
      <c r="BH775" s="250"/>
      <c r="BI775" s="250"/>
      <c r="BJ775" s="250"/>
      <c r="BK775" s="250"/>
      <c r="BL775" s="250"/>
      <c r="BM775" s="250"/>
      <c r="BN775" s="250"/>
      <c r="BO775" s="250"/>
      <c r="BP775" s="250"/>
      <c r="BQ775" s="250"/>
      <c r="BR775" s="250"/>
      <c r="BS775" s="250"/>
      <c r="BT775" s="250"/>
      <c r="BU775" s="250"/>
      <c r="BV775" s="250"/>
      <c r="BW775" s="250"/>
      <c r="BX775" s="250"/>
      <c r="BY775" s="250"/>
      <c r="BZ775" s="250"/>
      <c r="CA775" s="250"/>
      <c r="CB775" s="250"/>
      <c r="CC775" s="250"/>
      <c r="CD775" s="250"/>
      <c r="CE775" s="250"/>
      <c r="CF775" s="250"/>
      <c r="CG775" s="250"/>
      <c r="CH775" s="250"/>
      <c r="CI775" s="408"/>
      <c r="CJ775" s="408"/>
      <c r="CK775" s="408"/>
      <c r="CL775" s="408"/>
      <c r="CM775" s="408"/>
      <c r="CN775" s="408"/>
      <c r="CO775" s="408"/>
      <c r="CP775" s="408"/>
      <c r="CQ775" s="408"/>
      <c r="CR775" s="408"/>
      <c r="CS775" s="408"/>
      <c r="CT775" s="250"/>
      <c r="CU775" s="250"/>
      <c r="CV775" s="250"/>
      <c r="CW775" s="250"/>
      <c r="CX775" s="408"/>
      <c r="CY775" s="408"/>
      <c r="CZ775" s="408"/>
      <c r="DA775" s="408"/>
      <c r="DB775" s="408"/>
      <c r="DC775" s="408"/>
      <c r="DD775" s="408"/>
      <c r="DE775" s="250"/>
      <c r="DF775" s="408"/>
      <c r="DG775" s="408"/>
      <c r="DH775" s="408"/>
      <c r="DI775" s="408"/>
      <c r="DJ775" s="408"/>
      <c r="DK775" s="408"/>
      <c r="DL775" s="408"/>
      <c r="DM775" s="250"/>
      <c r="DN775" s="250"/>
      <c r="DO775" s="250"/>
      <c r="DP775" s="250"/>
      <c r="DQ775" s="250"/>
      <c r="DR775" s="250"/>
      <c r="DS775" s="250"/>
      <c r="DT775" s="250"/>
      <c r="DU775" s="250"/>
      <c r="DV775" s="250"/>
      <c r="DW775" s="252"/>
      <c r="DX775" s="252"/>
      <c r="DY775" s="250"/>
      <c r="DZ775" s="250"/>
      <c r="EA775" s="260"/>
      <c r="EB775" s="260"/>
      <c r="EC775" s="260"/>
      <c r="ED775" s="260"/>
      <c r="EG775" s="396"/>
      <c r="EH775" s="396"/>
    </row>
    <row r="776" spans="1:138" s="3" customFormat="1" x14ac:dyDescent="0.25">
      <c r="A776" s="407"/>
      <c r="B776" s="407"/>
      <c r="C776" s="250"/>
      <c r="D776" s="250"/>
      <c r="E776" s="250"/>
      <c r="F776" s="250"/>
      <c r="G776" s="250"/>
      <c r="H776" s="250"/>
      <c r="I776" s="250"/>
      <c r="J776" s="250"/>
      <c r="K776" s="250"/>
      <c r="L776" s="250"/>
      <c r="M776" s="250"/>
      <c r="N776" s="250"/>
      <c r="O776" s="250"/>
      <c r="P776" s="250"/>
      <c r="Q776" s="250"/>
      <c r="R776" s="250"/>
      <c r="S776" s="250"/>
      <c r="T776" s="250"/>
      <c r="U776" s="250"/>
      <c r="V776" s="250"/>
      <c r="W776" s="250"/>
      <c r="X776" s="250"/>
      <c r="Y776" s="250"/>
      <c r="Z776" s="250"/>
      <c r="AA776" s="250"/>
      <c r="AB776" s="250"/>
      <c r="AC776" s="250"/>
      <c r="AD776" s="250"/>
      <c r="AE776" s="250"/>
      <c r="AF776" s="250"/>
      <c r="AG776" s="250"/>
      <c r="AH776" s="250"/>
      <c r="AI776" s="250"/>
      <c r="AJ776" s="250"/>
      <c r="AK776" s="250"/>
      <c r="AL776" s="250"/>
      <c r="AM776" s="408"/>
      <c r="AN776" s="408"/>
      <c r="AO776" s="408"/>
      <c r="AP776" s="408"/>
      <c r="AQ776" s="408"/>
      <c r="AR776" s="408"/>
      <c r="AS776" s="408"/>
      <c r="AT776" s="408"/>
      <c r="AU776" s="408"/>
      <c r="AV776" s="408"/>
      <c r="AW776" s="408"/>
      <c r="AX776" s="250"/>
      <c r="AY776" s="250"/>
      <c r="AZ776" s="250"/>
      <c r="BA776" s="250"/>
      <c r="BB776" s="250"/>
      <c r="BC776" s="250"/>
      <c r="BD776" s="250"/>
      <c r="BE776" s="250"/>
      <c r="BF776" s="250"/>
      <c r="BG776" s="250"/>
      <c r="BH776" s="250"/>
      <c r="BI776" s="250"/>
      <c r="BJ776" s="250"/>
      <c r="BK776" s="250"/>
      <c r="BL776" s="250"/>
      <c r="BM776" s="250"/>
      <c r="BN776" s="250"/>
      <c r="BO776" s="250"/>
      <c r="BP776" s="250"/>
      <c r="BQ776" s="250"/>
      <c r="BR776" s="250"/>
      <c r="BS776" s="250"/>
      <c r="BT776" s="250"/>
      <c r="BU776" s="250"/>
      <c r="BV776" s="250"/>
      <c r="BW776" s="250"/>
      <c r="BX776" s="250"/>
      <c r="BY776" s="250"/>
      <c r="BZ776" s="250"/>
      <c r="CA776" s="250"/>
      <c r="CB776" s="250"/>
      <c r="CC776" s="250"/>
      <c r="CD776" s="250"/>
      <c r="CE776" s="250"/>
      <c r="CF776" s="250"/>
      <c r="CG776" s="250"/>
      <c r="CH776" s="250"/>
      <c r="CI776" s="408"/>
      <c r="CJ776" s="408"/>
      <c r="CK776" s="408"/>
      <c r="CL776" s="408"/>
      <c r="CM776" s="408"/>
      <c r="CN776" s="408"/>
      <c r="CO776" s="408"/>
      <c r="CP776" s="408"/>
      <c r="CQ776" s="408"/>
      <c r="CR776" s="408"/>
      <c r="CS776" s="408"/>
      <c r="CT776" s="250"/>
      <c r="CU776" s="250"/>
      <c r="CV776" s="250"/>
      <c r="CW776" s="250"/>
      <c r="CX776" s="408"/>
      <c r="CY776" s="408"/>
      <c r="CZ776" s="408"/>
      <c r="DA776" s="408"/>
      <c r="DB776" s="408"/>
      <c r="DC776" s="408"/>
      <c r="DD776" s="408"/>
      <c r="DE776" s="250"/>
      <c r="DF776" s="408"/>
      <c r="DG776" s="408"/>
      <c r="DH776" s="408"/>
      <c r="DI776" s="408"/>
      <c r="DJ776" s="408"/>
      <c r="DK776" s="408"/>
      <c r="DL776" s="408"/>
      <c r="DM776" s="250"/>
      <c r="DN776" s="250"/>
      <c r="DO776" s="250"/>
      <c r="DP776" s="250"/>
      <c r="DQ776" s="250"/>
      <c r="DR776" s="250"/>
      <c r="DS776" s="250"/>
      <c r="DT776" s="250"/>
      <c r="DU776" s="250"/>
      <c r="DV776" s="250"/>
      <c r="DW776" s="252"/>
      <c r="DX776" s="252"/>
      <c r="DY776" s="250"/>
      <c r="DZ776" s="250"/>
      <c r="EA776" s="260"/>
      <c r="EB776" s="260"/>
      <c r="EC776" s="260"/>
      <c r="ED776" s="260"/>
      <c r="EG776" s="396"/>
      <c r="EH776" s="396"/>
    </row>
    <row r="777" spans="1:138" s="3" customFormat="1" x14ac:dyDescent="0.25">
      <c r="A777" s="407"/>
      <c r="B777" s="407"/>
      <c r="C777" s="250"/>
      <c r="D777" s="250"/>
      <c r="E777" s="250"/>
      <c r="F777" s="250"/>
      <c r="G777" s="250"/>
      <c r="H777" s="250"/>
      <c r="I777" s="250"/>
      <c r="J777" s="250"/>
      <c r="K777" s="250"/>
      <c r="L777" s="250"/>
      <c r="M777" s="250"/>
      <c r="N777" s="250"/>
      <c r="O777" s="250"/>
      <c r="P777" s="250"/>
      <c r="Q777" s="250"/>
      <c r="R777" s="250"/>
      <c r="S777" s="250"/>
      <c r="T777" s="250"/>
      <c r="U777" s="250"/>
      <c r="V777" s="250"/>
      <c r="W777" s="250"/>
      <c r="X777" s="250"/>
      <c r="Y777" s="250"/>
      <c r="Z777" s="250"/>
      <c r="AA777" s="250"/>
      <c r="AB777" s="250"/>
      <c r="AC777" s="250"/>
      <c r="AD777" s="250"/>
      <c r="AE777" s="250"/>
      <c r="AF777" s="250"/>
      <c r="AG777" s="250"/>
      <c r="AH777" s="250"/>
      <c r="AI777" s="250"/>
      <c r="AJ777" s="250"/>
      <c r="AK777" s="250"/>
      <c r="AL777" s="250"/>
      <c r="AM777" s="408"/>
      <c r="AN777" s="408"/>
      <c r="AO777" s="408"/>
      <c r="AP777" s="408"/>
      <c r="AQ777" s="408"/>
      <c r="AR777" s="408"/>
      <c r="AS777" s="408"/>
      <c r="AT777" s="408"/>
      <c r="AU777" s="408"/>
      <c r="AV777" s="408"/>
      <c r="AW777" s="408"/>
      <c r="AX777" s="250"/>
      <c r="AY777" s="250"/>
      <c r="AZ777" s="250"/>
      <c r="BA777" s="250"/>
      <c r="BB777" s="250"/>
      <c r="BC777" s="250"/>
      <c r="BD777" s="250"/>
      <c r="BE777" s="250"/>
      <c r="BF777" s="250"/>
      <c r="BG777" s="250"/>
      <c r="BH777" s="250"/>
      <c r="BI777" s="250"/>
      <c r="BJ777" s="250"/>
      <c r="BK777" s="250"/>
      <c r="BL777" s="250"/>
      <c r="BM777" s="250"/>
      <c r="BN777" s="250"/>
      <c r="BO777" s="250"/>
      <c r="BP777" s="250"/>
      <c r="BQ777" s="250"/>
      <c r="BR777" s="250"/>
      <c r="BS777" s="250"/>
      <c r="BT777" s="250"/>
      <c r="BU777" s="250"/>
      <c r="BV777" s="250"/>
      <c r="BW777" s="250"/>
      <c r="BX777" s="250"/>
      <c r="BY777" s="250"/>
      <c r="BZ777" s="250"/>
      <c r="CA777" s="250"/>
      <c r="CB777" s="250"/>
      <c r="CC777" s="250"/>
      <c r="CD777" s="250"/>
      <c r="CE777" s="250"/>
      <c r="CF777" s="250"/>
      <c r="CG777" s="250"/>
      <c r="CH777" s="250"/>
      <c r="CI777" s="408"/>
      <c r="CJ777" s="408"/>
      <c r="CK777" s="408"/>
      <c r="CL777" s="408"/>
      <c r="CM777" s="408"/>
      <c r="CN777" s="408"/>
      <c r="CO777" s="408"/>
      <c r="CP777" s="408"/>
      <c r="CQ777" s="408"/>
      <c r="CR777" s="408"/>
      <c r="CS777" s="408"/>
      <c r="CT777" s="250"/>
      <c r="CU777" s="250"/>
      <c r="CV777" s="250"/>
      <c r="CW777" s="250"/>
      <c r="CX777" s="408"/>
      <c r="CY777" s="408"/>
      <c r="CZ777" s="408"/>
      <c r="DA777" s="408"/>
      <c r="DB777" s="408"/>
      <c r="DC777" s="408"/>
      <c r="DD777" s="408"/>
      <c r="DE777" s="250"/>
      <c r="DF777" s="408"/>
      <c r="DG777" s="408"/>
      <c r="DH777" s="408"/>
      <c r="DI777" s="408"/>
      <c r="DJ777" s="408"/>
      <c r="DK777" s="408"/>
      <c r="DL777" s="408"/>
      <c r="DM777" s="250"/>
      <c r="DN777" s="250"/>
      <c r="DO777" s="250"/>
      <c r="DP777" s="250"/>
      <c r="DQ777" s="250"/>
      <c r="DR777" s="250"/>
      <c r="DS777" s="250"/>
      <c r="DT777" s="250"/>
      <c r="DU777" s="250"/>
      <c r="DV777" s="250"/>
      <c r="DW777" s="252"/>
      <c r="DX777" s="252"/>
      <c r="DY777" s="250"/>
      <c r="DZ777" s="250"/>
      <c r="EA777" s="260"/>
      <c r="EB777" s="260"/>
      <c r="EC777" s="260"/>
      <c r="ED777" s="260"/>
      <c r="EG777" s="396"/>
      <c r="EH777" s="396"/>
    </row>
    <row r="778" spans="1:138" s="3" customFormat="1" x14ac:dyDescent="0.25">
      <c r="A778" s="407"/>
      <c r="B778" s="407"/>
      <c r="C778" s="250"/>
      <c r="D778" s="250"/>
      <c r="E778" s="250"/>
      <c r="F778" s="250"/>
      <c r="G778" s="250"/>
      <c r="H778" s="250"/>
      <c r="I778" s="250"/>
      <c r="J778" s="250"/>
      <c r="K778" s="250"/>
      <c r="L778" s="250"/>
      <c r="M778" s="250"/>
      <c r="N778" s="250"/>
      <c r="O778" s="250"/>
      <c r="P778" s="250"/>
      <c r="Q778" s="250"/>
      <c r="R778" s="250"/>
      <c r="S778" s="250"/>
      <c r="T778" s="250"/>
      <c r="U778" s="250"/>
      <c r="V778" s="250"/>
      <c r="W778" s="250"/>
      <c r="X778" s="250"/>
      <c r="Y778" s="250"/>
      <c r="Z778" s="250"/>
      <c r="AA778" s="250"/>
      <c r="AB778" s="250"/>
      <c r="AC778" s="250"/>
      <c r="AD778" s="250"/>
      <c r="AE778" s="250"/>
      <c r="AF778" s="250"/>
      <c r="AG778" s="250"/>
      <c r="AH778" s="250"/>
      <c r="AI778" s="250"/>
      <c r="AJ778" s="250"/>
      <c r="AK778" s="250"/>
      <c r="AL778" s="250"/>
      <c r="AM778" s="408"/>
      <c r="AN778" s="408"/>
      <c r="AO778" s="408"/>
      <c r="AP778" s="408"/>
      <c r="AQ778" s="408"/>
      <c r="AR778" s="408"/>
      <c r="AS778" s="408"/>
      <c r="AT778" s="408"/>
      <c r="AU778" s="408"/>
      <c r="AV778" s="408"/>
      <c r="AW778" s="408"/>
      <c r="AX778" s="250"/>
      <c r="AY778" s="250"/>
      <c r="AZ778" s="250"/>
      <c r="BA778" s="250"/>
      <c r="BB778" s="250"/>
      <c r="BC778" s="250"/>
      <c r="BD778" s="250"/>
      <c r="BE778" s="250"/>
      <c r="BF778" s="250"/>
      <c r="BG778" s="250"/>
      <c r="BH778" s="250"/>
      <c r="BI778" s="250"/>
      <c r="BJ778" s="250"/>
      <c r="BK778" s="250"/>
      <c r="BL778" s="250"/>
      <c r="BM778" s="250"/>
      <c r="BN778" s="250"/>
      <c r="BO778" s="250"/>
      <c r="BP778" s="250"/>
      <c r="BQ778" s="250"/>
      <c r="BR778" s="250"/>
      <c r="BS778" s="250"/>
      <c r="BT778" s="250"/>
      <c r="BU778" s="250"/>
      <c r="BV778" s="250"/>
      <c r="BW778" s="250"/>
      <c r="BX778" s="250"/>
      <c r="BY778" s="250"/>
      <c r="BZ778" s="250"/>
      <c r="CA778" s="250"/>
      <c r="CB778" s="250"/>
      <c r="CC778" s="250"/>
      <c r="CD778" s="250"/>
      <c r="CE778" s="250"/>
      <c r="CF778" s="250"/>
      <c r="CG778" s="250"/>
      <c r="CH778" s="250"/>
      <c r="CI778" s="408"/>
      <c r="CJ778" s="408"/>
      <c r="CK778" s="408"/>
      <c r="CL778" s="408"/>
      <c r="CM778" s="408"/>
      <c r="CN778" s="408"/>
      <c r="CO778" s="408"/>
      <c r="CP778" s="408"/>
      <c r="CQ778" s="408"/>
      <c r="CR778" s="408"/>
      <c r="CS778" s="408"/>
      <c r="CT778" s="250"/>
      <c r="CU778" s="250"/>
      <c r="CV778" s="250"/>
      <c r="CW778" s="250"/>
      <c r="CX778" s="408"/>
      <c r="CY778" s="408"/>
      <c r="CZ778" s="408"/>
      <c r="DA778" s="408"/>
      <c r="DB778" s="408"/>
      <c r="DC778" s="408"/>
      <c r="DD778" s="408"/>
      <c r="DE778" s="250"/>
      <c r="DF778" s="408"/>
      <c r="DG778" s="408"/>
      <c r="DH778" s="408"/>
      <c r="DI778" s="408"/>
      <c r="DJ778" s="408"/>
      <c r="DK778" s="408"/>
      <c r="DL778" s="408"/>
      <c r="DM778" s="250"/>
      <c r="DN778" s="250"/>
      <c r="DO778" s="250"/>
      <c r="DP778" s="250"/>
      <c r="DQ778" s="250"/>
      <c r="DR778" s="250"/>
      <c r="DS778" s="250"/>
      <c r="DT778" s="250"/>
      <c r="DU778" s="250"/>
      <c r="DV778" s="250"/>
      <c r="DW778" s="252"/>
      <c r="DX778" s="252"/>
      <c r="DY778" s="250"/>
      <c r="DZ778" s="250"/>
      <c r="EA778" s="260"/>
      <c r="EB778" s="260"/>
      <c r="EC778" s="260"/>
      <c r="ED778" s="260"/>
      <c r="EG778" s="396"/>
      <c r="EH778" s="396"/>
    </row>
    <row r="779" spans="1:138" s="3" customFormat="1" x14ac:dyDescent="0.25">
      <c r="A779" s="407"/>
      <c r="B779" s="407"/>
      <c r="C779" s="250"/>
      <c r="D779" s="250"/>
      <c r="E779" s="250"/>
      <c r="F779" s="250"/>
      <c r="G779" s="250"/>
      <c r="H779" s="250"/>
      <c r="I779" s="250"/>
      <c r="J779" s="250"/>
      <c r="K779" s="250"/>
      <c r="L779" s="250"/>
      <c r="M779" s="250"/>
      <c r="N779" s="250"/>
      <c r="O779" s="250"/>
      <c r="P779" s="250"/>
      <c r="Q779" s="250"/>
      <c r="R779" s="250"/>
      <c r="S779" s="250"/>
      <c r="T779" s="250"/>
      <c r="U779" s="250"/>
      <c r="V779" s="250"/>
      <c r="W779" s="250"/>
      <c r="X779" s="250"/>
      <c r="Y779" s="250"/>
      <c r="Z779" s="250"/>
      <c r="AA779" s="250"/>
      <c r="AB779" s="250"/>
      <c r="AC779" s="250"/>
      <c r="AD779" s="250"/>
      <c r="AE779" s="250"/>
      <c r="AF779" s="250"/>
      <c r="AG779" s="250"/>
      <c r="AH779" s="250"/>
      <c r="AI779" s="250"/>
      <c r="AJ779" s="250"/>
      <c r="AK779" s="250"/>
      <c r="AL779" s="250"/>
      <c r="AM779" s="408"/>
      <c r="AN779" s="408"/>
      <c r="AO779" s="408"/>
      <c r="AP779" s="408"/>
      <c r="AQ779" s="408"/>
      <c r="AR779" s="408"/>
      <c r="AS779" s="408"/>
      <c r="AT779" s="408"/>
      <c r="AU779" s="408"/>
      <c r="AV779" s="408"/>
      <c r="AW779" s="408"/>
      <c r="AX779" s="250"/>
      <c r="AY779" s="250"/>
      <c r="AZ779" s="250"/>
      <c r="BA779" s="250"/>
      <c r="BB779" s="250"/>
      <c r="BC779" s="250"/>
      <c r="BD779" s="250"/>
      <c r="BE779" s="250"/>
      <c r="BF779" s="250"/>
      <c r="BG779" s="250"/>
      <c r="BH779" s="250"/>
      <c r="BI779" s="250"/>
      <c r="BJ779" s="250"/>
      <c r="BK779" s="250"/>
      <c r="BL779" s="250"/>
      <c r="BM779" s="250"/>
      <c r="BN779" s="250"/>
      <c r="BO779" s="250"/>
      <c r="BP779" s="250"/>
      <c r="BQ779" s="250"/>
      <c r="BR779" s="250"/>
      <c r="BS779" s="250"/>
      <c r="BT779" s="250"/>
      <c r="BU779" s="250"/>
      <c r="BV779" s="250"/>
      <c r="BW779" s="250"/>
      <c r="BX779" s="250"/>
      <c r="BY779" s="250"/>
      <c r="BZ779" s="250"/>
      <c r="CA779" s="250"/>
      <c r="CB779" s="250"/>
      <c r="CC779" s="250"/>
      <c r="CD779" s="250"/>
      <c r="CE779" s="250"/>
      <c r="CF779" s="250"/>
      <c r="CG779" s="250"/>
      <c r="CH779" s="250"/>
      <c r="CI779" s="408"/>
      <c r="CJ779" s="408"/>
      <c r="CK779" s="408"/>
      <c r="CL779" s="408"/>
      <c r="CM779" s="408"/>
      <c r="CN779" s="408"/>
      <c r="CO779" s="408"/>
      <c r="CP779" s="408"/>
      <c r="CQ779" s="408"/>
      <c r="CR779" s="408"/>
      <c r="CS779" s="408"/>
      <c r="CT779" s="250"/>
      <c r="CU779" s="250"/>
      <c r="CV779" s="250"/>
      <c r="CW779" s="250"/>
      <c r="CX779" s="408"/>
      <c r="CY779" s="408"/>
      <c r="CZ779" s="408"/>
      <c r="DA779" s="408"/>
      <c r="DB779" s="408"/>
      <c r="DC779" s="408"/>
      <c r="DD779" s="408"/>
      <c r="DE779" s="250"/>
      <c r="DF779" s="408"/>
      <c r="DG779" s="408"/>
      <c r="DH779" s="408"/>
      <c r="DI779" s="408"/>
      <c r="DJ779" s="408"/>
      <c r="DK779" s="408"/>
      <c r="DL779" s="408"/>
      <c r="DM779" s="250"/>
      <c r="DN779" s="250"/>
      <c r="DO779" s="250"/>
      <c r="DP779" s="250"/>
      <c r="DQ779" s="250"/>
      <c r="DR779" s="250"/>
      <c r="DS779" s="250"/>
      <c r="DT779" s="250"/>
      <c r="DU779" s="250"/>
      <c r="DV779" s="250"/>
      <c r="DW779" s="252"/>
      <c r="DX779" s="252"/>
      <c r="DY779" s="250"/>
      <c r="DZ779" s="250"/>
      <c r="EA779" s="260"/>
      <c r="EB779" s="260"/>
      <c r="EC779" s="260"/>
      <c r="ED779" s="260"/>
      <c r="EG779" s="396"/>
      <c r="EH779" s="396"/>
    </row>
    <row r="780" spans="1:138" s="3" customFormat="1" x14ac:dyDescent="0.25">
      <c r="A780" s="407"/>
      <c r="B780" s="407"/>
      <c r="C780" s="250"/>
      <c r="D780" s="250"/>
      <c r="E780" s="250"/>
      <c r="F780" s="250"/>
      <c r="G780" s="250"/>
      <c r="H780" s="250"/>
      <c r="I780" s="250"/>
      <c r="J780" s="250"/>
      <c r="K780" s="250"/>
      <c r="L780" s="250"/>
      <c r="M780" s="250"/>
      <c r="N780" s="250"/>
      <c r="O780" s="250"/>
      <c r="P780" s="250"/>
      <c r="Q780" s="250"/>
      <c r="R780" s="250"/>
      <c r="S780" s="250"/>
      <c r="T780" s="250"/>
      <c r="U780" s="250"/>
      <c r="V780" s="250"/>
      <c r="W780" s="250"/>
      <c r="X780" s="250"/>
      <c r="Y780" s="250"/>
      <c r="Z780" s="250"/>
      <c r="AA780" s="250"/>
      <c r="AB780" s="250"/>
      <c r="AC780" s="250"/>
      <c r="AD780" s="250"/>
      <c r="AE780" s="250"/>
      <c r="AF780" s="250"/>
      <c r="AG780" s="250"/>
      <c r="AH780" s="250"/>
      <c r="AI780" s="250"/>
      <c r="AJ780" s="250"/>
      <c r="AK780" s="250"/>
      <c r="AL780" s="250"/>
      <c r="AM780" s="408"/>
      <c r="AN780" s="408"/>
      <c r="AO780" s="408"/>
      <c r="AP780" s="408"/>
      <c r="AQ780" s="408"/>
      <c r="AR780" s="408"/>
      <c r="AS780" s="408"/>
      <c r="AT780" s="408"/>
      <c r="AU780" s="408"/>
      <c r="AV780" s="408"/>
      <c r="AW780" s="408"/>
      <c r="AX780" s="250"/>
      <c r="AY780" s="250"/>
      <c r="AZ780" s="250"/>
      <c r="BA780" s="250"/>
      <c r="BB780" s="250"/>
      <c r="BC780" s="250"/>
      <c r="BD780" s="250"/>
      <c r="BE780" s="250"/>
      <c r="BF780" s="250"/>
      <c r="BG780" s="250"/>
      <c r="BH780" s="250"/>
      <c r="BI780" s="250"/>
      <c r="BJ780" s="250"/>
      <c r="BK780" s="250"/>
      <c r="BL780" s="250"/>
      <c r="BM780" s="250"/>
      <c r="BN780" s="250"/>
      <c r="BO780" s="250"/>
      <c r="BP780" s="250"/>
      <c r="BQ780" s="250"/>
      <c r="BR780" s="250"/>
      <c r="BS780" s="250"/>
      <c r="BT780" s="250"/>
      <c r="BU780" s="250"/>
      <c r="BV780" s="250"/>
      <c r="BW780" s="250"/>
      <c r="BX780" s="250"/>
      <c r="BY780" s="250"/>
      <c r="BZ780" s="250"/>
      <c r="CA780" s="250"/>
      <c r="CB780" s="250"/>
      <c r="CC780" s="250"/>
      <c r="CD780" s="250"/>
      <c r="CE780" s="250"/>
      <c r="CF780" s="250"/>
      <c r="CG780" s="250"/>
      <c r="CH780" s="250"/>
      <c r="CI780" s="408"/>
      <c r="CJ780" s="408"/>
      <c r="CK780" s="408"/>
      <c r="CL780" s="408"/>
      <c r="CM780" s="408"/>
      <c r="CN780" s="408"/>
      <c r="CO780" s="408"/>
      <c r="CP780" s="408"/>
      <c r="CQ780" s="408"/>
      <c r="CR780" s="408"/>
      <c r="CS780" s="408"/>
      <c r="CT780" s="250"/>
      <c r="CU780" s="250"/>
      <c r="CV780" s="250"/>
      <c r="CW780" s="250"/>
      <c r="CX780" s="408"/>
      <c r="CY780" s="408"/>
      <c r="CZ780" s="408"/>
      <c r="DA780" s="408"/>
      <c r="DB780" s="408"/>
      <c r="DC780" s="408"/>
      <c r="DD780" s="408"/>
      <c r="DE780" s="250"/>
      <c r="DF780" s="408"/>
      <c r="DG780" s="408"/>
      <c r="DH780" s="408"/>
      <c r="DI780" s="408"/>
      <c r="DJ780" s="408"/>
      <c r="DK780" s="408"/>
      <c r="DL780" s="408"/>
      <c r="DM780" s="250"/>
      <c r="DN780" s="250"/>
      <c r="DO780" s="250"/>
      <c r="DP780" s="250"/>
      <c r="DQ780" s="250"/>
      <c r="DR780" s="250"/>
      <c r="DS780" s="250"/>
      <c r="DT780" s="250"/>
      <c r="DU780" s="250"/>
      <c r="DV780" s="250"/>
      <c r="DW780" s="252"/>
      <c r="DX780" s="252"/>
      <c r="DY780" s="250"/>
      <c r="DZ780" s="250"/>
      <c r="EA780" s="260"/>
      <c r="EB780" s="260"/>
      <c r="EC780" s="260"/>
      <c r="ED780" s="260"/>
      <c r="EG780" s="396"/>
      <c r="EH780" s="396"/>
    </row>
    <row r="781" spans="1:138" s="3" customFormat="1" x14ac:dyDescent="0.25">
      <c r="A781" s="407"/>
      <c r="B781" s="407"/>
      <c r="C781" s="250"/>
      <c r="D781" s="250"/>
      <c r="E781" s="250"/>
      <c r="F781" s="250"/>
      <c r="G781" s="250"/>
      <c r="H781" s="250"/>
      <c r="I781" s="250"/>
      <c r="J781" s="250"/>
      <c r="K781" s="250"/>
      <c r="L781" s="250"/>
      <c r="M781" s="250"/>
      <c r="N781" s="250"/>
      <c r="O781" s="250"/>
      <c r="P781" s="250"/>
      <c r="Q781" s="250"/>
      <c r="R781" s="250"/>
      <c r="S781" s="250"/>
      <c r="T781" s="250"/>
      <c r="U781" s="250"/>
      <c r="V781" s="250"/>
      <c r="W781" s="250"/>
      <c r="X781" s="250"/>
      <c r="Y781" s="250"/>
      <c r="Z781" s="250"/>
      <c r="AA781" s="250"/>
      <c r="AB781" s="250"/>
      <c r="AC781" s="250"/>
      <c r="AD781" s="250"/>
      <c r="AE781" s="250"/>
      <c r="AF781" s="250"/>
      <c r="AG781" s="250"/>
      <c r="AH781" s="250"/>
      <c r="AI781" s="250"/>
      <c r="AJ781" s="250"/>
      <c r="AK781" s="250"/>
      <c r="AL781" s="250"/>
      <c r="AM781" s="408"/>
      <c r="AN781" s="408"/>
      <c r="AO781" s="408"/>
      <c r="AP781" s="408"/>
      <c r="AQ781" s="408"/>
      <c r="AR781" s="408"/>
      <c r="AS781" s="408"/>
      <c r="AT781" s="408"/>
      <c r="AU781" s="408"/>
      <c r="AV781" s="408"/>
      <c r="AW781" s="408"/>
      <c r="AX781" s="250"/>
      <c r="AY781" s="250"/>
      <c r="AZ781" s="250"/>
      <c r="BA781" s="250"/>
      <c r="BB781" s="250"/>
      <c r="BC781" s="250"/>
      <c r="BD781" s="250"/>
      <c r="BE781" s="250"/>
      <c r="BF781" s="250"/>
      <c r="BG781" s="250"/>
      <c r="BH781" s="250"/>
      <c r="BI781" s="250"/>
      <c r="BJ781" s="250"/>
      <c r="BK781" s="250"/>
      <c r="BL781" s="250"/>
      <c r="BM781" s="250"/>
      <c r="BN781" s="250"/>
      <c r="BO781" s="250"/>
      <c r="BP781" s="250"/>
      <c r="BQ781" s="250"/>
      <c r="BR781" s="250"/>
      <c r="BS781" s="250"/>
      <c r="BT781" s="250"/>
      <c r="BU781" s="250"/>
      <c r="BV781" s="250"/>
      <c r="BW781" s="250"/>
      <c r="BX781" s="250"/>
      <c r="BY781" s="250"/>
      <c r="BZ781" s="250"/>
      <c r="CA781" s="250"/>
      <c r="CB781" s="250"/>
      <c r="CC781" s="250"/>
      <c r="CD781" s="250"/>
      <c r="CE781" s="250"/>
      <c r="CF781" s="250"/>
      <c r="CG781" s="250"/>
      <c r="CH781" s="250"/>
      <c r="CI781" s="408"/>
      <c r="CJ781" s="408"/>
      <c r="CK781" s="408"/>
      <c r="CL781" s="408"/>
      <c r="CM781" s="408"/>
      <c r="CN781" s="408"/>
      <c r="CO781" s="408"/>
      <c r="CP781" s="408"/>
      <c r="CQ781" s="408"/>
      <c r="CR781" s="408"/>
      <c r="CS781" s="408"/>
      <c r="CT781" s="250"/>
      <c r="CU781" s="250"/>
      <c r="CV781" s="250"/>
      <c r="CW781" s="250"/>
      <c r="CX781" s="408"/>
      <c r="CY781" s="408"/>
      <c r="CZ781" s="408"/>
      <c r="DA781" s="408"/>
      <c r="DB781" s="408"/>
      <c r="DC781" s="408"/>
      <c r="DD781" s="408"/>
      <c r="DE781" s="250"/>
      <c r="DF781" s="408"/>
      <c r="DG781" s="408"/>
      <c r="DH781" s="408"/>
      <c r="DI781" s="408"/>
      <c r="DJ781" s="408"/>
      <c r="DK781" s="408"/>
      <c r="DL781" s="408"/>
      <c r="DM781" s="250"/>
      <c r="DN781" s="250"/>
      <c r="DO781" s="250"/>
      <c r="DP781" s="250"/>
      <c r="DQ781" s="250"/>
      <c r="DR781" s="250"/>
      <c r="DS781" s="250"/>
      <c r="DT781" s="250"/>
      <c r="DU781" s="250"/>
      <c r="DV781" s="250"/>
      <c r="DW781" s="252"/>
      <c r="DX781" s="252"/>
      <c r="DY781" s="250"/>
      <c r="DZ781" s="250"/>
      <c r="EA781" s="260"/>
      <c r="EB781" s="260"/>
      <c r="EC781" s="260"/>
      <c r="ED781" s="260"/>
      <c r="EG781" s="396"/>
      <c r="EH781" s="396"/>
    </row>
    <row r="782" spans="1:138" s="3" customFormat="1" x14ac:dyDescent="0.25">
      <c r="A782" s="407"/>
      <c r="B782" s="407"/>
      <c r="C782" s="250"/>
      <c r="D782" s="250"/>
      <c r="E782" s="250"/>
      <c r="F782" s="250"/>
      <c r="G782" s="250"/>
      <c r="H782" s="250"/>
      <c r="I782" s="250"/>
      <c r="J782" s="250"/>
      <c r="K782" s="250"/>
      <c r="L782" s="250"/>
      <c r="M782" s="250"/>
      <c r="N782" s="250"/>
      <c r="O782" s="250"/>
      <c r="P782" s="250"/>
      <c r="Q782" s="250"/>
      <c r="R782" s="250"/>
      <c r="S782" s="250"/>
      <c r="T782" s="250"/>
      <c r="U782" s="250"/>
      <c r="V782" s="250"/>
      <c r="W782" s="250"/>
      <c r="X782" s="250"/>
      <c r="Y782" s="250"/>
      <c r="Z782" s="250"/>
      <c r="AA782" s="250"/>
      <c r="AB782" s="250"/>
      <c r="AC782" s="250"/>
      <c r="AD782" s="250"/>
      <c r="AE782" s="250"/>
      <c r="AF782" s="250"/>
      <c r="AG782" s="250"/>
      <c r="AH782" s="250"/>
      <c r="AI782" s="250"/>
      <c r="AJ782" s="250"/>
      <c r="AK782" s="250"/>
      <c r="AL782" s="250"/>
      <c r="AM782" s="408"/>
      <c r="AN782" s="408"/>
      <c r="AO782" s="408"/>
      <c r="AP782" s="408"/>
      <c r="AQ782" s="408"/>
      <c r="AR782" s="408"/>
      <c r="AS782" s="408"/>
      <c r="AT782" s="408"/>
      <c r="AU782" s="408"/>
      <c r="AV782" s="408"/>
      <c r="AW782" s="408"/>
      <c r="AX782" s="250"/>
      <c r="AY782" s="250"/>
      <c r="AZ782" s="250"/>
      <c r="BA782" s="250"/>
      <c r="BB782" s="250"/>
      <c r="BC782" s="250"/>
      <c r="BD782" s="250"/>
      <c r="BE782" s="250"/>
      <c r="BF782" s="250"/>
      <c r="BG782" s="250"/>
      <c r="BH782" s="250"/>
      <c r="BI782" s="250"/>
      <c r="BJ782" s="250"/>
      <c r="BK782" s="250"/>
      <c r="BL782" s="250"/>
      <c r="BM782" s="250"/>
      <c r="BN782" s="250"/>
      <c r="BO782" s="250"/>
      <c r="BP782" s="250"/>
      <c r="BQ782" s="250"/>
      <c r="BR782" s="250"/>
      <c r="BS782" s="250"/>
      <c r="BT782" s="250"/>
      <c r="BU782" s="250"/>
      <c r="BV782" s="250"/>
      <c r="BW782" s="250"/>
      <c r="BX782" s="250"/>
      <c r="BY782" s="250"/>
      <c r="BZ782" s="250"/>
      <c r="CA782" s="250"/>
      <c r="CB782" s="250"/>
      <c r="CC782" s="250"/>
      <c r="CD782" s="250"/>
      <c r="CE782" s="250"/>
      <c r="CF782" s="250"/>
      <c r="CG782" s="250"/>
      <c r="CH782" s="250"/>
      <c r="CI782" s="408"/>
      <c r="CJ782" s="408"/>
      <c r="CK782" s="408"/>
      <c r="CL782" s="408"/>
      <c r="CM782" s="408"/>
      <c r="CN782" s="408"/>
      <c r="CO782" s="408"/>
      <c r="CP782" s="408"/>
      <c r="CQ782" s="408"/>
      <c r="CR782" s="408"/>
      <c r="CS782" s="408"/>
      <c r="CT782" s="250"/>
      <c r="CU782" s="250"/>
      <c r="CV782" s="250"/>
      <c r="CW782" s="250"/>
      <c r="CX782" s="408"/>
      <c r="CY782" s="408"/>
      <c r="CZ782" s="408"/>
      <c r="DA782" s="408"/>
      <c r="DB782" s="408"/>
      <c r="DC782" s="408"/>
      <c r="DD782" s="408"/>
      <c r="DE782" s="250"/>
      <c r="DF782" s="408"/>
      <c r="DG782" s="408"/>
      <c r="DH782" s="408"/>
      <c r="DI782" s="408"/>
      <c r="DJ782" s="408"/>
      <c r="DK782" s="408"/>
      <c r="DL782" s="408"/>
      <c r="DM782" s="250"/>
      <c r="DN782" s="250"/>
      <c r="DO782" s="250"/>
      <c r="DP782" s="250"/>
      <c r="DQ782" s="250"/>
      <c r="DR782" s="250"/>
      <c r="DS782" s="250"/>
      <c r="DT782" s="250"/>
      <c r="DU782" s="250"/>
      <c r="DV782" s="250"/>
      <c r="DW782" s="252"/>
      <c r="DX782" s="252"/>
      <c r="DY782" s="250"/>
      <c r="DZ782" s="250"/>
      <c r="EA782" s="260"/>
      <c r="EB782" s="260"/>
      <c r="EC782" s="260"/>
      <c r="ED782" s="260"/>
      <c r="EG782" s="396"/>
      <c r="EH782" s="396"/>
    </row>
    <row r="783" spans="1:138" s="3" customFormat="1" x14ac:dyDescent="0.25">
      <c r="A783" s="407"/>
      <c r="B783" s="407"/>
      <c r="C783" s="250"/>
      <c r="D783" s="250"/>
      <c r="E783" s="250"/>
      <c r="F783" s="250"/>
      <c r="G783" s="250"/>
      <c r="H783" s="250"/>
      <c r="I783" s="250"/>
      <c r="J783" s="250"/>
      <c r="K783" s="250"/>
      <c r="L783" s="250"/>
      <c r="M783" s="250"/>
      <c r="N783" s="250"/>
      <c r="O783" s="250"/>
      <c r="P783" s="250"/>
      <c r="Q783" s="250"/>
      <c r="R783" s="250"/>
      <c r="S783" s="250"/>
      <c r="T783" s="250"/>
      <c r="U783" s="250"/>
      <c r="V783" s="250"/>
      <c r="W783" s="250"/>
      <c r="X783" s="250"/>
      <c r="Y783" s="250"/>
      <c r="Z783" s="250"/>
      <c r="AA783" s="250"/>
      <c r="AB783" s="250"/>
      <c r="AC783" s="250"/>
      <c r="AD783" s="250"/>
      <c r="AE783" s="250"/>
      <c r="AF783" s="250"/>
      <c r="AG783" s="250"/>
      <c r="AH783" s="250"/>
      <c r="AI783" s="250"/>
      <c r="AJ783" s="250"/>
      <c r="AK783" s="250"/>
      <c r="AL783" s="250"/>
      <c r="AM783" s="408"/>
      <c r="AN783" s="408"/>
      <c r="AO783" s="408"/>
      <c r="AP783" s="408"/>
      <c r="AQ783" s="408"/>
      <c r="AR783" s="408"/>
      <c r="AS783" s="408"/>
      <c r="AT783" s="408"/>
      <c r="AU783" s="408"/>
      <c r="AV783" s="408"/>
      <c r="AW783" s="408"/>
      <c r="AX783" s="250"/>
      <c r="AY783" s="250"/>
      <c r="AZ783" s="250"/>
      <c r="BA783" s="250"/>
      <c r="BB783" s="250"/>
      <c r="BC783" s="250"/>
      <c r="BD783" s="250"/>
      <c r="BE783" s="250"/>
      <c r="BF783" s="250"/>
      <c r="BG783" s="250"/>
      <c r="BH783" s="250"/>
      <c r="BI783" s="250"/>
      <c r="BJ783" s="250"/>
      <c r="BK783" s="250"/>
      <c r="BL783" s="250"/>
      <c r="BM783" s="250"/>
      <c r="BN783" s="250"/>
      <c r="BO783" s="250"/>
      <c r="BP783" s="250"/>
      <c r="BQ783" s="250"/>
      <c r="BR783" s="250"/>
      <c r="BS783" s="250"/>
      <c r="BT783" s="250"/>
      <c r="BU783" s="250"/>
      <c r="BV783" s="250"/>
      <c r="BW783" s="250"/>
      <c r="BX783" s="250"/>
      <c r="BY783" s="250"/>
      <c r="BZ783" s="250"/>
      <c r="CA783" s="250"/>
      <c r="CB783" s="250"/>
      <c r="CC783" s="250"/>
      <c r="CD783" s="250"/>
      <c r="CE783" s="250"/>
      <c r="CF783" s="250"/>
      <c r="CG783" s="250"/>
      <c r="CH783" s="250"/>
      <c r="CI783" s="408"/>
      <c r="CJ783" s="408"/>
      <c r="CK783" s="408"/>
      <c r="CL783" s="408"/>
      <c r="CM783" s="408"/>
      <c r="CN783" s="408"/>
      <c r="CO783" s="408"/>
      <c r="CP783" s="408"/>
      <c r="CQ783" s="408"/>
      <c r="CR783" s="408"/>
      <c r="CS783" s="408"/>
      <c r="CT783" s="250"/>
      <c r="CU783" s="250"/>
      <c r="CV783" s="250"/>
      <c r="CW783" s="250"/>
      <c r="CX783" s="408"/>
      <c r="CY783" s="408"/>
      <c r="CZ783" s="408"/>
      <c r="DA783" s="408"/>
      <c r="DB783" s="408"/>
      <c r="DC783" s="408"/>
      <c r="DD783" s="408"/>
      <c r="DE783" s="250"/>
      <c r="DF783" s="408"/>
      <c r="DG783" s="408"/>
      <c r="DH783" s="408"/>
      <c r="DI783" s="408"/>
      <c r="DJ783" s="408"/>
      <c r="DK783" s="408"/>
      <c r="DL783" s="408"/>
      <c r="DM783" s="250"/>
      <c r="DN783" s="250"/>
      <c r="DO783" s="250"/>
      <c r="DP783" s="250"/>
      <c r="DQ783" s="250"/>
      <c r="DR783" s="250"/>
      <c r="DS783" s="250"/>
      <c r="DT783" s="250"/>
      <c r="DU783" s="250"/>
      <c r="DV783" s="250"/>
      <c r="DW783" s="252"/>
      <c r="DX783" s="252"/>
      <c r="DY783" s="250"/>
      <c r="DZ783" s="250"/>
      <c r="EA783" s="260"/>
      <c r="EB783" s="260"/>
      <c r="EC783" s="260"/>
      <c r="ED783" s="260"/>
      <c r="EG783" s="396"/>
      <c r="EH783" s="396"/>
    </row>
    <row r="784" spans="1:138" s="3" customFormat="1" x14ac:dyDescent="0.25">
      <c r="A784" s="407"/>
      <c r="B784" s="407"/>
      <c r="C784" s="250"/>
      <c r="D784" s="250"/>
      <c r="E784" s="250"/>
      <c r="F784" s="250"/>
      <c r="G784" s="250"/>
      <c r="H784" s="250"/>
      <c r="I784" s="250"/>
      <c r="J784" s="250"/>
      <c r="K784" s="250"/>
      <c r="L784" s="250"/>
      <c r="M784" s="250"/>
      <c r="N784" s="250"/>
      <c r="O784" s="250"/>
      <c r="P784" s="250"/>
      <c r="Q784" s="250"/>
      <c r="R784" s="250"/>
      <c r="S784" s="250"/>
      <c r="T784" s="250"/>
      <c r="U784" s="250"/>
      <c r="V784" s="250"/>
      <c r="W784" s="250"/>
      <c r="X784" s="250"/>
      <c r="Y784" s="250"/>
      <c r="Z784" s="250"/>
      <c r="AA784" s="250"/>
      <c r="AB784" s="250"/>
      <c r="AC784" s="250"/>
      <c r="AD784" s="250"/>
      <c r="AE784" s="250"/>
      <c r="AF784" s="250"/>
      <c r="AG784" s="250"/>
      <c r="AH784" s="250"/>
      <c r="AI784" s="250"/>
      <c r="AJ784" s="250"/>
      <c r="AK784" s="250"/>
      <c r="AL784" s="250"/>
      <c r="AM784" s="408"/>
      <c r="AN784" s="408"/>
      <c r="AO784" s="408"/>
      <c r="AP784" s="408"/>
      <c r="AQ784" s="408"/>
      <c r="AR784" s="408"/>
      <c r="AS784" s="408"/>
      <c r="AT784" s="408"/>
      <c r="AU784" s="408"/>
      <c r="AV784" s="408"/>
      <c r="AW784" s="408"/>
      <c r="AX784" s="250"/>
      <c r="AY784" s="250"/>
      <c r="AZ784" s="250"/>
      <c r="BA784" s="250"/>
      <c r="BB784" s="250"/>
      <c r="BC784" s="250"/>
      <c r="BD784" s="250"/>
      <c r="BE784" s="250"/>
      <c r="BF784" s="250"/>
      <c r="BG784" s="250"/>
      <c r="BH784" s="250"/>
      <c r="BI784" s="250"/>
      <c r="BJ784" s="250"/>
      <c r="BK784" s="250"/>
      <c r="BL784" s="250"/>
      <c r="BM784" s="250"/>
      <c r="BN784" s="250"/>
      <c r="BO784" s="250"/>
      <c r="BP784" s="250"/>
      <c r="BQ784" s="250"/>
      <c r="BR784" s="250"/>
      <c r="BS784" s="250"/>
      <c r="BT784" s="250"/>
      <c r="BU784" s="250"/>
      <c r="BV784" s="250"/>
      <c r="BW784" s="250"/>
      <c r="BX784" s="250"/>
      <c r="BY784" s="250"/>
      <c r="BZ784" s="250"/>
      <c r="CA784" s="250"/>
      <c r="CB784" s="250"/>
      <c r="CC784" s="250"/>
      <c r="CD784" s="250"/>
      <c r="CE784" s="250"/>
      <c r="CF784" s="250"/>
      <c r="CG784" s="250"/>
      <c r="CH784" s="250"/>
      <c r="CI784" s="408"/>
      <c r="CJ784" s="408"/>
      <c r="CK784" s="408"/>
      <c r="CL784" s="408"/>
      <c r="CM784" s="408"/>
      <c r="CN784" s="408"/>
      <c r="CO784" s="408"/>
      <c r="CP784" s="408"/>
      <c r="CQ784" s="408"/>
      <c r="CR784" s="408"/>
      <c r="CS784" s="408"/>
      <c r="CT784" s="250"/>
      <c r="CU784" s="250"/>
      <c r="CV784" s="250"/>
      <c r="CW784" s="250"/>
      <c r="CX784" s="408"/>
      <c r="CY784" s="408"/>
      <c r="CZ784" s="408"/>
      <c r="DA784" s="408"/>
      <c r="DB784" s="408"/>
      <c r="DC784" s="408"/>
      <c r="DD784" s="408"/>
      <c r="DE784" s="250"/>
      <c r="DF784" s="408"/>
      <c r="DG784" s="408"/>
      <c r="DH784" s="408"/>
      <c r="DI784" s="408"/>
      <c r="DJ784" s="408"/>
      <c r="DK784" s="408"/>
      <c r="DL784" s="408"/>
      <c r="DM784" s="250"/>
      <c r="DN784" s="250"/>
      <c r="DO784" s="250"/>
      <c r="DP784" s="250"/>
      <c r="DQ784" s="250"/>
      <c r="DR784" s="250"/>
      <c r="DS784" s="250"/>
      <c r="DT784" s="250"/>
      <c r="DU784" s="250"/>
      <c r="DV784" s="250"/>
      <c r="DW784" s="252"/>
      <c r="DX784" s="252"/>
      <c r="DY784" s="250"/>
      <c r="DZ784" s="250"/>
      <c r="EA784" s="260"/>
      <c r="EB784" s="260"/>
      <c r="EC784" s="260"/>
      <c r="ED784" s="260"/>
      <c r="EG784" s="396"/>
      <c r="EH784" s="396"/>
    </row>
    <row r="785" spans="1:138" s="3" customFormat="1" x14ac:dyDescent="0.25">
      <c r="A785" s="407"/>
      <c r="B785" s="407"/>
      <c r="C785" s="250"/>
      <c r="D785" s="250"/>
      <c r="E785" s="250"/>
      <c r="F785" s="250"/>
      <c r="G785" s="250"/>
      <c r="H785" s="250"/>
      <c r="I785" s="250"/>
      <c r="J785" s="250"/>
      <c r="K785" s="250"/>
      <c r="L785" s="250"/>
      <c r="M785" s="250"/>
      <c r="N785" s="250"/>
      <c r="O785" s="250"/>
      <c r="P785" s="250"/>
      <c r="Q785" s="250"/>
      <c r="R785" s="250"/>
      <c r="S785" s="250"/>
      <c r="T785" s="250"/>
      <c r="U785" s="250"/>
      <c r="V785" s="250"/>
      <c r="W785" s="250"/>
      <c r="X785" s="250"/>
      <c r="Y785" s="250"/>
      <c r="Z785" s="250"/>
      <c r="AA785" s="250"/>
      <c r="AB785" s="250"/>
      <c r="AC785" s="250"/>
      <c r="AD785" s="250"/>
      <c r="AE785" s="250"/>
      <c r="AF785" s="250"/>
      <c r="AG785" s="250"/>
      <c r="AH785" s="250"/>
      <c r="AI785" s="250"/>
      <c r="AJ785" s="250"/>
      <c r="AK785" s="250"/>
      <c r="AL785" s="250"/>
      <c r="AM785" s="408"/>
      <c r="AN785" s="408"/>
      <c r="AO785" s="408"/>
      <c r="AP785" s="408"/>
      <c r="AQ785" s="408"/>
      <c r="AR785" s="408"/>
      <c r="AS785" s="408"/>
      <c r="AT785" s="408"/>
      <c r="AU785" s="408"/>
      <c r="AV785" s="408"/>
      <c r="AW785" s="408"/>
      <c r="AX785" s="250"/>
      <c r="AY785" s="250"/>
      <c r="AZ785" s="250"/>
      <c r="BA785" s="250"/>
      <c r="BB785" s="250"/>
      <c r="BC785" s="250"/>
      <c r="BD785" s="250"/>
      <c r="BE785" s="250"/>
      <c r="BF785" s="250"/>
      <c r="BG785" s="250"/>
      <c r="BH785" s="250"/>
      <c r="BI785" s="250"/>
      <c r="BJ785" s="250"/>
      <c r="BK785" s="250"/>
      <c r="BL785" s="250"/>
      <c r="BM785" s="250"/>
      <c r="BN785" s="250"/>
      <c r="BO785" s="250"/>
      <c r="BP785" s="250"/>
      <c r="BQ785" s="250"/>
      <c r="BR785" s="250"/>
      <c r="BS785" s="250"/>
      <c r="BT785" s="250"/>
      <c r="BU785" s="250"/>
      <c r="BV785" s="250"/>
      <c r="BW785" s="250"/>
      <c r="BX785" s="250"/>
      <c r="BY785" s="250"/>
      <c r="BZ785" s="250"/>
      <c r="CA785" s="250"/>
      <c r="CB785" s="250"/>
      <c r="CC785" s="250"/>
      <c r="CD785" s="250"/>
      <c r="CE785" s="250"/>
      <c r="CF785" s="250"/>
      <c r="CG785" s="250"/>
      <c r="CH785" s="250"/>
      <c r="CI785" s="408"/>
      <c r="CJ785" s="408"/>
      <c r="CK785" s="408"/>
      <c r="CL785" s="408"/>
      <c r="CM785" s="408"/>
      <c r="CN785" s="408"/>
      <c r="CO785" s="408"/>
      <c r="CP785" s="408"/>
      <c r="CQ785" s="408"/>
      <c r="CR785" s="408"/>
      <c r="CS785" s="408"/>
      <c r="CT785" s="250"/>
      <c r="CU785" s="250"/>
      <c r="CV785" s="250"/>
      <c r="CW785" s="250"/>
      <c r="CX785" s="408"/>
      <c r="CY785" s="408"/>
      <c r="CZ785" s="408"/>
      <c r="DA785" s="408"/>
      <c r="DB785" s="408"/>
      <c r="DC785" s="408"/>
      <c r="DD785" s="408"/>
      <c r="DE785" s="250"/>
      <c r="DF785" s="408"/>
      <c r="DG785" s="408"/>
      <c r="DH785" s="408"/>
      <c r="DI785" s="408"/>
      <c r="DJ785" s="408"/>
      <c r="DK785" s="408"/>
      <c r="DL785" s="408"/>
      <c r="DM785" s="250"/>
      <c r="DN785" s="250"/>
      <c r="DO785" s="250"/>
      <c r="DP785" s="250"/>
      <c r="DQ785" s="250"/>
      <c r="DR785" s="250"/>
      <c r="DS785" s="250"/>
      <c r="DT785" s="250"/>
      <c r="DU785" s="250"/>
      <c r="DV785" s="250"/>
      <c r="DW785" s="252"/>
      <c r="DX785" s="252"/>
      <c r="DY785" s="250"/>
      <c r="DZ785" s="250"/>
      <c r="EA785" s="260"/>
      <c r="EB785" s="260"/>
      <c r="EC785" s="260"/>
      <c r="ED785" s="260"/>
      <c r="EG785" s="396"/>
      <c r="EH785" s="396"/>
    </row>
    <row r="786" spans="1:138" s="3" customFormat="1" x14ac:dyDescent="0.25">
      <c r="A786" s="407"/>
      <c r="B786" s="407"/>
      <c r="C786" s="250"/>
      <c r="D786" s="250"/>
      <c r="E786" s="250"/>
      <c r="F786" s="250"/>
      <c r="G786" s="250"/>
      <c r="H786" s="250"/>
      <c r="I786" s="250"/>
      <c r="J786" s="250"/>
      <c r="K786" s="250"/>
      <c r="L786" s="250"/>
      <c r="M786" s="250"/>
      <c r="N786" s="250"/>
      <c r="O786" s="250"/>
      <c r="P786" s="250"/>
      <c r="Q786" s="250"/>
      <c r="R786" s="250"/>
      <c r="S786" s="250"/>
      <c r="T786" s="250"/>
      <c r="U786" s="250"/>
      <c r="V786" s="250"/>
      <c r="W786" s="250"/>
      <c r="X786" s="250"/>
      <c r="Y786" s="250"/>
      <c r="Z786" s="250"/>
      <c r="AA786" s="250"/>
      <c r="AB786" s="250"/>
      <c r="AC786" s="250"/>
      <c r="AD786" s="250"/>
      <c r="AE786" s="250"/>
      <c r="AF786" s="250"/>
      <c r="AG786" s="250"/>
      <c r="AH786" s="250"/>
      <c r="AI786" s="250"/>
      <c r="AJ786" s="250"/>
      <c r="AK786" s="250"/>
      <c r="AL786" s="250"/>
      <c r="AM786" s="408"/>
      <c r="AN786" s="408"/>
      <c r="AO786" s="408"/>
      <c r="AP786" s="408"/>
      <c r="AQ786" s="408"/>
      <c r="AR786" s="408"/>
      <c r="AS786" s="408"/>
      <c r="AT786" s="408"/>
      <c r="AU786" s="408"/>
      <c r="AV786" s="408"/>
      <c r="AW786" s="408"/>
      <c r="AX786" s="250"/>
      <c r="AY786" s="250"/>
      <c r="AZ786" s="250"/>
      <c r="BA786" s="250"/>
      <c r="BB786" s="250"/>
      <c r="BC786" s="250"/>
      <c r="BD786" s="250"/>
      <c r="BE786" s="250"/>
      <c r="BF786" s="250"/>
      <c r="BG786" s="250"/>
      <c r="BH786" s="250"/>
      <c r="BI786" s="250"/>
      <c r="BJ786" s="250"/>
      <c r="BK786" s="250"/>
      <c r="BL786" s="250"/>
      <c r="BM786" s="250"/>
      <c r="BN786" s="250"/>
      <c r="BO786" s="250"/>
      <c r="BP786" s="250"/>
      <c r="BQ786" s="250"/>
      <c r="BR786" s="250"/>
      <c r="BS786" s="250"/>
      <c r="BT786" s="250"/>
      <c r="BU786" s="250"/>
      <c r="BV786" s="250"/>
      <c r="BW786" s="250"/>
      <c r="BX786" s="250"/>
      <c r="BY786" s="250"/>
      <c r="BZ786" s="250"/>
      <c r="CA786" s="250"/>
      <c r="CB786" s="250"/>
      <c r="CC786" s="250"/>
      <c r="CD786" s="250"/>
      <c r="CE786" s="250"/>
      <c r="CF786" s="250"/>
      <c r="CG786" s="250"/>
      <c r="CH786" s="250"/>
      <c r="CI786" s="408"/>
      <c r="CJ786" s="408"/>
      <c r="CK786" s="408"/>
      <c r="CL786" s="408"/>
      <c r="CM786" s="408"/>
      <c r="CN786" s="408"/>
      <c r="CO786" s="408"/>
      <c r="CP786" s="408"/>
      <c r="CQ786" s="408"/>
      <c r="CR786" s="408"/>
      <c r="CS786" s="408"/>
      <c r="CT786" s="250"/>
      <c r="CU786" s="250"/>
      <c r="CV786" s="250"/>
      <c r="CW786" s="250"/>
      <c r="CX786" s="408"/>
      <c r="CY786" s="408"/>
      <c r="CZ786" s="408"/>
      <c r="DA786" s="408"/>
      <c r="DB786" s="408"/>
      <c r="DC786" s="408"/>
      <c r="DD786" s="408"/>
      <c r="DE786" s="250"/>
      <c r="DF786" s="408"/>
      <c r="DG786" s="408"/>
      <c r="DH786" s="408"/>
      <c r="DI786" s="408"/>
      <c r="DJ786" s="408"/>
      <c r="DK786" s="408"/>
      <c r="DL786" s="408"/>
      <c r="DM786" s="250"/>
      <c r="DN786" s="250"/>
      <c r="DO786" s="250"/>
      <c r="DP786" s="250"/>
      <c r="DQ786" s="250"/>
      <c r="DR786" s="250"/>
      <c r="DS786" s="250"/>
      <c r="DT786" s="250"/>
      <c r="DU786" s="250"/>
      <c r="DV786" s="250"/>
      <c r="DW786" s="252"/>
      <c r="DX786" s="252"/>
      <c r="DY786" s="250"/>
      <c r="DZ786" s="250"/>
      <c r="EA786" s="260"/>
      <c r="EB786" s="260"/>
      <c r="EC786" s="260"/>
      <c r="ED786" s="260"/>
      <c r="EG786" s="396"/>
      <c r="EH786" s="396"/>
    </row>
    <row r="787" spans="1:138" s="3" customFormat="1" x14ac:dyDescent="0.25">
      <c r="A787" s="407"/>
      <c r="B787" s="407"/>
      <c r="C787" s="250"/>
      <c r="D787" s="250"/>
      <c r="E787" s="250"/>
      <c r="F787" s="250"/>
      <c r="G787" s="250"/>
      <c r="H787" s="250"/>
      <c r="I787" s="250"/>
      <c r="J787" s="250"/>
      <c r="K787" s="250"/>
      <c r="L787" s="250"/>
      <c r="M787" s="250"/>
      <c r="N787" s="250"/>
      <c r="O787" s="250"/>
      <c r="P787" s="250"/>
      <c r="Q787" s="250"/>
      <c r="R787" s="250"/>
      <c r="S787" s="250"/>
      <c r="T787" s="250"/>
      <c r="U787" s="250"/>
      <c r="V787" s="250"/>
      <c r="W787" s="250"/>
      <c r="X787" s="250"/>
      <c r="Y787" s="250"/>
      <c r="Z787" s="250"/>
      <c r="AA787" s="250"/>
      <c r="AB787" s="250"/>
      <c r="AC787" s="250"/>
      <c r="AD787" s="250"/>
      <c r="AE787" s="250"/>
      <c r="AF787" s="250"/>
      <c r="AG787" s="250"/>
      <c r="AH787" s="250"/>
      <c r="AI787" s="250"/>
      <c r="AJ787" s="250"/>
      <c r="AK787" s="250"/>
      <c r="AL787" s="250"/>
      <c r="AM787" s="408"/>
      <c r="AN787" s="408"/>
      <c r="AO787" s="408"/>
      <c r="AP787" s="408"/>
      <c r="AQ787" s="408"/>
      <c r="AR787" s="408"/>
      <c r="AS787" s="408"/>
      <c r="AT787" s="408"/>
      <c r="AU787" s="408"/>
      <c r="AV787" s="408"/>
      <c r="AW787" s="408"/>
      <c r="AX787" s="250"/>
      <c r="AY787" s="250"/>
      <c r="AZ787" s="250"/>
      <c r="BA787" s="250"/>
      <c r="BB787" s="250"/>
      <c r="BC787" s="250"/>
      <c r="BD787" s="250"/>
      <c r="BE787" s="250"/>
      <c r="BF787" s="250"/>
      <c r="BG787" s="250"/>
      <c r="BH787" s="250"/>
      <c r="BI787" s="250"/>
      <c r="BJ787" s="250"/>
      <c r="BK787" s="250"/>
      <c r="BL787" s="250"/>
      <c r="BM787" s="250"/>
      <c r="BN787" s="250"/>
      <c r="BO787" s="250"/>
      <c r="BP787" s="250"/>
      <c r="BQ787" s="250"/>
      <c r="BR787" s="250"/>
      <c r="BS787" s="250"/>
      <c r="BT787" s="250"/>
      <c r="BU787" s="250"/>
      <c r="BV787" s="250"/>
      <c r="BW787" s="250"/>
      <c r="BX787" s="250"/>
      <c r="BY787" s="250"/>
      <c r="BZ787" s="250"/>
      <c r="CA787" s="250"/>
      <c r="CB787" s="250"/>
      <c r="CC787" s="250"/>
      <c r="CD787" s="250"/>
      <c r="CE787" s="250"/>
      <c r="CF787" s="250"/>
      <c r="CG787" s="250"/>
      <c r="CH787" s="250"/>
      <c r="CI787" s="408"/>
      <c r="CJ787" s="408"/>
      <c r="CK787" s="408"/>
      <c r="CL787" s="408"/>
      <c r="CM787" s="408"/>
      <c r="CN787" s="408"/>
      <c r="CO787" s="408"/>
      <c r="CP787" s="408"/>
      <c r="CQ787" s="408"/>
      <c r="CR787" s="408"/>
      <c r="CS787" s="408"/>
      <c r="CT787" s="250"/>
      <c r="CU787" s="250"/>
      <c r="CV787" s="250"/>
      <c r="CW787" s="250"/>
      <c r="CX787" s="408"/>
      <c r="CY787" s="408"/>
      <c r="CZ787" s="408"/>
      <c r="DA787" s="408"/>
      <c r="DB787" s="408"/>
      <c r="DC787" s="408"/>
      <c r="DD787" s="408"/>
      <c r="DE787" s="250"/>
      <c r="DF787" s="408"/>
      <c r="DG787" s="408"/>
      <c r="DH787" s="408"/>
      <c r="DI787" s="408"/>
      <c r="DJ787" s="408"/>
      <c r="DK787" s="408"/>
      <c r="DL787" s="408"/>
      <c r="DM787" s="250"/>
      <c r="DN787" s="250"/>
      <c r="DO787" s="250"/>
      <c r="DP787" s="250"/>
      <c r="DQ787" s="250"/>
      <c r="DR787" s="250"/>
      <c r="DS787" s="250"/>
      <c r="DT787" s="250"/>
      <c r="DU787" s="250"/>
      <c r="DV787" s="250"/>
      <c r="DW787" s="252"/>
      <c r="DX787" s="252"/>
      <c r="DY787" s="250"/>
      <c r="DZ787" s="250"/>
      <c r="EA787" s="260"/>
      <c r="EB787" s="260"/>
      <c r="EC787" s="260"/>
      <c r="ED787" s="260"/>
      <c r="EG787" s="396"/>
      <c r="EH787" s="396"/>
    </row>
    <row r="788" spans="1:138" s="3" customFormat="1" x14ac:dyDescent="0.25">
      <c r="A788" s="407"/>
      <c r="B788" s="407"/>
      <c r="C788" s="250"/>
      <c r="D788" s="250"/>
      <c r="E788" s="250"/>
      <c r="F788" s="250"/>
      <c r="G788" s="250"/>
      <c r="H788" s="250"/>
      <c r="I788" s="250"/>
      <c r="J788" s="250"/>
      <c r="K788" s="250"/>
      <c r="L788" s="250"/>
      <c r="M788" s="250"/>
      <c r="N788" s="250"/>
      <c r="O788" s="250"/>
      <c r="P788" s="250"/>
      <c r="Q788" s="250"/>
      <c r="R788" s="250"/>
      <c r="S788" s="250"/>
      <c r="T788" s="250"/>
      <c r="U788" s="250"/>
      <c r="V788" s="250"/>
      <c r="W788" s="250"/>
      <c r="X788" s="250"/>
      <c r="Y788" s="250"/>
      <c r="Z788" s="250"/>
      <c r="AA788" s="250"/>
      <c r="AB788" s="250"/>
      <c r="AC788" s="250"/>
      <c r="AD788" s="250"/>
      <c r="AE788" s="250"/>
      <c r="AF788" s="250"/>
      <c r="AG788" s="250"/>
      <c r="AH788" s="250"/>
      <c r="AI788" s="250"/>
      <c r="AJ788" s="250"/>
      <c r="AK788" s="250"/>
      <c r="AL788" s="250"/>
      <c r="AM788" s="408"/>
      <c r="AN788" s="408"/>
      <c r="AO788" s="408"/>
      <c r="AP788" s="408"/>
      <c r="AQ788" s="408"/>
      <c r="AR788" s="408"/>
      <c r="AS788" s="408"/>
      <c r="AT788" s="408"/>
      <c r="AU788" s="408"/>
      <c r="AV788" s="408"/>
      <c r="AW788" s="408"/>
      <c r="AX788" s="250"/>
      <c r="AY788" s="250"/>
      <c r="AZ788" s="250"/>
      <c r="BA788" s="250"/>
      <c r="BB788" s="250"/>
      <c r="BC788" s="250"/>
      <c r="BD788" s="250"/>
      <c r="BE788" s="250"/>
      <c r="BF788" s="250"/>
      <c r="BG788" s="250"/>
      <c r="BH788" s="250"/>
      <c r="BI788" s="250"/>
      <c r="BJ788" s="250"/>
      <c r="BK788" s="250"/>
      <c r="BL788" s="250"/>
      <c r="BM788" s="250"/>
      <c r="BN788" s="250"/>
      <c r="BO788" s="250"/>
      <c r="BP788" s="250"/>
      <c r="BQ788" s="250"/>
      <c r="BR788" s="250"/>
      <c r="BS788" s="250"/>
      <c r="BT788" s="250"/>
      <c r="BU788" s="250"/>
      <c r="BV788" s="250"/>
      <c r="BW788" s="250"/>
      <c r="BX788" s="250"/>
      <c r="BY788" s="250"/>
      <c r="BZ788" s="250"/>
      <c r="CA788" s="250"/>
      <c r="CB788" s="250"/>
      <c r="CC788" s="250"/>
      <c r="CD788" s="250"/>
      <c r="CE788" s="250"/>
      <c r="CF788" s="250"/>
      <c r="CG788" s="250"/>
      <c r="CH788" s="250"/>
      <c r="CI788" s="408"/>
      <c r="CJ788" s="408"/>
      <c r="CK788" s="408"/>
      <c r="CL788" s="408"/>
      <c r="CM788" s="408"/>
      <c r="CN788" s="408"/>
      <c r="CO788" s="408"/>
      <c r="CP788" s="408"/>
      <c r="CQ788" s="408"/>
      <c r="CR788" s="408"/>
      <c r="CS788" s="408"/>
      <c r="CT788" s="250"/>
      <c r="CU788" s="250"/>
      <c r="CV788" s="250"/>
      <c r="CW788" s="250"/>
      <c r="CX788" s="408"/>
      <c r="CY788" s="408"/>
      <c r="CZ788" s="408"/>
      <c r="DA788" s="408"/>
      <c r="DB788" s="408"/>
      <c r="DC788" s="408"/>
      <c r="DD788" s="408"/>
      <c r="DE788" s="250"/>
      <c r="DF788" s="408"/>
      <c r="DG788" s="408"/>
      <c r="DH788" s="408"/>
      <c r="DI788" s="408"/>
      <c r="DJ788" s="408"/>
      <c r="DK788" s="408"/>
      <c r="DL788" s="408"/>
      <c r="DM788" s="250"/>
      <c r="DN788" s="250"/>
      <c r="DO788" s="250"/>
      <c r="DP788" s="250"/>
      <c r="DQ788" s="250"/>
      <c r="DR788" s="250"/>
      <c r="DS788" s="250"/>
      <c r="DT788" s="250"/>
      <c r="DU788" s="250"/>
      <c r="DV788" s="250"/>
      <c r="DW788" s="252"/>
      <c r="DX788" s="252"/>
      <c r="DY788" s="250"/>
      <c r="DZ788" s="250"/>
      <c r="EA788" s="260"/>
      <c r="EB788" s="260"/>
      <c r="EC788" s="260"/>
      <c r="ED788" s="260"/>
      <c r="EG788" s="396"/>
      <c r="EH788" s="396"/>
    </row>
    <row r="789" spans="1:138" s="3" customFormat="1" x14ac:dyDescent="0.25">
      <c r="A789" s="407"/>
      <c r="B789" s="407"/>
      <c r="C789" s="250"/>
      <c r="D789" s="250"/>
      <c r="E789" s="250"/>
      <c r="F789" s="250"/>
      <c r="G789" s="250"/>
      <c r="H789" s="250"/>
      <c r="I789" s="250"/>
      <c r="J789" s="250"/>
      <c r="K789" s="250"/>
      <c r="L789" s="250"/>
      <c r="M789" s="250"/>
      <c r="N789" s="250"/>
      <c r="O789" s="250"/>
      <c r="P789" s="250"/>
      <c r="Q789" s="250"/>
      <c r="R789" s="250"/>
      <c r="S789" s="250"/>
      <c r="T789" s="250"/>
      <c r="U789" s="250"/>
      <c r="V789" s="250"/>
      <c r="W789" s="250"/>
      <c r="X789" s="250"/>
      <c r="Y789" s="250"/>
      <c r="Z789" s="250"/>
      <c r="AA789" s="250"/>
      <c r="AB789" s="250"/>
      <c r="AC789" s="250"/>
      <c r="AD789" s="250"/>
      <c r="AE789" s="250"/>
      <c r="AF789" s="250"/>
      <c r="AG789" s="250"/>
      <c r="AH789" s="250"/>
      <c r="AI789" s="250"/>
      <c r="AJ789" s="250"/>
      <c r="AK789" s="250"/>
      <c r="AL789" s="250"/>
      <c r="AM789" s="408"/>
      <c r="AN789" s="408"/>
      <c r="AO789" s="408"/>
      <c r="AP789" s="408"/>
      <c r="AQ789" s="408"/>
      <c r="AR789" s="408"/>
      <c r="AS789" s="408"/>
      <c r="AT789" s="408"/>
      <c r="AU789" s="408"/>
      <c r="AV789" s="408"/>
      <c r="AW789" s="408"/>
      <c r="AX789" s="250"/>
      <c r="AY789" s="250"/>
      <c r="AZ789" s="250"/>
      <c r="BA789" s="250"/>
      <c r="BB789" s="250"/>
      <c r="BC789" s="250"/>
      <c r="BD789" s="250"/>
      <c r="BE789" s="250"/>
      <c r="BF789" s="250"/>
      <c r="BG789" s="250"/>
      <c r="BH789" s="250"/>
      <c r="BI789" s="250"/>
      <c r="BJ789" s="250"/>
      <c r="BK789" s="250"/>
      <c r="BL789" s="250"/>
      <c r="BM789" s="250"/>
      <c r="BN789" s="250"/>
      <c r="BO789" s="250"/>
      <c r="BP789" s="250"/>
      <c r="BQ789" s="250"/>
      <c r="BR789" s="250"/>
      <c r="BS789" s="250"/>
      <c r="BT789" s="250"/>
      <c r="BU789" s="250"/>
      <c r="BV789" s="250"/>
      <c r="BW789" s="250"/>
      <c r="BX789" s="250"/>
      <c r="BY789" s="250"/>
      <c r="BZ789" s="250"/>
      <c r="CA789" s="250"/>
      <c r="CB789" s="250"/>
      <c r="CC789" s="250"/>
      <c r="CD789" s="250"/>
      <c r="CE789" s="250"/>
      <c r="CF789" s="250"/>
      <c r="CG789" s="250"/>
      <c r="CH789" s="250"/>
      <c r="CI789" s="408"/>
      <c r="CJ789" s="408"/>
      <c r="CK789" s="408"/>
      <c r="CL789" s="408"/>
      <c r="CM789" s="408"/>
      <c r="CN789" s="408"/>
      <c r="CO789" s="408"/>
      <c r="CP789" s="408"/>
      <c r="CQ789" s="408"/>
      <c r="CR789" s="408"/>
      <c r="CS789" s="408"/>
      <c r="CT789" s="250"/>
      <c r="CU789" s="250"/>
      <c r="CV789" s="250"/>
      <c r="CW789" s="250"/>
      <c r="CX789" s="408"/>
      <c r="CY789" s="408"/>
      <c r="CZ789" s="408"/>
      <c r="DA789" s="408"/>
      <c r="DB789" s="408"/>
      <c r="DC789" s="408"/>
      <c r="DD789" s="408"/>
      <c r="DE789" s="250"/>
      <c r="DF789" s="408"/>
      <c r="DG789" s="408"/>
      <c r="DH789" s="408"/>
      <c r="DI789" s="408"/>
      <c r="DJ789" s="408"/>
      <c r="DK789" s="408"/>
      <c r="DL789" s="408"/>
      <c r="DM789" s="250"/>
      <c r="DN789" s="250"/>
      <c r="DO789" s="250"/>
      <c r="DP789" s="250"/>
      <c r="DQ789" s="250"/>
      <c r="DR789" s="250"/>
      <c r="DS789" s="250"/>
      <c r="DT789" s="250"/>
      <c r="DU789" s="250"/>
      <c r="DV789" s="250"/>
      <c r="DW789" s="252"/>
      <c r="DX789" s="252"/>
      <c r="DY789" s="250"/>
      <c r="DZ789" s="250"/>
      <c r="EA789" s="260"/>
      <c r="EB789" s="260"/>
      <c r="EC789" s="260"/>
      <c r="ED789" s="260"/>
      <c r="EG789" s="396"/>
      <c r="EH789" s="396"/>
    </row>
    <row r="790" spans="1:138" s="3" customFormat="1" x14ac:dyDescent="0.25">
      <c r="A790" s="407"/>
      <c r="B790" s="407"/>
      <c r="C790" s="250"/>
      <c r="D790" s="250"/>
      <c r="E790" s="250"/>
      <c r="F790" s="250"/>
      <c r="G790" s="250"/>
      <c r="H790" s="250"/>
      <c r="I790" s="250"/>
      <c r="J790" s="250"/>
      <c r="K790" s="250"/>
      <c r="L790" s="250"/>
      <c r="M790" s="250"/>
      <c r="N790" s="250"/>
      <c r="O790" s="250"/>
      <c r="P790" s="250"/>
      <c r="Q790" s="250"/>
      <c r="R790" s="250"/>
      <c r="S790" s="250"/>
      <c r="T790" s="250"/>
      <c r="U790" s="250"/>
      <c r="V790" s="250"/>
      <c r="W790" s="250"/>
      <c r="X790" s="250"/>
      <c r="Y790" s="250"/>
      <c r="Z790" s="250"/>
      <c r="AA790" s="250"/>
      <c r="AB790" s="250"/>
      <c r="AC790" s="250"/>
      <c r="AD790" s="250"/>
      <c r="AE790" s="250"/>
      <c r="AF790" s="250"/>
      <c r="AG790" s="250"/>
      <c r="AH790" s="250"/>
      <c r="AI790" s="250"/>
      <c r="AJ790" s="250"/>
      <c r="AK790" s="250"/>
      <c r="AL790" s="250"/>
      <c r="AM790" s="408"/>
      <c r="AN790" s="408"/>
      <c r="AO790" s="408"/>
      <c r="AP790" s="408"/>
      <c r="AQ790" s="408"/>
      <c r="AR790" s="408"/>
      <c r="AS790" s="408"/>
      <c r="AT790" s="408"/>
      <c r="AU790" s="408"/>
      <c r="AV790" s="408"/>
      <c r="AW790" s="408"/>
      <c r="AX790" s="250"/>
      <c r="AY790" s="250"/>
      <c r="AZ790" s="250"/>
      <c r="BA790" s="250"/>
      <c r="BB790" s="250"/>
      <c r="BC790" s="250"/>
      <c r="BD790" s="250"/>
      <c r="BE790" s="250"/>
      <c r="BF790" s="250"/>
      <c r="BG790" s="250"/>
      <c r="BH790" s="250"/>
      <c r="BI790" s="250"/>
      <c r="BJ790" s="250"/>
      <c r="BK790" s="250"/>
      <c r="BL790" s="250"/>
      <c r="BM790" s="250"/>
      <c r="BN790" s="250"/>
      <c r="BO790" s="250"/>
      <c r="BP790" s="250"/>
      <c r="BQ790" s="250"/>
      <c r="BR790" s="250"/>
      <c r="BS790" s="250"/>
      <c r="BT790" s="250"/>
      <c r="BU790" s="250"/>
      <c r="BV790" s="250"/>
      <c r="BW790" s="250"/>
      <c r="BX790" s="250"/>
      <c r="BY790" s="250"/>
      <c r="BZ790" s="250"/>
      <c r="CA790" s="250"/>
      <c r="CB790" s="250"/>
      <c r="CC790" s="250"/>
      <c r="CD790" s="250"/>
      <c r="CE790" s="250"/>
      <c r="CF790" s="250"/>
      <c r="CG790" s="250"/>
      <c r="CH790" s="250"/>
      <c r="CI790" s="408"/>
      <c r="CJ790" s="408"/>
      <c r="CK790" s="408"/>
      <c r="CL790" s="408"/>
      <c r="CM790" s="408"/>
      <c r="CN790" s="408"/>
      <c r="CO790" s="408"/>
      <c r="CP790" s="408"/>
      <c r="CQ790" s="408"/>
      <c r="CR790" s="408"/>
      <c r="CS790" s="408"/>
      <c r="CT790" s="250"/>
      <c r="CU790" s="250"/>
      <c r="CV790" s="250"/>
      <c r="CW790" s="250"/>
      <c r="CX790" s="408"/>
      <c r="CY790" s="408"/>
      <c r="CZ790" s="408"/>
      <c r="DA790" s="408"/>
      <c r="DB790" s="408"/>
      <c r="DC790" s="408"/>
      <c r="DD790" s="408"/>
      <c r="DE790" s="250"/>
      <c r="DF790" s="408"/>
      <c r="DG790" s="408"/>
      <c r="DH790" s="408"/>
      <c r="DI790" s="408"/>
      <c r="DJ790" s="408"/>
      <c r="DK790" s="408"/>
      <c r="DL790" s="408"/>
      <c r="DM790" s="250"/>
      <c r="DN790" s="250"/>
      <c r="DO790" s="250"/>
      <c r="DP790" s="250"/>
      <c r="DQ790" s="250"/>
      <c r="DR790" s="250"/>
      <c r="DS790" s="250"/>
      <c r="DT790" s="250"/>
      <c r="DU790" s="250"/>
      <c r="DV790" s="250"/>
      <c r="DW790" s="252"/>
      <c r="DX790" s="252"/>
      <c r="DY790" s="250"/>
      <c r="DZ790" s="250"/>
      <c r="EA790" s="260"/>
      <c r="EB790" s="260"/>
      <c r="EC790" s="260"/>
      <c r="ED790" s="260"/>
      <c r="EG790" s="396"/>
      <c r="EH790" s="396"/>
    </row>
    <row r="791" spans="1:138" s="3" customFormat="1" x14ac:dyDescent="0.25">
      <c r="A791" s="407"/>
      <c r="B791" s="407"/>
      <c r="C791" s="250"/>
      <c r="D791" s="250"/>
      <c r="E791" s="250"/>
      <c r="F791" s="250"/>
      <c r="G791" s="250"/>
      <c r="H791" s="250"/>
      <c r="I791" s="250"/>
      <c r="J791" s="250"/>
      <c r="K791" s="250"/>
      <c r="L791" s="250"/>
      <c r="M791" s="250"/>
      <c r="N791" s="250"/>
      <c r="O791" s="250"/>
      <c r="P791" s="250"/>
      <c r="Q791" s="250"/>
      <c r="R791" s="250"/>
      <c r="S791" s="250"/>
      <c r="T791" s="250"/>
      <c r="U791" s="250"/>
      <c r="V791" s="250"/>
      <c r="W791" s="250"/>
      <c r="X791" s="250"/>
      <c r="Y791" s="250"/>
      <c r="Z791" s="250"/>
      <c r="AA791" s="250"/>
      <c r="AB791" s="250"/>
      <c r="AC791" s="250"/>
      <c r="AD791" s="250"/>
      <c r="AE791" s="250"/>
      <c r="AF791" s="250"/>
      <c r="AG791" s="250"/>
      <c r="AH791" s="250"/>
      <c r="AI791" s="250"/>
      <c r="AJ791" s="250"/>
      <c r="AK791" s="250"/>
      <c r="AL791" s="250"/>
      <c r="AM791" s="408"/>
      <c r="AN791" s="408"/>
      <c r="AO791" s="408"/>
      <c r="AP791" s="408"/>
      <c r="AQ791" s="408"/>
      <c r="AR791" s="408"/>
      <c r="AS791" s="408"/>
      <c r="AT791" s="408"/>
      <c r="AU791" s="408"/>
      <c r="AV791" s="408"/>
      <c r="AW791" s="408"/>
      <c r="AX791" s="250"/>
      <c r="AY791" s="250"/>
      <c r="AZ791" s="250"/>
      <c r="BA791" s="250"/>
      <c r="BB791" s="250"/>
      <c r="BC791" s="250"/>
      <c r="BD791" s="250"/>
      <c r="BE791" s="250"/>
      <c r="BF791" s="250"/>
      <c r="BG791" s="250"/>
      <c r="BH791" s="250"/>
      <c r="BI791" s="250"/>
      <c r="BJ791" s="250"/>
      <c r="BK791" s="250"/>
      <c r="BL791" s="250"/>
      <c r="BM791" s="250"/>
      <c r="BN791" s="250"/>
      <c r="BO791" s="250"/>
      <c r="BP791" s="250"/>
      <c r="BQ791" s="250"/>
      <c r="BR791" s="250"/>
      <c r="BS791" s="250"/>
      <c r="BT791" s="250"/>
      <c r="BU791" s="250"/>
      <c r="BV791" s="250"/>
      <c r="BW791" s="250"/>
      <c r="BX791" s="250"/>
      <c r="BY791" s="250"/>
      <c r="BZ791" s="250"/>
      <c r="CA791" s="250"/>
      <c r="CB791" s="250"/>
      <c r="CC791" s="250"/>
      <c r="CD791" s="250"/>
      <c r="CE791" s="250"/>
      <c r="CF791" s="250"/>
      <c r="CG791" s="250"/>
      <c r="CH791" s="250"/>
      <c r="CI791" s="408"/>
      <c r="CJ791" s="408"/>
      <c r="CK791" s="408"/>
      <c r="CL791" s="408"/>
      <c r="CM791" s="408"/>
      <c r="CN791" s="408"/>
      <c r="CO791" s="408"/>
      <c r="CP791" s="408"/>
      <c r="CQ791" s="408"/>
      <c r="CR791" s="408"/>
      <c r="CS791" s="408"/>
      <c r="CT791" s="250"/>
      <c r="CU791" s="250"/>
      <c r="CV791" s="250"/>
      <c r="CW791" s="250"/>
      <c r="CX791" s="408"/>
      <c r="CY791" s="408"/>
      <c r="CZ791" s="408"/>
      <c r="DA791" s="408"/>
      <c r="DB791" s="408"/>
      <c r="DC791" s="408"/>
      <c r="DD791" s="408"/>
      <c r="DE791" s="250"/>
      <c r="DF791" s="408"/>
      <c r="DG791" s="408"/>
      <c r="DH791" s="408"/>
      <c r="DI791" s="408"/>
      <c r="DJ791" s="408"/>
      <c r="DK791" s="408"/>
      <c r="DL791" s="408"/>
      <c r="DM791" s="250"/>
      <c r="DN791" s="250"/>
      <c r="DO791" s="250"/>
      <c r="DP791" s="250"/>
      <c r="DQ791" s="250"/>
      <c r="DR791" s="250"/>
      <c r="DS791" s="250"/>
      <c r="DT791" s="250"/>
      <c r="DU791" s="250"/>
      <c r="DV791" s="250"/>
      <c r="DW791" s="252"/>
      <c r="DX791" s="252"/>
      <c r="DY791" s="250"/>
      <c r="DZ791" s="250"/>
      <c r="EA791" s="260"/>
      <c r="EB791" s="260"/>
      <c r="EC791" s="260"/>
      <c r="ED791" s="260"/>
      <c r="EG791" s="396"/>
      <c r="EH791" s="396"/>
    </row>
    <row r="792" spans="1:138" s="3" customFormat="1" x14ac:dyDescent="0.25">
      <c r="A792" s="407"/>
      <c r="B792" s="407"/>
      <c r="C792" s="250"/>
      <c r="D792" s="250"/>
      <c r="E792" s="250"/>
      <c r="F792" s="250"/>
      <c r="G792" s="250"/>
      <c r="H792" s="250"/>
      <c r="I792" s="250"/>
      <c r="J792" s="250"/>
      <c r="K792" s="250"/>
      <c r="L792" s="250"/>
      <c r="M792" s="250"/>
      <c r="N792" s="250"/>
      <c r="O792" s="250"/>
      <c r="P792" s="250"/>
      <c r="Q792" s="250"/>
      <c r="R792" s="250"/>
      <c r="S792" s="250"/>
      <c r="T792" s="250"/>
      <c r="U792" s="250"/>
      <c r="V792" s="250"/>
      <c r="W792" s="250"/>
      <c r="X792" s="250"/>
      <c r="Y792" s="250"/>
      <c r="Z792" s="250"/>
      <c r="AA792" s="250"/>
      <c r="AB792" s="250"/>
      <c r="AC792" s="250"/>
      <c r="AD792" s="250"/>
      <c r="AE792" s="250"/>
      <c r="AF792" s="250"/>
      <c r="AG792" s="250"/>
      <c r="AH792" s="250"/>
      <c r="AI792" s="250"/>
      <c r="AJ792" s="250"/>
      <c r="AK792" s="250"/>
      <c r="AL792" s="250"/>
      <c r="AM792" s="408"/>
      <c r="AN792" s="408"/>
      <c r="AO792" s="408"/>
      <c r="AP792" s="408"/>
      <c r="AQ792" s="408"/>
      <c r="AR792" s="408"/>
      <c r="AS792" s="408"/>
      <c r="AT792" s="408"/>
      <c r="AU792" s="408"/>
      <c r="AV792" s="408"/>
      <c r="AW792" s="408"/>
      <c r="AX792" s="250"/>
      <c r="AY792" s="250"/>
      <c r="AZ792" s="250"/>
      <c r="BA792" s="250"/>
      <c r="BB792" s="250"/>
      <c r="BC792" s="250"/>
      <c r="BD792" s="250"/>
      <c r="BE792" s="250"/>
      <c r="BF792" s="250"/>
      <c r="BG792" s="250"/>
      <c r="BH792" s="250"/>
      <c r="BI792" s="250"/>
      <c r="BJ792" s="250"/>
      <c r="BK792" s="250"/>
      <c r="BL792" s="250"/>
      <c r="BM792" s="250"/>
      <c r="BN792" s="250"/>
      <c r="BO792" s="250"/>
      <c r="BP792" s="250"/>
      <c r="BQ792" s="250"/>
      <c r="BR792" s="250"/>
      <c r="BS792" s="250"/>
      <c r="BT792" s="250"/>
      <c r="BU792" s="250"/>
      <c r="BV792" s="250"/>
      <c r="BW792" s="250"/>
      <c r="BX792" s="250"/>
      <c r="BY792" s="250"/>
      <c r="BZ792" s="250"/>
      <c r="CA792" s="250"/>
      <c r="CB792" s="250"/>
      <c r="CC792" s="250"/>
      <c r="CD792" s="250"/>
      <c r="CE792" s="250"/>
      <c r="CF792" s="250"/>
      <c r="CG792" s="250"/>
      <c r="CH792" s="250"/>
      <c r="CI792" s="408"/>
      <c r="CJ792" s="408"/>
      <c r="CK792" s="408"/>
      <c r="CL792" s="408"/>
      <c r="CM792" s="408"/>
      <c r="CN792" s="408"/>
      <c r="CO792" s="408"/>
      <c r="CP792" s="408"/>
      <c r="CQ792" s="408"/>
      <c r="CR792" s="408"/>
      <c r="CS792" s="408"/>
      <c r="CT792" s="250"/>
      <c r="CU792" s="250"/>
      <c r="CV792" s="250"/>
      <c r="CW792" s="250"/>
      <c r="CX792" s="408"/>
      <c r="CY792" s="408"/>
      <c r="CZ792" s="408"/>
      <c r="DA792" s="408"/>
      <c r="DB792" s="408"/>
      <c r="DC792" s="408"/>
      <c r="DD792" s="408"/>
      <c r="DE792" s="250"/>
      <c r="DF792" s="408"/>
      <c r="DG792" s="408"/>
      <c r="DH792" s="408"/>
      <c r="DI792" s="408"/>
      <c r="DJ792" s="408"/>
      <c r="DK792" s="408"/>
      <c r="DL792" s="408"/>
      <c r="DM792" s="250"/>
      <c r="DN792" s="250"/>
      <c r="DO792" s="250"/>
      <c r="DP792" s="250"/>
      <c r="DQ792" s="250"/>
      <c r="DR792" s="250"/>
      <c r="DS792" s="250"/>
      <c r="DT792" s="250"/>
      <c r="DU792" s="250"/>
      <c r="DV792" s="250"/>
      <c r="DW792" s="252"/>
      <c r="DX792" s="252"/>
      <c r="DY792" s="250"/>
      <c r="DZ792" s="250"/>
      <c r="EA792" s="260"/>
      <c r="EB792" s="260"/>
      <c r="EC792" s="260"/>
      <c r="ED792" s="260"/>
      <c r="EG792" s="396"/>
      <c r="EH792" s="396"/>
    </row>
    <row r="793" spans="1:138" s="3" customFormat="1" x14ac:dyDescent="0.25">
      <c r="A793" s="407"/>
      <c r="B793" s="407"/>
      <c r="C793" s="250"/>
      <c r="D793" s="250"/>
      <c r="E793" s="250"/>
      <c r="F793" s="250"/>
      <c r="G793" s="250"/>
      <c r="H793" s="250"/>
      <c r="I793" s="250"/>
      <c r="J793" s="250"/>
      <c r="K793" s="250"/>
      <c r="L793" s="250"/>
      <c r="M793" s="250"/>
      <c r="N793" s="250"/>
      <c r="O793" s="250"/>
      <c r="P793" s="250"/>
      <c r="Q793" s="250"/>
      <c r="R793" s="250"/>
      <c r="S793" s="250"/>
      <c r="T793" s="250"/>
      <c r="U793" s="250"/>
      <c r="V793" s="250"/>
      <c r="W793" s="250"/>
      <c r="X793" s="250"/>
      <c r="Y793" s="250"/>
      <c r="Z793" s="250"/>
      <c r="AA793" s="250"/>
      <c r="AB793" s="250"/>
      <c r="AC793" s="250"/>
      <c r="AD793" s="250"/>
      <c r="AE793" s="250"/>
      <c r="AF793" s="250"/>
      <c r="AG793" s="250"/>
      <c r="AH793" s="250"/>
      <c r="AI793" s="250"/>
      <c r="AJ793" s="250"/>
      <c r="AK793" s="250"/>
      <c r="AL793" s="250"/>
      <c r="AM793" s="408"/>
      <c r="AN793" s="408"/>
      <c r="AO793" s="408"/>
      <c r="AP793" s="408"/>
      <c r="AQ793" s="408"/>
      <c r="AR793" s="408"/>
      <c r="AS793" s="408"/>
      <c r="AT793" s="408"/>
      <c r="AU793" s="408"/>
      <c r="AV793" s="408"/>
      <c r="AW793" s="408"/>
      <c r="AX793" s="250"/>
      <c r="AY793" s="250"/>
      <c r="AZ793" s="250"/>
      <c r="BA793" s="250"/>
      <c r="BB793" s="250"/>
      <c r="BC793" s="250"/>
      <c r="BD793" s="250"/>
      <c r="BE793" s="250"/>
      <c r="BF793" s="250"/>
      <c r="BG793" s="250"/>
      <c r="BH793" s="250"/>
      <c r="BI793" s="250"/>
      <c r="BJ793" s="250"/>
      <c r="BK793" s="250"/>
      <c r="BL793" s="250"/>
      <c r="BM793" s="250"/>
      <c r="BN793" s="250"/>
      <c r="BO793" s="250"/>
      <c r="BP793" s="250"/>
      <c r="BQ793" s="250"/>
      <c r="BR793" s="250"/>
      <c r="BS793" s="250"/>
      <c r="BT793" s="250"/>
      <c r="BU793" s="250"/>
      <c r="BV793" s="250"/>
      <c r="BW793" s="250"/>
      <c r="BX793" s="250"/>
      <c r="BY793" s="250"/>
      <c r="BZ793" s="250"/>
      <c r="CA793" s="250"/>
      <c r="CB793" s="250"/>
      <c r="CC793" s="250"/>
      <c r="CD793" s="250"/>
      <c r="CE793" s="250"/>
      <c r="CF793" s="250"/>
      <c r="CG793" s="250"/>
      <c r="CH793" s="250"/>
      <c r="CI793" s="408"/>
      <c r="CJ793" s="408"/>
      <c r="CK793" s="408"/>
      <c r="CL793" s="408"/>
      <c r="CM793" s="408"/>
      <c r="CN793" s="408"/>
      <c r="CO793" s="408"/>
      <c r="CP793" s="408"/>
      <c r="CQ793" s="408"/>
      <c r="CR793" s="408"/>
      <c r="CS793" s="408"/>
      <c r="CT793" s="250"/>
      <c r="CU793" s="250"/>
      <c r="CV793" s="250"/>
      <c r="CW793" s="250"/>
      <c r="CX793" s="408"/>
      <c r="CY793" s="408"/>
      <c r="CZ793" s="408"/>
      <c r="DA793" s="408"/>
      <c r="DB793" s="408"/>
      <c r="DC793" s="408"/>
      <c r="DD793" s="408"/>
      <c r="DE793" s="250"/>
      <c r="DF793" s="408"/>
      <c r="DG793" s="408"/>
      <c r="DH793" s="408"/>
      <c r="DI793" s="408"/>
      <c r="DJ793" s="408"/>
      <c r="DK793" s="408"/>
      <c r="DL793" s="408"/>
      <c r="DM793" s="250"/>
      <c r="DN793" s="250"/>
      <c r="DO793" s="250"/>
      <c r="DP793" s="250"/>
      <c r="DQ793" s="250"/>
      <c r="DR793" s="250"/>
      <c r="DS793" s="250"/>
      <c r="DT793" s="250"/>
      <c r="DU793" s="250"/>
      <c r="DV793" s="250"/>
      <c r="DW793" s="252"/>
      <c r="DX793" s="252"/>
      <c r="DY793" s="250"/>
      <c r="DZ793" s="250"/>
      <c r="EA793" s="260"/>
      <c r="EB793" s="260"/>
      <c r="EC793" s="260"/>
      <c r="ED793" s="260"/>
      <c r="EG793" s="396"/>
      <c r="EH793" s="396"/>
    </row>
    <row r="794" spans="1:138" s="3" customFormat="1" x14ac:dyDescent="0.25">
      <c r="A794" s="407"/>
      <c r="B794" s="407"/>
      <c r="C794" s="250"/>
      <c r="D794" s="250"/>
      <c r="E794" s="250"/>
      <c r="F794" s="250"/>
      <c r="G794" s="250"/>
      <c r="H794" s="250"/>
      <c r="I794" s="250"/>
      <c r="J794" s="250"/>
      <c r="K794" s="250"/>
      <c r="L794" s="250"/>
      <c r="M794" s="250"/>
      <c r="N794" s="250"/>
      <c r="O794" s="250"/>
      <c r="P794" s="250"/>
      <c r="Q794" s="250"/>
      <c r="R794" s="250"/>
      <c r="S794" s="250"/>
      <c r="T794" s="250"/>
      <c r="U794" s="250"/>
      <c r="V794" s="250"/>
      <c r="W794" s="250"/>
      <c r="X794" s="250"/>
      <c r="Y794" s="250"/>
      <c r="Z794" s="250"/>
      <c r="AA794" s="250"/>
      <c r="AB794" s="250"/>
      <c r="AC794" s="250"/>
      <c r="AD794" s="250"/>
      <c r="AE794" s="250"/>
      <c r="AF794" s="250"/>
      <c r="AG794" s="250"/>
      <c r="AH794" s="250"/>
      <c r="AI794" s="250"/>
      <c r="AJ794" s="250"/>
      <c r="AK794" s="250"/>
      <c r="AL794" s="250"/>
      <c r="AM794" s="408"/>
      <c r="AN794" s="408"/>
      <c r="AO794" s="408"/>
      <c r="AP794" s="408"/>
      <c r="AQ794" s="408"/>
      <c r="AR794" s="408"/>
      <c r="AS794" s="408"/>
      <c r="AT794" s="408"/>
      <c r="AU794" s="408"/>
      <c r="AV794" s="408"/>
      <c r="AW794" s="408"/>
      <c r="AX794" s="250"/>
      <c r="AY794" s="250"/>
      <c r="AZ794" s="250"/>
      <c r="BA794" s="250"/>
      <c r="BB794" s="250"/>
      <c r="BC794" s="250"/>
      <c r="BD794" s="250"/>
      <c r="BE794" s="250"/>
      <c r="BF794" s="250"/>
      <c r="BG794" s="250"/>
      <c r="BH794" s="250"/>
      <c r="BI794" s="250"/>
      <c r="BJ794" s="250"/>
      <c r="BK794" s="250"/>
      <c r="BL794" s="250"/>
      <c r="BM794" s="250"/>
      <c r="BN794" s="250"/>
      <c r="BO794" s="250"/>
      <c r="BP794" s="250"/>
      <c r="BQ794" s="250"/>
      <c r="BR794" s="250"/>
      <c r="BS794" s="250"/>
      <c r="BT794" s="250"/>
      <c r="BU794" s="250"/>
      <c r="BV794" s="250"/>
      <c r="BW794" s="250"/>
      <c r="BX794" s="250"/>
      <c r="BY794" s="250"/>
      <c r="BZ794" s="250"/>
      <c r="CA794" s="250"/>
      <c r="CB794" s="250"/>
      <c r="CC794" s="250"/>
      <c r="CD794" s="250"/>
      <c r="CE794" s="250"/>
      <c r="CF794" s="250"/>
      <c r="CG794" s="250"/>
      <c r="CH794" s="250"/>
      <c r="CI794" s="408"/>
      <c r="CJ794" s="408"/>
      <c r="CK794" s="408"/>
      <c r="CL794" s="408"/>
      <c r="CM794" s="408"/>
      <c r="CN794" s="408"/>
      <c r="CO794" s="408"/>
      <c r="CP794" s="408"/>
      <c r="CQ794" s="408"/>
      <c r="CR794" s="408"/>
      <c r="CS794" s="408"/>
      <c r="CT794" s="250"/>
      <c r="CU794" s="250"/>
      <c r="CV794" s="250"/>
      <c r="CW794" s="250"/>
      <c r="CX794" s="408"/>
      <c r="CY794" s="408"/>
      <c r="CZ794" s="408"/>
      <c r="DA794" s="408"/>
      <c r="DB794" s="408"/>
      <c r="DC794" s="408"/>
      <c r="DD794" s="408"/>
      <c r="DE794" s="250"/>
      <c r="DF794" s="408"/>
      <c r="DG794" s="408"/>
      <c r="DH794" s="408"/>
      <c r="DI794" s="408"/>
      <c r="DJ794" s="408"/>
      <c r="DK794" s="408"/>
      <c r="DL794" s="408"/>
      <c r="DM794" s="250"/>
      <c r="DN794" s="250"/>
      <c r="DO794" s="250"/>
      <c r="DP794" s="250"/>
      <c r="DQ794" s="250"/>
      <c r="DR794" s="250"/>
      <c r="DS794" s="250"/>
      <c r="DT794" s="250"/>
      <c r="DU794" s="250"/>
      <c r="DV794" s="250"/>
      <c r="DW794" s="252"/>
      <c r="DX794" s="252"/>
      <c r="DY794" s="250"/>
      <c r="DZ794" s="250"/>
      <c r="EA794" s="260"/>
      <c r="EB794" s="260"/>
      <c r="EC794" s="260"/>
      <c r="ED794" s="260"/>
      <c r="EG794" s="396"/>
      <c r="EH794" s="396"/>
    </row>
    <row r="795" spans="1:138" s="3" customFormat="1" x14ac:dyDescent="0.25">
      <c r="A795" s="407"/>
      <c r="B795" s="407"/>
      <c r="C795" s="250"/>
      <c r="D795" s="250"/>
      <c r="E795" s="250"/>
      <c r="F795" s="250"/>
      <c r="G795" s="250"/>
      <c r="H795" s="250"/>
      <c r="I795" s="250"/>
      <c r="J795" s="250"/>
      <c r="K795" s="250"/>
      <c r="L795" s="250"/>
      <c r="M795" s="250"/>
      <c r="N795" s="250"/>
      <c r="O795" s="250"/>
      <c r="P795" s="250"/>
      <c r="Q795" s="250"/>
      <c r="R795" s="250"/>
      <c r="S795" s="250"/>
      <c r="T795" s="250"/>
      <c r="U795" s="250"/>
      <c r="V795" s="250"/>
      <c r="W795" s="250"/>
      <c r="X795" s="250"/>
      <c r="Y795" s="250"/>
      <c r="Z795" s="250"/>
      <c r="AA795" s="250"/>
      <c r="AB795" s="250"/>
      <c r="AC795" s="250"/>
      <c r="AD795" s="250"/>
      <c r="AE795" s="250"/>
      <c r="AF795" s="250"/>
      <c r="AG795" s="250"/>
      <c r="AH795" s="250"/>
      <c r="AI795" s="250"/>
      <c r="AJ795" s="250"/>
      <c r="AK795" s="250"/>
      <c r="AL795" s="250"/>
      <c r="AM795" s="408"/>
      <c r="AN795" s="408"/>
      <c r="AO795" s="408"/>
      <c r="AP795" s="408"/>
      <c r="AQ795" s="408"/>
      <c r="AR795" s="408"/>
      <c r="AS795" s="408"/>
      <c r="AT795" s="408"/>
      <c r="AU795" s="408"/>
      <c r="AV795" s="408"/>
      <c r="AW795" s="408"/>
      <c r="AX795" s="250"/>
      <c r="AY795" s="250"/>
      <c r="AZ795" s="250"/>
      <c r="BA795" s="250"/>
      <c r="BB795" s="250"/>
      <c r="BC795" s="250"/>
      <c r="BD795" s="250"/>
      <c r="BE795" s="250"/>
      <c r="BF795" s="250"/>
      <c r="BG795" s="250"/>
      <c r="BH795" s="250"/>
      <c r="BI795" s="250"/>
      <c r="BJ795" s="250"/>
      <c r="BK795" s="250"/>
      <c r="BL795" s="250"/>
      <c r="BM795" s="250"/>
      <c r="BN795" s="250"/>
      <c r="BO795" s="250"/>
      <c r="BP795" s="250"/>
      <c r="BQ795" s="250"/>
      <c r="BR795" s="250"/>
      <c r="BS795" s="250"/>
      <c r="BT795" s="250"/>
      <c r="BU795" s="250"/>
      <c r="BV795" s="250"/>
      <c r="BW795" s="250"/>
      <c r="BX795" s="250"/>
      <c r="BY795" s="250"/>
      <c r="BZ795" s="250"/>
      <c r="CA795" s="250"/>
      <c r="CB795" s="250"/>
      <c r="CC795" s="250"/>
      <c r="CD795" s="250"/>
      <c r="CE795" s="250"/>
      <c r="CF795" s="250"/>
      <c r="CG795" s="250"/>
      <c r="CH795" s="250"/>
      <c r="CI795" s="408"/>
      <c r="CJ795" s="408"/>
      <c r="CK795" s="408"/>
      <c r="CL795" s="408"/>
      <c r="CM795" s="408"/>
      <c r="CN795" s="408"/>
      <c r="CO795" s="408"/>
      <c r="CP795" s="408"/>
      <c r="CQ795" s="408"/>
      <c r="CR795" s="408"/>
      <c r="CS795" s="408"/>
      <c r="CT795" s="250"/>
      <c r="CU795" s="250"/>
      <c r="CV795" s="250"/>
      <c r="CW795" s="250"/>
      <c r="CX795" s="408"/>
      <c r="CY795" s="408"/>
      <c r="CZ795" s="408"/>
      <c r="DA795" s="408"/>
      <c r="DB795" s="408"/>
      <c r="DC795" s="408"/>
      <c r="DD795" s="408"/>
      <c r="DE795" s="250"/>
      <c r="DF795" s="408"/>
      <c r="DG795" s="408"/>
      <c r="DH795" s="408"/>
      <c r="DI795" s="408"/>
      <c r="DJ795" s="408"/>
      <c r="DK795" s="408"/>
      <c r="DL795" s="408"/>
      <c r="DM795" s="250"/>
      <c r="DN795" s="250"/>
      <c r="DO795" s="250"/>
      <c r="DP795" s="250"/>
      <c r="DQ795" s="250"/>
      <c r="DR795" s="250"/>
      <c r="DS795" s="250"/>
      <c r="DT795" s="250"/>
      <c r="DU795" s="250"/>
      <c r="DV795" s="250"/>
      <c r="DW795" s="252"/>
      <c r="DX795" s="252"/>
      <c r="DY795" s="250"/>
      <c r="DZ795" s="250"/>
      <c r="EA795" s="260"/>
      <c r="EB795" s="260"/>
      <c r="EC795" s="260"/>
      <c r="ED795" s="260"/>
      <c r="EG795" s="396"/>
      <c r="EH795" s="396"/>
    </row>
    <row r="796" spans="1:138" s="3" customFormat="1" x14ac:dyDescent="0.25">
      <c r="A796" s="407"/>
      <c r="B796" s="407"/>
      <c r="C796" s="250"/>
      <c r="D796" s="250"/>
      <c r="E796" s="250"/>
      <c r="F796" s="250"/>
      <c r="G796" s="250"/>
      <c r="H796" s="250"/>
      <c r="I796" s="250"/>
      <c r="J796" s="250"/>
      <c r="K796" s="250"/>
      <c r="L796" s="250"/>
      <c r="M796" s="250"/>
      <c r="N796" s="250"/>
      <c r="O796" s="250"/>
      <c r="P796" s="250"/>
      <c r="Q796" s="250"/>
      <c r="R796" s="250"/>
      <c r="S796" s="250"/>
      <c r="T796" s="250"/>
      <c r="U796" s="250"/>
      <c r="V796" s="250"/>
      <c r="W796" s="250"/>
      <c r="X796" s="250"/>
      <c r="Y796" s="250"/>
      <c r="Z796" s="250"/>
      <c r="AA796" s="250"/>
      <c r="AB796" s="250"/>
      <c r="AC796" s="250"/>
      <c r="AD796" s="250"/>
      <c r="AE796" s="250"/>
      <c r="AF796" s="250"/>
      <c r="AG796" s="250"/>
      <c r="AH796" s="250"/>
      <c r="AI796" s="250"/>
      <c r="AJ796" s="250"/>
      <c r="AK796" s="250"/>
      <c r="AL796" s="250"/>
      <c r="AM796" s="408"/>
      <c r="AN796" s="408"/>
      <c r="AO796" s="408"/>
      <c r="AP796" s="408"/>
      <c r="AQ796" s="408"/>
      <c r="AR796" s="408"/>
      <c r="AS796" s="408"/>
      <c r="AT796" s="408"/>
      <c r="AU796" s="408"/>
      <c r="AV796" s="408"/>
      <c r="AW796" s="408"/>
      <c r="AX796" s="250"/>
      <c r="AY796" s="250"/>
      <c r="AZ796" s="250"/>
      <c r="BA796" s="250"/>
      <c r="BB796" s="250"/>
      <c r="BC796" s="250"/>
      <c r="BD796" s="250"/>
      <c r="BE796" s="250"/>
      <c r="BF796" s="250"/>
      <c r="BG796" s="250"/>
      <c r="BH796" s="250"/>
      <c r="BI796" s="250"/>
      <c r="BJ796" s="250"/>
      <c r="BK796" s="250"/>
      <c r="BL796" s="250"/>
      <c r="BM796" s="250"/>
      <c r="BN796" s="250"/>
      <c r="BO796" s="250"/>
      <c r="BP796" s="250"/>
      <c r="BQ796" s="250"/>
      <c r="BR796" s="250"/>
      <c r="BS796" s="250"/>
      <c r="BT796" s="250"/>
      <c r="BU796" s="250"/>
      <c r="BV796" s="250"/>
      <c r="BW796" s="250"/>
      <c r="BX796" s="250"/>
      <c r="BY796" s="250"/>
      <c r="BZ796" s="250"/>
      <c r="CA796" s="250"/>
      <c r="CB796" s="250"/>
      <c r="CC796" s="250"/>
      <c r="CD796" s="250"/>
      <c r="CE796" s="250"/>
      <c r="CF796" s="250"/>
      <c r="CG796" s="250"/>
      <c r="CH796" s="250"/>
      <c r="CI796" s="408"/>
      <c r="CJ796" s="408"/>
      <c r="CK796" s="408"/>
      <c r="CL796" s="408"/>
      <c r="CM796" s="408"/>
      <c r="CN796" s="408"/>
      <c r="CO796" s="408"/>
      <c r="CP796" s="408"/>
      <c r="CQ796" s="408"/>
      <c r="CR796" s="408"/>
      <c r="CS796" s="408"/>
      <c r="CT796" s="250"/>
      <c r="CU796" s="250"/>
      <c r="CV796" s="250"/>
      <c r="CW796" s="250"/>
      <c r="CX796" s="408"/>
      <c r="CY796" s="408"/>
      <c r="CZ796" s="408"/>
      <c r="DA796" s="408"/>
      <c r="DB796" s="408"/>
      <c r="DC796" s="408"/>
      <c r="DD796" s="408"/>
      <c r="DE796" s="250"/>
      <c r="DF796" s="408"/>
      <c r="DG796" s="408"/>
      <c r="DH796" s="408"/>
      <c r="DI796" s="408"/>
      <c r="DJ796" s="408"/>
      <c r="DK796" s="408"/>
      <c r="DL796" s="408"/>
      <c r="DM796" s="250"/>
      <c r="DN796" s="250"/>
      <c r="DO796" s="250"/>
      <c r="DP796" s="250"/>
      <c r="DQ796" s="250"/>
      <c r="DR796" s="250"/>
      <c r="DS796" s="250"/>
      <c r="DT796" s="250"/>
      <c r="DU796" s="250"/>
      <c r="DV796" s="250"/>
      <c r="DW796" s="252"/>
      <c r="DX796" s="252"/>
      <c r="DY796" s="250"/>
      <c r="DZ796" s="250"/>
      <c r="EA796" s="260"/>
      <c r="EB796" s="260"/>
      <c r="EC796" s="260"/>
      <c r="ED796" s="260"/>
      <c r="EG796" s="396"/>
      <c r="EH796" s="396"/>
    </row>
    <row r="797" spans="1:138" s="3" customFormat="1" x14ac:dyDescent="0.25">
      <c r="A797" s="407"/>
      <c r="B797" s="407"/>
      <c r="C797" s="250"/>
      <c r="D797" s="250"/>
      <c r="E797" s="250"/>
      <c r="F797" s="250"/>
      <c r="G797" s="250"/>
      <c r="H797" s="250"/>
      <c r="I797" s="250"/>
      <c r="J797" s="250"/>
      <c r="K797" s="250"/>
      <c r="L797" s="250"/>
      <c r="M797" s="250"/>
      <c r="N797" s="250"/>
      <c r="O797" s="250"/>
      <c r="P797" s="250"/>
      <c r="Q797" s="250"/>
      <c r="R797" s="250"/>
      <c r="S797" s="250"/>
      <c r="T797" s="250"/>
      <c r="U797" s="250"/>
      <c r="V797" s="250"/>
      <c r="W797" s="250"/>
      <c r="X797" s="250"/>
      <c r="Y797" s="250"/>
      <c r="Z797" s="250"/>
      <c r="AA797" s="250"/>
      <c r="AB797" s="250"/>
      <c r="AC797" s="250"/>
      <c r="AD797" s="250"/>
      <c r="AE797" s="250"/>
      <c r="AF797" s="250"/>
      <c r="AG797" s="250"/>
      <c r="AH797" s="250"/>
      <c r="AI797" s="250"/>
      <c r="AJ797" s="250"/>
      <c r="AK797" s="250"/>
      <c r="AL797" s="250"/>
      <c r="AM797" s="408"/>
      <c r="AN797" s="408"/>
      <c r="AO797" s="408"/>
      <c r="AP797" s="408"/>
      <c r="AQ797" s="408"/>
      <c r="AR797" s="408"/>
      <c r="AS797" s="408"/>
      <c r="AT797" s="408"/>
      <c r="AU797" s="408"/>
      <c r="AV797" s="408"/>
      <c r="AW797" s="408"/>
      <c r="AX797" s="250"/>
      <c r="AY797" s="250"/>
      <c r="AZ797" s="250"/>
      <c r="BA797" s="250"/>
      <c r="BB797" s="250"/>
      <c r="BC797" s="250"/>
      <c r="BD797" s="250"/>
      <c r="BE797" s="250"/>
      <c r="BF797" s="250"/>
      <c r="BG797" s="250"/>
      <c r="BH797" s="250"/>
      <c r="BI797" s="250"/>
      <c r="BJ797" s="250"/>
      <c r="BK797" s="250"/>
      <c r="BL797" s="250"/>
      <c r="BM797" s="250"/>
      <c r="BN797" s="250"/>
      <c r="BO797" s="250"/>
      <c r="BP797" s="250"/>
      <c r="BQ797" s="250"/>
      <c r="BR797" s="250"/>
      <c r="BS797" s="250"/>
      <c r="BT797" s="250"/>
      <c r="BU797" s="250"/>
      <c r="BV797" s="250"/>
      <c r="BW797" s="250"/>
      <c r="BX797" s="250"/>
      <c r="BY797" s="250"/>
      <c r="BZ797" s="250"/>
      <c r="CA797" s="250"/>
      <c r="CB797" s="250"/>
      <c r="CC797" s="250"/>
      <c r="CD797" s="250"/>
      <c r="CE797" s="250"/>
      <c r="CF797" s="250"/>
      <c r="CG797" s="250"/>
      <c r="CH797" s="250"/>
      <c r="CI797" s="408"/>
      <c r="CJ797" s="408"/>
      <c r="CK797" s="408"/>
      <c r="CL797" s="408"/>
      <c r="CM797" s="408"/>
      <c r="CN797" s="408"/>
      <c r="CO797" s="408"/>
      <c r="CP797" s="408"/>
      <c r="CQ797" s="408"/>
      <c r="CR797" s="408"/>
      <c r="CS797" s="408"/>
      <c r="CT797" s="250"/>
      <c r="CU797" s="250"/>
      <c r="CV797" s="250"/>
      <c r="CW797" s="250"/>
      <c r="CX797" s="408"/>
      <c r="CY797" s="408"/>
      <c r="CZ797" s="408"/>
      <c r="DA797" s="408"/>
      <c r="DB797" s="408"/>
      <c r="DC797" s="408"/>
      <c r="DD797" s="408"/>
      <c r="DE797" s="250"/>
      <c r="DF797" s="408"/>
      <c r="DG797" s="408"/>
      <c r="DH797" s="408"/>
      <c r="DI797" s="408"/>
      <c r="DJ797" s="408"/>
      <c r="DK797" s="408"/>
      <c r="DL797" s="408"/>
      <c r="DM797" s="250"/>
      <c r="DN797" s="250"/>
      <c r="DO797" s="250"/>
      <c r="DP797" s="250"/>
      <c r="DQ797" s="250"/>
      <c r="DR797" s="250"/>
      <c r="DS797" s="250"/>
      <c r="DT797" s="250"/>
      <c r="DU797" s="250"/>
      <c r="DV797" s="250"/>
      <c r="DW797" s="252"/>
      <c r="DX797" s="252"/>
      <c r="DY797" s="250"/>
      <c r="DZ797" s="250"/>
      <c r="EA797" s="260"/>
      <c r="EB797" s="260"/>
      <c r="EC797" s="260"/>
      <c r="ED797" s="260"/>
      <c r="EG797" s="396"/>
      <c r="EH797" s="396"/>
    </row>
    <row r="798" spans="1:138" s="3" customFormat="1" x14ac:dyDescent="0.25">
      <c r="A798" s="407"/>
      <c r="B798" s="407"/>
      <c r="C798" s="250"/>
      <c r="D798" s="250"/>
      <c r="E798" s="250"/>
      <c r="F798" s="250"/>
      <c r="G798" s="250"/>
      <c r="H798" s="250"/>
      <c r="I798" s="250"/>
      <c r="J798" s="250"/>
      <c r="K798" s="250"/>
      <c r="L798" s="250"/>
      <c r="M798" s="250"/>
      <c r="N798" s="250"/>
      <c r="O798" s="250"/>
      <c r="P798" s="250"/>
      <c r="Q798" s="250"/>
      <c r="R798" s="250"/>
      <c r="S798" s="250"/>
      <c r="T798" s="250"/>
      <c r="U798" s="250"/>
      <c r="V798" s="250"/>
      <c r="W798" s="250"/>
      <c r="X798" s="250"/>
      <c r="Y798" s="250"/>
      <c r="Z798" s="250"/>
      <c r="AA798" s="250"/>
      <c r="AB798" s="250"/>
      <c r="AC798" s="250"/>
      <c r="AD798" s="250"/>
      <c r="AE798" s="250"/>
      <c r="AF798" s="250"/>
      <c r="AG798" s="250"/>
      <c r="AH798" s="250"/>
      <c r="AI798" s="250"/>
      <c r="AJ798" s="250"/>
      <c r="AK798" s="250"/>
      <c r="AL798" s="250"/>
      <c r="AM798" s="408"/>
      <c r="AN798" s="408"/>
      <c r="AO798" s="408"/>
      <c r="AP798" s="408"/>
      <c r="AQ798" s="408"/>
      <c r="AR798" s="408"/>
      <c r="AS798" s="408"/>
      <c r="AT798" s="408"/>
      <c r="AU798" s="408"/>
      <c r="AV798" s="408"/>
      <c r="AW798" s="408"/>
      <c r="AX798" s="250"/>
      <c r="AY798" s="250"/>
      <c r="AZ798" s="250"/>
      <c r="BA798" s="250"/>
      <c r="BB798" s="250"/>
      <c r="BC798" s="250"/>
      <c r="BD798" s="250"/>
      <c r="BE798" s="250"/>
      <c r="BF798" s="250"/>
      <c r="BG798" s="250"/>
      <c r="BH798" s="250"/>
      <c r="BI798" s="250"/>
      <c r="BJ798" s="250"/>
      <c r="BK798" s="250"/>
      <c r="BL798" s="250"/>
      <c r="BM798" s="250"/>
      <c r="BN798" s="250"/>
      <c r="BO798" s="250"/>
      <c r="BP798" s="250"/>
      <c r="BQ798" s="250"/>
      <c r="BR798" s="250"/>
      <c r="BS798" s="250"/>
      <c r="BT798" s="250"/>
      <c r="BU798" s="250"/>
      <c r="BV798" s="250"/>
      <c r="BW798" s="250"/>
      <c r="BX798" s="250"/>
      <c r="BY798" s="250"/>
      <c r="BZ798" s="250"/>
      <c r="CA798" s="250"/>
      <c r="CB798" s="250"/>
      <c r="CC798" s="250"/>
      <c r="CD798" s="250"/>
      <c r="CE798" s="250"/>
      <c r="CF798" s="250"/>
      <c r="CG798" s="250"/>
      <c r="CH798" s="250"/>
      <c r="CI798" s="408"/>
      <c r="CJ798" s="408"/>
      <c r="CK798" s="408"/>
      <c r="CL798" s="408"/>
      <c r="CM798" s="408"/>
      <c r="CN798" s="408"/>
      <c r="CO798" s="408"/>
      <c r="CP798" s="408"/>
      <c r="CQ798" s="408"/>
      <c r="CR798" s="408"/>
      <c r="CS798" s="408"/>
      <c r="CT798" s="250"/>
      <c r="CU798" s="250"/>
      <c r="CV798" s="250"/>
      <c r="CW798" s="250"/>
      <c r="CX798" s="408"/>
      <c r="CY798" s="408"/>
      <c r="CZ798" s="408"/>
      <c r="DA798" s="408"/>
      <c r="DB798" s="408"/>
      <c r="DC798" s="408"/>
      <c r="DD798" s="408"/>
      <c r="DE798" s="250"/>
      <c r="DF798" s="408"/>
      <c r="DG798" s="408"/>
      <c r="DH798" s="408"/>
      <c r="DI798" s="408"/>
      <c r="DJ798" s="408"/>
      <c r="DK798" s="408"/>
      <c r="DL798" s="408"/>
      <c r="DM798" s="250"/>
      <c r="DN798" s="250"/>
      <c r="DO798" s="250"/>
      <c r="DP798" s="250"/>
      <c r="DQ798" s="250"/>
      <c r="DR798" s="250"/>
      <c r="DS798" s="250"/>
      <c r="DT798" s="250"/>
      <c r="DU798" s="250"/>
      <c r="DV798" s="250"/>
      <c r="DW798" s="252"/>
      <c r="DX798" s="252"/>
      <c r="DY798" s="250"/>
      <c r="DZ798" s="250"/>
      <c r="EA798" s="260"/>
      <c r="EB798" s="260"/>
      <c r="EC798" s="260"/>
      <c r="ED798" s="260"/>
      <c r="EG798" s="396"/>
      <c r="EH798" s="396"/>
    </row>
    <row r="799" spans="1:138" s="3" customFormat="1" x14ac:dyDescent="0.25">
      <c r="A799" s="407"/>
      <c r="B799" s="407"/>
      <c r="C799" s="250"/>
      <c r="D799" s="250"/>
      <c r="E799" s="250"/>
      <c r="F799" s="250"/>
      <c r="G799" s="250"/>
      <c r="H799" s="250"/>
      <c r="I799" s="250"/>
      <c r="J799" s="250"/>
      <c r="K799" s="250"/>
      <c r="L799" s="250"/>
      <c r="M799" s="250"/>
      <c r="N799" s="250"/>
      <c r="O799" s="250"/>
      <c r="P799" s="250"/>
      <c r="Q799" s="250"/>
      <c r="R799" s="250"/>
      <c r="S799" s="250"/>
      <c r="T799" s="250"/>
      <c r="U799" s="250"/>
      <c r="V799" s="250"/>
      <c r="W799" s="250"/>
      <c r="X799" s="250"/>
      <c r="Y799" s="250"/>
      <c r="Z799" s="250"/>
      <c r="AA799" s="250"/>
      <c r="AB799" s="250"/>
      <c r="AC799" s="250"/>
      <c r="AD799" s="250"/>
      <c r="AE799" s="250"/>
      <c r="AF799" s="250"/>
      <c r="AG799" s="250"/>
      <c r="AH799" s="250"/>
      <c r="AI799" s="250"/>
      <c r="AJ799" s="250"/>
      <c r="AK799" s="250"/>
      <c r="AL799" s="250"/>
      <c r="AM799" s="408"/>
      <c r="AN799" s="408"/>
      <c r="AO799" s="408"/>
      <c r="AP799" s="408"/>
      <c r="AQ799" s="408"/>
      <c r="AR799" s="408"/>
      <c r="AS799" s="408"/>
      <c r="AT799" s="408"/>
      <c r="AU799" s="408"/>
      <c r="AV799" s="408"/>
      <c r="AW799" s="408"/>
      <c r="AX799" s="250"/>
      <c r="AY799" s="250"/>
      <c r="AZ799" s="250"/>
      <c r="BA799" s="250"/>
      <c r="BB799" s="250"/>
      <c r="BC799" s="250"/>
      <c r="BD799" s="250"/>
      <c r="BE799" s="250"/>
      <c r="BF799" s="250"/>
      <c r="BG799" s="250"/>
      <c r="BH799" s="250"/>
      <c r="BI799" s="250"/>
      <c r="BJ799" s="250"/>
      <c r="BK799" s="250"/>
      <c r="BL799" s="250"/>
      <c r="BM799" s="250"/>
      <c r="BN799" s="250"/>
      <c r="BO799" s="250"/>
      <c r="BP799" s="250"/>
      <c r="BQ799" s="250"/>
      <c r="BR799" s="250"/>
      <c r="BS799" s="250"/>
      <c r="BT799" s="250"/>
      <c r="BU799" s="250"/>
      <c r="BV799" s="250"/>
      <c r="BW799" s="250"/>
      <c r="BX799" s="250"/>
      <c r="BY799" s="250"/>
      <c r="BZ799" s="250"/>
      <c r="CA799" s="250"/>
      <c r="CB799" s="250"/>
      <c r="CC799" s="250"/>
      <c r="CD799" s="250"/>
      <c r="CE799" s="250"/>
      <c r="CF799" s="250"/>
      <c r="CG799" s="250"/>
      <c r="CH799" s="250"/>
      <c r="CI799" s="408"/>
      <c r="CJ799" s="408"/>
      <c r="CK799" s="408"/>
      <c r="CL799" s="408"/>
      <c r="CM799" s="408"/>
      <c r="CN799" s="408"/>
      <c r="CO799" s="408"/>
      <c r="CP799" s="408"/>
      <c r="CQ799" s="408"/>
      <c r="CR799" s="408"/>
      <c r="CS799" s="408"/>
      <c r="CT799" s="250"/>
      <c r="CU799" s="250"/>
      <c r="CV799" s="250"/>
      <c r="CW799" s="250"/>
      <c r="CX799" s="408"/>
      <c r="CY799" s="408"/>
      <c r="CZ799" s="408"/>
      <c r="DA799" s="408"/>
      <c r="DB799" s="408"/>
      <c r="DC799" s="408"/>
      <c r="DD799" s="408"/>
      <c r="DE799" s="250"/>
      <c r="DF799" s="408"/>
      <c r="DG799" s="408"/>
      <c r="DH799" s="408"/>
      <c r="DI799" s="408"/>
      <c r="DJ799" s="408"/>
      <c r="DK799" s="408"/>
      <c r="DL799" s="408"/>
      <c r="DM799" s="250"/>
      <c r="DN799" s="250"/>
      <c r="DO799" s="250"/>
      <c r="DP799" s="250"/>
      <c r="DQ799" s="250"/>
      <c r="DR799" s="250"/>
      <c r="DS799" s="250"/>
      <c r="DT799" s="250"/>
      <c r="DU799" s="250"/>
      <c r="DV799" s="250"/>
      <c r="DW799" s="252"/>
      <c r="DX799" s="252"/>
      <c r="DY799" s="250"/>
      <c r="DZ799" s="250"/>
      <c r="EA799" s="260"/>
      <c r="EB799" s="260"/>
      <c r="EC799" s="260"/>
      <c r="ED799" s="260"/>
      <c r="EG799" s="396"/>
      <c r="EH799" s="396"/>
    </row>
    <row r="800" spans="1:138" s="3" customFormat="1" x14ac:dyDescent="0.25">
      <c r="A800" s="407"/>
      <c r="B800" s="407"/>
      <c r="C800" s="250"/>
      <c r="D800" s="250"/>
      <c r="E800" s="250"/>
      <c r="F800" s="250"/>
      <c r="G800" s="250"/>
      <c r="H800" s="250"/>
      <c r="I800" s="250"/>
      <c r="J800" s="250"/>
      <c r="K800" s="250"/>
      <c r="L800" s="250"/>
      <c r="M800" s="250"/>
      <c r="N800" s="250"/>
      <c r="O800" s="250"/>
      <c r="P800" s="250"/>
      <c r="Q800" s="250"/>
      <c r="R800" s="250"/>
      <c r="S800" s="250"/>
      <c r="T800" s="250"/>
      <c r="U800" s="250"/>
      <c r="V800" s="250"/>
      <c r="W800" s="250"/>
      <c r="X800" s="250"/>
      <c r="Y800" s="250"/>
      <c r="Z800" s="250"/>
      <c r="AA800" s="250"/>
      <c r="AB800" s="250"/>
      <c r="AC800" s="250"/>
      <c r="AD800" s="250"/>
      <c r="AE800" s="250"/>
      <c r="AF800" s="250"/>
      <c r="AG800" s="250"/>
      <c r="AH800" s="250"/>
      <c r="AI800" s="250"/>
      <c r="AJ800" s="250"/>
      <c r="AK800" s="250"/>
      <c r="AL800" s="250"/>
      <c r="AM800" s="408"/>
      <c r="AN800" s="408"/>
      <c r="AO800" s="408"/>
      <c r="AP800" s="408"/>
      <c r="AQ800" s="408"/>
      <c r="AR800" s="408"/>
      <c r="AS800" s="408"/>
      <c r="AT800" s="408"/>
      <c r="AU800" s="408"/>
      <c r="AV800" s="408"/>
      <c r="AW800" s="408"/>
      <c r="AX800" s="250"/>
      <c r="AY800" s="250"/>
      <c r="AZ800" s="250"/>
      <c r="BA800" s="250"/>
      <c r="BB800" s="250"/>
      <c r="BC800" s="250"/>
      <c r="BD800" s="250"/>
      <c r="BE800" s="250"/>
      <c r="BF800" s="250"/>
      <c r="BG800" s="250"/>
      <c r="BH800" s="250"/>
      <c r="BI800" s="250"/>
      <c r="BJ800" s="250"/>
      <c r="BK800" s="250"/>
      <c r="BL800" s="250"/>
      <c r="BM800" s="250"/>
      <c r="BN800" s="250"/>
      <c r="BO800" s="250"/>
      <c r="BP800" s="250"/>
      <c r="BQ800" s="250"/>
      <c r="BR800" s="250"/>
      <c r="BS800" s="250"/>
      <c r="BT800" s="250"/>
      <c r="BU800" s="250"/>
      <c r="BV800" s="250"/>
      <c r="BW800" s="250"/>
      <c r="BX800" s="250"/>
      <c r="BY800" s="250"/>
      <c r="BZ800" s="250"/>
      <c r="CA800" s="250"/>
      <c r="CB800" s="250"/>
      <c r="CC800" s="250"/>
      <c r="CD800" s="250"/>
      <c r="CE800" s="250"/>
      <c r="CF800" s="250"/>
      <c r="CG800" s="250"/>
      <c r="CH800" s="250"/>
      <c r="CI800" s="408"/>
      <c r="CJ800" s="408"/>
      <c r="CK800" s="408"/>
      <c r="CL800" s="408"/>
      <c r="CM800" s="408"/>
      <c r="CN800" s="408"/>
      <c r="CO800" s="408"/>
      <c r="CP800" s="408"/>
      <c r="CQ800" s="408"/>
      <c r="CR800" s="408"/>
      <c r="CS800" s="408"/>
      <c r="CT800" s="250"/>
      <c r="CU800" s="250"/>
      <c r="CV800" s="250"/>
      <c r="CW800" s="250"/>
      <c r="CX800" s="408"/>
      <c r="CY800" s="408"/>
      <c r="CZ800" s="408"/>
      <c r="DA800" s="408"/>
      <c r="DB800" s="408"/>
      <c r="DC800" s="408"/>
      <c r="DD800" s="408"/>
      <c r="DE800" s="250"/>
      <c r="DF800" s="408"/>
      <c r="DG800" s="408"/>
      <c r="DH800" s="408"/>
      <c r="DI800" s="408"/>
      <c r="DJ800" s="408"/>
      <c r="DK800" s="408"/>
      <c r="DL800" s="408"/>
      <c r="DM800" s="250"/>
      <c r="DN800" s="250"/>
      <c r="DO800" s="250"/>
      <c r="DP800" s="250"/>
      <c r="DQ800" s="250"/>
      <c r="DR800" s="250"/>
      <c r="DS800" s="250"/>
      <c r="DT800" s="250"/>
      <c r="DU800" s="250"/>
      <c r="DV800" s="250"/>
      <c r="DW800" s="252"/>
      <c r="DX800" s="252"/>
      <c r="DY800" s="250"/>
      <c r="DZ800" s="250"/>
      <c r="EA800" s="260"/>
      <c r="EB800" s="260"/>
      <c r="EC800" s="260"/>
      <c r="ED800" s="260"/>
      <c r="EG800" s="396"/>
      <c r="EH800" s="396"/>
    </row>
    <row r="801" spans="1:138" s="3" customFormat="1" x14ac:dyDescent="0.25">
      <c r="A801" s="407"/>
      <c r="B801" s="407"/>
      <c r="C801" s="250"/>
      <c r="D801" s="250"/>
      <c r="E801" s="250"/>
      <c r="F801" s="250"/>
      <c r="G801" s="250"/>
      <c r="H801" s="250"/>
      <c r="I801" s="250"/>
      <c r="J801" s="250"/>
      <c r="K801" s="250"/>
      <c r="L801" s="250"/>
      <c r="M801" s="250"/>
      <c r="N801" s="250"/>
      <c r="O801" s="250"/>
      <c r="P801" s="250"/>
      <c r="Q801" s="250"/>
      <c r="R801" s="250"/>
      <c r="S801" s="250"/>
      <c r="T801" s="250"/>
      <c r="U801" s="250"/>
      <c r="V801" s="250"/>
      <c r="W801" s="250"/>
      <c r="X801" s="250"/>
      <c r="Y801" s="250"/>
      <c r="Z801" s="250"/>
      <c r="AA801" s="250"/>
      <c r="AB801" s="250"/>
      <c r="AC801" s="250"/>
      <c r="AD801" s="250"/>
      <c r="AE801" s="250"/>
      <c r="AF801" s="250"/>
      <c r="AG801" s="250"/>
      <c r="AH801" s="250"/>
      <c r="AI801" s="250"/>
      <c r="AJ801" s="250"/>
      <c r="AK801" s="250"/>
      <c r="AL801" s="250"/>
      <c r="AM801" s="408"/>
      <c r="AN801" s="408"/>
      <c r="AO801" s="408"/>
      <c r="AP801" s="408"/>
      <c r="AQ801" s="408"/>
      <c r="AR801" s="408"/>
      <c r="AS801" s="408"/>
      <c r="AT801" s="408"/>
      <c r="AU801" s="408"/>
      <c r="AV801" s="408"/>
      <c r="AW801" s="408"/>
      <c r="AX801" s="250"/>
      <c r="AY801" s="250"/>
      <c r="AZ801" s="250"/>
      <c r="BA801" s="250"/>
      <c r="BB801" s="250"/>
      <c r="BC801" s="250"/>
      <c r="BD801" s="250"/>
      <c r="BE801" s="250"/>
      <c r="BF801" s="250"/>
      <c r="BG801" s="250"/>
      <c r="BH801" s="250"/>
      <c r="BI801" s="250"/>
      <c r="BJ801" s="250"/>
      <c r="BK801" s="250"/>
      <c r="BL801" s="250"/>
      <c r="BM801" s="250"/>
      <c r="BN801" s="250"/>
      <c r="BO801" s="250"/>
      <c r="BP801" s="250"/>
      <c r="BQ801" s="250"/>
      <c r="BR801" s="250"/>
      <c r="BS801" s="250"/>
      <c r="BT801" s="250"/>
      <c r="BU801" s="250"/>
      <c r="BV801" s="250"/>
      <c r="BW801" s="250"/>
      <c r="BX801" s="250"/>
      <c r="BY801" s="250"/>
      <c r="BZ801" s="250"/>
      <c r="CA801" s="250"/>
      <c r="CB801" s="250"/>
      <c r="CC801" s="250"/>
      <c r="CD801" s="250"/>
      <c r="CE801" s="250"/>
      <c r="CF801" s="250"/>
      <c r="CG801" s="250"/>
      <c r="CH801" s="250"/>
      <c r="CI801" s="408"/>
      <c r="CJ801" s="408"/>
      <c r="CK801" s="408"/>
      <c r="CL801" s="408"/>
      <c r="CM801" s="408"/>
      <c r="CN801" s="408"/>
      <c r="CO801" s="408"/>
      <c r="CP801" s="408"/>
      <c r="CQ801" s="408"/>
      <c r="CR801" s="408"/>
      <c r="CS801" s="408"/>
      <c r="CT801" s="250"/>
      <c r="CU801" s="250"/>
      <c r="CV801" s="250"/>
      <c r="CW801" s="250"/>
      <c r="CX801" s="408"/>
      <c r="CY801" s="408"/>
      <c r="CZ801" s="408"/>
      <c r="DA801" s="408"/>
      <c r="DB801" s="408"/>
      <c r="DC801" s="408"/>
      <c r="DD801" s="408"/>
      <c r="DE801" s="250"/>
      <c r="DF801" s="408"/>
      <c r="DG801" s="408"/>
      <c r="DH801" s="408"/>
      <c r="DI801" s="408"/>
      <c r="DJ801" s="408"/>
      <c r="DK801" s="408"/>
      <c r="DL801" s="408"/>
      <c r="DM801" s="250"/>
      <c r="DN801" s="250"/>
      <c r="DO801" s="250"/>
      <c r="DP801" s="250"/>
      <c r="DQ801" s="250"/>
      <c r="DR801" s="250"/>
      <c r="DS801" s="250"/>
      <c r="DT801" s="250"/>
      <c r="DU801" s="250"/>
      <c r="DV801" s="250"/>
      <c r="DW801" s="252"/>
      <c r="DX801" s="252"/>
      <c r="DY801" s="250"/>
      <c r="DZ801" s="250"/>
      <c r="EA801" s="260"/>
      <c r="EB801" s="260"/>
      <c r="EC801" s="260"/>
      <c r="ED801" s="260"/>
      <c r="EG801" s="396"/>
      <c r="EH801" s="396"/>
    </row>
    <row r="802" spans="1:138" s="3" customFormat="1" x14ac:dyDescent="0.25">
      <c r="A802" s="407"/>
      <c r="B802" s="407"/>
      <c r="C802" s="250"/>
      <c r="D802" s="250"/>
      <c r="E802" s="250"/>
      <c r="F802" s="250"/>
      <c r="G802" s="250"/>
      <c r="H802" s="250"/>
      <c r="I802" s="250"/>
      <c r="J802" s="250"/>
      <c r="K802" s="250"/>
      <c r="L802" s="250"/>
      <c r="M802" s="250"/>
      <c r="N802" s="250"/>
      <c r="O802" s="250"/>
      <c r="P802" s="250"/>
      <c r="Q802" s="250"/>
      <c r="R802" s="250"/>
      <c r="S802" s="250"/>
      <c r="T802" s="250"/>
      <c r="U802" s="250"/>
      <c r="V802" s="250"/>
      <c r="W802" s="250"/>
      <c r="X802" s="250"/>
      <c r="Y802" s="250"/>
      <c r="Z802" s="250"/>
      <c r="AA802" s="250"/>
      <c r="AB802" s="250"/>
      <c r="AC802" s="250"/>
      <c r="AD802" s="250"/>
      <c r="AE802" s="250"/>
      <c r="AF802" s="250"/>
      <c r="AG802" s="250"/>
      <c r="AH802" s="250"/>
      <c r="AI802" s="250"/>
      <c r="AJ802" s="250"/>
      <c r="AK802" s="250"/>
      <c r="AL802" s="250"/>
      <c r="AM802" s="408"/>
      <c r="AN802" s="408"/>
      <c r="AO802" s="408"/>
      <c r="AP802" s="408"/>
      <c r="AQ802" s="408"/>
      <c r="AR802" s="408"/>
      <c r="AS802" s="408"/>
      <c r="AT802" s="408"/>
      <c r="AU802" s="408"/>
      <c r="AV802" s="408"/>
      <c r="AW802" s="408"/>
      <c r="AX802" s="250"/>
      <c r="AY802" s="250"/>
      <c r="AZ802" s="250"/>
      <c r="BA802" s="250"/>
      <c r="BB802" s="250"/>
      <c r="BC802" s="250"/>
      <c r="BD802" s="250"/>
      <c r="BE802" s="250"/>
      <c r="BF802" s="250"/>
      <c r="BG802" s="250"/>
      <c r="BH802" s="250"/>
      <c r="BI802" s="250"/>
      <c r="BJ802" s="250"/>
      <c r="BK802" s="250"/>
      <c r="BL802" s="250"/>
      <c r="BM802" s="250"/>
      <c r="BN802" s="250"/>
      <c r="BO802" s="250"/>
      <c r="BP802" s="250"/>
      <c r="BQ802" s="250"/>
      <c r="BR802" s="250"/>
      <c r="BS802" s="250"/>
      <c r="BT802" s="250"/>
      <c r="BU802" s="250"/>
      <c r="BV802" s="250"/>
      <c r="BW802" s="250"/>
      <c r="BX802" s="250"/>
      <c r="BY802" s="250"/>
      <c r="BZ802" s="250"/>
      <c r="CA802" s="250"/>
      <c r="CB802" s="250"/>
      <c r="CC802" s="250"/>
      <c r="CD802" s="250"/>
      <c r="CE802" s="250"/>
      <c r="CF802" s="250"/>
      <c r="CG802" s="250"/>
      <c r="CH802" s="250"/>
      <c r="CI802" s="408"/>
      <c r="CJ802" s="408"/>
      <c r="CK802" s="408"/>
      <c r="CL802" s="408"/>
      <c r="CM802" s="408"/>
      <c r="CN802" s="408"/>
      <c r="CO802" s="408"/>
      <c r="CP802" s="408"/>
      <c r="CQ802" s="408"/>
      <c r="CR802" s="408"/>
      <c r="CS802" s="408"/>
      <c r="CT802" s="250"/>
      <c r="CU802" s="250"/>
      <c r="CV802" s="250"/>
      <c r="CW802" s="250"/>
      <c r="CX802" s="408"/>
      <c r="CY802" s="408"/>
      <c r="CZ802" s="408"/>
      <c r="DA802" s="408"/>
      <c r="DB802" s="408"/>
      <c r="DC802" s="408"/>
      <c r="DD802" s="408"/>
      <c r="DE802" s="250"/>
      <c r="DF802" s="408"/>
      <c r="DG802" s="408"/>
      <c r="DH802" s="408"/>
      <c r="DI802" s="408"/>
      <c r="DJ802" s="408"/>
      <c r="DK802" s="408"/>
      <c r="DL802" s="408"/>
      <c r="DM802" s="250"/>
      <c r="DN802" s="250"/>
      <c r="DO802" s="250"/>
      <c r="DP802" s="250"/>
      <c r="DQ802" s="250"/>
      <c r="DR802" s="250"/>
      <c r="DS802" s="250"/>
      <c r="DT802" s="250"/>
      <c r="DU802" s="250"/>
      <c r="DV802" s="250"/>
      <c r="DW802" s="252"/>
      <c r="DX802" s="252"/>
      <c r="DY802" s="250"/>
      <c r="DZ802" s="250"/>
      <c r="EA802" s="260"/>
      <c r="EB802" s="260"/>
      <c r="EC802" s="260"/>
      <c r="ED802" s="260"/>
      <c r="EG802" s="396"/>
      <c r="EH802" s="396"/>
    </row>
    <row r="803" spans="1:138" s="3" customFormat="1" x14ac:dyDescent="0.25">
      <c r="A803" s="407"/>
      <c r="B803" s="407"/>
      <c r="C803" s="250"/>
      <c r="D803" s="250"/>
      <c r="E803" s="250"/>
      <c r="F803" s="250"/>
      <c r="G803" s="250"/>
      <c r="H803" s="250"/>
      <c r="I803" s="250"/>
      <c r="J803" s="250"/>
      <c r="K803" s="250"/>
      <c r="L803" s="250"/>
      <c r="M803" s="250"/>
      <c r="N803" s="250"/>
      <c r="O803" s="250"/>
      <c r="P803" s="250"/>
      <c r="Q803" s="250"/>
      <c r="R803" s="250"/>
      <c r="S803" s="250"/>
      <c r="T803" s="250"/>
      <c r="U803" s="250"/>
      <c r="V803" s="250"/>
      <c r="W803" s="250"/>
      <c r="X803" s="250"/>
      <c r="Y803" s="250"/>
      <c r="Z803" s="250"/>
      <c r="AA803" s="250"/>
      <c r="AB803" s="250"/>
      <c r="AC803" s="250"/>
      <c r="AD803" s="250"/>
      <c r="AE803" s="250"/>
      <c r="AF803" s="250"/>
      <c r="AG803" s="250"/>
      <c r="AH803" s="250"/>
      <c r="AI803" s="250"/>
      <c r="AJ803" s="250"/>
      <c r="AK803" s="250"/>
      <c r="AL803" s="250"/>
      <c r="AM803" s="408"/>
      <c r="AN803" s="408"/>
      <c r="AO803" s="408"/>
      <c r="AP803" s="408"/>
      <c r="AQ803" s="408"/>
      <c r="AR803" s="408"/>
      <c r="AS803" s="408"/>
      <c r="AT803" s="408"/>
      <c r="AU803" s="408"/>
      <c r="AV803" s="408"/>
      <c r="AW803" s="408"/>
      <c r="AX803" s="250"/>
      <c r="AY803" s="250"/>
      <c r="AZ803" s="250"/>
      <c r="BA803" s="250"/>
      <c r="BB803" s="250"/>
      <c r="BC803" s="250"/>
      <c r="BD803" s="250"/>
      <c r="BE803" s="250"/>
      <c r="BF803" s="250"/>
      <c r="BG803" s="250"/>
      <c r="BH803" s="250"/>
      <c r="BI803" s="250"/>
      <c r="BJ803" s="250"/>
      <c r="BK803" s="250"/>
      <c r="BL803" s="250"/>
      <c r="BM803" s="250"/>
      <c r="BN803" s="250"/>
      <c r="BO803" s="250"/>
      <c r="BP803" s="250"/>
      <c r="BQ803" s="250"/>
      <c r="BR803" s="250"/>
      <c r="BS803" s="250"/>
      <c r="BT803" s="250"/>
      <c r="BU803" s="250"/>
      <c r="BV803" s="250"/>
      <c r="BW803" s="250"/>
      <c r="BX803" s="250"/>
      <c r="BY803" s="250"/>
      <c r="BZ803" s="250"/>
      <c r="CA803" s="250"/>
      <c r="CB803" s="250"/>
      <c r="CC803" s="250"/>
      <c r="CD803" s="250"/>
      <c r="CE803" s="250"/>
      <c r="CF803" s="250"/>
      <c r="CG803" s="250"/>
      <c r="CH803" s="250"/>
      <c r="CI803" s="408"/>
      <c r="CJ803" s="408"/>
      <c r="CK803" s="408"/>
      <c r="CL803" s="408"/>
      <c r="CM803" s="408"/>
      <c r="CN803" s="408"/>
      <c r="CO803" s="408"/>
      <c r="CP803" s="408"/>
      <c r="CQ803" s="408"/>
      <c r="CR803" s="408"/>
      <c r="CS803" s="408"/>
      <c r="CT803" s="250"/>
      <c r="CU803" s="250"/>
      <c r="CV803" s="250"/>
      <c r="CW803" s="250"/>
      <c r="CX803" s="408"/>
      <c r="CY803" s="408"/>
      <c r="CZ803" s="408"/>
      <c r="DA803" s="408"/>
      <c r="DB803" s="408"/>
      <c r="DC803" s="408"/>
      <c r="DD803" s="408"/>
      <c r="DE803" s="250"/>
      <c r="DF803" s="408"/>
      <c r="DG803" s="408"/>
      <c r="DH803" s="408"/>
      <c r="DI803" s="408"/>
      <c r="DJ803" s="408"/>
      <c r="DK803" s="408"/>
      <c r="DL803" s="408"/>
      <c r="DM803" s="250"/>
      <c r="DN803" s="250"/>
      <c r="DO803" s="250"/>
      <c r="DP803" s="250"/>
      <c r="DQ803" s="250"/>
      <c r="DR803" s="250"/>
      <c r="DS803" s="250"/>
      <c r="DT803" s="250"/>
      <c r="DU803" s="250"/>
      <c r="DV803" s="250"/>
      <c r="DW803" s="252"/>
      <c r="DX803" s="252"/>
      <c r="DY803" s="250"/>
      <c r="DZ803" s="250"/>
      <c r="EA803" s="260"/>
      <c r="EB803" s="260"/>
      <c r="EC803" s="260"/>
      <c r="ED803" s="260"/>
      <c r="EG803" s="396"/>
      <c r="EH803" s="396"/>
    </row>
    <row r="804" spans="1:138" s="3" customFormat="1" x14ac:dyDescent="0.25">
      <c r="A804" s="407"/>
      <c r="B804" s="407"/>
      <c r="C804" s="250"/>
      <c r="D804" s="250"/>
      <c r="E804" s="250"/>
      <c r="F804" s="250"/>
      <c r="G804" s="250"/>
      <c r="H804" s="250"/>
      <c r="I804" s="250"/>
      <c r="J804" s="250"/>
      <c r="K804" s="250"/>
      <c r="L804" s="250"/>
      <c r="M804" s="250"/>
      <c r="N804" s="250"/>
      <c r="O804" s="250"/>
      <c r="P804" s="250"/>
      <c r="Q804" s="250"/>
      <c r="R804" s="250"/>
      <c r="S804" s="250"/>
      <c r="T804" s="250"/>
      <c r="U804" s="250"/>
      <c r="V804" s="250"/>
      <c r="W804" s="250"/>
      <c r="X804" s="250"/>
      <c r="Y804" s="250"/>
      <c r="Z804" s="250"/>
      <c r="AA804" s="250"/>
      <c r="AB804" s="250"/>
      <c r="AC804" s="250"/>
      <c r="AD804" s="250"/>
      <c r="AE804" s="250"/>
      <c r="AF804" s="250"/>
      <c r="AG804" s="250"/>
      <c r="AH804" s="250"/>
      <c r="AI804" s="250"/>
      <c r="AJ804" s="250"/>
      <c r="AK804" s="250"/>
      <c r="AL804" s="250"/>
      <c r="AM804" s="408"/>
      <c r="AN804" s="408"/>
      <c r="AO804" s="408"/>
      <c r="AP804" s="408"/>
      <c r="AQ804" s="408"/>
      <c r="AR804" s="408"/>
      <c r="AS804" s="408"/>
      <c r="AT804" s="408"/>
      <c r="AU804" s="408"/>
      <c r="AV804" s="408"/>
      <c r="AW804" s="408"/>
      <c r="AX804" s="250"/>
      <c r="AY804" s="250"/>
      <c r="AZ804" s="250"/>
      <c r="BA804" s="250"/>
      <c r="BB804" s="250"/>
      <c r="BC804" s="250"/>
      <c r="BD804" s="250"/>
      <c r="BE804" s="250"/>
      <c r="BF804" s="250"/>
      <c r="BG804" s="250"/>
      <c r="BH804" s="250"/>
      <c r="BI804" s="250"/>
      <c r="BJ804" s="250"/>
      <c r="BK804" s="250"/>
      <c r="BL804" s="250"/>
      <c r="BM804" s="250"/>
      <c r="BN804" s="250"/>
      <c r="BO804" s="250"/>
      <c r="BP804" s="250"/>
      <c r="BQ804" s="250"/>
      <c r="BR804" s="250"/>
      <c r="BS804" s="250"/>
      <c r="BT804" s="250"/>
      <c r="BU804" s="250"/>
      <c r="BV804" s="250"/>
      <c r="BW804" s="250"/>
      <c r="BX804" s="250"/>
      <c r="BY804" s="250"/>
      <c r="BZ804" s="250"/>
      <c r="CA804" s="250"/>
      <c r="CB804" s="250"/>
      <c r="CC804" s="250"/>
      <c r="CD804" s="250"/>
      <c r="CE804" s="250"/>
      <c r="CF804" s="250"/>
      <c r="CG804" s="250"/>
      <c r="CH804" s="250"/>
      <c r="CI804" s="408"/>
      <c r="CJ804" s="408"/>
      <c r="CK804" s="408"/>
      <c r="CL804" s="408"/>
      <c r="CM804" s="408"/>
      <c r="CN804" s="408"/>
      <c r="CO804" s="408"/>
      <c r="CP804" s="408"/>
      <c r="CQ804" s="408"/>
      <c r="CR804" s="408"/>
      <c r="CS804" s="408"/>
      <c r="CT804" s="250"/>
      <c r="CU804" s="250"/>
      <c r="CV804" s="250"/>
      <c r="CW804" s="250"/>
      <c r="CX804" s="408"/>
      <c r="CY804" s="408"/>
      <c r="CZ804" s="408"/>
      <c r="DA804" s="408"/>
      <c r="DB804" s="408"/>
      <c r="DC804" s="408"/>
      <c r="DD804" s="408"/>
      <c r="DE804" s="250"/>
      <c r="DF804" s="408"/>
      <c r="DG804" s="408"/>
      <c r="DH804" s="408"/>
      <c r="DI804" s="408"/>
      <c r="DJ804" s="408"/>
      <c r="DK804" s="408"/>
      <c r="DL804" s="408"/>
      <c r="DM804" s="250"/>
      <c r="DN804" s="250"/>
      <c r="DO804" s="250"/>
      <c r="DP804" s="250"/>
      <c r="DQ804" s="250"/>
      <c r="DR804" s="250"/>
      <c r="DS804" s="250"/>
      <c r="DT804" s="250"/>
      <c r="DU804" s="250"/>
      <c r="DV804" s="250"/>
      <c r="DW804" s="252"/>
      <c r="DX804" s="252"/>
      <c r="DY804" s="250"/>
      <c r="DZ804" s="250"/>
      <c r="EA804" s="260"/>
      <c r="EB804" s="260"/>
      <c r="EC804" s="260"/>
      <c r="ED804" s="260"/>
      <c r="EG804" s="396"/>
      <c r="EH804" s="396"/>
    </row>
    <row r="805" spans="1:138" s="3" customFormat="1" x14ac:dyDescent="0.25">
      <c r="A805" s="407"/>
      <c r="B805" s="407"/>
      <c r="C805" s="250"/>
      <c r="D805" s="250"/>
      <c r="E805" s="250"/>
      <c r="F805" s="250"/>
      <c r="G805" s="250"/>
      <c r="H805" s="250"/>
      <c r="I805" s="250"/>
      <c r="J805" s="250"/>
      <c r="K805" s="250"/>
      <c r="L805" s="250"/>
      <c r="M805" s="250"/>
      <c r="N805" s="250"/>
      <c r="O805" s="250"/>
      <c r="P805" s="250"/>
      <c r="Q805" s="250"/>
      <c r="R805" s="250"/>
      <c r="S805" s="250"/>
      <c r="T805" s="250"/>
      <c r="U805" s="250"/>
      <c r="V805" s="250"/>
      <c r="W805" s="250"/>
      <c r="X805" s="250"/>
      <c r="Y805" s="250"/>
      <c r="Z805" s="250"/>
      <c r="AA805" s="250"/>
      <c r="AB805" s="250"/>
      <c r="AC805" s="250"/>
      <c r="AD805" s="250"/>
      <c r="AE805" s="250"/>
      <c r="AF805" s="250"/>
      <c r="AG805" s="250"/>
      <c r="AH805" s="250"/>
      <c r="AI805" s="250"/>
      <c r="AJ805" s="250"/>
      <c r="AK805" s="250"/>
      <c r="AL805" s="250"/>
      <c r="AM805" s="408"/>
      <c r="AN805" s="408"/>
      <c r="AO805" s="408"/>
      <c r="AP805" s="408"/>
      <c r="AQ805" s="408"/>
      <c r="AR805" s="408"/>
      <c r="AS805" s="408"/>
      <c r="AT805" s="408"/>
      <c r="AU805" s="408"/>
      <c r="AV805" s="408"/>
      <c r="AW805" s="408"/>
      <c r="AX805" s="250"/>
      <c r="AY805" s="250"/>
      <c r="AZ805" s="250"/>
      <c r="BA805" s="250"/>
      <c r="BB805" s="250"/>
      <c r="BC805" s="250"/>
      <c r="BD805" s="250"/>
      <c r="BE805" s="250"/>
      <c r="BF805" s="250"/>
      <c r="BG805" s="250"/>
      <c r="BH805" s="250"/>
      <c r="BI805" s="250"/>
      <c r="BJ805" s="250"/>
      <c r="BK805" s="250"/>
      <c r="BL805" s="250"/>
      <c r="BM805" s="250"/>
      <c r="BN805" s="250"/>
      <c r="BO805" s="250"/>
      <c r="BP805" s="250"/>
      <c r="BQ805" s="250"/>
      <c r="BR805" s="250"/>
      <c r="BS805" s="250"/>
      <c r="BT805" s="250"/>
      <c r="BU805" s="250"/>
      <c r="BV805" s="250"/>
      <c r="BW805" s="250"/>
      <c r="BX805" s="250"/>
      <c r="BY805" s="250"/>
      <c r="BZ805" s="250"/>
      <c r="CA805" s="250"/>
      <c r="CB805" s="250"/>
      <c r="CC805" s="250"/>
      <c r="CD805" s="250"/>
      <c r="CE805" s="250"/>
      <c r="CF805" s="250"/>
      <c r="CG805" s="250"/>
      <c r="CH805" s="250"/>
      <c r="CI805" s="408"/>
      <c r="CJ805" s="408"/>
      <c r="CK805" s="408"/>
      <c r="CL805" s="408"/>
      <c r="CM805" s="408"/>
      <c r="CN805" s="408"/>
      <c r="CO805" s="408"/>
      <c r="CP805" s="408"/>
      <c r="CQ805" s="408"/>
      <c r="CR805" s="408"/>
      <c r="CS805" s="408"/>
      <c r="CT805" s="250"/>
      <c r="CU805" s="250"/>
      <c r="CV805" s="250"/>
      <c r="CW805" s="250"/>
      <c r="CX805" s="408"/>
      <c r="CY805" s="408"/>
      <c r="CZ805" s="408"/>
      <c r="DA805" s="408"/>
      <c r="DB805" s="408"/>
      <c r="DC805" s="408"/>
      <c r="DD805" s="408"/>
      <c r="DE805" s="250"/>
      <c r="DF805" s="408"/>
      <c r="DG805" s="408"/>
      <c r="DH805" s="408"/>
      <c r="DI805" s="408"/>
      <c r="DJ805" s="408"/>
      <c r="DK805" s="408"/>
      <c r="DL805" s="408"/>
      <c r="DM805" s="250"/>
      <c r="DN805" s="250"/>
      <c r="DO805" s="250"/>
      <c r="DP805" s="250"/>
      <c r="DQ805" s="250"/>
      <c r="DR805" s="250"/>
      <c r="DS805" s="250"/>
      <c r="DT805" s="250"/>
      <c r="DU805" s="250"/>
      <c r="DV805" s="250"/>
      <c r="DW805" s="252"/>
      <c r="DX805" s="252"/>
      <c r="DY805" s="250"/>
      <c r="DZ805" s="250"/>
      <c r="EA805" s="260"/>
      <c r="EB805" s="260"/>
      <c r="EC805" s="260"/>
      <c r="ED805" s="260"/>
      <c r="EG805" s="396"/>
      <c r="EH805" s="396"/>
    </row>
    <row r="806" spans="1:138" s="3" customFormat="1" x14ac:dyDescent="0.25">
      <c r="A806" s="407"/>
      <c r="B806" s="407"/>
      <c r="C806" s="250"/>
      <c r="D806" s="250"/>
      <c r="E806" s="250"/>
      <c r="F806" s="250"/>
      <c r="G806" s="250"/>
      <c r="H806" s="250"/>
      <c r="I806" s="250"/>
      <c r="J806" s="250"/>
      <c r="K806" s="250"/>
      <c r="L806" s="250"/>
      <c r="M806" s="250"/>
      <c r="N806" s="250"/>
      <c r="O806" s="250"/>
      <c r="P806" s="250"/>
      <c r="Q806" s="250"/>
      <c r="R806" s="250"/>
      <c r="S806" s="250"/>
      <c r="T806" s="250"/>
      <c r="U806" s="250"/>
      <c r="V806" s="250"/>
      <c r="W806" s="250"/>
      <c r="X806" s="250"/>
      <c r="Y806" s="250"/>
      <c r="Z806" s="250"/>
      <c r="AA806" s="250"/>
      <c r="AB806" s="250"/>
      <c r="AC806" s="250"/>
      <c r="AD806" s="250"/>
      <c r="AE806" s="250"/>
      <c r="AF806" s="250"/>
      <c r="AG806" s="250"/>
      <c r="AH806" s="250"/>
      <c r="AI806" s="250"/>
      <c r="AJ806" s="250"/>
      <c r="AK806" s="250"/>
      <c r="AL806" s="250"/>
      <c r="AM806" s="408"/>
      <c r="AN806" s="408"/>
      <c r="AO806" s="408"/>
      <c r="AP806" s="408"/>
      <c r="AQ806" s="408"/>
      <c r="AR806" s="408"/>
      <c r="AS806" s="408"/>
      <c r="AT806" s="408"/>
      <c r="AU806" s="408"/>
      <c r="AV806" s="408"/>
      <c r="AW806" s="408"/>
      <c r="AX806" s="250"/>
      <c r="AY806" s="250"/>
      <c r="AZ806" s="250"/>
      <c r="BA806" s="250"/>
      <c r="BB806" s="250"/>
      <c r="BC806" s="250"/>
      <c r="BD806" s="250"/>
      <c r="BE806" s="250"/>
      <c r="BF806" s="250"/>
      <c r="BG806" s="250"/>
      <c r="BH806" s="250"/>
      <c r="BI806" s="250"/>
      <c r="BJ806" s="250"/>
      <c r="BK806" s="250"/>
      <c r="BL806" s="250"/>
      <c r="BM806" s="250"/>
      <c r="BN806" s="250"/>
      <c r="BO806" s="250"/>
      <c r="BP806" s="250"/>
      <c r="BQ806" s="250"/>
      <c r="BR806" s="250"/>
      <c r="BS806" s="250"/>
      <c r="BT806" s="250"/>
      <c r="BU806" s="250"/>
      <c r="BV806" s="250"/>
      <c r="BW806" s="250"/>
      <c r="BX806" s="250"/>
      <c r="BY806" s="250"/>
      <c r="BZ806" s="250"/>
      <c r="CA806" s="250"/>
      <c r="CB806" s="250"/>
      <c r="CC806" s="250"/>
      <c r="CD806" s="250"/>
      <c r="CE806" s="250"/>
      <c r="CF806" s="250"/>
      <c r="CG806" s="250"/>
      <c r="CH806" s="250"/>
      <c r="CI806" s="408"/>
      <c r="CJ806" s="408"/>
      <c r="CK806" s="408"/>
      <c r="CL806" s="408"/>
      <c r="CM806" s="408"/>
      <c r="CN806" s="408"/>
      <c r="CO806" s="408"/>
      <c r="CP806" s="408"/>
      <c r="CQ806" s="408"/>
      <c r="CR806" s="408"/>
      <c r="CS806" s="408"/>
      <c r="CT806" s="250"/>
      <c r="CU806" s="250"/>
      <c r="CV806" s="250"/>
      <c r="CW806" s="250"/>
      <c r="CX806" s="408"/>
      <c r="CY806" s="408"/>
      <c r="CZ806" s="408"/>
      <c r="DA806" s="408"/>
      <c r="DB806" s="408"/>
      <c r="DC806" s="408"/>
      <c r="DD806" s="408"/>
      <c r="DE806" s="250"/>
      <c r="DF806" s="408"/>
      <c r="DG806" s="408"/>
      <c r="DH806" s="408"/>
      <c r="DI806" s="408"/>
      <c r="DJ806" s="408"/>
      <c r="DK806" s="408"/>
      <c r="DL806" s="408"/>
      <c r="DM806" s="250"/>
      <c r="DN806" s="250"/>
      <c r="DO806" s="250"/>
      <c r="DP806" s="250"/>
      <c r="DQ806" s="250"/>
      <c r="DR806" s="250"/>
      <c r="DS806" s="250"/>
      <c r="DT806" s="250"/>
      <c r="DU806" s="250"/>
      <c r="DV806" s="250"/>
      <c r="DW806" s="252"/>
      <c r="DX806" s="252"/>
      <c r="DY806" s="250"/>
      <c r="DZ806" s="250"/>
      <c r="EA806" s="260"/>
      <c r="EB806" s="260"/>
      <c r="EC806" s="260"/>
      <c r="ED806" s="260"/>
      <c r="EG806" s="396"/>
      <c r="EH806" s="396"/>
    </row>
    <row r="807" spans="1:138" s="3" customFormat="1" x14ac:dyDescent="0.25">
      <c r="A807" s="407"/>
      <c r="B807" s="407"/>
      <c r="C807" s="250"/>
      <c r="D807" s="250"/>
      <c r="E807" s="250"/>
      <c r="F807" s="250"/>
      <c r="G807" s="250"/>
      <c r="H807" s="250"/>
      <c r="I807" s="250"/>
      <c r="J807" s="250"/>
      <c r="K807" s="250"/>
      <c r="L807" s="250"/>
      <c r="M807" s="250"/>
      <c r="N807" s="250"/>
      <c r="O807" s="250"/>
      <c r="P807" s="250"/>
      <c r="Q807" s="250"/>
      <c r="R807" s="250"/>
      <c r="S807" s="250"/>
      <c r="T807" s="250"/>
      <c r="U807" s="250"/>
      <c r="V807" s="250"/>
      <c r="W807" s="250"/>
      <c r="X807" s="250"/>
      <c r="Y807" s="250"/>
      <c r="Z807" s="250"/>
      <c r="AA807" s="250"/>
      <c r="AB807" s="250"/>
      <c r="AC807" s="250"/>
      <c r="AD807" s="250"/>
      <c r="AE807" s="250"/>
      <c r="AF807" s="250"/>
      <c r="AG807" s="250"/>
      <c r="AH807" s="250"/>
      <c r="AI807" s="250"/>
      <c r="AJ807" s="250"/>
      <c r="AK807" s="250"/>
      <c r="AL807" s="250"/>
      <c r="AM807" s="408"/>
      <c r="AN807" s="408"/>
      <c r="AO807" s="408"/>
      <c r="AP807" s="408"/>
      <c r="AQ807" s="408"/>
      <c r="AR807" s="408"/>
      <c r="AS807" s="408"/>
      <c r="AT807" s="408"/>
      <c r="AU807" s="408"/>
      <c r="AV807" s="408"/>
      <c r="AW807" s="408"/>
      <c r="AX807" s="250"/>
      <c r="AY807" s="250"/>
      <c r="AZ807" s="250"/>
      <c r="BA807" s="250"/>
      <c r="BB807" s="250"/>
      <c r="BC807" s="250"/>
      <c r="BD807" s="250"/>
      <c r="BE807" s="250"/>
      <c r="BF807" s="250"/>
      <c r="BG807" s="250"/>
      <c r="BH807" s="250"/>
      <c r="BI807" s="250"/>
      <c r="BJ807" s="250"/>
      <c r="BK807" s="250"/>
      <c r="BL807" s="250"/>
      <c r="BM807" s="250"/>
      <c r="BN807" s="250"/>
      <c r="BO807" s="250"/>
      <c r="BP807" s="250"/>
      <c r="BQ807" s="250"/>
      <c r="BR807" s="250"/>
      <c r="BS807" s="250"/>
      <c r="BT807" s="250"/>
      <c r="BU807" s="250"/>
      <c r="BV807" s="250"/>
      <c r="BW807" s="250"/>
      <c r="BX807" s="250"/>
      <c r="BY807" s="250"/>
      <c r="BZ807" s="250"/>
      <c r="CA807" s="250"/>
      <c r="CB807" s="250"/>
      <c r="CC807" s="250"/>
      <c r="CD807" s="250"/>
      <c r="CE807" s="250"/>
      <c r="CF807" s="250"/>
      <c r="CG807" s="250"/>
      <c r="CH807" s="250"/>
      <c r="CI807" s="408"/>
      <c r="CJ807" s="408"/>
      <c r="CK807" s="408"/>
      <c r="CL807" s="408"/>
      <c r="CM807" s="408"/>
      <c r="CN807" s="408"/>
      <c r="CO807" s="408"/>
      <c r="CP807" s="408"/>
      <c r="CQ807" s="408"/>
      <c r="CR807" s="408"/>
      <c r="CS807" s="408"/>
      <c r="CT807" s="250"/>
      <c r="CU807" s="250"/>
      <c r="CV807" s="250"/>
      <c r="CW807" s="250"/>
      <c r="CX807" s="408"/>
      <c r="CY807" s="408"/>
      <c r="CZ807" s="408"/>
      <c r="DA807" s="408"/>
      <c r="DB807" s="408"/>
      <c r="DC807" s="408"/>
      <c r="DD807" s="408"/>
      <c r="DE807" s="250"/>
      <c r="DF807" s="408"/>
      <c r="DG807" s="408"/>
      <c r="DH807" s="408"/>
      <c r="DI807" s="408"/>
      <c r="DJ807" s="408"/>
      <c r="DK807" s="408"/>
      <c r="DL807" s="408"/>
      <c r="DM807" s="250"/>
      <c r="DN807" s="250"/>
      <c r="DO807" s="250"/>
      <c r="DP807" s="250"/>
      <c r="DQ807" s="250"/>
      <c r="DR807" s="250"/>
      <c r="DS807" s="250"/>
      <c r="DT807" s="250"/>
      <c r="DU807" s="250"/>
      <c r="DV807" s="250"/>
      <c r="DW807" s="252"/>
      <c r="DX807" s="252"/>
      <c r="DY807" s="250"/>
      <c r="DZ807" s="250"/>
      <c r="EA807" s="260"/>
      <c r="EB807" s="260"/>
      <c r="EC807" s="260"/>
      <c r="ED807" s="260"/>
      <c r="EG807" s="396"/>
      <c r="EH807" s="396"/>
    </row>
    <row r="808" spans="1:138" s="3" customFormat="1" x14ac:dyDescent="0.25">
      <c r="A808" s="407"/>
      <c r="B808" s="407"/>
      <c r="C808" s="250"/>
      <c r="D808" s="250"/>
      <c r="E808" s="250"/>
      <c r="F808" s="250"/>
      <c r="G808" s="250"/>
      <c r="H808" s="250"/>
      <c r="I808" s="250"/>
      <c r="J808" s="250"/>
      <c r="K808" s="250"/>
      <c r="L808" s="250"/>
      <c r="M808" s="250"/>
      <c r="N808" s="250"/>
      <c r="O808" s="250"/>
      <c r="P808" s="250"/>
      <c r="Q808" s="250"/>
      <c r="R808" s="250"/>
      <c r="S808" s="250"/>
      <c r="T808" s="250"/>
      <c r="U808" s="250"/>
      <c r="V808" s="250"/>
      <c r="W808" s="250"/>
      <c r="X808" s="250"/>
      <c r="Y808" s="250"/>
      <c r="Z808" s="250"/>
      <c r="AA808" s="250"/>
      <c r="AB808" s="250"/>
      <c r="AC808" s="250"/>
      <c r="AD808" s="250"/>
      <c r="AE808" s="250"/>
      <c r="AF808" s="250"/>
      <c r="AG808" s="250"/>
      <c r="AH808" s="250"/>
      <c r="AI808" s="250"/>
      <c r="AJ808" s="250"/>
      <c r="AK808" s="250"/>
      <c r="AL808" s="250"/>
      <c r="AM808" s="408"/>
      <c r="AN808" s="408"/>
      <c r="AO808" s="408"/>
      <c r="AP808" s="408"/>
      <c r="AQ808" s="408"/>
      <c r="AR808" s="408"/>
      <c r="AS808" s="408"/>
      <c r="AT808" s="408"/>
      <c r="AU808" s="408"/>
      <c r="AV808" s="408"/>
      <c r="AW808" s="408"/>
      <c r="AX808" s="250"/>
      <c r="AY808" s="250"/>
      <c r="AZ808" s="250"/>
      <c r="BA808" s="250"/>
      <c r="BB808" s="250"/>
      <c r="BC808" s="250"/>
      <c r="BD808" s="250"/>
      <c r="BE808" s="250"/>
      <c r="BF808" s="250"/>
      <c r="BG808" s="250"/>
      <c r="BH808" s="250"/>
      <c r="BI808" s="250"/>
      <c r="BJ808" s="250"/>
      <c r="BK808" s="250"/>
      <c r="BL808" s="250"/>
      <c r="BM808" s="250"/>
      <c r="BN808" s="250"/>
      <c r="BO808" s="250"/>
      <c r="BP808" s="250"/>
      <c r="BQ808" s="250"/>
      <c r="BR808" s="250"/>
      <c r="BS808" s="250"/>
      <c r="BT808" s="250"/>
      <c r="BU808" s="250"/>
      <c r="BV808" s="250"/>
      <c r="BW808" s="250"/>
      <c r="BX808" s="250"/>
      <c r="BY808" s="250"/>
      <c r="BZ808" s="250"/>
      <c r="CA808" s="250"/>
      <c r="CB808" s="250"/>
      <c r="CC808" s="250"/>
      <c r="CD808" s="250"/>
      <c r="CE808" s="250"/>
      <c r="CF808" s="250"/>
      <c r="CG808" s="250"/>
      <c r="CH808" s="250"/>
      <c r="CI808" s="408"/>
      <c r="CJ808" s="408"/>
      <c r="CK808" s="408"/>
      <c r="CL808" s="408"/>
      <c r="CM808" s="408"/>
      <c r="CN808" s="408"/>
      <c r="CO808" s="408"/>
      <c r="CP808" s="408"/>
      <c r="CQ808" s="408"/>
      <c r="CR808" s="408"/>
      <c r="CS808" s="408"/>
      <c r="CT808" s="250"/>
      <c r="CU808" s="250"/>
      <c r="CV808" s="250"/>
      <c r="CW808" s="250"/>
      <c r="CX808" s="408"/>
      <c r="CY808" s="408"/>
      <c r="CZ808" s="408"/>
      <c r="DA808" s="408"/>
      <c r="DB808" s="408"/>
      <c r="DC808" s="408"/>
      <c r="DD808" s="408"/>
      <c r="DE808" s="250"/>
      <c r="DF808" s="408"/>
      <c r="DG808" s="408"/>
      <c r="DH808" s="408"/>
      <c r="DI808" s="408"/>
      <c r="DJ808" s="408"/>
      <c r="DK808" s="408"/>
      <c r="DL808" s="408"/>
      <c r="DM808" s="250"/>
      <c r="DN808" s="250"/>
      <c r="DO808" s="250"/>
      <c r="DP808" s="250"/>
      <c r="DQ808" s="250"/>
      <c r="DR808" s="250"/>
      <c r="DS808" s="250"/>
      <c r="DT808" s="250"/>
      <c r="DU808" s="250"/>
      <c r="DV808" s="250"/>
      <c r="DW808" s="252"/>
      <c r="DX808" s="252"/>
      <c r="DY808" s="250"/>
      <c r="DZ808" s="250"/>
      <c r="EA808" s="260"/>
      <c r="EB808" s="260"/>
      <c r="EC808" s="260"/>
      <c r="ED808" s="260"/>
      <c r="EG808" s="396"/>
      <c r="EH808" s="396"/>
    </row>
    <row r="809" spans="1:138" s="3" customFormat="1" x14ac:dyDescent="0.25">
      <c r="A809" s="407"/>
      <c r="B809" s="407"/>
      <c r="C809" s="250"/>
      <c r="D809" s="250"/>
      <c r="E809" s="250"/>
      <c r="F809" s="250"/>
      <c r="G809" s="250"/>
      <c r="H809" s="250"/>
      <c r="I809" s="250"/>
      <c r="J809" s="250"/>
      <c r="K809" s="250"/>
      <c r="L809" s="250"/>
      <c r="M809" s="250"/>
      <c r="N809" s="250"/>
      <c r="O809" s="250"/>
      <c r="P809" s="250"/>
      <c r="Q809" s="250"/>
      <c r="R809" s="250"/>
      <c r="S809" s="250"/>
      <c r="T809" s="250"/>
      <c r="U809" s="250"/>
      <c r="V809" s="250"/>
      <c r="W809" s="250"/>
      <c r="X809" s="250"/>
      <c r="Y809" s="250"/>
      <c r="Z809" s="250"/>
      <c r="AA809" s="250"/>
      <c r="AB809" s="250"/>
      <c r="AC809" s="250"/>
      <c r="AD809" s="250"/>
      <c r="AE809" s="250"/>
      <c r="AF809" s="250"/>
      <c r="AG809" s="250"/>
      <c r="AH809" s="250"/>
      <c r="AI809" s="250"/>
      <c r="AJ809" s="250"/>
      <c r="AK809" s="250"/>
      <c r="AL809" s="250"/>
      <c r="AM809" s="408"/>
      <c r="AN809" s="408"/>
      <c r="AO809" s="408"/>
      <c r="AP809" s="408"/>
      <c r="AQ809" s="408"/>
      <c r="AR809" s="408"/>
      <c r="AS809" s="408"/>
      <c r="AT809" s="408"/>
      <c r="AU809" s="408"/>
      <c r="AV809" s="408"/>
      <c r="AW809" s="408"/>
      <c r="AX809" s="250"/>
      <c r="AY809" s="250"/>
      <c r="AZ809" s="250"/>
      <c r="BA809" s="250"/>
      <c r="BB809" s="250"/>
      <c r="BC809" s="250"/>
      <c r="BD809" s="250"/>
      <c r="BE809" s="250"/>
      <c r="BF809" s="250"/>
      <c r="BG809" s="250"/>
      <c r="BH809" s="250"/>
      <c r="BI809" s="250"/>
      <c r="BJ809" s="250"/>
      <c r="BK809" s="250"/>
      <c r="BL809" s="250"/>
      <c r="BM809" s="250"/>
      <c r="BN809" s="250"/>
      <c r="BO809" s="250"/>
      <c r="BP809" s="250"/>
      <c r="BQ809" s="250"/>
      <c r="BR809" s="250"/>
      <c r="BS809" s="250"/>
      <c r="BT809" s="250"/>
      <c r="BU809" s="250"/>
      <c r="BV809" s="250"/>
      <c r="BW809" s="250"/>
      <c r="BX809" s="250"/>
      <c r="BY809" s="250"/>
      <c r="BZ809" s="250"/>
      <c r="CA809" s="250"/>
      <c r="CB809" s="250"/>
      <c r="CC809" s="250"/>
      <c r="CD809" s="250"/>
      <c r="CE809" s="250"/>
      <c r="CF809" s="250"/>
      <c r="CG809" s="250"/>
      <c r="CH809" s="250"/>
      <c r="CI809" s="408"/>
      <c r="CJ809" s="408"/>
      <c r="CK809" s="408"/>
      <c r="CL809" s="408"/>
      <c r="CM809" s="408"/>
      <c r="CN809" s="408"/>
      <c r="CO809" s="408"/>
      <c r="CP809" s="408"/>
      <c r="CQ809" s="408"/>
      <c r="CR809" s="408"/>
      <c r="CS809" s="408"/>
      <c r="CT809" s="250"/>
      <c r="CU809" s="250"/>
      <c r="CV809" s="250"/>
      <c r="CW809" s="250"/>
      <c r="CX809" s="408"/>
      <c r="CY809" s="408"/>
      <c r="CZ809" s="408"/>
      <c r="DA809" s="408"/>
      <c r="DB809" s="408"/>
      <c r="DC809" s="408"/>
      <c r="DD809" s="408"/>
      <c r="DE809" s="250"/>
      <c r="DF809" s="408"/>
      <c r="DG809" s="408"/>
      <c r="DH809" s="408"/>
      <c r="DI809" s="408"/>
      <c r="DJ809" s="408"/>
      <c r="DK809" s="408"/>
      <c r="DL809" s="408"/>
      <c r="DM809" s="250"/>
      <c r="DN809" s="250"/>
      <c r="DO809" s="250"/>
      <c r="DP809" s="250"/>
      <c r="DQ809" s="250"/>
      <c r="DR809" s="250"/>
      <c r="DS809" s="250"/>
      <c r="DT809" s="250"/>
      <c r="DU809" s="250"/>
      <c r="DV809" s="250"/>
      <c r="DW809" s="252"/>
      <c r="DX809" s="252"/>
      <c r="DY809" s="250"/>
      <c r="DZ809" s="250"/>
      <c r="EA809" s="260"/>
      <c r="EB809" s="260"/>
      <c r="EC809" s="260"/>
      <c r="ED809" s="260"/>
      <c r="EG809" s="396"/>
      <c r="EH809" s="396"/>
    </row>
    <row r="810" spans="1:138" s="3" customFormat="1" x14ac:dyDescent="0.25">
      <c r="A810" s="407"/>
      <c r="B810" s="407"/>
      <c r="C810" s="250"/>
      <c r="D810" s="250"/>
      <c r="E810" s="250"/>
      <c r="F810" s="250"/>
      <c r="G810" s="250"/>
      <c r="H810" s="250"/>
      <c r="I810" s="250"/>
      <c r="J810" s="250"/>
      <c r="K810" s="250"/>
      <c r="L810" s="250"/>
      <c r="M810" s="250"/>
      <c r="N810" s="250"/>
      <c r="O810" s="250"/>
      <c r="P810" s="250"/>
      <c r="Q810" s="250"/>
      <c r="R810" s="250"/>
      <c r="S810" s="250"/>
      <c r="T810" s="250"/>
      <c r="U810" s="250"/>
      <c r="V810" s="250"/>
      <c r="W810" s="250"/>
      <c r="X810" s="250"/>
      <c r="Y810" s="250"/>
      <c r="Z810" s="250"/>
      <c r="AA810" s="250"/>
      <c r="AB810" s="250"/>
      <c r="AC810" s="250"/>
      <c r="AD810" s="250"/>
      <c r="AE810" s="250"/>
      <c r="AF810" s="250"/>
      <c r="AG810" s="250"/>
      <c r="AH810" s="250"/>
      <c r="AI810" s="250"/>
      <c r="AJ810" s="250"/>
      <c r="AK810" s="250"/>
      <c r="AL810" s="250"/>
      <c r="AM810" s="408"/>
      <c r="AN810" s="408"/>
      <c r="AO810" s="408"/>
      <c r="AP810" s="408"/>
      <c r="AQ810" s="408"/>
      <c r="AR810" s="408"/>
      <c r="AS810" s="408"/>
      <c r="AT810" s="408"/>
      <c r="AU810" s="408"/>
      <c r="AV810" s="408"/>
      <c r="AW810" s="408"/>
      <c r="AX810" s="250"/>
      <c r="AY810" s="250"/>
      <c r="AZ810" s="250"/>
      <c r="BA810" s="250"/>
      <c r="BB810" s="250"/>
      <c r="BC810" s="250"/>
      <c r="BD810" s="250"/>
      <c r="BE810" s="250"/>
      <c r="BF810" s="250"/>
      <c r="BG810" s="250"/>
      <c r="BH810" s="250"/>
      <c r="BI810" s="250"/>
      <c r="BJ810" s="250"/>
      <c r="BK810" s="250"/>
      <c r="BL810" s="250"/>
      <c r="BM810" s="250"/>
      <c r="BN810" s="250"/>
      <c r="BO810" s="250"/>
      <c r="BP810" s="250"/>
      <c r="BQ810" s="250"/>
      <c r="BR810" s="250"/>
      <c r="BS810" s="250"/>
      <c r="BT810" s="250"/>
      <c r="BU810" s="250"/>
      <c r="BV810" s="250"/>
      <c r="BW810" s="250"/>
      <c r="BX810" s="250"/>
      <c r="BY810" s="250"/>
      <c r="BZ810" s="250"/>
      <c r="CA810" s="250"/>
      <c r="CB810" s="250"/>
      <c r="CC810" s="250"/>
      <c r="CD810" s="250"/>
      <c r="CE810" s="250"/>
      <c r="CF810" s="250"/>
      <c r="CG810" s="250"/>
      <c r="CH810" s="250"/>
      <c r="CI810" s="408"/>
      <c r="CJ810" s="408"/>
      <c r="CK810" s="408"/>
      <c r="CL810" s="408"/>
      <c r="CM810" s="408"/>
      <c r="CN810" s="408"/>
      <c r="CO810" s="408"/>
      <c r="CP810" s="408"/>
      <c r="CQ810" s="408"/>
      <c r="CR810" s="408"/>
      <c r="CS810" s="408"/>
      <c r="CT810" s="250"/>
      <c r="CU810" s="250"/>
      <c r="CV810" s="250"/>
      <c r="CW810" s="250"/>
      <c r="CX810" s="408"/>
      <c r="CY810" s="408"/>
      <c r="CZ810" s="408"/>
      <c r="DA810" s="408"/>
      <c r="DB810" s="408"/>
      <c r="DC810" s="408"/>
      <c r="DD810" s="408"/>
      <c r="DE810" s="250"/>
      <c r="DF810" s="408"/>
      <c r="DG810" s="408"/>
      <c r="DH810" s="408"/>
      <c r="DI810" s="408"/>
      <c r="DJ810" s="408"/>
      <c r="DK810" s="408"/>
      <c r="DL810" s="408"/>
      <c r="DM810" s="250"/>
      <c r="DN810" s="250"/>
      <c r="DO810" s="250"/>
      <c r="DP810" s="250"/>
      <c r="DQ810" s="250"/>
      <c r="DR810" s="250"/>
      <c r="DS810" s="250"/>
      <c r="DT810" s="250"/>
      <c r="DU810" s="250"/>
      <c r="DV810" s="250"/>
      <c r="DW810" s="252"/>
      <c r="DX810" s="252"/>
      <c r="DY810" s="250"/>
      <c r="DZ810" s="250"/>
      <c r="EA810" s="260"/>
      <c r="EB810" s="260"/>
      <c r="EC810" s="260"/>
      <c r="ED810" s="260"/>
      <c r="EG810" s="396"/>
      <c r="EH810" s="396"/>
    </row>
    <row r="811" spans="1:138" s="3" customFormat="1" x14ac:dyDescent="0.25">
      <c r="A811" s="407"/>
      <c r="B811" s="407"/>
      <c r="C811" s="250"/>
      <c r="D811" s="250"/>
      <c r="E811" s="250"/>
      <c r="F811" s="250"/>
      <c r="G811" s="250"/>
      <c r="H811" s="250"/>
      <c r="I811" s="250"/>
      <c r="J811" s="250"/>
      <c r="K811" s="250"/>
      <c r="L811" s="250"/>
      <c r="M811" s="250"/>
      <c r="N811" s="250"/>
      <c r="O811" s="250"/>
      <c r="P811" s="250"/>
      <c r="Q811" s="250"/>
      <c r="R811" s="250"/>
      <c r="S811" s="250"/>
      <c r="T811" s="250"/>
      <c r="U811" s="250"/>
      <c r="V811" s="250"/>
      <c r="W811" s="250"/>
      <c r="X811" s="250"/>
      <c r="Y811" s="250"/>
      <c r="Z811" s="250"/>
      <c r="AA811" s="250"/>
      <c r="AB811" s="250"/>
      <c r="AC811" s="250"/>
      <c r="AD811" s="250"/>
      <c r="AE811" s="250"/>
      <c r="AF811" s="250"/>
      <c r="AG811" s="250"/>
      <c r="AH811" s="250"/>
      <c r="AI811" s="250"/>
      <c r="AJ811" s="250"/>
      <c r="AK811" s="250"/>
      <c r="AL811" s="250"/>
      <c r="AM811" s="408"/>
      <c r="AN811" s="408"/>
      <c r="AO811" s="408"/>
      <c r="AP811" s="408"/>
      <c r="AQ811" s="408"/>
      <c r="AR811" s="408"/>
      <c r="AS811" s="408"/>
      <c r="AT811" s="408"/>
      <c r="AU811" s="408"/>
      <c r="AV811" s="408"/>
      <c r="AW811" s="408"/>
      <c r="AX811" s="250"/>
      <c r="AY811" s="250"/>
      <c r="AZ811" s="250"/>
      <c r="BA811" s="250"/>
      <c r="BB811" s="250"/>
      <c r="BC811" s="250"/>
      <c r="BD811" s="250"/>
      <c r="BE811" s="250"/>
      <c r="BF811" s="250"/>
      <c r="BG811" s="250"/>
      <c r="BH811" s="250"/>
      <c r="BI811" s="250"/>
      <c r="BJ811" s="250"/>
      <c r="BK811" s="250"/>
      <c r="BL811" s="250"/>
      <c r="BM811" s="250"/>
      <c r="BN811" s="250"/>
      <c r="BO811" s="250"/>
      <c r="BP811" s="250"/>
      <c r="BQ811" s="250"/>
      <c r="BR811" s="250"/>
      <c r="BS811" s="250"/>
      <c r="BT811" s="250"/>
      <c r="BU811" s="250"/>
      <c r="BV811" s="250"/>
      <c r="BW811" s="250"/>
      <c r="BX811" s="250"/>
      <c r="BY811" s="250"/>
      <c r="BZ811" s="250"/>
      <c r="CA811" s="250"/>
      <c r="CB811" s="250"/>
      <c r="CC811" s="250"/>
      <c r="CD811" s="250"/>
      <c r="CE811" s="250"/>
      <c r="CF811" s="250"/>
      <c r="CG811" s="250"/>
      <c r="CH811" s="250"/>
      <c r="CI811" s="408"/>
      <c r="CJ811" s="408"/>
      <c r="CK811" s="408"/>
      <c r="CL811" s="408"/>
      <c r="CM811" s="408"/>
      <c r="CN811" s="408"/>
      <c r="CO811" s="408"/>
      <c r="CP811" s="408"/>
      <c r="CQ811" s="408"/>
      <c r="CR811" s="408"/>
      <c r="CS811" s="408"/>
      <c r="CT811" s="250"/>
      <c r="CU811" s="250"/>
      <c r="CV811" s="250"/>
      <c r="CW811" s="250"/>
      <c r="CX811" s="408"/>
      <c r="CY811" s="408"/>
      <c r="CZ811" s="408"/>
      <c r="DA811" s="408"/>
      <c r="DB811" s="408"/>
      <c r="DC811" s="408"/>
      <c r="DD811" s="408"/>
      <c r="DE811" s="250"/>
      <c r="DF811" s="408"/>
      <c r="DG811" s="408"/>
      <c r="DH811" s="408"/>
      <c r="DI811" s="408"/>
      <c r="DJ811" s="408"/>
      <c r="DK811" s="408"/>
      <c r="DL811" s="408"/>
      <c r="DM811" s="250"/>
      <c r="DN811" s="250"/>
      <c r="DO811" s="250"/>
      <c r="DP811" s="250"/>
      <c r="DQ811" s="250"/>
      <c r="DR811" s="250"/>
      <c r="DS811" s="250"/>
      <c r="DT811" s="250"/>
      <c r="DU811" s="250"/>
      <c r="DV811" s="250"/>
      <c r="DW811" s="252"/>
      <c r="DX811" s="252"/>
      <c r="DY811" s="250"/>
      <c r="DZ811" s="250"/>
      <c r="EA811" s="260"/>
      <c r="EB811" s="260"/>
      <c r="EC811" s="260"/>
      <c r="ED811" s="260"/>
      <c r="EG811" s="396"/>
      <c r="EH811" s="396"/>
    </row>
    <row r="812" spans="1:138" s="3" customFormat="1" x14ac:dyDescent="0.25">
      <c r="A812" s="407"/>
      <c r="B812" s="407"/>
      <c r="C812" s="250"/>
      <c r="D812" s="250"/>
      <c r="E812" s="250"/>
      <c r="F812" s="250"/>
      <c r="G812" s="250"/>
      <c r="H812" s="250"/>
      <c r="I812" s="250"/>
      <c r="J812" s="250"/>
      <c r="K812" s="250"/>
      <c r="L812" s="250"/>
      <c r="M812" s="250"/>
      <c r="N812" s="250"/>
      <c r="O812" s="250"/>
      <c r="P812" s="250"/>
      <c r="Q812" s="250"/>
      <c r="R812" s="250"/>
      <c r="S812" s="250"/>
      <c r="T812" s="250"/>
      <c r="U812" s="250"/>
      <c r="V812" s="250"/>
      <c r="W812" s="250"/>
      <c r="X812" s="250"/>
      <c r="Y812" s="250"/>
      <c r="Z812" s="250"/>
      <c r="AA812" s="250"/>
      <c r="AB812" s="250"/>
      <c r="AC812" s="250"/>
      <c r="AD812" s="250"/>
      <c r="AE812" s="250"/>
      <c r="AF812" s="250"/>
      <c r="AG812" s="250"/>
      <c r="AH812" s="250"/>
      <c r="AI812" s="250"/>
      <c r="AJ812" s="250"/>
      <c r="AK812" s="250"/>
      <c r="AL812" s="250"/>
      <c r="AM812" s="408"/>
      <c r="AN812" s="408"/>
      <c r="AO812" s="408"/>
      <c r="AP812" s="408"/>
      <c r="AQ812" s="408"/>
      <c r="AR812" s="408"/>
      <c r="AS812" s="408"/>
      <c r="AT812" s="408"/>
      <c r="AU812" s="408"/>
      <c r="AV812" s="408"/>
      <c r="AW812" s="408"/>
      <c r="AX812" s="250"/>
      <c r="AY812" s="250"/>
      <c r="AZ812" s="250"/>
      <c r="BA812" s="250"/>
      <c r="BB812" s="250"/>
      <c r="BC812" s="250"/>
      <c r="BD812" s="250"/>
      <c r="BE812" s="250"/>
      <c r="BF812" s="250"/>
      <c r="BG812" s="250"/>
      <c r="BH812" s="250"/>
      <c r="BI812" s="250"/>
      <c r="BJ812" s="250"/>
      <c r="BK812" s="250"/>
      <c r="BL812" s="250"/>
      <c r="BM812" s="250"/>
      <c r="BN812" s="250"/>
      <c r="BO812" s="250"/>
      <c r="BP812" s="250"/>
      <c r="BQ812" s="250"/>
      <c r="BR812" s="250"/>
      <c r="BS812" s="250"/>
      <c r="BT812" s="250"/>
      <c r="BU812" s="250"/>
      <c r="BV812" s="250"/>
      <c r="BW812" s="250"/>
      <c r="BX812" s="250"/>
      <c r="BY812" s="250"/>
      <c r="BZ812" s="250"/>
      <c r="CA812" s="250"/>
      <c r="CB812" s="250"/>
      <c r="CC812" s="250"/>
      <c r="CD812" s="250"/>
      <c r="CE812" s="250"/>
      <c r="CF812" s="250"/>
      <c r="CG812" s="250"/>
      <c r="CH812" s="250"/>
      <c r="CI812" s="408"/>
      <c r="CJ812" s="408"/>
      <c r="CK812" s="408"/>
      <c r="CL812" s="408"/>
      <c r="CM812" s="408"/>
      <c r="CN812" s="408"/>
      <c r="CO812" s="408"/>
      <c r="CP812" s="408"/>
      <c r="CQ812" s="408"/>
      <c r="CR812" s="408"/>
      <c r="CS812" s="408"/>
      <c r="CT812" s="250"/>
      <c r="CU812" s="250"/>
      <c r="CV812" s="250"/>
      <c r="CW812" s="250"/>
      <c r="CX812" s="408"/>
      <c r="CY812" s="408"/>
      <c r="CZ812" s="408"/>
      <c r="DA812" s="408"/>
      <c r="DB812" s="408"/>
      <c r="DC812" s="408"/>
      <c r="DD812" s="408"/>
      <c r="DE812" s="250"/>
      <c r="DF812" s="408"/>
      <c r="DG812" s="408"/>
      <c r="DH812" s="408"/>
      <c r="DI812" s="408"/>
      <c r="DJ812" s="408"/>
      <c r="DK812" s="408"/>
      <c r="DL812" s="408"/>
      <c r="DM812" s="250"/>
      <c r="DN812" s="250"/>
      <c r="DO812" s="250"/>
      <c r="DP812" s="250"/>
      <c r="DQ812" s="250"/>
      <c r="DR812" s="250"/>
      <c r="DS812" s="250"/>
      <c r="DT812" s="250"/>
      <c r="DU812" s="250"/>
      <c r="DV812" s="250"/>
      <c r="DW812" s="252"/>
      <c r="DX812" s="252"/>
      <c r="DY812" s="250"/>
      <c r="DZ812" s="250"/>
      <c r="EA812" s="260"/>
      <c r="EB812" s="260"/>
      <c r="EC812" s="260"/>
      <c r="ED812" s="260"/>
      <c r="EG812" s="396"/>
      <c r="EH812" s="396"/>
    </row>
    <row r="813" spans="1:138" s="3" customFormat="1" x14ac:dyDescent="0.25">
      <c r="A813" s="407"/>
      <c r="B813" s="407"/>
      <c r="C813" s="250"/>
      <c r="D813" s="250"/>
      <c r="E813" s="250"/>
      <c r="F813" s="250"/>
      <c r="G813" s="250"/>
      <c r="H813" s="250"/>
      <c r="I813" s="250"/>
      <c r="J813" s="250"/>
      <c r="K813" s="250"/>
      <c r="L813" s="250"/>
      <c r="M813" s="250"/>
      <c r="N813" s="250"/>
      <c r="O813" s="250"/>
      <c r="P813" s="250"/>
      <c r="Q813" s="250"/>
      <c r="R813" s="250"/>
      <c r="S813" s="250"/>
      <c r="T813" s="250"/>
      <c r="U813" s="250"/>
      <c r="V813" s="250"/>
      <c r="W813" s="250"/>
      <c r="X813" s="250"/>
      <c r="Y813" s="250"/>
      <c r="Z813" s="250"/>
      <c r="AA813" s="250"/>
      <c r="AB813" s="250"/>
      <c r="AC813" s="250"/>
      <c r="AD813" s="250"/>
      <c r="AE813" s="250"/>
      <c r="AF813" s="250"/>
      <c r="AG813" s="250"/>
      <c r="AH813" s="250"/>
      <c r="AI813" s="250"/>
      <c r="AJ813" s="250"/>
      <c r="AK813" s="250"/>
      <c r="AL813" s="250"/>
      <c r="AM813" s="408"/>
      <c r="AN813" s="408"/>
      <c r="AO813" s="408"/>
      <c r="AP813" s="408"/>
      <c r="AQ813" s="408"/>
      <c r="AR813" s="408"/>
      <c r="AS813" s="408"/>
      <c r="AT813" s="408"/>
      <c r="AU813" s="408"/>
      <c r="AV813" s="408"/>
      <c r="AW813" s="408"/>
      <c r="AX813" s="250"/>
      <c r="AY813" s="250"/>
      <c r="AZ813" s="250"/>
      <c r="BA813" s="250"/>
      <c r="BB813" s="250"/>
      <c r="BC813" s="250"/>
      <c r="BD813" s="250"/>
      <c r="BE813" s="250"/>
      <c r="BF813" s="250"/>
      <c r="BG813" s="250"/>
      <c r="BH813" s="250"/>
      <c r="BI813" s="250"/>
      <c r="BJ813" s="250"/>
      <c r="BK813" s="250"/>
      <c r="BL813" s="250"/>
      <c r="BM813" s="250"/>
      <c r="BN813" s="250"/>
      <c r="BO813" s="250"/>
      <c r="BP813" s="250"/>
      <c r="BQ813" s="250"/>
      <c r="BR813" s="250"/>
      <c r="BS813" s="250"/>
      <c r="BT813" s="250"/>
      <c r="BU813" s="250"/>
      <c r="BV813" s="250"/>
      <c r="BW813" s="250"/>
      <c r="BX813" s="250"/>
      <c r="BY813" s="250"/>
      <c r="BZ813" s="250"/>
      <c r="CA813" s="250"/>
      <c r="CB813" s="250"/>
      <c r="CC813" s="250"/>
      <c r="CD813" s="250"/>
      <c r="CE813" s="250"/>
      <c r="CF813" s="250"/>
      <c r="CG813" s="250"/>
      <c r="CH813" s="250"/>
      <c r="CI813" s="408"/>
      <c r="CJ813" s="408"/>
      <c r="CK813" s="408"/>
      <c r="CL813" s="408"/>
      <c r="CM813" s="408"/>
      <c r="CN813" s="408"/>
      <c r="CO813" s="408"/>
      <c r="CP813" s="408"/>
      <c r="CQ813" s="408"/>
      <c r="CR813" s="408"/>
      <c r="CS813" s="408"/>
      <c r="CT813" s="250"/>
      <c r="CU813" s="250"/>
      <c r="CV813" s="250"/>
      <c r="CW813" s="250"/>
      <c r="CX813" s="408"/>
      <c r="CY813" s="408"/>
      <c r="CZ813" s="408"/>
      <c r="DA813" s="408"/>
      <c r="DB813" s="408"/>
      <c r="DC813" s="408"/>
      <c r="DD813" s="408"/>
      <c r="DE813" s="250"/>
      <c r="DF813" s="408"/>
      <c r="DG813" s="408"/>
      <c r="DH813" s="408"/>
      <c r="DI813" s="408"/>
      <c r="DJ813" s="408"/>
      <c r="DK813" s="408"/>
      <c r="DL813" s="408"/>
      <c r="DM813" s="250"/>
      <c r="DN813" s="250"/>
      <c r="DO813" s="250"/>
      <c r="DP813" s="250"/>
      <c r="DQ813" s="250"/>
      <c r="DR813" s="250"/>
      <c r="DS813" s="250"/>
      <c r="DT813" s="250"/>
      <c r="DU813" s="250"/>
      <c r="DV813" s="250"/>
      <c r="DW813" s="252"/>
      <c r="DX813" s="252"/>
      <c r="DY813" s="250"/>
      <c r="DZ813" s="250"/>
      <c r="EA813" s="260"/>
      <c r="EB813" s="260"/>
      <c r="EC813" s="260"/>
      <c r="ED813" s="260"/>
      <c r="EG813" s="396"/>
      <c r="EH813" s="396"/>
    </row>
    <row r="814" spans="1:138" s="3" customFormat="1" x14ac:dyDescent="0.25">
      <c r="A814" s="407"/>
      <c r="B814" s="407"/>
      <c r="C814" s="250"/>
      <c r="D814" s="250"/>
      <c r="E814" s="250"/>
      <c r="F814" s="250"/>
      <c r="G814" s="250"/>
      <c r="H814" s="250"/>
      <c r="I814" s="250"/>
      <c r="J814" s="250"/>
      <c r="K814" s="250"/>
      <c r="L814" s="250"/>
      <c r="M814" s="250"/>
      <c r="N814" s="250"/>
      <c r="O814" s="250"/>
      <c r="P814" s="250"/>
      <c r="Q814" s="250"/>
      <c r="R814" s="250"/>
      <c r="S814" s="250"/>
      <c r="T814" s="250"/>
      <c r="U814" s="250"/>
      <c r="V814" s="250"/>
      <c r="W814" s="250"/>
      <c r="X814" s="250"/>
      <c r="Y814" s="250"/>
      <c r="Z814" s="250"/>
      <c r="AA814" s="250"/>
      <c r="AB814" s="250"/>
      <c r="AC814" s="250"/>
      <c r="AD814" s="250"/>
      <c r="AE814" s="250"/>
      <c r="AF814" s="250"/>
      <c r="AG814" s="250"/>
      <c r="AH814" s="250"/>
      <c r="AI814" s="250"/>
      <c r="AJ814" s="250"/>
      <c r="AK814" s="250"/>
      <c r="AL814" s="250"/>
      <c r="AM814" s="408"/>
      <c r="AN814" s="408"/>
      <c r="AO814" s="408"/>
      <c r="AP814" s="408"/>
      <c r="AQ814" s="408"/>
      <c r="AR814" s="408"/>
      <c r="AS814" s="408"/>
      <c r="AT814" s="408"/>
      <c r="AU814" s="408"/>
      <c r="AV814" s="408"/>
      <c r="AW814" s="408"/>
      <c r="AX814" s="250"/>
      <c r="AY814" s="250"/>
      <c r="AZ814" s="250"/>
      <c r="BA814" s="250"/>
      <c r="BB814" s="250"/>
      <c r="BC814" s="250"/>
      <c r="BD814" s="250"/>
      <c r="BE814" s="250"/>
      <c r="BF814" s="250"/>
      <c r="BG814" s="250"/>
      <c r="BH814" s="250"/>
      <c r="BI814" s="250"/>
      <c r="BJ814" s="250"/>
      <c r="BK814" s="250"/>
      <c r="BL814" s="250"/>
      <c r="BM814" s="250"/>
      <c r="BN814" s="250"/>
      <c r="BO814" s="250"/>
      <c r="BP814" s="250"/>
      <c r="BQ814" s="250"/>
      <c r="BR814" s="250"/>
      <c r="BS814" s="250"/>
      <c r="BT814" s="250"/>
      <c r="BU814" s="250"/>
      <c r="BV814" s="250"/>
      <c r="BW814" s="250"/>
      <c r="BX814" s="250"/>
      <c r="BY814" s="250"/>
      <c r="BZ814" s="250"/>
      <c r="CA814" s="250"/>
      <c r="CB814" s="250"/>
      <c r="CC814" s="250"/>
      <c r="CD814" s="250"/>
      <c r="CE814" s="250"/>
      <c r="CF814" s="250"/>
      <c r="CG814" s="250"/>
      <c r="CH814" s="250"/>
      <c r="CI814" s="408"/>
      <c r="CJ814" s="408"/>
      <c r="CK814" s="408"/>
      <c r="CL814" s="408"/>
      <c r="CM814" s="408"/>
      <c r="CN814" s="408"/>
      <c r="CO814" s="408"/>
      <c r="CP814" s="408"/>
      <c r="CQ814" s="408"/>
      <c r="CR814" s="408"/>
      <c r="CS814" s="408"/>
      <c r="CT814" s="250"/>
      <c r="CU814" s="250"/>
      <c r="CV814" s="250"/>
      <c r="CW814" s="250"/>
      <c r="CX814" s="408"/>
      <c r="CY814" s="408"/>
      <c r="CZ814" s="408"/>
      <c r="DA814" s="408"/>
      <c r="DB814" s="408"/>
      <c r="DC814" s="408"/>
      <c r="DD814" s="408"/>
      <c r="DE814" s="250"/>
      <c r="DF814" s="408"/>
      <c r="DG814" s="408"/>
      <c r="DH814" s="408"/>
      <c r="DI814" s="408"/>
      <c r="DJ814" s="408"/>
      <c r="DK814" s="408"/>
      <c r="DL814" s="408"/>
      <c r="DM814" s="250"/>
      <c r="DN814" s="250"/>
      <c r="DO814" s="250"/>
      <c r="DP814" s="250"/>
      <c r="DQ814" s="250"/>
      <c r="DR814" s="250"/>
      <c r="DS814" s="250"/>
      <c r="DT814" s="250"/>
      <c r="DU814" s="250"/>
      <c r="DV814" s="250"/>
      <c r="DW814" s="252"/>
      <c r="DX814" s="252"/>
      <c r="DY814" s="250"/>
      <c r="DZ814" s="250"/>
      <c r="EA814" s="260"/>
      <c r="EB814" s="260"/>
      <c r="EC814" s="260"/>
      <c r="ED814" s="260"/>
      <c r="EG814" s="396"/>
      <c r="EH814" s="396"/>
    </row>
    <row r="815" spans="1:138" s="3" customFormat="1" x14ac:dyDescent="0.25">
      <c r="A815" s="407"/>
      <c r="B815" s="407"/>
      <c r="C815" s="250"/>
      <c r="D815" s="250"/>
      <c r="E815" s="250"/>
      <c r="F815" s="250"/>
      <c r="G815" s="250"/>
      <c r="H815" s="250"/>
      <c r="I815" s="250"/>
      <c r="J815" s="250"/>
      <c r="K815" s="250"/>
      <c r="L815" s="250"/>
      <c r="M815" s="250"/>
      <c r="N815" s="250"/>
      <c r="O815" s="250"/>
      <c r="P815" s="250"/>
      <c r="Q815" s="250"/>
      <c r="R815" s="250"/>
      <c r="S815" s="250"/>
      <c r="T815" s="250"/>
      <c r="U815" s="250"/>
      <c r="V815" s="250"/>
      <c r="W815" s="250"/>
      <c r="X815" s="250"/>
      <c r="Y815" s="250"/>
      <c r="Z815" s="250"/>
      <c r="AA815" s="250"/>
      <c r="AB815" s="250"/>
      <c r="AC815" s="250"/>
      <c r="AD815" s="250"/>
      <c r="AE815" s="250"/>
      <c r="AF815" s="250"/>
      <c r="AG815" s="250"/>
      <c r="AH815" s="250"/>
      <c r="AI815" s="250"/>
      <c r="AJ815" s="250"/>
      <c r="AK815" s="250"/>
      <c r="AL815" s="250"/>
      <c r="AM815" s="408"/>
      <c r="AN815" s="408"/>
      <c r="AO815" s="408"/>
      <c r="AP815" s="408"/>
      <c r="AQ815" s="408"/>
      <c r="AR815" s="408"/>
      <c r="AS815" s="408"/>
      <c r="AT815" s="408"/>
      <c r="AU815" s="408"/>
      <c r="AV815" s="408"/>
      <c r="AW815" s="408"/>
      <c r="AX815" s="250"/>
      <c r="AY815" s="250"/>
      <c r="AZ815" s="250"/>
      <c r="BA815" s="250"/>
      <c r="BB815" s="250"/>
      <c r="BC815" s="250"/>
      <c r="BD815" s="250"/>
      <c r="BE815" s="250"/>
      <c r="BF815" s="250"/>
      <c r="BG815" s="250"/>
      <c r="BH815" s="250"/>
      <c r="BI815" s="250"/>
      <c r="BJ815" s="250"/>
      <c r="BK815" s="250"/>
      <c r="BL815" s="250"/>
      <c r="BM815" s="250"/>
      <c r="BN815" s="250"/>
      <c r="BO815" s="250"/>
      <c r="BP815" s="250"/>
      <c r="BQ815" s="250"/>
      <c r="BR815" s="250"/>
      <c r="BS815" s="250"/>
      <c r="BT815" s="250"/>
      <c r="BU815" s="250"/>
      <c r="BV815" s="250"/>
      <c r="BW815" s="250"/>
      <c r="BX815" s="250"/>
      <c r="BY815" s="250"/>
      <c r="BZ815" s="250"/>
      <c r="CA815" s="250"/>
      <c r="CB815" s="250"/>
      <c r="CC815" s="250"/>
      <c r="CD815" s="250"/>
      <c r="CE815" s="250"/>
      <c r="CF815" s="250"/>
      <c r="CG815" s="250"/>
      <c r="CH815" s="250"/>
      <c r="CI815" s="408"/>
      <c r="CJ815" s="408"/>
      <c r="CK815" s="408"/>
      <c r="CL815" s="408"/>
      <c r="CM815" s="408"/>
      <c r="CN815" s="408"/>
      <c r="CO815" s="408"/>
      <c r="CP815" s="408"/>
      <c r="CQ815" s="408"/>
      <c r="CR815" s="408"/>
      <c r="CS815" s="408"/>
      <c r="CT815" s="250"/>
      <c r="CU815" s="250"/>
      <c r="CV815" s="250"/>
      <c r="CW815" s="250"/>
      <c r="CX815" s="408"/>
      <c r="CY815" s="408"/>
      <c r="CZ815" s="408"/>
      <c r="DA815" s="408"/>
      <c r="DB815" s="408"/>
      <c r="DC815" s="408"/>
      <c r="DD815" s="408"/>
      <c r="DE815" s="250"/>
      <c r="DF815" s="408"/>
      <c r="DG815" s="408"/>
      <c r="DH815" s="408"/>
      <c r="DI815" s="408"/>
      <c r="DJ815" s="408"/>
      <c r="DK815" s="408"/>
      <c r="DL815" s="408"/>
      <c r="DM815" s="250"/>
      <c r="DN815" s="250"/>
      <c r="DO815" s="250"/>
      <c r="DP815" s="250"/>
      <c r="DQ815" s="250"/>
      <c r="DR815" s="250"/>
      <c r="DS815" s="250"/>
      <c r="DT815" s="250"/>
      <c r="DU815" s="250"/>
      <c r="DV815" s="250"/>
      <c r="DW815" s="252"/>
      <c r="DX815" s="252"/>
      <c r="DY815" s="250"/>
      <c r="DZ815" s="250"/>
      <c r="EA815" s="260"/>
      <c r="EB815" s="260"/>
      <c r="EC815" s="260"/>
      <c r="ED815" s="260"/>
      <c r="EG815" s="396"/>
      <c r="EH815" s="396"/>
    </row>
    <row r="816" spans="1:138" s="3" customFormat="1" x14ac:dyDescent="0.25">
      <c r="A816" s="407"/>
      <c r="B816" s="407"/>
      <c r="C816" s="250"/>
      <c r="D816" s="250"/>
      <c r="E816" s="250"/>
      <c r="F816" s="250"/>
      <c r="G816" s="250"/>
      <c r="H816" s="250"/>
      <c r="I816" s="250"/>
      <c r="J816" s="250"/>
      <c r="K816" s="250"/>
      <c r="L816" s="250"/>
      <c r="M816" s="250"/>
      <c r="N816" s="250"/>
      <c r="O816" s="250"/>
      <c r="P816" s="250"/>
      <c r="Q816" s="250"/>
      <c r="R816" s="250"/>
      <c r="S816" s="250"/>
      <c r="T816" s="250"/>
      <c r="U816" s="250"/>
      <c r="V816" s="250"/>
      <c r="W816" s="250"/>
      <c r="X816" s="250"/>
      <c r="Y816" s="250"/>
      <c r="Z816" s="250"/>
      <c r="AA816" s="250"/>
      <c r="AB816" s="250"/>
      <c r="AC816" s="250"/>
      <c r="AD816" s="250"/>
      <c r="AE816" s="250"/>
      <c r="AF816" s="250"/>
      <c r="AG816" s="250"/>
      <c r="AH816" s="250"/>
      <c r="AI816" s="250"/>
      <c r="AJ816" s="250"/>
      <c r="AK816" s="250"/>
      <c r="AL816" s="250"/>
      <c r="AM816" s="408"/>
      <c r="AN816" s="408"/>
      <c r="AO816" s="408"/>
      <c r="AP816" s="408"/>
      <c r="AQ816" s="408"/>
      <c r="AR816" s="408"/>
      <c r="AS816" s="408"/>
      <c r="AT816" s="408"/>
      <c r="AU816" s="408"/>
      <c r="AV816" s="408"/>
      <c r="AW816" s="408"/>
      <c r="AX816" s="250"/>
      <c r="AY816" s="250"/>
      <c r="AZ816" s="250"/>
      <c r="BA816" s="250"/>
      <c r="BB816" s="250"/>
      <c r="BC816" s="250"/>
      <c r="BD816" s="250"/>
      <c r="BE816" s="250"/>
      <c r="BF816" s="250"/>
      <c r="BG816" s="250"/>
      <c r="BH816" s="250"/>
      <c r="BI816" s="250"/>
      <c r="BJ816" s="250"/>
      <c r="BK816" s="250"/>
      <c r="BL816" s="250"/>
      <c r="BM816" s="250"/>
      <c r="BN816" s="250"/>
      <c r="BO816" s="250"/>
      <c r="BP816" s="250"/>
      <c r="BQ816" s="250"/>
      <c r="BR816" s="250"/>
      <c r="BS816" s="250"/>
      <c r="BT816" s="250"/>
      <c r="BU816" s="250"/>
      <c r="BV816" s="250"/>
      <c r="BW816" s="250"/>
      <c r="BX816" s="250"/>
      <c r="BY816" s="250"/>
      <c r="BZ816" s="250"/>
      <c r="CA816" s="250"/>
      <c r="CB816" s="250"/>
      <c r="CC816" s="250"/>
      <c r="CD816" s="250"/>
      <c r="CE816" s="250"/>
      <c r="CF816" s="250"/>
      <c r="CG816" s="250"/>
      <c r="CH816" s="250"/>
      <c r="CI816" s="408"/>
      <c r="CJ816" s="408"/>
      <c r="CK816" s="408"/>
      <c r="CL816" s="408"/>
      <c r="CM816" s="408"/>
      <c r="CN816" s="408"/>
      <c r="CO816" s="408"/>
      <c r="CP816" s="408"/>
      <c r="CQ816" s="408"/>
      <c r="CR816" s="408"/>
      <c r="CS816" s="408"/>
      <c r="CT816" s="250"/>
      <c r="CU816" s="250"/>
      <c r="CV816" s="250"/>
      <c r="CW816" s="250"/>
      <c r="CX816" s="408"/>
      <c r="CY816" s="408"/>
      <c r="CZ816" s="408"/>
      <c r="DA816" s="408"/>
      <c r="DB816" s="408"/>
      <c r="DC816" s="408"/>
      <c r="DD816" s="408"/>
      <c r="DE816" s="250"/>
      <c r="DF816" s="408"/>
      <c r="DG816" s="408"/>
      <c r="DH816" s="408"/>
      <c r="DI816" s="408"/>
      <c r="DJ816" s="408"/>
      <c r="DK816" s="408"/>
      <c r="DL816" s="408"/>
      <c r="DM816" s="250"/>
      <c r="DN816" s="250"/>
      <c r="DO816" s="250"/>
      <c r="DP816" s="250"/>
      <c r="DQ816" s="250"/>
      <c r="DR816" s="250"/>
      <c r="DS816" s="250"/>
      <c r="DT816" s="250"/>
      <c r="DU816" s="250"/>
      <c r="DV816" s="250"/>
      <c r="DW816" s="252"/>
      <c r="DX816" s="252"/>
      <c r="DY816" s="250"/>
      <c r="DZ816" s="250"/>
      <c r="EA816" s="260"/>
      <c r="EB816" s="260"/>
      <c r="EC816" s="260"/>
      <c r="ED816" s="260"/>
      <c r="EG816" s="396"/>
      <c r="EH816" s="396"/>
    </row>
    <row r="817" spans="1:138" s="3" customFormat="1" x14ac:dyDescent="0.25">
      <c r="A817" s="407"/>
      <c r="B817" s="407"/>
      <c r="C817" s="250"/>
      <c r="D817" s="250"/>
      <c r="E817" s="250"/>
      <c r="F817" s="250"/>
      <c r="G817" s="250"/>
      <c r="H817" s="250"/>
      <c r="I817" s="250"/>
      <c r="J817" s="250"/>
      <c r="K817" s="250"/>
      <c r="L817" s="250"/>
      <c r="M817" s="250"/>
      <c r="N817" s="250"/>
      <c r="O817" s="250"/>
      <c r="P817" s="250"/>
      <c r="Q817" s="250"/>
      <c r="R817" s="250"/>
      <c r="S817" s="250"/>
      <c r="T817" s="250"/>
      <c r="U817" s="250"/>
      <c r="V817" s="250"/>
      <c r="W817" s="250"/>
      <c r="X817" s="250"/>
      <c r="Y817" s="250"/>
      <c r="Z817" s="250"/>
      <c r="AA817" s="250"/>
      <c r="AB817" s="250"/>
      <c r="AC817" s="250"/>
      <c r="AD817" s="250"/>
      <c r="AE817" s="250"/>
      <c r="AF817" s="250"/>
      <c r="AG817" s="250"/>
      <c r="AH817" s="250"/>
      <c r="AI817" s="250"/>
      <c r="AJ817" s="250"/>
      <c r="AK817" s="250"/>
      <c r="AL817" s="250"/>
      <c r="AM817" s="408"/>
      <c r="AN817" s="408"/>
      <c r="AO817" s="408"/>
      <c r="AP817" s="408"/>
      <c r="AQ817" s="408"/>
      <c r="AR817" s="408"/>
      <c r="AS817" s="408"/>
      <c r="AT817" s="408"/>
      <c r="AU817" s="408"/>
      <c r="AV817" s="408"/>
      <c r="AW817" s="408"/>
      <c r="AX817" s="250"/>
      <c r="AY817" s="250"/>
      <c r="AZ817" s="250"/>
      <c r="BA817" s="250"/>
      <c r="BB817" s="250"/>
      <c r="BC817" s="250"/>
      <c r="BD817" s="250"/>
      <c r="BE817" s="250"/>
      <c r="BF817" s="250"/>
      <c r="BG817" s="250"/>
      <c r="BH817" s="250"/>
      <c r="BI817" s="250"/>
      <c r="BJ817" s="250"/>
      <c r="BK817" s="250"/>
      <c r="BL817" s="250"/>
      <c r="BM817" s="250"/>
      <c r="BN817" s="250"/>
      <c r="BO817" s="250"/>
      <c r="BP817" s="250"/>
      <c r="BQ817" s="250"/>
      <c r="BR817" s="250"/>
      <c r="BS817" s="250"/>
      <c r="BT817" s="250"/>
      <c r="BU817" s="250"/>
      <c r="BV817" s="250"/>
      <c r="BW817" s="250"/>
      <c r="BX817" s="250"/>
      <c r="BY817" s="250"/>
      <c r="BZ817" s="250"/>
      <c r="CA817" s="250"/>
      <c r="CB817" s="250"/>
      <c r="CC817" s="250"/>
      <c r="CD817" s="250"/>
      <c r="CE817" s="250"/>
      <c r="CF817" s="250"/>
      <c r="CG817" s="250"/>
      <c r="CH817" s="250"/>
      <c r="CI817" s="408"/>
      <c r="CJ817" s="408"/>
      <c r="CK817" s="408"/>
      <c r="CL817" s="408"/>
      <c r="CM817" s="408"/>
      <c r="CN817" s="408"/>
      <c r="CO817" s="408"/>
      <c r="CP817" s="408"/>
      <c r="CQ817" s="408"/>
      <c r="CR817" s="408"/>
      <c r="CS817" s="408"/>
      <c r="CT817" s="250"/>
      <c r="CU817" s="250"/>
      <c r="CV817" s="250"/>
      <c r="CW817" s="250"/>
      <c r="CX817" s="408"/>
      <c r="CY817" s="408"/>
      <c r="CZ817" s="408"/>
      <c r="DA817" s="408"/>
      <c r="DB817" s="408"/>
      <c r="DC817" s="408"/>
      <c r="DD817" s="408"/>
      <c r="DE817" s="250"/>
      <c r="DF817" s="408"/>
      <c r="DG817" s="408"/>
      <c r="DH817" s="408"/>
      <c r="DI817" s="408"/>
      <c r="DJ817" s="408"/>
      <c r="DK817" s="408"/>
      <c r="DL817" s="408"/>
      <c r="DM817" s="250"/>
      <c r="DN817" s="250"/>
      <c r="DO817" s="250"/>
      <c r="DP817" s="250"/>
      <c r="DQ817" s="250"/>
      <c r="DR817" s="250"/>
      <c r="DS817" s="250"/>
      <c r="DT817" s="250"/>
      <c r="DU817" s="250"/>
      <c r="DV817" s="250"/>
      <c r="DW817" s="252"/>
      <c r="DX817" s="252"/>
      <c r="DY817" s="250"/>
      <c r="DZ817" s="250"/>
      <c r="EA817" s="260"/>
      <c r="EB817" s="260"/>
      <c r="EC817" s="260"/>
      <c r="ED817" s="260"/>
      <c r="EG817" s="396"/>
      <c r="EH817" s="396"/>
    </row>
    <row r="818" spans="1:138" s="3" customFormat="1" x14ac:dyDescent="0.25">
      <c r="A818" s="407"/>
      <c r="B818" s="407"/>
      <c r="C818" s="250"/>
      <c r="D818" s="250"/>
      <c r="E818" s="250"/>
      <c r="F818" s="250"/>
      <c r="G818" s="250"/>
      <c r="H818" s="250"/>
      <c r="I818" s="250"/>
      <c r="J818" s="250"/>
      <c r="K818" s="250"/>
      <c r="L818" s="250"/>
      <c r="M818" s="250"/>
      <c r="N818" s="250"/>
      <c r="O818" s="250"/>
      <c r="P818" s="250"/>
      <c r="Q818" s="250"/>
      <c r="R818" s="250"/>
      <c r="S818" s="250"/>
      <c r="T818" s="250"/>
      <c r="U818" s="250"/>
      <c r="V818" s="250"/>
      <c r="W818" s="250"/>
      <c r="X818" s="250"/>
      <c r="Y818" s="250"/>
      <c r="Z818" s="250"/>
      <c r="AA818" s="250"/>
      <c r="AB818" s="250"/>
      <c r="AC818" s="250"/>
      <c r="AD818" s="250"/>
      <c r="AE818" s="250"/>
      <c r="AF818" s="250"/>
      <c r="AG818" s="250"/>
      <c r="AH818" s="250"/>
      <c r="AI818" s="250"/>
      <c r="AJ818" s="250"/>
      <c r="AK818" s="250"/>
      <c r="AL818" s="250"/>
      <c r="AM818" s="408"/>
      <c r="AN818" s="408"/>
      <c r="AO818" s="408"/>
      <c r="AP818" s="408"/>
      <c r="AQ818" s="408"/>
      <c r="AR818" s="408"/>
      <c r="AS818" s="408"/>
      <c r="AT818" s="408"/>
      <c r="AU818" s="408"/>
      <c r="AV818" s="408"/>
      <c r="AW818" s="408"/>
      <c r="AX818" s="250"/>
      <c r="AY818" s="250"/>
      <c r="AZ818" s="250"/>
      <c r="BA818" s="250"/>
      <c r="BB818" s="250"/>
      <c r="BC818" s="250"/>
      <c r="BD818" s="250"/>
      <c r="BE818" s="250"/>
      <c r="BF818" s="250"/>
      <c r="BG818" s="250"/>
      <c r="BH818" s="250"/>
      <c r="BI818" s="250"/>
      <c r="BJ818" s="250"/>
      <c r="BK818" s="250"/>
      <c r="BL818" s="250"/>
      <c r="BM818" s="250"/>
      <c r="BN818" s="250"/>
      <c r="BO818" s="250"/>
      <c r="BP818" s="250"/>
      <c r="BQ818" s="250"/>
      <c r="BR818" s="250"/>
      <c r="BS818" s="250"/>
      <c r="BT818" s="250"/>
      <c r="BU818" s="250"/>
      <c r="BV818" s="250"/>
      <c r="BW818" s="250"/>
      <c r="BX818" s="250"/>
      <c r="BY818" s="250"/>
      <c r="BZ818" s="250"/>
      <c r="CA818" s="250"/>
      <c r="CB818" s="250"/>
      <c r="CC818" s="250"/>
      <c r="CD818" s="250"/>
      <c r="CE818" s="250"/>
      <c r="CF818" s="250"/>
      <c r="CG818" s="250"/>
      <c r="CH818" s="250"/>
      <c r="CI818" s="408"/>
      <c r="CJ818" s="408"/>
      <c r="CK818" s="408"/>
      <c r="CL818" s="408"/>
      <c r="CM818" s="408"/>
      <c r="CN818" s="408"/>
      <c r="CO818" s="408"/>
      <c r="CP818" s="408"/>
      <c r="CQ818" s="408"/>
      <c r="CR818" s="408"/>
      <c r="CS818" s="408"/>
      <c r="CT818" s="250"/>
      <c r="CU818" s="250"/>
      <c r="CV818" s="250"/>
      <c r="CW818" s="250"/>
      <c r="CX818" s="408"/>
      <c r="CY818" s="408"/>
      <c r="CZ818" s="408"/>
      <c r="DA818" s="408"/>
      <c r="DB818" s="408"/>
      <c r="DC818" s="408"/>
      <c r="DD818" s="408"/>
      <c r="DE818" s="250"/>
      <c r="DF818" s="408"/>
      <c r="DG818" s="408"/>
      <c r="DH818" s="408"/>
      <c r="DI818" s="408"/>
      <c r="DJ818" s="408"/>
      <c r="DK818" s="408"/>
      <c r="DL818" s="408"/>
      <c r="DM818" s="250"/>
      <c r="DN818" s="250"/>
      <c r="DO818" s="250"/>
      <c r="DP818" s="250"/>
      <c r="DQ818" s="250"/>
      <c r="DR818" s="250"/>
      <c r="DS818" s="250"/>
      <c r="DT818" s="250"/>
      <c r="DU818" s="250"/>
      <c r="DV818" s="250"/>
      <c r="DW818" s="252"/>
      <c r="DX818" s="252"/>
      <c r="DY818" s="250"/>
      <c r="DZ818" s="250"/>
      <c r="EA818" s="260"/>
      <c r="EB818" s="260"/>
      <c r="EC818" s="260"/>
      <c r="ED818" s="260"/>
      <c r="EG818" s="396"/>
      <c r="EH818" s="396"/>
    </row>
    <row r="819" spans="1:138" s="3" customFormat="1" x14ac:dyDescent="0.25">
      <c r="A819" s="407"/>
      <c r="B819" s="407"/>
      <c r="C819" s="250"/>
      <c r="D819" s="250"/>
      <c r="E819" s="250"/>
      <c r="F819" s="250"/>
      <c r="G819" s="250"/>
      <c r="H819" s="250"/>
      <c r="I819" s="250"/>
      <c r="J819" s="250"/>
      <c r="K819" s="250"/>
      <c r="L819" s="250"/>
      <c r="M819" s="250"/>
      <c r="N819" s="250"/>
      <c r="O819" s="250"/>
      <c r="P819" s="250"/>
      <c r="Q819" s="250"/>
      <c r="R819" s="250"/>
      <c r="S819" s="250"/>
      <c r="T819" s="250"/>
      <c r="U819" s="250"/>
      <c r="V819" s="250"/>
      <c r="W819" s="250"/>
      <c r="X819" s="250"/>
      <c r="Y819" s="250"/>
      <c r="Z819" s="250"/>
      <c r="AA819" s="250"/>
      <c r="AB819" s="250"/>
      <c r="AC819" s="250"/>
      <c r="AD819" s="250"/>
      <c r="AE819" s="250"/>
      <c r="AF819" s="250"/>
      <c r="AG819" s="250"/>
      <c r="AH819" s="250"/>
      <c r="AI819" s="250"/>
      <c r="AJ819" s="250"/>
      <c r="AK819" s="250"/>
      <c r="AL819" s="250"/>
      <c r="AM819" s="408"/>
      <c r="AN819" s="408"/>
      <c r="AO819" s="408"/>
      <c r="AP819" s="408"/>
      <c r="AQ819" s="408"/>
      <c r="AR819" s="408"/>
      <c r="AS819" s="408"/>
      <c r="AT819" s="408"/>
      <c r="AU819" s="408"/>
      <c r="AV819" s="408"/>
      <c r="AW819" s="408"/>
      <c r="AX819" s="250"/>
      <c r="AY819" s="250"/>
      <c r="AZ819" s="250"/>
      <c r="BA819" s="250"/>
      <c r="BB819" s="250"/>
      <c r="BC819" s="250"/>
      <c r="BD819" s="250"/>
      <c r="BE819" s="250"/>
      <c r="BF819" s="250"/>
      <c r="BG819" s="250"/>
      <c r="BH819" s="250"/>
      <c r="BI819" s="250"/>
      <c r="BJ819" s="250"/>
      <c r="BK819" s="250"/>
      <c r="BL819" s="250"/>
      <c r="BM819" s="250"/>
      <c r="BN819" s="250"/>
      <c r="BO819" s="250"/>
      <c r="BP819" s="250"/>
      <c r="BQ819" s="250"/>
      <c r="BR819" s="250"/>
      <c r="BS819" s="250"/>
      <c r="BT819" s="250"/>
      <c r="BU819" s="250"/>
      <c r="BV819" s="250"/>
      <c r="BW819" s="250"/>
      <c r="BX819" s="250"/>
      <c r="BY819" s="250"/>
      <c r="BZ819" s="250"/>
      <c r="CA819" s="250"/>
      <c r="CB819" s="250"/>
      <c r="CC819" s="250"/>
      <c r="CD819" s="250"/>
      <c r="CE819" s="250"/>
      <c r="CF819" s="250"/>
      <c r="CG819" s="250"/>
      <c r="CH819" s="250"/>
      <c r="CI819" s="408"/>
      <c r="CJ819" s="408"/>
      <c r="CK819" s="408"/>
      <c r="CL819" s="408"/>
      <c r="CM819" s="408"/>
      <c r="CN819" s="408"/>
      <c r="CO819" s="408"/>
      <c r="CP819" s="408"/>
      <c r="CQ819" s="408"/>
      <c r="CR819" s="408"/>
      <c r="CS819" s="408"/>
      <c r="CT819" s="250"/>
      <c r="CU819" s="250"/>
      <c r="CV819" s="250"/>
      <c r="CW819" s="250"/>
      <c r="CX819" s="408"/>
      <c r="CY819" s="408"/>
      <c r="CZ819" s="408"/>
      <c r="DA819" s="408"/>
      <c r="DB819" s="408"/>
      <c r="DC819" s="408"/>
      <c r="DD819" s="408"/>
      <c r="DE819" s="250"/>
      <c r="DF819" s="408"/>
      <c r="DG819" s="408"/>
      <c r="DH819" s="408"/>
      <c r="DI819" s="408"/>
      <c r="DJ819" s="408"/>
      <c r="DK819" s="408"/>
      <c r="DL819" s="408"/>
      <c r="DM819" s="250"/>
      <c r="DN819" s="250"/>
      <c r="DO819" s="250"/>
      <c r="DP819" s="250"/>
      <c r="DQ819" s="250"/>
      <c r="DR819" s="250"/>
      <c r="DS819" s="250"/>
      <c r="DT819" s="250"/>
      <c r="DU819" s="250"/>
      <c r="DV819" s="250"/>
      <c r="DW819" s="252"/>
      <c r="DX819" s="252"/>
      <c r="DY819" s="250"/>
      <c r="DZ819" s="250"/>
      <c r="EA819" s="260"/>
      <c r="EB819" s="260"/>
      <c r="EC819" s="260"/>
      <c r="ED819" s="260"/>
      <c r="EG819" s="396"/>
      <c r="EH819" s="396"/>
    </row>
    <row r="820" spans="1:138" s="3" customFormat="1" x14ac:dyDescent="0.25">
      <c r="A820" s="407"/>
      <c r="B820" s="407"/>
      <c r="C820" s="250"/>
      <c r="D820" s="250"/>
      <c r="E820" s="250"/>
      <c r="F820" s="250"/>
      <c r="G820" s="250"/>
      <c r="H820" s="250"/>
      <c r="I820" s="250"/>
      <c r="J820" s="250"/>
      <c r="K820" s="250"/>
      <c r="L820" s="250"/>
      <c r="M820" s="250"/>
      <c r="N820" s="250"/>
      <c r="O820" s="250"/>
      <c r="P820" s="250"/>
      <c r="Q820" s="250"/>
      <c r="R820" s="250"/>
      <c r="S820" s="250"/>
      <c r="T820" s="250"/>
      <c r="U820" s="250"/>
      <c r="V820" s="250"/>
      <c r="W820" s="250"/>
      <c r="X820" s="250"/>
      <c r="Y820" s="250"/>
      <c r="Z820" s="250"/>
      <c r="AA820" s="250"/>
      <c r="AB820" s="250"/>
      <c r="AC820" s="250"/>
      <c r="AD820" s="250"/>
      <c r="AE820" s="250"/>
      <c r="AF820" s="250"/>
      <c r="AG820" s="250"/>
      <c r="AH820" s="250"/>
      <c r="AI820" s="250"/>
      <c r="AJ820" s="250"/>
      <c r="AK820" s="250"/>
      <c r="AL820" s="250"/>
      <c r="AM820" s="408"/>
      <c r="AN820" s="408"/>
      <c r="AO820" s="408"/>
      <c r="AP820" s="408"/>
      <c r="AQ820" s="408"/>
      <c r="AR820" s="408"/>
      <c r="AS820" s="408"/>
      <c r="AT820" s="408"/>
      <c r="AU820" s="408"/>
      <c r="AV820" s="408"/>
      <c r="AW820" s="408"/>
      <c r="AX820" s="250"/>
      <c r="AY820" s="250"/>
      <c r="AZ820" s="250"/>
      <c r="BA820" s="250"/>
      <c r="BB820" s="250"/>
      <c r="BC820" s="250"/>
      <c r="BD820" s="250"/>
      <c r="BE820" s="250"/>
      <c r="BF820" s="250"/>
      <c r="BG820" s="250"/>
      <c r="BH820" s="250"/>
      <c r="BI820" s="250"/>
      <c r="BJ820" s="250"/>
      <c r="BK820" s="250"/>
      <c r="BL820" s="250"/>
      <c r="BM820" s="250"/>
      <c r="BN820" s="250"/>
      <c r="BO820" s="250"/>
      <c r="BP820" s="250"/>
      <c r="BQ820" s="250"/>
      <c r="BR820" s="250"/>
      <c r="BS820" s="250"/>
      <c r="BT820" s="250"/>
      <c r="BU820" s="250"/>
      <c r="BV820" s="250"/>
      <c r="BW820" s="250"/>
      <c r="BX820" s="250"/>
      <c r="BY820" s="250"/>
      <c r="BZ820" s="250"/>
      <c r="CA820" s="250"/>
      <c r="CB820" s="250"/>
      <c r="CC820" s="250"/>
      <c r="CD820" s="250"/>
      <c r="CE820" s="250"/>
      <c r="CF820" s="250"/>
      <c r="CG820" s="250"/>
      <c r="CH820" s="250"/>
      <c r="CI820" s="408"/>
      <c r="CJ820" s="408"/>
      <c r="CK820" s="408"/>
      <c r="CL820" s="408"/>
      <c r="CM820" s="408"/>
      <c r="CN820" s="408"/>
      <c r="CO820" s="408"/>
      <c r="CP820" s="408"/>
      <c r="CQ820" s="408"/>
      <c r="CR820" s="408"/>
      <c r="CS820" s="408"/>
      <c r="CT820" s="250"/>
      <c r="CU820" s="250"/>
      <c r="CV820" s="250"/>
      <c r="CW820" s="250"/>
      <c r="CX820" s="408"/>
      <c r="CY820" s="408"/>
      <c r="CZ820" s="408"/>
      <c r="DA820" s="408"/>
      <c r="DB820" s="408"/>
      <c r="DC820" s="408"/>
      <c r="DD820" s="408"/>
      <c r="DE820" s="250"/>
      <c r="DF820" s="408"/>
      <c r="DG820" s="408"/>
      <c r="DH820" s="408"/>
      <c r="DI820" s="408"/>
      <c r="DJ820" s="408"/>
      <c r="DK820" s="408"/>
      <c r="DL820" s="408"/>
      <c r="DM820" s="250"/>
      <c r="DN820" s="250"/>
      <c r="DO820" s="250"/>
      <c r="DP820" s="250"/>
      <c r="DQ820" s="250"/>
      <c r="DR820" s="250"/>
      <c r="DS820" s="250"/>
      <c r="DT820" s="250"/>
      <c r="DU820" s="250"/>
      <c r="DV820" s="250"/>
      <c r="DW820" s="252"/>
      <c r="DX820" s="252"/>
      <c r="DY820" s="250"/>
      <c r="DZ820" s="250"/>
      <c r="EA820" s="260"/>
      <c r="EB820" s="260"/>
      <c r="EC820" s="260"/>
      <c r="ED820" s="260"/>
      <c r="EG820" s="396"/>
      <c r="EH820" s="396"/>
    </row>
    <row r="821" spans="1:138" s="3" customFormat="1" x14ac:dyDescent="0.25">
      <c r="A821" s="407"/>
      <c r="B821" s="407"/>
      <c r="C821" s="250"/>
      <c r="D821" s="250"/>
      <c r="E821" s="250"/>
      <c r="F821" s="250"/>
      <c r="G821" s="250"/>
      <c r="H821" s="250"/>
      <c r="I821" s="250"/>
      <c r="J821" s="250"/>
      <c r="K821" s="250"/>
      <c r="L821" s="250"/>
      <c r="M821" s="250"/>
      <c r="N821" s="250"/>
      <c r="O821" s="250"/>
      <c r="P821" s="250"/>
      <c r="Q821" s="250"/>
      <c r="R821" s="250"/>
      <c r="S821" s="250"/>
      <c r="T821" s="250"/>
      <c r="U821" s="250"/>
      <c r="V821" s="250"/>
      <c r="W821" s="250"/>
      <c r="X821" s="250"/>
      <c r="Y821" s="250"/>
      <c r="Z821" s="250"/>
      <c r="AA821" s="250"/>
      <c r="AB821" s="250"/>
      <c r="AC821" s="250"/>
      <c r="AD821" s="250"/>
      <c r="AE821" s="250"/>
      <c r="AF821" s="250"/>
      <c r="AG821" s="250"/>
      <c r="AH821" s="250"/>
      <c r="AI821" s="250"/>
      <c r="AJ821" s="250"/>
      <c r="AK821" s="250"/>
      <c r="AL821" s="250"/>
      <c r="AM821" s="408"/>
      <c r="AN821" s="408"/>
      <c r="AO821" s="408"/>
      <c r="AP821" s="408"/>
      <c r="AQ821" s="408"/>
      <c r="AR821" s="408"/>
      <c r="AS821" s="408"/>
      <c r="AT821" s="408"/>
      <c r="AU821" s="408"/>
      <c r="AV821" s="408"/>
      <c r="AW821" s="408"/>
      <c r="AX821" s="250"/>
      <c r="AY821" s="250"/>
      <c r="AZ821" s="250"/>
      <c r="BA821" s="250"/>
      <c r="BB821" s="250"/>
      <c r="BC821" s="250"/>
      <c r="BD821" s="250"/>
      <c r="BE821" s="250"/>
      <c r="BF821" s="250"/>
      <c r="BG821" s="250"/>
      <c r="BH821" s="250"/>
      <c r="BI821" s="250"/>
      <c r="BJ821" s="250"/>
      <c r="BK821" s="250"/>
      <c r="BL821" s="250"/>
      <c r="BM821" s="250"/>
      <c r="BN821" s="250"/>
      <c r="BO821" s="250"/>
      <c r="BP821" s="250"/>
      <c r="BQ821" s="250"/>
      <c r="BR821" s="250"/>
      <c r="BS821" s="250"/>
      <c r="BT821" s="250"/>
      <c r="BU821" s="250"/>
      <c r="BV821" s="250"/>
      <c r="BW821" s="250"/>
      <c r="BX821" s="250"/>
      <c r="BY821" s="250"/>
      <c r="BZ821" s="250"/>
      <c r="CA821" s="250"/>
      <c r="CB821" s="250"/>
      <c r="CC821" s="250"/>
      <c r="CD821" s="250"/>
      <c r="CE821" s="250"/>
      <c r="CF821" s="250"/>
      <c r="CG821" s="250"/>
      <c r="CH821" s="250"/>
      <c r="CI821" s="408"/>
      <c r="CJ821" s="408"/>
      <c r="CK821" s="408"/>
      <c r="CL821" s="408"/>
      <c r="CM821" s="408"/>
      <c r="CN821" s="408"/>
      <c r="CO821" s="408"/>
      <c r="CP821" s="408"/>
      <c r="CQ821" s="408"/>
      <c r="CR821" s="408"/>
      <c r="CS821" s="408"/>
      <c r="CT821" s="250"/>
      <c r="CU821" s="250"/>
      <c r="CV821" s="250"/>
      <c r="CW821" s="250"/>
      <c r="CX821" s="408"/>
      <c r="CY821" s="408"/>
      <c r="CZ821" s="408"/>
      <c r="DA821" s="408"/>
      <c r="DB821" s="408"/>
      <c r="DC821" s="408"/>
      <c r="DD821" s="408"/>
      <c r="DE821" s="250"/>
      <c r="DF821" s="408"/>
      <c r="DG821" s="408"/>
      <c r="DH821" s="408"/>
      <c r="DI821" s="408"/>
      <c r="DJ821" s="408"/>
      <c r="DK821" s="408"/>
      <c r="DL821" s="408"/>
      <c r="DM821" s="250"/>
      <c r="DN821" s="250"/>
      <c r="DO821" s="250"/>
      <c r="DP821" s="250"/>
      <c r="DQ821" s="250"/>
      <c r="DR821" s="250"/>
      <c r="DS821" s="250"/>
      <c r="DT821" s="250"/>
      <c r="DU821" s="250"/>
      <c r="DV821" s="250"/>
      <c r="DW821" s="252"/>
      <c r="DX821" s="252"/>
      <c r="DY821" s="250"/>
      <c r="DZ821" s="250"/>
      <c r="EA821" s="260"/>
      <c r="EB821" s="260"/>
      <c r="EC821" s="260"/>
      <c r="ED821" s="260"/>
      <c r="EG821" s="396"/>
      <c r="EH821" s="396"/>
    </row>
    <row r="822" spans="1:138" s="3" customFormat="1" x14ac:dyDescent="0.25">
      <c r="A822" s="407"/>
      <c r="B822" s="407"/>
      <c r="C822" s="250"/>
      <c r="D822" s="250"/>
      <c r="E822" s="250"/>
      <c r="F822" s="250"/>
      <c r="G822" s="250"/>
      <c r="H822" s="250"/>
      <c r="I822" s="250"/>
      <c r="J822" s="250"/>
      <c r="K822" s="250"/>
      <c r="L822" s="250"/>
      <c r="M822" s="250"/>
      <c r="N822" s="250"/>
      <c r="O822" s="250"/>
      <c r="P822" s="250"/>
      <c r="Q822" s="250"/>
      <c r="R822" s="250"/>
      <c r="S822" s="250"/>
      <c r="T822" s="250"/>
      <c r="U822" s="250"/>
      <c r="V822" s="250"/>
      <c r="W822" s="250"/>
      <c r="X822" s="250"/>
      <c r="Y822" s="250"/>
      <c r="Z822" s="250"/>
      <c r="AA822" s="250"/>
      <c r="AB822" s="250"/>
      <c r="AC822" s="250"/>
      <c r="AD822" s="250"/>
      <c r="AE822" s="250"/>
      <c r="AF822" s="250"/>
      <c r="AG822" s="250"/>
      <c r="AH822" s="250"/>
      <c r="AI822" s="250"/>
      <c r="AJ822" s="250"/>
      <c r="AK822" s="250"/>
      <c r="AL822" s="250"/>
      <c r="AM822" s="408"/>
      <c r="AN822" s="408"/>
      <c r="AO822" s="408"/>
      <c r="AP822" s="408"/>
      <c r="AQ822" s="408"/>
      <c r="AR822" s="408"/>
      <c r="AS822" s="408"/>
      <c r="AT822" s="408"/>
      <c r="AU822" s="408"/>
      <c r="AV822" s="408"/>
      <c r="AW822" s="408"/>
      <c r="AX822" s="250"/>
      <c r="AY822" s="250"/>
      <c r="AZ822" s="250"/>
      <c r="BA822" s="250"/>
      <c r="BB822" s="250"/>
      <c r="BC822" s="250"/>
      <c r="BD822" s="250"/>
      <c r="BE822" s="250"/>
      <c r="BF822" s="250"/>
      <c r="BG822" s="250"/>
      <c r="BH822" s="250"/>
      <c r="BI822" s="250"/>
      <c r="BJ822" s="250"/>
      <c r="BK822" s="250"/>
      <c r="BL822" s="250"/>
      <c r="BM822" s="250"/>
      <c r="BN822" s="250"/>
      <c r="BO822" s="250"/>
      <c r="BP822" s="250"/>
      <c r="BQ822" s="250"/>
      <c r="BR822" s="250"/>
      <c r="BS822" s="250"/>
      <c r="BT822" s="250"/>
      <c r="BU822" s="250"/>
      <c r="BV822" s="250"/>
      <c r="BW822" s="250"/>
      <c r="BX822" s="250"/>
      <c r="BY822" s="250"/>
      <c r="BZ822" s="250"/>
      <c r="CA822" s="250"/>
      <c r="CB822" s="250"/>
      <c r="CC822" s="250"/>
      <c r="CD822" s="250"/>
      <c r="CE822" s="250"/>
      <c r="CF822" s="250"/>
      <c r="CG822" s="250"/>
      <c r="CH822" s="250"/>
      <c r="CI822" s="408"/>
      <c r="CJ822" s="408"/>
      <c r="CK822" s="408"/>
      <c r="CL822" s="408"/>
      <c r="CM822" s="408"/>
      <c r="CN822" s="408"/>
      <c r="CO822" s="408"/>
      <c r="CP822" s="408"/>
      <c r="CQ822" s="408"/>
      <c r="CR822" s="408"/>
      <c r="CS822" s="408"/>
      <c r="CT822" s="250"/>
      <c r="CU822" s="250"/>
      <c r="CV822" s="250"/>
      <c r="CW822" s="250"/>
      <c r="CX822" s="408"/>
      <c r="CY822" s="408"/>
      <c r="CZ822" s="408"/>
      <c r="DA822" s="408"/>
      <c r="DB822" s="408"/>
      <c r="DC822" s="408"/>
      <c r="DD822" s="408"/>
      <c r="DE822" s="250"/>
      <c r="DF822" s="408"/>
      <c r="DG822" s="408"/>
      <c r="DH822" s="408"/>
      <c r="DI822" s="408"/>
      <c r="DJ822" s="408"/>
      <c r="DK822" s="408"/>
      <c r="DL822" s="408"/>
      <c r="DM822" s="250"/>
      <c r="DN822" s="250"/>
      <c r="DO822" s="250"/>
      <c r="DP822" s="250"/>
      <c r="DQ822" s="250"/>
      <c r="DR822" s="250"/>
      <c r="DS822" s="250"/>
      <c r="DT822" s="250"/>
      <c r="DU822" s="250"/>
      <c r="DV822" s="250"/>
      <c r="DW822" s="252"/>
      <c r="DX822" s="252"/>
      <c r="DY822" s="250"/>
      <c r="DZ822" s="250"/>
      <c r="EA822" s="260"/>
      <c r="EB822" s="260"/>
      <c r="EC822" s="260"/>
      <c r="ED822" s="260"/>
      <c r="EG822" s="396"/>
      <c r="EH822" s="396"/>
    </row>
    <row r="823" spans="1:138" s="3" customFormat="1" x14ac:dyDescent="0.25">
      <c r="A823" s="407"/>
      <c r="B823" s="407"/>
      <c r="C823" s="250"/>
      <c r="D823" s="250"/>
      <c r="E823" s="250"/>
      <c r="F823" s="250"/>
      <c r="G823" s="250"/>
      <c r="H823" s="250"/>
      <c r="I823" s="250"/>
      <c r="J823" s="250"/>
      <c r="K823" s="250"/>
      <c r="L823" s="250"/>
      <c r="M823" s="250"/>
      <c r="N823" s="250"/>
      <c r="O823" s="250"/>
      <c r="P823" s="250"/>
      <c r="Q823" s="250"/>
      <c r="R823" s="250"/>
      <c r="S823" s="250"/>
      <c r="T823" s="250"/>
      <c r="U823" s="250"/>
      <c r="V823" s="250"/>
      <c r="W823" s="250"/>
      <c r="X823" s="250"/>
      <c r="Y823" s="250"/>
      <c r="Z823" s="250"/>
      <c r="AA823" s="250"/>
      <c r="AB823" s="250"/>
      <c r="AC823" s="250"/>
      <c r="AD823" s="250"/>
      <c r="AE823" s="250"/>
      <c r="AF823" s="250"/>
      <c r="AG823" s="250"/>
      <c r="AH823" s="250"/>
      <c r="AI823" s="250"/>
      <c r="AJ823" s="250"/>
      <c r="AK823" s="250"/>
      <c r="AL823" s="250"/>
      <c r="AM823" s="408"/>
      <c r="AN823" s="408"/>
      <c r="AO823" s="408"/>
      <c r="AP823" s="408"/>
      <c r="AQ823" s="408"/>
      <c r="AR823" s="408"/>
      <c r="AS823" s="408"/>
      <c r="AT823" s="408"/>
      <c r="AU823" s="408"/>
      <c r="AV823" s="408"/>
      <c r="AW823" s="408"/>
      <c r="AX823" s="250"/>
      <c r="AY823" s="250"/>
      <c r="AZ823" s="250"/>
      <c r="BA823" s="250"/>
      <c r="BB823" s="250"/>
      <c r="BC823" s="250"/>
      <c r="BD823" s="250"/>
      <c r="BE823" s="250"/>
      <c r="BF823" s="250"/>
      <c r="BG823" s="250"/>
      <c r="BH823" s="250"/>
      <c r="BI823" s="250"/>
      <c r="BJ823" s="250"/>
      <c r="BK823" s="250"/>
      <c r="BL823" s="250"/>
      <c r="BM823" s="250"/>
      <c r="BN823" s="250"/>
      <c r="BO823" s="250"/>
      <c r="BP823" s="250"/>
      <c r="BQ823" s="250"/>
      <c r="BR823" s="250"/>
      <c r="BS823" s="250"/>
      <c r="BT823" s="250"/>
      <c r="BU823" s="250"/>
      <c r="BV823" s="250"/>
      <c r="BW823" s="250"/>
      <c r="BX823" s="250"/>
      <c r="BY823" s="250"/>
      <c r="BZ823" s="250"/>
      <c r="CA823" s="250"/>
      <c r="CB823" s="250"/>
      <c r="CC823" s="250"/>
      <c r="CD823" s="250"/>
      <c r="CE823" s="250"/>
      <c r="CF823" s="250"/>
      <c r="CG823" s="250"/>
      <c r="CH823" s="250"/>
      <c r="CI823" s="408"/>
      <c r="CJ823" s="408"/>
      <c r="CK823" s="408"/>
      <c r="CL823" s="408"/>
      <c r="CM823" s="408"/>
      <c r="CN823" s="408"/>
      <c r="CO823" s="408"/>
      <c r="CP823" s="408"/>
      <c r="CQ823" s="408"/>
      <c r="CR823" s="408"/>
      <c r="CS823" s="408"/>
      <c r="CT823" s="250"/>
      <c r="CU823" s="250"/>
      <c r="CV823" s="250"/>
      <c r="CW823" s="250"/>
      <c r="CX823" s="408"/>
      <c r="CY823" s="408"/>
      <c r="CZ823" s="408"/>
      <c r="DA823" s="408"/>
      <c r="DB823" s="408"/>
      <c r="DC823" s="408"/>
      <c r="DD823" s="408"/>
      <c r="DE823" s="250"/>
      <c r="DF823" s="408"/>
      <c r="DG823" s="408"/>
      <c r="DH823" s="408"/>
      <c r="DI823" s="408"/>
      <c r="DJ823" s="408"/>
      <c r="DK823" s="408"/>
      <c r="DL823" s="408"/>
      <c r="DM823" s="250"/>
      <c r="DN823" s="250"/>
      <c r="DO823" s="250"/>
      <c r="DP823" s="250"/>
      <c r="DQ823" s="250"/>
      <c r="DR823" s="250"/>
      <c r="DS823" s="250"/>
      <c r="DT823" s="250"/>
      <c r="DU823" s="250"/>
      <c r="DV823" s="250"/>
      <c r="DW823" s="252"/>
      <c r="DX823" s="252"/>
      <c r="DY823" s="250"/>
      <c r="DZ823" s="250"/>
      <c r="EA823" s="260"/>
      <c r="EB823" s="260"/>
      <c r="EC823" s="260"/>
      <c r="ED823" s="260"/>
      <c r="EG823" s="396"/>
      <c r="EH823" s="396"/>
    </row>
    <row r="824" spans="1:138" s="3" customFormat="1" x14ac:dyDescent="0.25">
      <c r="A824" s="407"/>
      <c r="B824" s="407"/>
      <c r="C824" s="250"/>
      <c r="D824" s="250"/>
      <c r="E824" s="250"/>
      <c r="F824" s="250"/>
      <c r="G824" s="250"/>
      <c r="H824" s="250"/>
      <c r="I824" s="250"/>
      <c r="J824" s="250"/>
      <c r="K824" s="250"/>
      <c r="L824" s="250"/>
      <c r="M824" s="250"/>
      <c r="N824" s="250"/>
      <c r="O824" s="250"/>
      <c r="P824" s="250"/>
      <c r="Q824" s="250"/>
      <c r="R824" s="250"/>
      <c r="S824" s="250"/>
      <c r="T824" s="250"/>
      <c r="U824" s="250"/>
      <c r="V824" s="250"/>
      <c r="W824" s="250"/>
      <c r="X824" s="250"/>
      <c r="Y824" s="250"/>
      <c r="Z824" s="250"/>
      <c r="AA824" s="250"/>
      <c r="AB824" s="250"/>
      <c r="AC824" s="250"/>
      <c r="AD824" s="250"/>
      <c r="AE824" s="250"/>
      <c r="AF824" s="250"/>
      <c r="AG824" s="250"/>
      <c r="AH824" s="250"/>
      <c r="AI824" s="250"/>
      <c r="AJ824" s="250"/>
      <c r="AK824" s="250"/>
      <c r="AL824" s="250"/>
      <c r="AM824" s="408"/>
      <c r="AN824" s="408"/>
      <c r="AO824" s="408"/>
      <c r="AP824" s="408"/>
      <c r="AQ824" s="408"/>
      <c r="AR824" s="408"/>
      <c r="AS824" s="408"/>
      <c r="AT824" s="408"/>
      <c r="AU824" s="408"/>
      <c r="AV824" s="408"/>
      <c r="AW824" s="408"/>
      <c r="AX824" s="250"/>
      <c r="AY824" s="250"/>
      <c r="AZ824" s="250"/>
      <c r="BA824" s="250"/>
      <c r="BB824" s="250"/>
      <c r="BC824" s="250"/>
      <c r="BD824" s="250"/>
      <c r="BE824" s="250"/>
      <c r="BF824" s="250"/>
      <c r="BG824" s="250"/>
      <c r="BH824" s="250"/>
      <c r="BI824" s="250"/>
      <c r="BJ824" s="250"/>
      <c r="BK824" s="250"/>
      <c r="BL824" s="250"/>
      <c r="BM824" s="250"/>
      <c r="BN824" s="250"/>
      <c r="BO824" s="250"/>
      <c r="BP824" s="250"/>
      <c r="BQ824" s="250"/>
      <c r="BR824" s="250"/>
      <c r="BS824" s="250"/>
      <c r="BT824" s="250"/>
      <c r="BU824" s="250"/>
      <c r="BV824" s="250"/>
      <c r="BW824" s="250"/>
      <c r="BX824" s="250"/>
      <c r="BY824" s="250"/>
      <c r="BZ824" s="250"/>
      <c r="CA824" s="250"/>
      <c r="CB824" s="250"/>
      <c r="CC824" s="250"/>
      <c r="CD824" s="250"/>
      <c r="CE824" s="250"/>
      <c r="CF824" s="250"/>
      <c r="CG824" s="250"/>
      <c r="CH824" s="250"/>
      <c r="CI824" s="408"/>
      <c r="CJ824" s="408"/>
      <c r="CK824" s="408"/>
      <c r="CL824" s="408"/>
      <c r="CM824" s="408"/>
      <c r="CN824" s="408"/>
      <c r="CO824" s="408"/>
      <c r="CP824" s="408"/>
      <c r="CQ824" s="408"/>
      <c r="CR824" s="408"/>
      <c r="CS824" s="408"/>
      <c r="CT824" s="250"/>
      <c r="CU824" s="250"/>
      <c r="CV824" s="250"/>
      <c r="CW824" s="250"/>
      <c r="CX824" s="408"/>
      <c r="CY824" s="408"/>
      <c r="CZ824" s="408"/>
      <c r="DA824" s="408"/>
      <c r="DB824" s="408"/>
      <c r="DC824" s="408"/>
      <c r="DD824" s="408"/>
      <c r="DE824" s="250"/>
      <c r="DF824" s="408"/>
      <c r="DG824" s="408"/>
      <c r="DH824" s="408"/>
      <c r="DI824" s="408"/>
      <c r="DJ824" s="408"/>
      <c r="DK824" s="408"/>
      <c r="DL824" s="408"/>
      <c r="DM824" s="250"/>
      <c r="DN824" s="250"/>
      <c r="DO824" s="250"/>
      <c r="DP824" s="250"/>
      <c r="DQ824" s="250"/>
      <c r="DR824" s="250"/>
      <c r="DS824" s="250"/>
      <c r="DT824" s="250"/>
      <c r="DU824" s="250"/>
      <c r="DV824" s="250"/>
      <c r="DW824" s="252"/>
      <c r="DX824" s="252"/>
      <c r="DY824" s="250"/>
      <c r="DZ824" s="250"/>
      <c r="EA824" s="260"/>
      <c r="EB824" s="260"/>
      <c r="EC824" s="260"/>
      <c r="ED824" s="260"/>
      <c r="EG824" s="396"/>
      <c r="EH824" s="396"/>
    </row>
    <row r="825" spans="1:138" s="3" customFormat="1" x14ac:dyDescent="0.25">
      <c r="A825" s="407"/>
      <c r="B825" s="407"/>
      <c r="C825" s="250"/>
      <c r="D825" s="250"/>
      <c r="E825" s="250"/>
      <c r="F825" s="250"/>
      <c r="G825" s="250"/>
      <c r="H825" s="250"/>
      <c r="I825" s="250"/>
      <c r="J825" s="250"/>
      <c r="K825" s="250"/>
      <c r="L825" s="250"/>
      <c r="M825" s="250"/>
      <c r="N825" s="250"/>
      <c r="O825" s="250"/>
      <c r="P825" s="250"/>
      <c r="Q825" s="250"/>
      <c r="R825" s="250"/>
      <c r="S825" s="250"/>
      <c r="T825" s="250"/>
      <c r="U825" s="250"/>
      <c r="V825" s="250"/>
      <c r="W825" s="250"/>
      <c r="X825" s="250"/>
      <c r="Y825" s="250"/>
      <c r="Z825" s="250"/>
      <c r="AA825" s="250"/>
      <c r="AB825" s="250"/>
      <c r="AC825" s="250"/>
      <c r="AD825" s="250"/>
      <c r="AE825" s="250"/>
      <c r="AF825" s="250"/>
      <c r="AG825" s="250"/>
      <c r="AH825" s="250"/>
      <c r="AI825" s="250"/>
      <c r="AJ825" s="250"/>
      <c r="AK825" s="250"/>
      <c r="AL825" s="250"/>
      <c r="AM825" s="408"/>
      <c r="AN825" s="408"/>
      <c r="AO825" s="408"/>
      <c r="AP825" s="408"/>
      <c r="AQ825" s="408"/>
      <c r="AR825" s="408"/>
      <c r="AS825" s="408"/>
      <c r="AT825" s="408"/>
      <c r="AU825" s="408"/>
      <c r="AV825" s="408"/>
      <c r="AW825" s="408"/>
      <c r="AX825" s="250"/>
      <c r="AY825" s="250"/>
      <c r="AZ825" s="250"/>
      <c r="BA825" s="250"/>
      <c r="BB825" s="250"/>
      <c r="BC825" s="250"/>
      <c r="BD825" s="250"/>
      <c r="BE825" s="250"/>
      <c r="BF825" s="250"/>
      <c r="BG825" s="250"/>
      <c r="BH825" s="250"/>
      <c r="BI825" s="250"/>
      <c r="BJ825" s="250"/>
      <c r="BK825" s="250"/>
      <c r="BL825" s="250"/>
      <c r="BM825" s="250"/>
      <c r="BN825" s="250"/>
      <c r="BO825" s="250"/>
      <c r="BP825" s="250"/>
      <c r="BQ825" s="250"/>
      <c r="BR825" s="250"/>
      <c r="BS825" s="250"/>
      <c r="BT825" s="250"/>
      <c r="BU825" s="250"/>
      <c r="BV825" s="250"/>
      <c r="BW825" s="250"/>
      <c r="BX825" s="250"/>
      <c r="BY825" s="250"/>
      <c r="BZ825" s="250"/>
      <c r="CA825" s="250"/>
      <c r="CB825" s="250"/>
      <c r="CC825" s="250"/>
      <c r="CD825" s="250"/>
      <c r="CE825" s="250"/>
      <c r="CF825" s="250"/>
      <c r="CG825" s="250"/>
      <c r="CH825" s="250"/>
      <c r="CI825" s="408"/>
      <c r="CJ825" s="408"/>
      <c r="CK825" s="408"/>
      <c r="CL825" s="408"/>
      <c r="CM825" s="408"/>
      <c r="CN825" s="408"/>
      <c r="CO825" s="408"/>
      <c r="CP825" s="408"/>
      <c r="CQ825" s="408"/>
      <c r="CR825" s="408"/>
      <c r="CS825" s="408"/>
      <c r="CT825" s="250"/>
      <c r="CU825" s="250"/>
      <c r="CV825" s="250"/>
      <c r="CW825" s="250"/>
      <c r="CX825" s="408"/>
      <c r="CY825" s="408"/>
      <c r="CZ825" s="408"/>
      <c r="DA825" s="408"/>
      <c r="DB825" s="408"/>
      <c r="DC825" s="408"/>
      <c r="DD825" s="408"/>
      <c r="DE825" s="250"/>
      <c r="DF825" s="408"/>
      <c r="DG825" s="408"/>
      <c r="DH825" s="408"/>
      <c r="DI825" s="408"/>
      <c r="DJ825" s="408"/>
      <c r="DK825" s="408"/>
      <c r="DL825" s="408"/>
      <c r="DM825" s="250"/>
      <c r="DN825" s="250"/>
      <c r="DO825" s="250"/>
      <c r="DP825" s="250"/>
      <c r="DQ825" s="250"/>
      <c r="DR825" s="250"/>
      <c r="DS825" s="250"/>
      <c r="DT825" s="250"/>
      <c r="DU825" s="250"/>
      <c r="DV825" s="250"/>
      <c r="DW825" s="252"/>
      <c r="DX825" s="252"/>
      <c r="DY825" s="250"/>
      <c r="DZ825" s="250"/>
      <c r="EA825" s="260"/>
      <c r="EB825" s="260"/>
      <c r="EC825" s="260"/>
      <c r="ED825" s="260"/>
      <c r="EG825" s="396"/>
      <c r="EH825" s="396"/>
    </row>
    <row r="826" spans="1:138" s="3" customFormat="1" x14ac:dyDescent="0.25">
      <c r="A826" s="407"/>
      <c r="B826" s="407"/>
      <c r="C826" s="250"/>
      <c r="D826" s="250"/>
      <c r="E826" s="250"/>
      <c r="F826" s="250"/>
      <c r="G826" s="250"/>
      <c r="H826" s="250"/>
      <c r="I826" s="250"/>
      <c r="J826" s="250"/>
      <c r="K826" s="250"/>
      <c r="L826" s="250"/>
      <c r="M826" s="250"/>
      <c r="N826" s="250"/>
      <c r="O826" s="250"/>
      <c r="P826" s="250"/>
      <c r="Q826" s="250"/>
      <c r="R826" s="250"/>
      <c r="S826" s="250"/>
      <c r="T826" s="250"/>
      <c r="U826" s="250"/>
      <c r="V826" s="250"/>
      <c r="W826" s="250"/>
      <c r="X826" s="250"/>
      <c r="Y826" s="250"/>
      <c r="Z826" s="250"/>
      <c r="AA826" s="250"/>
      <c r="AB826" s="250"/>
      <c r="AC826" s="250"/>
      <c r="AD826" s="250"/>
      <c r="AE826" s="250"/>
      <c r="AF826" s="250"/>
      <c r="AG826" s="250"/>
      <c r="AH826" s="250"/>
      <c r="AI826" s="250"/>
      <c r="AJ826" s="250"/>
      <c r="AK826" s="250"/>
      <c r="AL826" s="250"/>
      <c r="AM826" s="408"/>
      <c r="AN826" s="408"/>
      <c r="AO826" s="408"/>
      <c r="AP826" s="408"/>
      <c r="AQ826" s="408"/>
      <c r="AR826" s="408"/>
      <c r="AS826" s="408"/>
      <c r="AT826" s="408"/>
      <c r="AU826" s="408"/>
      <c r="AV826" s="408"/>
      <c r="AW826" s="408"/>
      <c r="AX826" s="250"/>
      <c r="AY826" s="250"/>
      <c r="AZ826" s="250"/>
      <c r="BA826" s="250"/>
      <c r="BB826" s="250"/>
      <c r="BC826" s="250"/>
      <c r="BD826" s="250"/>
      <c r="BE826" s="250"/>
      <c r="BF826" s="250"/>
      <c r="BG826" s="250"/>
      <c r="BH826" s="250"/>
      <c r="BI826" s="250"/>
      <c r="BJ826" s="250"/>
      <c r="BK826" s="250"/>
      <c r="BL826" s="250"/>
      <c r="BM826" s="250"/>
      <c r="BN826" s="250"/>
      <c r="BO826" s="250"/>
      <c r="BP826" s="250"/>
      <c r="BQ826" s="250"/>
      <c r="BR826" s="250"/>
      <c r="BS826" s="250"/>
      <c r="BT826" s="250"/>
      <c r="BU826" s="250"/>
      <c r="BV826" s="250"/>
      <c r="BW826" s="250"/>
      <c r="BX826" s="250"/>
      <c r="BY826" s="250"/>
      <c r="BZ826" s="250"/>
      <c r="CA826" s="250"/>
      <c r="CB826" s="250"/>
      <c r="CC826" s="250"/>
      <c r="CD826" s="250"/>
      <c r="CE826" s="250"/>
      <c r="CF826" s="250"/>
      <c r="CG826" s="250"/>
      <c r="CH826" s="250"/>
      <c r="CI826" s="408"/>
      <c r="CJ826" s="408"/>
      <c r="CK826" s="408"/>
      <c r="CL826" s="408"/>
      <c r="CM826" s="408"/>
      <c r="CN826" s="408"/>
      <c r="CO826" s="408"/>
      <c r="CP826" s="408"/>
      <c r="CQ826" s="408"/>
      <c r="CR826" s="408"/>
      <c r="CS826" s="408"/>
      <c r="CT826" s="250"/>
      <c r="CU826" s="250"/>
      <c r="CV826" s="250"/>
      <c r="CW826" s="250"/>
      <c r="CX826" s="408"/>
      <c r="CY826" s="408"/>
      <c r="CZ826" s="408"/>
      <c r="DA826" s="408"/>
      <c r="DB826" s="408"/>
      <c r="DC826" s="408"/>
      <c r="DD826" s="408"/>
      <c r="DE826" s="250"/>
      <c r="DF826" s="408"/>
      <c r="DG826" s="408"/>
      <c r="DH826" s="408"/>
      <c r="DI826" s="408"/>
      <c r="DJ826" s="408"/>
      <c r="DK826" s="408"/>
      <c r="DL826" s="408"/>
      <c r="DM826" s="250"/>
      <c r="DN826" s="250"/>
      <c r="DO826" s="250"/>
      <c r="DP826" s="250"/>
      <c r="DQ826" s="250"/>
      <c r="DR826" s="250"/>
      <c r="DS826" s="250"/>
      <c r="DT826" s="250"/>
      <c r="DU826" s="250"/>
      <c r="DV826" s="250"/>
      <c r="DW826" s="252"/>
      <c r="DX826" s="252"/>
      <c r="DY826" s="250"/>
      <c r="DZ826" s="250"/>
      <c r="EA826" s="260"/>
      <c r="EB826" s="260"/>
      <c r="EC826" s="260"/>
      <c r="ED826" s="260"/>
      <c r="EG826" s="396"/>
      <c r="EH826" s="396"/>
    </row>
    <row r="827" spans="1:138" s="3" customFormat="1" x14ac:dyDescent="0.25">
      <c r="A827" s="407"/>
      <c r="B827" s="407"/>
      <c r="C827" s="250"/>
      <c r="D827" s="250"/>
      <c r="E827" s="250"/>
      <c r="F827" s="250"/>
      <c r="G827" s="250"/>
      <c r="H827" s="250"/>
      <c r="I827" s="250"/>
      <c r="J827" s="250"/>
      <c r="K827" s="250"/>
      <c r="L827" s="250"/>
      <c r="M827" s="250"/>
      <c r="N827" s="250"/>
      <c r="O827" s="250"/>
      <c r="P827" s="250"/>
      <c r="Q827" s="250"/>
      <c r="R827" s="250"/>
      <c r="S827" s="250"/>
      <c r="T827" s="250"/>
      <c r="U827" s="250"/>
      <c r="V827" s="250"/>
      <c r="W827" s="250"/>
      <c r="X827" s="250"/>
      <c r="Y827" s="250"/>
      <c r="Z827" s="250"/>
      <c r="AA827" s="250"/>
      <c r="AB827" s="250"/>
      <c r="AC827" s="250"/>
      <c r="AD827" s="250"/>
      <c r="AE827" s="250"/>
      <c r="AF827" s="250"/>
      <c r="AG827" s="250"/>
      <c r="AH827" s="250"/>
      <c r="AI827" s="250"/>
      <c r="AJ827" s="250"/>
      <c r="AK827" s="250"/>
      <c r="AL827" s="250"/>
      <c r="AM827" s="408"/>
      <c r="AN827" s="408"/>
      <c r="AO827" s="408"/>
      <c r="AP827" s="408"/>
      <c r="AQ827" s="408"/>
      <c r="AR827" s="408"/>
      <c r="AS827" s="408"/>
      <c r="AT827" s="408"/>
      <c r="AU827" s="408"/>
      <c r="AV827" s="408"/>
      <c r="AW827" s="408"/>
      <c r="AX827" s="250"/>
      <c r="AY827" s="250"/>
      <c r="AZ827" s="250"/>
      <c r="BA827" s="250"/>
      <c r="BB827" s="250"/>
      <c r="BC827" s="250"/>
      <c r="BD827" s="250"/>
      <c r="BE827" s="250"/>
      <c r="BF827" s="250"/>
      <c r="BG827" s="250"/>
      <c r="BH827" s="250"/>
      <c r="BI827" s="250"/>
      <c r="BJ827" s="250"/>
      <c r="BK827" s="250"/>
      <c r="BL827" s="250"/>
      <c r="BM827" s="250"/>
      <c r="BN827" s="250"/>
      <c r="BO827" s="250"/>
      <c r="BP827" s="250"/>
      <c r="BQ827" s="250"/>
      <c r="BR827" s="250"/>
      <c r="BS827" s="250"/>
      <c r="BT827" s="250"/>
      <c r="BU827" s="250"/>
      <c r="BV827" s="250"/>
      <c r="BW827" s="250"/>
      <c r="BX827" s="250"/>
      <c r="BY827" s="250"/>
      <c r="BZ827" s="250"/>
      <c r="CA827" s="250"/>
      <c r="CB827" s="250"/>
      <c r="CC827" s="250"/>
      <c r="CD827" s="250"/>
      <c r="CE827" s="250"/>
      <c r="CF827" s="250"/>
      <c r="CG827" s="250"/>
      <c r="CH827" s="250"/>
      <c r="CI827" s="408"/>
      <c r="CJ827" s="408"/>
      <c r="CK827" s="408"/>
      <c r="CL827" s="408"/>
      <c r="CM827" s="408"/>
      <c r="CN827" s="408"/>
      <c r="CO827" s="408"/>
      <c r="CP827" s="408"/>
      <c r="CQ827" s="408"/>
      <c r="CR827" s="408"/>
      <c r="CS827" s="408"/>
      <c r="CT827" s="250"/>
      <c r="CU827" s="250"/>
      <c r="CV827" s="250"/>
      <c r="CW827" s="250"/>
      <c r="CX827" s="408"/>
      <c r="CY827" s="408"/>
      <c r="CZ827" s="408"/>
      <c r="DA827" s="408"/>
      <c r="DB827" s="408"/>
      <c r="DC827" s="408"/>
      <c r="DD827" s="408"/>
      <c r="DE827" s="250"/>
      <c r="DF827" s="408"/>
      <c r="DG827" s="408"/>
      <c r="DH827" s="408"/>
      <c r="DI827" s="408"/>
      <c r="DJ827" s="408"/>
      <c r="DK827" s="408"/>
      <c r="DL827" s="408"/>
      <c r="DM827" s="250"/>
      <c r="DN827" s="250"/>
      <c r="DO827" s="250"/>
      <c r="DP827" s="250"/>
      <c r="DQ827" s="250"/>
      <c r="DR827" s="250"/>
      <c r="DS827" s="250"/>
      <c r="DT827" s="250"/>
      <c r="DU827" s="250"/>
      <c r="DV827" s="250"/>
      <c r="DW827" s="252"/>
      <c r="DX827" s="252"/>
      <c r="DY827" s="250"/>
      <c r="DZ827" s="250"/>
      <c r="EA827" s="260"/>
      <c r="EB827" s="260"/>
      <c r="EC827" s="260"/>
      <c r="ED827" s="260"/>
      <c r="EG827" s="396"/>
      <c r="EH827" s="396"/>
    </row>
    <row r="828" spans="1:138" s="3" customFormat="1" x14ac:dyDescent="0.25">
      <c r="A828" s="407"/>
      <c r="B828" s="407"/>
      <c r="C828" s="250"/>
      <c r="D828" s="250"/>
      <c r="E828" s="250"/>
      <c r="F828" s="250"/>
      <c r="G828" s="250"/>
      <c r="H828" s="250"/>
      <c r="I828" s="250"/>
      <c r="J828" s="250"/>
      <c r="K828" s="250"/>
      <c r="L828" s="250"/>
      <c r="M828" s="250"/>
      <c r="N828" s="250"/>
      <c r="O828" s="250"/>
      <c r="P828" s="250"/>
      <c r="Q828" s="250"/>
      <c r="R828" s="250"/>
      <c r="S828" s="250"/>
      <c r="T828" s="250"/>
      <c r="U828" s="250"/>
      <c r="V828" s="250"/>
      <c r="W828" s="250"/>
      <c r="X828" s="250"/>
      <c r="Y828" s="250"/>
      <c r="Z828" s="250"/>
      <c r="AA828" s="250"/>
      <c r="AB828" s="250"/>
      <c r="AC828" s="250"/>
      <c r="AD828" s="250"/>
      <c r="AE828" s="250"/>
      <c r="AF828" s="250"/>
      <c r="AG828" s="250"/>
      <c r="AH828" s="250"/>
      <c r="AI828" s="250"/>
      <c r="AJ828" s="250"/>
      <c r="AK828" s="250"/>
      <c r="AL828" s="250"/>
      <c r="AM828" s="408"/>
      <c r="AN828" s="408"/>
      <c r="AO828" s="408"/>
      <c r="AP828" s="408"/>
      <c r="AQ828" s="408"/>
      <c r="AR828" s="408"/>
      <c r="AS828" s="408"/>
      <c r="AT828" s="408"/>
      <c r="AU828" s="408"/>
      <c r="AV828" s="408"/>
      <c r="AW828" s="408"/>
      <c r="AX828" s="250"/>
      <c r="AY828" s="250"/>
      <c r="AZ828" s="250"/>
      <c r="BA828" s="250"/>
      <c r="BB828" s="250"/>
      <c r="BC828" s="250"/>
      <c r="BD828" s="250"/>
      <c r="BE828" s="250"/>
      <c r="BF828" s="250"/>
      <c r="BG828" s="250"/>
      <c r="BH828" s="250"/>
      <c r="BI828" s="250"/>
      <c r="BJ828" s="250"/>
      <c r="BK828" s="250"/>
      <c r="BL828" s="250"/>
      <c r="BM828" s="250"/>
      <c r="BN828" s="250"/>
      <c r="BO828" s="250"/>
      <c r="BP828" s="250"/>
      <c r="BQ828" s="250"/>
      <c r="BR828" s="250"/>
      <c r="BS828" s="250"/>
      <c r="BT828" s="250"/>
      <c r="BU828" s="250"/>
      <c r="BV828" s="250"/>
      <c r="BW828" s="250"/>
      <c r="BX828" s="250"/>
      <c r="BY828" s="250"/>
      <c r="BZ828" s="250"/>
      <c r="CA828" s="250"/>
      <c r="CB828" s="250"/>
      <c r="CC828" s="250"/>
      <c r="CD828" s="250"/>
      <c r="CE828" s="250"/>
      <c r="CF828" s="250"/>
      <c r="CG828" s="250"/>
      <c r="CH828" s="250"/>
      <c r="CI828" s="408"/>
      <c r="CJ828" s="408"/>
      <c r="CK828" s="408"/>
      <c r="CL828" s="408"/>
      <c r="CM828" s="408"/>
      <c r="CN828" s="408"/>
      <c r="CO828" s="408"/>
      <c r="CP828" s="408"/>
      <c r="CQ828" s="408"/>
      <c r="CR828" s="408"/>
      <c r="CS828" s="408"/>
      <c r="CT828" s="250"/>
      <c r="CU828" s="250"/>
      <c r="CV828" s="250"/>
      <c r="CW828" s="250"/>
      <c r="CX828" s="408"/>
      <c r="CY828" s="408"/>
      <c r="CZ828" s="408"/>
      <c r="DA828" s="408"/>
      <c r="DB828" s="408"/>
      <c r="DC828" s="408"/>
      <c r="DD828" s="408"/>
      <c r="DE828" s="250"/>
      <c r="DF828" s="408"/>
      <c r="DG828" s="408"/>
      <c r="DH828" s="408"/>
      <c r="DI828" s="408"/>
      <c r="DJ828" s="408"/>
      <c r="DK828" s="408"/>
      <c r="DL828" s="408"/>
      <c r="DM828" s="250"/>
      <c r="DN828" s="250"/>
      <c r="DO828" s="250"/>
      <c r="DP828" s="250"/>
      <c r="DQ828" s="250"/>
      <c r="DR828" s="250"/>
      <c r="DS828" s="250"/>
      <c r="DT828" s="250"/>
      <c r="DU828" s="250"/>
      <c r="DV828" s="250"/>
      <c r="DW828" s="252"/>
      <c r="DX828" s="252"/>
      <c r="DY828" s="250"/>
      <c r="DZ828" s="250"/>
      <c r="EA828" s="260"/>
      <c r="EB828" s="260"/>
      <c r="EC828" s="260"/>
      <c r="ED828" s="260"/>
      <c r="EG828" s="396"/>
      <c r="EH828" s="396"/>
    </row>
    <row r="829" spans="1:138" s="3" customFormat="1" x14ac:dyDescent="0.25">
      <c r="A829" s="407"/>
      <c r="B829" s="407"/>
      <c r="C829" s="250"/>
      <c r="D829" s="250"/>
      <c r="E829" s="250"/>
      <c r="F829" s="250"/>
      <c r="G829" s="250"/>
      <c r="H829" s="250"/>
      <c r="I829" s="250"/>
      <c r="J829" s="250"/>
      <c r="K829" s="250"/>
      <c r="L829" s="250"/>
      <c r="M829" s="250"/>
      <c r="N829" s="250"/>
      <c r="O829" s="250"/>
      <c r="P829" s="250"/>
      <c r="Q829" s="250"/>
      <c r="R829" s="250"/>
      <c r="S829" s="250"/>
      <c r="T829" s="250"/>
      <c r="U829" s="250"/>
      <c r="V829" s="250"/>
      <c r="W829" s="250"/>
      <c r="X829" s="250"/>
      <c r="Y829" s="250"/>
      <c r="Z829" s="250"/>
      <c r="AA829" s="250"/>
      <c r="AB829" s="250"/>
      <c r="AC829" s="250"/>
      <c r="AD829" s="250"/>
      <c r="AE829" s="250"/>
      <c r="AF829" s="250"/>
      <c r="AG829" s="250"/>
      <c r="AH829" s="250"/>
      <c r="AI829" s="250"/>
      <c r="AJ829" s="250"/>
      <c r="AK829" s="250"/>
      <c r="AL829" s="250"/>
      <c r="AM829" s="408"/>
      <c r="AN829" s="408"/>
      <c r="AO829" s="408"/>
      <c r="AP829" s="408"/>
      <c r="AQ829" s="408"/>
      <c r="AR829" s="408"/>
      <c r="AS829" s="408"/>
      <c r="AT829" s="408"/>
      <c r="AU829" s="408"/>
      <c r="AV829" s="408"/>
      <c r="AW829" s="408"/>
      <c r="AX829" s="250"/>
      <c r="AY829" s="250"/>
      <c r="AZ829" s="250"/>
      <c r="BA829" s="250"/>
      <c r="BB829" s="250"/>
      <c r="BC829" s="250"/>
      <c r="BD829" s="250"/>
      <c r="BE829" s="250"/>
      <c r="BF829" s="250"/>
      <c r="BG829" s="250"/>
      <c r="BH829" s="250"/>
      <c r="BI829" s="250"/>
      <c r="BJ829" s="250"/>
      <c r="BK829" s="250"/>
      <c r="BL829" s="250"/>
      <c r="BM829" s="250"/>
      <c r="BN829" s="250"/>
      <c r="BO829" s="250"/>
      <c r="BP829" s="250"/>
      <c r="BQ829" s="250"/>
      <c r="BR829" s="250"/>
      <c r="BS829" s="250"/>
      <c r="BT829" s="250"/>
      <c r="BU829" s="250"/>
      <c r="BV829" s="250"/>
      <c r="BW829" s="250"/>
      <c r="BX829" s="250"/>
      <c r="BY829" s="250"/>
      <c r="BZ829" s="250"/>
      <c r="CA829" s="250"/>
      <c r="CB829" s="250"/>
      <c r="CC829" s="250"/>
      <c r="CD829" s="250"/>
      <c r="CE829" s="250"/>
      <c r="CF829" s="250"/>
      <c r="CG829" s="250"/>
      <c r="CH829" s="250"/>
      <c r="CI829" s="408"/>
      <c r="CJ829" s="408"/>
      <c r="CK829" s="408"/>
      <c r="CL829" s="408"/>
      <c r="CM829" s="408"/>
      <c r="CN829" s="408"/>
      <c r="CO829" s="408"/>
      <c r="CP829" s="408"/>
      <c r="CQ829" s="408"/>
      <c r="CR829" s="408"/>
      <c r="CS829" s="408"/>
      <c r="CT829" s="250"/>
      <c r="CU829" s="250"/>
      <c r="CV829" s="250"/>
      <c r="CW829" s="250"/>
      <c r="CX829" s="408"/>
      <c r="CY829" s="408"/>
      <c r="CZ829" s="408"/>
      <c r="DA829" s="408"/>
      <c r="DB829" s="408"/>
      <c r="DC829" s="408"/>
      <c r="DD829" s="408"/>
      <c r="DE829" s="250"/>
      <c r="DF829" s="408"/>
      <c r="DG829" s="408"/>
      <c r="DH829" s="408"/>
      <c r="DI829" s="408"/>
      <c r="DJ829" s="408"/>
      <c r="DK829" s="408"/>
      <c r="DL829" s="408"/>
      <c r="DM829" s="250"/>
      <c r="DN829" s="250"/>
      <c r="DO829" s="250"/>
      <c r="DP829" s="250"/>
      <c r="DQ829" s="250"/>
      <c r="DR829" s="250"/>
      <c r="DS829" s="250"/>
      <c r="DT829" s="250"/>
      <c r="DU829" s="250"/>
      <c r="DV829" s="250"/>
      <c r="DW829" s="252"/>
      <c r="DX829" s="252"/>
      <c r="DY829" s="250"/>
      <c r="DZ829" s="250"/>
      <c r="EA829" s="260"/>
      <c r="EB829" s="260"/>
      <c r="EC829" s="260"/>
      <c r="ED829" s="260"/>
      <c r="EG829" s="396"/>
      <c r="EH829" s="396"/>
    </row>
    <row r="830" spans="1:138" s="3" customFormat="1" x14ac:dyDescent="0.25">
      <c r="A830" s="407"/>
      <c r="B830" s="407"/>
      <c r="C830" s="250"/>
      <c r="D830" s="250"/>
      <c r="E830" s="250"/>
      <c r="F830" s="250"/>
      <c r="G830" s="250"/>
      <c r="H830" s="250"/>
      <c r="I830" s="250"/>
      <c r="J830" s="250"/>
      <c r="K830" s="250"/>
      <c r="L830" s="250"/>
      <c r="M830" s="250"/>
      <c r="N830" s="250"/>
      <c r="O830" s="250"/>
      <c r="P830" s="250"/>
      <c r="Q830" s="250"/>
      <c r="R830" s="250"/>
      <c r="S830" s="250"/>
      <c r="T830" s="250"/>
      <c r="U830" s="250"/>
      <c r="V830" s="250"/>
      <c r="W830" s="250"/>
      <c r="X830" s="250"/>
      <c r="Y830" s="250"/>
      <c r="Z830" s="250"/>
      <c r="AA830" s="250"/>
      <c r="AB830" s="250"/>
      <c r="AC830" s="250"/>
      <c r="AD830" s="250"/>
      <c r="AE830" s="250"/>
      <c r="AF830" s="250"/>
      <c r="AG830" s="250"/>
      <c r="AH830" s="250"/>
      <c r="AI830" s="250"/>
      <c r="AJ830" s="250"/>
      <c r="AK830" s="250"/>
      <c r="AL830" s="250"/>
      <c r="AM830" s="408"/>
      <c r="AN830" s="408"/>
      <c r="AO830" s="408"/>
      <c r="AP830" s="408"/>
      <c r="AQ830" s="408"/>
      <c r="AR830" s="408"/>
      <c r="AS830" s="408"/>
      <c r="AT830" s="408"/>
      <c r="AU830" s="408"/>
      <c r="AV830" s="408"/>
      <c r="AW830" s="408"/>
      <c r="AX830" s="250"/>
      <c r="AY830" s="250"/>
      <c r="AZ830" s="250"/>
      <c r="BA830" s="250"/>
      <c r="BB830" s="250"/>
      <c r="BC830" s="250"/>
      <c r="BD830" s="250"/>
      <c r="BE830" s="250"/>
      <c r="BF830" s="250"/>
      <c r="BG830" s="250"/>
      <c r="BH830" s="250"/>
      <c r="BI830" s="250"/>
      <c r="BJ830" s="250"/>
      <c r="BK830" s="250"/>
      <c r="BL830" s="250"/>
      <c r="BM830" s="250"/>
      <c r="BN830" s="250"/>
      <c r="BO830" s="250"/>
      <c r="BP830" s="250"/>
      <c r="BQ830" s="250"/>
      <c r="BR830" s="250"/>
      <c r="BS830" s="250"/>
      <c r="BT830" s="250"/>
      <c r="BU830" s="250"/>
      <c r="BV830" s="250"/>
      <c r="BW830" s="250"/>
      <c r="BX830" s="250"/>
      <c r="BY830" s="250"/>
      <c r="BZ830" s="250"/>
      <c r="CA830" s="250"/>
      <c r="CB830" s="250"/>
      <c r="CC830" s="250"/>
      <c r="CD830" s="250"/>
      <c r="CE830" s="250"/>
      <c r="CF830" s="250"/>
      <c r="CG830" s="250"/>
      <c r="CH830" s="250"/>
      <c r="CI830" s="408"/>
      <c r="CJ830" s="408"/>
      <c r="CK830" s="408"/>
      <c r="CL830" s="408"/>
      <c r="CM830" s="408"/>
      <c r="CN830" s="408"/>
      <c r="CO830" s="408"/>
      <c r="CP830" s="408"/>
      <c r="CQ830" s="408"/>
      <c r="CR830" s="408"/>
      <c r="CS830" s="408"/>
      <c r="CT830" s="250"/>
      <c r="CU830" s="250"/>
      <c r="CV830" s="250"/>
      <c r="CW830" s="250"/>
      <c r="CX830" s="408"/>
      <c r="CY830" s="408"/>
      <c r="CZ830" s="408"/>
      <c r="DA830" s="408"/>
      <c r="DB830" s="408"/>
      <c r="DC830" s="408"/>
      <c r="DD830" s="408"/>
      <c r="DE830" s="250"/>
      <c r="DF830" s="408"/>
      <c r="DG830" s="408"/>
      <c r="DH830" s="408"/>
      <c r="DI830" s="408"/>
      <c r="DJ830" s="408"/>
      <c r="DK830" s="408"/>
      <c r="DL830" s="408"/>
      <c r="DM830" s="250"/>
      <c r="DN830" s="250"/>
      <c r="DO830" s="250"/>
      <c r="DP830" s="250"/>
      <c r="DQ830" s="250"/>
      <c r="DR830" s="250"/>
      <c r="DS830" s="250"/>
      <c r="DT830" s="250"/>
      <c r="DU830" s="250"/>
      <c r="DV830" s="250"/>
      <c r="DW830" s="252"/>
      <c r="DX830" s="252"/>
      <c r="DY830" s="250"/>
      <c r="DZ830" s="250"/>
      <c r="EA830" s="260"/>
      <c r="EB830" s="260"/>
      <c r="EC830" s="260"/>
      <c r="ED830" s="260"/>
      <c r="EG830" s="396"/>
      <c r="EH830" s="396"/>
    </row>
    <row r="831" spans="1:138" s="3" customFormat="1" x14ac:dyDescent="0.25">
      <c r="A831" s="407"/>
      <c r="B831" s="407"/>
      <c r="C831" s="250"/>
      <c r="D831" s="250"/>
      <c r="E831" s="250"/>
      <c r="F831" s="250"/>
      <c r="G831" s="250"/>
      <c r="H831" s="250"/>
      <c r="I831" s="250"/>
      <c r="J831" s="250"/>
      <c r="K831" s="250"/>
      <c r="L831" s="250"/>
      <c r="M831" s="250"/>
      <c r="N831" s="250"/>
      <c r="O831" s="250"/>
      <c r="P831" s="250"/>
      <c r="Q831" s="250"/>
      <c r="R831" s="250"/>
      <c r="S831" s="250"/>
      <c r="T831" s="250"/>
      <c r="U831" s="250"/>
      <c r="V831" s="250"/>
      <c r="W831" s="250"/>
      <c r="X831" s="250"/>
      <c r="Y831" s="250"/>
      <c r="Z831" s="250"/>
      <c r="AA831" s="250"/>
      <c r="AB831" s="250"/>
      <c r="AC831" s="250"/>
      <c r="AD831" s="250"/>
      <c r="AE831" s="250"/>
      <c r="AF831" s="250"/>
      <c r="AG831" s="250"/>
      <c r="AH831" s="250"/>
      <c r="AI831" s="250"/>
      <c r="AJ831" s="250"/>
      <c r="AK831" s="250"/>
      <c r="AL831" s="250"/>
      <c r="AM831" s="408"/>
      <c r="AN831" s="408"/>
      <c r="AO831" s="408"/>
      <c r="AP831" s="408"/>
      <c r="AQ831" s="408"/>
      <c r="AR831" s="408"/>
      <c r="AS831" s="408"/>
      <c r="AT831" s="408"/>
      <c r="AU831" s="408"/>
      <c r="AV831" s="408"/>
      <c r="AW831" s="408"/>
      <c r="AX831" s="250"/>
      <c r="AY831" s="250"/>
      <c r="AZ831" s="250"/>
      <c r="BA831" s="250"/>
      <c r="BB831" s="250"/>
      <c r="BC831" s="250"/>
      <c r="BD831" s="250"/>
      <c r="BE831" s="250"/>
      <c r="BF831" s="250"/>
      <c r="BG831" s="250"/>
      <c r="BH831" s="250"/>
      <c r="BI831" s="250"/>
      <c r="BJ831" s="250"/>
      <c r="BK831" s="250"/>
      <c r="BL831" s="250"/>
      <c r="BM831" s="250"/>
      <c r="BN831" s="250"/>
      <c r="BO831" s="250"/>
      <c r="BP831" s="250"/>
      <c r="BQ831" s="250"/>
      <c r="BR831" s="250"/>
      <c r="BS831" s="250"/>
      <c r="BT831" s="250"/>
      <c r="BU831" s="250"/>
      <c r="BV831" s="250"/>
      <c r="BW831" s="250"/>
      <c r="BX831" s="250"/>
      <c r="BY831" s="250"/>
      <c r="BZ831" s="250"/>
      <c r="CA831" s="250"/>
      <c r="CB831" s="250"/>
      <c r="CC831" s="250"/>
      <c r="CD831" s="250"/>
      <c r="CE831" s="250"/>
      <c r="CF831" s="250"/>
      <c r="CG831" s="250"/>
      <c r="CH831" s="250"/>
      <c r="CI831" s="408"/>
      <c r="CJ831" s="408"/>
      <c r="CK831" s="408"/>
      <c r="CL831" s="408"/>
      <c r="CM831" s="408"/>
      <c r="CN831" s="408"/>
      <c r="CO831" s="408"/>
      <c r="CP831" s="408"/>
      <c r="CQ831" s="408"/>
      <c r="CR831" s="408"/>
      <c r="CS831" s="408"/>
      <c r="CT831" s="250"/>
      <c r="CU831" s="250"/>
      <c r="CV831" s="250"/>
      <c r="CW831" s="250"/>
      <c r="CX831" s="408"/>
      <c r="CY831" s="408"/>
      <c r="CZ831" s="408"/>
      <c r="DA831" s="408"/>
      <c r="DB831" s="408"/>
      <c r="DC831" s="408"/>
      <c r="DD831" s="408"/>
      <c r="DE831" s="250"/>
      <c r="DF831" s="408"/>
      <c r="DG831" s="408"/>
      <c r="DH831" s="408"/>
      <c r="DI831" s="408"/>
      <c r="DJ831" s="408"/>
      <c r="DK831" s="408"/>
      <c r="DL831" s="408"/>
      <c r="DM831" s="250"/>
      <c r="DN831" s="250"/>
      <c r="DO831" s="250"/>
      <c r="DP831" s="250"/>
      <c r="DQ831" s="250"/>
      <c r="DR831" s="250"/>
      <c r="DS831" s="250"/>
      <c r="DT831" s="250"/>
      <c r="DU831" s="250"/>
      <c r="DV831" s="250"/>
      <c r="DW831" s="252"/>
      <c r="DX831" s="252"/>
      <c r="DY831" s="250"/>
      <c r="DZ831" s="250"/>
      <c r="EA831" s="260"/>
      <c r="EB831" s="260"/>
      <c r="EC831" s="260"/>
      <c r="ED831" s="260"/>
      <c r="EG831" s="396"/>
      <c r="EH831" s="396"/>
    </row>
    <row r="832" spans="1:138" s="3" customFormat="1" x14ac:dyDescent="0.25">
      <c r="A832" s="407"/>
      <c r="B832" s="407"/>
      <c r="C832" s="250"/>
      <c r="D832" s="250"/>
      <c r="E832" s="250"/>
      <c r="F832" s="250"/>
      <c r="G832" s="250"/>
      <c r="H832" s="250"/>
      <c r="I832" s="250"/>
      <c r="J832" s="250"/>
      <c r="K832" s="250"/>
      <c r="L832" s="250"/>
      <c r="M832" s="250"/>
      <c r="N832" s="250"/>
      <c r="O832" s="250"/>
      <c r="P832" s="250"/>
      <c r="Q832" s="250"/>
      <c r="R832" s="250"/>
      <c r="S832" s="250"/>
      <c r="T832" s="250"/>
      <c r="U832" s="250"/>
      <c r="V832" s="250"/>
      <c r="W832" s="250"/>
      <c r="X832" s="250"/>
      <c r="Y832" s="250"/>
      <c r="Z832" s="250"/>
      <c r="AA832" s="250"/>
      <c r="AB832" s="250"/>
      <c r="AC832" s="250"/>
      <c r="AD832" s="250"/>
      <c r="AE832" s="250"/>
      <c r="AF832" s="250"/>
      <c r="AG832" s="250"/>
      <c r="AH832" s="250"/>
      <c r="AI832" s="250"/>
      <c r="AJ832" s="250"/>
      <c r="AK832" s="250"/>
      <c r="AL832" s="250"/>
      <c r="AM832" s="408"/>
      <c r="AN832" s="408"/>
      <c r="AO832" s="408"/>
      <c r="AP832" s="408"/>
      <c r="AQ832" s="408"/>
      <c r="AR832" s="408"/>
      <c r="AS832" s="408"/>
      <c r="AT832" s="408"/>
      <c r="AU832" s="408"/>
      <c r="AV832" s="408"/>
      <c r="AW832" s="408"/>
      <c r="AX832" s="250"/>
      <c r="AY832" s="250"/>
      <c r="AZ832" s="250"/>
      <c r="BA832" s="250"/>
      <c r="BB832" s="250"/>
      <c r="BC832" s="250"/>
      <c r="BD832" s="250"/>
      <c r="BE832" s="250"/>
      <c r="BF832" s="250"/>
      <c r="BG832" s="250"/>
      <c r="BH832" s="250"/>
      <c r="BI832" s="250"/>
      <c r="BJ832" s="250"/>
      <c r="BK832" s="250"/>
      <c r="BL832" s="250"/>
      <c r="BM832" s="250"/>
      <c r="BN832" s="250"/>
      <c r="BO832" s="250"/>
      <c r="BP832" s="250"/>
      <c r="BQ832" s="250"/>
      <c r="BR832" s="250"/>
      <c r="BS832" s="250"/>
      <c r="BT832" s="250"/>
      <c r="BU832" s="250"/>
      <c r="BV832" s="250"/>
      <c r="BW832" s="250"/>
      <c r="BX832" s="250"/>
      <c r="BY832" s="250"/>
      <c r="BZ832" s="250"/>
      <c r="CA832" s="250"/>
      <c r="CB832" s="250"/>
      <c r="CC832" s="250"/>
      <c r="CD832" s="250"/>
      <c r="CE832" s="250"/>
      <c r="CF832" s="250"/>
      <c r="CG832" s="250"/>
      <c r="CH832" s="250"/>
      <c r="CI832" s="408"/>
      <c r="CJ832" s="408"/>
      <c r="CK832" s="408"/>
      <c r="CL832" s="408"/>
      <c r="CM832" s="408"/>
      <c r="CN832" s="408"/>
      <c r="CO832" s="408"/>
      <c r="CP832" s="408"/>
      <c r="CQ832" s="408"/>
      <c r="CR832" s="408"/>
      <c r="CS832" s="408"/>
      <c r="CT832" s="250"/>
      <c r="CU832" s="250"/>
      <c r="CV832" s="250"/>
      <c r="CW832" s="250"/>
      <c r="CX832" s="408"/>
      <c r="CY832" s="408"/>
      <c r="CZ832" s="408"/>
      <c r="DA832" s="408"/>
      <c r="DB832" s="408"/>
      <c r="DC832" s="408"/>
      <c r="DD832" s="408"/>
      <c r="DE832" s="250"/>
      <c r="DF832" s="408"/>
      <c r="DG832" s="408"/>
      <c r="DH832" s="408"/>
      <c r="DI832" s="408"/>
      <c r="DJ832" s="408"/>
      <c r="DK832" s="408"/>
      <c r="DL832" s="408"/>
      <c r="DM832" s="250"/>
      <c r="DN832" s="250"/>
      <c r="DO832" s="250"/>
      <c r="DP832" s="250"/>
      <c r="DQ832" s="250"/>
      <c r="DR832" s="250"/>
      <c r="DS832" s="250"/>
      <c r="DT832" s="250"/>
      <c r="DU832" s="250"/>
      <c r="DV832" s="250"/>
      <c r="DW832" s="252"/>
      <c r="DX832" s="252"/>
      <c r="DY832" s="250"/>
      <c r="DZ832" s="250"/>
      <c r="EA832" s="260"/>
      <c r="EB832" s="260"/>
      <c r="EC832" s="260"/>
      <c r="ED832" s="260"/>
      <c r="EG832" s="396"/>
      <c r="EH832" s="396"/>
    </row>
    <row r="833" spans="1:138" s="3" customFormat="1" x14ac:dyDescent="0.25">
      <c r="A833" s="407"/>
      <c r="B833" s="407"/>
      <c r="C833" s="250"/>
      <c r="D833" s="250"/>
      <c r="E833" s="250"/>
      <c r="F833" s="250"/>
      <c r="G833" s="250"/>
      <c r="H833" s="250"/>
      <c r="I833" s="250"/>
      <c r="J833" s="250"/>
      <c r="K833" s="250"/>
      <c r="L833" s="250"/>
      <c r="M833" s="250"/>
      <c r="N833" s="250"/>
      <c r="O833" s="250"/>
      <c r="P833" s="250"/>
      <c r="Q833" s="250"/>
      <c r="R833" s="250"/>
      <c r="S833" s="250"/>
      <c r="T833" s="250"/>
      <c r="U833" s="250"/>
      <c r="V833" s="250"/>
      <c r="W833" s="250"/>
      <c r="X833" s="250"/>
      <c r="Y833" s="250"/>
      <c r="Z833" s="250"/>
      <c r="AA833" s="250"/>
      <c r="AB833" s="250"/>
      <c r="AC833" s="250"/>
      <c r="AD833" s="250"/>
      <c r="AE833" s="250"/>
      <c r="AF833" s="250"/>
      <c r="AG833" s="250"/>
      <c r="AH833" s="250"/>
      <c r="AI833" s="250"/>
      <c r="AJ833" s="250"/>
      <c r="AK833" s="250"/>
      <c r="AL833" s="250"/>
      <c r="AM833" s="408"/>
      <c r="AN833" s="408"/>
      <c r="AO833" s="408"/>
      <c r="AP833" s="408"/>
      <c r="AQ833" s="408"/>
      <c r="AR833" s="408"/>
      <c r="AS833" s="408"/>
      <c r="AT833" s="408"/>
      <c r="AU833" s="408"/>
      <c r="AV833" s="408"/>
      <c r="AW833" s="408"/>
      <c r="AX833" s="250"/>
      <c r="AY833" s="250"/>
      <c r="AZ833" s="250"/>
      <c r="BA833" s="250"/>
      <c r="BB833" s="250"/>
      <c r="BC833" s="250"/>
      <c r="BD833" s="250"/>
      <c r="BE833" s="250"/>
      <c r="BF833" s="250"/>
      <c r="BG833" s="250"/>
      <c r="BH833" s="250"/>
      <c r="BI833" s="250"/>
      <c r="BJ833" s="250"/>
      <c r="BK833" s="250"/>
      <c r="BL833" s="250"/>
      <c r="BM833" s="250"/>
      <c r="BN833" s="250"/>
      <c r="BO833" s="250"/>
      <c r="BP833" s="250"/>
      <c r="BQ833" s="250"/>
      <c r="BR833" s="250"/>
      <c r="BS833" s="250"/>
      <c r="BT833" s="250"/>
      <c r="BU833" s="250"/>
      <c r="BV833" s="250"/>
      <c r="BW833" s="250"/>
      <c r="BX833" s="250"/>
      <c r="BY833" s="250"/>
      <c r="BZ833" s="250"/>
      <c r="CA833" s="250"/>
      <c r="CB833" s="250"/>
      <c r="CC833" s="250"/>
      <c r="CD833" s="250"/>
      <c r="CE833" s="250"/>
      <c r="CF833" s="250"/>
      <c r="CG833" s="250"/>
      <c r="CH833" s="250"/>
      <c r="CI833" s="408"/>
      <c r="CJ833" s="408"/>
      <c r="CK833" s="408"/>
      <c r="CL833" s="408"/>
      <c r="CM833" s="408"/>
      <c r="CN833" s="408"/>
      <c r="CO833" s="408"/>
      <c r="CP833" s="408"/>
      <c r="CQ833" s="408"/>
      <c r="CR833" s="408"/>
      <c r="CS833" s="408"/>
      <c r="CT833" s="250"/>
      <c r="CU833" s="250"/>
      <c r="CV833" s="250"/>
      <c r="CW833" s="250"/>
      <c r="CX833" s="408"/>
      <c r="CY833" s="408"/>
      <c r="CZ833" s="408"/>
      <c r="DA833" s="408"/>
      <c r="DB833" s="408"/>
      <c r="DC833" s="408"/>
      <c r="DD833" s="408"/>
      <c r="DE833" s="250"/>
      <c r="DF833" s="408"/>
      <c r="DG833" s="408"/>
      <c r="DH833" s="408"/>
      <c r="DI833" s="408"/>
      <c r="DJ833" s="408"/>
      <c r="DK833" s="408"/>
      <c r="DL833" s="408"/>
      <c r="DM833" s="250"/>
      <c r="DN833" s="250"/>
      <c r="DO833" s="250"/>
      <c r="DP833" s="250"/>
      <c r="DQ833" s="250"/>
      <c r="DR833" s="250"/>
      <c r="DS833" s="250"/>
      <c r="DT833" s="250"/>
      <c r="DU833" s="250"/>
      <c r="DV833" s="250"/>
      <c r="DW833" s="252"/>
      <c r="DX833" s="252"/>
      <c r="DY833" s="250"/>
      <c r="DZ833" s="250"/>
      <c r="EA833" s="260"/>
      <c r="EB833" s="260"/>
      <c r="EC833" s="260"/>
      <c r="ED833" s="260"/>
      <c r="EG833" s="396"/>
      <c r="EH833" s="396"/>
    </row>
    <row r="834" spans="1:138" s="3" customFormat="1" x14ac:dyDescent="0.25">
      <c r="A834" s="407"/>
      <c r="B834" s="407"/>
      <c r="C834" s="250"/>
      <c r="D834" s="250"/>
      <c r="E834" s="250"/>
      <c r="F834" s="250"/>
      <c r="G834" s="250"/>
      <c r="H834" s="250"/>
      <c r="I834" s="250"/>
      <c r="J834" s="250"/>
      <c r="K834" s="250"/>
      <c r="L834" s="250"/>
      <c r="M834" s="250"/>
      <c r="N834" s="250"/>
      <c r="O834" s="250"/>
      <c r="P834" s="250"/>
      <c r="Q834" s="250"/>
      <c r="R834" s="250"/>
      <c r="S834" s="250"/>
      <c r="T834" s="250"/>
      <c r="U834" s="250"/>
      <c r="V834" s="250"/>
      <c r="W834" s="250"/>
      <c r="X834" s="250"/>
      <c r="Y834" s="250"/>
      <c r="Z834" s="250"/>
      <c r="AA834" s="250"/>
      <c r="AB834" s="250"/>
      <c r="AC834" s="250"/>
      <c r="AD834" s="250"/>
      <c r="AE834" s="250"/>
      <c r="AF834" s="250"/>
      <c r="AG834" s="250"/>
      <c r="AH834" s="250"/>
      <c r="AI834" s="250"/>
      <c r="AJ834" s="250"/>
      <c r="AK834" s="250"/>
      <c r="AL834" s="250"/>
      <c r="AM834" s="408"/>
      <c r="AN834" s="408"/>
      <c r="AO834" s="408"/>
      <c r="AP834" s="408"/>
      <c r="AQ834" s="408"/>
      <c r="AR834" s="408"/>
      <c r="AS834" s="408"/>
      <c r="AT834" s="408"/>
      <c r="AU834" s="408"/>
      <c r="AV834" s="408"/>
      <c r="AW834" s="408"/>
      <c r="AX834" s="250"/>
      <c r="AY834" s="250"/>
      <c r="AZ834" s="250"/>
      <c r="BA834" s="250"/>
      <c r="BB834" s="250"/>
      <c r="BC834" s="250"/>
      <c r="BD834" s="250"/>
      <c r="BE834" s="250"/>
      <c r="BF834" s="250"/>
      <c r="BG834" s="250"/>
      <c r="BH834" s="250"/>
      <c r="BI834" s="250"/>
      <c r="BJ834" s="250"/>
      <c r="BK834" s="250"/>
      <c r="BL834" s="250"/>
      <c r="BM834" s="250"/>
      <c r="BN834" s="250"/>
      <c r="BO834" s="250"/>
      <c r="BP834" s="250"/>
      <c r="BQ834" s="250"/>
      <c r="BR834" s="250"/>
      <c r="BS834" s="250"/>
      <c r="BT834" s="250"/>
      <c r="BU834" s="250"/>
      <c r="BV834" s="250"/>
      <c r="BW834" s="250"/>
      <c r="BX834" s="250"/>
      <c r="BY834" s="250"/>
      <c r="BZ834" s="250"/>
      <c r="CA834" s="250"/>
      <c r="CB834" s="250"/>
      <c r="CC834" s="250"/>
      <c r="CD834" s="250"/>
      <c r="CE834" s="250"/>
      <c r="CF834" s="250"/>
      <c r="CG834" s="250"/>
      <c r="CH834" s="250"/>
      <c r="CI834" s="408"/>
      <c r="CJ834" s="408"/>
      <c r="CK834" s="408"/>
      <c r="CL834" s="408"/>
      <c r="CM834" s="408"/>
      <c r="CN834" s="408"/>
      <c r="CO834" s="408"/>
      <c r="CP834" s="408"/>
      <c r="CQ834" s="408"/>
      <c r="CR834" s="408"/>
      <c r="CS834" s="408"/>
      <c r="CT834" s="250"/>
      <c r="CU834" s="250"/>
      <c r="CV834" s="250"/>
      <c r="CW834" s="250"/>
      <c r="CX834" s="408"/>
      <c r="CY834" s="408"/>
      <c r="CZ834" s="408"/>
      <c r="DA834" s="408"/>
      <c r="DB834" s="408"/>
      <c r="DC834" s="408"/>
      <c r="DD834" s="408"/>
      <c r="DE834" s="250"/>
      <c r="DF834" s="408"/>
      <c r="DG834" s="408"/>
      <c r="DH834" s="408"/>
      <c r="DI834" s="408"/>
      <c r="DJ834" s="408"/>
      <c r="DK834" s="408"/>
      <c r="DL834" s="408"/>
      <c r="DM834" s="250"/>
      <c r="DN834" s="250"/>
      <c r="DO834" s="250"/>
      <c r="DP834" s="250"/>
      <c r="DQ834" s="250"/>
      <c r="DR834" s="250"/>
      <c r="DS834" s="250"/>
      <c r="DT834" s="250"/>
      <c r="DU834" s="250"/>
      <c r="DV834" s="250"/>
      <c r="DW834" s="252"/>
      <c r="DX834" s="252"/>
      <c r="DY834" s="250"/>
      <c r="DZ834" s="250"/>
      <c r="EA834" s="260"/>
      <c r="EB834" s="260"/>
      <c r="EC834" s="260"/>
      <c r="ED834" s="260"/>
      <c r="EG834" s="396"/>
      <c r="EH834" s="396"/>
    </row>
    <row r="835" spans="1:138" s="3" customFormat="1" x14ac:dyDescent="0.25">
      <c r="A835" s="407"/>
      <c r="B835" s="407"/>
      <c r="C835" s="250"/>
      <c r="D835" s="250"/>
      <c r="E835" s="250"/>
      <c r="F835" s="250"/>
      <c r="G835" s="250"/>
      <c r="H835" s="250"/>
      <c r="I835" s="250"/>
      <c r="J835" s="250"/>
      <c r="K835" s="250"/>
      <c r="L835" s="250"/>
      <c r="M835" s="250"/>
      <c r="N835" s="250"/>
      <c r="O835" s="250"/>
      <c r="P835" s="250"/>
      <c r="Q835" s="250"/>
      <c r="R835" s="250"/>
      <c r="S835" s="250"/>
      <c r="T835" s="250"/>
      <c r="U835" s="250"/>
      <c r="V835" s="250"/>
      <c r="W835" s="250"/>
      <c r="X835" s="250"/>
      <c r="Y835" s="250"/>
      <c r="Z835" s="250"/>
      <c r="AA835" s="250"/>
      <c r="AB835" s="250"/>
      <c r="AC835" s="250"/>
      <c r="AD835" s="250"/>
      <c r="AE835" s="250"/>
      <c r="AF835" s="250"/>
      <c r="AG835" s="250"/>
      <c r="AH835" s="250"/>
      <c r="AI835" s="250"/>
      <c r="AJ835" s="250"/>
      <c r="AK835" s="250"/>
      <c r="AL835" s="250"/>
      <c r="AM835" s="408"/>
      <c r="AN835" s="408"/>
      <c r="AO835" s="408"/>
      <c r="AP835" s="408"/>
      <c r="AQ835" s="408"/>
      <c r="AR835" s="408"/>
      <c r="AS835" s="408"/>
      <c r="AT835" s="408"/>
      <c r="AU835" s="408"/>
      <c r="AV835" s="408"/>
      <c r="AW835" s="408"/>
      <c r="AX835" s="250"/>
      <c r="AY835" s="250"/>
      <c r="AZ835" s="250"/>
      <c r="BA835" s="250"/>
      <c r="BB835" s="250"/>
      <c r="BC835" s="250"/>
      <c r="BD835" s="250"/>
      <c r="BE835" s="250"/>
      <c r="BF835" s="250"/>
      <c r="BG835" s="250"/>
      <c r="BH835" s="250"/>
      <c r="BI835" s="250"/>
      <c r="BJ835" s="250"/>
      <c r="BK835" s="250"/>
      <c r="BL835" s="250"/>
      <c r="BM835" s="250"/>
      <c r="BN835" s="250"/>
      <c r="BO835" s="250"/>
      <c r="BP835" s="250"/>
      <c r="BQ835" s="250"/>
      <c r="BR835" s="250"/>
      <c r="BS835" s="250"/>
      <c r="BT835" s="250"/>
      <c r="BU835" s="250"/>
      <c r="BV835" s="250"/>
      <c r="BW835" s="250"/>
      <c r="BX835" s="250"/>
      <c r="BY835" s="250"/>
      <c r="BZ835" s="250"/>
      <c r="CA835" s="250"/>
      <c r="CB835" s="250"/>
      <c r="CC835" s="250"/>
      <c r="CD835" s="250"/>
      <c r="CE835" s="250"/>
      <c r="CF835" s="250"/>
      <c r="CG835" s="250"/>
      <c r="CH835" s="250"/>
      <c r="CI835" s="408"/>
      <c r="CJ835" s="408"/>
      <c r="CK835" s="408"/>
      <c r="CL835" s="408"/>
      <c r="CM835" s="408"/>
      <c r="CN835" s="408"/>
      <c r="CO835" s="408"/>
      <c r="CP835" s="408"/>
      <c r="CQ835" s="408"/>
      <c r="CR835" s="408"/>
      <c r="CS835" s="408"/>
      <c r="CT835" s="250"/>
      <c r="CU835" s="250"/>
      <c r="CV835" s="250"/>
      <c r="CW835" s="250"/>
      <c r="CX835" s="408"/>
      <c r="CY835" s="408"/>
      <c r="CZ835" s="408"/>
      <c r="DA835" s="408"/>
      <c r="DB835" s="408"/>
      <c r="DC835" s="408"/>
      <c r="DD835" s="408"/>
      <c r="DE835" s="250"/>
      <c r="DF835" s="408"/>
      <c r="DG835" s="408"/>
      <c r="DH835" s="408"/>
      <c r="DI835" s="408"/>
      <c r="DJ835" s="408"/>
      <c r="DK835" s="408"/>
      <c r="DL835" s="408"/>
      <c r="DM835" s="250"/>
      <c r="DN835" s="250"/>
      <c r="DO835" s="250"/>
      <c r="DP835" s="250"/>
      <c r="DQ835" s="250"/>
      <c r="DR835" s="250"/>
      <c r="DS835" s="250"/>
      <c r="DT835" s="250"/>
      <c r="DU835" s="250"/>
      <c r="DV835" s="250"/>
      <c r="DW835" s="252"/>
      <c r="DX835" s="252"/>
      <c r="DY835" s="250"/>
      <c r="DZ835" s="250"/>
      <c r="EA835" s="260"/>
      <c r="EB835" s="260"/>
      <c r="EC835" s="260"/>
      <c r="ED835" s="260"/>
      <c r="EG835" s="396"/>
      <c r="EH835" s="396"/>
    </row>
    <row r="836" spans="1:138" s="3" customFormat="1" x14ac:dyDescent="0.25">
      <c r="A836" s="407"/>
      <c r="B836" s="407"/>
      <c r="C836" s="250"/>
      <c r="D836" s="250"/>
      <c r="E836" s="250"/>
      <c r="F836" s="250"/>
      <c r="G836" s="250"/>
      <c r="H836" s="250"/>
      <c r="I836" s="250"/>
      <c r="J836" s="250"/>
      <c r="K836" s="250"/>
      <c r="L836" s="250"/>
      <c r="M836" s="250"/>
      <c r="N836" s="250"/>
      <c r="O836" s="250"/>
      <c r="P836" s="250"/>
      <c r="Q836" s="250"/>
      <c r="R836" s="250"/>
      <c r="S836" s="250"/>
      <c r="T836" s="250"/>
      <c r="U836" s="250"/>
      <c r="V836" s="250"/>
      <c r="W836" s="250"/>
      <c r="X836" s="250"/>
      <c r="Y836" s="250"/>
      <c r="Z836" s="250"/>
      <c r="AA836" s="250"/>
      <c r="AB836" s="250"/>
      <c r="AC836" s="250"/>
      <c r="AD836" s="250"/>
      <c r="AE836" s="250"/>
      <c r="AF836" s="250"/>
      <c r="AG836" s="250"/>
      <c r="AH836" s="250"/>
      <c r="AI836" s="250"/>
      <c r="AJ836" s="250"/>
      <c r="AK836" s="250"/>
      <c r="AL836" s="250"/>
      <c r="AM836" s="408"/>
      <c r="AN836" s="408"/>
      <c r="AO836" s="408"/>
      <c r="AP836" s="408"/>
      <c r="AQ836" s="408"/>
      <c r="AR836" s="408"/>
      <c r="AS836" s="408"/>
      <c r="AT836" s="408"/>
      <c r="AU836" s="408"/>
      <c r="AV836" s="408"/>
      <c r="AW836" s="408"/>
      <c r="AX836" s="250"/>
      <c r="AY836" s="250"/>
      <c r="AZ836" s="250"/>
      <c r="BA836" s="250"/>
      <c r="BB836" s="250"/>
      <c r="BC836" s="250"/>
      <c r="BD836" s="250"/>
      <c r="BE836" s="250"/>
      <c r="BF836" s="250"/>
      <c r="BG836" s="250"/>
      <c r="BH836" s="250"/>
      <c r="BI836" s="250"/>
      <c r="BJ836" s="250"/>
      <c r="BK836" s="250"/>
      <c r="BL836" s="250"/>
      <c r="BM836" s="250"/>
      <c r="BN836" s="250"/>
      <c r="BO836" s="250"/>
      <c r="BP836" s="250"/>
      <c r="BQ836" s="250"/>
      <c r="BR836" s="250"/>
      <c r="BS836" s="250"/>
      <c r="BT836" s="250"/>
      <c r="BU836" s="250"/>
      <c r="BV836" s="250"/>
      <c r="BW836" s="250"/>
      <c r="BX836" s="250"/>
      <c r="BY836" s="250"/>
      <c r="BZ836" s="250"/>
      <c r="CA836" s="250"/>
      <c r="CB836" s="250"/>
      <c r="CC836" s="250"/>
      <c r="CD836" s="250"/>
      <c r="CE836" s="250"/>
      <c r="CF836" s="250"/>
      <c r="CG836" s="250"/>
      <c r="CH836" s="250"/>
      <c r="CI836" s="408"/>
      <c r="CJ836" s="408"/>
      <c r="CK836" s="408"/>
      <c r="CL836" s="408"/>
      <c r="CM836" s="408"/>
      <c r="CN836" s="408"/>
      <c r="CO836" s="408"/>
      <c r="CP836" s="408"/>
      <c r="CQ836" s="408"/>
      <c r="CR836" s="408"/>
      <c r="CS836" s="408"/>
      <c r="CT836" s="250"/>
      <c r="CU836" s="250"/>
      <c r="CV836" s="250"/>
      <c r="CW836" s="250"/>
      <c r="CX836" s="408"/>
      <c r="CY836" s="408"/>
      <c r="CZ836" s="408"/>
      <c r="DA836" s="408"/>
      <c r="DB836" s="408"/>
      <c r="DC836" s="408"/>
      <c r="DD836" s="408"/>
      <c r="DE836" s="250"/>
      <c r="DF836" s="408"/>
      <c r="DG836" s="408"/>
      <c r="DH836" s="408"/>
      <c r="DI836" s="408"/>
      <c r="DJ836" s="408"/>
      <c r="DK836" s="408"/>
      <c r="DL836" s="408"/>
      <c r="DM836" s="250"/>
      <c r="DN836" s="250"/>
      <c r="DO836" s="250"/>
      <c r="DP836" s="250"/>
      <c r="DQ836" s="250"/>
      <c r="DR836" s="250"/>
      <c r="DS836" s="250"/>
      <c r="DT836" s="250"/>
      <c r="DU836" s="250"/>
      <c r="DV836" s="250"/>
      <c r="DW836" s="252"/>
      <c r="DX836" s="252"/>
      <c r="DY836" s="250"/>
      <c r="DZ836" s="250"/>
      <c r="EA836" s="260"/>
      <c r="EB836" s="260"/>
      <c r="EC836" s="260"/>
      <c r="ED836" s="260"/>
      <c r="EG836" s="396"/>
      <c r="EH836" s="396"/>
    </row>
    <row r="837" spans="1:138" s="3" customFormat="1" x14ac:dyDescent="0.25">
      <c r="A837" s="407"/>
      <c r="B837" s="407"/>
      <c r="C837" s="250"/>
      <c r="D837" s="250"/>
      <c r="E837" s="250"/>
      <c r="F837" s="250"/>
      <c r="G837" s="250"/>
      <c r="H837" s="250"/>
      <c r="I837" s="250"/>
      <c r="J837" s="250"/>
      <c r="K837" s="250"/>
      <c r="L837" s="250"/>
      <c r="M837" s="250"/>
      <c r="N837" s="250"/>
      <c r="O837" s="250"/>
      <c r="P837" s="250"/>
      <c r="Q837" s="250"/>
      <c r="R837" s="250"/>
      <c r="S837" s="250"/>
      <c r="T837" s="250"/>
      <c r="U837" s="250"/>
      <c r="V837" s="250"/>
      <c r="W837" s="250"/>
      <c r="X837" s="250"/>
      <c r="Y837" s="250"/>
      <c r="Z837" s="250"/>
      <c r="AA837" s="250"/>
      <c r="AB837" s="250"/>
      <c r="AC837" s="250"/>
      <c r="AD837" s="250"/>
      <c r="AE837" s="250"/>
      <c r="AF837" s="250"/>
      <c r="AG837" s="250"/>
      <c r="AH837" s="250"/>
      <c r="AI837" s="250"/>
      <c r="AJ837" s="250"/>
      <c r="AK837" s="250"/>
      <c r="AL837" s="250"/>
      <c r="AM837" s="408"/>
      <c r="AN837" s="408"/>
      <c r="AO837" s="408"/>
      <c r="AP837" s="408"/>
      <c r="AQ837" s="408"/>
      <c r="AR837" s="408"/>
      <c r="AS837" s="408"/>
      <c r="AT837" s="408"/>
      <c r="AU837" s="408"/>
      <c r="AV837" s="408"/>
      <c r="AW837" s="408"/>
      <c r="AX837" s="250"/>
      <c r="AY837" s="250"/>
      <c r="AZ837" s="250"/>
      <c r="BA837" s="250"/>
      <c r="BB837" s="250"/>
      <c r="BC837" s="250"/>
      <c r="BD837" s="250"/>
      <c r="BE837" s="250"/>
      <c r="BF837" s="250"/>
      <c r="BG837" s="250"/>
      <c r="BH837" s="250"/>
      <c r="BI837" s="250"/>
      <c r="BJ837" s="250"/>
      <c r="BK837" s="250"/>
      <c r="BL837" s="250"/>
      <c r="BM837" s="250"/>
      <c r="BN837" s="250"/>
      <c r="BO837" s="250"/>
      <c r="BP837" s="250"/>
      <c r="BQ837" s="250"/>
      <c r="BR837" s="250"/>
      <c r="BS837" s="250"/>
      <c r="BT837" s="250"/>
      <c r="BU837" s="250"/>
      <c r="BV837" s="250"/>
      <c r="BW837" s="250"/>
      <c r="BX837" s="250"/>
      <c r="BY837" s="250"/>
      <c r="BZ837" s="250"/>
      <c r="CA837" s="250"/>
      <c r="CB837" s="250"/>
      <c r="CC837" s="250"/>
      <c r="CD837" s="250"/>
      <c r="CE837" s="250"/>
      <c r="CF837" s="250"/>
      <c r="CG837" s="250"/>
      <c r="CH837" s="250"/>
      <c r="CI837" s="408"/>
      <c r="CJ837" s="408"/>
      <c r="CK837" s="408"/>
      <c r="CL837" s="408"/>
      <c r="CM837" s="408"/>
      <c r="CN837" s="408"/>
      <c r="CO837" s="408"/>
      <c r="CP837" s="408"/>
      <c r="CQ837" s="408"/>
      <c r="CR837" s="408"/>
      <c r="CS837" s="408"/>
      <c r="CT837" s="250"/>
      <c r="CU837" s="250"/>
      <c r="CV837" s="250"/>
      <c r="CW837" s="250"/>
      <c r="CX837" s="408"/>
      <c r="CY837" s="408"/>
      <c r="CZ837" s="408"/>
      <c r="DA837" s="408"/>
      <c r="DB837" s="408"/>
      <c r="DC837" s="408"/>
      <c r="DD837" s="408"/>
      <c r="DE837" s="250"/>
      <c r="DF837" s="408"/>
      <c r="DG837" s="408"/>
      <c r="DH837" s="408"/>
      <c r="DI837" s="408"/>
      <c r="DJ837" s="408"/>
      <c r="DK837" s="408"/>
      <c r="DL837" s="408"/>
      <c r="DM837" s="250"/>
      <c r="DN837" s="250"/>
      <c r="DO837" s="250"/>
      <c r="DP837" s="250"/>
      <c r="DQ837" s="250"/>
      <c r="DR837" s="250"/>
      <c r="DS837" s="250"/>
      <c r="DT837" s="250"/>
      <c r="DU837" s="250"/>
      <c r="DV837" s="250"/>
      <c r="DW837" s="252"/>
      <c r="DX837" s="252"/>
      <c r="DY837" s="250"/>
      <c r="DZ837" s="250"/>
      <c r="EA837" s="260"/>
      <c r="EB837" s="260"/>
      <c r="EC837" s="260"/>
      <c r="ED837" s="260"/>
      <c r="EG837" s="396"/>
      <c r="EH837" s="396"/>
    </row>
    <row r="838" spans="1:138" s="3" customFormat="1" x14ac:dyDescent="0.25">
      <c r="A838" s="407"/>
      <c r="B838" s="407"/>
      <c r="C838" s="250"/>
      <c r="D838" s="250"/>
      <c r="E838" s="250"/>
      <c r="F838" s="250"/>
      <c r="G838" s="250"/>
      <c r="H838" s="250"/>
      <c r="I838" s="250"/>
      <c r="J838" s="250"/>
      <c r="K838" s="250"/>
      <c r="L838" s="250"/>
      <c r="M838" s="250"/>
      <c r="N838" s="250"/>
      <c r="O838" s="250"/>
      <c r="P838" s="250"/>
      <c r="Q838" s="250"/>
      <c r="R838" s="250"/>
      <c r="S838" s="250"/>
      <c r="T838" s="250"/>
      <c r="U838" s="250"/>
      <c r="V838" s="250"/>
      <c r="W838" s="250"/>
      <c r="X838" s="250"/>
      <c r="Y838" s="250"/>
      <c r="Z838" s="250"/>
      <c r="AA838" s="250"/>
      <c r="AB838" s="250"/>
      <c r="AC838" s="250"/>
      <c r="AD838" s="250"/>
      <c r="AE838" s="250"/>
      <c r="AF838" s="250"/>
      <c r="AG838" s="250"/>
      <c r="AH838" s="250"/>
      <c r="AI838" s="250"/>
      <c r="AJ838" s="250"/>
      <c r="AK838" s="250"/>
      <c r="AL838" s="250"/>
      <c r="AM838" s="408"/>
      <c r="AN838" s="408"/>
      <c r="AO838" s="408"/>
      <c r="AP838" s="408"/>
      <c r="AQ838" s="408"/>
      <c r="AR838" s="408"/>
      <c r="AS838" s="408"/>
      <c r="AT838" s="408"/>
      <c r="AU838" s="408"/>
      <c r="AV838" s="408"/>
      <c r="AW838" s="408"/>
      <c r="AX838" s="250"/>
      <c r="AY838" s="250"/>
      <c r="AZ838" s="250"/>
      <c r="BA838" s="250"/>
      <c r="BB838" s="250"/>
      <c r="BC838" s="250"/>
      <c r="BD838" s="250"/>
      <c r="BE838" s="250"/>
      <c r="BF838" s="250"/>
      <c r="BG838" s="250"/>
      <c r="BH838" s="250"/>
      <c r="BI838" s="250"/>
      <c r="BJ838" s="250"/>
      <c r="BK838" s="250"/>
      <c r="BL838" s="250"/>
      <c r="BM838" s="250"/>
      <c r="BN838" s="250"/>
      <c r="BO838" s="250"/>
      <c r="BP838" s="250"/>
      <c r="BQ838" s="250"/>
      <c r="BR838" s="250"/>
      <c r="BS838" s="250"/>
      <c r="BT838" s="250"/>
      <c r="BU838" s="250"/>
      <c r="BV838" s="250"/>
      <c r="BW838" s="250"/>
      <c r="BX838" s="250"/>
      <c r="BY838" s="250"/>
      <c r="BZ838" s="250"/>
      <c r="CA838" s="250"/>
      <c r="CB838" s="250"/>
      <c r="CC838" s="250"/>
      <c r="CD838" s="250"/>
      <c r="CE838" s="250"/>
      <c r="CF838" s="250"/>
      <c r="CG838" s="250"/>
      <c r="CH838" s="250"/>
      <c r="CI838" s="408"/>
      <c r="CJ838" s="408"/>
      <c r="CK838" s="408"/>
      <c r="CL838" s="408"/>
      <c r="CM838" s="408"/>
      <c r="CN838" s="408"/>
      <c r="CO838" s="408"/>
      <c r="CP838" s="408"/>
      <c r="CQ838" s="408"/>
      <c r="CR838" s="408"/>
      <c r="CS838" s="408"/>
      <c r="CT838" s="250"/>
      <c r="CU838" s="250"/>
      <c r="CV838" s="250"/>
      <c r="CW838" s="250"/>
      <c r="CX838" s="408"/>
      <c r="CY838" s="408"/>
      <c r="CZ838" s="408"/>
      <c r="DA838" s="408"/>
      <c r="DB838" s="408"/>
      <c r="DC838" s="408"/>
      <c r="DD838" s="408"/>
      <c r="DE838" s="250"/>
      <c r="DF838" s="408"/>
      <c r="DG838" s="408"/>
      <c r="DH838" s="408"/>
      <c r="DI838" s="408"/>
      <c r="DJ838" s="408"/>
      <c r="DK838" s="408"/>
      <c r="DL838" s="408"/>
      <c r="DM838" s="250"/>
      <c r="DN838" s="250"/>
      <c r="DO838" s="250"/>
      <c r="DP838" s="250"/>
      <c r="DQ838" s="250"/>
      <c r="DR838" s="250"/>
      <c r="DS838" s="250"/>
      <c r="DT838" s="250"/>
      <c r="DU838" s="250"/>
      <c r="DV838" s="250"/>
      <c r="DW838" s="252"/>
      <c r="DX838" s="252"/>
      <c r="DY838" s="250"/>
      <c r="DZ838" s="250"/>
      <c r="EA838" s="260"/>
      <c r="EB838" s="260"/>
      <c r="EC838" s="260"/>
      <c r="ED838" s="260"/>
      <c r="EG838" s="396"/>
      <c r="EH838" s="396"/>
    </row>
    <row r="839" spans="1:138" s="3" customFormat="1" x14ac:dyDescent="0.25">
      <c r="A839" s="407"/>
      <c r="B839" s="407"/>
      <c r="C839" s="250"/>
      <c r="D839" s="250"/>
      <c r="E839" s="250"/>
      <c r="F839" s="250"/>
      <c r="G839" s="250"/>
      <c r="H839" s="250"/>
      <c r="I839" s="250"/>
      <c r="J839" s="250"/>
      <c r="K839" s="250"/>
      <c r="L839" s="250"/>
      <c r="M839" s="250"/>
      <c r="N839" s="250"/>
      <c r="O839" s="250"/>
      <c r="P839" s="250"/>
      <c r="Q839" s="250"/>
      <c r="R839" s="250"/>
      <c r="S839" s="250"/>
      <c r="T839" s="250"/>
      <c r="U839" s="250"/>
      <c r="V839" s="250"/>
      <c r="W839" s="250"/>
      <c r="X839" s="250"/>
      <c r="Y839" s="250"/>
      <c r="Z839" s="250"/>
      <c r="AA839" s="250"/>
      <c r="AB839" s="250"/>
      <c r="AC839" s="250"/>
      <c r="AD839" s="250"/>
      <c r="AE839" s="250"/>
      <c r="AF839" s="250"/>
      <c r="AG839" s="250"/>
      <c r="AH839" s="250"/>
      <c r="AI839" s="250"/>
      <c r="AJ839" s="250"/>
      <c r="AK839" s="250"/>
      <c r="AL839" s="250"/>
      <c r="AM839" s="408"/>
      <c r="AN839" s="408"/>
      <c r="AO839" s="408"/>
      <c r="AP839" s="408"/>
      <c r="AQ839" s="408"/>
      <c r="AR839" s="408"/>
      <c r="AS839" s="408"/>
      <c r="AT839" s="408"/>
      <c r="AU839" s="408"/>
      <c r="AV839" s="408"/>
      <c r="AW839" s="408"/>
      <c r="AX839" s="250"/>
      <c r="AY839" s="250"/>
      <c r="AZ839" s="250"/>
      <c r="BA839" s="250"/>
      <c r="BB839" s="250"/>
      <c r="BC839" s="250"/>
      <c r="BD839" s="250"/>
      <c r="BE839" s="250"/>
      <c r="BF839" s="250"/>
      <c r="BG839" s="250"/>
      <c r="BH839" s="250"/>
      <c r="BI839" s="250"/>
      <c r="BJ839" s="250"/>
      <c r="BK839" s="250"/>
      <c r="BL839" s="250"/>
      <c r="BM839" s="250"/>
      <c r="BN839" s="250"/>
      <c r="BO839" s="250"/>
      <c r="BP839" s="250"/>
      <c r="BQ839" s="250"/>
      <c r="BR839" s="250"/>
      <c r="BS839" s="250"/>
      <c r="BT839" s="250"/>
      <c r="BU839" s="250"/>
      <c r="BV839" s="250"/>
      <c r="BW839" s="250"/>
      <c r="BX839" s="250"/>
      <c r="BY839" s="250"/>
      <c r="BZ839" s="250"/>
      <c r="CA839" s="250"/>
      <c r="CB839" s="250"/>
      <c r="CC839" s="250"/>
      <c r="CD839" s="250"/>
      <c r="CE839" s="250"/>
      <c r="CF839" s="250"/>
      <c r="CG839" s="250"/>
      <c r="CH839" s="250"/>
      <c r="CI839" s="408"/>
      <c r="CJ839" s="408"/>
      <c r="CK839" s="408"/>
      <c r="CL839" s="408"/>
      <c r="CM839" s="408"/>
      <c r="CN839" s="408"/>
      <c r="CO839" s="408"/>
      <c r="CP839" s="408"/>
      <c r="CQ839" s="408"/>
      <c r="CR839" s="408"/>
      <c r="CS839" s="408"/>
      <c r="CT839" s="250"/>
      <c r="CU839" s="250"/>
      <c r="CV839" s="250"/>
      <c r="CW839" s="250"/>
      <c r="CX839" s="408"/>
      <c r="CY839" s="408"/>
      <c r="CZ839" s="408"/>
      <c r="DA839" s="408"/>
      <c r="DB839" s="408"/>
      <c r="DC839" s="408"/>
      <c r="DD839" s="408"/>
      <c r="DE839" s="250"/>
      <c r="DF839" s="408"/>
      <c r="DG839" s="408"/>
      <c r="DH839" s="408"/>
      <c r="DI839" s="408"/>
      <c r="DJ839" s="408"/>
      <c r="DK839" s="408"/>
      <c r="DL839" s="408"/>
      <c r="DM839" s="250"/>
      <c r="DN839" s="250"/>
      <c r="DO839" s="250"/>
      <c r="DP839" s="250"/>
      <c r="DQ839" s="250"/>
      <c r="DR839" s="250"/>
      <c r="DS839" s="250"/>
      <c r="DT839" s="250"/>
      <c r="DU839" s="250"/>
      <c r="DV839" s="250"/>
      <c r="DW839" s="252"/>
      <c r="DX839" s="252"/>
      <c r="DY839" s="250"/>
      <c r="DZ839" s="250"/>
      <c r="EA839" s="260"/>
      <c r="EB839" s="260"/>
      <c r="EC839" s="260"/>
      <c r="ED839" s="260"/>
      <c r="EG839" s="396"/>
      <c r="EH839" s="396"/>
    </row>
    <row r="840" spans="1:138" s="3" customFormat="1" x14ac:dyDescent="0.25">
      <c r="A840" s="407"/>
      <c r="B840" s="407"/>
      <c r="C840" s="250"/>
      <c r="D840" s="250"/>
      <c r="E840" s="250"/>
      <c r="F840" s="250"/>
      <c r="G840" s="250"/>
      <c r="H840" s="250"/>
      <c r="I840" s="250"/>
      <c r="J840" s="250"/>
      <c r="K840" s="250"/>
      <c r="L840" s="250"/>
      <c r="M840" s="250"/>
      <c r="N840" s="250"/>
      <c r="O840" s="250"/>
      <c r="P840" s="250"/>
      <c r="Q840" s="250"/>
      <c r="R840" s="250"/>
      <c r="S840" s="250"/>
      <c r="T840" s="250"/>
      <c r="U840" s="250"/>
      <c r="V840" s="250"/>
      <c r="W840" s="250"/>
      <c r="X840" s="250"/>
      <c r="Y840" s="250"/>
      <c r="Z840" s="250"/>
      <c r="AA840" s="250"/>
      <c r="AB840" s="250"/>
      <c r="AC840" s="250"/>
      <c r="AD840" s="250"/>
      <c r="AE840" s="250"/>
      <c r="AF840" s="250"/>
      <c r="AG840" s="250"/>
      <c r="AH840" s="250"/>
      <c r="AI840" s="250"/>
      <c r="AJ840" s="250"/>
      <c r="AK840" s="250"/>
      <c r="AL840" s="250"/>
      <c r="AM840" s="408"/>
      <c r="AN840" s="408"/>
      <c r="AO840" s="408"/>
      <c r="AP840" s="408"/>
      <c r="AQ840" s="408"/>
      <c r="AR840" s="408"/>
      <c r="AS840" s="408"/>
      <c r="AT840" s="408"/>
      <c r="AU840" s="408"/>
      <c r="AV840" s="408"/>
      <c r="AW840" s="408"/>
      <c r="AX840" s="250"/>
      <c r="AY840" s="250"/>
      <c r="AZ840" s="250"/>
      <c r="BA840" s="250"/>
      <c r="BB840" s="250"/>
      <c r="BC840" s="250"/>
      <c r="BD840" s="250"/>
      <c r="BE840" s="250"/>
      <c r="BF840" s="250"/>
      <c r="BG840" s="250"/>
      <c r="BH840" s="250"/>
      <c r="BI840" s="250"/>
      <c r="BJ840" s="250"/>
      <c r="BK840" s="250"/>
      <c r="BL840" s="250"/>
      <c r="BM840" s="250"/>
      <c r="BN840" s="250"/>
      <c r="BO840" s="250"/>
      <c r="BP840" s="250"/>
      <c r="BQ840" s="250"/>
      <c r="BR840" s="250"/>
      <c r="BS840" s="250"/>
      <c r="BT840" s="250"/>
      <c r="BU840" s="250"/>
      <c r="BV840" s="250"/>
      <c r="BW840" s="250"/>
      <c r="BX840" s="250"/>
      <c r="BY840" s="250"/>
      <c r="BZ840" s="250"/>
      <c r="CA840" s="250"/>
      <c r="CB840" s="250"/>
      <c r="CC840" s="250"/>
      <c r="CD840" s="250"/>
      <c r="CE840" s="250"/>
      <c r="CF840" s="250"/>
      <c r="CG840" s="250"/>
      <c r="CH840" s="250"/>
      <c r="CI840" s="408"/>
      <c r="CJ840" s="408"/>
      <c r="CK840" s="408"/>
      <c r="CL840" s="408"/>
      <c r="CM840" s="408"/>
      <c r="CN840" s="408"/>
      <c r="CO840" s="408"/>
      <c r="CP840" s="408"/>
      <c r="CQ840" s="408"/>
      <c r="CR840" s="408"/>
      <c r="CS840" s="408"/>
      <c r="CT840" s="250"/>
      <c r="CU840" s="250"/>
      <c r="CV840" s="250"/>
      <c r="CW840" s="250"/>
      <c r="CX840" s="408"/>
      <c r="CY840" s="408"/>
      <c r="CZ840" s="408"/>
      <c r="DA840" s="408"/>
      <c r="DB840" s="408"/>
      <c r="DC840" s="408"/>
      <c r="DD840" s="408"/>
      <c r="DE840" s="250"/>
      <c r="DF840" s="408"/>
      <c r="DG840" s="408"/>
      <c r="DH840" s="408"/>
      <c r="DI840" s="408"/>
      <c r="DJ840" s="408"/>
      <c r="DK840" s="408"/>
      <c r="DL840" s="408"/>
      <c r="DM840" s="250"/>
      <c r="DN840" s="250"/>
      <c r="DO840" s="250"/>
      <c r="DP840" s="250"/>
      <c r="DQ840" s="250"/>
      <c r="DR840" s="250"/>
      <c r="DS840" s="250"/>
      <c r="DT840" s="250"/>
      <c r="DU840" s="250"/>
      <c r="DV840" s="250"/>
      <c r="DW840" s="252"/>
      <c r="DX840" s="252"/>
      <c r="DY840" s="250"/>
      <c r="DZ840" s="250"/>
      <c r="EA840" s="260"/>
      <c r="EB840" s="260"/>
      <c r="EC840" s="260"/>
      <c r="ED840" s="260"/>
      <c r="EG840" s="396"/>
      <c r="EH840" s="396"/>
    </row>
    <row r="841" spans="1:138" s="3" customFormat="1" x14ac:dyDescent="0.25">
      <c r="A841" s="407"/>
      <c r="B841" s="407"/>
      <c r="C841" s="250"/>
      <c r="D841" s="250"/>
      <c r="E841" s="250"/>
      <c r="F841" s="250"/>
      <c r="G841" s="250"/>
      <c r="H841" s="250"/>
      <c r="I841" s="250"/>
      <c r="J841" s="250"/>
      <c r="K841" s="250"/>
      <c r="L841" s="250"/>
      <c r="M841" s="250"/>
      <c r="N841" s="250"/>
      <c r="O841" s="250"/>
      <c r="P841" s="250"/>
      <c r="Q841" s="250"/>
      <c r="R841" s="250"/>
      <c r="S841" s="250"/>
      <c r="T841" s="250"/>
      <c r="U841" s="250"/>
      <c r="V841" s="250"/>
      <c r="W841" s="250"/>
      <c r="X841" s="250"/>
      <c r="Y841" s="250"/>
      <c r="Z841" s="250"/>
      <c r="AA841" s="250"/>
      <c r="AB841" s="250"/>
      <c r="AC841" s="250"/>
      <c r="AD841" s="250"/>
      <c r="AE841" s="250"/>
      <c r="AF841" s="250"/>
      <c r="AG841" s="250"/>
      <c r="AH841" s="250"/>
      <c r="AI841" s="250"/>
      <c r="AJ841" s="250"/>
      <c r="AK841" s="250"/>
      <c r="AL841" s="250"/>
      <c r="AM841" s="408"/>
      <c r="AN841" s="408"/>
      <c r="AO841" s="408"/>
      <c r="AP841" s="408"/>
      <c r="AQ841" s="408"/>
      <c r="AR841" s="408"/>
      <c r="AS841" s="408"/>
      <c r="AT841" s="408"/>
      <c r="AU841" s="408"/>
      <c r="AV841" s="408"/>
      <c r="AW841" s="408"/>
      <c r="AX841" s="250"/>
      <c r="AY841" s="250"/>
      <c r="AZ841" s="250"/>
      <c r="BA841" s="250"/>
      <c r="BB841" s="250"/>
      <c r="BC841" s="250"/>
      <c r="BD841" s="250"/>
      <c r="BE841" s="250"/>
      <c r="BF841" s="250"/>
      <c r="BG841" s="250"/>
      <c r="BH841" s="250"/>
      <c r="BI841" s="250"/>
      <c r="BJ841" s="250"/>
      <c r="BK841" s="250"/>
      <c r="BL841" s="250"/>
      <c r="BM841" s="250"/>
      <c r="BN841" s="250"/>
      <c r="BO841" s="250"/>
      <c r="BP841" s="250"/>
      <c r="BQ841" s="250"/>
      <c r="BR841" s="250"/>
      <c r="BS841" s="250"/>
      <c r="BT841" s="250"/>
      <c r="BU841" s="250"/>
      <c r="BV841" s="250"/>
      <c r="BW841" s="250"/>
      <c r="BX841" s="250"/>
      <c r="BY841" s="250"/>
      <c r="BZ841" s="250"/>
      <c r="CA841" s="250"/>
      <c r="CB841" s="250"/>
      <c r="CC841" s="250"/>
      <c r="CD841" s="250"/>
      <c r="CE841" s="250"/>
      <c r="CF841" s="250"/>
      <c r="CG841" s="250"/>
      <c r="CH841" s="250"/>
      <c r="CI841" s="408"/>
      <c r="CJ841" s="408"/>
      <c r="CK841" s="408"/>
      <c r="CL841" s="408"/>
      <c r="CM841" s="408"/>
      <c r="CN841" s="408"/>
      <c r="CO841" s="408"/>
      <c r="CP841" s="408"/>
      <c r="CQ841" s="408"/>
      <c r="CR841" s="408"/>
      <c r="CS841" s="408"/>
      <c r="CT841" s="250"/>
      <c r="CU841" s="250"/>
      <c r="CV841" s="250"/>
      <c r="CW841" s="250"/>
      <c r="CX841" s="408"/>
      <c r="CY841" s="408"/>
      <c r="CZ841" s="408"/>
      <c r="DA841" s="408"/>
      <c r="DB841" s="408"/>
      <c r="DC841" s="408"/>
      <c r="DD841" s="408"/>
      <c r="DE841" s="250"/>
      <c r="DF841" s="408"/>
      <c r="DG841" s="408"/>
      <c r="DH841" s="408"/>
      <c r="DI841" s="408"/>
      <c r="DJ841" s="408"/>
      <c r="DK841" s="408"/>
      <c r="DL841" s="408"/>
      <c r="DM841" s="250"/>
      <c r="DN841" s="250"/>
      <c r="DO841" s="250"/>
      <c r="DP841" s="250"/>
      <c r="DQ841" s="250"/>
      <c r="DR841" s="250"/>
      <c r="DS841" s="250"/>
      <c r="DT841" s="250"/>
      <c r="DU841" s="250"/>
      <c r="DV841" s="250"/>
      <c r="DW841" s="252"/>
      <c r="DX841" s="252"/>
      <c r="DY841" s="250"/>
      <c r="DZ841" s="250"/>
      <c r="EA841" s="260"/>
      <c r="EB841" s="260"/>
      <c r="EC841" s="260"/>
      <c r="ED841" s="260"/>
      <c r="EG841" s="396"/>
      <c r="EH841" s="396"/>
    </row>
    <row r="842" spans="1:138" s="3" customFormat="1" x14ac:dyDescent="0.25">
      <c r="A842" s="407"/>
      <c r="B842" s="407"/>
      <c r="C842" s="250"/>
      <c r="D842" s="250"/>
      <c r="E842" s="250"/>
      <c r="F842" s="250"/>
      <c r="G842" s="250"/>
      <c r="H842" s="250"/>
      <c r="I842" s="250"/>
      <c r="J842" s="250"/>
      <c r="K842" s="250"/>
      <c r="L842" s="250"/>
      <c r="M842" s="250"/>
      <c r="N842" s="250"/>
      <c r="O842" s="250"/>
      <c r="P842" s="250"/>
      <c r="Q842" s="250"/>
      <c r="R842" s="250"/>
      <c r="S842" s="250"/>
      <c r="T842" s="250"/>
      <c r="U842" s="250"/>
      <c r="V842" s="250"/>
      <c r="W842" s="250"/>
      <c r="X842" s="250"/>
      <c r="Y842" s="250"/>
      <c r="Z842" s="250"/>
      <c r="AA842" s="250"/>
      <c r="AB842" s="250"/>
      <c r="AC842" s="250"/>
      <c r="AD842" s="250"/>
      <c r="AE842" s="250"/>
      <c r="AF842" s="250"/>
      <c r="AG842" s="250"/>
      <c r="AH842" s="250"/>
      <c r="AI842" s="250"/>
      <c r="AJ842" s="250"/>
      <c r="AK842" s="250"/>
      <c r="AL842" s="250"/>
      <c r="AM842" s="408"/>
      <c r="AN842" s="408"/>
      <c r="AO842" s="408"/>
      <c r="AP842" s="408"/>
      <c r="AQ842" s="408"/>
      <c r="AR842" s="408"/>
      <c r="AS842" s="408"/>
      <c r="AT842" s="408"/>
      <c r="AU842" s="408"/>
      <c r="AV842" s="408"/>
      <c r="AW842" s="408"/>
      <c r="AX842" s="250"/>
      <c r="AY842" s="250"/>
      <c r="AZ842" s="250"/>
      <c r="BA842" s="250"/>
      <c r="BB842" s="250"/>
      <c r="BC842" s="250"/>
      <c r="BD842" s="250"/>
      <c r="BE842" s="250"/>
      <c r="BF842" s="250"/>
      <c r="BG842" s="250"/>
      <c r="BH842" s="250"/>
      <c r="BI842" s="250"/>
      <c r="BJ842" s="250"/>
      <c r="BK842" s="250"/>
      <c r="BL842" s="250"/>
      <c r="BM842" s="250"/>
      <c r="BN842" s="250"/>
      <c r="BO842" s="250"/>
      <c r="BP842" s="250"/>
      <c r="BQ842" s="250"/>
      <c r="BR842" s="250"/>
      <c r="BS842" s="250"/>
      <c r="BT842" s="250"/>
      <c r="BU842" s="250"/>
      <c r="BV842" s="250"/>
      <c r="BW842" s="250"/>
      <c r="BX842" s="250"/>
      <c r="BY842" s="250"/>
      <c r="BZ842" s="250"/>
      <c r="CA842" s="250"/>
      <c r="CB842" s="250"/>
      <c r="CC842" s="250"/>
      <c r="CD842" s="250"/>
      <c r="CE842" s="250"/>
      <c r="CF842" s="250"/>
      <c r="CG842" s="250"/>
      <c r="CH842" s="250"/>
      <c r="CI842" s="408"/>
      <c r="CJ842" s="408"/>
      <c r="CK842" s="408"/>
      <c r="CL842" s="408"/>
      <c r="CM842" s="408"/>
      <c r="CN842" s="408"/>
      <c r="CO842" s="408"/>
      <c r="CP842" s="408"/>
      <c r="CQ842" s="408"/>
      <c r="CR842" s="408"/>
      <c r="CS842" s="408"/>
      <c r="CT842" s="250"/>
      <c r="CU842" s="250"/>
      <c r="CV842" s="250"/>
      <c r="CW842" s="250"/>
      <c r="CX842" s="408"/>
      <c r="CY842" s="408"/>
      <c r="CZ842" s="408"/>
      <c r="DA842" s="408"/>
      <c r="DB842" s="408"/>
      <c r="DC842" s="408"/>
      <c r="DD842" s="408"/>
      <c r="DE842" s="250"/>
      <c r="DF842" s="408"/>
      <c r="DG842" s="408"/>
      <c r="DH842" s="408"/>
      <c r="DI842" s="408"/>
      <c r="DJ842" s="408"/>
      <c r="DK842" s="408"/>
      <c r="DL842" s="408"/>
      <c r="DM842" s="250"/>
      <c r="DN842" s="250"/>
      <c r="DO842" s="250"/>
      <c r="DP842" s="250"/>
      <c r="DQ842" s="250"/>
      <c r="DR842" s="250"/>
      <c r="DS842" s="250"/>
      <c r="DT842" s="250"/>
      <c r="DU842" s="250"/>
      <c r="DV842" s="250"/>
      <c r="DW842" s="252"/>
      <c r="DX842" s="252"/>
      <c r="DY842" s="250"/>
      <c r="DZ842" s="250"/>
      <c r="EA842" s="260"/>
      <c r="EB842" s="260"/>
      <c r="EC842" s="260"/>
      <c r="ED842" s="260"/>
      <c r="EG842" s="396"/>
      <c r="EH842" s="396"/>
    </row>
    <row r="843" spans="1:138" s="3" customFormat="1" x14ac:dyDescent="0.25">
      <c r="A843" s="407"/>
      <c r="B843" s="407"/>
      <c r="C843" s="250"/>
      <c r="D843" s="250"/>
      <c r="E843" s="250"/>
      <c r="F843" s="250"/>
      <c r="G843" s="250"/>
      <c r="H843" s="250"/>
      <c r="I843" s="250"/>
      <c r="J843" s="250"/>
      <c r="K843" s="250"/>
      <c r="L843" s="250"/>
      <c r="M843" s="250"/>
      <c r="N843" s="250"/>
      <c r="O843" s="250"/>
      <c r="P843" s="250"/>
      <c r="Q843" s="250"/>
      <c r="R843" s="250"/>
      <c r="S843" s="250"/>
      <c r="T843" s="250"/>
      <c r="U843" s="250"/>
      <c r="V843" s="250"/>
      <c r="W843" s="250"/>
      <c r="X843" s="250"/>
      <c r="Y843" s="250"/>
      <c r="Z843" s="250"/>
      <c r="AA843" s="250"/>
      <c r="AB843" s="250"/>
      <c r="AC843" s="250"/>
      <c r="AD843" s="250"/>
      <c r="AE843" s="250"/>
      <c r="AF843" s="250"/>
      <c r="AG843" s="250"/>
      <c r="AH843" s="250"/>
      <c r="AI843" s="250"/>
      <c r="AJ843" s="250"/>
      <c r="AK843" s="250"/>
      <c r="AL843" s="250"/>
      <c r="AM843" s="408"/>
      <c r="AN843" s="408"/>
      <c r="AO843" s="408"/>
      <c r="AP843" s="408"/>
      <c r="AQ843" s="408"/>
      <c r="AR843" s="408"/>
      <c r="AS843" s="408"/>
      <c r="AT843" s="408"/>
      <c r="AU843" s="408"/>
      <c r="AV843" s="408"/>
      <c r="AW843" s="408"/>
      <c r="AX843" s="250"/>
      <c r="AY843" s="250"/>
      <c r="AZ843" s="250"/>
      <c r="BA843" s="250"/>
      <c r="BB843" s="250"/>
      <c r="BC843" s="250"/>
      <c r="BD843" s="250"/>
      <c r="BE843" s="250"/>
      <c r="BF843" s="250"/>
      <c r="BG843" s="250"/>
      <c r="BH843" s="250"/>
      <c r="BI843" s="250"/>
      <c r="BJ843" s="250"/>
      <c r="BK843" s="250"/>
      <c r="BL843" s="250"/>
      <c r="BM843" s="250"/>
      <c r="BN843" s="250"/>
      <c r="BO843" s="250"/>
      <c r="BP843" s="250"/>
      <c r="BQ843" s="250"/>
      <c r="BR843" s="250"/>
      <c r="BS843" s="250"/>
      <c r="BT843" s="250"/>
      <c r="BU843" s="250"/>
      <c r="BV843" s="250"/>
      <c r="BW843" s="250"/>
      <c r="BX843" s="250"/>
      <c r="BY843" s="250"/>
      <c r="BZ843" s="250"/>
      <c r="CA843" s="250"/>
      <c r="CB843" s="250"/>
      <c r="CC843" s="250"/>
      <c r="CD843" s="250"/>
      <c r="CE843" s="250"/>
      <c r="CF843" s="250"/>
      <c r="CG843" s="250"/>
      <c r="CH843" s="250"/>
      <c r="CI843" s="408"/>
      <c r="CJ843" s="408"/>
      <c r="CK843" s="408"/>
      <c r="CL843" s="408"/>
      <c r="CM843" s="408"/>
      <c r="CN843" s="408"/>
      <c r="CO843" s="408"/>
      <c r="CP843" s="408"/>
      <c r="CQ843" s="408"/>
      <c r="CR843" s="408"/>
      <c r="CS843" s="408"/>
      <c r="CT843" s="250"/>
      <c r="CU843" s="250"/>
      <c r="CV843" s="250"/>
      <c r="CW843" s="250"/>
      <c r="CX843" s="408"/>
      <c r="CY843" s="408"/>
      <c r="CZ843" s="408"/>
      <c r="DA843" s="408"/>
      <c r="DB843" s="408"/>
      <c r="DC843" s="408"/>
      <c r="DD843" s="408"/>
      <c r="DE843" s="250"/>
      <c r="DF843" s="408"/>
      <c r="DG843" s="408"/>
      <c r="DH843" s="408"/>
      <c r="DI843" s="408"/>
      <c r="DJ843" s="408"/>
      <c r="DK843" s="408"/>
      <c r="DL843" s="408"/>
      <c r="DM843" s="250"/>
      <c r="DN843" s="250"/>
      <c r="DO843" s="250"/>
      <c r="DP843" s="250"/>
      <c r="DQ843" s="250"/>
      <c r="DR843" s="250"/>
      <c r="DS843" s="250"/>
      <c r="DT843" s="250"/>
      <c r="DU843" s="250"/>
      <c r="DV843" s="250"/>
      <c r="DW843" s="252"/>
      <c r="DX843" s="252"/>
      <c r="DY843" s="250"/>
      <c r="DZ843" s="250"/>
      <c r="EA843" s="260"/>
      <c r="EB843" s="260"/>
      <c r="EC843" s="260"/>
      <c r="ED843" s="260"/>
      <c r="EG843" s="396"/>
      <c r="EH843" s="396"/>
    </row>
    <row r="844" spans="1:138" s="3" customFormat="1" x14ac:dyDescent="0.25">
      <c r="A844" s="407"/>
      <c r="B844" s="407"/>
      <c r="C844" s="250"/>
      <c r="D844" s="250"/>
      <c r="E844" s="250"/>
      <c r="F844" s="250"/>
      <c r="G844" s="250"/>
      <c r="H844" s="250"/>
      <c r="I844" s="250"/>
      <c r="J844" s="250"/>
      <c r="K844" s="250"/>
      <c r="L844" s="250"/>
      <c r="M844" s="250"/>
      <c r="N844" s="250"/>
      <c r="O844" s="250"/>
      <c r="P844" s="250"/>
      <c r="Q844" s="250"/>
      <c r="R844" s="250"/>
      <c r="S844" s="250"/>
      <c r="T844" s="250"/>
      <c r="U844" s="250"/>
      <c r="V844" s="250"/>
      <c r="W844" s="250"/>
      <c r="X844" s="250"/>
      <c r="Y844" s="250"/>
      <c r="Z844" s="250"/>
      <c r="AA844" s="250"/>
      <c r="AB844" s="250"/>
      <c r="AC844" s="250"/>
      <c r="AD844" s="250"/>
      <c r="AE844" s="250"/>
      <c r="AF844" s="250"/>
      <c r="AG844" s="250"/>
      <c r="AH844" s="250"/>
      <c r="AI844" s="250"/>
      <c r="AJ844" s="250"/>
      <c r="AK844" s="250"/>
      <c r="AL844" s="250"/>
      <c r="AM844" s="408"/>
      <c r="AN844" s="408"/>
      <c r="AO844" s="408"/>
      <c r="AP844" s="408"/>
      <c r="AQ844" s="408"/>
      <c r="AR844" s="408"/>
      <c r="AS844" s="408"/>
      <c r="AT844" s="408"/>
      <c r="AU844" s="408"/>
      <c r="AV844" s="408"/>
      <c r="AW844" s="408"/>
      <c r="AX844" s="250"/>
      <c r="AY844" s="250"/>
      <c r="AZ844" s="250"/>
      <c r="BA844" s="250"/>
      <c r="BB844" s="250"/>
      <c r="BC844" s="250"/>
      <c r="BD844" s="250"/>
      <c r="BE844" s="250"/>
      <c r="BF844" s="250"/>
      <c r="BG844" s="250"/>
      <c r="BH844" s="250"/>
      <c r="BI844" s="250"/>
      <c r="BJ844" s="250"/>
      <c r="BK844" s="250"/>
      <c r="BL844" s="250"/>
      <c r="BM844" s="250"/>
      <c r="BN844" s="250"/>
      <c r="BO844" s="250"/>
      <c r="BP844" s="250"/>
      <c r="BQ844" s="250"/>
      <c r="BR844" s="250"/>
      <c r="BS844" s="250"/>
      <c r="BT844" s="250"/>
      <c r="BU844" s="250"/>
      <c r="BV844" s="250"/>
      <c r="BW844" s="250"/>
      <c r="BX844" s="250"/>
      <c r="BY844" s="250"/>
      <c r="BZ844" s="250"/>
      <c r="CA844" s="250"/>
      <c r="CB844" s="250"/>
      <c r="CC844" s="250"/>
      <c r="CD844" s="250"/>
      <c r="CE844" s="250"/>
      <c r="CF844" s="250"/>
      <c r="CG844" s="250"/>
      <c r="CH844" s="250"/>
      <c r="CI844" s="408"/>
      <c r="CJ844" s="408"/>
      <c r="CK844" s="408"/>
      <c r="CL844" s="408"/>
      <c r="CM844" s="408"/>
      <c r="CN844" s="408"/>
      <c r="CO844" s="408"/>
      <c r="CP844" s="408"/>
      <c r="CQ844" s="408"/>
      <c r="CR844" s="408"/>
      <c r="CS844" s="408"/>
      <c r="CT844" s="250"/>
      <c r="CU844" s="250"/>
      <c r="CV844" s="250"/>
      <c r="CW844" s="250"/>
      <c r="CX844" s="408"/>
      <c r="CY844" s="408"/>
      <c r="CZ844" s="408"/>
      <c r="DA844" s="408"/>
      <c r="DB844" s="408"/>
      <c r="DC844" s="408"/>
      <c r="DD844" s="408"/>
      <c r="DE844" s="250"/>
      <c r="DF844" s="408"/>
      <c r="DG844" s="408"/>
      <c r="DH844" s="408"/>
      <c r="DI844" s="408"/>
      <c r="DJ844" s="408"/>
      <c r="DK844" s="408"/>
      <c r="DL844" s="408"/>
      <c r="DM844" s="250"/>
      <c r="DN844" s="250"/>
      <c r="DO844" s="250"/>
      <c r="DP844" s="250"/>
      <c r="DQ844" s="250"/>
      <c r="DR844" s="250"/>
      <c r="DS844" s="250"/>
      <c r="DT844" s="250"/>
      <c r="DU844" s="250"/>
      <c r="DV844" s="250"/>
      <c r="DW844" s="252"/>
      <c r="DX844" s="252"/>
      <c r="DY844" s="250"/>
      <c r="DZ844" s="250"/>
      <c r="EA844" s="260"/>
      <c r="EB844" s="260"/>
      <c r="EC844" s="260"/>
      <c r="ED844" s="260"/>
      <c r="EG844" s="396"/>
      <c r="EH844" s="396"/>
    </row>
    <row r="845" spans="1:138" s="3" customFormat="1" x14ac:dyDescent="0.25">
      <c r="A845" s="407"/>
      <c r="B845" s="407"/>
      <c r="C845" s="250"/>
      <c r="D845" s="250"/>
      <c r="E845" s="250"/>
      <c r="F845" s="250"/>
      <c r="G845" s="250"/>
      <c r="H845" s="250"/>
      <c r="I845" s="250"/>
      <c r="J845" s="250"/>
      <c r="K845" s="250"/>
      <c r="L845" s="250"/>
      <c r="M845" s="250"/>
      <c r="N845" s="250"/>
      <c r="O845" s="250"/>
      <c r="P845" s="250"/>
      <c r="Q845" s="250"/>
      <c r="R845" s="250"/>
      <c r="S845" s="250"/>
      <c r="T845" s="250"/>
      <c r="U845" s="250"/>
      <c r="V845" s="250"/>
      <c r="W845" s="250"/>
      <c r="X845" s="250"/>
      <c r="Y845" s="250"/>
      <c r="Z845" s="250"/>
      <c r="AA845" s="250"/>
      <c r="AB845" s="250"/>
      <c r="AC845" s="250"/>
      <c r="AD845" s="250"/>
      <c r="AE845" s="250"/>
      <c r="AF845" s="250"/>
      <c r="AG845" s="250"/>
      <c r="AH845" s="250"/>
      <c r="AI845" s="250"/>
      <c r="AJ845" s="250"/>
      <c r="AK845" s="250"/>
      <c r="AL845" s="250"/>
      <c r="AM845" s="408"/>
      <c r="AN845" s="408"/>
      <c r="AO845" s="408"/>
      <c r="AP845" s="408"/>
      <c r="AQ845" s="408"/>
      <c r="AR845" s="408"/>
      <c r="AS845" s="408"/>
      <c r="AT845" s="408"/>
      <c r="AU845" s="408"/>
      <c r="AV845" s="408"/>
      <c r="AW845" s="408"/>
      <c r="AX845" s="250"/>
      <c r="AY845" s="250"/>
      <c r="AZ845" s="250"/>
      <c r="BA845" s="250"/>
      <c r="BB845" s="250"/>
      <c r="BC845" s="250"/>
      <c r="BD845" s="250"/>
      <c r="BE845" s="250"/>
      <c r="BF845" s="250"/>
      <c r="BG845" s="250"/>
      <c r="BH845" s="250"/>
      <c r="BI845" s="250"/>
      <c r="BJ845" s="250"/>
      <c r="BK845" s="250"/>
      <c r="BL845" s="250"/>
      <c r="BM845" s="250"/>
      <c r="BN845" s="250"/>
      <c r="BO845" s="250"/>
      <c r="BP845" s="250"/>
      <c r="BQ845" s="250"/>
      <c r="BR845" s="250"/>
      <c r="BS845" s="250"/>
      <c r="BT845" s="250"/>
      <c r="BU845" s="250"/>
      <c r="BV845" s="250"/>
      <c r="BW845" s="250"/>
      <c r="BX845" s="250"/>
      <c r="BY845" s="250"/>
      <c r="BZ845" s="250"/>
      <c r="CA845" s="250"/>
      <c r="CB845" s="250"/>
      <c r="CC845" s="250"/>
      <c r="CD845" s="250"/>
      <c r="CE845" s="250"/>
      <c r="CF845" s="250"/>
      <c r="CG845" s="250"/>
      <c r="CH845" s="250"/>
      <c r="CI845" s="408"/>
      <c r="CJ845" s="408"/>
      <c r="CK845" s="408"/>
      <c r="CL845" s="408"/>
      <c r="CM845" s="408"/>
      <c r="CN845" s="408"/>
      <c r="CO845" s="408"/>
      <c r="CP845" s="408"/>
      <c r="CQ845" s="408"/>
      <c r="CR845" s="408"/>
      <c r="CS845" s="408"/>
      <c r="CT845" s="250"/>
      <c r="CU845" s="250"/>
      <c r="CV845" s="250"/>
      <c r="CW845" s="250"/>
      <c r="CX845" s="408"/>
      <c r="CY845" s="408"/>
      <c r="CZ845" s="408"/>
      <c r="DA845" s="408"/>
      <c r="DB845" s="408"/>
      <c r="DC845" s="408"/>
      <c r="DD845" s="408"/>
      <c r="DE845" s="250"/>
      <c r="DF845" s="408"/>
      <c r="DG845" s="408"/>
      <c r="DH845" s="408"/>
      <c r="DI845" s="408"/>
      <c r="DJ845" s="408"/>
      <c r="DK845" s="408"/>
      <c r="DL845" s="408"/>
      <c r="DM845" s="250"/>
      <c r="DN845" s="250"/>
      <c r="DO845" s="250"/>
      <c r="DP845" s="250"/>
      <c r="DQ845" s="250"/>
      <c r="DR845" s="250"/>
      <c r="DS845" s="250"/>
      <c r="DT845" s="250"/>
      <c r="DU845" s="250"/>
      <c r="DV845" s="250"/>
      <c r="DW845" s="252"/>
      <c r="DX845" s="252"/>
      <c r="DY845" s="250"/>
      <c r="DZ845" s="250"/>
      <c r="EA845" s="260"/>
      <c r="EB845" s="260"/>
      <c r="EC845" s="260"/>
      <c r="ED845" s="260"/>
      <c r="EG845" s="396"/>
      <c r="EH845" s="396"/>
    </row>
    <row r="846" spans="1:138" s="3" customFormat="1" x14ac:dyDescent="0.25">
      <c r="A846" s="407"/>
      <c r="B846" s="407"/>
      <c r="C846" s="250"/>
      <c r="D846" s="250"/>
      <c r="E846" s="250"/>
      <c r="F846" s="250"/>
      <c r="G846" s="250"/>
      <c r="H846" s="250"/>
      <c r="I846" s="250"/>
      <c r="J846" s="250"/>
      <c r="K846" s="250"/>
      <c r="L846" s="250"/>
      <c r="M846" s="250"/>
      <c r="N846" s="250"/>
      <c r="O846" s="250"/>
      <c r="P846" s="250"/>
      <c r="Q846" s="250"/>
      <c r="R846" s="250"/>
      <c r="S846" s="250"/>
      <c r="T846" s="250"/>
      <c r="U846" s="250"/>
      <c r="V846" s="250"/>
      <c r="W846" s="250"/>
      <c r="X846" s="250"/>
      <c r="Y846" s="250"/>
      <c r="Z846" s="250"/>
      <c r="AA846" s="250"/>
      <c r="AB846" s="250"/>
      <c r="AC846" s="250"/>
      <c r="AD846" s="250"/>
      <c r="AE846" s="250"/>
      <c r="AF846" s="250"/>
      <c r="AG846" s="250"/>
      <c r="AH846" s="250"/>
      <c r="AI846" s="250"/>
      <c r="AJ846" s="250"/>
      <c r="AK846" s="250"/>
      <c r="AL846" s="250"/>
      <c r="AM846" s="408"/>
      <c r="AN846" s="408"/>
      <c r="AO846" s="408"/>
      <c r="AP846" s="408"/>
      <c r="AQ846" s="408"/>
      <c r="AR846" s="408"/>
      <c r="AS846" s="408"/>
      <c r="AT846" s="408"/>
      <c r="AU846" s="408"/>
      <c r="AV846" s="408"/>
      <c r="AW846" s="408"/>
      <c r="AX846" s="250"/>
      <c r="AY846" s="250"/>
      <c r="AZ846" s="250"/>
      <c r="BA846" s="250"/>
      <c r="BB846" s="250"/>
      <c r="BC846" s="250"/>
      <c r="BD846" s="250"/>
      <c r="BE846" s="250"/>
      <c r="BF846" s="250"/>
      <c r="BG846" s="250"/>
      <c r="BH846" s="250"/>
      <c r="BI846" s="250"/>
      <c r="BJ846" s="250"/>
      <c r="BK846" s="250"/>
      <c r="BL846" s="250"/>
      <c r="BM846" s="250"/>
      <c r="BN846" s="250"/>
      <c r="BO846" s="250"/>
      <c r="BP846" s="250"/>
      <c r="BQ846" s="250"/>
      <c r="BR846" s="250"/>
      <c r="BS846" s="250"/>
      <c r="BT846" s="250"/>
      <c r="BU846" s="250"/>
      <c r="BV846" s="250"/>
      <c r="BW846" s="250"/>
      <c r="BX846" s="250"/>
      <c r="BY846" s="250"/>
      <c r="BZ846" s="250"/>
      <c r="CA846" s="250"/>
      <c r="CB846" s="250"/>
      <c r="CC846" s="250"/>
      <c r="CD846" s="250"/>
      <c r="CE846" s="250"/>
      <c r="CF846" s="250"/>
      <c r="CG846" s="250"/>
      <c r="CH846" s="250"/>
      <c r="CI846" s="408"/>
      <c r="CJ846" s="408"/>
      <c r="CK846" s="408"/>
      <c r="CL846" s="408"/>
      <c r="CM846" s="408"/>
      <c r="CN846" s="408"/>
      <c r="CO846" s="408"/>
      <c r="CP846" s="408"/>
      <c r="CQ846" s="408"/>
      <c r="CR846" s="408"/>
      <c r="CS846" s="408"/>
      <c r="CT846" s="250"/>
      <c r="CU846" s="250"/>
      <c r="CV846" s="250"/>
      <c r="CW846" s="250"/>
      <c r="CX846" s="408"/>
      <c r="CY846" s="408"/>
      <c r="CZ846" s="408"/>
      <c r="DA846" s="408"/>
      <c r="DB846" s="408"/>
      <c r="DC846" s="408"/>
      <c r="DD846" s="408"/>
      <c r="DE846" s="250"/>
      <c r="DF846" s="408"/>
      <c r="DG846" s="408"/>
      <c r="DH846" s="408"/>
      <c r="DI846" s="408"/>
      <c r="DJ846" s="408"/>
      <c r="DK846" s="408"/>
      <c r="DL846" s="408"/>
      <c r="DM846" s="250"/>
      <c r="DN846" s="250"/>
      <c r="DO846" s="250"/>
      <c r="DP846" s="250"/>
      <c r="DQ846" s="250"/>
      <c r="DR846" s="250"/>
      <c r="DS846" s="250"/>
      <c r="DT846" s="250"/>
      <c r="DU846" s="250"/>
      <c r="DV846" s="250"/>
      <c r="DW846" s="252"/>
      <c r="DX846" s="252"/>
      <c r="DY846" s="250"/>
      <c r="DZ846" s="250"/>
      <c r="EA846" s="260"/>
      <c r="EB846" s="260"/>
      <c r="EC846" s="260"/>
      <c r="ED846" s="260"/>
      <c r="EG846" s="396"/>
      <c r="EH846" s="396"/>
    </row>
    <row r="847" spans="1:138" s="3" customFormat="1" x14ac:dyDescent="0.25">
      <c r="A847" s="407"/>
      <c r="B847" s="407"/>
      <c r="C847" s="250"/>
      <c r="D847" s="250"/>
      <c r="E847" s="250"/>
      <c r="F847" s="250"/>
      <c r="G847" s="250"/>
      <c r="H847" s="250"/>
      <c r="I847" s="250"/>
      <c r="J847" s="250"/>
      <c r="K847" s="250"/>
      <c r="L847" s="250"/>
      <c r="M847" s="250"/>
      <c r="N847" s="250"/>
      <c r="O847" s="250"/>
      <c r="P847" s="250"/>
      <c r="Q847" s="250"/>
      <c r="R847" s="250"/>
      <c r="S847" s="250"/>
      <c r="T847" s="250"/>
      <c r="U847" s="250"/>
      <c r="V847" s="250"/>
      <c r="W847" s="250"/>
      <c r="X847" s="250"/>
      <c r="Y847" s="250"/>
      <c r="Z847" s="250"/>
      <c r="AA847" s="250"/>
      <c r="AB847" s="250"/>
      <c r="AC847" s="250"/>
      <c r="AD847" s="250"/>
      <c r="AE847" s="250"/>
      <c r="AF847" s="250"/>
      <c r="AG847" s="250"/>
      <c r="AH847" s="250"/>
      <c r="AI847" s="250"/>
      <c r="AJ847" s="250"/>
      <c r="AK847" s="250"/>
      <c r="AL847" s="250"/>
      <c r="AM847" s="408"/>
      <c r="AN847" s="408"/>
      <c r="AO847" s="408"/>
      <c r="AP847" s="408"/>
      <c r="AQ847" s="408"/>
      <c r="AR847" s="408"/>
      <c r="AS847" s="408"/>
      <c r="AT847" s="408"/>
      <c r="AU847" s="408"/>
      <c r="AV847" s="408"/>
      <c r="AW847" s="408"/>
      <c r="AX847" s="250"/>
      <c r="AY847" s="250"/>
      <c r="AZ847" s="250"/>
      <c r="BA847" s="250"/>
      <c r="BB847" s="250"/>
      <c r="BC847" s="250"/>
      <c r="BD847" s="250"/>
      <c r="BE847" s="250"/>
      <c r="BF847" s="250"/>
      <c r="BG847" s="250"/>
      <c r="BH847" s="250"/>
      <c r="BI847" s="250"/>
      <c r="BJ847" s="250"/>
      <c r="BK847" s="250"/>
      <c r="BL847" s="250"/>
      <c r="BM847" s="250"/>
      <c r="BN847" s="250"/>
      <c r="BO847" s="250"/>
      <c r="BP847" s="250"/>
      <c r="BQ847" s="250"/>
      <c r="BR847" s="250"/>
      <c r="BS847" s="250"/>
      <c r="BT847" s="250"/>
      <c r="BU847" s="250"/>
      <c r="BV847" s="250"/>
      <c r="BW847" s="250"/>
      <c r="BX847" s="250"/>
      <c r="BY847" s="250"/>
      <c r="BZ847" s="250"/>
      <c r="CA847" s="250"/>
      <c r="CB847" s="250"/>
      <c r="CC847" s="250"/>
      <c r="CD847" s="250"/>
      <c r="CE847" s="250"/>
      <c r="CF847" s="250"/>
      <c r="CG847" s="250"/>
      <c r="CH847" s="250"/>
      <c r="CI847" s="408"/>
      <c r="CJ847" s="408"/>
      <c r="CK847" s="408"/>
      <c r="CL847" s="408"/>
      <c r="CM847" s="408"/>
      <c r="CN847" s="408"/>
      <c r="CO847" s="408"/>
      <c r="CP847" s="408"/>
      <c r="CQ847" s="408"/>
      <c r="CR847" s="408"/>
      <c r="CS847" s="408"/>
      <c r="CT847" s="250"/>
      <c r="CU847" s="250"/>
      <c r="CV847" s="250"/>
      <c r="CW847" s="250"/>
      <c r="CX847" s="408"/>
      <c r="CY847" s="408"/>
      <c r="CZ847" s="408"/>
      <c r="DA847" s="408"/>
      <c r="DB847" s="408"/>
      <c r="DC847" s="408"/>
      <c r="DD847" s="408"/>
      <c r="DE847" s="250"/>
      <c r="DF847" s="408"/>
      <c r="DG847" s="408"/>
      <c r="DH847" s="408"/>
      <c r="DI847" s="408"/>
      <c r="DJ847" s="408"/>
      <c r="DK847" s="408"/>
      <c r="DL847" s="408"/>
      <c r="DM847" s="250"/>
      <c r="DN847" s="250"/>
      <c r="DO847" s="250"/>
      <c r="DP847" s="250"/>
      <c r="DQ847" s="250"/>
      <c r="DR847" s="250"/>
      <c r="DS847" s="250"/>
      <c r="DT847" s="250"/>
      <c r="DU847" s="250"/>
      <c r="DV847" s="250"/>
      <c r="DW847" s="252"/>
      <c r="DX847" s="252"/>
      <c r="DY847" s="250"/>
      <c r="DZ847" s="250"/>
      <c r="EA847" s="260"/>
      <c r="EB847" s="260"/>
      <c r="EC847" s="260"/>
      <c r="ED847" s="260"/>
      <c r="EG847" s="396"/>
      <c r="EH847" s="396"/>
    </row>
    <row r="848" spans="1:138" s="3" customFormat="1" x14ac:dyDescent="0.25">
      <c r="A848" s="407"/>
      <c r="B848" s="407"/>
      <c r="C848" s="250"/>
      <c r="D848" s="250"/>
      <c r="E848" s="250"/>
      <c r="F848" s="250"/>
      <c r="G848" s="250"/>
      <c r="H848" s="250"/>
      <c r="I848" s="250"/>
      <c r="J848" s="250"/>
      <c r="K848" s="250"/>
      <c r="L848" s="250"/>
      <c r="M848" s="250"/>
      <c r="N848" s="250"/>
      <c r="O848" s="250"/>
      <c r="P848" s="250"/>
      <c r="Q848" s="250"/>
      <c r="R848" s="250"/>
      <c r="S848" s="250"/>
      <c r="T848" s="250"/>
      <c r="U848" s="250"/>
      <c r="V848" s="250"/>
      <c r="W848" s="250"/>
      <c r="X848" s="250"/>
      <c r="Y848" s="250"/>
      <c r="Z848" s="250"/>
      <c r="AA848" s="250"/>
      <c r="AB848" s="250"/>
      <c r="AC848" s="250"/>
      <c r="AD848" s="250"/>
      <c r="AE848" s="250"/>
      <c r="AF848" s="250"/>
      <c r="AG848" s="250"/>
      <c r="AH848" s="250"/>
      <c r="AI848" s="250"/>
      <c r="AJ848" s="250"/>
      <c r="AK848" s="250"/>
      <c r="AL848" s="250"/>
      <c r="AM848" s="408"/>
      <c r="AN848" s="408"/>
      <c r="AO848" s="408"/>
      <c r="AP848" s="408"/>
      <c r="AQ848" s="408"/>
      <c r="AR848" s="408"/>
      <c r="AS848" s="408"/>
      <c r="AT848" s="408"/>
      <c r="AU848" s="408"/>
      <c r="AV848" s="408"/>
      <c r="AW848" s="408"/>
      <c r="AX848" s="250"/>
      <c r="AY848" s="250"/>
      <c r="AZ848" s="250"/>
      <c r="BA848" s="250"/>
      <c r="BB848" s="250"/>
      <c r="BC848" s="250"/>
      <c r="BD848" s="250"/>
      <c r="BE848" s="250"/>
      <c r="BF848" s="250"/>
      <c r="BG848" s="250"/>
      <c r="BH848" s="250"/>
      <c r="BI848" s="250"/>
      <c r="BJ848" s="250"/>
      <c r="BK848" s="250"/>
      <c r="BL848" s="250"/>
      <c r="BM848" s="250"/>
      <c r="BN848" s="250"/>
      <c r="BO848" s="250"/>
      <c r="BP848" s="250"/>
      <c r="BQ848" s="250"/>
      <c r="BR848" s="250"/>
      <c r="BS848" s="250"/>
      <c r="BT848" s="250"/>
      <c r="BU848" s="250"/>
      <c r="BV848" s="250"/>
      <c r="BW848" s="250"/>
      <c r="BX848" s="250"/>
      <c r="BY848" s="250"/>
      <c r="BZ848" s="250"/>
      <c r="CA848" s="250"/>
      <c r="CB848" s="250"/>
      <c r="CC848" s="250"/>
      <c r="CD848" s="250"/>
      <c r="CE848" s="250"/>
      <c r="CF848" s="250"/>
      <c r="CG848" s="250"/>
      <c r="CH848" s="250"/>
      <c r="CI848" s="408"/>
      <c r="CJ848" s="408"/>
      <c r="CK848" s="408"/>
      <c r="CL848" s="408"/>
      <c r="CM848" s="408"/>
      <c r="CN848" s="408"/>
      <c r="CO848" s="408"/>
      <c r="CP848" s="408"/>
      <c r="CQ848" s="408"/>
      <c r="CR848" s="408"/>
      <c r="CS848" s="408"/>
      <c r="CT848" s="250"/>
      <c r="CU848" s="250"/>
      <c r="CV848" s="250"/>
      <c r="CW848" s="250"/>
      <c r="CX848" s="408"/>
      <c r="CY848" s="408"/>
      <c r="CZ848" s="408"/>
      <c r="DA848" s="408"/>
      <c r="DB848" s="408"/>
      <c r="DC848" s="408"/>
      <c r="DD848" s="408"/>
      <c r="DE848" s="250"/>
      <c r="DF848" s="408"/>
      <c r="DG848" s="408"/>
      <c r="DH848" s="408"/>
      <c r="DI848" s="408"/>
      <c r="DJ848" s="408"/>
      <c r="DK848" s="408"/>
      <c r="DL848" s="408"/>
      <c r="DM848" s="250"/>
      <c r="DN848" s="250"/>
      <c r="DO848" s="250"/>
      <c r="DP848" s="250"/>
      <c r="DQ848" s="250"/>
      <c r="DR848" s="250"/>
      <c r="DS848" s="250"/>
      <c r="DT848" s="250"/>
      <c r="DU848" s="250"/>
      <c r="DV848" s="250"/>
      <c r="DW848" s="252"/>
      <c r="DX848" s="252"/>
      <c r="DY848" s="250"/>
      <c r="DZ848" s="250"/>
      <c r="EA848" s="260"/>
      <c r="EB848" s="260"/>
      <c r="EC848" s="260"/>
      <c r="ED848" s="260"/>
      <c r="EG848" s="396"/>
      <c r="EH848" s="396"/>
    </row>
    <row r="849" spans="1:138" s="3" customFormat="1" x14ac:dyDescent="0.25">
      <c r="A849" s="407"/>
      <c r="B849" s="407"/>
      <c r="C849" s="250"/>
      <c r="D849" s="250"/>
      <c r="E849" s="250"/>
      <c r="F849" s="250"/>
      <c r="G849" s="250"/>
      <c r="H849" s="250"/>
      <c r="I849" s="250"/>
      <c r="J849" s="250"/>
      <c r="K849" s="250"/>
      <c r="L849" s="250"/>
      <c r="M849" s="250"/>
      <c r="N849" s="250"/>
      <c r="O849" s="250"/>
      <c r="P849" s="250"/>
      <c r="Q849" s="250"/>
      <c r="R849" s="250"/>
      <c r="S849" s="250"/>
      <c r="T849" s="250"/>
      <c r="U849" s="250"/>
      <c r="V849" s="250"/>
      <c r="W849" s="250"/>
      <c r="X849" s="250"/>
      <c r="Y849" s="250"/>
      <c r="Z849" s="250"/>
      <c r="AA849" s="250"/>
      <c r="AB849" s="250"/>
      <c r="AC849" s="250"/>
      <c r="AD849" s="250"/>
      <c r="AE849" s="250"/>
      <c r="AF849" s="250"/>
      <c r="AG849" s="250"/>
      <c r="AH849" s="250"/>
      <c r="AI849" s="250"/>
      <c r="AJ849" s="250"/>
      <c r="AK849" s="250"/>
      <c r="AL849" s="250"/>
      <c r="AM849" s="408"/>
      <c r="AN849" s="408"/>
      <c r="AO849" s="408"/>
      <c r="AP849" s="408"/>
      <c r="AQ849" s="408"/>
      <c r="AR849" s="408"/>
      <c r="AS849" s="408"/>
      <c r="AT849" s="408"/>
      <c r="AU849" s="408"/>
      <c r="AV849" s="408"/>
      <c r="AW849" s="408"/>
      <c r="AX849" s="250"/>
      <c r="AY849" s="250"/>
      <c r="AZ849" s="250"/>
      <c r="BA849" s="250"/>
      <c r="BB849" s="250"/>
      <c r="BC849" s="250"/>
      <c r="BD849" s="250"/>
      <c r="BE849" s="250"/>
      <c r="BF849" s="250"/>
      <c r="BG849" s="250"/>
      <c r="BH849" s="250"/>
      <c r="BI849" s="250"/>
      <c r="BJ849" s="250"/>
      <c r="BK849" s="250"/>
      <c r="BL849" s="250"/>
      <c r="BM849" s="250"/>
      <c r="BN849" s="250"/>
      <c r="BO849" s="250"/>
      <c r="BP849" s="250"/>
      <c r="BQ849" s="250"/>
      <c r="BR849" s="250"/>
      <c r="BS849" s="250"/>
      <c r="BT849" s="250"/>
      <c r="BU849" s="250"/>
      <c r="BV849" s="250"/>
      <c r="BW849" s="250"/>
      <c r="BX849" s="250"/>
      <c r="BY849" s="250"/>
      <c r="BZ849" s="250"/>
      <c r="CA849" s="250"/>
      <c r="CB849" s="250"/>
      <c r="CC849" s="250"/>
      <c r="CD849" s="250"/>
      <c r="CE849" s="250"/>
      <c r="CF849" s="250"/>
      <c r="CG849" s="250"/>
      <c r="CH849" s="250"/>
      <c r="CI849" s="408"/>
      <c r="CJ849" s="408"/>
      <c r="CK849" s="408"/>
      <c r="CL849" s="408"/>
      <c r="CM849" s="408"/>
      <c r="CN849" s="408"/>
      <c r="CO849" s="408"/>
      <c r="CP849" s="408"/>
      <c r="CQ849" s="408"/>
      <c r="CR849" s="408"/>
      <c r="CS849" s="408"/>
      <c r="CT849" s="250"/>
      <c r="CU849" s="250"/>
      <c r="CV849" s="250"/>
      <c r="CW849" s="250"/>
      <c r="CX849" s="408"/>
      <c r="CY849" s="408"/>
      <c r="CZ849" s="408"/>
      <c r="DA849" s="408"/>
      <c r="DB849" s="408"/>
      <c r="DC849" s="408"/>
      <c r="DD849" s="408"/>
      <c r="DE849" s="250"/>
      <c r="DF849" s="408"/>
      <c r="DG849" s="408"/>
      <c r="DH849" s="408"/>
      <c r="DI849" s="408"/>
      <c r="DJ849" s="408"/>
      <c r="DK849" s="408"/>
      <c r="DL849" s="408"/>
      <c r="DM849" s="250"/>
      <c r="DN849" s="250"/>
      <c r="DO849" s="250"/>
      <c r="DP849" s="250"/>
      <c r="DQ849" s="250"/>
      <c r="DR849" s="250"/>
      <c r="DS849" s="250"/>
      <c r="DT849" s="250"/>
      <c r="DU849" s="250"/>
      <c r="DV849" s="250"/>
      <c r="DW849" s="252"/>
      <c r="DX849" s="252"/>
      <c r="DY849" s="250"/>
      <c r="DZ849" s="250"/>
      <c r="EA849" s="260"/>
      <c r="EB849" s="260"/>
      <c r="EC849" s="260"/>
      <c r="ED849" s="260"/>
      <c r="EG849" s="396"/>
      <c r="EH849" s="396"/>
    </row>
    <row r="850" spans="1:138" s="3" customFormat="1" x14ac:dyDescent="0.25">
      <c r="A850" s="407"/>
      <c r="B850" s="407"/>
      <c r="C850" s="250"/>
      <c r="D850" s="250"/>
      <c r="E850" s="250"/>
      <c r="F850" s="250"/>
      <c r="G850" s="250"/>
      <c r="H850" s="250"/>
      <c r="I850" s="250"/>
      <c r="J850" s="250"/>
      <c r="K850" s="250"/>
      <c r="L850" s="250"/>
      <c r="M850" s="250"/>
      <c r="N850" s="250"/>
      <c r="O850" s="250"/>
      <c r="P850" s="250"/>
      <c r="Q850" s="250"/>
      <c r="R850" s="250"/>
      <c r="S850" s="250"/>
      <c r="T850" s="250"/>
      <c r="U850" s="250"/>
      <c r="V850" s="250"/>
      <c r="W850" s="250"/>
      <c r="X850" s="250"/>
      <c r="Y850" s="250"/>
      <c r="Z850" s="250"/>
      <c r="AA850" s="250"/>
      <c r="AB850" s="250"/>
      <c r="AC850" s="250"/>
      <c r="AD850" s="250"/>
      <c r="AE850" s="250"/>
      <c r="AF850" s="250"/>
      <c r="AG850" s="250"/>
      <c r="AH850" s="250"/>
      <c r="AI850" s="250"/>
      <c r="AJ850" s="250"/>
      <c r="AK850" s="250"/>
      <c r="AL850" s="250"/>
      <c r="AM850" s="408"/>
      <c r="AN850" s="408"/>
      <c r="AO850" s="408"/>
      <c r="AP850" s="408"/>
      <c r="AQ850" s="408"/>
      <c r="AR850" s="408"/>
      <c r="AS850" s="408"/>
      <c r="AT850" s="408"/>
      <c r="AU850" s="408"/>
      <c r="AV850" s="408"/>
      <c r="AW850" s="408"/>
      <c r="AX850" s="250"/>
      <c r="AY850" s="250"/>
      <c r="AZ850" s="250"/>
      <c r="BA850" s="250"/>
      <c r="BB850" s="250"/>
      <c r="BC850" s="250"/>
      <c r="BD850" s="250"/>
      <c r="BE850" s="250"/>
      <c r="BF850" s="250"/>
      <c r="BG850" s="250"/>
      <c r="BH850" s="250"/>
      <c r="BI850" s="250"/>
      <c r="BJ850" s="250"/>
      <c r="BK850" s="250"/>
      <c r="BL850" s="250"/>
      <c r="BM850" s="250"/>
      <c r="BN850" s="250"/>
      <c r="BO850" s="250"/>
      <c r="BP850" s="250"/>
      <c r="BQ850" s="250"/>
      <c r="BR850" s="250"/>
      <c r="BS850" s="250"/>
      <c r="BT850" s="250"/>
      <c r="BU850" s="250"/>
      <c r="BV850" s="250"/>
      <c r="BW850" s="250"/>
      <c r="BX850" s="250"/>
      <c r="BY850" s="250"/>
      <c r="BZ850" s="250"/>
      <c r="CA850" s="250"/>
      <c r="CB850" s="250"/>
      <c r="CC850" s="250"/>
      <c r="CD850" s="250"/>
      <c r="CE850" s="250"/>
      <c r="CF850" s="250"/>
      <c r="CG850" s="250"/>
      <c r="CH850" s="250"/>
      <c r="CI850" s="408"/>
      <c r="CJ850" s="408"/>
      <c r="CK850" s="408"/>
      <c r="CL850" s="408"/>
      <c r="CM850" s="408"/>
      <c r="CN850" s="408"/>
      <c r="CO850" s="408"/>
      <c r="CP850" s="408"/>
      <c r="CQ850" s="408"/>
      <c r="CR850" s="408"/>
      <c r="CS850" s="408"/>
      <c r="CT850" s="250"/>
      <c r="CU850" s="250"/>
      <c r="CV850" s="250"/>
      <c r="CW850" s="250"/>
      <c r="CX850" s="408"/>
      <c r="CY850" s="408"/>
      <c r="CZ850" s="408"/>
      <c r="DA850" s="408"/>
      <c r="DB850" s="408"/>
      <c r="DC850" s="408"/>
      <c r="DD850" s="408"/>
      <c r="DE850" s="250"/>
      <c r="DF850" s="408"/>
      <c r="DG850" s="408"/>
      <c r="DH850" s="408"/>
      <c r="DI850" s="408"/>
      <c r="DJ850" s="408"/>
      <c r="DK850" s="408"/>
      <c r="DL850" s="408"/>
      <c r="DM850" s="250"/>
      <c r="DN850" s="250"/>
      <c r="DO850" s="250"/>
      <c r="DP850" s="250"/>
      <c r="DQ850" s="250"/>
      <c r="DR850" s="250"/>
      <c r="DS850" s="250"/>
      <c r="DT850" s="250"/>
      <c r="DU850" s="250"/>
      <c r="DV850" s="250"/>
      <c r="DW850" s="252"/>
      <c r="DX850" s="252"/>
      <c r="DY850" s="250"/>
      <c r="DZ850" s="250"/>
      <c r="EA850" s="260"/>
      <c r="EB850" s="260"/>
      <c r="EC850" s="260"/>
      <c r="ED850" s="260"/>
      <c r="EG850" s="396"/>
      <c r="EH850" s="396"/>
    </row>
    <row r="851" spans="1:138" s="3" customFormat="1" x14ac:dyDescent="0.25">
      <c r="A851" s="407"/>
      <c r="B851" s="407"/>
      <c r="C851" s="250"/>
      <c r="D851" s="250"/>
      <c r="E851" s="250"/>
      <c r="F851" s="250"/>
      <c r="G851" s="250"/>
      <c r="H851" s="250"/>
      <c r="I851" s="250"/>
      <c r="J851" s="250"/>
      <c r="K851" s="250"/>
      <c r="L851" s="250"/>
      <c r="M851" s="250"/>
      <c r="N851" s="250"/>
      <c r="O851" s="250"/>
      <c r="P851" s="250"/>
      <c r="Q851" s="250"/>
      <c r="R851" s="250"/>
      <c r="S851" s="250"/>
      <c r="T851" s="250"/>
      <c r="U851" s="250"/>
      <c r="V851" s="250"/>
      <c r="W851" s="250"/>
      <c r="X851" s="250"/>
      <c r="Y851" s="250"/>
      <c r="Z851" s="250"/>
      <c r="AA851" s="250"/>
      <c r="AB851" s="250"/>
      <c r="AC851" s="250"/>
      <c r="AD851" s="250"/>
      <c r="AE851" s="250"/>
      <c r="AF851" s="250"/>
      <c r="AG851" s="250"/>
      <c r="AH851" s="250"/>
      <c r="AI851" s="250"/>
      <c r="AJ851" s="250"/>
      <c r="AK851" s="250"/>
      <c r="AL851" s="250"/>
      <c r="AM851" s="408"/>
      <c r="AN851" s="408"/>
      <c r="AO851" s="408"/>
      <c r="AP851" s="408"/>
      <c r="AQ851" s="408"/>
      <c r="AR851" s="408"/>
      <c r="AS851" s="408"/>
      <c r="AT851" s="408"/>
      <c r="AU851" s="408"/>
      <c r="AV851" s="408"/>
      <c r="AW851" s="408"/>
      <c r="AX851" s="250"/>
      <c r="AY851" s="250"/>
      <c r="AZ851" s="250"/>
      <c r="BA851" s="250"/>
      <c r="BB851" s="250"/>
      <c r="BC851" s="250"/>
      <c r="BD851" s="250"/>
      <c r="BE851" s="250"/>
      <c r="BF851" s="250"/>
      <c r="BG851" s="250"/>
      <c r="BH851" s="250"/>
      <c r="BI851" s="250"/>
      <c r="BJ851" s="250"/>
      <c r="BK851" s="250"/>
      <c r="BL851" s="250"/>
      <c r="BM851" s="250"/>
      <c r="BN851" s="250"/>
      <c r="BO851" s="250"/>
      <c r="BP851" s="250"/>
      <c r="BQ851" s="250"/>
      <c r="BR851" s="250"/>
      <c r="BS851" s="250"/>
      <c r="BT851" s="250"/>
      <c r="BU851" s="250"/>
      <c r="BV851" s="250"/>
      <c r="BW851" s="250"/>
      <c r="BX851" s="250"/>
      <c r="BY851" s="250"/>
      <c r="BZ851" s="250"/>
      <c r="CA851" s="250"/>
      <c r="CB851" s="250"/>
      <c r="CC851" s="250"/>
      <c r="CD851" s="250"/>
      <c r="CE851" s="250"/>
      <c r="CF851" s="250"/>
      <c r="CG851" s="250"/>
      <c r="CH851" s="250"/>
      <c r="CI851" s="408"/>
      <c r="CJ851" s="408"/>
      <c r="CK851" s="408"/>
      <c r="CL851" s="408"/>
      <c r="CM851" s="408"/>
      <c r="CN851" s="408"/>
      <c r="CO851" s="408"/>
      <c r="CP851" s="408"/>
      <c r="CQ851" s="408"/>
      <c r="CR851" s="408"/>
      <c r="CS851" s="408"/>
      <c r="CT851" s="250"/>
      <c r="CU851" s="250"/>
      <c r="CV851" s="250"/>
      <c r="CW851" s="250"/>
      <c r="CX851" s="408"/>
      <c r="CY851" s="408"/>
      <c r="CZ851" s="408"/>
      <c r="DA851" s="408"/>
      <c r="DB851" s="408"/>
      <c r="DC851" s="408"/>
      <c r="DD851" s="408"/>
      <c r="DE851" s="250"/>
      <c r="DF851" s="408"/>
      <c r="DG851" s="408"/>
      <c r="DH851" s="408"/>
      <c r="DI851" s="408"/>
      <c r="DJ851" s="408"/>
      <c r="DK851" s="408"/>
      <c r="DL851" s="408"/>
      <c r="DM851" s="250"/>
      <c r="DN851" s="250"/>
      <c r="DO851" s="250"/>
      <c r="DP851" s="250"/>
      <c r="DQ851" s="250"/>
      <c r="DR851" s="250"/>
      <c r="DS851" s="250"/>
      <c r="DT851" s="250"/>
      <c r="DU851" s="250"/>
      <c r="DV851" s="250"/>
      <c r="DW851" s="252"/>
      <c r="DX851" s="252"/>
      <c r="DY851" s="250"/>
      <c r="DZ851" s="250"/>
      <c r="EA851" s="260"/>
      <c r="EB851" s="260"/>
      <c r="EC851" s="260"/>
      <c r="ED851" s="260"/>
      <c r="EG851" s="396"/>
      <c r="EH851" s="396"/>
    </row>
    <row r="852" spans="1:138" s="3" customFormat="1" x14ac:dyDescent="0.25">
      <c r="A852" s="407"/>
      <c r="B852" s="407"/>
      <c r="C852" s="250"/>
      <c r="D852" s="250"/>
      <c r="E852" s="250"/>
      <c r="F852" s="250"/>
      <c r="G852" s="250"/>
      <c r="H852" s="250"/>
      <c r="I852" s="250"/>
      <c r="J852" s="250"/>
      <c r="K852" s="250"/>
      <c r="L852" s="250"/>
      <c r="M852" s="250"/>
      <c r="N852" s="250"/>
      <c r="O852" s="250"/>
      <c r="P852" s="250"/>
      <c r="Q852" s="250"/>
      <c r="R852" s="250"/>
      <c r="S852" s="250"/>
      <c r="T852" s="250"/>
      <c r="U852" s="250"/>
      <c r="V852" s="250"/>
      <c r="W852" s="250"/>
      <c r="X852" s="250"/>
      <c r="Y852" s="250"/>
      <c r="Z852" s="250"/>
      <c r="AA852" s="250"/>
      <c r="AB852" s="250"/>
      <c r="AC852" s="250"/>
      <c r="AD852" s="250"/>
      <c r="AE852" s="250"/>
      <c r="AF852" s="250"/>
      <c r="AG852" s="250"/>
      <c r="AH852" s="250"/>
      <c r="AI852" s="250"/>
      <c r="AJ852" s="250"/>
      <c r="AK852" s="250"/>
      <c r="AL852" s="250"/>
      <c r="AM852" s="408"/>
      <c r="AN852" s="408"/>
      <c r="AO852" s="408"/>
      <c r="AP852" s="408"/>
      <c r="AQ852" s="408"/>
      <c r="AR852" s="408"/>
      <c r="AS852" s="408"/>
      <c r="AT852" s="408"/>
      <c r="AU852" s="408"/>
      <c r="AV852" s="408"/>
      <c r="AW852" s="408"/>
      <c r="AX852" s="250"/>
      <c r="AY852" s="250"/>
      <c r="AZ852" s="250"/>
      <c r="BA852" s="250"/>
      <c r="BB852" s="250"/>
      <c r="BC852" s="250"/>
      <c r="BD852" s="250"/>
      <c r="BE852" s="250"/>
      <c r="BF852" s="250"/>
      <c r="BG852" s="250"/>
      <c r="BH852" s="250"/>
      <c r="BI852" s="250"/>
      <c r="BJ852" s="250"/>
      <c r="BK852" s="250"/>
      <c r="BL852" s="250"/>
      <c r="BM852" s="250"/>
      <c r="BN852" s="250"/>
      <c r="BO852" s="250"/>
      <c r="BP852" s="250"/>
      <c r="BQ852" s="250"/>
      <c r="BR852" s="250"/>
      <c r="BS852" s="250"/>
      <c r="BT852" s="250"/>
      <c r="BU852" s="250"/>
      <c r="BV852" s="250"/>
      <c r="BW852" s="250"/>
      <c r="BX852" s="250"/>
      <c r="BY852" s="250"/>
      <c r="BZ852" s="250"/>
      <c r="CA852" s="250"/>
      <c r="CB852" s="250"/>
      <c r="CC852" s="250"/>
      <c r="CD852" s="250"/>
      <c r="CE852" s="250"/>
      <c r="CF852" s="250"/>
      <c r="CG852" s="250"/>
      <c r="CH852" s="250"/>
      <c r="CI852" s="408"/>
      <c r="CJ852" s="408"/>
      <c r="CK852" s="408"/>
      <c r="CL852" s="408"/>
      <c r="CM852" s="408"/>
      <c r="CN852" s="408"/>
      <c r="CO852" s="408"/>
      <c r="CP852" s="408"/>
      <c r="CQ852" s="408"/>
      <c r="CR852" s="408"/>
      <c r="CS852" s="408"/>
      <c r="CT852" s="250"/>
      <c r="CU852" s="250"/>
      <c r="CV852" s="250"/>
      <c r="CW852" s="250"/>
      <c r="CX852" s="408"/>
      <c r="CY852" s="408"/>
      <c r="CZ852" s="408"/>
      <c r="DA852" s="408"/>
      <c r="DB852" s="408"/>
      <c r="DC852" s="408"/>
      <c r="DD852" s="408"/>
      <c r="DE852" s="250"/>
      <c r="DF852" s="408"/>
      <c r="DG852" s="408"/>
      <c r="DH852" s="408"/>
      <c r="DI852" s="408"/>
      <c r="DJ852" s="408"/>
      <c r="DK852" s="408"/>
      <c r="DL852" s="408"/>
      <c r="DM852" s="250"/>
      <c r="DN852" s="250"/>
      <c r="DO852" s="250"/>
      <c r="DP852" s="250"/>
      <c r="DQ852" s="250"/>
      <c r="DR852" s="250"/>
      <c r="DS852" s="250"/>
      <c r="DT852" s="250"/>
      <c r="DU852" s="250"/>
      <c r="DV852" s="250"/>
      <c r="DW852" s="252"/>
      <c r="DX852" s="252"/>
      <c r="DY852" s="250"/>
      <c r="DZ852" s="250"/>
      <c r="EA852" s="260"/>
      <c r="EB852" s="260"/>
      <c r="EC852" s="260"/>
      <c r="ED852" s="260"/>
      <c r="EG852" s="396"/>
      <c r="EH852" s="396"/>
    </row>
    <row r="853" spans="1:138" s="3" customFormat="1" x14ac:dyDescent="0.25">
      <c r="A853" s="407"/>
      <c r="B853" s="407"/>
      <c r="C853" s="250"/>
      <c r="D853" s="250"/>
      <c r="E853" s="250"/>
      <c r="F853" s="250"/>
      <c r="G853" s="250"/>
      <c r="H853" s="250"/>
      <c r="I853" s="250"/>
      <c r="J853" s="250"/>
      <c r="K853" s="250"/>
      <c r="L853" s="250"/>
      <c r="M853" s="250"/>
      <c r="N853" s="250"/>
      <c r="O853" s="250"/>
      <c r="P853" s="250"/>
      <c r="Q853" s="250"/>
      <c r="R853" s="250"/>
      <c r="S853" s="250"/>
      <c r="T853" s="250"/>
      <c r="U853" s="250"/>
      <c r="V853" s="250"/>
      <c r="W853" s="250"/>
      <c r="X853" s="250"/>
      <c r="Y853" s="250"/>
      <c r="Z853" s="250"/>
      <c r="AA853" s="250"/>
      <c r="AB853" s="250"/>
      <c r="AC853" s="250"/>
      <c r="AD853" s="250"/>
      <c r="AE853" s="250"/>
      <c r="AF853" s="250"/>
      <c r="AG853" s="250"/>
      <c r="AH853" s="250"/>
      <c r="AI853" s="250"/>
      <c r="AJ853" s="250"/>
      <c r="AK853" s="250"/>
      <c r="AL853" s="250"/>
      <c r="AM853" s="408"/>
      <c r="AN853" s="408"/>
      <c r="AO853" s="408"/>
      <c r="AP853" s="408"/>
      <c r="AQ853" s="408"/>
      <c r="AR853" s="408"/>
      <c r="AS853" s="408"/>
      <c r="AT853" s="408"/>
      <c r="AU853" s="408"/>
      <c r="AV853" s="408"/>
      <c r="AW853" s="408"/>
      <c r="AX853" s="250"/>
      <c r="AY853" s="250"/>
      <c r="AZ853" s="250"/>
      <c r="BA853" s="250"/>
      <c r="BB853" s="250"/>
      <c r="BC853" s="250"/>
      <c r="BD853" s="250"/>
      <c r="BE853" s="250"/>
      <c r="BF853" s="250"/>
      <c r="BG853" s="250"/>
      <c r="BH853" s="250"/>
      <c r="BI853" s="250"/>
      <c r="BJ853" s="250"/>
      <c r="BK853" s="250"/>
      <c r="BL853" s="250"/>
      <c r="BM853" s="250"/>
      <c r="BN853" s="250"/>
      <c r="BO853" s="250"/>
      <c r="BP853" s="250"/>
      <c r="BQ853" s="250"/>
      <c r="BR853" s="250"/>
      <c r="BS853" s="250"/>
      <c r="BT853" s="250"/>
      <c r="BU853" s="250"/>
      <c r="BV853" s="250"/>
      <c r="BW853" s="250"/>
      <c r="BX853" s="250"/>
      <c r="BY853" s="250"/>
      <c r="BZ853" s="250"/>
      <c r="CA853" s="250"/>
      <c r="CB853" s="250"/>
      <c r="CC853" s="250"/>
      <c r="CD853" s="250"/>
      <c r="CE853" s="250"/>
      <c r="CF853" s="250"/>
      <c r="CG853" s="250"/>
      <c r="CH853" s="250"/>
      <c r="CI853" s="408"/>
      <c r="CJ853" s="408"/>
      <c r="CK853" s="408"/>
      <c r="CL853" s="408"/>
      <c r="CM853" s="408"/>
      <c r="CN853" s="408"/>
      <c r="CO853" s="408"/>
      <c r="CP853" s="408"/>
      <c r="CQ853" s="408"/>
      <c r="CR853" s="408"/>
      <c r="CS853" s="408"/>
      <c r="CT853" s="250"/>
      <c r="CU853" s="250"/>
      <c r="CV853" s="250"/>
      <c r="CW853" s="250"/>
      <c r="CX853" s="408"/>
      <c r="CY853" s="408"/>
      <c r="CZ853" s="408"/>
      <c r="DA853" s="408"/>
      <c r="DB853" s="408"/>
      <c r="DC853" s="408"/>
      <c r="DD853" s="408"/>
      <c r="DE853" s="250"/>
      <c r="DF853" s="408"/>
      <c r="DG853" s="408"/>
      <c r="DH853" s="408"/>
      <c r="DI853" s="408"/>
      <c r="DJ853" s="408"/>
      <c r="DK853" s="408"/>
      <c r="DL853" s="408"/>
      <c r="DM853" s="250"/>
      <c r="DN853" s="250"/>
      <c r="DO853" s="250"/>
      <c r="DP853" s="250"/>
      <c r="DQ853" s="250"/>
      <c r="DR853" s="250"/>
      <c r="DS853" s="250"/>
      <c r="DT853" s="250"/>
      <c r="DU853" s="250"/>
      <c r="DV853" s="250"/>
      <c r="DW853" s="252"/>
      <c r="DX853" s="252"/>
      <c r="DY853" s="250"/>
      <c r="DZ853" s="250"/>
      <c r="EA853" s="260"/>
      <c r="EB853" s="260"/>
      <c r="EC853" s="260"/>
      <c r="ED853" s="260"/>
      <c r="EG853" s="396"/>
      <c r="EH853" s="396"/>
    </row>
    <row r="854" spans="1:138" s="3" customFormat="1" x14ac:dyDescent="0.25">
      <c r="A854" s="407"/>
      <c r="B854" s="407"/>
      <c r="C854" s="250"/>
      <c r="D854" s="250"/>
      <c r="E854" s="250"/>
      <c r="F854" s="250"/>
      <c r="G854" s="250"/>
      <c r="H854" s="250"/>
      <c r="I854" s="250"/>
      <c r="J854" s="250"/>
      <c r="K854" s="250"/>
      <c r="L854" s="250"/>
      <c r="M854" s="250"/>
      <c r="N854" s="250"/>
      <c r="O854" s="250"/>
      <c r="P854" s="250"/>
      <c r="Q854" s="250"/>
      <c r="R854" s="250"/>
      <c r="S854" s="250"/>
      <c r="T854" s="250"/>
      <c r="U854" s="250"/>
      <c r="V854" s="250"/>
      <c r="W854" s="250"/>
      <c r="X854" s="250"/>
      <c r="Y854" s="250"/>
      <c r="Z854" s="250"/>
      <c r="AA854" s="250"/>
      <c r="AB854" s="250"/>
      <c r="AC854" s="250"/>
      <c r="AD854" s="250"/>
      <c r="AE854" s="250"/>
      <c r="AF854" s="250"/>
      <c r="AG854" s="250"/>
      <c r="AH854" s="250"/>
      <c r="AI854" s="250"/>
      <c r="AJ854" s="250"/>
      <c r="AK854" s="250"/>
      <c r="AL854" s="250"/>
      <c r="AM854" s="408"/>
      <c r="AN854" s="408"/>
      <c r="AO854" s="408"/>
      <c r="AP854" s="408"/>
      <c r="AQ854" s="408"/>
      <c r="AR854" s="408"/>
      <c r="AS854" s="408"/>
      <c r="AT854" s="408"/>
      <c r="AU854" s="408"/>
      <c r="AV854" s="408"/>
      <c r="AW854" s="408"/>
      <c r="AX854" s="250"/>
      <c r="AY854" s="250"/>
      <c r="AZ854" s="250"/>
      <c r="BA854" s="250"/>
      <c r="BB854" s="250"/>
      <c r="BC854" s="250"/>
      <c r="BD854" s="250"/>
      <c r="BE854" s="250"/>
      <c r="BF854" s="250"/>
      <c r="BG854" s="250"/>
      <c r="BH854" s="250"/>
      <c r="BI854" s="250"/>
      <c r="BJ854" s="250"/>
      <c r="BK854" s="250"/>
      <c r="BL854" s="250"/>
      <c r="BM854" s="250"/>
      <c r="BN854" s="250"/>
      <c r="BO854" s="250"/>
      <c r="BP854" s="250"/>
      <c r="BQ854" s="250"/>
      <c r="BR854" s="250"/>
      <c r="BS854" s="250"/>
      <c r="BT854" s="250"/>
      <c r="BU854" s="250"/>
      <c r="BV854" s="250"/>
      <c r="BW854" s="250"/>
      <c r="BX854" s="250"/>
      <c r="BY854" s="250"/>
      <c r="BZ854" s="250"/>
      <c r="CA854" s="250"/>
      <c r="CB854" s="250"/>
      <c r="CC854" s="250"/>
      <c r="CD854" s="250"/>
      <c r="CE854" s="250"/>
      <c r="CF854" s="250"/>
      <c r="CG854" s="250"/>
      <c r="CH854" s="250"/>
      <c r="CI854" s="408"/>
      <c r="CJ854" s="408"/>
      <c r="CK854" s="408"/>
      <c r="CL854" s="408"/>
      <c r="CM854" s="408"/>
      <c r="CN854" s="408"/>
      <c r="CO854" s="408"/>
      <c r="CP854" s="408"/>
      <c r="CQ854" s="408"/>
      <c r="CR854" s="408"/>
      <c r="CS854" s="408"/>
      <c r="CT854" s="250"/>
      <c r="CU854" s="250"/>
      <c r="CV854" s="250"/>
      <c r="CW854" s="250"/>
      <c r="CX854" s="408"/>
      <c r="CY854" s="408"/>
      <c r="CZ854" s="408"/>
      <c r="DA854" s="408"/>
      <c r="DB854" s="408"/>
      <c r="DC854" s="408"/>
      <c r="DD854" s="408"/>
      <c r="DE854" s="250"/>
      <c r="DF854" s="408"/>
      <c r="DG854" s="408"/>
      <c r="DH854" s="408"/>
      <c r="DI854" s="408"/>
      <c r="DJ854" s="408"/>
      <c r="DK854" s="408"/>
      <c r="DL854" s="408"/>
      <c r="DM854" s="250"/>
      <c r="DN854" s="250"/>
      <c r="DO854" s="250"/>
      <c r="DP854" s="250"/>
      <c r="DQ854" s="250"/>
      <c r="DR854" s="250"/>
      <c r="DS854" s="250"/>
      <c r="DT854" s="250"/>
      <c r="DU854" s="250"/>
      <c r="DV854" s="250"/>
      <c r="DW854" s="252"/>
      <c r="DX854" s="252"/>
      <c r="DY854" s="250"/>
      <c r="DZ854" s="250"/>
      <c r="EA854" s="260"/>
      <c r="EB854" s="260"/>
      <c r="EC854" s="260"/>
      <c r="ED854" s="260"/>
      <c r="EG854" s="396"/>
      <c r="EH854" s="396"/>
    </row>
    <row r="855" spans="1:138" s="5" customFormat="1" ht="15.75" thickBot="1" x14ac:dyDescent="0.3">
      <c r="A855" s="407"/>
      <c r="B855" s="407"/>
      <c r="C855" s="250"/>
      <c r="D855" s="250"/>
      <c r="E855" s="250"/>
      <c r="F855" s="250"/>
      <c r="G855" s="250"/>
      <c r="H855" s="250"/>
      <c r="I855" s="250"/>
      <c r="J855" s="250"/>
      <c r="K855" s="250"/>
      <c r="L855" s="250"/>
      <c r="M855" s="250"/>
      <c r="N855" s="250"/>
      <c r="O855" s="250"/>
      <c r="P855" s="250"/>
      <c r="Q855" s="250"/>
      <c r="R855" s="250"/>
      <c r="S855" s="250"/>
      <c r="T855" s="250"/>
      <c r="U855" s="250"/>
      <c r="V855" s="250"/>
      <c r="W855" s="250"/>
      <c r="X855" s="250"/>
      <c r="Y855" s="250"/>
      <c r="Z855" s="250"/>
      <c r="AA855" s="250"/>
      <c r="AB855" s="250"/>
      <c r="AC855" s="250"/>
      <c r="AD855" s="250"/>
      <c r="AE855" s="250"/>
      <c r="AF855" s="250"/>
      <c r="AG855" s="250"/>
      <c r="AH855" s="250"/>
      <c r="AI855" s="250"/>
      <c r="AJ855" s="250"/>
      <c r="AK855" s="250"/>
      <c r="AL855" s="250"/>
      <c r="AM855" s="408"/>
      <c r="AN855" s="408"/>
      <c r="AO855" s="408"/>
      <c r="AP855" s="408"/>
      <c r="AQ855" s="408"/>
      <c r="AR855" s="408"/>
      <c r="AS855" s="408"/>
      <c r="AT855" s="408"/>
      <c r="AU855" s="408"/>
      <c r="AV855" s="408"/>
      <c r="AW855" s="408"/>
      <c r="AX855" s="250"/>
      <c r="AY855" s="250"/>
      <c r="AZ855" s="250"/>
      <c r="BA855" s="250"/>
      <c r="BB855" s="250"/>
      <c r="BC855" s="250"/>
      <c r="BD855" s="250"/>
      <c r="BE855" s="250"/>
      <c r="BF855" s="250"/>
      <c r="BG855" s="250"/>
      <c r="BH855" s="250"/>
      <c r="BI855" s="250"/>
      <c r="BJ855" s="250"/>
      <c r="BK855" s="250"/>
      <c r="BL855" s="250"/>
      <c r="BM855" s="250"/>
      <c r="BN855" s="250"/>
      <c r="BO855" s="250"/>
      <c r="BP855" s="250"/>
      <c r="BQ855" s="250"/>
      <c r="BR855" s="250"/>
      <c r="BS855" s="250"/>
      <c r="BT855" s="250"/>
      <c r="BU855" s="250"/>
      <c r="BV855" s="250"/>
      <c r="BW855" s="250"/>
      <c r="BX855" s="250"/>
      <c r="BY855" s="250"/>
      <c r="BZ855" s="250"/>
      <c r="CA855" s="250"/>
      <c r="CB855" s="250"/>
      <c r="CC855" s="250"/>
      <c r="CD855" s="250"/>
      <c r="CE855" s="250"/>
      <c r="CF855" s="250"/>
      <c r="CG855" s="250"/>
      <c r="CH855" s="250"/>
      <c r="CI855" s="408"/>
      <c r="CJ855" s="408"/>
      <c r="CK855" s="408"/>
      <c r="CL855" s="408"/>
      <c r="CM855" s="408"/>
      <c r="CN855" s="408"/>
      <c r="CO855" s="408"/>
      <c r="CP855" s="408"/>
      <c r="CQ855" s="408"/>
      <c r="CR855" s="408"/>
      <c r="CS855" s="408"/>
      <c r="CT855" s="250"/>
      <c r="CU855" s="250"/>
      <c r="CV855" s="250"/>
      <c r="CW855" s="250"/>
      <c r="CX855" s="408"/>
      <c r="CY855" s="408"/>
      <c r="CZ855" s="408"/>
      <c r="DA855" s="408"/>
      <c r="DB855" s="408"/>
      <c r="DC855" s="408"/>
      <c r="DD855" s="408"/>
      <c r="DE855" s="250"/>
      <c r="DF855" s="408"/>
      <c r="DG855" s="408"/>
      <c r="DH855" s="408"/>
      <c r="DI855" s="408"/>
      <c r="DJ855" s="408"/>
      <c r="DK855" s="408"/>
      <c r="DL855" s="408"/>
      <c r="DM855" s="250"/>
      <c r="DN855" s="250"/>
      <c r="DO855" s="250"/>
      <c r="DP855" s="250"/>
      <c r="DQ855" s="250"/>
      <c r="DR855" s="250"/>
      <c r="DS855" s="250"/>
      <c r="DT855" s="250"/>
      <c r="DU855" s="250"/>
      <c r="DV855" s="250"/>
      <c r="DW855" s="252"/>
      <c r="DX855" s="252"/>
      <c r="DY855" s="250"/>
      <c r="DZ855" s="250"/>
      <c r="EA855" s="260"/>
      <c r="EB855" s="260"/>
      <c r="EC855" s="260"/>
      <c r="ED855" s="260"/>
      <c r="EE855" s="3"/>
      <c r="EF855" s="3"/>
      <c r="EG855" s="396"/>
      <c r="EH855" s="396"/>
    </row>
  </sheetData>
  <sheetProtection algorithmName="SHA-512" hashValue="O54pRHi8YrIOmy+sOObp9Aih+OgPDM8xdHXuhEQnyvoNQ6irU9yntUmCwy4GzCnUON0QBvTtQdNzpnNgl7NbVg==" saltValue="X/0dugNKFMx2+FriqUHfxQ==" spinCount="100000" sheet="1" objects="1" scenarios="1" selectLockedCells="1"/>
  <mergeCells count="58">
    <mergeCell ref="DN768:DP768"/>
    <mergeCell ref="DR768:DT768"/>
    <mergeCell ref="DV768:DX768"/>
    <mergeCell ref="DZ768:ED768"/>
    <mergeCell ref="AM767:AW767"/>
    <mergeCell ref="CI767:CS767"/>
    <mergeCell ref="C768:AW768"/>
    <mergeCell ref="AY768:CS768"/>
    <mergeCell ref="CX768:DD768"/>
    <mergeCell ref="DF768:DL768"/>
    <mergeCell ref="DR679:DT679"/>
    <mergeCell ref="DV679:DX679"/>
    <mergeCell ref="DZ679:ED679"/>
    <mergeCell ref="EF679:EH679"/>
    <mergeCell ref="EJ679:EL679"/>
    <mergeCell ref="EN679:EP679"/>
    <mergeCell ref="GK659:GN659"/>
    <mergeCell ref="GP659:GR659"/>
    <mergeCell ref="GT659:GV659"/>
    <mergeCell ref="GX659:GZ659"/>
    <mergeCell ref="EJ678:EP678"/>
    <mergeCell ref="FA659:FG659"/>
    <mergeCell ref="FI659:FO659"/>
    <mergeCell ref="FT659:FW659"/>
    <mergeCell ref="FY659:GA659"/>
    <mergeCell ref="GC659:GE659"/>
    <mergeCell ref="GG659:GI659"/>
    <mergeCell ref="C679:AW679"/>
    <mergeCell ref="AY679:CS679"/>
    <mergeCell ref="CX679:DD679"/>
    <mergeCell ref="DF679:DL679"/>
    <mergeCell ref="DN679:DP679"/>
    <mergeCell ref="CH553:CJ553"/>
    <mergeCell ref="CL553:CO553"/>
    <mergeCell ref="GT658:GZ658"/>
    <mergeCell ref="B659:Z659"/>
    <mergeCell ref="AB659:AH659"/>
    <mergeCell ref="AJ659:AP659"/>
    <mergeCell ref="BS659:BY659"/>
    <mergeCell ref="CA659:CG659"/>
    <mergeCell ref="DJ659:DP659"/>
    <mergeCell ref="DR659:DX659"/>
    <mergeCell ref="AQ553:AT553"/>
    <mergeCell ref="AV553:AX553"/>
    <mergeCell ref="BK553:BO553"/>
    <mergeCell ref="BS553:BX553"/>
    <mergeCell ref="BZ553:CB553"/>
    <mergeCell ref="CD553:CF553"/>
    <mergeCell ref="BA1:BF1"/>
    <mergeCell ref="A551:AT551"/>
    <mergeCell ref="A552:AT552"/>
    <mergeCell ref="AV552:AX552"/>
    <mergeCell ref="C553:N553"/>
    <mergeCell ref="P553:T553"/>
    <mergeCell ref="X553:AC553"/>
    <mergeCell ref="AE553:AG553"/>
    <mergeCell ref="AI553:AK553"/>
    <mergeCell ref="AM553:AO55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A309"/>
  <sheetViews>
    <sheetView zoomScaleNormal="100" workbookViewId="0">
      <selection activeCell="D11" sqref="D11"/>
    </sheetView>
  </sheetViews>
  <sheetFormatPr defaultRowHeight="15" x14ac:dyDescent="0.25"/>
  <cols>
    <col min="1" max="1" width="32.5703125" style="177" bestFit="1" customWidth="1"/>
    <col min="2" max="2" width="39.7109375" style="177" bestFit="1" customWidth="1"/>
    <col min="3" max="3" width="37.28515625" style="177" bestFit="1" customWidth="1"/>
    <col min="4" max="4" width="25.7109375" style="177" bestFit="1" customWidth="1"/>
    <col min="5" max="5" width="39.7109375" style="177" bestFit="1" customWidth="1"/>
    <col min="6" max="6" width="37.28515625" style="177" bestFit="1" customWidth="1"/>
    <col min="7" max="7" width="25.7109375" style="177" bestFit="1" customWidth="1"/>
    <col min="8" max="8" width="27.42578125" style="177" bestFit="1" customWidth="1"/>
    <col min="9" max="9" width="17" style="177" bestFit="1" customWidth="1"/>
    <col min="10" max="10" width="11.28515625" style="177" bestFit="1" customWidth="1"/>
    <col min="11" max="11" width="13.7109375" style="177" bestFit="1" customWidth="1"/>
    <col min="12" max="12" width="15.5703125" style="177" bestFit="1" customWidth="1"/>
    <col min="13" max="13" width="7.7109375" style="177" bestFit="1" customWidth="1"/>
    <col min="14" max="14" width="39.140625" style="177" bestFit="1" customWidth="1"/>
    <col min="15" max="15" width="15.28515625" style="177" bestFit="1" customWidth="1"/>
    <col min="16" max="16" width="15.5703125" style="177" bestFit="1" customWidth="1"/>
    <col min="17" max="17" width="12" style="177" bestFit="1" customWidth="1"/>
    <col min="18" max="18" width="15.7109375" style="177" bestFit="1" customWidth="1"/>
    <col min="19" max="19" width="24.7109375" style="177" bestFit="1" customWidth="1"/>
    <col min="20" max="20" width="23.7109375" style="177" bestFit="1" customWidth="1"/>
    <col min="21" max="21" width="23.5703125" style="177" bestFit="1" customWidth="1"/>
    <col min="22" max="22" width="12" style="177" bestFit="1" customWidth="1"/>
    <col min="23" max="23" width="19.42578125" style="177" bestFit="1" customWidth="1"/>
    <col min="24" max="24" width="12.5703125" style="177" bestFit="1" customWidth="1"/>
    <col min="25" max="16384" width="9.140625" style="177"/>
  </cols>
  <sheetData>
    <row r="1" spans="1:27" x14ac:dyDescent="0.25">
      <c r="A1" s="603" t="s">
        <v>437</v>
      </c>
      <c r="B1" s="604"/>
      <c r="C1" s="605"/>
      <c r="D1" s="490"/>
      <c r="E1" s="603" t="s">
        <v>438</v>
      </c>
      <c r="F1" s="604"/>
      <c r="G1" s="605"/>
      <c r="H1" s="175"/>
      <c r="I1" s="171"/>
      <c r="J1" s="171"/>
      <c r="K1" s="171"/>
      <c r="L1" s="171"/>
      <c r="M1" s="172"/>
      <c r="N1" s="172"/>
      <c r="O1" s="172"/>
      <c r="P1" s="172"/>
      <c r="Q1" s="174"/>
      <c r="R1" s="172"/>
    </row>
    <row r="2" spans="1:27" x14ac:dyDescent="0.25">
      <c r="A2" s="491" t="s">
        <v>18</v>
      </c>
      <c r="B2" s="492" t="s">
        <v>14</v>
      </c>
      <c r="C2" s="493" t="s">
        <v>25</v>
      </c>
      <c r="D2" s="490"/>
      <c r="E2" s="491" t="s">
        <v>18</v>
      </c>
      <c r="F2" s="492" t="s">
        <v>14</v>
      </c>
      <c r="G2" s="493" t="s">
        <v>25</v>
      </c>
      <c r="H2" s="175"/>
      <c r="I2" s="173"/>
      <c r="J2" s="173"/>
      <c r="K2" s="172"/>
      <c r="L2" s="172"/>
      <c r="M2" s="172"/>
      <c r="N2" s="172"/>
      <c r="O2" s="172"/>
      <c r="P2" s="172"/>
      <c r="Q2" s="174"/>
      <c r="R2" s="172"/>
      <c r="S2" s="172"/>
      <c r="T2" s="172"/>
      <c r="U2" s="172"/>
      <c r="V2" s="172"/>
      <c r="W2" s="172"/>
      <c r="X2" s="172"/>
      <c r="Y2" s="172"/>
      <c r="Z2" s="172"/>
    </row>
    <row r="3" spans="1:27" x14ac:dyDescent="0.25">
      <c r="A3" s="494" t="s">
        <v>41</v>
      </c>
      <c r="B3" s="495">
        <f>Parameters!$O$281</f>
        <v>1.7675312792559759</v>
      </c>
      <c r="C3" s="496">
        <f ca="1">Parameters!$P$281</f>
        <v>1.9048119305726554</v>
      </c>
      <c r="D3" s="490"/>
      <c r="E3" s="494" t="s">
        <v>66</v>
      </c>
      <c r="F3" s="497">
        <f>Parameters!$O$286</f>
        <v>1.2505149945709295</v>
      </c>
      <c r="G3" s="496">
        <f ca="1">Parameters!$P$286</f>
        <v>1.2407556663387267</v>
      </c>
      <c r="H3" s="175"/>
      <c r="I3" s="173"/>
      <c r="J3" s="173"/>
      <c r="K3" s="172"/>
      <c r="L3" s="173"/>
      <c r="M3" s="172"/>
      <c r="N3" s="172"/>
      <c r="O3" s="172"/>
      <c r="P3" s="172"/>
      <c r="Q3" s="174"/>
      <c r="R3" s="172"/>
      <c r="S3" s="172"/>
      <c r="T3" s="172"/>
      <c r="U3" s="172"/>
      <c r="V3" s="172"/>
      <c r="W3" s="172"/>
      <c r="X3" s="172"/>
      <c r="Y3" s="172"/>
      <c r="Z3" s="172"/>
    </row>
    <row r="4" spans="1:27" x14ac:dyDescent="0.25">
      <c r="A4" s="494" t="s">
        <v>64</v>
      </c>
      <c r="B4" s="495">
        <f>Parameters!$O$282</f>
        <v>1.297620275140924</v>
      </c>
      <c r="C4" s="496">
        <f ca="1">Parameters!$P$282</f>
        <v>1.3291721027991896</v>
      </c>
      <c r="D4" s="498"/>
      <c r="E4" s="494" t="s">
        <v>89</v>
      </c>
      <c r="F4" s="495">
        <f>Parameters!$O$287</f>
        <v>1.82</v>
      </c>
      <c r="G4" s="496">
        <f ca="1">Parameters!$P$287</f>
        <v>1.8214864020970869</v>
      </c>
      <c r="H4" s="175"/>
      <c r="I4" s="173"/>
      <c r="J4" s="173"/>
      <c r="K4" s="173"/>
      <c r="L4" s="173"/>
      <c r="M4" s="172"/>
      <c r="N4" s="172"/>
      <c r="O4" s="172"/>
      <c r="P4" s="172"/>
      <c r="Q4" s="178"/>
      <c r="R4" s="172"/>
      <c r="S4" s="172"/>
      <c r="T4" s="172"/>
      <c r="U4" s="172"/>
      <c r="V4" s="172"/>
      <c r="W4" s="172"/>
      <c r="X4" s="172"/>
      <c r="Y4" s="172"/>
      <c r="Z4" s="172"/>
    </row>
    <row r="5" spans="1:27" x14ac:dyDescent="0.25">
      <c r="A5" s="494" t="s">
        <v>435</v>
      </c>
      <c r="B5" s="495">
        <f>Parameters!$O$283</f>
        <v>1.6176490132886625</v>
      </c>
      <c r="C5" s="496">
        <f ca="1">Parameters!$P$283</f>
        <v>1.6449466168632745</v>
      </c>
      <c r="D5" s="490"/>
      <c r="E5" s="494" t="s">
        <v>65</v>
      </c>
      <c r="F5" s="499">
        <f>Parameters!$O$288</f>
        <v>1.26</v>
      </c>
      <c r="G5" s="500">
        <f ca="1">Parameters!$P$288</f>
        <v>1.342936259588897</v>
      </c>
      <c r="H5" s="175"/>
      <c r="I5" s="173"/>
      <c r="J5" s="173"/>
      <c r="K5" s="172"/>
      <c r="L5" s="172"/>
      <c r="M5" s="172"/>
      <c r="N5" s="172"/>
      <c r="O5" s="178"/>
      <c r="P5" s="178"/>
      <c r="Q5" s="172"/>
      <c r="R5" s="172"/>
      <c r="S5" s="172"/>
      <c r="T5" s="172"/>
      <c r="U5" s="172"/>
      <c r="V5" s="172"/>
      <c r="W5" s="172"/>
      <c r="X5" s="172"/>
      <c r="Y5" s="172"/>
      <c r="Z5" s="172"/>
    </row>
    <row r="6" spans="1:27" x14ac:dyDescent="0.25">
      <c r="A6" s="494" t="s">
        <v>436</v>
      </c>
      <c r="B6" s="499">
        <f>Parameters!$O$284</f>
        <v>1.5998282906259926</v>
      </c>
      <c r="C6" s="500">
        <f ca="1">Parameters!$P$284</f>
        <v>1.484749134685972</v>
      </c>
      <c r="D6" s="490"/>
      <c r="E6" s="494"/>
      <c r="F6" s="499"/>
      <c r="G6" s="500"/>
      <c r="H6" s="175"/>
      <c r="I6" s="171"/>
      <c r="J6" s="171"/>
      <c r="K6" s="171"/>
      <c r="L6" s="171"/>
      <c r="M6" s="172"/>
      <c r="N6" s="172"/>
      <c r="O6" s="178"/>
      <c r="P6" s="82"/>
      <c r="Q6" s="83"/>
      <c r="R6" s="83"/>
      <c r="S6" s="172"/>
      <c r="T6" s="172"/>
      <c r="U6" s="172"/>
      <c r="V6" s="172"/>
      <c r="W6" s="172"/>
      <c r="X6" s="172"/>
      <c r="Y6" s="172"/>
      <c r="Z6" s="172"/>
      <c r="AA6" s="172"/>
    </row>
    <row r="7" spans="1:27" ht="15.75" thickBot="1" x14ac:dyDescent="0.3">
      <c r="A7" s="501" t="s">
        <v>10</v>
      </c>
      <c r="B7" s="502">
        <f>Parameters!$O$285</f>
        <v>0.51948592203591482</v>
      </c>
      <c r="C7" s="503">
        <f ca="1">Parameters!$P$285</f>
        <v>0.49938803922370184</v>
      </c>
      <c r="D7" s="490"/>
      <c r="E7" s="501"/>
      <c r="F7" s="504"/>
      <c r="G7" s="505"/>
      <c r="H7" s="175"/>
      <c r="I7" s="173"/>
      <c r="J7" s="173"/>
      <c r="K7" s="172"/>
      <c r="L7" s="172"/>
      <c r="M7" s="172"/>
      <c r="N7" s="172"/>
      <c r="O7" s="178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</row>
    <row r="8" spans="1:27" ht="15.75" thickBot="1" x14ac:dyDescent="0.3">
      <c r="A8" s="490"/>
      <c r="B8" s="498"/>
      <c r="C8" s="498"/>
      <c r="D8" s="490"/>
      <c r="E8" s="490"/>
      <c r="F8" s="490"/>
      <c r="G8" s="490"/>
      <c r="H8" s="175"/>
      <c r="I8" s="173"/>
      <c r="J8" s="173"/>
      <c r="K8" s="172"/>
      <c r="L8" s="172"/>
      <c r="M8" s="172"/>
      <c r="N8" s="172"/>
      <c r="O8" s="178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</row>
    <row r="9" spans="1:27" x14ac:dyDescent="0.25">
      <c r="A9" s="603" t="s">
        <v>442</v>
      </c>
      <c r="B9" s="604"/>
      <c r="C9" s="604"/>
      <c r="D9" s="604"/>
      <c r="E9" s="604"/>
      <c r="F9" s="604"/>
      <c r="G9" s="605"/>
      <c r="H9" s="175"/>
      <c r="I9" s="173"/>
      <c r="J9" s="173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</row>
    <row r="10" spans="1:27" x14ac:dyDescent="0.25">
      <c r="A10" s="506"/>
      <c r="B10" s="606" t="s">
        <v>14</v>
      </c>
      <c r="C10" s="607"/>
      <c r="D10" s="608"/>
      <c r="E10" s="606" t="s">
        <v>25</v>
      </c>
      <c r="F10" s="607"/>
      <c r="G10" s="609"/>
      <c r="H10" s="175"/>
      <c r="I10" s="173"/>
      <c r="J10" s="173"/>
      <c r="K10" s="172"/>
      <c r="L10" s="173"/>
      <c r="M10" s="173"/>
      <c r="N10" s="172"/>
      <c r="O10" s="179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</row>
    <row r="11" spans="1:27" x14ac:dyDescent="0.25">
      <c r="A11" s="507" t="s">
        <v>18</v>
      </c>
      <c r="B11" s="508" t="s">
        <v>439</v>
      </c>
      <c r="C11" s="492" t="s">
        <v>440</v>
      </c>
      <c r="D11" s="509" t="s">
        <v>441</v>
      </c>
      <c r="E11" s="508" t="s">
        <v>439</v>
      </c>
      <c r="F11" s="492" t="s">
        <v>440</v>
      </c>
      <c r="G11" s="493" t="s">
        <v>441</v>
      </c>
      <c r="H11" s="175"/>
      <c r="I11" s="173"/>
      <c r="J11" s="173"/>
      <c r="K11" s="173"/>
      <c r="L11" s="173"/>
      <c r="M11" s="173"/>
      <c r="N11" s="172"/>
      <c r="O11" s="172"/>
      <c r="P11" s="172"/>
      <c r="Q11" s="172"/>
      <c r="R11" s="172"/>
      <c r="S11" s="172"/>
      <c r="T11" s="172"/>
      <c r="U11" s="171"/>
      <c r="V11" s="172"/>
      <c r="W11" s="172"/>
      <c r="X11" s="172"/>
      <c r="Y11" s="172"/>
      <c r="Z11" s="172"/>
    </row>
    <row r="12" spans="1:27" x14ac:dyDescent="0.25">
      <c r="A12" s="494" t="s">
        <v>13</v>
      </c>
      <c r="B12" s="495">
        <f>Parameters!N8</f>
        <v>1.3855730328025888E-2</v>
      </c>
      <c r="C12" s="498">
        <f>B12/B$15</f>
        <v>1.3855730328025947E-2</v>
      </c>
      <c r="D12" s="510">
        <f>C12*$B$3</f>
        <v>2.4490436751721523E-2</v>
      </c>
      <c r="E12" s="495">
        <f ca="1">Parameters!O8</f>
        <v>1.4055380656164518E-2</v>
      </c>
      <c r="F12" s="498">
        <f ca="1">E12/E$15</f>
        <v>1.4048891556277514E-2</v>
      </c>
      <c r="G12" s="500">
        <f ca="1">F12*$C$3</f>
        <v>2.6760496247718851E-2</v>
      </c>
      <c r="H12" s="176"/>
      <c r="I12" s="174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1"/>
      <c r="V12" s="172"/>
      <c r="W12" s="172"/>
      <c r="X12" s="172"/>
      <c r="Y12" s="172"/>
      <c r="Z12" s="172"/>
    </row>
    <row r="13" spans="1:27" x14ac:dyDescent="0.25">
      <c r="A13" s="494" t="s">
        <v>64</v>
      </c>
      <c r="B13" s="499">
        <f>Parameters!N9</f>
        <v>5.7166173429430818E-2</v>
      </c>
      <c r="C13" s="498">
        <f>B13/B$15</f>
        <v>5.7166173429431061E-2</v>
      </c>
      <c r="D13" s="510">
        <f>C13*$B$4</f>
        <v>7.4179985694252118E-2</v>
      </c>
      <c r="E13" s="499">
        <f ca="1">Parameters!O9</f>
        <v>5.6875367685460358E-2</v>
      </c>
      <c r="F13" s="498">
        <f ca="1">E13/E$15</f>
        <v>5.6849109418178272E-2</v>
      </c>
      <c r="G13" s="500">
        <f ca="1">F13*$C$4</f>
        <v>7.5562250307621232E-2</v>
      </c>
      <c r="H13" s="175"/>
      <c r="I13" s="171"/>
      <c r="J13" s="171"/>
      <c r="K13" s="171"/>
      <c r="L13" s="171"/>
      <c r="M13" s="171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</row>
    <row r="14" spans="1:27" x14ac:dyDescent="0.25">
      <c r="A14" s="511" t="s">
        <v>343</v>
      </c>
      <c r="B14" s="512">
        <f>Parameters!N10</f>
        <v>0.92897809624253913</v>
      </c>
      <c r="C14" s="513">
        <f>B14/B$15</f>
        <v>0.92897809624254302</v>
      </c>
      <c r="D14" s="514">
        <f>1-D12-D13</f>
        <v>0.90132957755402632</v>
      </c>
      <c r="E14" s="512">
        <f ca="1">Parameters!O10</f>
        <v>0.92953114574169193</v>
      </c>
      <c r="F14" s="513">
        <f ca="1">E14/E$15</f>
        <v>0.92910199902554425</v>
      </c>
      <c r="G14" s="515">
        <f ca="1">1-G12-G13</f>
        <v>0.89767725344465998</v>
      </c>
      <c r="H14" s="175"/>
      <c r="I14" s="173"/>
      <c r="J14" s="173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</row>
    <row r="15" spans="1:27" ht="15.75" thickBot="1" x14ac:dyDescent="0.3">
      <c r="A15" s="501" t="s">
        <v>20</v>
      </c>
      <c r="B15" s="502">
        <f>SUM(B12:B14)</f>
        <v>0.99999999999999578</v>
      </c>
      <c r="C15" s="516"/>
      <c r="D15" s="517"/>
      <c r="E15" s="502">
        <f ca="1">SUM(E12:E14)</f>
        <v>1.0004618940833168</v>
      </c>
      <c r="F15" s="516"/>
      <c r="G15" s="505"/>
      <c r="H15" s="175"/>
      <c r="I15" s="173"/>
      <c r="J15" s="173"/>
      <c r="K15" s="172"/>
      <c r="L15" s="173"/>
      <c r="M15" s="173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</row>
    <row r="16" spans="1:27" ht="15.75" thickBot="1" x14ac:dyDescent="0.3">
      <c r="A16" s="490"/>
      <c r="B16" s="498"/>
      <c r="C16" s="498"/>
      <c r="D16" s="498"/>
      <c r="E16" s="498"/>
      <c r="F16" s="498"/>
      <c r="G16" s="490"/>
      <c r="H16" s="175"/>
      <c r="I16" s="173"/>
      <c r="J16" s="173"/>
      <c r="K16" s="173"/>
      <c r="L16" s="173"/>
      <c r="M16" s="173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</row>
    <row r="17" spans="1:26" x14ac:dyDescent="0.25">
      <c r="A17" s="603" t="s">
        <v>443</v>
      </c>
      <c r="B17" s="604"/>
      <c r="C17" s="604"/>
      <c r="D17" s="604"/>
      <c r="E17" s="604"/>
      <c r="F17" s="604"/>
      <c r="G17" s="605"/>
      <c r="H17" s="174"/>
      <c r="I17" s="174"/>
      <c r="J17" s="180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</row>
    <row r="18" spans="1:26" x14ac:dyDescent="0.25">
      <c r="A18" s="506"/>
      <c r="B18" s="606" t="s">
        <v>14</v>
      </c>
      <c r="C18" s="607"/>
      <c r="D18" s="608"/>
      <c r="E18" s="606" t="s">
        <v>25</v>
      </c>
      <c r="F18" s="607"/>
      <c r="G18" s="609"/>
      <c r="H18" s="172"/>
      <c r="I18" s="172"/>
      <c r="J18" s="180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</row>
    <row r="19" spans="1:26" x14ac:dyDescent="0.25">
      <c r="A19" s="507" t="s">
        <v>18</v>
      </c>
      <c r="B19" s="508" t="s">
        <v>439</v>
      </c>
      <c r="C19" s="492" t="s">
        <v>440</v>
      </c>
      <c r="D19" s="509" t="s">
        <v>441</v>
      </c>
      <c r="E19" s="508" t="s">
        <v>439</v>
      </c>
      <c r="F19" s="492" t="s">
        <v>440</v>
      </c>
      <c r="G19" s="493" t="s">
        <v>441</v>
      </c>
      <c r="H19" s="172"/>
      <c r="I19" s="172"/>
      <c r="J19" s="180"/>
      <c r="K19" s="172"/>
      <c r="L19" s="172"/>
      <c r="M19" s="172"/>
      <c r="N19" s="171"/>
      <c r="O19" s="171"/>
      <c r="P19" s="171"/>
      <c r="Q19" s="171"/>
      <c r="R19" s="172"/>
      <c r="S19" s="172"/>
      <c r="T19" s="172"/>
      <c r="U19" s="172"/>
      <c r="V19" s="172"/>
      <c r="W19" s="172"/>
      <c r="X19" s="172"/>
      <c r="Y19" s="172"/>
      <c r="Z19" s="172"/>
    </row>
    <row r="20" spans="1:26" x14ac:dyDescent="0.25">
      <c r="A20" s="518" t="s">
        <v>16</v>
      </c>
      <c r="B20" s="519">
        <f>Parameters!N11</f>
        <v>3.6151153498095775E-3</v>
      </c>
      <c r="C20" s="520">
        <f>B20/B$24</f>
        <v>3.6151153498095757E-3</v>
      </c>
      <c r="D20" s="521">
        <f>C20*$B$5</f>
        <v>5.8479877785441586E-3</v>
      </c>
      <c r="E20" s="519">
        <f ca="1">Parameters!O11</f>
        <v>3.5798310273412542E-3</v>
      </c>
      <c r="F20" s="520">
        <f ca="1">E20/E$24</f>
        <v>3.581966111153463E-3</v>
      </c>
      <c r="G20" s="522">
        <f ca="1">F20*$C$5</f>
        <v>5.8921430362607885E-3</v>
      </c>
      <c r="H20" s="174"/>
      <c r="I20" s="174"/>
      <c r="J20" s="180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</row>
    <row r="21" spans="1:26" x14ac:dyDescent="0.25">
      <c r="A21" s="518" t="s">
        <v>12</v>
      </c>
      <c r="B21" s="519">
        <f>Parameters!N12</f>
        <v>6.0073428290690718E-3</v>
      </c>
      <c r="C21" s="520">
        <f>B21/B$24</f>
        <v>6.0073428290690692E-3</v>
      </c>
      <c r="D21" s="521">
        <f>C21*$B$6</f>
        <v>9.6107170094338838E-3</v>
      </c>
      <c r="E21" s="519">
        <f ca="1">Parameters!O12</f>
        <v>6.1914418528170589E-3</v>
      </c>
      <c r="F21" s="520">
        <f ca="1">E21/E$24</f>
        <v>6.195134554280681E-3</v>
      </c>
      <c r="G21" s="522">
        <f ca="1">F21*$C$6</f>
        <v>9.1982206687314053E-3</v>
      </c>
      <c r="H21" s="174"/>
      <c r="I21" s="174"/>
      <c r="J21" s="180"/>
      <c r="K21" s="172"/>
      <c r="L21" s="180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</row>
    <row r="22" spans="1:26" x14ac:dyDescent="0.25">
      <c r="A22" s="518" t="s">
        <v>10</v>
      </c>
      <c r="B22" s="519">
        <f>Parameters!N13</f>
        <v>2.0347796363534544E-2</v>
      </c>
      <c r="C22" s="520">
        <f>B22/B$24</f>
        <v>2.0347796363534534E-2</v>
      </c>
      <c r="D22" s="521">
        <f>C22*$B$7</f>
        <v>1.0570393755309772E-2</v>
      </c>
      <c r="E22" s="519">
        <f ca="1">Parameters!O13</f>
        <v>1.9726027794529727E-2</v>
      </c>
      <c r="F22" s="520">
        <f ca="1">E22/E$24</f>
        <v>1.9737792797487021E-2</v>
      </c>
      <c r="G22" s="522">
        <f ca="1">F22*$C$7</f>
        <v>9.8568176437407486E-3</v>
      </c>
      <c r="H22" s="174"/>
      <c r="I22" s="159"/>
      <c r="J22" s="172"/>
      <c r="K22" s="172"/>
      <c r="L22" s="172"/>
      <c r="M22" s="172"/>
      <c r="N22" s="172"/>
      <c r="O22" s="172"/>
      <c r="P22" s="172"/>
      <c r="Q22" s="172"/>
    </row>
    <row r="23" spans="1:26" x14ac:dyDescent="0.25">
      <c r="A23" s="523" t="s">
        <v>9</v>
      </c>
      <c r="B23" s="524">
        <f>Parameters!N14</f>
        <v>0.97002974545758736</v>
      </c>
      <c r="C23" s="525">
        <f>B23/B$24</f>
        <v>0.97002974545758691</v>
      </c>
      <c r="D23" s="526">
        <f>1-D20-D21-D22</f>
        <v>0.97397090145671228</v>
      </c>
      <c r="E23" s="524">
        <f ca="1">Parameters!O14</f>
        <v>0.96990663455363235</v>
      </c>
      <c r="F23" s="525">
        <f ca="1">E23/E$24</f>
        <v>0.97048510653707887</v>
      </c>
      <c r="G23" s="527">
        <f ca="1">1-G20-G21-G22</f>
        <v>0.97505281865126692</v>
      </c>
      <c r="H23" s="174"/>
      <c r="I23" s="174"/>
      <c r="J23" s="172"/>
      <c r="K23" s="180"/>
      <c r="L23" s="172"/>
      <c r="M23" s="172"/>
      <c r="N23" s="172"/>
      <c r="O23" s="172"/>
      <c r="P23" s="172"/>
      <c r="Q23" s="172"/>
    </row>
    <row r="24" spans="1:26" ht="15.75" thickBot="1" x14ac:dyDescent="0.3">
      <c r="A24" s="528" t="s">
        <v>20</v>
      </c>
      <c r="B24" s="529">
        <f>SUM(B20:B23)</f>
        <v>1.0000000000000004</v>
      </c>
      <c r="C24" s="530"/>
      <c r="D24" s="531"/>
      <c r="E24" s="529">
        <f ca="1">SUM(E20:E23)</f>
        <v>0.99940393522832038</v>
      </c>
      <c r="F24" s="530"/>
      <c r="G24" s="532"/>
      <c r="H24" s="172"/>
      <c r="I24" s="172"/>
      <c r="J24" s="172"/>
      <c r="K24" s="172"/>
      <c r="L24" s="172"/>
      <c r="M24" s="172"/>
      <c r="N24" s="172"/>
      <c r="O24" s="172"/>
      <c r="P24" s="172"/>
      <c r="Q24" s="172"/>
    </row>
    <row r="25" spans="1:26" ht="15.75" thickBot="1" x14ac:dyDescent="0.3">
      <c r="A25" s="533"/>
      <c r="B25" s="520"/>
      <c r="C25" s="520"/>
      <c r="D25" s="533"/>
      <c r="E25" s="533"/>
      <c r="F25" s="533"/>
      <c r="G25" s="533"/>
      <c r="H25" s="172"/>
      <c r="I25" s="172"/>
      <c r="J25" s="173"/>
      <c r="K25" s="172"/>
      <c r="L25" s="172"/>
      <c r="M25" s="172"/>
      <c r="N25" s="171"/>
      <c r="O25" s="171"/>
      <c r="P25" s="171"/>
      <c r="Q25" s="171"/>
    </row>
    <row r="26" spans="1:26" x14ac:dyDescent="0.25">
      <c r="A26" s="596" t="s">
        <v>444</v>
      </c>
      <c r="B26" s="597"/>
      <c r="C26" s="597"/>
      <c r="D26" s="597"/>
      <c r="E26" s="598"/>
      <c r="F26" s="533"/>
      <c r="G26" s="533"/>
      <c r="H26" s="172"/>
      <c r="I26" s="172"/>
      <c r="J26" s="173"/>
      <c r="K26" s="172"/>
      <c r="L26" s="172"/>
      <c r="M26" s="172"/>
      <c r="N26" s="171"/>
      <c r="O26" s="171"/>
      <c r="P26" s="171"/>
      <c r="Q26" s="171"/>
    </row>
    <row r="27" spans="1:26" x14ac:dyDescent="0.25">
      <c r="A27" s="534"/>
      <c r="B27" s="599" t="s">
        <v>14</v>
      </c>
      <c r="C27" s="600"/>
      <c r="D27" s="601" t="s">
        <v>25</v>
      </c>
      <c r="E27" s="602"/>
      <c r="F27" s="533"/>
      <c r="G27" s="533"/>
      <c r="H27" s="172"/>
      <c r="I27" s="172"/>
      <c r="J27" s="173"/>
      <c r="K27" s="172"/>
      <c r="L27" s="172"/>
      <c r="M27" s="172"/>
      <c r="N27" s="172"/>
      <c r="O27" s="172"/>
      <c r="P27" s="172"/>
      <c r="Q27" s="172"/>
    </row>
    <row r="28" spans="1:26" x14ac:dyDescent="0.25">
      <c r="A28" s="535" t="s">
        <v>18</v>
      </c>
      <c r="B28" s="536" t="s">
        <v>30</v>
      </c>
      <c r="C28" s="537" t="s">
        <v>111</v>
      </c>
      <c r="D28" s="538" t="s">
        <v>30</v>
      </c>
      <c r="E28" s="539" t="s">
        <v>111</v>
      </c>
      <c r="F28" s="533"/>
      <c r="G28" s="533"/>
      <c r="H28" s="172"/>
      <c r="I28" s="172"/>
      <c r="J28" s="180"/>
      <c r="K28" s="172"/>
      <c r="L28" s="172"/>
      <c r="M28" s="172"/>
      <c r="N28" s="172"/>
      <c r="O28" s="172"/>
      <c r="P28" s="172"/>
      <c r="Q28" s="172"/>
    </row>
    <row r="29" spans="1:26" x14ac:dyDescent="0.25">
      <c r="A29" s="518" t="s">
        <v>16</v>
      </c>
      <c r="B29" s="519">
        <f>Parameters!$N$18</f>
        <v>0.37747233836702138</v>
      </c>
      <c r="C29" s="540">
        <f>B29*$F$3</f>
        <v>0.47203481916371182</v>
      </c>
      <c r="D29" s="519">
        <f ca="1">Parameters!$O$18</f>
        <v>0.38647663826742773</v>
      </c>
      <c r="E29" s="522">
        <f ca="1">D29*$G$3</f>
        <v>0.47952307883785333</v>
      </c>
      <c r="F29" s="533"/>
      <c r="G29" s="533"/>
      <c r="H29" s="172"/>
      <c r="I29" s="172"/>
      <c r="J29" s="180"/>
      <c r="K29" s="172"/>
      <c r="L29" s="172"/>
      <c r="M29" s="172"/>
      <c r="N29" s="172"/>
      <c r="O29" s="172"/>
      <c r="P29" s="172"/>
      <c r="Q29" s="172"/>
    </row>
    <row r="30" spans="1:26" x14ac:dyDescent="0.25">
      <c r="A30" s="518" t="s">
        <v>12</v>
      </c>
      <c r="B30" s="519">
        <f>Parameters!$N$19</f>
        <v>0.25293178972979463</v>
      </c>
      <c r="C30" s="540">
        <f>B30*$F$3</f>
        <v>0.31629499566076963</v>
      </c>
      <c r="D30" s="519">
        <f ca="1">Parameters!$O$19</f>
        <v>0.2523919471028252</v>
      </c>
      <c r="E30" s="522">
        <f ca="1">D30*$G$3</f>
        <v>0.31315673850609455</v>
      </c>
      <c r="F30" s="533"/>
      <c r="G30" s="533"/>
      <c r="H30" s="172"/>
      <c r="I30" s="172"/>
      <c r="J30" s="173"/>
      <c r="K30" s="172"/>
      <c r="L30" s="172"/>
      <c r="M30" s="172"/>
      <c r="N30" s="172"/>
      <c r="O30" s="172"/>
      <c r="P30" s="172"/>
      <c r="Q30" s="172"/>
    </row>
    <row r="31" spans="1:26" x14ac:dyDescent="0.25">
      <c r="A31" s="518" t="s">
        <v>10</v>
      </c>
      <c r="B31" s="519">
        <f>Parameters!$N$20</f>
        <v>0.26200038414313942</v>
      </c>
      <c r="C31" s="540">
        <f>B31*$F$3</f>
        <v>0.32763540895433946</v>
      </c>
      <c r="D31" s="519">
        <f ca="1">Parameters!$O$20</f>
        <v>0.25671472369980303</v>
      </c>
      <c r="E31" s="522">
        <f ca="1">D31*$G$3</f>
        <v>0.31852024806311124</v>
      </c>
      <c r="F31" s="533"/>
      <c r="G31" s="533"/>
      <c r="H31" s="172"/>
      <c r="I31" s="172"/>
      <c r="J31" s="173"/>
    </row>
    <row r="32" spans="1:26" ht="15.75" thickBot="1" x14ac:dyDescent="0.3">
      <c r="A32" s="528" t="s">
        <v>9</v>
      </c>
      <c r="B32" s="529">
        <f>Parameters!$N$21</f>
        <v>5.9118359785268297E-2</v>
      </c>
      <c r="C32" s="541">
        <f>B32*$F$3</f>
        <v>7.3928395365917041E-2</v>
      </c>
      <c r="D32" s="529">
        <f ca="1">Parameters!$O$21</f>
        <v>5.9113419396127354E-2</v>
      </c>
      <c r="E32" s="532">
        <f ca="1">D32*$G$3</f>
        <v>7.3345310072402609E-2</v>
      </c>
      <c r="F32" s="533"/>
      <c r="G32" s="533"/>
      <c r="H32" s="172"/>
      <c r="I32" s="172"/>
      <c r="J32" s="173"/>
    </row>
    <row r="33" spans="1:10" ht="15.75" thickBot="1" x14ac:dyDescent="0.3">
      <c r="A33" s="533"/>
      <c r="B33" s="533"/>
      <c r="C33" s="533"/>
      <c r="D33" s="533"/>
      <c r="E33" s="533"/>
      <c r="F33" s="533"/>
      <c r="G33" s="533"/>
      <c r="H33" s="172"/>
      <c r="I33" s="172"/>
      <c r="J33" s="173"/>
    </row>
    <row r="34" spans="1:10" x14ac:dyDescent="0.25">
      <c r="A34" s="596" t="s">
        <v>445</v>
      </c>
      <c r="B34" s="597"/>
      <c r="C34" s="597"/>
      <c r="D34" s="597"/>
      <c r="E34" s="598"/>
      <c r="F34" s="533"/>
      <c r="G34" s="533"/>
      <c r="H34" s="172"/>
      <c r="I34" s="172"/>
      <c r="J34" s="173"/>
    </row>
    <row r="35" spans="1:10" x14ac:dyDescent="0.25">
      <c r="A35" s="534"/>
      <c r="B35" s="599" t="s">
        <v>14</v>
      </c>
      <c r="C35" s="600"/>
      <c r="D35" s="601" t="s">
        <v>25</v>
      </c>
      <c r="E35" s="602"/>
      <c r="F35" s="533"/>
      <c r="G35" s="533"/>
      <c r="H35" s="172"/>
      <c r="I35" s="172"/>
      <c r="J35" s="173"/>
    </row>
    <row r="36" spans="1:10" x14ac:dyDescent="0.25">
      <c r="A36" s="535" t="s">
        <v>446</v>
      </c>
      <c r="B36" s="536" t="s">
        <v>30</v>
      </c>
      <c r="C36" s="537" t="s">
        <v>111</v>
      </c>
      <c r="D36" s="538" t="s">
        <v>30</v>
      </c>
      <c r="E36" s="539" t="s">
        <v>111</v>
      </c>
      <c r="F36" s="533"/>
      <c r="G36" s="533"/>
      <c r="H36" s="172"/>
      <c r="I36" s="172"/>
      <c r="J36" s="172"/>
    </row>
    <row r="37" spans="1:10" x14ac:dyDescent="0.25">
      <c r="A37" s="518" t="s">
        <v>67</v>
      </c>
      <c r="B37" s="519">
        <f>Parameters!$N$25</f>
        <v>0.57035604742854706</v>
      </c>
      <c r="C37" s="540">
        <f>IF(B37*$F$4&gt;1,1,B37*$F$4)</f>
        <v>1</v>
      </c>
      <c r="D37" s="542">
        <f ca="1">Parameters!$O$25</f>
        <v>0.57148634394923215</v>
      </c>
      <c r="E37" s="543">
        <f ca="1">IF(D37*$G$4&gt;1,1,D37*$G$4)</f>
        <v>1</v>
      </c>
      <c r="F37" s="533"/>
      <c r="G37" s="533"/>
      <c r="H37" s="172"/>
      <c r="I37" s="172"/>
      <c r="J37" s="172"/>
    </row>
    <row r="38" spans="1:10" ht="15.75" thickBot="1" x14ac:dyDescent="0.3">
      <c r="A38" s="528" t="s">
        <v>86</v>
      </c>
      <c r="B38" s="529">
        <f>Parameters!$N$26</f>
        <v>2.6941954581366025E-2</v>
      </c>
      <c r="C38" s="541">
        <f>IF(B38*$F$4&gt;1,1,B38*$F$4)</f>
        <v>4.9034357338086171E-2</v>
      </c>
      <c r="D38" s="544">
        <f ca="1">Parameters!$O$26</f>
        <v>2.7287055447101083E-2</v>
      </c>
      <c r="E38" s="545">
        <f ca="1">IF(D38*$G$4&gt;1,1,D38*$G$4)</f>
        <v>4.9703000450163869E-2</v>
      </c>
      <c r="F38" s="533"/>
      <c r="G38" s="533"/>
      <c r="H38" s="172"/>
      <c r="I38" s="172"/>
      <c r="J38" s="172"/>
    </row>
    <row r="39" spans="1:10" ht="15.75" thickBot="1" x14ac:dyDescent="0.3">
      <c r="A39" s="533"/>
      <c r="B39" s="520"/>
      <c r="C39" s="520"/>
      <c r="D39" s="533"/>
      <c r="E39" s="533"/>
      <c r="F39" s="533"/>
      <c r="G39" s="533"/>
      <c r="H39" s="172"/>
      <c r="I39" s="172"/>
      <c r="J39" s="172"/>
    </row>
    <row r="40" spans="1:10" x14ac:dyDescent="0.25">
      <c r="A40" s="596" t="s">
        <v>447</v>
      </c>
      <c r="B40" s="597"/>
      <c r="C40" s="597"/>
      <c r="D40" s="597"/>
      <c r="E40" s="598"/>
      <c r="F40" s="533"/>
      <c r="G40" s="533"/>
      <c r="H40" s="172"/>
      <c r="I40" s="172"/>
      <c r="J40" s="172"/>
    </row>
    <row r="41" spans="1:10" x14ac:dyDescent="0.25">
      <c r="A41" s="534"/>
      <c r="B41" s="599" t="s">
        <v>14</v>
      </c>
      <c r="C41" s="600"/>
      <c r="D41" s="601" t="s">
        <v>25</v>
      </c>
      <c r="E41" s="602"/>
      <c r="F41" s="533"/>
      <c r="G41" s="533"/>
      <c r="H41" s="172"/>
      <c r="I41" s="172"/>
      <c r="J41" s="172"/>
    </row>
    <row r="42" spans="1:10" x14ac:dyDescent="0.25">
      <c r="A42" s="535" t="s">
        <v>448</v>
      </c>
      <c r="B42" s="536" t="s">
        <v>30</v>
      </c>
      <c r="C42" s="537" t="s">
        <v>111</v>
      </c>
      <c r="D42" s="538" t="s">
        <v>30</v>
      </c>
      <c r="E42" s="539" t="s">
        <v>111</v>
      </c>
      <c r="F42" s="533"/>
      <c r="G42" s="533"/>
      <c r="H42" s="172"/>
      <c r="I42" s="172"/>
      <c r="J42" s="172"/>
    </row>
    <row r="43" spans="1:10" x14ac:dyDescent="0.25">
      <c r="A43" s="518" t="s">
        <v>449</v>
      </c>
      <c r="B43" s="519">
        <f>Parameters!N30</f>
        <v>6.0752905295406189E-2</v>
      </c>
      <c r="C43" s="540">
        <f>B43*$F$5</f>
        <v>7.6548660672211805E-2</v>
      </c>
      <c r="D43" s="542">
        <f ca="1">Parameters!O30</f>
        <v>6.1505685730778192E-2</v>
      </c>
      <c r="E43" s="543">
        <f ca="1">D43*$G$5</f>
        <v>8.2598215538741457E-2</v>
      </c>
      <c r="F43" s="533"/>
      <c r="G43" s="533"/>
      <c r="H43" s="172"/>
      <c r="I43" s="172"/>
      <c r="J43" s="172"/>
    </row>
    <row r="44" spans="1:10" x14ac:dyDescent="0.25">
      <c r="A44" s="518" t="s">
        <v>450</v>
      </c>
      <c r="B44" s="519">
        <f>Parameters!N31</f>
        <v>7.6129469648265786E-3</v>
      </c>
      <c r="C44" s="540">
        <f>B44*$F$5</f>
        <v>9.5923131756814883E-3</v>
      </c>
      <c r="D44" s="542">
        <f ca="1">Parameters!O31</f>
        <v>8.0819535084536431E-3</v>
      </c>
      <c r="E44" s="543">
        <f ca="1">D44*$G$5</f>
        <v>1.0853548414814097E-2</v>
      </c>
      <c r="F44" s="533"/>
      <c r="G44" s="533"/>
      <c r="H44" s="172"/>
      <c r="I44" s="172"/>
      <c r="J44" s="172"/>
    </row>
    <row r="45" spans="1:10" x14ac:dyDescent="0.25">
      <c r="A45" s="518" t="s">
        <v>451</v>
      </c>
      <c r="B45" s="519">
        <f>Parameters!N32</f>
        <v>1.5360924440585004E-2</v>
      </c>
      <c r="C45" s="540">
        <f>B45*$F$5</f>
        <v>1.9354764795137105E-2</v>
      </c>
      <c r="D45" s="542">
        <f ca="1">Parameters!O32</f>
        <v>1.6989164973191251E-2</v>
      </c>
      <c r="E45" s="543">
        <f ca="1">D45*$G$5</f>
        <v>2.2815365662636162E-2</v>
      </c>
      <c r="F45" s="533"/>
      <c r="G45" s="533"/>
      <c r="H45" s="172"/>
      <c r="I45" s="172"/>
      <c r="J45" s="172"/>
    </row>
    <row r="46" spans="1:10" ht="15.75" thickBot="1" x14ac:dyDescent="0.3">
      <c r="A46" s="528" t="s">
        <v>452</v>
      </c>
      <c r="B46" s="529">
        <f>Parameters!N33</f>
        <v>1.6109941848144384E-3</v>
      </c>
      <c r="C46" s="541">
        <f>B46*$F$5</f>
        <v>2.0298526728661924E-3</v>
      </c>
      <c r="D46" s="544">
        <f ca="1">Parameters!O33</f>
        <v>1.6708491521402191E-3</v>
      </c>
      <c r="E46" s="545">
        <f ca="1">D46*$G$5</f>
        <v>2.2438439107124656E-3</v>
      </c>
      <c r="F46" s="533"/>
      <c r="G46" s="533"/>
      <c r="H46" s="172"/>
      <c r="I46" s="172"/>
      <c r="J46" s="172"/>
    </row>
    <row r="47" spans="1:10" x14ac:dyDescent="0.25">
      <c r="A47" s="172"/>
      <c r="B47" s="172"/>
      <c r="C47" s="172"/>
      <c r="D47" s="172"/>
      <c r="E47" s="172"/>
      <c r="F47" s="172"/>
      <c r="G47" s="172"/>
      <c r="H47" s="172"/>
      <c r="I47" s="172"/>
      <c r="J47" s="172"/>
    </row>
    <row r="48" spans="1:10" x14ac:dyDescent="0.25">
      <c r="A48" s="172"/>
      <c r="B48" s="172"/>
      <c r="C48" s="172"/>
      <c r="D48" s="172"/>
      <c r="E48" s="172"/>
      <c r="F48" s="172"/>
      <c r="G48" s="172"/>
      <c r="H48" s="172"/>
      <c r="I48" s="172"/>
      <c r="J48" s="172"/>
    </row>
    <row r="49" spans="1:10" x14ac:dyDescent="0.25">
      <c r="A49" s="172"/>
      <c r="B49" s="172"/>
      <c r="C49" s="172"/>
      <c r="D49" s="172"/>
      <c r="E49" s="172"/>
      <c r="F49" s="172"/>
      <c r="G49" s="172"/>
      <c r="H49" s="172"/>
      <c r="I49" s="172"/>
      <c r="J49" s="172"/>
    </row>
    <row r="50" spans="1:10" x14ac:dyDescent="0.25">
      <c r="A50" s="172"/>
      <c r="B50" s="172"/>
      <c r="C50" s="172"/>
      <c r="D50" s="172"/>
      <c r="E50" s="172"/>
      <c r="F50" s="172"/>
      <c r="G50" s="172"/>
      <c r="H50" s="172"/>
      <c r="I50" s="172"/>
      <c r="J50" s="172"/>
    </row>
    <row r="51" spans="1:10" x14ac:dyDescent="0.25">
      <c r="A51" s="172"/>
      <c r="B51" s="172"/>
      <c r="C51" s="172"/>
      <c r="D51" s="172"/>
      <c r="E51" s="172"/>
      <c r="F51" s="172"/>
      <c r="G51" s="172"/>
      <c r="H51" s="172"/>
      <c r="I51" s="172"/>
      <c r="J51" s="172"/>
    </row>
    <row r="52" spans="1:10" x14ac:dyDescent="0.25">
      <c r="A52" s="172"/>
      <c r="B52" s="172"/>
      <c r="C52" s="181"/>
      <c r="D52" s="182"/>
      <c r="E52" s="172"/>
      <c r="F52" s="172"/>
      <c r="G52" s="172"/>
      <c r="H52" s="172"/>
      <c r="I52" s="172"/>
      <c r="J52" s="172"/>
    </row>
    <row r="53" spans="1:10" x14ac:dyDescent="0.25">
      <c r="A53" s="172"/>
      <c r="B53" s="172"/>
      <c r="C53" s="181"/>
      <c r="D53" s="182"/>
      <c r="E53" s="172"/>
      <c r="F53" s="172"/>
      <c r="G53" s="172"/>
      <c r="H53" s="172"/>
      <c r="I53" s="172"/>
      <c r="J53" s="172"/>
    </row>
    <row r="54" spans="1:10" x14ac:dyDescent="0.25">
      <c r="A54" s="172"/>
      <c r="B54" s="172"/>
      <c r="C54" s="181"/>
      <c r="D54" s="182"/>
      <c r="E54" s="172"/>
      <c r="F54" s="172"/>
      <c r="G54" s="172"/>
      <c r="H54" s="172"/>
      <c r="I54" s="172"/>
      <c r="J54" s="172"/>
    </row>
    <row r="55" spans="1:10" x14ac:dyDescent="0.25">
      <c r="A55" s="172"/>
      <c r="B55" s="172"/>
      <c r="C55" s="181"/>
      <c r="D55" s="182"/>
      <c r="E55" s="172"/>
      <c r="F55" s="172"/>
      <c r="G55" s="172"/>
      <c r="H55" s="172"/>
      <c r="I55" s="172"/>
      <c r="J55" s="172"/>
    </row>
    <row r="56" spans="1:10" x14ac:dyDescent="0.25">
      <c r="A56" s="172"/>
      <c r="B56" s="172"/>
      <c r="C56" s="172"/>
      <c r="D56" s="172"/>
      <c r="E56" s="172"/>
      <c r="F56" s="172"/>
      <c r="G56" s="172"/>
      <c r="H56" s="172"/>
      <c r="I56" s="172"/>
      <c r="J56" s="172"/>
    </row>
    <row r="57" spans="1:10" x14ac:dyDescent="0.25">
      <c r="A57" s="172"/>
      <c r="B57" s="172"/>
      <c r="C57" s="172"/>
      <c r="D57" s="172"/>
      <c r="E57" s="172"/>
      <c r="F57" s="172"/>
      <c r="G57" s="172"/>
      <c r="H57" s="172"/>
      <c r="I57" s="172"/>
      <c r="J57" s="172"/>
    </row>
    <row r="58" spans="1:10" x14ac:dyDescent="0.25">
      <c r="A58" s="172"/>
      <c r="B58" s="172"/>
      <c r="C58" s="172"/>
      <c r="D58" s="172"/>
      <c r="E58" s="172"/>
      <c r="F58" s="172"/>
      <c r="G58" s="172"/>
      <c r="H58" s="172"/>
      <c r="I58" s="172"/>
      <c r="J58" s="172"/>
    </row>
    <row r="59" spans="1:10" x14ac:dyDescent="0.25">
      <c r="A59" s="172"/>
      <c r="B59" s="172"/>
      <c r="C59" s="172"/>
      <c r="D59" s="172"/>
      <c r="E59" s="172"/>
      <c r="F59" s="172"/>
      <c r="G59" s="172"/>
      <c r="H59" s="172"/>
      <c r="I59" s="172"/>
      <c r="J59" s="172"/>
    </row>
    <row r="60" spans="1:10" x14ac:dyDescent="0.25">
      <c r="A60" s="172"/>
      <c r="B60" s="172"/>
      <c r="C60" s="172"/>
      <c r="D60" s="172"/>
      <c r="E60" s="172"/>
      <c r="F60" s="172"/>
      <c r="G60" s="172"/>
      <c r="H60" s="172"/>
      <c r="I60" s="172"/>
      <c r="J60" s="172"/>
    </row>
    <row r="61" spans="1:10" x14ac:dyDescent="0.25">
      <c r="A61" s="172"/>
      <c r="B61" s="172"/>
      <c r="C61" s="172"/>
      <c r="D61" s="172"/>
      <c r="E61" s="172"/>
      <c r="F61" s="172"/>
      <c r="G61" s="172"/>
      <c r="H61" s="172"/>
      <c r="I61" s="172"/>
      <c r="J61" s="172"/>
    </row>
    <row r="62" spans="1:10" x14ac:dyDescent="0.25">
      <c r="A62" s="172"/>
      <c r="B62" s="172"/>
      <c r="C62" s="172"/>
      <c r="D62" s="172"/>
      <c r="E62" s="172"/>
      <c r="F62" s="172"/>
      <c r="G62" s="172"/>
      <c r="H62" s="172"/>
      <c r="I62" s="172"/>
      <c r="J62" s="172"/>
    </row>
    <row r="63" spans="1:10" x14ac:dyDescent="0.25">
      <c r="A63" s="172"/>
      <c r="B63" s="172"/>
      <c r="C63" s="172"/>
      <c r="D63" s="172"/>
      <c r="E63" s="172"/>
      <c r="F63" s="172"/>
      <c r="G63" s="172"/>
      <c r="H63" s="172"/>
      <c r="I63" s="172"/>
      <c r="J63" s="172"/>
    </row>
    <row r="64" spans="1:10" x14ac:dyDescent="0.25">
      <c r="A64" s="172"/>
      <c r="B64" s="172"/>
      <c r="C64" s="172"/>
      <c r="D64" s="172"/>
      <c r="E64" s="172"/>
      <c r="F64" s="172"/>
      <c r="G64" s="172"/>
      <c r="H64" s="172"/>
      <c r="I64" s="172"/>
      <c r="J64" s="172"/>
    </row>
    <row r="65" spans="1:10" x14ac:dyDescent="0.25">
      <c r="A65" s="172"/>
      <c r="B65" s="172"/>
      <c r="C65" s="172"/>
      <c r="D65" s="172"/>
      <c r="E65" s="172"/>
      <c r="F65" s="172"/>
      <c r="G65" s="172"/>
      <c r="H65" s="172"/>
      <c r="I65" s="172"/>
      <c r="J65" s="172"/>
    </row>
    <row r="66" spans="1:10" x14ac:dyDescent="0.25">
      <c r="A66" s="172"/>
      <c r="B66" s="172"/>
      <c r="C66" s="172"/>
      <c r="D66" s="172"/>
      <c r="E66" s="172"/>
      <c r="F66" s="172"/>
      <c r="G66" s="172"/>
      <c r="H66" s="172"/>
      <c r="I66" s="172"/>
      <c r="J66" s="172"/>
    </row>
    <row r="67" spans="1:10" x14ac:dyDescent="0.25">
      <c r="A67" s="172"/>
      <c r="B67" s="172"/>
      <c r="C67" s="172"/>
      <c r="D67" s="172"/>
      <c r="E67" s="172"/>
      <c r="F67" s="172"/>
      <c r="G67" s="172"/>
      <c r="H67" s="172"/>
      <c r="I67" s="172"/>
      <c r="J67" s="172"/>
    </row>
    <row r="68" spans="1:10" x14ac:dyDescent="0.25">
      <c r="A68" s="172"/>
      <c r="B68" s="172"/>
      <c r="C68" s="172"/>
      <c r="D68" s="172"/>
      <c r="E68" s="172"/>
      <c r="F68" s="172"/>
      <c r="G68" s="172"/>
      <c r="H68" s="172"/>
      <c r="I68" s="172"/>
      <c r="J68" s="172"/>
    </row>
    <row r="69" spans="1:10" x14ac:dyDescent="0.25">
      <c r="A69" s="172"/>
      <c r="B69" s="172"/>
      <c r="C69" s="172"/>
      <c r="D69" s="172"/>
      <c r="E69" s="172"/>
      <c r="F69" s="172"/>
      <c r="G69" s="172"/>
      <c r="H69" s="172"/>
      <c r="I69" s="172"/>
      <c r="J69" s="172"/>
    </row>
    <row r="70" spans="1:10" x14ac:dyDescent="0.25">
      <c r="A70" s="172"/>
      <c r="B70" s="172"/>
      <c r="C70" s="172"/>
      <c r="D70" s="172"/>
      <c r="E70" s="172"/>
      <c r="F70" s="172"/>
      <c r="G70" s="172"/>
      <c r="H70" s="172"/>
      <c r="I70" s="172"/>
      <c r="J70" s="172"/>
    </row>
    <row r="71" spans="1:10" x14ac:dyDescent="0.25">
      <c r="A71" s="172"/>
      <c r="B71" s="172"/>
      <c r="C71" s="172"/>
      <c r="D71" s="172"/>
      <c r="E71" s="172"/>
      <c r="F71" s="172"/>
      <c r="G71" s="172"/>
      <c r="H71" s="172"/>
      <c r="I71" s="172"/>
      <c r="J71" s="172"/>
    </row>
    <row r="72" spans="1:10" x14ac:dyDescent="0.25">
      <c r="A72" s="172"/>
      <c r="B72" s="172"/>
      <c r="C72" s="172"/>
      <c r="D72" s="172"/>
      <c r="E72" s="172"/>
      <c r="F72" s="172"/>
      <c r="G72" s="172"/>
      <c r="H72" s="172"/>
      <c r="I72" s="172"/>
      <c r="J72" s="172"/>
    </row>
    <row r="73" spans="1:10" x14ac:dyDescent="0.25">
      <c r="A73" s="172"/>
      <c r="B73" s="172"/>
      <c r="C73" s="172"/>
      <c r="D73" s="172"/>
      <c r="E73" s="172"/>
      <c r="F73" s="172"/>
      <c r="G73" s="172"/>
      <c r="H73" s="172"/>
      <c r="I73" s="172"/>
      <c r="J73" s="172"/>
    </row>
    <row r="74" spans="1:10" x14ac:dyDescent="0.25">
      <c r="A74" s="172"/>
      <c r="B74" s="172"/>
      <c r="C74" s="172"/>
      <c r="D74" s="172"/>
      <c r="E74" s="172"/>
      <c r="F74" s="172"/>
      <c r="G74" s="172"/>
      <c r="H74" s="172"/>
      <c r="I74" s="172"/>
      <c r="J74" s="172"/>
    </row>
    <row r="75" spans="1:10" x14ac:dyDescent="0.25">
      <c r="A75" s="172"/>
      <c r="B75" s="172"/>
      <c r="C75" s="172"/>
      <c r="D75" s="172"/>
      <c r="E75" s="172"/>
      <c r="F75" s="172"/>
      <c r="G75" s="172"/>
      <c r="H75" s="172"/>
      <c r="I75" s="172"/>
      <c r="J75" s="172"/>
    </row>
    <row r="76" spans="1:10" x14ac:dyDescent="0.25">
      <c r="A76" s="172"/>
      <c r="B76" s="172"/>
      <c r="C76" s="172"/>
      <c r="D76" s="172"/>
      <c r="E76" s="172"/>
      <c r="F76" s="172"/>
      <c r="G76" s="172"/>
      <c r="H76" s="172"/>
      <c r="I76" s="172"/>
      <c r="J76" s="172"/>
    </row>
    <row r="77" spans="1:10" x14ac:dyDescent="0.25">
      <c r="A77" s="172"/>
      <c r="B77" s="172"/>
      <c r="C77" s="172"/>
      <c r="D77" s="172"/>
      <c r="E77" s="172"/>
      <c r="F77" s="172"/>
      <c r="G77" s="172"/>
      <c r="H77" s="172"/>
      <c r="I77" s="172"/>
      <c r="J77" s="172"/>
    </row>
    <row r="78" spans="1:10" x14ac:dyDescent="0.25">
      <c r="A78" s="172"/>
      <c r="B78" s="172"/>
      <c r="C78" s="172"/>
      <c r="D78" s="172"/>
      <c r="E78" s="172"/>
      <c r="F78" s="172"/>
      <c r="G78" s="172"/>
      <c r="H78" s="172"/>
      <c r="I78" s="172"/>
      <c r="J78" s="172"/>
    </row>
    <row r="79" spans="1:10" x14ac:dyDescent="0.25">
      <c r="A79" s="172"/>
      <c r="B79" s="172"/>
      <c r="C79" s="172"/>
      <c r="D79" s="172"/>
      <c r="E79" s="172"/>
      <c r="F79" s="172"/>
      <c r="G79" s="172"/>
      <c r="H79" s="172"/>
      <c r="I79" s="172"/>
      <c r="J79" s="172"/>
    </row>
    <row r="80" spans="1:10" x14ac:dyDescent="0.25">
      <c r="A80" s="172"/>
      <c r="B80" s="172"/>
      <c r="C80" s="172"/>
      <c r="D80" s="172"/>
      <c r="E80" s="172"/>
      <c r="F80" s="172"/>
      <c r="G80" s="172"/>
      <c r="H80" s="172"/>
      <c r="I80" s="172"/>
      <c r="J80" s="172"/>
    </row>
    <row r="81" spans="1:10" x14ac:dyDescent="0.25">
      <c r="A81" s="172"/>
      <c r="B81" s="172"/>
      <c r="C81" s="172"/>
      <c r="D81" s="172"/>
      <c r="E81" s="172"/>
      <c r="F81" s="172"/>
      <c r="G81" s="172"/>
      <c r="H81" s="172"/>
      <c r="I81" s="172"/>
      <c r="J81" s="172"/>
    </row>
    <row r="82" spans="1:10" x14ac:dyDescent="0.25">
      <c r="A82" s="172"/>
      <c r="B82" s="172"/>
      <c r="C82" s="172"/>
      <c r="D82" s="172"/>
      <c r="E82" s="172"/>
      <c r="F82" s="172"/>
      <c r="G82" s="172"/>
      <c r="H82" s="172"/>
      <c r="I82" s="172"/>
      <c r="J82" s="172"/>
    </row>
    <row r="83" spans="1:10" x14ac:dyDescent="0.25">
      <c r="A83" s="172"/>
      <c r="B83" s="172"/>
      <c r="C83" s="172"/>
      <c r="D83" s="172"/>
      <c r="E83" s="172"/>
      <c r="F83" s="172"/>
      <c r="G83" s="172"/>
      <c r="H83" s="172"/>
      <c r="I83" s="172"/>
      <c r="J83" s="172"/>
    </row>
    <row r="84" spans="1:10" x14ac:dyDescent="0.25">
      <c r="A84" s="172"/>
      <c r="B84" s="172"/>
      <c r="C84" s="172"/>
      <c r="D84" s="172"/>
      <c r="E84" s="172"/>
      <c r="F84" s="172"/>
      <c r="G84" s="172"/>
      <c r="H84" s="172"/>
      <c r="I84" s="172"/>
      <c r="J84" s="172"/>
    </row>
    <row r="85" spans="1:10" x14ac:dyDescent="0.25">
      <c r="A85" s="172"/>
      <c r="B85" s="83"/>
      <c r="C85" s="83"/>
      <c r="D85" s="83"/>
      <c r="E85" s="172"/>
      <c r="F85" s="172"/>
      <c r="G85" s="172"/>
      <c r="H85" s="172"/>
      <c r="I85" s="172"/>
      <c r="J85" s="172"/>
    </row>
    <row r="86" spans="1:10" x14ac:dyDescent="0.25">
      <c r="A86" s="172"/>
      <c r="B86" s="172"/>
      <c r="C86" s="172"/>
      <c r="D86" s="172"/>
      <c r="E86" s="172"/>
      <c r="F86" s="172"/>
      <c r="G86" s="172"/>
      <c r="H86" s="172"/>
      <c r="I86" s="172"/>
      <c r="J86" s="172"/>
    </row>
    <row r="87" spans="1:10" x14ac:dyDescent="0.25">
      <c r="A87" s="172"/>
      <c r="B87" s="172"/>
      <c r="C87" s="172"/>
      <c r="D87" s="172"/>
      <c r="E87" s="172"/>
      <c r="F87" s="172"/>
      <c r="G87" s="172"/>
      <c r="H87" s="172"/>
      <c r="I87" s="172"/>
      <c r="J87" s="172"/>
    </row>
    <row r="88" spans="1:10" x14ac:dyDescent="0.25">
      <c r="A88" s="172"/>
      <c r="B88" s="172"/>
      <c r="C88" s="172"/>
      <c r="D88" s="172"/>
      <c r="E88" s="172"/>
      <c r="F88" s="172"/>
      <c r="G88" s="172"/>
      <c r="H88" s="172"/>
      <c r="I88" s="172"/>
      <c r="J88" s="172"/>
    </row>
    <row r="89" spans="1:10" x14ac:dyDescent="0.25">
      <c r="A89" s="172"/>
      <c r="B89" s="172"/>
      <c r="C89" s="172"/>
      <c r="D89" s="172"/>
      <c r="E89" s="172"/>
      <c r="F89" s="172"/>
      <c r="G89" s="172"/>
      <c r="H89" s="172"/>
      <c r="I89" s="172"/>
      <c r="J89" s="172"/>
    </row>
    <row r="90" spans="1:10" x14ac:dyDescent="0.25">
      <c r="A90" s="172"/>
      <c r="B90" s="172"/>
      <c r="C90" s="172"/>
      <c r="D90" s="172"/>
      <c r="E90" s="172"/>
      <c r="F90" s="172"/>
      <c r="G90" s="172"/>
      <c r="H90" s="172"/>
      <c r="I90" s="172"/>
      <c r="J90" s="172"/>
    </row>
    <row r="91" spans="1:10" x14ac:dyDescent="0.25">
      <c r="A91" s="172"/>
      <c r="B91" s="172"/>
      <c r="C91" s="172"/>
      <c r="D91" s="172"/>
      <c r="E91" s="172"/>
      <c r="F91" s="172"/>
      <c r="G91" s="172"/>
      <c r="H91" s="172"/>
      <c r="I91" s="172"/>
      <c r="J91" s="172"/>
    </row>
    <row r="92" spans="1:10" x14ac:dyDescent="0.25">
      <c r="A92" s="172"/>
      <c r="B92" s="172"/>
      <c r="C92" s="172"/>
      <c r="D92" s="172"/>
      <c r="E92" s="172"/>
      <c r="F92" s="172"/>
      <c r="G92" s="172"/>
      <c r="H92" s="172"/>
      <c r="I92" s="172"/>
      <c r="J92" s="172"/>
    </row>
    <row r="93" spans="1:10" x14ac:dyDescent="0.25">
      <c r="A93" s="172"/>
      <c r="B93" s="172"/>
      <c r="C93" s="172"/>
      <c r="D93" s="172"/>
      <c r="E93" s="172"/>
      <c r="F93" s="172"/>
      <c r="G93" s="172"/>
      <c r="H93" s="172"/>
      <c r="I93" s="172"/>
      <c r="J93" s="172"/>
    </row>
    <row r="94" spans="1:10" x14ac:dyDescent="0.25">
      <c r="A94" s="172"/>
      <c r="B94" s="172"/>
      <c r="C94" s="172"/>
      <c r="D94" s="172"/>
      <c r="E94" s="172"/>
      <c r="F94" s="172"/>
      <c r="G94" s="172"/>
      <c r="H94" s="172"/>
      <c r="I94" s="172"/>
      <c r="J94" s="172"/>
    </row>
    <row r="95" spans="1:10" x14ac:dyDescent="0.25">
      <c r="A95" s="172"/>
      <c r="B95" s="172"/>
      <c r="C95" s="172"/>
      <c r="D95" s="172"/>
      <c r="E95" s="172"/>
      <c r="F95" s="172"/>
      <c r="G95" s="172"/>
      <c r="H95" s="172"/>
      <c r="I95" s="172"/>
      <c r="J95" s="172"/>
    </row>
    <row r="96" spans="1:10" x14ac:dyDescent="0.25">
      <c r="A96" s="172"/>
      <c r="B96" s="172"/>
      <c r="C96" s="172"/>
      <c r="D96" s="172"/>
      <c r="E96" s="172"/>
      <c r="F96" s="172"/>
      <c r="G96" s="172"/>
      <c r="H96" s="172"/>
      <c r="I96" s="172"/>
      <c r="J96" s="172"/>
    </row>
    <row r="97" spans="1:10" x14ac:dyDescent="0.25">
      <c r="A97" s="172"/>
      <c r="B97" s="83"/>
      <c r="C97" s="83"/>
      <c r="D97" s="83"/>
      <c r="E97" s="172"/>
      <c r="F97" s="172"/>
      <c r="G97" s="172"/>
      <c r="H97" s="172"/>
      <c r="I97" s="172"/>
      <c r="J97" s="172"/>
    </row>
    <row r="98" spans="1:10" x14ac:dyDescent="0.25">
      <c r="A98" s="172"/>
      <c r="B98" s="172"/>
      <c r="C98" s="172"/>
      <c r="D98" s="172"/>
      <c r="E98" s="172"/>
      <c r="F98" s="172"/>
      <c r="G98" s="172"/>
      <c r="H98" s="172"/>
      <c r="I98" s="172"/>
      <c r="J98" s="172"/>
    </row>
    <row r="99" spans="1:10" x14ac:dyDescent="0.25">
      <c r="A99" s="172"/>
      <c r="B99" s="172"/>
      <c r="C99" s="172"/>
      <c r="D99" s="172"/>
      <c r="E99" s="172"/>
      <c r="F99" s="172"/>
      <c r="G99" s="172"/>
      <c r="H99" s="172"/>
      <c r="I99" s="172"/>
      <c r="J99" s="172"/>
    </row>
    <row r="100" spans="1:10" x14ac:dyDescent="0.25">
      <c r="A100" s="172"/>
      <c r="B100" s="172"/>
      <c r="C100" s="172"/>
      <c r="D100" s="172"/>
      <c r="E100" s="172"/>
      <c r="F100" s="172"/>
      <c r="G100" s="172"/>
      <c r="H100" s="172"/>
      <c r="I100" s="172"/>
      <c r="J100" s="172"/>
    </row>
    <row r="101" spans="1:10" x14ac:dyDescent="0.25">
      <c r="A101" s="172"/>
      <c r="B101" s="172"/>
      <c r="C101" s="172"/>
      <c r="D101" s="172"/>
      <c r="E101" s="172"/>
      <c r="F101" s="172"/>
      <c r="G101" s="172"/>
      <c r="H101" s="172"/>
      <c r="I101" s="172"/>
      <c r="J101" s="172"/>
    </row>
    <row r="102" spans="1:10" x14ac:dyDescent="0.25">
      <c r="A102" s="172"/>
      <c r="B102" s="172"/>
      <c r="C102" s="172"/>
      <c r="D102" s="172"/>
      <c r="E102" s="172"/>
      <c r="F102" s="172"/>
      <c r="G102" s="172"/>
      <c r="H102" s="172"/>
      <c r="I102" s="172"/>
      <c r="J102" s="172"/>
    </row>
    <row r="103" spans="1:10" x14ac:dyDescent="0.25">
      <c r="A103" s="172"/>
      <c r="B103" s="172"/>
      <c r="C103" s="172"/>
      <c r="D103" s="172"/>
      <c r="E103" s="172"/>
      <c r="F103" s="172"/>
      <c r="G103" s="172"/>
      <c r="H103" s="172"/>
      <c r="I103" s="172"/>
      <c r="J103" s="172"/>
    </row>
    <row r="104" spans="1:10" x14ac:dyDescent="0.25">
      <c r="A104" s="172"/>
      <c r="B104" s="172"/>
      <c r="C104" s="172"/>
      <c r="D104" s="172"/>
      <c r="E104" s="172"/>
      <c r="F104" s="172"/>
      <c r="G104" s="172"/>
      <c r="H104" s="172"/>
      <c r="I104" s="172"/>
      <c r="J104" s="172"/>
    </row>
    <row r="105" spans="1:10" x14ac:dyDescent="0.25">
      <c r="A105" s="172"/>
      <c r="B105" s="83"/>
      <c r="C105" s="83"/>
      <c r="D105" s="83"/>
      <c r="E105" s="172"/>
      <c r="F105" s="172"/>
      <c r="G105" s="172"/>
      <c r="H105" s="172"/>
      <c r="I105" s="172"/>
      <c r="J105" s="172"/>
    </row>
    <row r="106" spans="1:10" x14ac:dyDescent="0.25">
      <c r="A106" s="172"/>
      <c r="B106" s="172"/>
      <c r="C106" s="172"/>
      <c r="D106" s="172"/>
      <c r="E106" s="172"/>
      <c r="F106" s="172"/>
      <c r="G106" s="172"/>
      <c r="H106" s="172"/>
      <c r="I106" s="172"/>
      <c r="J106" s="172"/>
    </row>
    <row r="107" spans="1:10" x14ac:dyDescent="0.25">
      <c r="A107" s="172"/>
      <c r="B107" s="172"/>
      <c r="C107" s="172"/>
      <c r="D107" s="172"/>
      <c r="E107" s="172"/>
      <c r="F107" s="172"/>
      <c r="G107" s="172"/>
      <c r="H107" s="172"/>
      <c r="I107" s="172"/>
      <c r="J107" s="172"/>
    </row>
    <row r="108" spans="1:10" x14ac:dyDescent="0.25">
      <c r="A108" s="172"/>
      <c r="B108" s="172"/>
      <c r="C108" s="172"/>
      <c r="D108" s="172"/>
      <c r="E108" s="172"/>
      <c r="F108" s="172"/>
      <c r="G108" s="172"/>
      <c r="H108" s="172"/>
      <c r="I108" s="172"/>
      <c r="J108" s="172"/>
    </row>
    <row r="109" spans="1:10" x14ac:dyDescent="0.25">
      <c r="A109" s="172"/>
      <c r="B109" s="172"/>
      <c r="C109" s="172"/>
      <c r="D109" s="172"/>
      <c r="E109" s="172"/>
      <c r="F109" s="172"/>
      <c r="G109" s="172"/>
      <c r="H109" s="172"/>
      <c r="I109" s="172"/>
      <c r="J109" s="172"/>
    </row>
    <row r="110" spans="1:10" x14ac:dyDescent="0.25">
      <c r="A110" s="172"/>
      <c r="B110" s="172"/>
      <c r="C110" s="172"/>
      <c r="D110" s="172"/>
      <c r="E110" s="172"/>
      <c r="F110" s="172"/>
      <c r="G110" s="172"/>
      <c r="H110" s="172"/>
      <c r="I110" s="172"/>
      <c r="J110" s="172"/>
    </row>
    <row r="111" spans="1:10" x14ac:dyDescent="0.25">
      <c r="A111" s="172"/>
      <c r="B111" s="172"/>
      <c r="C111" s="172"/>
      <c r="D111" s="172"/>
      <c r="E111" s="172"/>
      <c r="F111" s="172"/>
      <c r="G111" s="172"/>
      <c r="H111" s="172"/>
      <c r="I111" s="172"/>
      <c r="J111" s="172"/>
    </row>
    <row r="112" spans="1:10" x14ac:dyDescent="0.25">
      <c r="A112" s="172"/>
      <c r="B112" s="172"/>
      <c r="C112" s="179"/>
      <c r="D112" s="183"/>
      <c r="E112" s="172"/>
      <c r="F112" s="172"/>
      <c r="G112" s="172"/>
      <c r="H112" s="172"/>
      <c r="I112" s="172"/>
      <c r="J112" s="172"/>
    </row>
    <row r="113" spans="1:10" x14ac:dyDescent="0.25">
      <c r="A113" s="172"/>
      <c r="B113" s="83"/>
      <c r="C113" s="83"/>
      <c r="D113" s="83"/>
      <c r="E113" s="172"/>
      <c r="F113" s="172"/>
      <c r="G113" s="172"/>
      <c r="H113" s="172"/>
      <c r="I113" s="172"/>
      <c r="J113" s="172"/>
    </row>
    <row r="114" spans="1:10" x14ac:dyDescent="0.25">
      <c r="A114" s="172"/>
      <c r="B114" s="172"/>
      <c r="C114" s="172"/>
      <c r="D114" s="172"/>
      <c r="E114" s="172"/>
      <c r="F114" s="172"/>
      <c r="G114" s="172"/>
      <c r="H114" s="172"/>
      <c r="I114" s="172"/>
      <c r="J114" s="172"/>
    </row>
    <row r="115" spans="1:10" x14ac:dyDescent="0.25">
      <c r="A115" s="172"/>
      <c r="B115" s="172"/>
      <c r="C115" s="172"/>
      <c r="D115" s="172"/>
      <c r="E115" s="172"/>
      <c r="F115" s="172"/>
      <c r="G115" s="172"/>
      <c r="H115" s="172"/>
      <c r="I115" s="172"/>
      <c r="J115" s="172"/>
    </row>
    <row r="116" spans="1:10" x14ac:dyDescent="0.25">
      <c r="A116" s="172"/>
      <c r="B116" s="172"/>
      <c r="C116" s="172"/>
      <c r="D116" s="172"/>
      <c r="E116" s="172"/>
      <c r="F116" s="172"/>
      <c r="G116" s="172"/>
      <c r="H116" s="172"/>
      <c r="I116" s="172"/>
      <c r="J116" s="172"/>
    </row>
    <row r="117" spans="1:10" x14ac:dyDescent="0.25">
      <c r="A117" s="172"/>
      <c r="B117" s="172"/>
      <c r="C117" s="172"/>
      <c r="D117" s="172"/>
      <c r="E117" s="172"/>
      <c r="F117" s="172"/>
      <c r="G117" s="172"/>
      <c r="H117" s="172"/>
      <c r="I117" s="172"/>
      <c r="J117" s="172"/>
    </row>
    <row r="118" spans="1:10" x14ac:dyDescent="0.25">
      <c r="A118" s="172"/>
      <c r="B118" s="172"/>
      <c r="C118" s="184"/>
      <c r="D118" s="183"/>
      <c r="E118" s="172"/>
      <c r="F118" s="172"/>
      <c r="G118" s="172"/>
      <c r="H118" s="172"/>
      <c r="I118" s="172"/>
      <c r="J118" s="172"/>
    </row>
    <row r="119" spans="1:10" x14ac:dyDescent="0.25">
      <c r="A119" s="172"/>
      <c r="B119" s="172"/>
      <c r="C119" s="172"/>
      <c r="D119" s="172"/>
      <c r="E119" s="172"/>
      <c r="F119" s="172"/>
      <c r="G119" s="172"/>
      <c r="H119" s="172"/>
      <c r="I119" s="172"/>
      <c r="J119" s="172"/>
    </row>
    <row r="120" spans="1:10" x14ac:dyDescent="0.25">
      <c r="A120" s="172"/>
      <c r="B120" s="172"/>
      <c r="C120" s="172"/>
      <c r="D120" s="172"/>
      <c r="E120" s="172"/>
      <c r="F120" s="172"/>
      <c r="G120" s="172"/>
      <c r="H120" s="172"/>
      <c r="I120" s="172"/>
      <c r="J120" s="172"/>
    </row>
    <row r="121" spans="1:10" x14ac:dyDescent="0.25">
      <c r="A121" s="83"/>
      <c r="B121" s="172"/>
      <c r="C121" s="172"/>
      <c r="D121" s="172"/>
      <c r="E121" s="172"/>
      <c r="F121" s="172"/>
      <c r="G121" s="172"/>
      <c r="H121" s="172"/>
      <c r="I121" s="172"/>
      <c r="J121" s="172"/>
    </row>
    <row r="122" spans="1:10" x14ac:dyDescent="0.25">
      <c r="A122" s="83"/>
      <c r="B122" s="172"/>
      <c r="C122" s="172"/>
      <c r="D122" s="172"/>
      <c r="E122" s="172"/>
      <c r="F122" s="172"/>
      <c r="G122" s="172"/>
      <c r="H122" s="172"/>
      <c r="I122" s="172"/>
      <c r="J122" s="172"/>
    </row>
    <row r="123" spans="1:10" x14ac:dyDescent="0.25">
      <c r="A123" s="83"/>
      <c r="B123" s="172"/>
      <c r="C123" s="172"/>
      <c r="D123" s="172"/>
      <c r="E123" s="172"/>
      <c r="F123" s="172"/>
      <c r="G123" s="172"/>
      <c r="H123" s="172"/>
      <c r="I123" s="172"/>
      <c r="J123" s="172"/>
    </row>
    <row r="124" spans="1:10" x14ac:dyDescent="0.25">
      <c r="A124" s="172"/>
      <c r="B124" s="172"/>
      <c r="C124" s="172"/>
      <c r="D124" s="172"/>
      <c r="E124" s="172"/>
      <c r="F124" s="172"/>
      <c r="G124" s="172"/>
      <c r="H124" s="172"/>
      <c r="I124" s="172"/>
      <c r="J124" s="172"/>
    </row>
    <row r="125" spans="1:10" x14ac:dyDescent="0.25">
      <c r="A125" s="172"/>
      <c r="B125" s="172"/>
      <c r="C125" s="172"/>
      <c r="D125" s="172"/>
      <c r="E125" s="172"/>
      <c r="F125" s="172"/>
      <c r="G125" s="172"/>
      <c r="H125" s="172"/>
      <c r="I125" s="172"/>
      <c r="J125" s="172"/>
    </row>
    <row r="126" spans="1:10" x14ac:dyDescent="0.25">
      <c r="A126" s="172"/>
      <c r="B126" s="172"/>
      <c r="C126" s="172"/>
      <c r="D126" s="172"/>
      <c r="E126" s="172"/>
      <c r="F126" s="172"/>
      <c r="G126" s="172"/>
      <c r="H126" s="172"/>
      <c r="I126" s="172"/>
      <c r="J126" s="172"/>
    </row>
    <row r="127" spans="1:10" x14ac:dyDescent="0.25">
      <c r="A127" s="172"/>
      <c r="B127" s="172"/>
      <c r="C127" s="172"/>
      <c r="D127" s="172"/>
      <c r="E127" s="172"/>
      <c r="F127" s="172"/>
      <c r="G127" s="172"/>
      <c r="H127" s="172"/>
      <c r="I127" s="172"/>
      <c r="J127" s="172"/>
    </row>
    <row r="128" spans="1:10" x14ac:dyDescent="0.25">
      <c r="A128" s="172"/>
      <c r="B128" s="172"/>
      <c r="C128" s="172"/>
      <c r="D128" s="172"/>
      <c r="E128" s="172"/>
      <c r="F128" s="172"/>
      <c r="G128" s="172"/>
      <c r="H128" s="172"/>
      <c r="I128" s="172"/>
      <c r="J128" s="172"/>
    </row>
    <row r="129" spans="1:10" x14ac:dyDescent="0.25">
      <c r="A129" s="83"/>
      <c r="B129" s="172"/>
      <c r="C129" s="172"/>
      <c r="D129" s="172"/>
      <c r="E129" s="172"/>
      <c r="F129" s="172"/>
      <c r="G129" s="172"/>
      <c r="H129" s="172"/>
      <c r="I129" s="172"/>
      <c r="J129" s="172"/>
    </row>
    <row r="130" spans="1:10" x14ac:dyDescent="0.25">
      <c r="A130" s="83"/>
      <c r="B130" s="172"/>
      <c r="C130" s="172"/>
      <c r="D130" s="172"/>
      <c r="E130" s="172"/>
      <c r="F130" s="172"/>
      <c r="G130" s="172"/>
      <c r="H130" s="172"/>
      <c r="I130" s="172"/>
      <c r="J130" s="172"/>
    </row>
    <row r="131" spans="1:10" x14ac:dyDescent="0.25">
      <c r="A131" s="83"/>
      <c r="B131" s="172"/>
      <c r="C131" s="172"/>
      <c r="D131" s="172"/>
      <c r="E131" s="172"/>
      <c r="F131" s="172"/>
      <c r="G131" s="172"/>
      <c r="H131" s="172"/>
      <c r="I131" s="172"/>
      <c r="J131" s="172"/>
    </row>
    <row r="132" spans="1:10" x14ac:dyDescent="0.25">
      <c r="A132" s="172"/>
      <c r="B132" s="172"/>
      <c r="C132" s="172"/>
      <c r="D132" s="172"/>
      <c r="E132" s="172"/>
      <c r="F132" s="172"/>
      <c r="G132" s="172"/>
      <c r="H132" s="172"/>
      <c r="I132" s="172"/>
      <c r="J132" s="172"/>
    </row>
    <row r="133" spans="1:10" x14ac:dyDescent="0.25">
      <c r="A133" s="172"/>
      <c r="B133" s="172"/>
      <c r="C133" s="172"/>
      <c r="D133" s="172"/>
      <c r="E133" s="172"/>
      <c r="F133" s="172"/>
      <c r="G133" s="172"/>
      <c r="H133" s="172"/>
      <c r="I133" s="172"/>
      <c r="J133" s="172"/>
    </row>
    <row r="134" spans="1:10" x14ac:dyDescent="0.25">
      <c r="A134" s="172"/>
      <c r="B134" s="172"/>
      <c r="C134" s="172"/>
      <c r="D134" s="172"/>
      <c r="E134" s="172"/>
      <c r="F134" s="172"/>
      <c r="G134" s="172"/>
      <c r="H134" s="172"/>
      <c r="I134" s="172"/>
      <c r="J134" s="172"/>
    </row>
    <row r="135" spans="1:10" x14ac:dyDescent="0.25">
      <c r="A135" s="172"/>
      <c r="B135" s="172"/>
      <c r="C135" s="172"/>
      <c r="D135" s="172"/>
      <c r="E135" s="172"/>
      <c r="F135" s="172"/>
      <c r="G135" s="172"/>
      <c r="H135" s="172"/>
      <c r="I135" s="172"/>
      <c r="J135" s="172"/>
    </row>
    <row r="136" spans="1:10" x14ac:dyDescent="0.25">
      <c r="A136" s="172"/>
      <c r="B136" s="172"/>
      <c r="C136" s="172"/>
      <c r="D136" s="172"/>
      <c r="E136" s="172"/>
      <c r="F136" s="172"/>
      <c r="G136" s="172"/>
      <c r="H136" s="172"/>
      <c r="I136" s="172"/>
      <c r="J136" s="172"/>
    </row>
    <row r="137" spans="1:10" x14ac:dyDescent="0.25">
      <c r="A137" s="172"/>
      <c r="B137" s="172"/>
      <c r="C137" s="172"/>
      <c r="D137" s="172"/>
      <c r="E137" s="172"/>
      <c r="F137" s="172"/>
      <c r="G137" s="172"/>
      <c r="H137" s="172"/>
      <c r="I137" s="172"/>
      <c r="J137" s="172"/>
    </row>
    <row r="138" spans="1:10" x14ac:dyDescent="0.25">
      <c r="A138" s="172"/>
      <c r="B138" s="172"/>
      <c r="C138" s="172"/>
      <c r="D138" s="172"/>
      <c r="E138" s="172"/>
      <c r="F138" s="172"/>
      <c r="G138" s="172"/>
      <c r="H138" s="172"/>
      <c r="I138" s="172"/>
      <c r="J138" s="172"/>
    </row>
    <row r="139" spans="1:10" x14ac:dyDescent="0.25">
      <c r="A139" s="172"/>
      <c r="B139" s="172"/>
      <c r="C139" s="172"/>
      <c r="D139" s="172"/>
      <c r="E139" s="172"/>
      <c r="F139" s="172"/>
      <c r="G139" s="172"/>
      <c r="H139" s="172"/>
      <c r="I139" s="172"/>
      <c r="J139" s="172"/>
    </row>
    <row r="140" spans="1:10" x14ac:dyDescent="0.25">
      <c r="A140" s="172"/>
      <c r="B140" s="172"/>
      <c r="C140" s="172"/>
      <c r="D140" s="172"/>
      <c r="E140" s="172"/>
      <c r="F140" s="172"/>
      <c r="G140" s="172"/>
      <c r="H140" s="172"/>
      <c r="I140" s="172"/>
      <c r="J140" s="172"/>
    </row>
    <row r="141" spans="1:10" x14ac:dyDescent="0.25">
      <c r="A141" s="172"/>
      <c r="B141" s="172"/>
      <c r="C141" s="172"/>
      <c r="D141" s="172"/>
      <c r="E141" s="172"/>
      <c r="F141" s="172"/>
      <c r="G141" s="172"/>
      <c r="H141" s="172"/>
      <c r="I141" s="172"/>
      <c r="J141" s="172"/>
    </row>
    <row r="142" spans="1:10" x14ac:dyDescent="0.25">
      <c r="A142" s="172"/>
      <c r="B142" s="172"/>
      <c r="C142" s="172"/>
      <c r="D142" s="172"/>
      <c r="E142" s="172"/>
      <c r="F142" s="172"/>
      <c r="G142" s="172"/>
      <c r="H142" s="172"/>
      <c r="I142" s="172"/>
      <c r="J142" s="172"/>
    </row>
    <row r="143" spans="1:10" x14ac:dyDescent="0.25">
      <c r="A143" s="172"/>
      <c r="B143" s="172"/>
      <c r="C143" s="172"/>
      <c r="D143" s="172"/>
      <c r="E143" s="172"/>
      <c r="F143" s="172"/>
      <c r="G143" s="172"/>
      <c r="H143" s="172"/>
      <c r="I143" s="172"/>
      <c r="J143" s="172"/>
    </row>
    <row r="144" spans="1:10" x14ac:dyDescent="0.25">
      <c r="A144" s="172"/>
      <c r="B144" s="172"/>
      <c r="C144" s="172"/>
      <c r="D144" s="172"/>
      <c r="E144" s="172"/>
      <c r="F144" s="172"/>
      <c r="G144" s="172"/>
      <c r="H144" s="172"/>
      <c r="I144" s="172"/>
      <c r="J144" s="172"/>
    </row>
    <row r="145" spans="1:10" x14ac:dyDescent="0.25">
      <c r="A145" s="172"/>
      <c r="B145" s="172"/>
      <c r="C145" s="172"/>
      <c r="D145" s="172"/>
      <c r="E145" s="172"/>
      <c r="F145" s="172"/>
      <c r="G145" s="172"/>
      <c r="H145" s="172"/>
      <c r="I145" s="172"/>
      <c r="J145" s="172"/>
    </row>
    <row r="146" spans="1:10" x14ac:dyDescent="0.25">
      <c r="A146" s="172"/>
      <c r="B146" s="172"/>
      <c r="C146" s="172"/>
      <c r="D146" s="172"/>
      <c r="E146" s="172"/>
      <c r="F146" s="172"/>
      <c r="G146" s="172"/>
      <c r="H146" s="172"/>
      <c r="I146" s="172"/>
      <c r="J146" s="172"/>
    </row>
    <row r="147" spans="1:10" x14ac:dyDescent="0.25">
      <c r="A147" s="172"/>
      <c r="B147" s="172"/>
      <c r="C147" s="172"/>
      <c r="D147" s="172"/>
      <c r="E147" s="172"/>
      <c r="F147" s="172"/>
      <c r="G147" s="172"/>
      <c r="H147" s="172"/>
      <c r="I147" s="172"/>
      <c r="J147" s="172"/>
    </row>
    <row r="148" spans="1:10" x14ac:dyDescent="0.25">
      <c r="A148" s="172"/>
      <c r="B148" s="172"/>
      <c r="C148" s="172"/>
      <c r="D148" s="172"/>
      <c r="E148" s="172"/>
      <c r="F148" s="172"/>
      <c r="G148" s="172"/>
      <c r="H148" s="172"/>
      <c r="I148" s="172"/>
      <c r="J148" s="172"/>
    </row>
    <row r="149" spans="1:10" x14ac:dyDescent="0.25">
      <c r="A149" s="172"/>
      <c r="B149" s="172"/>
      <c r="C149" s="172"/>
      <c r="D149" s="172"/>
      <c r="E149" s="172"/>
      <c r="F149" s="172"/>
      <c r="G149" s="172"/>
      <c r="H149" s="172"/>
      <c r="I149" s="172"/>
      <c r="J149" s="172"/>
    </row>
    <row r="150" spans="1:10" x14ac:dyDescent="0.25">
      <c r="A150" s="172"/>
      <c r="B150" s="172"/>
      <c r="C150" s="172"/>
      <c r="D150" s="172"/>
      <c r="E150" s="172"/>
      <c r="F150" s="172"/>
      <c r="G150" s="172"/>
      <c r="H150" s="172"/>
      <c r="I150" s="172"/>
      <c r="J150" s="172"/>
    </row>
    <row r="151" spans="1:10" x14ac:dyDescent="0.25">
      <c r="A151" s="172"/>
      <c r="B151" s="172"/>
      <c r="C151" s="172"/>
      <c r="D151" s="172"/>
      <c r="E151" s="172"/>
      <c r="F151" s="172"/>
      <c r="G151" s="172"/>
      <c r="H151" s="172"/>
      <c r="I151" s="172"/>
      <c r="J151" s="172"/>
    </row>
    <row r="152" spans="1:10" x14ac:dyDescent="0.25">
      <c r="A152" s="172"/>
      <c r="B152" s="172"/>
      <c r="C152" s="172"/>
      <c r="D152" s="172"/>
      <c r="E152" s="172"/>
      <c r="F152" s="172"/>
      <c r="G152" s="172"/>
      <c r="H152" s="172"/>
      <c r="I152" s="172"/>
      <c r="J152" s="172"/>
    </row>
    <row r="153" spans="1:10" x14ac:dyDescent="0.25">
      <c r="A153" s="172"/>
      <c r="B153" s="172"/>
      <c r="C153" s="172"/>
      <c r="D153" s="172"/>
      <c r="E153" s="172"/>
      <c r="F153" s="172"/>
      <c r="G153" s="172"/>
      <c r="H153" s="172"/>
      <c r="I153" s="172"/>
      <c r="J153" s="172"/>
    </row>
    <row r="154" spans="1:10" x14ac:dyDescent="0.25">
      <c r="A154" s="172"/>
      <c r="B154" s="172"/>
      <c r="C154" s="172"/>
      <c r="D154" s="172"/>
      <c r="E154" s="172"/>
      <c r="F154" s="172"/>
      <c r="G154" s="172"/>
      <c r="H154" s="172"/>
      <c r="I154" s="172"/>
      <c r="J154" s="172"/>
    </row>
    <row r="155" spans="1:10" x14ac:dyDescent="0.25">
      <c r="A155" s="172"/>
      <c r="B155" s="172"/>
      <c r="C155" s="172"/>
      <c r="D155" s="172"/>
      <c r="E155" s="172"/>
      <c r="F155" s="172"/>
      <c r="G155" s="172"/>
      <c r="H155" s="172"/>
      <c r="I155" s="172"/>
      <c r="J155" s="172"/>
    </row>
    <row r="156" spans="1:10" x14ac:dyDescent="0.25">
      <c r="A156" s="172"/>
      <c r="B156" s="172"/>
      <c r="C156" s="172"/>
      <c r="D156" s="172"/>
      <c r="E156" s="172"/>
      <c r="F156" s="172"/>
      <c r="G156" s="172"/>
      <c r="H156" s="172"/>
      <c r="I156" s="172"/>
      <c r="J156" s="172"/>
    </row>
    <row r="157" spans="1:10" x14ac:dyDescent="0.25">
      <c r="A157" s="172"/>
      <c r="B157" s="172"/>
      <c r="C157" s="172"/>
      <c r="D157" s="172"/>
      <c r="E157" s="172"/>
      <c r="F157" s="172"/>
      <c r="G157" s="172"/>
      <c r="H157" s="172"/>
      <c r="I157" s="172"/>
      <c r="J157" s="172"/>
    </row>
    <row r="158" spans="1:10" x14ac:dyDescent="0.25">
      <c r="A158" s="172"/>
      <c r="B158" s="172"/>
      <c r="C158" s="172"/>
      <c r="D158" s="172"/>
      <c r="E158" s="172"/>
      <c r="F158" s="172"/>
      <c r="G158" s="172"/>
      <c r="H158" s="172"/>
      <c r="I158" s="172"/>
      <c r="J158" s="172"/>
    </row>
    <row r="159" spans="1:10" x14ac:dyDescent="0.25">
      <c r="A159" s="172"/>
      <c r="B159" s="172"/>
      <c r="C159" s="172"/>
      <c r="D159" s="172"/>
      <c r="E159" s="172"/>
      <c r="F159" s="172"/>
      <c r="G159" s="172"/>
      <c r="H159" s="172"/>
      <c r="I159" s="172"/>
      <c r="J159" s="172"/>
    </row>
    <row r="160" spans="1:10" x14ac:dyDescent="0.25">
      <c r="A160" s="172"/>
      <c r="B160" s="172"/>
      <c r="C160" s="172"/>
      <c r="D160" s="172"/>
      <c r="E160" s="172"/>
      <c r="F160" s="172"/>
      <c r="G160" s="172"/>
      <c r="H160" s="172"/>
      <c r="I160" s="172"/>
      <c r="J160" s="172"/>
    </row>
    <row r="161" spans="1:10" x14ac:dyDescent="0.25">
      <c r="A161" s="172"/>
      <c r="B161" s="172"/>
      <c r="C161" s="172"/>
      <c r="D161" s="172"/>
      <c r="E161" s="172"/>
      <c r="F161" s="172"/>
      <c r="G161" s="172"/>
      <c r="H161" s="172"/>
      <c r="I161" s="172"/>
      <c r="J161" s="172"/>
    </row>
    <row r="162" spans="1:10" x14ac:dyDescent="0.25">
      <c r="A162" s="172"/>
      <c r="B162" s="172"/>
      <c r="C162" s="172"/>
      <c r="D162" s="172"/>
      <c r="E162" s="172"/>
      <c r="F162" s="172"/>
      <c r="G162" s="172"/>
      <c r="H162" s="172"/>
      <c r="I162" s="172"/>
      <c r="J162" s="172"/>
    </row>
    <row r="163" spans="1:10" x14ac:dyDescent="0.25">
      <c r="A163" s="172"/>
      <c r="B163" s="172"/>
      <c r="C163" s="172"/>
      <c r="D163" s="172"/>
      <c r="E163" s="172"/>
      <c r="F163" s="172"/>
      <c r="G163" s="172"/>
      <c r="H163" s="172"/>
      <c r="I163" s="172"/>
      <c r="J163" s="172"/>
    </row>
    <row r="164" spans="1:10" x14ac:dyDescent="0.25">
      <c r="A164" s="172"/>
      <c r="B164" s="172"/>
      <c r="C164" s="172"/>
      <c r="D164" s="172"/>
      <c r="E164" s="172"/>
      <c r="F164" s="172"/>
      <c r="G164" s="172"/>
      <c r="H164" s="172"/>
      <c r="I164" s="172"/>
      <c r="J164" s="172"/>
    </row>
    <row r="165" spans="1:10" x14ac:dyDescent="0.25">
      <c r="A165" s="172"/>
      <c r="B165" s="172"/>
      <c r="C165" s="172"/>
      <c r="D165" s="172"/>
      <c r="E165" s="172"/>
      <c r="F165" s="172"/>
      <c r="G165" s="172"/>
      <c r="H165" s="172"/>
      <c r="I165" s="172"/>
      <c r="J165" s="172"/>
    </row>
    <row r="166" spans="1:10" x14ac:dyDescent="0.25">
      <c r="A166" s="172"/>
      <c r="B166" s="172"/>
      <c r="C166" s="172"/>
      <c r="D166" s="172"/>
      <c r="E166" s="172"/>
      <c r="F166" s="172"/>
      <c r="G166" s="172"/>
      <c r="H166" s="172"/>
      <c r="I166" s="172"/>
      <c r="J166" s="172"/>
    </row>
    <row r="167" spans="1:10" x14ac:dyDescent="0.25">
      <c r="A167" s="172"/>
      <c r="B167" s="172"/>
      <c r="C167" s="172"/>
      <c r="D167" s="172"/>
      <c r="E167" s="172"/>
      <c r="F167" s="172"/>
      <c r="G167" s="172"/>
      <c r="H167" s="172"/>
      <c r="I167" s="172"/>
      <c r="J167" s="172"/>
    </row>
    <row r="168" spans="1:10" x14ac:dyDescent="0.25">
      <c r="A168" s="172"/>
      <c r="B168" s="172"/>
      <c r="C168" s="172"/>
      <c r="D168" s="172"/>
      <c r="E168" s="172"/>
      <c r="F168" s="172"/>
      <c r="G168" s="172"/>
      <c r="H168" s="172"/>
      <c r="I168" s="172"/>
      <c r="J168" s="172"/>
    </row>
    <row r="169" spans="1:10" x14ac:dyDescent="0.25">
      <c r="A169" s="172"/>
      <c r="B169" s="172"/>
      <c r="C169" s="172"/>
      <c r="D169" s="172"/>
      <c r="E169" s="172"/>
      <c r="F169" s="172"/>
      <c r="G169" s="172"/>
      <c r="H169" s="172"/>
      <c r="I169" s="172"/>
      <c r="J169" s="172"/>
    </row>
    <row r="170" spans="1:10" x14ac:dyDescent="0.25">
      <c r="A170" s="172"/>
      <c r="B170" s="172"/>
      <c r="C170" s="172"/>
      <c r="D170" s="172"/>
      <c r="E170" s="172"/>
      <c r="F170" s="172"/>
      <c r="G170" s="172"/>
      <c r="H170" s="172"/>
      <c r="I170" s="172"/>
      <c r="J170" s="172"/>
    </row>
    <row r="171" spans="1:10" x14ac:dyDescent="0.25">
      <c r="A171" s="172"/>
      <c r="B171" s="172"/>
      <c r="C171" s="172"/>
      <c r="D171" s="172"/>
      <c r="E171" s="172"/>
      <c r="F171" s="172"/>
      <c r="G171" s="172"/>
      <c r="H171" s="172"/>
      <c r="I171" s="172"/>
      <c r="J171" s="172"/>
    </row>
    <row r="172" spans="1:10" x14ac:dyDescent="0.25">
      <c r="A172" s="172"/>
      <c r="B172" s="172"/>
      <c r="C172" s="172"/>
      <c r="D172" s="172"/>
      <c r="E172" s="172"/>
      <c r="F172" s="172"/>
      <c r="G172" s="172"/>
      <c r="H172" s="172"/>
      <c r="I172" s="172"/>
      <c r="J172" s="172"/>
    </row>
    <row r="173" spans="1:10" x14ac:dyDescent="0.25">
      <c r="A173" s="172"/>
      <c r="B173" s="172"/>
      <c r="C173" s="172"/>
      <c r="D173" s="172"/>
      <c r="E173" s="172"/>
      <c r="F173" s="172"/>
      <c r="G173" s="172"/>
      <c r="H173" s="172"/>
      <c r="I173" s="172"/>
      <c r="J173" s="172"/>
    </row>
    <row r="174" spans="1:10" x14ac:dyDescent="0.25">
      <c r="A174" s="172"/>
      <c r="B174" s="172"/>
      <c r="C174" s="172"/>
      <c r="D174" s="172"/>
      <c r="E174" s="172"/>
      <c r="F174" s="172"/>
      <c r="G174" s="172"/>
      <c r="H174" s="172"/>
      <c r="I174" s="172"/>
      <c r="J174" s="172"/>
    </row>
    <row r="175" spans="1:10" x14ac:dyDescent="0.25">
      <c r="A175" s="172"/>
      <c r="B175" s="172"/>
      <c r="C175" s="172"/>
      <c r="D175" s="172"/>
      <c r="E175" s="172"/>
      <c r="F175" s="172"/>
      <c r="G175" s="172"/>
      <c r="H175" s="172"/>
      <c r="I175" s="172"/>
      <c r="J175" s="172"/>
    </row>
    <row r="176" spans="1:10" x14ac:dyDescent="0.25">
      <c r="A176" s="172"/>
      <c r="B176" s="172"/>
      <c r="C176" s="172"/>
      <c r="D176" s="172"/>
      <c r="E176" s="172"/>
      <c r="F176" s="172"/>
      <c r="G176" s="172"/>
      <c r="H176" s="172"/>
      <c r="I176" s="172"/>
      <c r="J176" s="172"/>
    </row>
    <row r="177" spans="1:10" x14ac:dyDescent="0.25">
      <c r="A177" s="172"/>
      <c r="B177" s="172"/>
      <c r="C177" s="172"/>
      <c r="D177" s="172"/>
      <c r="E177" s="172"/>
      <c r="F177" s="172"/>
      <c r="G177" s="172"/>
      <c r="H177" s="172"/>
      <c r="I177" s="172"/>
      <c r="J177" s="172"/>
    </row>
    <row r="178" spans="1:10" x14ac:dyDescent="0.25">
      <c r="A178" s="172"/>
      <c r="B178" s="172"/>
      <c r="C178" s="172"/>
      <c r="D178" s="172"/>
      <c r="E178" s="172"/>
      <c r="F178" s="172"/>
      <c r="G178" s="172"/>
      <c r="H178" s="172"/>
      <c r="I178" s="172"/>
      <c r="J178" s="172"/>
    </row>
    <row r="179" spans="1:10" x14ac:dyDescent="0.25">
      <c r="A179" s="172"/>
      <c r="B179" s="172"/>
      <c r="C179" s="172"/>
      <c r="D179" s="172"/>
      <c r="E179" s="172"/>
      <c r="F179" s="172"/>
      <c r="G179" s="172"/>
      <c r="H179" s="172"/>
      <c r="I179" s="172"/>
      <c r="J179" s="172"/>
    </row>
    <row r="180" spans="1:10" x14ac:dyDescent="0.25">
      <c r="A180" s="172"/>
      <c r="B180" s="172"/>
      <c r="C180" s="172"/>
      <c r="D180" s="172"/>
      <c r="E180" s="172"/>
      <c r="F180" s="172"/>
      <c r="G180" s="172"/>
      <c r="H180" s="172"/>
      <c r="I180" s="172"/>
      <c r="J180" s="172"/>
    </row>
    <row r="181" spans="1:10" x14ac:dyDescent="0.25">
      <c r="A181" s="172"/>
      <c r="B181" s="172"/>
      <c r="C181" s="172"/>
      <c r="D181" s="172"/>
      <c r="E181" s="172"/>
      <c r="F181" s="172"/>
      <c r="G181" s="172"/>
      <c r="H181" s="172"/>
      <c r="I181" s="172"/>
      <c r="J181" s="172"/>
    </row>
    <row r="182" spans="1:10" x14ac:dyDescent="0.25">
      <c r="A182" s="172"/>
      <c r="B182" s="172"/>
      <c r="C182" s="172"/>
      <c r="D182" s="172"/>
      <c r="E182" s="172"/>
      <c r="F182" s="172"/>
      <c r="G182" s="172"/>
      <c r="H182" s="172"/>
      <c r="I182" s="172"/>
      <c r="J182" s="172"/>
    </row>
    <row r="183" spans="1:10" x14ac:dyDescent="0.25">
      <c r="A183" s="172"/>
      <c r="B183" s="172"/>
      <c r="C183" s="172"/>
      <c r="D183" s="172"/>
      <c r="E183" s="172"/>
      <c r="F183" s="172"/>
      <c r="G183" s="172"/>
      <c r="H183" s="172"/>
      <c r="I183" s="172"/>
      <c r="J183" s="172"/>
    </row>
    <row r="184" spans="1:10" x14ac:dyDescent="0.25">
      <c r="A184" s="172"/>
      <c r="B184" s="172"/>
      <c r="C184" s="172"/>
      <c r="D184" s="172"/>
      <c r="E184" s="172"/>
      <c r="F184" s="172"/>
      <c r="G184" s="172"/>
      <c r="H184" s="172"/>
      <c r="I184" s="172"/>
      <c r="J184" s="172"/>
    </row>
    <row r="185" spans="1:10" x14ac:dyDescent="0.25">
      <c r="A185" s="172"/>
      <c r="B185" s="172"/>
      <c r="C185" s="172"/>
      <c r="D185" s="172"/>
      <c r="E185" s="172"/>
      <c r="F185" s="172"/>
      <c r="G185" s="172"/>
      <c r="H185" s="172"/>
      <c r="I185" s="172"/>
      <c r="J185" s="172"/>
    </row>
    <row r="186" spans="1:10" x14ac:dyDescent="0.25">
      <c r="A186" s="172"/>
      <c r="B186" s="172"/>
      <c r="C186" s="172"/>
      <c r="D186" s="172"/>
      <c r="E186" s="172"/>
      <c r="F186" s="172"/>
      <c r="G186" s="172"/>
      <c r="H186" s="172"/>
      <c r="I186" s="172"/>
      <c r="J186" s="172"/>
    </row>
    <row r="187" spans="1:10" x14ac:dyDescent="0.25">
      <c r="A187" s="172"/>
      <c r="B187" s="172"/>
      <c r="C187" s="172"/>
      <c r="D187" s="172"/>
      <c r="E187" s="172"/>
      <c r="F187" s="172"/>
      <c r="G187" s="172"/>
      <c r="H187" s="172"/>
      <c r="I187" s="172"/>
      <c r="J187" s="172"/>
    </row>
    <row r="188" spans="1:10" x14ac:dyDescent="0.25">
      <c r="A188" s="172"/>
      <c r="B188" s="172"/>
      <c r="C188" s="172"/>
      <c r="D188" s="172"/>
      <c r="E188" s="172"/>
      <c r="F188" s="172"/>
      <c r="G188" s="172"/>
      <c r="H188" s="172"/>
      <c r="I188" s="172"/>
      <c r="J188" s="172"/>
    </row>
    <row r="189" spans="1:10" x14ac:dyDescent="0.25">
      <c r="A189" s="172"/>
      <c r="B189" s="172"/>
      <c r="C189" s="172"/>
      <c r="D189" s="172"/>
      <c r="E189" s="172"/>
      <c r="F189" s="172"/>
      <c r="G189" s="172"/>
      <c r="H189" s="172"/>
      <c r="I189" s="172"/>
      <c r="J189" s="172"/>
    </row>
    <row r="190" spans="1:10" x14ac:dyDescent="0.25">
      <c r="A190" s="172"/>
      <c r="B190" s="172"/>
      <c r="C190" s="172"/>
      <c r="D190" s="172"/>
      <c r="E190" s="172"/>
      <c r="F190" s="172"/>
      <c r="G190" s="172"/>
      <c r="H190" s="172"/>
      <c r="I190" s="172"/>
      <c r="J190" s="172"/>
    </row>
    <row r="191" spans="1:10" x14ac:dyDescent="0.25">
      <c r="A191" s="172"/>
      <c r="B191" s="172"/>
      <c r="C191" s="172"/>
      <c r="D191" s="172"/>
      <c r="E191" s="172"/>
      <c r="F191" s="172"/>
      <c r="G191" s="172"/>
      <c r="H191" s="172"/>
      <c r="I191" s="172"/>
      <c r="J191" s="172"/>
    </row>
    <row r="192" spans="1:10" x14ac:dyDescent="0.25">
      <c r="A192" s="172"/>
      <c r="B192" s="172"/>
      <c r="C192" s="172"/>
      <c r="D192" s="172"/>
      <c r="E192" s="172"/>
      <c r="F192" s="172"/>
      <c r="G192" s="172"/>
      <c r="H192" s="172"/>
      <c r="I192" s="172"/>
      <c r="J192" s="172"/>
    </row>
    <row r="193" spans="1:10" x14ac:dyDescent="0.25">
      <c r="A193" s="172"/>
      <c r="B193" s="172"/>
      <c r="C193" s="172"/>
      <c r="D193" s="172"/>
      <c r="E193" s="172"/>
      <c r="F193" s="172"/>
      <c r="G193" s="172"/>
      <c r="H193" s="172"/>
      <c r="I193" s="172"/>
      <c r="J193" s="172"/>
    </row>
    <row r="194" spans="1:10" x14ac:dyDescent="0.25">
      <c r="A194" s="172"/>
      <c r="B194" s="172"/>
      <c r="C194" s="172"/>
      <c r="D194" s="172"/>
      <c r="E194" s="172"/>
      <c r="F194" s="172"/>
      <c r="G194" s="172"/>
      <c r="H194" s="172"/>
      <c r="I194" s="172"/>
      <c r="J194" s="172"/>
    </row>
    <row r="195" spans="1:10" x14ac:dyDescent="0.25">
      <c r="A195" s="172"/>
      <c r="B195" s="172"/>
      <c r="C195" s="172"/>
      <c r="D195" s="172"/>
      <c r="E195" s="172"/>
      <c r="F195" s="172"/>
      <c r="G195" s="172"/>
      <c r="H195" s="172"/>
      <c r="I195" s="172"/>
      <c r="J195" s="172"/>
    </row>
    <row r="196" spans="1:10" x14ac:dyDescent="0.25">
      <c r="A196" s="172"/>
      <c r="B196" s="172"/>
      <c r="C196" s="172"/>
      <c r="D196" s="172"/>
      <c r="E196" s="172"/>
      <c r="F196" s="172"/>
      <c r="G196" s="172"/>
      <c r="H196" s="172"/>
      <c r="I196" s="172"/>
      <c r="J196" s="172"/>
    </row>
    <row r="197" spans="1:10" x14ac:dyDescent="0.25">
      <c r="A197" s="172"/>
      <c r="B197" s="172"/>
      <c r="C197" s="172"/>
      <c r="D197" s="172"/>
      <c r="E197" s="172"/>
      <c r="F197" s="172"/>
      <c r="G197" s="172"/>
      <c r="H197" s="172"/>
      <c r="I197" s="172"/>
      <c r="J197" s="172"/>
    </row>
    <row r="198" spans="1:10" x14ac:dyDescent="0.25">
      <c r="A198" s="172"/>
      <c r="B198" s="172"/>
      <c r="C198" s="172"/>
      <c r="D198" s="172"/>
      <c r="E198" s="172"/>
      <c r="F198" s="172"/>
      <c r="G198" s="172"/>
      <c r="H198" s="172"/>
      <c r="I198" s="172"/>
      <c r="J198" s="172"/>
    </row>
    <row r="199" spans="1:10" x14ac:dyDescent="0.25">
      <c r="A199" s="172"/>
      <c r="B199" s="172"/>
      <c r="C199" s="172"/>
      <c r="D199" s="172"/>
      <c r="E199" s="172"/>
      <c r="F199" s="172"/>
      <c r="G199" s="172"/>
      <c r="H199" s="172"/>
      <c r="I199" s="172"/>
      <c r="J199" s="172"/>
    </row>
    <row r="200" spans="1:10" x14ac:dyDescent="0.25">
      <c r="A200" s="172"/>
      <c r="B200" s="172"/>
      <c r="C200" s="172"/>
      <c r="D200" s="172"/>
      <c r="E200" s="172"/>
      <c r="F200" s="172"/>
      <c r="G200" s="172"/>
      <c r="H200" s="172"/>
      <c r="I200" s="172"/>
      <c r="J200" s="172"/>
    </row>
    <row r="201" spans="1:10" x14ac:dyDescent="0.25">
      <c r="A201" s="172"/>
      <c r="B201" s="172"/>
      <c r="C201" s="172"/>
      <c r="D201" s="172"/>
      <c r="E201" s="172"/>
      <c r="F201" s="172"/>
      <c r="G201" s="172"/>
      <c r="H201" s="172"/>
      <c r="I201" s="172"/>
      <c r="J201" s="172"/>
    </row>
    <row r="202" spans="1:10" x14ac:dyDescent="0.25">
      <c r="A202" s="172"/>
      <c r="B202" s="172"/>
      <c r="C202" s="172"/>
      <c r="D202" s="172"/>
      <c r="E202" s="172"/>
      <c r="F202" s="172"/>
      <c r="G202" s="172"/>
      <c r="H202" s="172"/>
      <c r="I202" s="172"/>
      <c r="J202" s="172"/>
    </row>
    <row r="203" spans="1:10" x14ac:dyDescent="0.25">
      <c r="A203" s="172"/>
      <c r="B203" s="172"/>
      <c r="C203" s="172"/>
      <c r="D203" s="172"/>
      <c r="E203" s="172"/>
      <c r="F203" s="172"/>
      <c r="G203" s="172"/>
      <c r="H203" s="172"/>
      <c r="I203" s="172"/>
      <c r="J203" s="172"/>
    </row>
    <row r="204" spans="1:10" x14ac:dyDescent="0.25">
      <c r="A204" s="172"/>
      <c r="B204" s="172"/>
      <c r="C204" s="172"/>
      <c r="D204" s="172"/>
      <c r="E204" s="172"/>
      <c r="F204" s="172"/>
      <c r="G204" s="172"/>
      <c r="H204" s="172"/>
      <c r="I204" s="172"/>
      <c r="J204" s="172"/>
    </row>
    <row r="205" spans="1:10" x14ac:dyDescent="0.25">
      <c r="A205" s="172"/>
      <c r="B205" s="172"/>
      <c r="C205" s="172"/>
      <c r="D205" s="172"/>
      <c r="E205" s="172"/>
      <c r="F205" s="172"/>
      <c r="G205" s="172"/>
      <c r="H205" s="172"/>
      <c r="I205" s="172"/>
      <c r="J205" s="172"/>
    </row>
    <row r="206" spans="1:10" x14ac:dyDescent="0.25">
      <c r="A206" s="172"/>
      <c r="B206" s="172"/>
      <c r="C206" s="172"/>
      <c r="D206" s="172"/>
      <c r="E206" s="172"/>
      <c r="F206" s="172"/>
      <c r="G206" s="172"/>
      <c r="H206" s="172"/>
      <c r="I206" s="172"/>
      <c r="J206" s="172"/>
    </row>
    <row r="207" spans="1:10" x14ac:dyDescent="0.25">
      <c r="A207" s="172"/>
      <c r="B207" s="172"/>
      <c r="C207" s="172"/>
      <c r="D207" s="172"/>
      <c r="E207" s="172"/>
      <c r="F207" s="172"/>
      <c r="G207" s="172"/>
      <c r="H207" s="172"/>
      <c r="I207" s="172"/>
      <c r="J207" s="172"/>
    </row>
    <row r="208" spans="1:10" x14ac:dyDescent="0.25">
      <c r="A208" s="172"/>
      <c r="B208" s="172"/>
      <c r="C208" s="172"/>
      <c r="D208" s="172"/>
      <c r="E208" s="172"/>
      <c r="F208" s="172"/>
      <c r="G208" s="172"/>
      <c r="H208" s="172"/>
      <c r="I208" s="172"/>
      <c r="J208" s="172"/>
    </row>
    <row r="209" spans="1:10" x14ac:dyDescent="0.25">
      <c r="A209" s="172"/>
      <c r="B209" s="172"/>
      <c r="C209" s="172"/>
      <c r="D209" s="172"/>
      <c r="E209" s="172"/>
      <c r="F209" s="172"/>
      <c r="G209" s="172"/>
      <c r="H209" s="172"/>
      <c r="I209" s="172"/>
      <c r="J209" s="172"/>
    </row>
    <row r="210" spans="1:10" x14ac:dyDescent="0.25">
      <c r="A210" s="172"/>
      <c r="B210" s="172"/>
      <c r="C210" s="172"/>
      <c r="D210" s="172"/>
      <c r="E210" s="172"/>
      <c r="F210" s="172"/>
      <c r="G210" s="172"/>
      <c r="H210" s="172"/>
      <c r="I210" s="172"/>
      <c r="J210" s="172"/>
    </row>
    <row r="211" spans="1:10" x14ac:dyDescent="0.25">
      <c r="A211" s="172"/>
      <c r="B211" s="172"/>
      <c r="C211" s="172"/>
      <c r="D211" s="172"/>
      <c r="E211" s="172"/>
      <c r="F211" s="172"/>
      <c r="G211" s="172"/>
      <c r="H211" s="172"/>
      <c r="I211" s="172"/>
      <c r="J211" s="172"/>
    </row>
    <row r="212" spans="1:10" x14ac:dyDescent="0.25">
      <c r="A212" s="172"/>
      <c r="B212" s="172"/>
      <c r="C212" s="172"/>
      <c r="D212" s="172"/>
      <c r="E212" s="172"/>
      <c r="F212" s="172"/>
      <c r="G212" s="172"/>
      <c r="H212" s="172"/>
      <c r="I212" s="172"/>
      <c r="J212" s="172"/>
    </row>
    <row r="213" spans="1:10" x14ac:dyDescent="0.25">
      <c r="A213" s="172"/>
      <c r="B213" s="172"/>
      <c r="C213" s="172"/>
      <c r="D213" s="172"/>
      <c r="E213" s="172"/>
      <c r="F213" s="172"/>
      <c r="G213" s="172"/>
      <c r="H213" s="172"/>
      <c r="I213" s="172"/>
      <c r="J213" s="172"/>
    </row>
    <row r="214" spans="1:10" x14ac:dyDescent="0.25">
      <c r="A214" s="172"/>
      <c r="B214" s="172"/>
      <c r="C214" s="172"/>
      <c r="D214" s="172"/>
      <c r="E214" s="172"/>
      <c r="F214" s="172"/>
      <c r="G214" s="172"/>
      <c r="H214" s="172"/>
      <c r="I214" s="172"/>
      <c r="J214" s="172"/>
    </row>
    <row r="215" spans="1:10" x14ac:dyDescent="0.25">
      <c r="A215" s="172"/>
      <c r="B215" s="172"/>
      <c r="C215" s="172"/>
      <c r="D215" s="172"/>
      <c r="E215" s="172"/>
      <c r="F215" s="172"/>
      <c r="G215" s="172"/>
      <c r="H215" s="172"/>
      <c r="I215" s="172"/>
      <c r="J215" s="172"/>
    </row>
    <row r="216" spans="1:10" x14ac:dyDescent="0.25">
      <c r="A216" s="172"/>
      <c r="B216" s="172"/>
      <c r="C216" s="172"/>
      <c r="D216" s="172"/>
      <c r="E216" s="172"/>
      <c r="F216" s="172"/>
      <c r="G216" s="172"/>
      <c r="H216" s="172"/>
      <c r="I216" s="172"/>
      <c r="J216" s="172"/>
    </row>
    <row r="217" spans="1:10" x14ac:dyDescent="0.25">
      <c r="A217" s="172"/>
      <c r="B217" s="172"/>
      <c r="C217" s="172"/>
      <c r="D217" s="172"/>
      <c r="E217" s="172"/>
      <c r="F217" s="172"/>
      <c r="G217" s="172"/>
      <c r="H217" s="172"/>
      <c r="I217" s="172"/>
      <c r="J217" s="172"/>
    </row>
    <row r="218" spans="1:10" x14ac:dyDescent="0.25">
      <c r="A218" s="172"/>
      <c r="B218" s="172"/>
      <c r="C218" s="172"/>
      <c r="D218" s="172"/>
      <c r="E218" s="172"/>
      <c r="F218" s="172"/>
      <c r="G218" s="172"/>
      <c r="H218" s="172"/>
      <c r="I218" s="172"/>
      <c r="J218" s="172"/>
    </row>
    <row r="219" spans="1:10" x14ac:dyDescent="0.25">
      <c r="A219" s="172"/>
      <c r="B219" s="172"/>
      <c r="C219" s="172"/>
      <c r="D219" s="172"/>
      <c r="E219" s="172"/>
      <c r="F219" s="172"/>
      <c r="G219" s="172"/>
      <c r="H219" s="172"/>
      <c r="I219" s="172"/>
      <c r="J219" s="172"/>
    </row>
    <row r="220" spans="1:10" x14ac:dyDescent="0.25">
      <c r="A220" s="172"/>
      <c r="B220" s="172"/>
      <c r="C220" s="172"/>
      <c r="D220" s="172"/>
      <c r="E220" s="172"/>
      <c r="F220" s="172"/>
      <c r="G220" s="172"/>
      <c r="H220" s="172"/>
      <c r="I220" s="172"/>
      <c r="J220" s="172"/>
    </row>
    <row r="221" spans="1:10" x14ac:dyDescent="0.25">
      <c r="A221" s="172"/>
      <c r="B221" s="172"/>
      <c r="C221" s="172"/>
      <c r="D221" s="172"/>
      <c r="E221" s="172"/>
      <c r="F221" s="172"/>
      <c r="G221" s="172"/>
      <c r="H221" s="172"/>
      <c r="I221" s="172"/>
      <c r="J221" s="172"/>
    </row>
    <row r="222" spans="1:10" x14ac:dyDescent="0.25">
      <c r="A222" s="172"/>
      <c r="B222" s="172"/>
      <c r="C222" s="172"/>
      <c r="D222" s="172"/>
      <c r="E222" s="172"/>
      <c r="F222" s="172"/>
      <c r="G222" s="172"/>
      <c r="H222" s="172"/>
      <c r="I222" s="172"/>
      <c r="J222" s="172"/>
    </row>
    <row r="223" spans="1:10" x14ac:dyDescent="0.25">
      <c r="A223" s="172"/>
      <c r="B223" s="172"/>
      <c r="C223" s="172"/>
      <c r="D223" s="172"/>
      <c r="E223" s="172"/>
      <c r="F223" s="172"/>
      <c r="G223" s="172"/>
      <c r="H223" s="172"/>
      <c r="I223" s="172"/>
      <c r="J223" s="172"/>
    </row>
    <row r="224" spans="1:10" x14ac:dyDescent="0.25">
      <c r="A224" s="172"/>
      <c r="B224" s="172"/>
      <c r="C224" s="172"/>
      <c r="D224" s="172"/>
      <c r="E224" s="172"/>
      <c r="F224" s="172"/>
      <c r="G224" s="172"/>
      <c r="H224" s="172"/>
      <c r="I224" s="172"/>
      <c r="J224" s="172"/>
    </row>
    <row r="225" spans="1:10" x14ac:dyDescent="0.25">
      <c r="A225" s="172"/>
      <c r="B225" s="172"/>
      <c r="C225" s="172"/>
      <c r="D225" s="172"/>
      <c r="E225" s="172"/>
      <c r="F225" s="172"/>
      <c r="G225" s="172"/>
      <c r="H225" s="172"/>
      <c r="I225" s="172"/>
      <c r="J225" s="172"/>
    </row>
    <row r="226" spans="1:10" x14ac:dyDescent="0.25">
      <c r="A226" s="172"/>
      <c r="B226" s="172"/>
      <c r="C226" s="172"/>
      <c r="D226" s="172"/>
      <c r="E226" s="172"/>
      <c r="F226" s="172"/>
      <c r="G226" s="172"/>
      <c r="H226" s="172"/>
      <c r="I226" s="172"/>
      <c r="J226" s="172"/>
    </row>
    <row r="227" spans="1:10" x14ac:dyDescent="0.25">
      <c r="A227" s="172"/>
      <c r="B227" s="172"/>
      <c r="C227" s="172"/>
      <c r="D227" s="172"/>
      <c r="E227" s="172"/>
      <c r="F227" s="172"/>
      <c r="G227" s="172"/>
      <c r="H227" s="172"/>
      <c r="I227" s="172"/>
      <c r="J227" s="172"/>
    </row>
    <row r="228" spans="1:10" x14ac:dyDescent="0.25">
      <c r="A228" s="172"/>
      <c r="B228" s="172"/>
      <c r="C228" s="172"/>
      <c r="D228" s="172"/>
      <c r="E228" s="172"/>
      <c r="F228" s="172"/>
      <c r="G228" s="172"/>
      <c r="H228" s="172"/>
      <c r="I228" s="172"/>
      <c r="J228" s="172"/>
    </row>
    <row r="229" spans="1:10" x14ac:dyDescent="0.25">
      <c r="A229" s="172"/>
      <c r="B229" s="172"/>
      <c r="C229" s="172"/>
      <c r="D229" s="172"/>
      <c r="E229" s="172"/>
      <c r="F229" s="172"/>
      <c r="G229" s="172"/>
      <c r="H229" s="172"/>
      <c r="I229" s="172"/>
      <c r="J229" s="172"/>
    </row>
    <row r="230" spans="1:10" x14ac:dyDescent="0.25">
      <c r="A230" s="172"/>
      <c r="B230" s="172"/>
      <c r="C230" s="172"/>
      <c r="D230" s="172"/>
      <c r="E230" s="172"/>
      <c r="F230" s="172"/>
      <c r="G230" s="172"/>
      <c r="H230" s="172"/>
      <c r="I230" s="172"/>
      <c r="J230" s="172"/>
    </row>
    <row r="231" spans="1:10" x14ac:dyDescent="0.25">
      <c r="A231" s="172"/>
      <c r="B231" s="172"/>
      <c r="C231" s="172"/>
      <c r="D231" s="172"/>
      <c r="E231" s="172"/>
      <c r="F231" s="172"/>
      <c r="G231" s="172"/>
      <c r="H231" s="172"/>
      <c r="I231" s="172"/>
      <c r="J231" s="172"/>
    </row>
    <row r="232" spans="1:10" x14ac:dyDescent="0.25">
      <c r="A232" s="172"/>
      <c r="B232" s="172"/>
      <c r="C232" s="172"/>
      <c r="D232" s="172"/>
      <c r="E232" s="172"/>
      <c r="F232" s="172"/>
      <c r="G232" s="172"/>
      <c r="H232" s="172"/>
      <c r="I232" s="172"/>
      <c r="J232" s="172"/>
    </row>
    <row r="233" spans="1:10" x14ac:dyDescent="0.25">
      <c r="A233" s="172"/>
      <c r="B233" s="172"/>
      <c r="C233" s="172"/>
      <c r="D233" s="172"/>
      <c r="E233" s="172"/>
      <c r="F233" s="172"/>
      <c r="G233" s="172"/>
      <c r="H233" s="172"/>
      <c r="I233" s="172"/>
      <c r="J233" s="172"/>
    </row>
    <row r="234" spans="1:10" x14ac:dyDescent="0.25">
      <c r="A234" s="172"/>
      <c r="B234" s="172"/>
      <c r="C234" s="172"/>
      <c r="D234" s="172"/>
      <c r="E234" s="172"/>
      <c r="F234" s="172"/>
      <c r="G234" s="172"/>
      <c r="H234" s="172"/>
      <c r="I234" s="172"/>
      <c r="J234" s="172"/>
    </row>
    <row r="235" spans="1:10" x14ac:dyDescent="0.25">
      <c r="A235" s="172"/>
      <c r="B235" s="172"/>
      <c r="C235" s="172"/>
      <c r="D235" s="172"/>
      <c r="E235" s="172"/>
      <c r="F235" s="172"/>
      <c r="G235" s="172"/>
      <c r="H235" s="172"/>
      <c r="I235" s="172"/>
      <c r="J235" s="172"/>
    </row>
    <row r="236" spans="1:10" x14ac:dyDescent="0.25">
      <c r="A236" s="172"/>
      <c r="B236" s="172"/>
      <c r="C236" s="172"/>
      <c r="D236" s="172"/>
      <c r="E236" s="172"/>
      <c r="F236" s="172"/>
      <c r="G236" s="172"/>
      <c r="H236" s="172"/>
      <c r="I236" s="172"/>
      <c r="J236" s="172"/>
    </row>
    <row r="237" spans="1:10" x14ac:dyDescent="0.25">
      <c r="A237" s="172"/>
      <c r="B237" s="172"/>
      <c r="C237" s="172"/>
      <c r="D237" s="172"/>
      <c r="E237" s="172"/>
      <c r="F237" s="172"/>
      <c r="G237" s="172"/>
      <c r="H237" s="172"/>
      <c r="I237" s="172"/>
      <c r="J237" s="172"/>
    </row>
    <row r="238" spans="1:10" x14ac:dyDescent="0.25">
      <c r="A238" s="172"/>
      <c r="B238" s="172"/>
      <c r="C238" s="172"/>
      <c r="D238" s="172"/>
      <c r="E238" s="172"/>
      <c r="F238" s="172"/>
      <c r="G238" s="172"/>
      <c r="H238" s="172"/>
      <c r="I238" s="172"/>
      <c r="J238" s="172"/>
    </row>
    <row r="239" spans="1:10" x14ac:dyDescent="0.25">
      <c r="A239" s="172"/>
      <c r="B239" s="172"/>
      <c r="C239" s="172"/>
      <c r="D239" s="172"/>
      <c r="E239" s="172"/>
      <c r="F239" s="172"/>
      <c r="G239" s="172"/>
      <c r="H239" s="172"/>
      <c r="I239" s="172"/>
      <c r="J239" s="172"/>
    </row>
    <row r="240" spans="1:10" x14ac:dyDescent="0.25">
      <c r="A240" s="172"/>
      <c r="B240" s="172"/>
      <c r="C240" s="172"/>
      <c r="D240" s="172"/>
      <c r="E240" s="172"/>
      <c r="F240" s="172"/>
      <c r="G240" s="172"/>
      <c r="H240" s="172"/>
      <c r="I240" s="172"/>
      <c r="J240" s="172"/>
    </row>
    <row r="241" spans="1:10" x14ac:dyDescent="0.25">
      <c r="A241" s="172"/>
      <c r="B241" s="172"/>
      <c r="C241" s="172"/>
      <c r="D241" s="172"/>
      <c r="E241" s="172"/>
      <c r="F241" s="172"/>
      <c r="G241" s="172"/>
      <c r="H241" s="172"/>
      <c r="I241" s="172"/>
      <c r="J241" s="172"/>
    </row>
    <row r="242" spans="1:10" x14ac:dyDescent="0.25">
      <c r="A242" s="172"/>
      <c r="B242" s="172"/>
      <c r="C242" s="172"/>
      <c r="D242" s="172"/>
      <c r="E242" s="172"/>
      <c r="F242" s="172"/>
      <c r="G242" s="172"/>
      <c r="H242" s="172"/>
      <c r="I242" s="172"/>
      <c r="J242" s="172"/>
    </row>
    <row r="243" spans="1:10" x14ac:dyDescent="0.25">
      <c r="A243" s="172"/>
      <c r="B243" s="172"/>
      <c r="C243" s="172"/>
      <c r="D243" s="172"/>
      <c r="E243" s="172"/>
      <c r="F243" s="172"/>
      <c r="G243" s="172"/>
      <c r="H243" s="172"/>
      <c r="I243" s="172"/>
      <c r="J243" s="172"/>
    </row>
    <row r="244" spans="1:10" x14ac:dyDescent="0.25">
      <c r="A244" s="172"/>
      <c r="B244" s="172"/>
      <c r="C244" s="172"/>
      <c r="D244" s="172"/>
      <c r="E244" s="172"/>
      <c r="F244" s="172"/>
      <c r="G244" s="172"/>
      <c r="H244" s="172"/>
      <c r="I244" s="172"/>
      <c r="J244" s="172"/>
    </row>
    <row r="245" spans="1:10" x14ac:dyDescent="0.25">
      <c r="A245" s="172"/>
      <c r="B245" s="172"/>
      <c r="C245" s="172"/>
      <c r="D245" s="172"/>
      <c r="E245" s="172"/>
      <c r="F245" s="172"/>
      <c r="G245" s="172"/>
      <c r="H245" s="172"/>
      <c r="I245" s="172"/>
      <c r="J245" s="172"/>
    </row>
    <row r="246" spans="1:10" x14ac:dyDescent="0.25">
      <c r="A246" s="172"/>
      <c r="B246" s="172"/>
      <c r="C246" s="172"/>
      <c r="D246" s="172"/>
      <c r="E246" s="172"/>
      <c r="F246" s="172"/>
      <c r="G246" s="172"/>
      <c r="H246" s="172"/>
      <c r="I246" s="172"/>
      <c r="J246" s="172"/>
    </row>
    <row r="247" spans="1:10" x14ac:dyDescent="0.25">
      <c r="A247" s="172"/>
      <c r="B247" s="172"/>
      <c r="C247" s="172"/>
      <c r="D247" s="172"/>
      <c r="E247" s="172"/>
      <c r="F247" s="172"/>
      <c r="G247" s="172"/>
      <c r="H247" s="172"/>
      <c r="I247" s="172"/>
      <c r="J247" s="172"/>
    </row>
    <row r="248" spans="1:10" x14ac:dyDescent="0.25">
      <c r="A248" s="172"/>
      <c r="B248" s="172"/>
      <c r="C248" s="172"/>
      <c r="D248" s="172"/>
      <c r="E248" s="172"/>
      <c r="F248" s="172"/>
      <c r="G248" s="172"/>
      <c r="H248" s="172"/>
      <c r="I248" s="172"/>
      <c r="J248" s="172"/>
    </row>
    <row r="249" spans="1:10" x14ac:dyDescent="0.25">
      <c r="A249" s="172"/>
      <c r="B249" s="172"/>
      <c r="C249" s="172"/>
      <c r="D249" s="172"/>
      <c r="E249" s="172"/>
      <c r="F249" s="172"/>
      <c r="G249" s="172"/>
      <c r="H249" s="172"/>
      <c r="I249" s="172"/>
      <c r="J249" s="172"/>
    </row>
    <row r="250" spans="1:10" x14ac:dyDescent="0.25">
      <c r="A250" s="172"/>
      <c r="B250" s="172"/>
      <c r="C250" s="172"/>
      <c r="D250" s="172"/>
      <c r="E250" s="172"/>
      <c r="F250" s="172"/>
      <c r="G250" s="172"/>
      <c r="H250" s="172"/>
      <c r="I250" s="172"/>
      <c r="J250" s="172"/>
    </row>
    <row r="251" spans="1:10" x14ac:dyDescent="0.25">
      <c r="A251" s="172"/>
      <c r="B251" s="172"/>
      <c r="C251" s="172"/>
      <c r="D251" s="172"/>
      <c r="E251" s="172"/>
      <c r="F251" s="172"/>
      <c r="G251" s="172"/>
      <c r="H251" s="172"/>
      <c r="I251" s="172"/>
      <c r="J251" s="172"/>
    </row>
    <row r="252" spans="1:10" x14ac:dyDescent="0.25">
      <c r="A252" s="172"/>
      <c r="B252" s="172"/>
      <c r="C252" s="172"/>
      <c r="D252" s="172"/>
      <c r="E252" s="172"/>
      <c r="F252" s="172"/>
      <c r="G252" s="172"/>
      <c r="H252" s="172"/>
      <c r="I252" s="172"/>
      <c r="J252" s="172"/>
    </row>
    <row r="253" spans="1:10" x14ac:dyDescent="0.25">
      <c r="A253" s="172"/>
      <c r="B253" s="172"/>
      <c r="C253" s="172"/>
      <c r="D253" s="172"/>
      <c r="E253" s="172"/>
      <c r="F253" s="172"/>
      <c r="G253" s="172"/>
      <c r="H253" s="172"/>
      <c r="I253" s="172"/>
      <c r="J253" s="172"/>
    </row>
    <row r="254" spans="1:10" x14ac:dyDescent="0.25">
      <c r="A254" s="172"/>
      <c r="B254" s="172"/>
      <c r="C254" s="172"/>
      <c r="D254" s="172"/>
      <c r="E254" s="172"/>
      <c r="F254" s="172"/>
      <c r="G254" s="172"/>
      <c r="H254" s="172"/>
      <c r="I254" s="172"/>
      <c r="J254" s="172"/>
    </row>
    <row r="255" spans="1:10" x14ac:dyDescent="0.25">
      <c r="A255" s="172"/>
      <c r="B255" s="172"/>
      <c r="C255" s="172"/>
      <c r="D255" s="172"/>
      <c r="E255" s="172"/>
      <c r="F255" s="172"/>
      <c r="G255" s="172"/>
      <c r="H255" s="172"/>
      <c r="I255" s="172"/>
      <c r="J255" s="172"/>
    </row>
    <row r="256" spans="1:10" x14ac:dyDescent="0.25">
      <c r="A256" s="172"/>
      <c r="B256" s="172"/>
      <c r="C256" s="172"/>
      <c r="D256" s="172"/>
      <c r="E256" s="172"/>
      <c r="F256" s="172"/>
      <c r="G256" s="172"/>
      <c r="H256" s="172"/>
      <c r="I256" s="172"/>
      <c r="J256" s="172"/>
    </row>
    <row r="257" spans="1:10" x14ac:dyDescent="0.25">
      <c r="A257" s="172"/>
      <c r="B257" s="172"/>
      <c r="C257" s="172"/>
      <c r="D257" s="172"/>
      <c r="E257" s="172"/>
      <c r="F257" s="172"/>
      <c r="G257" s="172"/>
      <c r="H257" s="172"/>
      <c r="I257" s="172"/>
      <c r="J257" s="172"/>
    </row>
    <row r="258" spans="1:10" x14ac:dyDescent="0.25">
      <c r="A258" s="172"/>
      <c r="B258" s="172"/>
      <c r="C258" s="172"/>
      <c r="D258" s="172"/>
      <c r="E258" s="172"/>
      <c r="F258" s="172"/>
      <c r="G258" s="172"/>
      <c r="H258" s="172"/>
      <c r="I258" s="172"/>
      <c r="J258" s="172"/>
    </row>
    <row r="259" spans="1:10" x14ac:dyDescent="0.25">
      <c r="A259" s="172"/>
      <c r="B259" s="172"/>
      <c r="C259" s="172"/>
      <c r="D259" s="172"/>
      <c r="E259" s="172"/>
      <c r="F259" s="172"/>
      <c r="G259" s="172"/>
      <c r="H259" s="172"/>
      <c r="I259" s="172"/>
      <c r="J259" s="172"/>
    </row>
    <row r="260" spans="1:10" x14ac:dyDescent="0.25">
      <c r="A260" s="172"/>
      <c r="B260" s="172"/>
      <c r="C260" s="172"/>
      <c r="D260" s="172"/>
      <c r="E260" s="172"/>
      <c r="F260" s="172"/>
      <c r="G260" s="172"/>
      <c r="H260" s="172"/>
      <c r="I260" s="172"/>
      <c r="J260" s="172"/>
    </row>
    <row r="261" spans="1:10" x14ac:dyDescent="0.25">
      <c r="A261" s="172"/>
      <c r="B261" s="172"/>
      <c r="C261" s="172"/>
      <c r="D261" s="172"/>
      <c r="E261" s="172"/>
      <c r="F261" s="172"/>
      <c r="G261" s="172"/>
      <c r="H261" s="172"/>
      <c r="I261" s="172"/>
      <c r="J261" s="172"/>
    </row>
    <row r="262" spans="1:10" x14ac:dyDescent="0.25">
      <c r="A262" s="172"/>
      <c r="B262" s="172"/>
      <c r="C262" s="172"/>
      <c r="D262" s="172"/>
      <c r="E262" s="172"/>
      <c r="F262" s="172"/>
      <c r="G262" s="172"/>
      <c r="H262" s="172"/>
      <c r="I262" s="172"/>
      <c r="J262" s="172"/>
    </row>
    <row r="263" spans="1:10" x14ac:dyDescent="0.25">
      <c r="A263" s="172"/>
      <c r="B263" s="172"/>
      <c r="C263" s="172"/>
      <c r="D263" s="172"/>
      <c r="E263" s="172"/>
      <c r="F263" s="172"/>
      <c r="G263" s="172"/>
      <c r="H263" s="172"/>
      <c r="I263" s="172"/>
      <c r="J263" s="172"/>
    </row>
    <row r="264" spans="1:10" x14ac:dyDescent="0.25">
      <c r="A264" s="172"/>
      <c r="B264" s="172"/>
      <c r="C264" s="172"/>
      <c r="D264" s="172"/>
      <c r="E264" s="172"/>
      <c r="F264" s="172"/>
      <c r="G264" s="172"/>
      <c r="H264" s="172"/>
      <c r="I264" s="172"/>
      <c r="J264" s="172"/>
    </row>
    <row r="265" spans="1:10" x14ac:dyDescent="0.25">
      <c r="A265" s="172"/>
      <c r="B265" s="172"/>
      <c r="C265" s="172"/>
      <c r="D265" s="172"/>
      <c r="E265" s="172"/>
      <c r="F265" s="172"/>
      <c r="G265" s="172"/>
      <c r="H265" s="172"/>
      <c r="I265" s="172"/>
      <c r="J265" s="172"/>
    </row>
    <row r="266" spans="1:10" x14ac:dyDescent="0.25">
      <c r="A266" s="172"/>
      <c r="B266" s="172"/>
      <c r="C266" s="172"/>
      <c r="D266" s="172"/>
      <c r="E266" s="172"/>
      <c r="F266" s="172"/>
      <c r="G266" s="172"/>
      <c r="H266" s="172"/>
      <c r="I266" s="172"/>
      <c r="J266" s="172"/>
    </row>
    <row r="267" spans="1:10" x14ac:dyDescent="0.25">
      <c r="A267" s="172"/>
      <c r="B267" s="172"/>
      <c r="C267" s="172"/>
      <c r="D267" s="172"/>
      <c r="E267" s="172"/>
      <c r="F267" s="172"/>
      <c r="G267" s="172"/>
      <c r="H267" s="172"/>
      <c r="I267" s="172"/>
      <c r="J267" s="172"/>
    </row>
    <row r="268" spans="1:10" x14ac:dyDescent="0.25">
      <c r="A268" s="172"/>
      <c r="B268" s="172"/>
      <c r="C268" s="172"/>
      <c r="D268" s="172"/>
      <c r="E268" s="172"/>
      <c r="F268" s="172"/>
      <c r="G268" s="172"/>
      <c r="H268" s="172"/>
      <c r="I268" s="172"/>
      <c r="J268" s="172"/>
    </row>
    <row r="269" spans="1:10" x14ac:dyDescent="0.25">
      <c r="A269" s="172"/>
      <c r="B269" s="172"/>
      <c r="C269" s="172"/>
      <c r="D269" s="172"/>
      <c r="E269" s="172"/>
      <c r="F269" s="172"/>
      <c r="G269" s="172"/>
      <c r="H269" s="172"/>
      <c r="I269" s="172"/>
      <c r="J269" s="172"/>
    </row>
    <row r="270" spans="1:10" x14ac:dyDescent="0.25">
      <c r="A270" s="172"/>
      <c r="B270" s="172"/>
      <c r="C270" s="172"/>
      <c r="D270" s="172"/>
      <c r="E270" s="172"/>
      <c r="F270" s="172"/>
      <c r="G270" s="172"/>
      <c r="H270" s="172"/>
      <c r="I270" s="172"/>
      <c r="J270" s="172"/>
    </row>
    <row r="271" spans="1:10" x14ac:dyDescent="0.25">
      <c r="A271" s="172"/>
      <c r="B271" s="172"/>
      <c r="C271" s="172"/>
      <c r="D271" s="172"/>
      <c r="E271" s="172"/>
      <c r="F271" s="172"/>
      <c r="G271" s="172"/>
      <c r="H271" s="172"/>
      <c r="I271" s="172"/>
      <c r="J271" s="172"/>
    </row>
    <row r="272" spans="1:10" x14ac:dyDescent="0.25">
      <c r="A272" s="172"/>
      <c r="B272" s="172"/>
      <c r="C272" s="172"/>
      <c r="D272" s="172"/>
      <c r="E272" s="172"/>
      <c r="F272" s="172"/>
      <c r="G272" s="172"/>
      <c r="H272" s="172"/>
      <c r="I272" s="172"/>
      <c r="J272" s="172"/>
    </row>
    <row r="273" spans="1:10" x14ac:dyDescent="0.25">
      <c r="A273" s="172"/>
      <c r="B273" s="172"/>
      <c r="C273" s="172"/>
      <c r="D273" s="172"/>
      <c r="E273" s="172"/>
      <c r="F273" s="172"/>
      <c r="G273" s="172"/>
      <c r="H273" s="172"/>
      <c r="I273" s="172"/>
      <c r="J273" s="172"/>
    </row>
    <row r="274" spans="1:10" x14ac:dyDescent="0.25">
      <c r="A274" s="172"/>
      <c r="B274" s="172"/>
      <c r="C274" s="172"/>
      <c r="D274" s="172"/>
      <c r="E274" s="172"/>
      <c r="F274" s="172"/>
      <c r="G274" s="172"/>
      <c r="H274" s="172"/>
      <c r="I274" s="172"/>
      <c r="J274" s="172"/>
    </row>
    <row r="275" spans="1:10" x14ac:dyDescent="0.25">
      <c r="A275" s="172"/>
      <c r="B275" s="172"/>
      <c r="C275" s="172"/>
      <c r="D275" s="172"/>
      <c r="E275" s="172"/>
      <c r="F275" s="172"/>
      <c r="G275" s="172"/>
      <c r="H275" s="172"/>
      <c r="I275" s="172"/>
      <c r="J275" s="172"/>
    </row>
    <row r="276" spans="1:10" x14ac:dyDescent="0.25">
      <c r="A276" s="172"/>
      <c r="B276" s="172"/>
      <c r="C276" s="172"/>
      <c r="D276" s="172"/>
      <c r="E276" s="172"/>
      <c r="F276" s="172"/>
      <c r="G276" s="172"/>
      <c r="H276" s="172"/>
      <c r="I276" s="172"/>
      <c r="J276" s="172"/>
    </row>
    <row r="277" spans="1:10" x14ac:dyDescent="0.25">
      <c r="A277" s="172"/>
      <c r="B277" s="172"/>
      <c r="C277" s="172"/>
      <c r="D277" s="172"/>
      <c r="E277" s="172"/>
      <c r="F277" s="172"/>
      <c r="G277" s="172"/>
      <c r="H277" s="172"/>
      <c r="I277" s="172"/>
      <c r="J277" s="172"/>
    </row>
    <row r="278" spans="1:10" x14ac:dyDescent="0.25">
      <c r="A278" s="172"/>
      <c r="B278" s="172"/>
      <c r="C278" s="172"/>
      <c r="D278" s="172"/>
      <c r="E278" s="172"/>
      <c r="F278" s="172"/>
      <c r="G278" s="172"/>
      <c r="H278" s="172"/>
      <c r="I278" s="172"/>
      <c r="J278" s="172"/>
    </row>
    <row r="279" spans="1:10" x14ac:dyDescent="0.25">
      <c r="A279" s="172"/>
      <c r="B279" s="172"/>
      <c r="C279" s="172"/>
      <c r="D279" s="172"/>
      <c r="E279" s="172"/>
      <c r="F279" s="172"/>
      <c r="G279" s="172"/>
      <c r="H279" s="172"/>
      <c r="I279" s="172"/>
      <c r="J279" s="172"/>
    </row>
    <row r="280" spans="1:10" x14ac:dyDescent="0.25">
      <c r="A280" s="172"/>
      <c r="B280" s="172"/>
      <c r="C280" s="172"/>
      <c r="D280" s="172"/>
      <c r="E280" s="172"/>
      <c r="F280" s="172"/>
      <c r="G280" s="172"/>
      <c r="H280" s="172"/>
      <c r="I280" s="172"/>
      <c r="J280" s="172"/>
    </row>
    <row r="281" spans="1:10" x14ac:dyDescent="0.25">
      <c r="A281" s="172"/>
      <c r="B281" s="172"/>
      <c r="C281" s="172"/>
      <c r="D281" s="172"/>
      <c r="E281" s="172"/>
      <c r="F281" s="172"/>
      <c r="G281" s="172"/>
      <c r="H281" s="172"/>
      <c r="I281" s="172"/>
      <c r="J281" s="172"/>
    </row>
    <row r="282" spans="1:10" x14ac:dyDescent="0.25">
      <c r="A282" s="172"/>
      <c r="B282" s="172"/>
      <c r="C282" s="172"/>
      <c r="D282" s="172"/>
      <c r="E282" s="172"/>
      <c r="F282" s="172"/>
      <c r="G282" s="172"/>
      <c r="H282" s="172"/>
      <c r="I282" s="172"/>
      <c r="J282" s="172"/>
    </row>
    <row r="283" spans="1:10" x14ac:dyDescent="0.25">
      <c r="A283" s="172"/>
      <c r="B283" s="172"/>
      <c r="C283" s="172"/>
      <c r="D283" s="172"/>
      <c r="E283" s="172"/>
      <c r="F283" s="172"/>
      <c r="G283" s="172"/>
      <c r="H283" s="172"/>
      <c r="I283" s="172"/>
      <c r="J283" s="172"/>
    </row>
    <row r="284" spans="1:10" x14ac:dyDescent="0.25">
      <c r="A284" s="172"/>
      <c r="B284" s="172"/>
      <c r="C284" s="172"/>
      <c r="D284" s="172"/>
      <c r="E284" s="172"/>
      <c r="F284" s="172"/>
      <c r="G284" s="172"/>
      <c r="H284" s="172"/>
      <c r="I284" s="172"/>
      <c r="J284" s="172"/>
    </row>
    <row r="285" spans="1:10" x14ac:dyDescent="0.25">
      <c r="A285" s="172"/>
      <c r="B285" s="172"/>
      <c r="C285" s="172"/>
      <c r="D285" s="172"/>
      <c r="E285" s="172"/>
      <c r="F285" s="172"/>
      <c r="G285" s="172"/>
      <c r="H285" s="172"/>
      <c r="I285" s="172"/>
      <c r="J285" s="172"/>
    </row>
    <row r="286" spans="1:10" x14ac:dyDescent="0.25">
      <c r="A286" s="172"/>
      <c r="B286" s="172"/>
      <c r="C286" s="172"/>
      <c r="D286" s="172"/>
      <c r="E286" s="172"/>
      <c r="F286" s="172"/>
      <c r="G286" s="172"/>
      <c r="H286" s="172"/>
      <c r="I286" s="172"/>
      <c r="J286" s="172"/>
    </row>
    <row r="287" spans="1:10" x14ac:dyDescent="0.25">
      <c r="A287" s="172"/>
      <c r="B287" s="172"/>
      <c r="C287" s="172"/>
      <c r="D287" s="172"/>
      <c r="E287" s="172"/>
      <c r="F287" s="172"/>
      <c r="G287" s="172"/>
      <c r="H287" s="172"/>
      <c r="I287" s="172"/>
      <c r="J287" s="172"/>
    </row>
    <row r="288" spans="1:10" x14ac:dyDescent="0.25">
      <c r="A288" s="172"/>
      <c r="B288" s="172"/>
      <c r="C288" s="172"/>
      <c r="D288" s="172"/>
      <c r="E288" s="172"/>
      <c r="F288" s="172"/>
      <c r="G288" s="172"/>
      <c r="H288" s="172"/>
      <c r="I288" s="172"/>
      <c r="J288" s="172"/>
    </row>
    <row r="289" spans="1:10" x14ac:dyDescent="0.25">
      <c r="A289" s="172"/>
      <c r="B289" s="172"/>
      <c r="C289" s="172"/>
      <c r="D289" s="172"/>
      <c r="E289" s="172"/>
      <c r="F289" s="172"/>
      <c r="G289" s="172"/>
      <c r="H289" s="172"/>
      <c r="I289" s="172"/>
      <c r="J289" s="172"/>
    </row>
    <row r="290" spans="1:10" x14ac:dyDescent="0.25">
      <c r="A290" s="172"/>
      <c r="B290" s="172"/>
      <c r="C290" s="172"/>
      <c r="D290" s="172"/>
      <c r="E290" s="172"/>
      <c r="F290" s="172"/>
      <c r="G290" s="172"/>
      <c r="H290" s="172"/>
      <c r="I290" s="172"/>
      <c r="J290" s="172"/>
    </row>
    <row r="291" spans="1:10" x14ac:dyDescent="0.25">
      <c r="A291" s="172"/>
      <c r="B291" s="172"/>
      <c r="C291" s="172"/>
      <c r="D291" s="172"/>
      <c r="E291" s="172"/>
      <c r="F291" s="172"/>
      <c r="G291" s="172"/>
      <c r="H291" s="172"/>
      <c r="I291" s="172"/>
      <c r="J291" s="172"/>
    </row>
    <row r="292" spans="1:10" x14ac:dyDescent="0.25">
      <c r="A292" s="172"/>
      <c r="B292" s="172"/>
      <c r="C292" s="172"/>
      <c r="D292" s="172"/>
      <c r="E292" s="172"/>
      <c r="F292" s="172"/>
      <c r="G292" s="172"/>
      <c r="H292" s="172"/>
      <c r="I292" s="172"/>
      <c r="J292" s="172"/>
    </row>
    <row r="293" spans="1:10" x14ac:dyDescent="0.25">
      <c r="A293" s="172"/>
      <c r="B293" s="172"/>
      <c r="C293" s="172"/>
      <c r="D293" s="172"/>
      <c r="E293" s="172"/>
      <c r="F293" s="172"/>
      <c r="G293" s="172"/>
      <c r="H293" s="172"/>
      <c r="I293" s="172"/>
      <c r="J293" s="172"/>
    </row>
    <row r="294" spans="1:10" x14ac:dyDescent="0.25">
      <c r="A294" s="172"/>
      <c r="B294" s="172"/>
      <c r="C294" s="172"/>
      <c r="D294" s="172"/>
      <c r="E294" s="172"/>
      <c r="F294" s="172"/>
      <c r="G294" s="172"/>
      <c r="H294" s="172"/>
      <c r="I294" s="172"/>
      <c r="J294" s="172"/>
    </row>
    <row r="295" spans="1:10" x14ac:dyDescent="0.25">
      <c r="A295" s="172"/>
      <c r="B295" s="172"/>
      <c r="C295" s="172"/>
      <c r="D295" s="172"/>
      <c r="E295" s="172"/>
      <c r="F295" s="172"/>
      <c r="G295" s="172"/>
      <c r="H295" s="172"/>
      <c r="I295" s="172"/>
      <c r="J295" s="172"/>
    </row>
    <row r="296" spans="1:10" x14ac:dyDescent="0.25">
      <c r="A296" s="172"/>
      <c r="B296" s="172"/>
      <c r="C296" s="172"/>
      <c r="D296" s="172"/>
      <c r="E296" s="172"/>
      <c r="F296" s="172"/>
      <c r="G296" s="172"/>
      <c r="H296" s="172"/>
      <c r="I296" s="172"/>
      <c r="J296" s="172"/>
    </row>
    <row r="297" spans="1:10" x14ac:dyDescent="0.25">
      <c r="A297" s="172"/>
      <c r="B297" s="172"/>
      <c r="C297" s="172"/>
      <c r="D297" s="172"/>
      <c r="E297" s="172"/>
      <c r="F297" s="172"/>
      <c r="G297" s="172"/>
      <c r="H297" s="172"/>
      <c r="I297" s="172"/>
      <c r="J297" s="172"/>
    </row>
    <row r="298" spans="1:10" x14ac:dyDescent="0.25">
      <c r="A298" s="172"/>
      <c r="B298" s="172"/>
      <c r="C298" s="172"/>
      <c r="D298" s="172"/>
      <c r="E298" s="172"/>
      <c r="F298" s="172"/>
      <c r="G298" s="172"/>
      <c r="H298" s="172"/>
      <c r="I298" s="172"/>
      <c r="J298" s="172"/>
    </row>
    <row r="299" spans="1:10" x14ac:dyDescent="0.25">
      <c r="A299" s="172"/>
      <c r="B299" s="172"/>
      <c r="C299" s="172"/>
      <c r="D299" s="172"/>
      <c r="E299" s="172"/>
      <c r="F299" s="172"/>
      <c r="G299" s="172"/>
      <c r="H299" s="172"/>
      <c r="I299" s="172"/>
      <c r="J299" s="172"/>
    </row>
    <row r="300" spans="1:10" x14ac:dyDescent="0.25">
      <c r="A300" s="172"/>
      <c r="B300" s="172"/>
      <c r="C300" s="172"/>
      <c r="D300" s="172"/>
      <c r="E300" s="172"/>
      <c r="F300" s="172"/>
      <c r="G300" s="172"/>
      <c r="H300" s="172"/>
      <c r="I300" s="172"/>
      <c r="J300" s="172"/>
    </row>
    <row r="301" spans="1:10" x14ac:dyDescent="0.25">
      <c r="A301" s="172"/>
      <c r="B301" s="172"/>
      <c r="C301" s="172"/>
      <c r="D301" s="172"/>
      <c r="E301" s="172"/>
      <c r="F301" s="172"/>
      <c r="G301" s="172"/>
      <c r="H301" s="172"/>
      <c r="I301" s="172"/>
      <c r="J301" s="172"/>
    </row>
    <row r="302" spans="1:10" x14ac:dyDescent="0.25">
      <c r="A302" s="172"/>
      <c r="B302" s="172"/>
      <c r="C302" s="172"/>
      <c r="D302" s="172"/>
      <c r="E302" s="172"/>
      <c r="F302" s="172"/>
      <c r="G302" s="172"/>
      <c r="H302" s="172"/>
      <c r="I302" s="172"/>
      <c r="J302" s="172"/>
    </row>
    <row r="303" spans="1:10" x14ac:dyDescent="0.25">
      <c r="A303" s="172"/>
      <c r="B303" s="172"/>
      <c r="C303" s="172"/>
      <c r="D303" s="172"/>
      <c r="E303" s="172"/>
      <c r="F303" s="172"/>
      <c r="G303" s="172"/>
      <c r="H303" s="172"/>
      <c r="I303" s="172"/>
      <c r="J303" s="172"/>
    </row>
    <row r="304" spans="1:10" x14ac:dyDescent="0.25">
      <c r="A304" s="172"/>
      <c r="B304" s="172"/>
      <c r="C304" s="172"/>
      <c r="D304" s="172"/>
      <c r="E304" s="172"/>
      <c r="F304" s="172"/>
      <c r="G304" s="172"/>
      <c r="H304" s="172"/>
      <c r="I304" s="172"/>
      <c r="J304" s="172"/>
    </row>
    <row r="305" spans="1:10" x14ac:dyDescent="0.25">
      <c r="A305" s="172"/>
      <c r="B305" s="172"/>
      <c r="C305" s="172"/>
      <c r="D305" s="172"/>
      <c r="E305" s="172"/>
      <c r="F305" s="172"/>
      <c r="G305" s="172"/>
      <c r="H305" s="172"/>
      <c r="I305" s="172"/>
      <c r="J305" s="172"/>
    </row>
    <row r="306" spans="1:10" x14ac:dyDescent="0.25">
      <c r="A306" s="172"/>
      <c r="B306" s="172"/>
      <c r="C306" s="172"/>
      <c r="D306" s="172"/>
      <c r="E306" s="172"/>
      <c r="F306" s="172"/>
      <c r="G306" s="172"/>
      <c r="H306" s="172"/>
      <c r="I306" s="172"/>
      <c r="J306" s="172"/>
    </row>
    <row r="307" spans="1:10" x14ac:dyDescent="0.25">
      <c r="A307" s="172"/>
      <c r="B307" s="172"/>
      <c r="C307" s="172"/>
      <c r="D307" s="172"/>
      <c r="E307" s="172"/>
      <c r="F307" s="172"/>
      <c r="G307" s="172"/>
      <c r="H307" s="172"/>
      <c r="I307" s="172"/>
      <c r="J307" s="172"/>
    </row>
    <row r="308" spans="1:10" x14ac:dyDescent="0.25">
      <c r="A308" s="172"/>
      <c r="B308" s="172"/>
      <c r="C308" s="172"/>
      <c r="D308" s="172"/>
      <c r="E308" s="172"/>
      <c r="F308" s="172"/>
      <c r="G308" s="172"/>
      <c r="H308" s="172"/>
      <c r="I308" s="172"/>
      <c r="J308" s="172"/>
    </row>
    <row r="309" spans="1:10" x14ac:dyDescent="0.25">
      <c r="A309" s="172"/>
      <c r="B309" s="172"/>
      <c r="C309" s="172"/>
      <c r="D309" s="172"/>
      <c r="E309" s="172"/>
      <c r="F309" s="172"/>
      <c r="G309" s="172"/>
      <c r="H309" s="172"/>
      <c r="I309" s="172"/>
      <c r="J309" s="172"/>
    </row>
  </sheetData>
  <sheetProtection algorithmName="SHA-512" hashValue="G10uyisjU61lwVCAHBo16aXiZyIBUVoysZe/Vg8XMxd24jO9uK4AjaZt2hGFz3QDixXguG5LSzeo2EUZrBwhTw==" saltValue="K7jqs3RMNmWfKVuJ6tpVZw==" spinCount="100000" sheet="1" objects="1" scenarios="1" selectLockedCells="1"/>
  <mergeCells count="17">
    <mergeCell ref="B10:D10"/>
    <mergeCell ref="E10:G10"/>
    <mergeCell ref="A9:G9"/>
    <mergeCell ref="A1:C1"/>
    <mergeCell ref="E1:G1"/>
    <mergeCell ref="A17:G17"/>
    <mergeCell ref="B18:D18"/>
    <mergeCell ref="E18:G18"/>
    <mergeCell ref="B27:C27"/>
    <mergeCell ref="D27:E27"/>
    <mergeCell ref="A26:E26"/>
    <mergeCell ref="A34:E34"/>
    <mergeCell ref="B35:C35"/>
    <mergeCell ref="D35:E35"/>
    <mergeCell ref="A40:E40"/>
    <mergeCell ref="B41:C41"/>
    <mergeCell ref="D41:E4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/>
  <dimension ref="A1:V158"/>
  <sheetViews>
    <sheetView workbookViewId="0">
      <selection activeCell="F14" sqref="F14"/>
    </sheetView>
  </sheetViews>
  <sheetFormatPr defaultRowHeight="15" x14ac:dyDescent="0.25"/>
  <cols>
    <col min="1" max="1" width="28.28515625" style="18" bestFit="1" customWidth="1"/>
    <col min="2" max="2" width="83.85546875" style="18" bestFit="1" customWidth="1"/>
    <col min="3" max="3" width="13.140625" style="18" bestFit="1" customWidth="1"/>
    <col min="4" max="4" width="12" style="18" bestFit="1" customWidth="1"/>
    <col min="5" max="5" width="21.42578125" style="18" bestFit="1" customWidth="1"/>
    <col min="6" max="7" width="13.140625" style="18" bestFit="1" customWidth="1"/>
    <col min="8" max="8" width="12" style="18" bestFit="1" customWidth="1"/>
    <col min="9" max="9" width="75.28515625" style="18" bestFit="1" customWidth="1"/>
    <col min="10" max="10" width="13.140625" style="18" bestFit="1" customWidth="1"/>
    <col min="11" max="11" width="14.5703125" style="18" bestFit="1" customWidth="1"/>
    <col min="12" max="12" width="9.140625" style="18"/>
    <col min="13" max="13" width="13.85546875" style="18" bestFit="1" customWidth="1"/>
    <col min="14" max="14" width="21.140625" style="18" bestFit="1" customWidth="1"/>
    <col min="15" max="15" width="9.28515625" style="18" bestFit="1" customWidth="1"/>
    <col min="16" max="17" width="10.140625" style="18" bestFit="1" customWidth="1"/>
    <col min="18" max="16384" width="9.140625" style="18"/>
  </cols>
  <sheetData>
    <row r="1" spans="1:22" x14ac:dyDescent="0.25">
      <c r="A1" s="74" t="s">
        <v>679</v>
      </c>
      <c r="B1" s="194" t="s">
        <v>14</v>
      </c>
      <c r="C1" s="76" t="s">
        <v>25</v>
      </c>
      <c r="D1" s="96"/>
      <c r="E1" s="199" t="s">
        <v>694</v>
      </c>
      <c r="F1" s="75" t="s">
        <v>14</v>
      </c>
      <c r="G1" s="76" t="s">
        <v>25</v>
      </c>
      <c r="I1" s="74" t="s">
        <v>693</v>
      </c>
      <c r="J1" s="75" t="s">
        <v>14</v>
      </c>
      <c r="K1" s="76" t="s">
        <v>25</v>
      </c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</row>
    <row r="2" spans="1:22" x14ac:dyDescent="0.25">
      <c r="A2" s="8" t="s">
        <v>680</v>
      </c>
      <c r="B2" s="58">
        <f>Det_cost_ectopic_miscarriage</f>
        <v>578.07492083968611</v>
      </c>
      <c r="C2" s="55">
        <f ca="1">Prob_cost_ectopic_miscarriage</f>
        <v>554.75445382701685</v>
      </c>
      <c r="D2" s="96"/>
      <c r="E2" s="89" t="s">
        <v>62</v>
      </c>
      <c r="F2" s="201">
        <f>Det_cost_stillbirth</f>
        <v>1063.2766935978477</v>
      </c>
      <c r="G2" s="55">
        <f ca="1">PROB_cost_stillbirth</f>
        <v>1228.8185715166962</v>
      </c>
      <c r="I2" s="8" t="s">
        <v>695</v>
      </c>
      <c r="J2" s="200">
        <f>VLOOKUP(Age_of_mother,'Mahawesran Tariff'!$A$21:$M$120,6)</f>
        <v>0.9870000000000001</v>
      </c>
      <c r="K2" s="10">
        <f ca="1">VLOOKUP(Age_of_mother,'Mahawesran Tariff'!$A$21:$M$120,12)</f>
        <v>0.99621816340053926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</row>
    <row r="3" spans="1:22" x14ac:dyDescent="0.25">
      <c r="A3" s="8" t="s">
        <v>681</v>
      </c>
      <c r="B3" s="58">
        <f>Det_cost_abruption_previa</f>
        <v>1202.376244866424</v>
      </c>
      <c r="C3" s="55">
        <f ca="1">Prob_cost_abruption_previa</f>
        <v>1083.6099006482716</v>
      </c>
      <c r="D3" s="96"/>
      <c r="E3" s="89" t="s">
        <v>66</v>
      </c>
      <c r="F3" s="202">
        <f>Det_cost_neontal_premature</f>
        <v>15934.549158120588</v>
      </c>
      <c r="G3" s="55">
        <f ca="1">PROB_cost_neonatal_premature</f>
        <v>2328.7412100836791</v>
      </c>
      <c r="I3" s="8" t="s">
        <v>696</v>
      </c>
      <c r="J3" s="58">
        <f>VLOOKUP(Age_of_mother,'Mahawesran Tariff'!$A$21:$M$120,7)</f>
        <v>0.97034679904142418</v>
      </c>
      <c r="K3" s="10">
        <f ca="1">VLOOKUP(Age_of_mother,'Mahawesran Tariff'!$A$21:$M$120,13)</f>
        <v>0.97037801186408901</v>
      </c>
      <c r="L3" s="96"/>
      <c r="M3" s="96"/>
      <c r="N3" s="96"/>
      <c r="O3" s="38"/>
      <c r="P3" s="38"/>
      <c r="Q3" s="96"/>
      <c r="R3" s="96"/>
      <c r="S3" s="96"/>
      <c r="T3" s="96"/>
      <c r="U3" s="96"/>
      <c r="V3" s="96"/>
    </row>
    <row r="4" spans="1:22" ht="15.75" thickBot="1" x14ac:dyDescent="0.3">
      <c r="A4" s="8" t="s">
        <v>10</v>
      </c>
      <c r="B4" s="195">
        <f>Det_cost_pre_eclampsia</f>
        <v>657.88931802672619</v>
      </c>
      <c r="C4" s="55">
        <f ca="1">Prob_cost_pre_eclampsia</f>
        <v>837.85811115132913</v>
      </c>
      <c r="D4" s="44"/>
      <c r="E4" s="198" t="s">
        <v>86</v>
      </c>
      <c r="F4" s="203">
        <f>DET_cost_neonatal_FG</f>
        <v>2645.8677245958893</v>
      </c>
      <c r="G4" s="56">
        <f ca="1">PROB_cost_neonatal_FG</f>
        <v>1686.1385279538206</v>
      </c>
      <c r="I4" s="8" t="s">
        <v>697</v>
      </c>
      <c r="J4" s="58">
        <f>DET_utilty_decrement_ectopic</f>
        <v>0.01</v>
      </c>
      <c r="K4" s="10">
        <f ca="1">PROB_utility_decrement_ectopic</f>
        <v>1.0321673792347386E-2</v>
      </c>
      <c r="L4" s="44"/>
      <c r="M4" s="44"/>
      <c r="N4" s="96"/>
      <c r="O4" s="44"/>
      <c r="P4" s="44"/>
      <c r="Q4" s="44"/>
      <c r="R4" s="96"/>
      <c r="S4" s="44"/>
      <c r="T4" s="96"/>
      <c r="U4" s="96"/>
      <c r="V4" s="96"/>
    </row>
    <row r="5" spans="1:22" ht="15.75" thickBot="1" x14ac:dyDescent="0.3">
      <c r="A5" s="8" t="s">
        <v>66</v>
      </c>
      <c r="B5" s="195">
        <f>Det_cost_premature_birth</f>
        <v>1224.0374908791337</v>
      </c>
      <c r="C5" s="55">
        <f ca="1">Prob_cost_premature_birth</f>
        <v>2480.6840200045067</v>
      </c>
      <c r="D5" s="193"/>
      <c r="E5" s="193"/>
      <c r="F5" s="193"/>
      <c r="I5" s="11" t="s">
        <v>698</v>
      </c>
      <c r="J5" s="60">
        <f>DET_utility_decrement_foetal_loss</f>
        <v>0.1</v>
      </c>
      <c r="K5" s="13">
        <f ca="1">PROB_utility_decrement_foetal_loss</f>
        <v>9.9462236768973755E-2</v>
      </c>
      <c r="L5" s="44"/>
      <c r="M5" s="44"/>
      <c r="N5" s="96"/>
      <c r="O5" s="44"/>
      <c r="P5" s="44"/>
      <c r="Q5" s="44"/>
      <c r="R5" s="96"/>
      <c r="S5" s="44"/>
      <c r="T5" s="96"/>
      <c r="U5" s="96"/>
      <c r="V5" s="96"/>
    </row>
    <row r="6" spans="1:22" ht="15.75" thickBot="1" x14ac:dyDescent="0.3">
      <c r="A6" s="8" t="s">
        <v>682</v>
      </c>
      <c r="B6" s="195">
        <f>Det_cost_midwife_visit</f>
        <v>55.512544975107701</v>
      </c>
      <c r="C6" s="55">
        <f ca="1">Prob_cost_midwife_visit</f>
        <v>44.121125770075984</v>
      </c>
      <c r="D6" s="193"/>
      <c r="E6" s="193"/>
      <c r="F6" s="193"/>
      <c r="K6" s="96"/>
      <c r="L6" s="44"/>
      <c r="M6" s="44"/>
      <c r="N6" s="96"/>
      <c r="O6" s="44"/>
      <c r="P6" s="44"/>
      <c r="Q6" s="44"/>
      <c r="R6" s="96"/>
      <c r="S6" s="44"/>
      <c r="T6" s="96"/>
      <c r="U6" s="96"/>
      <c r="V6" s="96"/>
    </row>
    <row r="7" spans="1:22" x14ac:dyDescent="0.25">
      <c r="A7" s="8" t="s">
        <v>683</v>
      </c>
      <c r="B7" s="195">
        <f>Det_cost_obstetrician_first_visit</f>
        <v>146.38337008279024</v>
      </c>
      <c r="C7" s="55">
        <f ca="1">Prob_cost_obstetrician_first_visit</f>
        <v>203.35057681261497</v>
      </c>
      <c r="D7" s="193"/>
      <c r="E7" s="193"/>
      <c r="F7" s="193"/>
      <c r="I7" s="611" t="s">
        <v>706</v>
      </c>
      <c r="J7" s="612"/>
      <c r="K7" s="96"/>
      <c r="L7" s="44"/>
      <c r="M7" s="44"/>
      <c r="N7" s="96"/>
      <c r="O7" s="44"/>
      <c r="P7" s="44"/>
      <c r="Q7" s="44"/>
      <c r="R7" s="96"/>
      <c r="S7" s="44"/>
      <c r="T7" s="96"/>
      <c r="U7" s="96"/>
      <c r="V7" s="96"/>
    </row>
    <row r="8" spans="1:22" x14ac:dyDescent="0.25">
      <c r="A8" s="8" t="s">
        <v>74</v>
      </c>
      <c r="B8" s="195">
        <f>Det_cost_obstetrician_subsequent</f>
        <v>113.90385184108965</v>
      </c>
      <c r="C8" s="55">
        <f ca="1">prob_cost_obstetrician_subsequent</f>
        <v>90.057054384619462</v>
      </c>
      <c r="D8" s="193"/>
      <c r="E8" s="193"/>
      <c r="F8" s="193"/>
      <c r="I8" s="8" t="s">
        <v>41</v>
      </c>
      <c r="J8" s="10">
        <v>10</v>
      </c>
      <c r="K8" s="96"/>
      <c r="L8" s="44"/>
      <c r="M8" s="44"/>
      <c r="N8" s="96"/>
      <c r="O8" s="44"/>
      <c r="P8" s="44"/>
      <c r="Q8" s="44"/>
      <c r="R8" s="96"/>
      <c r="S8" s="44"/>
      <c r="T8" s="96"/>
      <c r="U8" s="96"/>
      <c r="V8" s="96"/>
    </row>
    <row r="9" spans="1:22" x14ac:dyDescent="0.25">
      <c r="A9" s="8" t="s">
        <v>684</v>
      </c>
      <c r="B9" s="58">
        <f>Det_cost_utlrasound</f>
        <v>110.76971029936129</v>
      </c>
      <c r="C9" s="10">
        <f ca="1">Prob_cost_ultrasound</f>
        <v>94.627956898525255</v>
      </c>
      <c r="I9" s="8" t="s">
        <v>64</v>
      </c>
      <c r="J9" s="10">
        <v>14</v>
      </c>
      <c r="K9" s="96"/>
      <c r="L9" s="44"/>
      <c r="M9" s="44"/>
      <c r="N9" s="96"/>
      <c r="O9" s="100"/>
      <c r="P9" s="44"/>
      <c r="Q9" s="44"/>
      <c r="R9" s="96"/>
      <c r="S9" s="96"/>
      <c r="T9" s="96"/>
      <c r="U9" s="96"/>
      <c r="V9" s="96"/>
    </row>
    <row r="10" spans="1:22" x14ac:dyDescent="0.25">
      <c r="A10" s="8" t="s">
        <v>685</v>
      </c>
      <c r="B10" s="58">
        <f>Det_cost_ultrasound_specialised</f>
        <v>131.81466255033556</v>
      </c>
      <c r="C10" s="10">
        <f ca="1">Prob_cost_ultrasound_specialised</f>
        <v>98.050900360967404</v>
      </c>
      <c r="I10" s="8" t="s">
        <v>699</v>
      </c>
      <c r="J10" s="10">
        <v>33</v>
      </c>
      <c r="K10" s="96"/>
      <c r="L10" s="44"/>
      <c r="M10" s="44"/>
      <c r="N10" s="96"/>
      <c r="O10" s="44"/>
      <c r="P10" s="44"/>
      <c r="Q10" s="44"/>
      <c r="R10" s="96"/>
      <c r="S10" s="96"/>
      <c r="T10" s="96"/>
      <c r="U10" s="96"/>
      <c r="V10" s="96"/>
    </row>
    <row r="11" spans="1:22" x14ac:dyDescent="0.25">
      <c r="A11" s="8" t="s">
        <v>84</v>
      </c>
      <c r="B11" s="58">
        <f>det_cost_normal_birth</f>
        <v>2497.0454029743241</v>
      </c>
      <c r="C11" s="10">
        <f ca="1">Prob_cost_normal_birth</f>
        <v>2827.6866284727985</v>
      </c>
      <c r="I11" s="8" t="s">
        <v>700</v>
      </c>
      <c r="J11" s="10">
        <v>39</v>
      </c>
      <c r="K11" s="96"/>
      <c r="L11" s="44"/>
      <c r="M11" s="44"/>
      <c r="N11" s="96"/>
      <c r="O11" s="44"/>
      <c r="P11" s="44"/>
      <c r="Q11" s="44"/>
      <c r="R11" s="96"/>
      <c r="S11" s="96"/>
      <c r="T11" s="96"/>
      <c r="U11" s="96"/>
      <c r="V11" s="96"/>
    </row>
    <row r="12" spans="1:22" x14ac:dyDescent="0.25">
      <c r="A12" s="8" t="s">
        <v>686</v>
      </c>
      <c r="B12" s="58">
        <f>det_cost_emergency_caesarean</f>
        <v>4180.5446157666047</v>
      </c>
      <c r="C12" s="10">
        <f ca="1">prob_cost_emergency_caesarean</f>
        <v>2878.7212065624394</v>
      </c>
      <c r="I12" s="8" t="s">
        <v>701</v>
      </c>
      <c r="J12" s="10">
        <v>33</v>
      </c>
      <c r="K12" s="96"/>
      <c r="L12" s="44"/>
      <c r="M12" s="44"/>
      <c r="N12" s="96"/>
      <c r="O12" s="44"/>
      <c r="P12" s="44"/>
      <c r="Q12" s="44"/>
      <c r="R12" s="96"/>
      <c r="S12" s="96"/>
      <c r="T12" s="96"/>
      <c r="U12" s="96"/>
      <c r="V12" s="96"/>
    </row>
    <row r="13" spans="1:22" x14ac:dyDescent="0.25">
      <c r="A13" s="8" t="s">
        <v>687</v>
      </c>
      <c r="B13" s="58">
        <f>det_cost_caesarean</f>
        <v>3781.2751914536216</v>
      </c>
      <c r="C13" s="10">
        <f ca="1">prob_cost_caesarean</f>
        <v>4790.8290571260786</v>
      </c>
      <c r="I13" s="8" t="s">
        <v>702</v>
      </c>
      <c r="J13" s="10">
        <v>38</v>
      </c>
      <c r="K13" s="96"/>
      <c r="L13" s="44"/>
      <c r="M13" s="44"/>
      <c r="N13" s="96"/>
      <c r="O13" s="44"/>
      <c r="P13" s="44"/>
      <c r="Q13" s="44"/>
      <c r="R13" s="96"/>
      <c r="S13" s="96"/>
      <c r="T13" s="96"/>
      <c r="U13" s="96"/>
      <c r="V13" s="96"/>
    </row>
    <row r="14" spans="1:22" x14ac:dyDescent="0.25">
      <c r="A14" s="8" t="s">
        <v>688</v>
      </c>
      <c r="B14" s="58">
        <f>det_cost_routine_obs</f>
        <v>345.23959737187926</v>
      </c>
      <c r="C14" s="10">
        <f ca="1">prob_cost_routine_obs</f>
        <v>208.21717291136358</v>
      </c>
      <c r="I14" s="8" t="s">
        <v>104</v>
      </c>
      <c r="J14" s="10">
        <v>33</v>
      </c>
      <c r="K14" s="96"/>
      <c r="L14" s="44"/>
      <c r="M14" s="44"/>
      <c r="N14" s="96"/>
      <c r="O14" s="44"/>
      <c r="P14" s="44"/>
      <c r="Q14" s="44"/>
      <c r="R14" s="96"/>
      <c r="S14" s="96"/>
      <c r="T14" s="96"/>
      <c r="U14" s="96"/>
      <c r="V14" s="96"/>
    </row>
    <row r="15" spans="1:22" x14ac:dyDescent="0.25">
      <c r="A15" s="41" t="s">
        <v>60</v>
      </c>
      <c r="B15" s="196">
        <f>DET_COST_death</f>
        <v>1630.979878917379</v>
      </c>
      <c r="C15" s="42">
        <f ca="1">PROB_COST_death</f>
        <v>2650.9736306066748</v>
      </c>
      <c r="I15" s="8" t="s">
        <v>703</v>
      </c>
      <c r="J15" s="10">
        <v>39</v>
      </c>
      <c r="K15" s="96"/>
      <c r="L15" s="44"/>
      <c r="M15" s="44"/>
      <c r="N15" s="96"/>
      <c r="O15" s="44"/>
      <c r="P15" s="44"/>
      <c r="Q15" s="44"/>
      <c r="R15" s="96"/>
      <c r="S15" s="96"/>
      <c r="T15" s="96"/>
      <c r="U15" s="96"/>
      <c r="V15" s="96"/>
    </row>
    <row r="16" spans="1:22" x14ac:dyDescent="0.25">
      <c r="A16" s="77"/>
      <c r="B16" s="197"/>
      <c r="C16" s="78"/>
      <c r="I16" s="8" t="s">
        <v>704</v>
      </c>
      <c r="J16" s="10">
        <v>33</v>
      </c>
      <c r="K16" s="96"/>
      <c r="L16" s="44"/>
      <c r="M16" s="44"/>
      <c r="N16" s="96"/>
      <c r="O16" s="57"/>
      <c r="P16" s="57"/>
      <c r="Q16" s="44"/>
      <c r="R16" s="96"/>
      <c r="S16" s="96"/>
      <c r="T16" s="96"/>
      <c r="U16" s="96"/>
      <c r="V16" s="96"/>
    </row>
    <row r="17" spans="1:22" x14ac:dyDescent="0.25">
      <c r="A17" s="8" t="s">
        <v>689</v>
      </c>
      <c r="B17" s="58">
        <f>(6*B$6)+B$9+B$10</f>
        <v>575.65964270034306</v>
      </c>
      <c r="C17" s="10">
        <f ca="1">(6*C$6)+C$9+C$10</f>
        <v>457.40561187994854</v>
      </c>
      <c r="I17" s="8" t="s">
        <v>705</v>
      </c>
      <c r="J17" s="10">
        <v>40</v>
      </c>
      <c r="K17" s="96"/>
      <c r="L17" s="44"/>
      <c r="M17" s="44"/>
      <c r="N17" s="96"/>
      <c r="O17" s="57"/>
      <c r="P17" s="57"/>
      <c r="Q17" s="44"/>
      <c r="R17" s="96"/>
      <c r="S17" s="96"/>
      <c r="T17" s="96"/>
      <c r="U17" s="96"/>
      <c r="V17" s="96"/>
    </row>
    <row r="18" spans="1:22" ht="15.75" thickBot="1" x14ac:dyDescent="0.3">
      <c r="A18" s="11" t="s">
        <v>690</v>
      </c>
      <c r="B18" s="60">
        <f>(8*B$6)+B$9+B$10</f>
        <v>686.68473265055843</v>
      </c>
      <c r="C18" s="13">
        <f ca="1">(8*C$6)+C$9+C$10</f>
        <v>545.64786342010052</v>
      </c>
      <c r="I18" s="11" t="s">
        <v>91</v>
      </c>
      <c r="J18" s="13">
        <v>52</v>
      </c>
      <c r="K18" s="96"/>
      <c r="L18" s="44"/>
      <c r="M18" s="44"/>
      <c r="N18" s="96"/>
      <c r="O18" s="57"/>
      <c r="P18" s="57"/>
      <c r="Q18" s="44"/>
      <c r="R18" s="96"/>
      <c r="S18" s="96"/>
      <c r="T18" s="96"/>
      <c r="U18" s="96"/>
      <c r="V18" s="96"/>
    </row>
    <row r="19" spans="1:22" x14ac:dyDescent="0.25">
      <c r="A19" s="96"/>
      <c r="B19" s="96"/>
      <c r="C19" s="96"/>
      <c r="D19" s="96"/>
      <c r="E19" s="96"/>
      <c r="K19" s="96"/>
      <c r="L19" s="44"/>
      <c r="M19" s="44"/>
      <c r="N19" s="96"/>
      <c r="O19" s="57"/>
      <c r="P19" s="57"/>
      <c r="Q19" s="44"/>
      <c r="R19" s="96"/>
      <c r="S19" s="96"/>
      <c r="T19" s="96"/>
      <c r="U19" s="96"/>
      <c r="V19" s="96"/>
    </row>
    <row r="20" spans="1:22" ht="15.75" thickBot="1" x14ac:dyDescent="0.3">
      <c r="A20" s="96"/>
      <c r="B20" s="96"/>
      <c r="C20" s="96"/>
      <c r="D20" s="96"/>
      <c r="E20" s="96"/>
      <c r="K20" s="96"/>
      <c r="L20" s="44"/>
      <c r="M20" s="44"/>
      <c r="N20" s="96"/>
      <c r="O20" s="44"/>
      <c r="P20" s="44"/>
      <c r="Q20" s="44"/>
      <c r="R20" s="96"/>
      <c r="S20" s="44"/>
      <c r="T20" s="96"/>
      <c r="U20" s="96"/>
      <c r="V20" s="96"/>
    </row>
    <row r="21" spans="1:22" x14ac:dyDescent="0.25">
      <c r="A21" s="552" t="s">
        <v>707</v>
      </c>
      <c r="B21" s="555"/>
      <c r="C21" s="610" t="s">
        <v>691</v>
      </c>
      <c r="D21" s="554"/>
      <c r="E21" s="610" t="s">
        <v>692</v>
      </c>
      <c r="F21" s="554"/>
      <c r="G21" s="553" t="s">
        <v>693</v>
      </c>
      <c r="H21" s="553"/>
      <c r="I21" s="219" t="s">
        <v>821</v>
      </c>
      <c r="K21" s="96"/>
      <c r="L21" s="44"/>
      <c r="M21" s="44"/>
      <c r="N21" s="96"/>
      <c r="O21" s="44"/>
      <c r="P21" s="44"/>
      <c r="Q21" s="44"/>
      <c r="R21" s="96"/>
      <c r="S21" s="44"/>
      <c r="T21" s="96"/>
      <c r="U21" s="96"/>
      <c r="V21" s="96"/>
    </row>
    <row r="22" spans="1:22" ht="15.75" thickBot="1" x14ac:dyDescent="0.3">
      <c r="A22" s="11" t="s">
        <v>88</v>
      </c>
      <c r="B22" s="12" t="s">
        <v>68</v>
      </c>
      <c r="C22" s="11" t="s">
        <v>14</v>
      </c>
      <c r="D22" s="13" t="s">
        <v>25</v>
      </c>
      <c r="E22" s="11" t="s">
        <v>14</v>
      </c>
      <c r="F22" s="13" t="s">
        <v>25</v>
      </c>
      <c r="G22" s="12" t="s">
        <v>14</v>
      </c>
      <c r="H22" s="12" t="s">
        <v>25</v>
      </c>
      <c r="I22" s="221" t="s">
        <v>822</v>
      </c>
      <c r="K22" s="96"/>
      <c r="L22" s="44"/>
      <c r="M22" s="44"/>
      <c r="N22" s="96"/>
      <c r="O22" s="44"/>
      <c r="P22" s="44"/>
      <c r="Q22" s="44"/>
      <c r="R22" s="96"/>
      <c r="S22" s="44"/>
      <c r="T22" s="96"/>
      <c r="U22" s="96"/>
      <c r="V22" s="96"/>
    </row>
    <row r="23" spans="1:22" x14ac:dyDescent="0.25">
      <c r="A23" s="8">
        <v>1</v>
      </c>
      <c r="B23" s="96" t="s">
        <v>543</v>
      </c>
      <c r="C23" s="25">
        <f>B$9+B$2+B$15</f>
        <v>2319.8245100564263</v>
      </c>
      <c r="D23" s="55">
        <f ca="1">C$9+C$2+C$15</f>
        <v>3300.3560413322166</v>
      </c>
      <c r="E23" s="25">
        <v>0</v>
      </c>
      <c r="F23" s="55">
        <v>0</v>
      </c>
      <c r="G23" s="96">
        <v>0</v>
      </c>
      <c r="H23" s="96">
        <v>0</v>
      </c>
      <c r="I23" s="220">
        <v>0</v>
      </c>
      <c r="K23" s="96"/>
      <c r="L23" s="44"/>
      <c r="M23" s="44"/>
      <c r="N23" s="96"/>
      <c r="O23" s="44"/>
      <c r="P23" s="44"/>
      <c r="Q23" s="44"/>
      <c r="R23" s="96"/>
      <c r="S23" s="44"/>
      <c r="T23" s="96"/>
      <c r="U23" s="96"/>
      <c r="V23" s="96"/>
    </row>
    <row r="24" spans="1:22" x14ac:dyDescent="0.25">
      <c r="A24" s="8">
        <v>2</v>
      </c>
      <c r="B24" s="96" t="s">
        <v>544</v>
      </c>
      <c r="C24" s="25">
        <f>B$2+B$9</f>
        <v>688.84463113904735</v>
      </c>
      <c r="D24" s="55">
        <f ca="1">C$2+C$9</f>
        <v>649.38241072554206</v>
      </c>
      <c r="E24" s="25">
        <v>0</v>
      </c>
      <c r="F24" s="55">
        <v>0</v>
      </c>
      <c r="G24" s="96">
        <f>($J$8/$J$18)*(J$2-J$4-J$5)</f>
        <v>0.16865384615384618</v>
      </c>
      <c r="H24" s="96">
        <f ca="1">($J$8/$J$18)*(K$2-K$4-K$5)</f>
        <v>0.17046812554600349</v>
      </c>
      <c r="I24" s="220">
        <f>$J$8/$J$18</f>
        <v>0.19230769230769232</v>
      </c>
      <c r="K24" s="96"/>
      <c r="L24" s="44"/>
      <c r="M24" s="44"/>
      <c r="N24" s="96"/>
      <c r="O24" s="44"/>
      <c r="P24" s="44"/>
      <c r="Q24" s="44"/>
      <c r="R24" s="96"/>
      <c r="S24" s="44"/>
      <c r="T24" s="96"/>
      <c r="U24" s="96"/>
      <c r="V24" s="96"/>
    </row>
    <row r="25" spans="1:22" x14ac:dyDescent="0.25">
      <c r="A25" s="8">
        <v>3</v>
      </c>
      <c r="B25" s="96" t="s">
        <v>545</v>
      </c>
      <c r="C25" s="25">
        <f>B$9+B$2+B$15</f>
        <v>2319.8245100564263</v>
      </c>
      <c r="D25" s="55">
        <f ca="1">C$9+C$2+C$15</f>
        <v>3300.3560413322166</v>
      </c>
      <c r="E25" s="25">
        <v>0</v>
      </c>
      <c r="F25" s="55">
        <v>0</v>
      </c>
      <c r="G25" s="96">
        <v>0</v>
      </c>
      <c r="H25" s="96">
        <v>0</v>
      </c>
      <c r="I25" s="220">
        <v>0</v>
      </c>
      <c r="K25" s="96"/>
      <c r="L25" s="44"/>
      <c r="M25" s="44"/>
      <c r="N25" s="96"/>
      <c r="O25" s="44"/>
      <c r="P25" s="44"/>
      <c r="Q25" s="44"/>
      <c r="R25" s="96"/>
      <c r="S25" s="44"/>
      <c r="T25" s="96"/>
      <c r="U25" s="96"/>
      <c r="V25" s="96"/>
    </row>
    <row r="26" spans="1:22" x14ac:dyDescent="0.25">
      <c r="A26" s="8">
        <v>4</v>
      </c>
      <c r="B26" s="96" t="s">
        <v>546</v>
      </c>
      <c r="C26" s="25">
        <f>B$2+B$9</f>
        <v>688.84463113904735</v>
      </c>
      <c r="D26" s="55">
        <f ca="1">C$2+C$9</f>
        <v>649.38241072554206</v>
      </c>
      <c r="E26" s="25">
        <v>0</v>
      </c>
      <c r="F26" s="55">
        <v>0</v>
      </c>
      <c r="G26" s="96">
        <f>($J$9/$J$18)*(J$2-J$5)</f>
        <v>0.23880769230769233</v>
      </c>
      <c r="H26" s="96">
        <f ca="1">($J$9/$J$18)*(K$2-K$5)</f>
        <v>0.24143428793926761</v>
      </c>
      <c r="I26" s="220">
        <f>$J$9/$J$18</f>
        <v>0.26923076923076922</v>
      </c>
      <c r="K26" s="96"/>
      <c r="L26" s="44"/>
      <c r="M26" s="44"/>
      <c r="N26" s="96"/>
      <c r="O26" s="96"/>
      <c r="P26" s="96"/>
      <c r="Q26" s="96"/>
      <c r="R26" s="96"/>
      <c r="S26" s="96"/>
      <c r="T26" s="96"/>
      <c r="U26" s="96"/>
      <c r="V26" s="96"/>
    </row>
    <row r="27" spans="1:22" x14ac:dyDescent="0.25">
      <c r="A27" s="8">
        <v>5</v>
      </c>
      <c r="B27" s="96" t="s">
        <v>547</v>
      </c>
      <c r="C27" s="25">
        <f>B$17+B$3+B$12+B$7+(3*B$14)+B$15+B$5</f>
        <v>9995.7000353283111</v>
      </c>
      <c r="D27" s="55">
        <f t="shared" ref="C27:D30" ca="1" si="0">C$17+C$3+C$12+C$7+(3*C$14)+C$15+C$5</f>
        <v>10379.396465248547</v>
      </c>
      <c r="E27" s="25">
        <f>F$2</f>
        <v>1063.2766935978477</v>
      </c>
      <c r="F27" s="55">
        <f ca="1">G$2</f>
        <v>1228.8185715166962</v>
      </c>
      <c r="G27" s="96">
        <v>0</v>
      </c>
      <c r="H27" s="96">
        <v>0</v>
      </c>
      <c r="I27" s="220">
        <v>0</v>
      </c>
      <c r="K27" s="96"/>
      <c r="L27" s="44"/>
      <c r="M27" s="44"/>
      <c r="N27" s="96"/>
      <c r="O27" s="96"/>
      <c r="P27" s="96"/>
      <c r="Q27" s="96"/>
      <c r="R27" s="96"/>
      <c r="S27" s="96"/>
      <c r="T27" s="96"/>
      <c r="U27" s="96"/>
      <c r="V27" s="96"/>
    </row>
    <row r="28" spans="1:22" x14ac:dyDescent="0.25">
      <c r="A28" s="8">
        <v>6</v>
      </c>
      <c r="B28" s="96" t="s">
        <v>548</v>
      </c>
      <c r="C28" s="25">
        <f t="shared" si="0"/>
        <v>9995.7000353283111</v>
      </c>
      <c r="D28" s="55">
        <f t="shared" ca="1" si="0"/>
        <v>10379.396465248547</v>
      </c>
      <c r="E28" s="25">
        <f>F$3</f>
        <v>15934.549158120588</v>
      </c>
      <c r="F28" s="55">
        <f ca="1">G$3</f>
        <v>2328.7412100836791</v>
      </c>
      <c r="G28" s="96">
        <v>0</v>
      </c>
      <c r="H28" s="96">
        <v>0</v>
      </c>
      <c r="I28" s="220">
        <v>0</v>
      </c>
      <c r="K28" s="96"/>
      <c r="L28" s="44"/>
      <c r="M28" s="44"/>
      <c r="N28" s="96"/>
      <c r="O28" s="96"/>
      <c r="P28" s="96"/>
      <c r="Q28" s="96"/>
      <c r="R28" s="96"/>
      <c r="S28" s="96"/>
      <c r="T28" s="96"/>
      <c r="U28" s="96"/>
      <c r="V28" s="96"/>
    </row>
    <row r="29" spans="1:22" x14ac:dyDescent="0.25">
      <c r="A29" s="8">
        <v>7</v>
      </c>
      <c r="B29" s="96" t="s">
        <v>549</v>
      </c>
      <c r="C29" s="25">
        <f t="shared" si="0"/>
        <v>9995.7000353283111</v>
      </c>
      <c r="D29" s="55">
        <f t="shared" ca="1" si="0"/>
        <v>10379.396465248547</v>
      </c>
      <c r="E29" s="25">
        <f>F$2</f>
        <v>1063.2766935978477</v>
      </c>
      <c r="F29" s="55">
        <f ca="1">G$2</f>
        <v>1228.8185715166962</v>
      </c>
      <c r="G29" s="96">
        <v>0</v>
      </c>
      <c r="H29" s="96">
        <v>0</v>
      </c>
      <c r="I29" s="220">
        <v>0</v>
      </c>
      <c r="K29" s="96"/>
      <c r="L29" s="44"/>
      <c r="M29" s="44"/>
      <c r="N29" s="96"/>
      <c r="O29" s="96"/>
      <c r="P29" s="96"/>
      <c r="Q29" s="96"/>
      <c r="R29" s="96"/>
      <c r="S29" s="96"/>
      <c r="T29" s="96"/>
      <c r="U29" s="96"/>
      <c r="V29" s="96"/>
    </row>
    <row r="30" spans="1:22" x14ac:dyDescent="0.25">
      <c r="A30" s="8">
        <v>8</v>
      </c>
      <c r="B30" s="96" t="s">
        <v>550</v>
      </c>
      <c r="C30" s="25">
        <f t="shared" si="0"/>
        <v>9995.7000353283111</v>
      </c>
      <c r="D30" s="55">
        <f t="shared" ca="1" si="0"/>
        <v>10379.396465248547</v>
      </c>
      <c r="E30" s="25">
        <f>F$3</f>
        <v>15934.549158120588</v>
      </c>
      <c r="F30" s="55">
        <f ca="1">G$3</f>
        <v>2328.7412100836791</v>
      </c>
      <c r="G30" s="96">
        <v>0</v>
      </c>
      <c r="H30" s="96">
        <v>0</v>
      </c>
      <c r="I30" s="220">
        <v>0</v>
      </c>
      <c r="K30" s="96"/>
      <c r="L30" s="44"/>
      <c r="M30" s="44"/>
      <c r="N30" s="96"/>
      <c r="O30" s="96"/>
      <c r="P30" s="96"/>
      <c r="Q30" s="96"/>
      <c r="R30" s="96"/>
      <c r="S30" s="96"/>
      <c r="T30" s="96"/>
      <c r="U30" s="96"/>
      <c r="V30" s="96"/>
    </row>
    <row r="31" spans="1:22" x14ac:dyDescent="0.25">
      <c r="A31" s="8">
        <v>9</v>
      </c>
      <c r="B31" s="96" t="s">
        <v>551</v>
      </c>
      <c r="C31" s="25">
        <f>B$17+B$3+B$12+B$7+(3*B$14)+B$5</f>
        <v>8364.7201564109346</v>
      </c>
      <c r="D31" s="55">
        <f ca="1">C$17+C$3+C$12+C$7+(3*C$14)+C$5</f>
        <v>7728.4228346418731</v>
      </c>
      <c r="E31" s="25">
        <f>F$2</f>
        <v>1063.2766935978477</v>
      </c>
      <c r="F31" s="55">
        <f ca="1">G$2</f>
        <v>1228.8185715166962</v>
      </c>
      <c r="G31" s="96">
        <f>($J$10/$J$18)*(J$2-J$5)</f>
        <v>0.56290384615384625</v>
      </c>
      <c r="H31" s="96">
        <f ca="1">($J$10/$J$18)*(K$2-K$5)</f>
        <v>0.56909510728541646</v>
      </c>
      <c r="I31" s="220">
        <f>$J$10/$J$18</f>
        <v>0.63461538461538458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</row>
    <row r="32" spans="1:22" x14ac:dyDescent="0.25">
      <c r="A32" s="8">
        <v>10</v>
      </c>
      <c r="B32" s="96" t="s">
        <v>552</v>
      </c>
      <c r="C32" s="25">
        <f t="shared" ref="C32:D34" si="1">B$17+B$3+B$12+B$7+(3*B$14)+B$5</f>
        <v>8364.7201564109346</v>
      </c>
      <c r="D32" s="55">
        <f t="shared" ca="1" si="1"/>
        <v>7728.4228346418731</v>
      </c>
      <c r="E32" s="25">
        <f>F$3</f>
        <v>15934.549158120588</v>
      </c>
      <c r="F32" s="55">
        <f ca="1">G$3</f>
        <v>2328.7412100836791</v>
      </c>
      <c r="G32" s="96">
        <f>($J$10/$J$18)*(J$2)</f>
        <v>0.6263653846153846</v>
      </c>
      <c r="H32" s="96">
        <f ca="1">($J$10/$J$18)*(K$2)</f>
        <v>0.63221537292726526</v>
      </c>
      <c r="I32" s="220">
        <f>$J$10/$J$18</f>
        <v>0.63461538461538458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</row>
    <row r="33" spans="1:22" x14ac:dyDescent="0.25">
      <c r="A33" s="8">
        <v>11</v>
      </c>
      <c r="B33" s="96" t="s">
        <v>553</v>
      </c>
      <c r="C33" s="25">
        <f t="shared" si="1"/>
        <v>8364.7201564109346</v>
      </c>
      <c r="D33" s="55">
        <f t="shared" ca="1" si="1"/>
        <v>7728.4228346418731</v>
      </c>
      <c r="E33" s="25">
        <f>F$2</f>
        <v>1063.2766935978477</v>
      </c>
      <c r="F33" s="55">
        <f ca="1">G$2</f>
        <v>1228.8185715166962</v>
      </c>
      <c r="G33" s="96">
        <f>($J$10/$J$18)*(J$2-J$5)</f>
        <v>0.56290384615384625</v>
      </c>
      <c r="H33" s="96">
        <f ca="1">($J$10/$J$18)*(K$2-K$5)</f>
        <v>0.56909510728541646</v>
      </c>
      <c r="I33" s="220">
        <f>$J$10/$J$18</f>
        <v>0.63461538461538458</v>
      </c>
      <c r="K33" s="96"/>
      <c r="L33" s="96"/>
      <c r="M33" s="96"/>
      <c r="N33" s="38"/>
      <c r="O33" s="38"/>
      <c r="P33" s="96"/>
      <c r="Q33" s="96"/>
      <c r="R33" s="96"/>
      <c r="S33" s="96"/>
      <c r="T33" s="96"/>
      <c r="U33" s="96"/>
      <c r="V33" s="96"/>
    </row>
    <row r="34" spans="1:22" x14ac:dyDescent="0.25">
      <c r="A34" s="8">
        <v>12</v>
      </c>
      <c r="B34" s="96" t="s">
        <v>554</v>
      </c>
      <c r="C34" s="25">
        <f t="shared" si="1"/>
        <v>8364.7201564109346</v>
      </c>
      <c r="D34" s="55">
        <f t="shared" ca="1" si="1"/>
        <v>7728.4228346418731</v>
      </c>
      <c r="E34" s="25">
        <f>F$3</f>
        <v>15934.549158120588</v>
      </c>
      <c r="F34" s="55">
        <f ca="1">G$3</f>
        <v>2328.7412100836791</v>
      </c>
      <c r="G34" s="96">
        <f>($J$10/$J$18)*(J$2)</f>
        <v>0.6263653846153846</v>
      </c>
      <c r="H34" s="96">
        <f ca="1">($J$10/$J$18)*(K$2)</f>
        <v>0.63221537292726526</v>
      </c>
      <c r="I34" s="220">
        <f>$J$10/$J$18</f>
        <v>0.63461538461538458</v>
      </c>
      <c r="K34" s="96"/>
      <c r="L34" s="96"/>
      <c r="M34" s="96"/>
      <c r="N34" s="38"/>
      <c r="O34" s="38"/>
      <c r="P34" s="96"/>
      <c r="Q34" s="96"/>
      <c r="R34" s="96"/>
      <c r="S34" s="96"/>
      <c r="T34" s="96"/>
      <c r="U34" s="96"/>
      <c r="V34" s="96"/>
    </row>
    <row r="35" spans="1:22" x14ac:dyDescent="0.25">
      <c r="A35" s="8">
        <v>13</v>
      </c>
      <c r="B35" s="96" t="s">
        <v>555</v>
      </c>
      <c r="C35" s="25">
        <f>B$18+B$3+B$12+B$7+(3*B$14)+B$15</f>
        <v>8882.6876343993936</v>
      </c>
      <c r="D35" s="55">
        <f ca="1">C$18+C$3+C$12+C$7+(3*C$14)+C$15</f>
        <v>7986.9546967841925</v>
      </c>
      <c r="E35" s="25">
        <f>F$2</f>
        <v>1063.2766935978477</v>
      </c>
      <c r="F35" s="55">
        <f ca="1">G$2</f>
        <v>1228.8185715166962</v>
      </c>
      <c r="G35" s="96">
        <v>0</v>
      </c>
      <c r="H35" s="96">
        <v>0</v>
      </c>
      <c r="I35" s="220">
        <v>0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</row>
    <row r="36" spans="1:22" x14ac:dyDescent="0.25">
      <c r="A36" s="8">
        <v>14</v>
      </c>
      <c r="B36" s="96" t="s">
        <v>556</v>
      </c>
      <c r="C36" s="25">
        <f t="shared" ref="C36:D38" si="2">B$18+B$3+B$12+B$7+(3*B$14)+B$15</f>
        <v>8882.6876343993936</v>
      </c>
      <c r="D36" s="55">
        <f t="shared" ca="1" si="2"/>
        <v>7986.9546967841925</v>
      </c>
      <c r="E36" s="25">
        <f>F$4</f>
        <v>2645.8677245958893</v>
      </c>
      <c r="F36" s="55">
        <f ca="1">G$4</f>
        <v>1686.1385279538206</v>
      </c>
      <c r="G36" s="96">
        <v>0</v>
      </c>
      <c r="H36" s="96">
        <v>0</v>
      </c>
      <c r="I36" s="220">
        <v>0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</row>
    <row r="37" spans="1:22" x14ac:dyDescent="0.25">
      <c r="A37" s="8">
        <v>15</v>
      </c>
      <c r="B37" s="96" t="s">
        <v>557</v>
      </c>
      <c r="C37" s="25">
        <f t="shared" si="2"/>
        <v>8882.6876343993936</v>
      </c>
      <c r="D37" s="55">
        <f t="shared" ca="1" si="2"/>
        <v>7986.9546967841925</v>
      </c>
      <c r="E37" s="25">
        <f>F$2</f>
        <v>1063.2766935978477</v>
      </c>
      <c r="F37" s="55">
        <f ca="1">G$2</f>
        <v>1228.8185715166962</v>
      </c>
      <c r="G37" s="96">
        <v>0</v>
      </c>
      <c r="H37" s="96">
        <v>0</v>
      </c>
      <c r="I37" s="220">
        <v>0</v>
      </c>
      <c r="K37" s="96"/>
      <c r="L37" s="96"/>
      <c r="M37" s="96"/>
      <c r="N37" s="38"/>
      <c r="O37" s="38"/>
      <c r="P37" s="96"/>
      <c r="Q37" s="96"/>
      <c r="R37" s="96"/>
      <c r="S37" s="96"/>
      <c r="T37" s="96"/>
      <c r="U37" s="96"/>
      <c r="V37" s="96"/>
    </row>
    <row r="38" spans="1:22" x14ac:dyDescent="0.25">
      <c r="A38" s="8">
        <v>16</v>
      </c>
      <c r="B38" s="96" t="s">
        <v>558</v>
      </c>
      <c r="C38" s="25">
        <f t="shared" si="2"/>
        <v>8882.6876343993936</v>
      </c>
      <c r="D38" s="55">
        <f t="shared" ca="1" si="2"/>
        <v>7986.9546967841925</v>
      </c>
      <c r="E38" s="25">
        <f>F$4</f>
        <v>2645.8677245958893</v>
      </c>
      <c r="F38" s="55">
        <f ca="1">G$4</f>
        <v>1686.1385279538206</v>
      </c>
      <c r="G38" s="96">
        <v>0</v>
      </c>
      <c r="H38" s="96">
        <v>0</v>
      </c>
      <c r="I38" s="220">
        <v>0</v>
      </c>
      <c r="K38" s="96"/>
      <c r="L38" s="96"/>
      <c r="M38" s="96"/>
      <c r="N38" s="96"/>
      <c r="O38" s="96"/>
    </row>
    <row r="39" spans="1:22" x14ac:dyDescent="0.25">
      <c r="A39" s="8">
        <v>17</v>
      </c>
      <c r="B39" s="96" t="s">
        <v>559</v>
      </c>
      <c r="C39" s="25">
        <f>B$18+B$3+B$12+B$7+(3*B$14)</f>
        <v>7251.7077554820153</v>
      </c>
      <c r="D39" s="55">
        <f ca="1">C$18+C$3+C$12+C$7+(3*C$14)</f>
        <v>5335.9810661775173</v>
      </c>
      <c r="E39" s="25">
        <f>F$2</f>
        <v>1063.2766935978477</v>
      </c>
      <c r="F39" s="55">
        <f ca="1">G$2</f>
        <v>1228.8185715166962</v>
      </c>
      <c r="G39" s="96">
        <f>($J$11/$J$18)*(J$2-J$5)</f>
        <v>0.66525000000000012</v>
      </c>
      <c r="H39" s="96">
        <f ca="1">($J$11/$J$18)*(K$2-K$5)</f>
        <v>0.67256694497367409</v>
      </c>
      <c r="I39" s="220">
        <f>$J$11/$J$18</f>
        <v>0.75</v>
      </c>
      <c r="K39" s="96"/>
      <c r="L39" s="96"/>
      <c r="M39" s="96"/>
      <c r="N39" s="96"/>
      <c r="O39" s="96"/>
    </row>
    <row r="40" spans="1:22" x14ac:dyDescent="0.25">
      <c r="A40" s="8">
        <v>18</v>
      </c>
      <c r="B40" s="96" t="s">
        <v>560</v>
      </c>
      <c r="C40" s="25">
        <f t="shared" ref="C40:D42" si="3">B$18+B$3+B$12+B$7+(3*B$14)</f>
        <v>7251.7077554820153</v>
      </c>
      <c r="D40" s="55">
        <f t="shared" ca="1" si="3"/>
        <v>5335.9810661775173</v>
      </c>
      <c r="E40" s="25">
        <f>F$4</f>
        <v>2645.8677245958893</v>
      </c>
      <c r="F40" s="55">
        <f ca="1">G$4</f>
        <v>1686.1385279538206</v>
      </c>
      <c r="G40" s="96">
        <f>($J$11/$J$18)*(J$2)</f>
        <v>0.74025000000000007</v>
      </c>
      <c r="H40" s="96">
        <f ca="1">($J$11/$J$18)*(K$2)</f>
        <v>0.74716362255040447</v>
      </c>
      <c r="I40" s="220">
        <f>$J$11/$J$18</f>
        <v>0.75</v>
      </c>
    </row>
    <row r="41" spans="1:22" x14ac:dyDescent="0.25">
      <c r="A41" s="8">
        <v>19</v>
      </c>
      <c r="B41" s="96" t="s">
        <v>561</v>
      </c>
      <c r="C41" s="25">
        <f t="shared" si="3"/>
        <v>7251.7077554820153</v>
      </c>
      <c r="D41" s="55">
        <f t="shared" ca="1" si="3"/>
        <v>5335.9810661775173</v>
      </c>
      <c r="E41" s="25">
        <f>F$2</f>
        <v>1063.2766935978477</v>
      </c>
      <c r="F41" s="55">
        <f ca="1">G$2</f>
        <v>1228.8185715166962</v>
      </c>
      <c r="G41" s="96">
        <f>($J$11/$J$18)*(J$2-J$5)</f>
        <v>0.66525000000000012</v>
      </c>
      <c r="H41" s="96">
        <f ca="1">($J$11/$J$18)*(K$2-K$5)</f>
        <v>0.67256694497367409</v>
      </c>
      <c r="I41" s="220">
        <f>$J$11/$J$18</f>
        <v>0.75</v>
      </c>
    </row>
    <row r="42" spans="1:22" x14ac:dyDescent="0.25">
      <c r="A42" s="8">
        <v>20</v>
      </c>
      <c r="B42" s="96" t="s">
        <v>562</v>
      </c>
      <c r="C42" s="25">
        <f t="shared" si="3"/>
        <v>7251.7077554820153</v>
      </c>
      <c r="D42" s="55">
        <f t="shared" ca="1" si="3"/>
        <v>5335.9810661775173</v>
      </c>
      <c r="E42" s="25">
        <f>F$4</f>
        <v>2645.8677245958893</v>
      </c>
      <c r="F42" s="55">
        <f ca="1">G$4</f>
        <v>1686.1385279538206</v>
      </c>
      <c r="G42" s="96">
        <f>($J$11/$J$18)*(J$2)</f>
        <v>0.74025000000000007</v>
      </c>
      <c r="H42" s="96">
        <f ca="1">($J$11/$J$18)*(K$2)</f>
        <v>0.74716362255040447</v>
      </c>
      <c r="I42" s="220">
        <f>$J$11/$J$18</f>
        <v>0.75</v>
      </c>
    </row>
    <row r="43" spans="1:22" x14ac:dyDescent="0.25">
      <c r="A43" s="8">
        <v>21</v>
      </c>
      <c r="B43" s="96" t="s">
        <v>563</v>
      </c>
      <c r="C43" s="25">
        <f>B$17+B$3+B$13+B$7+(2*B$8)+B$10+(3*B$14)+B$15+B$5</f>
        <v>9956.052977247844</v>
      </c>
      <c r="D43" s="55">
        <f ca="1">C$17+C$3+C$13+C$7+(2*C$8)+C$10+(3*C$14)+C$15+C$5</f>
        <v>12569.669324942392</v>
      </c>
      <c r="E43" s="25">
        <f>F$2</f>
        <v>1063.2766935978477</v>
      </c>
      <c r="F43" s="55">
        <f ca="1">G$2</f>
        <v>1228.8185715166962</v>
      </c>
      <c r="G43" s="96">
        <v>0</v>
      </c>
      <c r="H43" s="96">
        <v>0</v>
      </c>
      <c r="I43" s="220">
        <v>0</v>
      </c>
    </row>
    <row r="44" spans="1:22" x14ac:dyDescent="0.25">
      <c r="A44" s="8">
        <v>22</v>
      </c>
      <c r="B44" s="96" t="s">
        <v>564</v>
      </c>
      <c r="C44" s="25">
        <f t="shared" ref="C44:D46" si="4">B$17+B$3+B$13+B$7+(2*B$8)+B$10+(3*B$14)+B$15+B$5</f>
        <v>9956.052977247844</v>
      </c>
      <c r="D44" s="55">
        <f t="shared" ca="1" si="4"/>
        <v>12569.669324942392</v>
      </c>
      <c r="E44" s="25">
        <f>F$3</f>
        <v>15934.549158120588</v>
      </c>
      <c r="F44" s="55">
        <f ca="1">G$3</f>
        <v>2328.7412100836791</v>
      </c>
      <c r="G44" s="96">
        <v>0</v>
      </c>
      <c r="H44" s="96">
        <v>0</v>
      </c>
      <c r="I44" s="220">
        <v>0</v>
      </c>
    </row>
    <row r="45" spans="1:22" x14ac:dyDescent="0.25">
      <c r="A45" s="8">
        <v>23</v>
      </c>
      <c r="B45" s="96" t="s">
        <v>565</v>
      </c>
      <c r="C45" s="25">
        <f t="shared" si="4"/>
        <v>9956.052977247844</v>
      </c>
      <c r="D45" s="55">
        <f t="shared" ca="1" si="4"/>
        <v>12569.669324942392</v>
      </c>
      <c r="E45" s="25">
        <f>F$2</f>
        <v>1063.2766935978477</v>
      </c>
      <c r="F45" s="55">
        <f ca="1">G$2</f>
        <v>1228.8185715166962</v>
      </c>
      <c r="G45" s="96">
        <v>0</v>
      </c>
      <c r="H45" s="96">
        <v>0</v>
      </c>
      <c r="I45" s="220">
        <v>0</v>
      </c>
    </row>
    <row r="46" spans="1:22" x14ac:dyDescent="0.25">
      <c r="A46" s="8">
        <v>24</v>
      </c>
      <c r="B46" s="96" t="s">
        <v>566</v>
      </c>
      <c r="C46" s="25">
        <f t="shared" si="4"/>
        <v>9956.052977247844</v>
      </c>
      <c r="D46" s="55">
        <f t="shared" ca="1" si="4"/>
        <v>12569.669324942392</v>
      </c>
      <c r="E46" s="25">
        <f>F$3</f>
        <v>15934.549158120588</v>
      </c>
      <c r="F46" s="55">
        <f ca="1">G$3</f>
        <v>2328.7412100836791</v>
      </c>
      <c r="G46" s="96">
        <v>0</v>
      </c>
      <c r="H46" s="96">
        <v>0</v>
      </c>
      <c r="I46" s="220">
        <v>0</v>
      </c>
    </row>
    <row r="47" spans="1:22" x14ac:dyDescent="0.25">
      <c r="A47" s="8">
        <v>25</v>
      </c>
      <c r="B47" s="96" t="s">
        <v>567</v>
      </c>
      <c r="C47" s="25">
        <f>B$17+B$3+B$13+B$7+(2*B$8)+B$10+(3*B$14)+B$5</f>
        <v>8325.0730983304638</v>
      </c>
      <c r="D47" s="55">
        <f ca="1">C$17+C$3+C$13+C$7+(2*C$8)+C$10+(3*C$14)+C$5</f>
        <v>9918.6956943357181</v>
      </c>
      <c r="E47" s="25">
        <f>F$2</f>
        <v>1063.2766935978477</v>
      </c>
      <c r="F47" s="55">
        <f ca="1">G$2</f>
        <v>1228.8185715166962</v>
      </c>
      <c r="G47" s="96">
        <f>($J$12/$J$18)*(J$2-J$5)</f>
        <v>0.56290384615384625</v>
      </c>
      <c r="H47" s="96">
        <f ca="1">($J$12/$J$18)*(K$2-K$5)</f>
        <v>0.56909510728541646</v>
      </c>
      <c r="I47" s="220">
        <f>$J$12/$J$18</f>
        <v>0.63461538461538458</v>
      </c>
    </row>
    <row r="48" spans="1:22" x14ac:dyDescent="0.25">
      <c r="A48" s="8">
        <v>26</v>
      </c>
      <c r="B48" s="96" t="s">
        <v>568</v>
      </c>
      <c r="C48" s="25">
        <f t="shared" ref="C48:D50" si="5">B$17+B$3+B$13+B$7+(2*B$8)+B$10+(3*B$14)+B$5</f>
        <v>8325.0730983304638</v>
      </c>
      <c r="D48" s="55">
        <f t="shared" ca="1" si="5"/>
        <v>9918.6956943357181</v>
      </c>
      <c r="E48" s="25">
        <f>F$3</f>
        <v>15934.549158120588</v>
      </c>
      <c r="F48" s="55">
        <f ca="1">G$3</f>
        <v>2328.7412100836791</v>
      </c>
      <c r="G48" s="96">
        <f>($J$12/$J$18)*(J$2)</f>
        <v>0.6263653846153846</v>
      </c>
      <c r="H48" s="96">
        <f ca="1">($J$12/$J$18)*(K$2)</f>
        <v>0.63221537292726526</v>
      </c>
      <c r="I48" s="220">
        <f>$J$12/$J$18</f>
        <v>0.63461538461538458</v>
      </c>
    </row>
    <row r="49" spans="1:9" x14ac:dyDescent="0.25">
      <c r="A49" s="8">
        <v>27</v>
      </c>
      <c r="B49" s="96" t="s">
        <v>569</v>
      </c>
      <c r="C49" s="25">
        <f t="shared" si="5"/>
        <v>8325.0730983304638</v>
      </c>
      <c r="D49" s="55">
        <f t="shared" ca="1" si="5"/>
        <v>9918.6956943357181</v>
      </c>
      <c r="E49" s="25">
        <f>F$2</f>
        <v>1063.2766935978477</v>
      </c>
      <c r="F49" s="55">
        <f ca="1">G$2</f>
        <v>1228.8185715166962</v>
      </c>
      <c r="G49" s="96">
        <f>($J$12/$J$18)*(J$2-J$5)</f>
        <v>0.56290384615384625</v>
      </c>
      <c r="H49" s="96">
        <f ca="1">($J$12/$J$18)*(K$2-K$5)</f>
        <v>0.56909510728541646</v>
      </c>
      <c r="I49" s="220">
        <f>$J$12/$J$18</f>
        <v>0.63461538461538458</v>
      </c>
    </row>
    <row r="50" spans="1:9" x14ac:dyDescent="0.25">
      <c r="A50" s="8">
        <v>28</v>
      </c>
      <c r="B50" s="96" t="s">
        <v>570</v>
      </c>
      <c r="C50" s="25">
        <f t="shared" si="5"/>
        <v>8325.0730983304638</v>
      </c>
      <c r="D50" s="55">
        <f t="shared" ca="1" si="5"/>
        <v>9918.6956943357181</v>
      </c>
      <c r="E50" s="25">
        <f>F$3</f>
        <v>15934.549158120588</v>
      </c>
      <c r="F50" s="55">
        <f ca="1">G$3</f>
        <v>2328.7412100836791</v>
      </c>
      <c r="G50" s="96">
        <f>($J$12/$J$18)*(J$2)</f>
        <v>0.6263653846153846</v>
      </c>
      <c r="H50" s="96">
        <f ca="1">($J$12/$J$18)*(K$2)</f>
        <v>0.63221537292726526</v>
      </c>
      <c r="I50" s="220">
        <f>$J$12/$J$18</f>
        <v>0.63461538461538458</v>
      </c>
    </row>
    <row r="51" spans="1:9" x14ac:dyDescent="0.25">
      <c r="A51" s="8">
        <v>29</v>
      </c>
      <c r="B51" s="96" t="s">
        <v>571</v>
      </c>
      <c r="C51" s="25">
        <f>B$18+B$3+B$13+B$7+(2*B$8)+B$10+(3*B$14)+B$15</f>
        <v>8843.0405763189246</v>
      </c>
      <c r="D51" s="55">
        <f ca="1">C$18+C$3+C$13+C$7+(2*C$8)+C$10+(3*C$14)+C$15</f>
        <v>10177.227556478038</v>
      </c>
      <c r="E51" s="25">
        <f>F$2</f>
        <v>1063.2766935978477</v>
      </c>
      <c r="F51" s="55">
        <f ca="1">G$2</f>
        <v>1228.8185715166962</v>
      </c>
      <c r="G51" s="96">
        <v>0</v>
      </c>
      <c r="H51" s="96">
        <v>0</v>
      </c>
      <c r="I51" s="220">
        <v>0</v>
      </c>
    </row>
    <row r="52" spans="1:9" x14ac:dyDescent="0.25">
      <c r="A52" s="8">
        <v>30</v>
      </c>
      <c r="B52" s="96" t="s">
        <v>572</v>
      </c>
      <c r="C52" s="25">
        <f t="shared" ref="C52:D54" si="6">B$18+B$3+B$13+B$7+(2*B$8)+B$10+(3*B$14)+B$15</f>
        <v>8843.0405763189246</v>
      </c>
      <c r="D52" s="55">
        <f t="shared" ca="1" si="6"/>
        <v>10177.227556478038</v>
      </c>
      <c r="E52" s="25">
        <f>F$4</f>
        <v>2645.8677245958893</v>
      </c>
      <c r="F52" s="55">
        <f ca="1">G$4</f>
        <v>1686.1385279538206</v>
      </c>
      <c r="G52" s="96">
        <v>0</v>
      </c>
      <c r="H52" s="96">
        <v>0</v>
      </c>
      <c r="I52" s="220">
        <v>0</v>
      </c>
    </row>
    <row r="53" spans="1:9" x14ac:dyDescent="0.25">
      <c r="A53" s="8">
        <v>31</v>
      </c>
      <c r="B53" s="96" t="s">
        <v>573</v>
      </c>
      <c r="C53" s="25">
        <f t="shared" si="6"/>
        <v>8843.0405763189246</v>
      </c>
      <c r="D53" s="55">
        <f t="shared" ca="1" si="6"/>
        <v>10177.227556478038</v>
      </c>
      <c r="E53" s="25">
        <f>F$2</f>
        <v>1063.2766935978477</v>
      </c>
      <c r="F53" s="55">
        <f ca="1">G$2</f>
        <v>1228.8185715166962</v>
      </c>
      <c r="G53" s="96">
        <v>0</v>
      </c>
      <c r="H53" s="96">
        <v>0</v>
      </c>
      <c r="I53" s="220">
        <v>0</v>
      </c>
    </row>
    <row r="54" spans="1:9" x14ac:dyDescent="0.25">
      <c r="A54" s="8">
        <v>32</v>
      </c>
      <c r="B54" s="96" t="s">
        <v>574</v>
      </c>
      <c r="C54" s="25">
        <f t="shared" si="6"/>
        <v>8843.0405763189246</v>
      </c>
      <c r="D54" s="55">
        <f t="shared" ca="1" si="6"/>
        <v>10177.227556478038</v>
      </c>
      <c r="E54" s="25">
        <f>F$4</f>
        <v>2645.8677245958893</v>
      </c>
      <c r="F54" s="55">
        <f ca="1">G$4</f>
        <v>1686.1385279538206</v>
      </c>
      <c r="G54" s="96">
        <v>0</v>
      </c>
      <c r="H54" s="96">
        <v>0</v>
      </c>
      <c r="I54" s="220">
        <v>0</v>
      </c>
    </row>
    <row r="55" spans="1:9" x14ac:dyDescent="0.25">
      <c r="A55" s="8">
        <v>33</v>
      </c>
      <c r="B55" s="96" t="s">
        <v>575</v>
      </c>
      <c r="C55" s="25">
        <f>B$18+B$3+B$13+B$7+(2*B$8)+B$10+(3*B$14)</f>
        <v>7212.0606974015463</v>
      </c>
      <c r="D55" s="55">
        <f ca="1">C$18+C$3+C$13+C$7+(2*C$8)+C$10+(3*C$14)</f>
        <v>7526.2539258713632</v>
      </c>
      <c r="E55" s="25">
        <f>F$2</f>
        <v>1063.2766935978477</v>
      </c>
      <c r="F55" s="55">
        <f ca="1">G$2</f>
        <v>1228.8185715166962</v>
      </c>
      <c r="G55" s="96">
        <f>($J$13/$J$18)*(J$2-J$5)</f>
        <v>0.64819230769230773</v>
      </c>
      <c r="H55" s="96">
        <f ca="1">($J$13/$J$18)*(K$2-K$5)</f>
        <v>0.65532163869229776</v>
      </c>
      <c r="I55" s="220">
        <f>$J$13/$J$18</f>
        <v>0.73076923076923073</v>
      </c>
    </row>
    <row r="56" spans="1:9" x14ac:dyDescent="0.25">
      <c r="A56" s="8">
        <v>34</v>
      </c>
      <c r="B56" s="96" t="s">
        <v>576</v>
      </c>
      <c r="C56" s="25">
        <f t="shared" ref="C56:D58" si="7">B$18+B$3+B$13+B$7+(2*B$8)+B$10+(3*B$14)</f>
        <v>7212.0606974015463</v>
      </c>
      <c r="D56" s="55">
        <f t="shared" ca="1" si="7"/>
        <v>7526.2539258713632</v>
      </c>
      <c r="E56" s="25">
        <f>F$4</f>
        <v>2645.8677245958893</v>
      </c>
      <c r="F56" s="55">
        <f ca="1">G$4</f>
        <v>1686.1385279538206</v>
      </c>
      <c r="G56" s="96">
        <f>($J$13/$J$18)*(J$2)</f>
        <v>0.72126923076923077</v>
      </c>
      <c r="H56" s="96">
        <f ca="1">($J$13/$J$18)*(K$2)</f>
        <v>0.72800558094654788</v>
      </c>
      <c r="I56" s="220">
        <f>$J$13/$J$18</f>
        <v>0.73076923076923073</v>
      </c>
    </row>
    <row r="57" spans="1:9" x14ac:dyDescent="0.25">
      <c r="A57" s="8">
        <v>35</v>
      </c>
      <c r="B57" s="96" t="s">
        <v>577</v>
      </c>
      <c r="C57" s="25">
        <f t="shared" si="7"/>
        <v>7212.0606974015463</v>
      </c>
      <c r="D57" s="55">
        <f t="shared" ca="1" si="7"/>
        <v>7526.2539258713632</v>
      </c>
      <c r="E57" s="25">
        <f>F$2</f>
        <v>1063.2766935978477</v>
      </c>
      <c r="F57" s="55">
        <f ca="1">G$2</f>
        <v>1228.8185715166962</v>
      </c>
      <c r="G57" s="96">
        <f>($J$13/$J$18)*(J$2-J$5)</f>
        <v>0.64819230769230773</v>
      </c>
      <c r="H57" s="96">
        <f ca="1">($J$13/$J$18)*(K$2-K$5)</f>
        <v>0.65532163869229776</v>
      </c>
      <c r="I57" s="220">
        <f>$J$13/$J$18</f>
        <v>0.73076923076923073</v>
      </c>
    </row>
    <row r="58" spans="1:9" x14ac:dyDescent="0.25">
      <c r="A58" s="8">
        <v>36</v>
      </c>
      <c r="B58" s="96" t="s">
        <v>578</v>
      </c>
      <c r="C58" s="25">
        <f t="shared" si="7"/>
        <v>7212.0606974015463</v>
      </c>
      <c r="D58" s="55">
        <f t="shared" ca="1" si="7"/>
        <v>7526.2539258713632</v>
      </c>
      <c r="E58" s="25">
        <f>F$4</f>
        <v>2645.8677245958893</v>
      </c>
      <c r="F58" s="55">
        <f ca="1">G$4</f>
        <v>1686.1385279538206</v>
      </c>
      <c r="G58" s="96">
        <f>($J$13/$J$18)*(J$2)</f>
        <v>0.72126923076923077</v>
      </c>
      <c r="H58" s="96">
        <f ca="1">($J$13/$J$18)*(K$2)</f>
        <v>0.72800558094654788</v>
      </c>
      <c r="I58" s="220">
        <f>$J$13/$J$18</f>
        <v>0.73076923076923073</v>
      </c>
    </row>
    <row r="59" spans="1:9" x14ac:dyDescent="0.25">
      <c r="A59" s="8">
        <v>37</v>
      </c>
      <c r="B59" s="96" t="s">
        <v>579</v>
      </c>
      <c r="C59" s="25">
        <f>B$4+B$11+(3*B$10)+(3*B$14)+B$7+(2*B$8)+B$17+B$15+B$5</f>
        <v>8390.965587029521</v>
      </c>
      <c r="D59" s="55">
        <f ca="1">C$4+C$11+(3*C$10)+(3*C$14)+C$7+(2*C$8)+C$17+C$15+C$5</f>
        <v>10556.876907514104</v>
      </c>
      <c r="E59" s="25">
        <f>F$2</f>
        <v>1063.2766935978477</v>
      </c>
      <c r="F59" s="55">
        <f ca="1">G$2</f>
        <v>1228.8185715166962</v>
      </c>
      <c r="G59" s="96">
        <v>0</v>
      </c>
      <c r="H59" s="96">
        <v>0</v>
      </c>
      <c r="I59" s="220">
        <v>0</v>
      </c>
    </row>
    <row r="60" spans="1:9" x14ac:dyDescent="0.25">
      <c r="A60" s="8">
        <v>38</v>
      </c>
      <c r="B60" s="96" t="s">
        <v>580</v>
      </c>
      <c r="C60" s="25">
        <f t="shared" ref="C60:D62" si="8">B$4+B$11+(3*B$10)+(3*B$14)+B$7+(2*B$8)+B$17+B$15+B$5</f>
        <v>8390.965587029521</v>
      </c>
      <c r="D60" s="55">
        <f t="shared" ca="1" si="8"/>
        <v>10556.876907514104</v>
      </c>
      <c r="E60" s="25">
        <f>F$3</f>
        <v>15934.549158120588</v>
      </c>
      <c r="F60" s="55">
        <f ca="1">G$3</f>
        <v>2328.7412100836791</v>
      </c>
      <c r="G60" s="96">
        <v>0</v>
      </c>
      <c r="H60" s="96">
        <v>0</v>
      </c>
      <c r="I60" s="220">
        <v>0</v>
      </c>
    </row>
    <row r="61" spans="1:9" x14ac:dyDescent="0.25">
      <c r="A61" s="8">
        <v>39</v>
      </c>
      <c r="B61" s="96" t="s">
        <v>581</v>
      </c>
      <c r="C61" s="25">
        <f t="shared" si="8"/>
        <v>8390.965587029521</v>
      </c>
      <c r="D61" s="55">
        <f t="shared" ca="1" si="8"/>
        <v>10556.876907514104</v>
      </c>
      <c r="E61" s="25">
        <f>F$2</f>
        <v>1063.2766935978477</v>
      </c>
      <c r="F61" s="55">
        <f ca="1">G$2</f>
        <v>1228.8185715166962</v>
      </c>
      <c r="G61" s="96">
        <v>0</v>
      </c>
      <c r="H61" s="96">
        <v>0</v>
      </c>
      <c r="I61" s="220">
        <v>0</v>
      </c>
    </row>
    <row r="62" spans="1:9" x14ac:dyDescent="0.25">
      <c r="A62" s="8">
        <v>40</v>
      </c>
      <c r="B62" s="96" t="s">
        <v>582</v>
      </c>
      <c r="C62" s="25">
        <f t="shared" si="8"/>
        <v>8390.965587029521</v>
      </c>
      <c r="D62" s="55">
        <f t="shared" ca="1" si="8"/>
        <v>10556.876907514104</v>
      </c>
      <c r="E62" s="25">
        <f>F$3</f>
        <v>15934.549158120588</v>
      </c>
      <c r="F62" s="55">
        <f ca="1">G$3</f>
        <v>2328.7412100836791</v>
      </c>
      <c r="G62" s="96">
        <v>0</v>
      </c>
      <c r="H62" s="96">
        <v>0</v>
      </c>
      <c r="I62" s="220">
        <v>0</v>
      </c>
    </row>
    <row r="63" spans="1:9" x14ac:dyDescent="0.25">
      <c r="A63" s="8">
        <v>41</v>
      </c>
      <c r="B63" s="96" t="s">
        <v>583</v>
      </c>
      <c r="C63" s="25">
        <f>B$4+B$11+(3*B$10)+(3*B$14)+B$7+(2*B$8)+B$17+B$5</f>
        <v>6759.9857081121418</v>
      </c>
      <c r="D63" s="55">
        <f ca="1">C$4+C$11+(3*C$10)+(3*C$14)+C$7+(2*C$8)+C$17+C$5</f>
        <v>7905.9032769074292</v>
      </c>
      <c r="E63" s="25">
        <f>F$2</f>
        <v>1063.2766935978477</v>
      </c>
      <c r="F63" s="55">
        <f ca="1">G$2</f>
        <v>1228.8185715166962</v>
      </c>
      <c r="G63" s="96">
        <f>($J$14/$J$18)*(J$2-J$5)</f>
        <v>0.56290384615384625</v>
      </c>
      <c r="H63" s="96">
        <f ca="1">($J$14/$J$18)*(K$2-K$5)</f>
        <v>0.56909510728541646</v>
      </c>
      <c r="I63" s="220">
        <f>$J$14/$J$18</f>
        <v>0.63461538461538458</v>
      </c>
    </row>
    <row r="64" spans="1:9" x14ac:dyDescent="0.25">
      <c r="A64" s="8">
        <v>42</v>
      </c>
      <c r="B64" s="96" t="s">
        <v>584</v>
      </c>
      <c r="C64" s="25">
        <f t="shared" ref="C64:D66" si="9">B$4+B$11+(3*B$10)+(3*B$14)+B$7+(2*B$8)+B$17+B$5</f>
        <v>6759.9857081121418</v>
      </c>
      <c r="D64" s="55">
        <f t="shared" ca="1" si="9"/>
        <v>7905.9032769074292</v>
      </c>
      <c r="E64" s="25">
        <f>F$3</f>
        <v>15934.549158120588</v>
      </c>
      <c r="F64" s="55">
        <f ca="1">G$3</f>
        <v>2328.7412100836791</v>
      </c>
      <c r="G64" s="96">
        <f>($J$14/$J$18)*(J$2)</f>
        <v>0.6263653846153846</v>
      </c>
      <c r="H64" s="96">
        <f ca="1">($J$14/$J$18)*(K$2)</f>
        <v>0.63221537292726526</v>
      </c>
      <c r="I64" s="220">
        <f>$J$14/$J$18</f>
        <v>0.63461538461538458</v>
      </c>
    </row>
    <row r="65" spans="1:9" x14ac:dyDescent="0.25">
      <c r="A65" s="8">
        <v>43</v>
      </c>
      <c r="B65" s="96" t="s">
        <v>585</v>
      </c>
      <c r="C65" s="25">
        <f t="shared" si="9"/>
        <v>6759.9857081121418</v>
      </c>
      <c r="D65" s="55">
        <f t="shared" ca="1" si="9"/>
        <v>7905.9032769074292</v>
      </c>
      <c r="E65" s="25">
        <f>F$2</f>
        <v>1063.2766935978477</v>
      </c>
      <c r="F65" s="55">
        <f ca="1">G$2</f>
        <v>1228.8185715166962</v>
      </c>
      <c r="G65" s="96">
        <f>($J$14/$J$18)*(J$2-J$5)</f>
        <v>0.56290384615384625</v>
      </c>
      <c r="H65" s="96">
        <f ca="1">($J$14/$J$18)*(K$2-K$5)</f>
        <v>0.56909510728541646</v>
      </c>
      <c r="I65" s="220">
        <f>$J$14/$J$18</f>
        <v>0.63461538461538458</v>
      </c>
    </row>
    <row r="66" spans="1:9" x14ac:dyDescent="0.25">
      <c r="A66" s="8">
        <v>44</v>
      </c>
      <c r="B66" s="96" t="s">
        <v>586</v>
      </c>
      <c r="C66" s="25">
        <f t="shared" si="9"/>
        <v>6759.9857081121418</v>
      </c>
      <c r="D66" s="55">
        <f t="shared" ca="1" si="9"/>
        <v>7905.9032769074292</v>
      </c>
      <c r="E66" s="25">
        <f>F$3</f>
        <v>15934.549158120588</v>
      </c>
      <c r="F66" s="55">
        <f ca="1">G$3</f>
        <v>2328.7412100836791</v>
      </c>
      <c r="G66" s="96">
        <f>($J$14/$J$18)*(J$2)</f>
        <v>0.6263653846153846</v>
      </c>
      <c r="H66" s="96">
        <f ca="1">($J$14/$J$18)*(K$2)</f>
        <v>0.63221537292726526</v>
      </c>
      <c r="I66" s="220">
        <f>$J$14/$J$18</f>
        <v>0.63461538461538458</v>
      </c>
    </row>
    <row r="67" spans="1:9" x14ac:dyDescent="0.25">
      <c r="A67" s="8">
        <v>45</v>
      </c>
      <c r="B67" s="96" t="s">
        <v>587</v>
      </c>
      <c r="C67" s="25">
        <f t="shared" ref="C67:D70" si="10">B$4+B$11+(3*B$10)+(3*B$14)+B$7+(2*B$8)+B$18+B$15</f>
        <v>7277.9531861006026</v>
      </c>
      <c r="D67" s="55">
        <f t="shared" ca="1" si="10"/>
        <v>8164.4351390497486</v>
      </c>
      <c r="E67" s="25">
        <f>F$2</f>
        <v>1063.2766935978477</v>
      </c>
      <c r="F67" s="55">
        <f ca="1">G$2</f>
        <v>1228.8185715166962</v>
      </c>
      <c r="G67" s="96">
        <v>0</v>
      </c>
      <c r="H67" s="96">
        <v>0</v>
      </c>
      <c r="I67" s="220">
        <v>0</v>
      </c>
    </row>
    <row r="68" spans="1:9" x14ac:dyDescent="0.25">
      <c r="A68" s="8">
        <v>46</v>
      </c>
      <c r="B68" s="96" t="s">
        <v>588</v>
      </c>
      <c r="C68" s="25">
        <f t="shared" si="10"/>
        <v>7277.9531861006026</v>
      </c>
      <c r="D68" s="55">
        <f t="shared" ca="1" si="10"/>
        <v>8164.4351390497486</v>
      </c>
      <c r="E68" s="25">
        <f>F$4</f>
        <v>2645.8677245958893</v>
      </c>
      <c r="F68" s="55">
        <f ca="1">G$4</f>
        <v>1686.1385279538206</v>
      </c>
      <c r="G68" s="96">
        <v>0</v>
      </c>
      <c r="H68" s="96">
        <v>0</v>
      </c>
      <c r="I68" s="220">
        <v>0</v>
      </c>
    </row>
    <row r="69" spans="1:9" x14ac:dyDescent="0.25">
      <c r="A69" s="8">
        <v>47</v>
      </c>
      <c r="B69" s="96" t="s">
        <v>589</v>
      </c>
      <c r="C69" s="25">
        <f t="shared" si="10"/>
        <v>7277.9531861006026</v>
      </c>
      <c r="D69" s="55">
        <f t="shared" ca="1" si="10"/>
        <v>8164.4351390497486</v>
      </c>
      <c r="E69" s="25">
        <f>F$2</f>
        <v>1063.2766935978477</v>
      </c>
      <c r="F69" s="55">
        <f ca="1">G$2</f>
        <v>1228.8185715166962</v>
      </c>
      <c r="G69" s="96">
        <v>0</v>
      </c>
      <c r="H69" s="96">
        <v>0</v>
      </c>
      <c r="I69" s="220">
        <v>0</v>
      </c>
    </row>
    <row r="70" spans="1:9" x14ac:dyDescent="0.25">
      <c r="A70" s="8">
        <v>48</v>
      </c>
      <c r="B70" s="96" t="s">
        <v>590</v>
      </c>
      <c r="C70" s="25">
        <f t="shared" si="10"/>
        <v>7277.9531861006026</v>
      </c>
      <c r="D70" s="55">
        <f t="shared" ca="1" si="10"/>
        <v>8164.4351390497486</v>
      </c>
      <c r="E70" s="25">
        <f>F$4</f>
        <v>2645.8677245958893</v>
      </c>
      <c r="F70" s="55">
        <f ca="1">G$4</f>
        <v>1686.1385279538206</v>
      </c>
      <c r="G70" s="96">
        <v>0</v>
      </c>
      <c r="H70" s="96">
        <v>0</v>
      </c>
      <c r="I70" s="220">
        <v>0</v>
      </c>
    </row>
    <row r="71" spans="1:9" x14ac:dyDescent="0.25">
      <c r="A71" s="8">
        <v>49</v>
      </c>
      <c r="B71" s="96" t="s">
        <v>591</v>
      </c>
      <c r="C71" s="25">
        <f t="shared" ref="C71:D74" si="11">B$4+B$11+(3*B$10)+(3*B$14)+B$7+(2*B$8)+B$18</f>
        <v>5646.9733071832234</v>
      </c>
      <c r="D71" s="55">
        <f t="shared" ca="1" si="11"/>
        <v>5513.4615084430743</v>
      </c>
      <c r="E71" s="25">
        <f>F$2</f>
        <v>1063.2766935978477</v>
      </c>
      <c r="F71" s="55">
        <f ca="1">G$2</f>
        <v>1228.8185715166962</v>
      </c>
      <c r="G71" s="96">
        <f>($J$15/$J$18)*(J$2-J$5)</f>
        <v>0.66525000000000012</v>
      </c>
      <c r="H71" s="96">
        <f ca="1">($J$15/$J$18)*(K$2-K$5)</f>
        <v>0.67256694497367409</v>
      </c>
      <c r="I71" s="220">
        <f>$J$15/$J$18</f>
        <v>0.75</v>
      </c>
    </row>
    <row r="72" spans="1:9" x14ac:dyDescent="0.25">
      <c r="A72" s="8">
        <v>50</v>
      </c>
      <c r="B72" s="96" t="s">
        <v>592</v>
      </c>
      <c r="C72" s="25">
        <f t="shared" si="11"/>
        <v>5646.9733071832234</v>
      </c>
      <c r="D72" s="55">
        <f t="shared" ca="1" si="11"/>
        <v>5513.4615084430743</v>
      </c>
      <c r="E72" s="25">
        <f>F$4</f>
        <v>2645.8677245958893</v>
      </c>
      <c r="F72" s="55">
        <f ca="1">G$4</f>
        <v>1686.1385279538206</v>
      </c>
      <c r="G72" s="96">
        <f>($J$15/$J$18)*(J$2)</f>
        <v>0.74025000000000007</v>
      </c>
      <c r="H72" s="96">
        <f ca="1">($J$15/$J$18)*(K$2)</f>
        <v>0.74716362255040447</v>
      </c>
      <c r="I72" s="220">
        <f>$J$15/$J$18</f>
        <v>0.75</v>
      </c>
    </row>
    <row r="73" spans="1:9" x14ac:dyDescent="0.25">
      <c r="A73" s="8">
        <v>51</v>
      </c>
      <c r="B73" s="96" t="s">
        <v>593</v>
      </c>
      <c r="C73" s="25">
        <f t="shared" si="11"/>
        <v>5646.9733071832234</v>
      </c>
      <c r="D73" s="55">
        <f t="shared" ca="1" si="11"/>
        <v>5513.4615084430743</v>
      </c>
      <c r="E73" s="25">
        <f>F$2</f>
        <v>1063.2766935978477</v>
      </c>
      <c r="F73" s="55">
        <f ca="1">G$2</f>
        <v>1228.8185715166962</v>
      </c>
      <c r="G73" s="96">
        <f>($J$15/$J$18)*(J$2-J$5)</f>
        <v>0.66525000000000012</v>
      </c>
      <c r="H73" s="96">
        <f ca="1">($J$15/$J$18)*(K$2-K$5)</f>
        <v>0.67256694497367409</v>
      </c>
      <c r="I73" s="220">
        <f>$J$15/$J$18</f>
        <v>0.75</v>
      </c>
    </row>
    <row r="74" spans="1:9" x14ac:dyDescent="0.25">
      <c r="A74" s="8">
        <v>52</v>
      </c>
      <c r="B74" s="96" t="s">
        <v>594</v>
      </c>
      <c r="C74" s="25">
        <f t="shared" si="11"/>
        <v>5646.9733071832234</v>
      </c>
      <c r="D74" s="55">
        <f t="shared" ca="1" si="11"/>
        <v>5513.4615084430743</v>
      </c>
      <c r="E74" s="25">
        <f>F$4</f>
        <v>2645.8677245958893</v>
      </c>
      <c r="F74" s="55">
        <f ca="1">G$4</f>
        <v>1686.1385279538206</v>
      </c>
      <c r="G74" s="96">
        <f>($J$15/$J$18)*(J$2)</f>
        <v>0.74025000000000007</v>
      </c>
      <c r="H74" s="96">
        <f ca="1">($J$15/$J$18)*(K$2)</f>
        <v>0.74716362255040447</v>
      </c>
      <c r="I74" s="220">
        <f>$J$15/$J$18</f>
        <v>0.75</v>
      </c>
    </row>
    <row r="75" spans="1:9" x14ac:dyDescent="0.25">
      <c r="A75" s="8">
        <v>53</v>
      </c>
      <c r="B75" s="96" t="s">
        <v>595</v>
      </c>
      <c r="C75" s="25">
        <f>B$11+B$17+B$15+B$5</f>
        <v>5927.7224154711803</v>
      </c>
      <c r="D75" s="55">
        <f t="shared" ref="C75:D78" ca="1" si="12">C$11+C$17+C$15+C$5</f>
        <v>8416.7498909639289</v>
      </c>
      <c r="E75" s="25">
        <f>F$2</f>
        <v>1063.2766935978477</v>
      </c>
      <c r="F75" s="55">
        <f ca="1">G$2</f>
        <v>1228.8185715166962</v>
      </c>
      <c r="G75" s="96">
        <v>0</v>
      </c>
      <c r="H75" s="96">
        <v>0</v>
      </c>
      <c r="I75" s="220">
        <v>0</v>
      </c>
    </row>
    <row r="76" spans="1:9" x14ac:dyDescent="0.25">
      <c r="A76" s="8">
        <v>54</v>
      </c>
      <c r="B76" s="96" t="s">
        <v>596</v>
      </c>
      <c r="C76" s="25">
        <f t="shared" si="12"/>
        <v>5927.7224154711803</v>
      </c>
      <c r="D76" s="55">
        <f t="shared" ca="1" si="12"/>
        <v>8416.7498909639289</v>
      </c>
      <c r="E76" s="25">
        <f>F$3</f>
        <v>15934.549158120588</v>
      </c>
      <c r="F76" s="55">
        <f ca="1">G$3</f>
        <v>2328.7412100836791</v>
      </c>
      <c r="G76" s="96">
        <v>0</v>
      </c>
      <c r="H76" s="96">
        <v>0</v>
      </c>
      <c r="I76" s="220">
        <v>0</v>
      </c>
    </row>
    <row r="77" spans="1:9" x14ac:dyDescent="0.25">
      <c r="A77" s="8">
        <v>55</v>
      </c>
      <c r="B77" s="96" t="s">
        <v>597</v>
      </c>
      <c r="C77" s="25">
        <f t="shared" si="12"/>
        <v>5927.7224154711803</v>
      </c>
      <c r="D77" s="55">
        <f t="shared" ca="1" si="12"/>
        <v>8416.7498909639289</v>
      </c>
      <c r="E77" s="25">
        <f>F$2</f>
        <v>1063.2766935978477</v>
      </c>
      <c r="F77" s="55">
        <f ca="1">G$2</f>
        <v>1228.8185715166962</v>
      </c>
      <c r="G77" s="96">
        <v>0</v>
      </c>
      <c r="H77" s="96">
        <v>0</v>
      </c>
      <c r="I77" s="220">
        <v>0</v>
      </c>
    </row>
    <row r="78" spans="1:9" x14ac:dyDescent="0.25">
      <c r="A78" s="8">
        <v>56</v>
      </c>
      <c r="B78" s="96" t="s">
        <v>598</v>
      </c>
      <c r="C78" s="25">
        <f t="shared" si="12"/>
        <v>5927.7224154711803</v>
      </c>
      <c r="D78" s="55">
        <f t="shared" ca="1" si="12"/>
        <v>8416.7498909639289</v>
      </c>
      <c r="E78" s="25">
        <f>F$3</f>
        <v>15934.549158120588</v>
      </c>
      <c r="F78" s="55">
        <f ca="1">G$3</f>
        <v>2328.7412100836791</v>
      </c>
      <c r="G78" s="96">
        <v>0</v>
      </c>
      <c r="H78" s="96">
        <v>0</v>
      </c>
      <c r="I78" s="220">
        <v>0</v>
      </c>
    </row>
    <row r="79" spans="1:9" x14ac:dyDescent="0.25">
      <c r="A79" s="8">
        <v>57</v>
      </c>
      <c r="B79" s="96" t="s">
        <v>599</v>
      </c>
      <c r="C79" s="25">
        <f t="shared" ref="C79:D82" si="13">B$11+B$17+B$5</f>
        <v>4296.7425365538011</v>
      </c>
      <c r="D79" s="55">
        <f t="shared" ca="1" si="13"/>
        <v>5765.7762603572537</v>
      </c>
      <c r="E79" s="25">
        <f>F$2</f>
        <v>1063.2766935978477</v>
      </c>
      <c r="F79" s="55">
        <f ca="1">G$2</f>
        <v>1228.8185715166962</v>
      </c>
      <c r="G79" s="96">
        <f>($J$16/$J$18)*(J$2-J$5)</f>
        <v>0.56290384615384625</v>
      </c>
      <c r="H79" s="96">
        <f ca="1">($J$16/$J$18)*(K$2-K$5)</f>
        <v>0.56909510728541646</v>
      </c>
      <c r="I79" s="220">
        <f>$J$16/$J$18</f>
        <v>0.63461538461538458</v>
      </c>
    </row>
    <row r="80" spans="1:9" x14ac:dyDescent="0.25">
      <c r="A80" s="8">
        <v>58</v>
      </c>
      <c r="B80" s="96" t="s">
        <v>600</v>
      </c>
      <c r="C80" s="25">
        <f t="shared" si="13"/>
        <v>4296.7425365538011</v>
      </c>
      <c r="D80" s="55">
        <f t="shared" ca="1" si="13"/>
        <v>5765.7762603572537</v>
      </c>
      <c r="E80" s="25">
        <f>F$3</f>
        <v>15934.549158120588</v>
      </c>
      <c r="F80" s="55">
        <f ca="1">G$3</f>
        <v>2328.7412100836791</v>
      </c>
      <c r="G80" s="96">
        <f>($J$16/$J$18)*(J$2)</f>
        <v>0.6263653846153846</v>
      </c>
      <c r="H80" s="96">
        <f ca="1">($J$16/$J$18)*(K$2)</f>
        <v>0.63221537292726526</v>
      </c>
      <c r="I80" s="220">
        <f>$J$16/$J$18</f>
        <v>0.63461538461538458</v>
      </c>
    </row>
    <row r="81" spans="1:9" x14ac:dyDescent="0.25">
      <c r="A81" s="8">
        <v>59</v>
      </c>
      <c r="B81" s="96" t="s">
        <v>601</v>
      </c>
      <c r="C81" s="25">
        <f t="shared" si="13"/>
        <v>4296.7425365538011</v>
      </c>
      <c r="D81" s="55">
        <f t="shared" ca="1" si="13"/>
        <v>5765.7762603572537</v>
      </c>
      <c r="E81" s="25">
        <f>F$2</f>
        <v>1063.2766935978477</v>
      </c>
      <c r="F81" s="55">
        <f ca="1">G$2</f>
        <v>1228.8185715166962</v>
      </c>
      <c r="G81" s="96">
        <f>($J$16/$J$18)*(J$2-J$5)</f>
        <v>0.56290384615384625</v>
      </c>
      <c r="H81" s="96">
        <f ca="1">($J$16/$J$18)*(K$2-K$5)</f>
        <v>0.56909510728541646</v>
      </c>
      <c r="I81" s="220">
        <f>$J$16/$J$18</f>
        <v>0.63461538461538458</v>
      </c>
    </row>
    <row r="82" spans="1:9" x14ac:dyDescent="0.25">
      <c r="A82" s="8">
        <v>60</v>
      </c>
      <c r="B82" s="96" t="s">
        <v>602</v>
      </c>
      <c r="C82" s="25">
        <f t="shared" si="13"/>
        <v>4296.7425365538011</v>
      </c>
      <c r="D82" s="55">
        <f t="shared" ca="1" si="13"/>
        <v>5765.7762603572537</v>
      </c>
      <c r="E82" s="25">
        <f>F$3</f>
        <v>15934.549158120588</v>
      </c>
      <c r="F82" s="55">
        <f ca="1">G$3</f>
        <v>2328.7412100836791</v>
      </c>
      <c r="G82" s="96">
        <f>($J$16/$J$18)*(J$2)</f>
        <v>0.6263653846153846</v>
      </c>
      <c r="H82" s="96">
        <f ca="1">($J$16/$J$18)*(K$2)</f>
        <v>0.63221537292726526</v>
      </c>
      <c r="I82" s="220">
        <f>$J$16/$J$18</f>
        <v>0.63461538461538458</v>
      </c>
    </row>
    <row r="83" spans="1:9" x14ac:dyDescent="0.25">
      <c r="A83" s="8">
        <v>61</v>
      </c>
      <c r="B83" s="96" t="s">
        <v>603</v>
      </c>
      <c r="C83" s="25">
        <f t="shared" ref="C83:D86" si="14">B$11+B$18+B$15</f>
        <v>4814.7100145422619</v>
      </c>
      <c r="D83" s="55">
        <f t="shared" ca="1" si="14"/>
        <v>6024.3081224995731</v>
      </c>
      <c r="E83" s="25">
        <f>F$2</f>
        <v>1063.2766935978477</v>
      </c>
      <c r="F83" s="55">
        <f ca="1">G$2</f>
        <v>1228.8185715166962</v>
      </c>
      <c r="G83" s="96">
        <v>0</v>
      </c>
      <c r="H83" s="96">
        <v>0</v>
      </c>
      <c r="I83" s="220">
        <v>0</v>
      </c>
    </row>
    <row r="84" spans="1:9" x14ac:dyDescent="0.25">
      <c r="A84" s="8">
        <v>62</v>
      </c>
      <c r="B84" s="96" t="s">
        <v>604</v>
      </c>
      <c r="C84" s="25">
        <f t="shared" si="14"/>
        <v>4814.7100145422619</v>
      </c>
      <c r="D84" s="55">
        <f t="shared" ca="1" si="14"/>
        <v>6024.3081224995731</v>
      </c>
      <c r="E84" s="25">
        <f>F$4</f>
        <v>2645.8677245958893</v>
      </c>
      <c r="F84" s="55">
        <f ca="1">G$4</f>
        <v>1686.1385279538206</v>
      </c>
      <c r="G84" s="96">
        <v>0</v>
      </c>
      <c r="H84" s="96">
        <v>0</v>
      </c>
      <c r="I84" s="220">
        <v>0</v>
      </c>
    </row>
    <row r="85" spans="1:9" x14ac:dyDescent="0.25">
      <c r="A85" s="8">
        <v>63</v>
      </c>
      <c r="B85" s="96" t="s">
        <v>605</v>
      </c>
      <c r="C85" s="25">
        <f t="shared" si="14"/>
        <v>4814.7100145422619</v>
      </c>
      <c r="D85" s="55">
        <f t="shared" ca="1" si="14"/>
        <v>6024.3081224995731</v>
      </c>
      <c r="E85" s="25">
        <f>F$2</f>
        <v>1063.2766935978477</v>
      </c>
      <c r="F85" s="55">
        <f ca="1">G$2</f>
        <v>1228.8185715166962</v>
      </c>
      <c r="G85" s="96">
        <v>0</v>
      </c>
      <c r="H85" s="96">
        <v>0</v>
      </c>
      <c r="I85" s="220">
        <v>0</v>
      </c>
    </row>
    <row r="86" spans="1:9" x14ac:dyDescent="0.25">
      <c r="A86" s="8">
        <v>64</v>
      </c>
      <c r="B86" s="96" t="s">
        <v>606</v>
      </c>
      <c r="C86" s="25">
        <f t="shared" si="14"/>
        <v>4814.7100145422619</v>
      </c>
      <c r="D86" s="55">
        <f t="shared" ca="1" si="14"/>
        <v>6024.3081224995731</v>
      </c>
      <c r="E86" s="25">
        <f>F$4</f>
        <v>2645.8677245958893</v>
      </c>
      <c r="F86" s="55">
        <f ca="1">G$4</f>
        <v>1686.1385279538206</v>
      </c>
      <c r="G86" s="96">
        <v>0</v>
      </c>
      <c r="H86" s="96">
        <v>0</v>
      </c>
      <c r="I86" s="220">
        <v>0</v>
      </c>
    </row>
    <row r="87" spans="1:9" x14ac:dyDescent="0.25">
      <c r="A87" s="8">
        <v>65</v>
      </c>
      <c r="B87" s="96" t="s">
        <v>607</v>
      </c>
      <c r="C87" s="25">
        <f t="shared" ref="C87:D90" si="15">B$11+B$18</f>
        <v>3183.7301356248827</v>
      </c>
      <c r="D87" s="55">
        <f t="shared" ca="1" si="15"/>
        <v>3373.3344918928988</v>
      </c>
      <c r="E87" s="25">
        <f>F$2</f>
        <v>1063.2766935978477</v>
      </c>
      <c r="F87" s="55">
        <f ca="1">G$2</f>
        <v>1228.8185715166962</v>
      </c>
      <c r="G87" s="96">
        <f>($J$17/$J$18)*(J$2-J$5)</f>
        <v>0.68230769230769239</v>
      </c>
      <c r="H87" s="96">
        <f ca="1">($J$17/$J$18)*(K$2-K$5)</f>
        <v>0.68981225125505041</v>
      </c>
      <c r="I87" s="220">
        <f>$J$17/$J$18</f>
        <v>0.76923076923076927</v>
      </c>
    </row>
    <row r="88" spans="1:9" x14ac:dyDescent="0.25">
      <c r="A88" s="8">
        <v>66</v>
      </c>
      <c r="B88" s="96" t="s">
        <v>608</v>
      </c>
      <c r="C88" s="25">
        <f t="shared" si="15"/>
        <v>3183.7301356248827</v>
      </c>
      <c r="D88" s="55">
        <f t="shared" ca="1" si="15"/>
        <v>3373.3344918928988</v>
      </c>
      <c r="E88" s="25">
        <f>F$4</f>
        <v>2645.8677245958893</v>
      </c>
      <c r="F88" s="55">
        <f ca="1">G$4</f>
        <v>1686.1385279538206</v>
      </c>
      <c r="G88" s="96">
        <f>($J$17/$J$18)*(J$2)</f>
        <v>0.75923076923076938</v>
      </c>
      <c r="H88" s="96">
        <f ca="1">($J$17/$J$18)*(K$2)</f>
        <v>0.76632166415426106</v>
      </c>
      <c r="I88" s="220">
        <f>$J$17/$J$18</f>
        <v>0.76923076923076927</v>
      </c>
    </row>
    <row r="89" spans="1:9" x14ac:dyDescent="0.25">
      <c r="A89" s="8">
        <v>67</v>
      </c>
      <c r="B89" s="96" t="s">
        <v>609</v>
      </c>
      <c r="C89" s="25">
        <f t="shared" si="15"/>
        <v>3183.7301356248827</v>
      </c>
      <c r="D89" s="55">
        <f t="shared" ca="1" si="15"/>
        <v>3373.3344918928988</v>
      </c>
      <c r="E89" s="25">
        <f>F$2</f>
        <v>1063.2766935978477</v>
      </c>
      <c r="F89" s="55">
        <f ca="1">G$2</f>
        <v>1228.8185715166962</v>
      </c>
      <c r="G89" s="96">
        <f>($J$17/$J$18)*(J$2-J$5)</f>
        <v>0.68230769230769239</v>
      </c>
      <c r="H89" s="96">
        <f ca="1">($J$17/$J$18)*(K$2-K$5)</f>
        <v>0.68981225125505041</v>
      </c>
      <c r="I89" s="220">
        <f>$J$17/$J$18</f>
        <v>0.76923076923076927</v>
      </c>
    </row>
    <row r="90" spans="1:9" x14ac:dyDescent="0.25">
      <c r="A90" s="41">
        <v>68</v>
      </c>
      <c r="B90" s="97" t="s">
        <v>610</v>
      </c>
      <c r="C90" s="205">
        <f t="shared" si="15"/>
        <v>3183.7301356248827</v>
      </c>
      <c r="D90" s="206">
        <f t="shared" ca="1" si="15"/>
        <v>3373.3344918928988</v>
      </c>
      <c r="E90" s="205">
        <f>F$4</f>
        <v>2645.8677245958893</v>
      </c>
      <c r="F90" s="206">
        <f ca="1">G$4</f>
        <v>1686.1385279538206</v>
      </c>
      <c r="G90" s="97">
        <f>($J$17/$J$18)*(J$2)</f>
        <v>0.75923076923076938</v>
      </c>
      <c r="H90" s="97">
        <f ca="1">($J$17/$J$18)*(K$2)</f>
        <v>0.76632166415426106</v>
      </c>
      <c r="I90" s="220">
        <f>$J$17/$J$18</f>
        <v>0.76923076923076927</v>
      </c>
    </row>
    <row r="91" spans="1:9" x14ac:dyDescent="0.25">
      <c r="A91" s="8">
        <v>69</v>
      </c>
      <c r="B91" s="96" t="s">
        <v>611</v>
      </c>
      <c r="C91" s="25">
        <f>B$9+B$2+B$15</f>
        <v>2319.8245100564263</v>
      </c>
      <c r="D91" s="55">
        <f ca="1">C$9+C$2+C$15</f>
        <v>3300.3560413322166</v>
      </c>
      <c r="E91" s="25">
        <v>0</v>
      </c>
      <c r="F91" s="55">
        <v>0</v>
      </c>
      <c r="G91" s="96">
        <v>0</v>
      </c>
      <c r="H91" s="96">
        <v>0</v>
      </c>
      <c r="I91" s="220">
        <v>0</v>
      </c>
    </row>
    <row r="92" spans="1:9" x14ac:dyDescent="0.25">
      <c r="A92" s="8">
        <v>70</v>
      </c>
      <c r="B92" s="96" t="s">
        <v>612</v>
      </c>
      <c r="C92" s="25">
        <f>B$2+B$9</f>
        <v>688.84463113904735</v>
      </c>
      <c r="D92" s="55">
        <f ca="1">C$2+C$9</f>
        <v>649.38241072554206</v>
      </c>
      <c r="E92" s="25">
        <v>0</v>
      </c>
      <c r="F92" s="55">
        <v>0</v>
      </c>
      <c r="G92" s="96">
        <f>($J$8/$J$18)*(J$3-J$4-J$5)</f>
        <v>0.16545130750796619</v>
      </c>
      <c r="H92" s="96">
        <f ca="1">($J$8/$J$18)*(K$3-K$4-K$5)</f>
        <v>0.16549886563514765</v>
      </c>
      <c r="I92" s="220">
        <f>$J$8/$J$18</f>
        <v>0.19230769230769232</v>
      </c>
    </row>
    <row r="93" spans="1:9" x14ac:dyDescent="0.25">
      <c r="A93" s="8">
        <v>71</v>
      </c>
      <c r="B93" s="96" t="s">
        <v>613</v>
      </c>
      <c r="C93" s="25">
        <f>B$9+B$2+B$15</f>
        <v>2319.8245100564263</v>
      </c>
      <c r="D93" s="55">
        <f ca="1">C$9+C$2+C$15</f>
        <v>3300.3560413322166</v>
      </c>
      <c r="E93" s="25">
        <v>0</v>
      </c>
      <c r="F93" s="55">
        <v>0</v>
      </c>
      <c r="G93" s="96">
        <v>0</v>
      </c>
      <c r="H93" s="96">
        <v>0</v>
      </c>
      <c r="I93" s="220">
        <v>0</v>
      </c>
    </row>
    <row r="94" spans="1:9" x14ac:dyDescent="0.25">
      <c r="A94" s="8">
        <v>72</v>
      </c>
      <c r="B94" s="96" t="s">
        <v>614</v>
      </c>
      <c r="C94" s="25">
        <f>B$2+B$9</f>
        <v>688.84463113904735</v>
      </c>
      <c r="D94" s="55">
        <f ca="1">C$2+C$9</f>
        <v>649.38241072554206</v>
      </c>
      <c r="E94" s="25">
        <v>0</v>
      </c>
      <c r="F94" s="55">
        <v>0</v>
      </c>
      <c r="G94" s="96">
        <f>($J$9/$J$18)*(J$3-J$5)</f>
        <v>0.23432413820346035</v>
      </c>
      <c r="H94" s="96">
        <f ca="1">($J$9/$J$18)*(K$3-K$5)</f>
        <v>0.23447732406406949</v>
      </c>
      <c r="I94" s="220">
        <f>$J$9/$J$18</f>
        <v>0.26923076923076922</v>
      </c>
    </row>
    <row r="95" spans="1:9" x14ac:dyDescent="0.25">
      <c r="A95" s="8">
        <v>73</v>
      </c>
      <c r="B95" s="96" t="s">
        <v>615</v>
      </c>
      <c r="C95" s="25">
        <f t="shared" ref="C95:D98" si="16">B$17+B$3+B$12+B$7+(3*B$14)+B$15+B$5</f>
        <v>9995.7000353283111</v>
      </c>
      <c r="D95" s="55">
        <f t="shared" ca="1" si="16"/>
        <v>10379.396465248547</v>
      </c>
      <c r="E95" s="25">
        <f>F$2</f>
        <v>1063.2766935978477</v>
      </c>
      <c r="F95" s="55">
        <f ca="1">G$2</f>
        <v>1228.8185715166962</v>
      </c>
      <c r="G95" s="96">
        <v>0</v>
      </c>
      <c r="H95" s="96">
        <v>0</v>
      </c>
      <c r="I95" s="220">
        <v>0</v>
      </c>
    </row>
    <row r="96" spans="1:9" x14ac:dyDescent="0.25">
      <c r="A96" s="8">
        <v>74</v>
      </c>
      <c r="B96" s="96" t="s">
        <v>616</v>
      </c>
      <c r="C96" s="25">
        <f t="shared" si="16"/>
        <v>9995.7000353283111</v>
      </c>
      <c r="D96" s="55">
        <f t="shared" ca="1" si="16"/>
        <v>10379.396465248547</v>
      </c>
      <c r="E96" s="25">
        <f>F$3</f>
        <v>15934.549158120588</v>
      </c>
      <c r="F96" s="55">
        <f ca="1">G$3</f>
        <v>2328.7412100836791</v>
      </c>
      <c r="G96" s="96">
        <v>0</v>
      </c>
      <c r="H96" s="96">
        <v>0</v>
      </c>
      <c r="I96" s="220">
        <v>0</v>
      </c>
    </row>
    <row r="97" spans="1:9" x14ac:dyDescent="0.25">
      <c r="A97" s="8">
        <v>75</v>
      </c>
      <c r="B97" s="96" t="s">
        <v>617</v>
      </c>
      <c r="C97" s="25">
        <f t="shared" si="16"/>
        <v>9995.7000353283111</v>
      </c>
      <c r="D97" s="55">
        <f t="shared" ca="1" si="16"/>
        <v>10379.396465248547</v>
      </c>
      <c r="E97" s="25">
        <f>F$2</f>
        <v>1063.2766935978477</v>
      </c>
      <c r="F97" s="55">
        <f ca="1">G$2</f>
        <v>1228.8185715166962</v>
      </c>
      <c r="G97" s="96">
        <v>0</v>
      </c>
      <c r="H97" s="96">
        <v>0</v>
      </c>
      <c r="I97" s="220">
        <v>0</v>
      </c>
    </row>
    <row r="98" spans="1:9" x14ac:dyDescent="0.25">
      <c r="A98" s="8">
        <v>76</v>
      </c>
      <c r="B98" s="96" t="s">
        <v>618</v>
      </c>
      <c r="C98" s="25">
        <f t="shared" si="16"/>
        <v>9995.7000353283111</v>
      </c>
      <c r="D98" s="55">
        <f t="shared" ca="1" si="16"/>
        <v>10379.396465248547</v>
      </c>
      <c r="E98" s="25">
        <f>F$3</f>
        <v>15934.549158120588</v>
      </c>
      <c r="F98" s="55">
        <f ca="1">G$3</f>
        <v>2328.7412100836791</v>
      </c>
      <c r="G98" s="96">
        <v>0</v>
      </c>
      <c r="H98" s="96">
        <v>0</v>
      </c>
      <c r="I98" s="220">
        <v>0</v>
      </c>
    </row>
    <row r="99" spans="1:9" x14ac:dyDescent="0.25">
      <c r="A99" s="8">
        <v>77</v>
      </c>
      <c r="B99" s="96" t="s">
        <v>619</v>
      </c>
      <c r="C99" s="25">
        <f t="shared" ref="C99:D102" si="17">B$17+B$3+B$12+B$7+(3*B$14)+B$5</f>
        <v>8364.7201564109346</v>
      </c>
      <c r="D99" s="55">
        <f t="shared" ca="1" si="17"/>
        <v>7728.4228346418731</v>
      </c>
      <c r="E99" s="25">
        <f>F$2</f>
        <v>1063.2766935978477</v>
      </c>
      <c r="F99" s="55">
        <f ca="1">G$2</f>
        <v>1228.8185715166962</v>
      </c>
      <c r="G99" s="96">
        <f>($J$10/$J$18)*(J$3-J$5)</f>
        <v>0.5523354686224422</v>
      </c>
      <c r="H99" s="96">
        <f ca="1">($J$10/$J$18)*(K$3-K$5)</f>
        <v>0.55269654957959236</v>
      </c>
      <c r="I99" s="220">
        <f>$J$10/$J$18</f>
        <v>0.63461538461538458</v>
      </c>
    </row>
    <row r="100" spans="1:9" x14ac:dyDescent="0.25">
      <c r="A100" s="8">
        <v>78</v>
      </c>
      <c r="B100" s="96" t="s">
        <v>620</v>
      </c>
      <c r="C100" s="25">
        <f t="shared" si="17"/>
        <v>8364.7201564109346</v>
      </c>
      <c r="D100" s="55">
        <f t="shared" ca="1" si="17"/>
        <v>7728.4228346418731</v>
      </c>
      <c r="E100" s="25">
        <f>F$3</f>
        <v>15934.549158120588</v>
      </c>
      <c r="F100" s="55">
        <f ca="1">G$3</f>
        <v>2328.7412100836791</v>
      </c>
      <c r="G100" s="96">
        <f>($J$10/$J$18)*(J$3)</f>
        <v>0.61579700708398066</v>
      </c>
      <c r="H100" s="96">
        <f ca="1">($J$10/$J$18)*(K$3)</f>
        <v>0.61581681522144105</v>
      </c>
      <c r="I100" s="220">
        <f>$J$10/$J$18</f>
        <v>0.63461538461538458</v>
      </c>
    </row>
    <row r="101" spans="1:9" x14ac:dyDescent="0.25">
      <c r="A101" s="8">
        <v>79</v>
      </c>
      <c r="B101" s="96" t="s">
        <v>621</v>
      </c>
      <c r="C101" s="25">
        <f t="shared" si="17"/>
        <v>8364.7201564109346</v>
      </c>
      <c r="D101" s="55">
        <f t="shared" ca="1" si="17"/>
        <v>7728.4228346418731</v>
      </c>
      <c r="E101" s="25">
        <f>F$2</f>
        <v>1063.2766935978477</v>
      </c>
      <c r="F101" s="55">
        <f ca="1">G$2</f>
        <v>1228.8185715166962</v>
      </c>
      <c r="G101" s="96">
        <f>($J$10/$J$18)*(J$3-J$5)</f>
        <v>0.5523354686224422</v>
      </c>
      <c r="H101" s="96">
        <f ca="1">($J$10/$J$18)*(K$3-K$5)</f>
        <v>0.55269654957959236</v>
      </c>
      <c r="I101" s="220">
        <f>$J$10/$J$18</f>
        <v>0.63461538461538458</v>
      </c>
    </row>
    <row r="102" spans="1:9" x14ac:dyDescent="0.25">
      <c r="A102" s="8">
        <v>80</v>
      </c>
      <c r="B102" s="96" t="s">
        <v>622</v>
      </c>
      <c r="C102" s="25">
        <f t="shared" si="17"/>
        <v>8364.7201564109346</v>
      </c>
      <c r="D102" s="55">
        <f t="shared" ca="1" si="17"/>
        <v>7728.4228346418731</v>
      </c>
      <c r="E102" s="25">
        <f>F$3</f>
        <v>15934.549158120588</v>
      </c>
      <c r="F102" s="55">
        <f ca="1">G$3</f>
        <v>2328.7412100836791</v>
      </c>
      <c r="G102" s="96">
        <f>($J$10/$J$18)*(J$3)</f>
        <v>0.61579700708398066</v>
      </c>
      <c r="H102" s="96">
        <f ca="1">($J$10/$J$18)*(K$3)</f>
        <v>0.61581681522144105</v>
      </c>
      <c r="I102" s="220">
        <f>$J$10/$J$18</f>
        <v>0.63461538461538458</v>
      </c>
    </row>
    <row r="103" spans="1:9" x14ac:dyDescent="0.25">
      <c r="A103" s="8">
        <v>81</v>
      </c>
      <c r="B103" s="96" t="s">
        <v>623</v>
      </c>
      <c r="C103" s="25">
        <f t="shared" ref="C103:D106" si="18">B$18+B$3+B$12+B$7+(3*B$14)+B$15</f>
        <v>8882.6876343993936</v>
      </c>
      <c r="D103" s="55">
        <f t="shared" ca="1" si="18"/>
        <v>7986.9546967841925</v>
      </c>
      <c r="E103" s="25">
        <f>F$2</f>
        <v>1063.2766935978477</v>
      </c>
      <c r="F103" s="55">
        <f ca="1">G$2</f>
        <v>1228.8185715166962</v>
      </c>
      <c r="G103" s="96">
        <v>0</v>
      </c>
      <c r="H103" s="96">
        <v>0</v>
      </c>
      <c r="I103" s="220">
        <v>0</v>
      </c>
    </row>
    <row r="104" spans="1:9" x14ac:dyDescent="0.25">
      <c r="A104" s="8">
        <v>82</v>
      </c>
      <c r="B104" s="96" t="s">
        <v>624</v>
      </c>
      <c r="C104" s="25">
        <f t="shared" si="18"/>
        <v>8882.6876343993936</v>
      </c>
      <c r="D104" s="55">
        <f t="shared" ca="1" si="18"/>
        <v>7986.9546967841925</v>
      </c>
      <c r="E104" s="25">
        <f>F$4</f>
        <v>2645.8677245958893</v>
      </c>
      <c r="F104" s="55">
        <f ca="1">G$4</f>
        <v>1686.1385279538206</v>
      </c>
      <c r="G104" s="96">
        <v>0</v>
      </c>
      <c r="H104" s="96">
        <v>0</v>
      </c>
      <c r="I104" s="220">
        <v>0</v>
      </c>
    </row>
    <row r="105" spans="1:9" x14ac:dyDescent="0.25">
      <c r="A105" s="8">
        <v>83</v>
      </c>
      <c r="B105" s="96" t="s">
        <v>625</v>
      </c>
      <c r="C105" s="25">
        <f t="shared" si="18"/>
        <v>8882.6876343993936</v>
      </c>
      <c r="D105" s="55">
        <f t="shared" ca="1" si="18"/>
        <v>7986.9546967841925</v>
      </c>
      <c r="E105" s="25">
        <f>F$2</f>
        <v>1063.2766935978477</v>
      </c>
      <c r="F105" s="55">
        <f ca="1">G$2</f>
        <v>1228.8185715166962</v>
      </c>
      <c r="G105" s="96">
        <v>0</v>
      </c>
      <c r="H105" s="96">
        <v>0</v>
      </c>
      <c r="I105" s="220">
        <v>0</v>
      </c>
    </row>
    <row r="106" spans="1:9" x14ac:dyDescent="0.25">
      <c r="A106" s="8">
        <v>84</v>
      </c>
      <c r="B106" s="96" t="s">
        <v>626</v>
      </c>
      <c r="C106" s="25">
        <f t="shared" si="18"/>
        <v>8882.6876343993936</v>
      </c>
      <c r="D106" s="55">
        <f t="shared" ca="1" si="18"/>
        <v>7986.9546967841925</v>
      </c>
      <c r="E106" s="25">
        <f>F$4</f>
        <v>2645.8677245958893</v>
      </c>
      <c r="F106" s="55">
        <f ca="1">G$4</f>
        <v>1686.1385279538206</v>
      </c>
      <c r="G106" s="96">
        <v>0</v>
      </c>
      <c r="H106" s="96">
        <v>0</v>
      </c>
      <c r="I106" s="220">
        <v>0</v>
      </c>
    </row>
    <row r="107" spans="1:9" x14ac:dyDescent="0.25">
      <c r="A107" s="8">
        <v>85</v>
      </c>
      <c r="B107" s="96" t="s">
        <v>627</v>
      </c>
      <c r="C107" s="25">
        <f t="shared" ref="C107:D110" si="19">B$18+B$3+B$12+B$7+(3*B$14)</f>
        <v>7251.7077554820153</v>
      </c>
      <c r="D107" s="55">
        <f t="shared" ca="1" si="19"/>
        <v>5335.9810661775173</v>
      </c>
      <c r="E107" s="25">
        <f>F$2</f>
        <v>1063.2766935978477</v>
      </c>
      <c r="F107" s="55">
        <f ca="1">G$2</f>
        <v>1228.8185715166962</v>
      </c>
      <c r="G107" s="96">
        <f>($J$11/$J$18)*(J$3-J$5)</f>
        <v>0.65276009928106815</v>
      </c>
      <c r="H107" s="96">
        <f ca="1">($J$11/$J$18)*(K$3-K$5)</f>
        <v>0.65318683132133648</v>
      </c>
      <c r="I107" s="220">
        <f>$J$11/$J$18</f>
        <v>0.75</v>
      </c>
    </row>
    <row r="108" spans="1:9" x14ac:dyDescent="0.25">
      <c r="A108" s="8">
        <v>86</v>
      </c>
      <c r="B108" s="96" t="s">
        <v>628</v>
      </c>
      <c r="C108" s="25">
        <f t="shared" si="19"/>
        <v>7251.7077554820153</v>
      </c>
      <c r="D108" s="55">
        <f t="shared" ca="1" si="19"/>
        <v>5335.9810661775173</v>
      </c>
      <c r="E108" s="25">
        <f>F$4</f>
        <v>2645.8677245958893</v>
      </c>
      <c r="F108" s="55">
        <f ca="1">G$4</f>
        <v>1686.1385279538206</v>
      </c>
      <c r="G108" s="96">
        <f>($J$11/$J$18)*(J$3)</f>
        <v>0.72776009928106811</v>
      </c>
      <c r="H108" s="96">
        <f ca="1">($J$11/$J$18)*(K$3)</f>
        <v>0.72778350889806676</v>
      </c>
      <c r="I108" s="220">
        <f>$J$11/$J$18</f>
        <v>0.75</v>
      </c>
    </row>
    <row r="109" spans="1:9" x14ac:dyDescent="0.25">
      <c r="A109" s="8">
        <v>87</v>
      </c>
      <c r="B109" s="96" t="s">
        <v>629</v>
      </c>
      <c r="C109" s="25">
        <f t="shared" si="19"/>
        <v>7251.7077554820153</v>
      </c>
      <c r="D109" s="55">
        <f t="shared" ca="1" si="19"/>
        <v>5335.9810661775173</v>
      </c>
      <c r="E109" s="25">
        <f>F$2</f>
        <v>1063.2766935978477</v>
      </c>
      <c r="F109" s="55">
        <f ca="1">G$2</f>
        <v>1228.8185715166962</v>
      </c>
      <c r="G109" s="96">
        <f>($J$11/$J$18)*(J$2-J$3)</f>
        <v>1.248990071893194E-2</v>
      </c>
      <c r="H109" s="96">
        <f ca="1">($J$11/$J$18)*(K$2-K$3)</f>
        <v>1.9380113652337688E-2</v>
      </c>
      <c r="I109" s="220">
        <f>$J$11/$J$18</f>
        <v>0.75</v>
      </c>
    </row>
    <row r="110" spans="1:9" x14ac:dyDescent="0.25">
      <c r="A110" s="8">
        <v>88</v>
      </c>
      <c r="B110" s="96" t="s">
        <v>630</v>
      </c>
      <c r="C110" s="25">
        <f t="shared" si="19"/>
        <v>7251.7077554820153</v>
      </c>
      <c r="D110" s="55">
        <f t="shared" ca="1" si="19"/>
        <v>5335.9810661775173</v>
      </c>
      <c r="E110" s="25">
        <f>F$4</f>
        <v>2645.8677245958893</v>
      </c>
      <c r="F110" s="55">
        <f ca="1">G$4</f>
        <v>1686.1385279538206</v>
      </c>
      <c r="G110" s="96">
        <f>($J$11/$J$18)*(J$3)</f>
        <v>0.72776009928106811</v>
      </c>
      <c r="H110" s="96">
        <f ca="1">($J$11/$J$18)*(K$3)</f>
        <v>0.72778350889806676</v>
      </c>
      <c r="I110" s="220">
        <f>$J$11/$J$18</f>
        <v>0.75</v>
      </c>
    </row>
    <row r="111" spans="1:9" x14ac:dyDescent="0.25">
      <c r="A111" s="8">
        <v>89</v>
      </c>
      <c r="B111" s="96" t="s">
        <v>631</v>
      </c>
      <c r="C111" s="25">
        <f t="shared" ref="C111:D114" si="20">B$17+B$3+B$13+B$7+(2*B$8)+B$10+(3*B$14)+B$15+B$5</f>
        <v>9956.052977247844</v>
      </c>
      <c r="D111" s="55">
        <f t="shared" ca="1" si="20"/>
        <v>12569.669324942392</v>
      </c>
      <c r="E111" s="25">
        <f>F$2</f>
        <v>1063.2766935978477</v>
      </c>
      <c r="F111" s="55">
        <f ca="1">G$2</f>
        <v>1228.8185715166962</v>
      </c>
      <c r="G111" s="96">
        <v>0</v>
      </c>
      <c r="H111" s="96">
        <v>0</v>
      </c>
      <c r="I111" s="220">
        <v>0</v>
      </c>
    </row>
    <row r="112" spans="1:9" x14ac:dyDescent="0.25">
      <c r="A112" s="8">
        <v>90</v>
      </c>
      <c r="B112" s="96" t="s">
        <v>632</v>
      </c>
      <c r="C112" s="25">
        <f t="shared" si="20"/>
        <v>9956.052977247844</v>
      </c>
      <c r="D112" s="55">
        <f t="shared" ca="1" si="20"/>
        <v>12569.669324942392</v>
      </c>
      <c r="E112" s="25">
        <f>F$3</f>
        <v>15934.549158120588</v>
      </c>
      <c r="F112" s="55">
        <f ca="1">G$3</f>
        <v>2328.7412100836791</v>
      </c>
      <c r="G112" s="96">
        <v>0</v>
      </c>
      <c r="H112" s="96">
        <v>0</v>
      </c>
      <c r="I112" s="220">
        <v>0</v>
      </c>
    </row>
    <row r="113" spans="1:9" x14ac:dyDescent="0.25">
      <c r="A113" s="8">
        <v>91</v>
      </c>
      <c r="B113" s="96" t="s">
        <v>633</v>
      </c>
      <c r="C113" s="25">
        <f t="shared" si="20"/>
        <v>9956.052977247844</v>
      </c>
      <c r="D113" s="55">
        <f t="shared" ca="1" si="20"/>
        <v>12569.669324942392</v>
      </c>
      <c r="E113" s="25">
        <f>F$2</f>
        <v>1063.2766935978477</v>
      </c>
      <c r="F113" s="55">
        <f ca="1">G$2</f>
        <v>1228.8185715166962</v>
      </c>
      <c r="G113" s="96">
        <v>0</v>
      </c>
      <c r="H113" s="96">
        <v>0</v>
      </c>
      <c r="I113" s="220">
        <v>0</v>
      </c>
    </row>
    <row r="114" spans="1:9" x14ac:dyDescent="0.25">
      <c r="A114" s="8">
        <v>92</v>
      </c>
      <c r="B114" s="96" t="s">
        <v>634</v>
      </c>
      <c r="C114" s="25">
        <f t="shared" si="20"/>
        <v>9956.052977247844</v>
      </c>
      <c r="D114" s="55">
        <f t="shared" ca="1" si="20"/>
        <v>12569.669324942392</v>
      </c>
      <c r="E114" s="25">
        <f>F$3</f>
        <v>15934.549158120588</v>
      </c>
      <c r="F114" s="55">
        <f ca="1">G$3</f>
        <v>2328.7412100836791</v>
      </c>
      <c r="G114" s="96">
        <v>0</v>
      </c>
      <c r="H114" s="96">
        <v>0</v>
      </c>
      <c r="I114" s="220">
        <v>0</v>
      </c>
    </row>
    <row r="115" spans="1:9" x14ac:dyDescent="0.25">
      <c r="A115" s="8">
        <v>93</v>
      </c>
      <c r="B115" s="96" t="s">
        <v>635</v>
      </c>
      <c r="C115" s="25">
        <f t="shared" ref="C115:D118" si="21">B$17+B$3+B$13+B$7+(2*B$8)+B$10+(3*B$14)+B$5</f>
        <v>8325.0730983304638</v>
      </c>
      <c r="D115" s="55">
        <f t="shared" ca="1" si="21"/>
        <v>9918.6956943357181</v>
      </c>
      <c r="E115" s="25">
        <f>F$2</f>
        <v>1063.2766935978477</v>
      </c>
      <c r="F115" s="55">
        <f ca="1">G$2</f>
        <v>1228.8185715166962</v>
      </c>
      <c r="G115" s="96">
        <f>($J$12/$J$18)*(J$3-J$5)</f>
        <v>0.5523354686224422</v>
      </c>
      <c r="H115" s="96">
        <f ca="1">($J$12/$J$18)*(K$3-K$5)</f>
        <v>0.55269654957959236</v>
      </c>
      <c r="I115" s="220">
        <f>$J$12/$J$18</f>
        <v>0.63461538461538458</v>
      </c>
    </row>
    <row r="116" spans="1:9" x14ac:dyDescent="0.25">
      <c r="A116" s="8">
        <v>94</v>
      </c>
      <c r="B116" s="96" t="s">
        <v>636</v>
      </c>
      <c r="C116" s="25">
        <f t="shared" si="21"/>
        <v>8325.0730983304638</v>
      </c>
      <c r="D116" s="55">
        <f t="shared" ca="1" si="21"/>
        <v>9918.6956943357181</v>
      </c>
      <c r="E116" s="25">
        <f>F$3</f>
        <v>15934.549158120588</v>
      </c>
      <c r="F116" s="55">
        <f ca="1">G$3</f>
        <v>2328.7412100836791</v>
      </c>
      <c r="G116" s="96">
        <f>($J$12/$J$18)*(J$3)</f>
        <v>0.61579700708398066</v>
      </c>
      <c r="H116" s="96">
        <f ca="1">($J$12/$J$18)*(K$3)</f>
        <v>0.61581681522144105</v>
      </c>
      <c r="I116" s="220">
        <f>$J$12/$J$18</f>
        <v>0.63461538461538458</v>
      </c>
    </row>
    <row r="117" spans="1:9" x14ac:dyDescent="0.25">
      <c r="A117" s="8">
        <v>95</v>
      </c>
      <c r="B117" s="96" t="s">
        <v>637</v>
      </c>
      <c r="C117" s="25">
        <f t="shared" si="21"/>
        <v>8325.0730983304638</v>
      </c>
      <c r="D117" s="55">
        <f t="shared" ca="1" si="21"/>
        <v>9918.6956943357181</v>
      </c>
      <c r="E117" s="25">
        <f>F$2</f>
        <v>1063.2766935978477</v>
      </c>
      <c r="F117" s="55">
        <f ca="1">G$2</f>
        <v>1228.8185715166962</v>
      </c>
      <c r="G117" s="96">
        <f>($J$12/$J$18)*(J$2-J$3)</f>
        <v>1.0568377531403949E-2</v>
      </c>
      <c r="H117" s="96">
        <f ca="1">($J$12/$J$18)*(K$2-K$3)</f>
        <v>1.6398557705824195E-2</v>
      </c>
      <c r="I117" s="220">
        <f>$J$12/$J$18</f>
        <v>0.63461538461538458</v>
      </c>
    </row>
    <row r="118" spans="1:9" x14ac:dyDescent="0.25">
      <c r="A118" s="8">
        <v>96</v>
      </c>
      <c r="B118" s="96" t="s">
        <v>638</v>
      </c>
      <c r="C118" s="25">
        <f t="shared" si="21"/>
        <v>8325.0730983304638</v>
      </c>
      <c r="D118" s="55">
        <f t="shared" ca="1" si="21"/>
        <v>9918.6956943357181</v>
      </c>
      <c r="E118" s="25">
        <f>F$3</f>
        <v>15934.549158120588</v>
      </c>
      <c r="F118" s="55">
        <f ca="1">G$3</f>
        <v>2328.7412100836791</v>
      </c>
      <c r="G118" s="96">
        <f>($J$12/$J$18)*(J$3)</f>
        <v>0.61579700708398066</v>
      </c>
      <c r="H118" s="96">
        <f ca="1">($J$12/$J$18)*(K$3)</f>
        <v>0.61581681522144105</v>
      </c>
      <c r="I118" s="220">
        <f>$J$12/$J$18</f>
        <v>0.63461538461538458</v>
      </c>
    </row>
    <row r="119" spans="1:9" x14ac:dyDescent="0.25">
      <c r="A119" s="8">
        <v>97</v>
      </c>
      <c r="B119" s="96" t="s">
        <v>639</v>
      </c>
      <c r="C119" s="25">
        <f t="shared" ref="C119:D122" si="22">B$18+B$3+B$13+B$7+(2*B$8)+B$10+(3*B$14)+B$15</f>
        <v>8843.0405763189246</v>
      </c>
      <c r="D119" s="55">
        <f t="shared" ca="1" si="22"/>
        <v>10177.227556478038</v>
      </c>
      <c r="E119" s="25">
        <f>F$2</f>
        <v>1063.2766935978477</v>
      </c>
      <c r="F119" s="55">
        <f ca="1">G$2</f>
        <v>1228.8185715166962</v>
      </c>
      <c r="G119" s="96">
        <v>0</v>
      </c>
      <c r="H119" s="96">
        <v>0</v>
      </c>
      <c r="I119" s="220">
        <v>0</v>
      </c>
    </row>
    <row r="120" spans="1:9" x14ac:dyDescent="0.25">
      <c r="A120" s="8">
        <v>98</v>
      </c>
      <c r="B120" s="96" t="s">
        <v>640</v>
      </c>
      <c r="C120" s="25">
        <f t="shared" si="22"/>
        <v>8843.0405763189246</v>
      </c>
      <c r="D120" s="55">
        <f t="shared" ca="1" si="22"/>
        <v>10177.227556478038</v>
      </c>
      <c r="E120" s="25">
        <f>F$4</f>
        <v>2645.8677245958893</v>
      </c>
      <c r="F120" s="55">
        <f ca="1">G$4</f>
        <v>1686.1385279538206</v>
      </c>
      <c r="G120" s="96">
        <v>0</v>
      </c>
      <c r="H120" s="96">
        <v>0</v>
      </c>
      <c r="I120" s="220">
        <v>0</v>
      </c>
    </row>
    <row r="121" spans="1:9" x14ac:dyDescent="0.25">
      <c r="A121" s="8">
        <v>99</v>
      </c>
      <c r="B121" s="96" t="s">
        <v>641</v>
      </c>
      <c r="C121" s="25">
        <f t="shared" si="22"/>
        <v>8843.0405763189246</v>
      </c>
      <c r="D121" s="55">
        <f t="shared" ca="1" si="22"/>
        <v>10177.227556478038</v>
      </c>
      <c r="E121" s="25">
        <f>F$2</f>
        <v>1063.2766935978477</v>
      </c>
      <c r="F121" s="55">
        <f ca="1">G$2</f>
        <v>1228.8185715166962</v>
      </c>
      <c r="G121" s="96">
        <v>0</v>
      </c>
      <c r="H121" s="96">
        <v>0</v>
      </c>
      <c r="I121" s="220">
        <v>0</v>
      </c>
    </row>
    <row r="122" spans="1:9" x14ac:dyDescent="0.25">
      <c r="A122" s="8">
        <v>100</v>
      </c>
      <c r="B122" s="96" t="s">
        <v>642</v>
      </c>
      <c r="C122" s="25">
        <f t="shared" si="22"/>
        <v>8843.0405763189246</v>
      </c>
      <c r="D122" s="55">
        <f t="shared" ca="1" si="22"/>
        <v>10177.227556478038</v>
      </c>
      <c r="E122" s="25">
        <f>F$4</f>
        <v>2645.8677245958893</v>
      </c>
      <c r="F122" s="55">
        <f ca="1">G$4</f>
        <v>1686.1385279538206</v>
      </c>
      <c r="G122" s="96">
        <v>0</v>
      </c>
      <c r="H122" s="96">
        <v>0</v>
      </c>
      <c r="I122" s="220">
        <v>0</v>
      </c>
    </row>
    <row r="123" spans="1:9" x14ac:dyDescent="0.25">
      <c r="A123" s="8">
        <v>101</v>
      </c>
      <c r="B123" s="96" t="s">
        <v>643</v>
      </c>
      <c r="C123" s="25">
        <f t="shared" ref="C123:D126" si="23">B$18+B$3+B$13+B$7+(2*B$8)+B$10+(3*B$14)</f>
        <v>7212.0606974015463</v>
      </c>
      <c r="D123" s="55">
        <f t="shared" ca="1" si="23"/>
        <v>7526.2539258713632</v>
      </c>
      <c r="E123" s="25">
        <f>F$2</f>
        <v>1063.2766935978477</v>
      </c>
      <c r="F123" s="55">
        <f ca="1">G$2</f>
        <v>1228.8185715166962</v>
      </c>
      <c r="G123" s="96">
        <f>($J$13/$J$18)*(J$3-J$5)</f>
        <v>0.63602266083796377</v>
      </c>
      <c r="H123" s="96">
        <f ca="1">($J$13/$J$18)*(K$3-K$5)</f>
        <v>0.63643845103104579</v>
      </c>
      <c r="I123" s="220">
        <f>$J$13/$J$18</f>
        <v>0.73076923076923073</v>
      </c>
    </row>
    <row r="124" spans="1:9" x14ac:dyDescent="0.25">
      <c r="A124" s="8">
        <v>102</v>
      </c>
      <c r="B124" s="96" t="s">
        <v>644</v>
      </c>
      <c r="C124" s="25">
        <f t="shared" si="23"/>
        <v>7212.0606974015463</v>
      </c>
      <c r="D124" s="55">
        <f t="shared" ca="1" si="23"/>
        <v>7526.2539258713632</v>
      </c>
      <c r="E124" s="25">
        <f>F$4</f>
        <v>2645.8677245958893</v>
      </c>
      <c r="F124" s="55">
        <f ca="1">G$4</f>
        <v>1686.1385279538206</v>
      </c>
      <c r="G124" s="96">
        <f>($J$13/$J$18)*(J$3)</f>
        <v>0.70909958391488681</v>
      </c>
      <c r="H124" s="96">
        <f ca="1">($J$13/$J$18)*(K$3)</f>
        <v>0.7091223932852958</v>
      </c>
      <c r="I124" s="220">
        <f>$J$13/$J$18</f>
        <v>0.73076923076923073</v>
      </c>
    </row>
    <row r="125" spans="1:9" x14ac:dyDescent="0.25">
      <c r="A125" s="8">
        <v>103</v>
      </c>
      <c r="B125" s="96" t="s">
        <v>645</v>
      </c>
      <c r="C125" s="25">
        <f t="shared" si="23"/>
        <v>7212.0606974015463</v>
      </c>
      <c r="D125" s="55">
        <f t="shared" ca="1" si="23"/>
        <v>7526.2539258713632</v>
      </c>
      <c r="E125" s="25">
        <f>F$2</f>
        <v>1063.2766935978477</v>
      </c>
      <c r="F125" s="55">
        <f ca="1">G$2</f>
        <v>1228.8185715166962</v>
      </c>
      <c r="G125" s="96">
        <f>($J$13/$J$18)*(J$3-J$5)</f>
        <v>0.63602266083796377</v>
      </c>
      <c r="H125" s="96">
        <f ca="1">($J$13/$J$18)*(K$3-K$5)</f>
        <v>0.63643845103104579</v>
      </c>
      <c r="I125" s="220">
        <f>$J$13/$J$18</f>
        <v>0.73076923076923073</v>
      </c>
    </row>
    <row r="126" spans="1:9" x14ac:dyDescent="0.25">
      <c r="A126" s="8">
        <v>104</v>
      </c>
      <c r="B126" s="96" t="s">
        <v>646</v>
      </c>
      <c r="C126" s="25">
        <f t="shared" si="23"/>
        <v>7212.0606974015463</v>
      </c>
      <c r="D126" s="55">
        <f t="shared" ca="1" si="23"/>
        <v>7526.2539258713632</v>
      </c>
      <c r="E126" s="25">
        <f>F$4</f>
        <v>2645.8677245958893</v>
      </c>
      <c r="F126" s="55">
        <f ca="1">G$4</f>
        <v>1686.1385279538206</v>
      </c>
      <c r="G126" s="96">
        <f>($J$13/$J$18)*(J$3)</f>
        <v>0.70909958391488681</v>
      </c>
      <c r="H126" s="96">
        <f ca="1">($J$13/$J$18)*(K$3)</f>
        <v>0.7091223932852958</v>
      </c>
      <c r="I126" s="220">
        <f>$J$13/$J$18</f>
        <v>0.73076923076923073</v>
      </c>
    </row>
    <row r="127" spans="1:9" x14ac:dyDescent="0.25">
      <c r="A127" s="8">
        <v>105</v>
      </c>
      <c r="B127" s="96" t="s">
        <v>647</v>
      </c>
      <c r="C127" s="25">
        <f t="shared" ref="C127:D130" si="24">B$4+B$11+(3*B$10)+(3*B$14)+B$7+(2*B$8)+B$17+B$15+B$5</f>
        <v>8390.965587029521</v>
      </c>
      <c r="D127" s="55">
        <f t="shared" ca="1" si="24"/>
        <v>10556.876907514104</v>
      </c>
      <c r="E127" s="25">
        <f>F$2</f>
        <v>1063.2766935978477</v>
      </c>
      <c r="F127" s="55">
        <f ca="1">G$2</f>
        <v>1228.8185715166962</v>
      </c>
      <c r="G127" s="96">
        <v>0</v>
      </c>
      <c r="H127" s="96">
        <v>0</v>
      </c>
      <c r="I127" s="220">
        <v>0</v>
      </c>
    </row>
    <row r="128" spans="1:9" x14ac:dyDescent="0.25">
      <c r="A128" s="8">
        <v>106</v>
      </c>
      <c r="B128" s="96" t="s">
        <v>648</v>
      </c>
      <c r="C128" s="25">
        <f t="shared" si="24"/>
        <v>8390.965587029521</v>
      </c>
      <c r="D128" s="55">
        <f t="shared" ca="1" si="24"/>
        <v>10556.876907514104</v>
      </c>
      <c r="E128" s="25">
        <f>F$3</f>
        <v>15934.549158120588</v>
      </c>
      <c r="F128" s="55">
        <f ca="1">G$3</f>
        <v>2328.7412100836791</v>
      </c>
      <c r="G128" s="96">
        <v>0</v>
      </c>
      <c r="H128" s="96">
        <v>0</v>
      </c>
      <c r="I128" s="220">
        <v>0</v>
      </c>
    </row>
    <row r="129" spans="1:9" x14ac:dyDescent="0.25">
      <c r="A129" s="8">
        <v>107</v>
      </c>
      <c r="B129" s="96" t="s">
        <v>649</v>
      </c>
      <c r="C129" s="25">
        <f t="shared" si="24"/>
        <v>8390.965587029521</v>
      </c>
      <c r="D129" s="55">
        <f t="shared" ca="1" si="24"/>
        <v>10556.876907514104</v>
      </c>
      <c r="E129" s="25">
        <f>F$2</f>
        <v>1063.2766935978477</v>
      </c>
      <c r="F129" s="55">
        <f ca="1">G$2</f>
        <v>1228.8185715166962</v>
      </c>
      <c r="G129" s="96">
        <v>0</v>
      </c>
      <c r="H129" s="96">
        <v>0</v>
      </c>
      <c r="I129" s="220">
        <v>0</v>
      </c>
    </row>
    <row r="130" spans="1:9" x14ac:dyDescent="0.25">
      <c r="A130" s="8">
        <v>108</v>
      </c>
      <c r="B130" s="96" t="s">
        <v>650</v>
      </c>
      <c r="C130" s="25">
        <f t="shared" si="24"/>
        <v>8390.965587029521</v>
      </c>
      <c r="D130" s="55">
        <f t="shared" ca="1" si="24"/>
        <v>10556.876907514104</v>
      </c>
      <c r="E130" s="25">
        <f>F$3</f>
        <v>15934.549158120588</v>
      </c>
      <c r="F130" s="55">
        <f ca="1">G$3</f>
        <v>2328.7412100836791</v>
      </c>
      <c r="G130" s="96">
        <v>0</v>
      </c>
      <c r="H130" s="96">
        <v>0</v>
      </c>
      <c r="I130" s="220">
        <v>0</v>
      </c>
    </row>
    <row r="131" spans="1:9" x14ac:dyDescent="0.25">
      <c r="A131" s="8">
        <v>109</v>
      </c>
      <c r="B131" s="96" t="s">
        <v>651</v>
      </c>
      <c r="C131" s="25">
        <f t="shared" ref="C131:D134" si="25">B$4+B$11+(3*B$10)+(3*B$14)+B$7+(2*B$8)+B$17+B$5</f>
        <v>6759.9857081121418</v>
      </c>
      <c r="D131" s="55">
        <f t="shared" ca="1" si="25"/>
        <v>7905.9032769074292</v>
      </c>
      <c r="E131" s="25">
        <f>F$2</f>
        <v>1063.2766935978477</v>
      </c>
      <c r="F131" s="55">
        <f ca="1">G$2</f>
        <v>1228.8185715166962</v>
      </c>
      <c r="G131" s="96">
        <f>($J$14/$J$18)*(J$3-J$5)</f>
        <v>0.5523354686224422</v>
      </c>
      <c r="H131" s="96">
        <f ca="1">($J$14/$J$18)*(K$3-K$5)</f>
        <v>0.55269654957959236</v>
      </c>
      <c r="I131" s="220">
        <f>$J$14/$J$18</f>
        <v>0.63461538461538458</v>
      </c>
    </row>
    <row r="132" spans="1:9" x14ac:dyDescent="0.25">
      <c r="A132" s="8">
        <v>110</v>
      </c>
      <c r="B132" s="96" t="s">
        <v>652</v>
      </c>
      <c r="C132" s="25">
        <f t="shared" si="25"/>
        <v>6759.9857081121418</v>
      </c>
      <c r="D132" s="55">
        <f t="shared" ca="1" si="25"/>
        <v>7905.9032769074292</v>
      </c>
      <c r="E132" s="25">
        <f>F$3</f>
        <v>15934.549158120588</v>
      </c>
      <c r="F132" s="55">
        <f ca="1">G$3</f>
        <v>2328.7412100836791</v>
      </c>
      <c r="G132" s="96">
        <f>($J$14/$J$18)*(J$3)</f>
        <v>0.61579700708398066</v>
      </c>
      <c r="H132" s="96">
        <f ca="1">($J$14/$J$18)*(K$3)</f>
        <v>0.61581681522144105</v>
      </c>
      <c r="I132" s="220">
        <f>$J$14/$J$18</f>
        <v>0.63461538461538458</v>
      </c>
    </row>
    <row r="133" spans="1:9" x14ac:dyDescent="0.25">
      <c r="A133" s="8">
        <v>111</v>
      </c>
      <c r="B133" s="96" t="s">
        <v>653</v>
      </c>
      <c r="C133" s="25">
        <f t="shared" si="25"/>
        <v>6759.9857081121418</v>
      </c>
      <c r="D133" s="55">
        <f t="shared" ca="1" si="25"/>
        <v>7905.9032769074292</v>
      </c>
      <c r="E133" s="25">
        <f>F$2</f>
        <v>1063.2766935978477</v>
      </c>
      <c r="F133" s="55">
        <f ca="1">G$2</f>
        <v>1228.8185715166962</v>
      </c>
      <c r="G133" s="96">
        <f>($J$14/$J$18)*(J$3-J$5)</f>
        <v>0.5523354686224422</v>
      </c>
      <c r="H133" s="96">
        <f ca="1">($J$14/$J$18)*(K$3-K$5)</f>
        <v>0.55269654957959236</v>
      </c>
      <c r="I133" s="220">
        <f>$J$14/$J$18</f>
        <v>0.63461538461538458</v>
      </c>
    </row>
    <row r="134" spans="1:9" x14ac:dyDescent="0.25">
      <c r="A134" s="8">
        <v>112</v>
      </c>
      <c r="B134" s="96" t="s">
        <v>654</v>
      </c>
      <c r="C134" s="25">
        <f t="shared" si="25"/>
        <v>6759.9857081121418</v>
      </c>
      <c r="D134" s="55">
        <f t="shared" ca="1" si="25"/>
        <v>7905.9032769074292</v>
      </c>
      <c r="E134" s="25">
        <f>F$3</f>
        <v>15934.549158120588</v>
      </c>
      <c r="F134" s="55">
        <f ca="1">G$3</f>
        <v>2328.7412100836791</v>
      </c>
      <c r="G134" s="96">
        <f>($J$14/$J$18)*(J$3)</f>
        <v>0.61579700708398066</v>
      </c>
      <c r="H134" s="96">
        <f ca="1">($J$14/$J$18)*(K$3)</f>
        <v>0.61581681522144105</v>
      </c>
      <c r="I134" s="220">
        <f>$J$14/$J$18</f>
        <v>0.63461538461538458</v>
      </c>
    </row>
    <row r="135" spans="1:9" x14ac:dyDescent="0.25">
      <c r="A135" s="8">
        <v>113</v>
      </c>
      <c r="B135" s="96" t="s">
        <v>655</v>
      </c>
      <c r="C135" s="25">
        <f>B$4+B$11+(3*B$10)+(3*B$14)+B$7+(2*B$8)+B$18+B$15</f>
        <v>7277.9531861006026</v>
      </c>
      <c r="D135" s="55">
        <f ca="1">C$4+C$11+(3*C$10)+(3*C$14)+C$7+(2*C$8)+C$18+C$15</f>
        <v>8164.4351390497486</v>
      </c>
      <c r="E135" s="25">
        <f>F$2</f>
        <v>1063.2766935978477</v>
      </c>
      <c r="F135" s="55">
        <f ca="1">G$2</f>
        <v>1228.8185715166962</v>
      </c>
      <c r="G135" s="96">
        <v>0</v>
      </c>
      <c r="H135" s="96">
        <v>0</v>
      </c>
      <c r="I135" s="220">
        <v>0</v>
      </c>
    </row>
    <row r="136" spans="1:9" x14ac:dyDescent="0.25">
      <c r="A136" s="8">
        <v>114</v>
      </c>
      <c r="B136" s="96" t="s">
        <v>656</v>
      </c>
      <c r="C136" s="25">
        <f t="shared" ref="C136:D138" si="26">B$4+B$11+(3*B$10)+(3*B$14)+B$7+(2*B$8)+B$18+B$15</f>
        <v>7277.9531861006026</v>
      </c>
      <c r="D136" s="55">
        <f t="shared" ca="1" si="26"/>
        <v>8164.4351390497486</v>
      </c>
      <c r="E136" s="25">
        <f>F$4</f>
        <v>2645.8677245958893</v>
      </c>
      <c r="F136" s="55">
        <f ca="1">G$4</f>
        <v>1686.1385279538206</v>
      </c>
      <c r="G136" s="96">
        <v>0</v>
      </c>
      <c r="H136" s="96">
        <v>0</v>
      </c>
      <c r="I136" s="220">
        <v>0</v>
      </c>
    </row>
    <row r="137" spans="1:9" x14ac:dyDescent="0.25">
      <c r="A137" s="8">
        <v>115</v>
      </c>
      <c r="B137" s="96" t="s">
        <v>657</v>
      </c>
      <c r="C137" s="25">
        <f>B$4+B$11+(3*B$10)+(3*B$14)+B$7+(2*B$8)+B$18+B$15</f>
        <v>7277.9531861006026</v>
      </c>
      <c r="D137" s="55">
        <f t="shared" ca="1" si="26"/>
        <v>8164.4351390497486</v>
      </c>
      <c r="E137" s="25">
        <f>F$2</f>
        <v>1063.2766935978477</v>
      </c>
      <c r="F137" s="55">
        <f ca="1">G$2</f>
        <v>1228.8185715166962</v>
      </c>
      <c r="G137" s="96">
        <v>0</v>
      </c>
      <c r="H137" s="96">
        <v>0</v>
      </c>
      <c r="I137" s="220">
        <v>0</v>
      </c>
    </row>
    <row r="138" spans="1:9" x14ac:dyDescent="0.25">
      <c r="A138" s="8">
        <v>116</v>
      </c>
      <c r="B138" s="96" t="s">
        <v>658</v>
      </c>
      <c r="C138" s="25">
        <f>B$4+B$11+(3*B$10)+(3*B$14)+B$7+(2*B$8)+B$18+B$15</f>
        <v>7277.9531861006026</v>
      </c>
      <c r="D138" s="55">
        <f t="shared" ca="1" si="26"/>
        <v>8164.4351390497486</v>
      </c>
      <c r="E138" s="25">
        <f>F$4</f>
        <v>2645.8677245958893</v>
      </c>
      <c r="F138" s="55">
        <f ca="1">G$4</f>
        <v>1686.1385279538206</v>
      </c>
      <c r="G138" s="96">
        <v>0</v>
      </c>
      <c r="H138" s="96">
        <v>0</v>
      </c>
      <c r="I138" s="220">
        <v>0</v>
      </c>
    </row>
    <row r="139" spans="1:9" x14ac:dyDescent="0.25">
      <c r="A139" s="8">
        <v>117</v>
      </c>
      <c r="B139" s="96" t="s">
        <v>659</v>
      </c>
      <c r="C139" s="25">
        <f>B$4+B$11+(3*B$10)+(3*B$14)+B$7+(2*B$8)+B$18</f>
        <v>5646.9733071832234</v>
      </c>
      <c r="D139" s="55">
        <f ca="1">C$4+C$11+(3*C$10)+(3*C$14)+C$7+(2*C$8)+C$18</f>
        <v>5513.4615084430743</v>
      </c>
      <c r="E139" s="25">
        <f>F$2</f>
        <v>1063.2766935978477</v>
      </c>
      <c r="F139" s="55">
        <f ca="1">G$2</f>
        <v>1228.8185715166962</v>
      </c>
      <c r="G139" s="96">
        <f>($J$15/$J$18)*(J$3-J$5)</f>
        <v>0.65276009928106815</v>
      </c>
      <c r="H139" s="96">
        <f ca="1">($J$15/$J$18)*(K$3-K$5)</f>
        <v>0.65318683132133648</v>
      </c>
      <c r="I139" s="220">
        <f>$J$15/$J$18</f>
        <v>0.75</v>
      </c>
    </row>
    <row r="140" spans="1:9" x14ac:dyDescent="0.25">
      <c r="A140" s="8">
        <v>118</v>
      </c>
      <c r="B140" s="96" t="s">
        <v>660</v>
      </c>
      <c r="C140" s="25">
        <f t="shared" ref="C140:D142" si="27">B$4+B$11+(3*B$10)+(3*B$14)+B$7+(2*B$8)+B$18</f>
        <v>5646.9733071832234</v>
      </c>
      <c r="D140" s="55">
        <f t="shared" ca="1" si="27"/>
        <v>5513.4615084430743</v>
      </c>
      <c r="E140" s="25">
        <f>F$4</f>
        <v>2645.8677245958893</v>
      </c>
      <c r="F140" s="55">
        <f ca="1">G$4</f>
        <v>1686.1385279538206</v>
      </c>
      <c r="G140" s="96">
        <f>($J$15/$J$18)*(J$3)</f>
        <v>0.72776009928106811</v>
      </c>
      <c r="H140" s="96">
        <f ca="1">($J$15/$J$18)*(K$3)</f>
        <v>0.72778350889806676</v>
      </c>
      <c r="I140" s="220">
        <f>$J$15/$J$18</f>
        <v>0.75</v>
      </c>
    </row>
    <row r="141" spans="1:9" x14ac:dyDescent="0.25">
      <c r="A141" s="8">
        <v>119</v>
      </c>
      <c r="B141" s="96" t="s">
        <v>661</v>
      </c>
      <c r="C141" s="25">
        <f>B$4+B$11+(3*B$10)+(3*B$14)+B$7+(2*B$8)+B$18</f>
        <v>5646.9733071832234</v>
      </c>
      <c r="D141" s="55">
        <f t="shared" ca="1" si="27"/>
        <v>5513.4615084430743</v>
      </c>
      <c r="E141" s="25">
        <f>F$2</f>
        <v>1063.2766935978477</v>
      </c>
      <c r="F141" s="55">
        <f ca="1">G$2</f>
        <v>1228.8185715166962</v>
      </c>
      <c r="G141" s="96">
        <f>($J$15/$J$18)*(J$3-J$5)</f>
        <v>0.65276009928106815</v>
      </c>
      <c r="H141" s="96">
        <f ca="1">($J$15/$J$18)*(K$3-K$5)</f>
        <v>0.65318683132133648</v>
      </c>
      <c r="I141" s="220">
        <f>$J$15/$J$18</f>
        <v>0.75</v>
      </c>
    </row>
    <row r="142" spans="1:9" x14ac:dyDescent="0.25">
      <c r="A142" s="8">
        <v>120</v>
      </c>
      <c r="B142" s="96" t="s">
        <v>662</v>
      </c>
      <c r="C142" s="25">
        <f>B$4+B$11+(3*B$10)+(3*B$14)+B$7+(2*B$8)+B$18</f>
        <v>5646.9733071832234</v>
      </c>
      <c r="D142" s="55">
        <f t="shared" ca="1" si="27"/>
        <v>5513.4615084430743</v>
      </c>
      <c r="E142" s="25">
        <f>F$4</f>
        <v>2645.8677245958893</v>
      </c>
      <c r="F142" s="55">
        <f ca="1">G$4</f>
        <v>1686.1385279538206</v>
      </c>
      <c r="G142" s="96">
        <f>($J$15/$J$18)*(J$3)</f>
        <v>0.72776009928106811</v>
      </c>
      <c r="H142" s="96">
        <f ca="1">($J$15/$J$18)*(K$3)</f>
        <v>0.72778350889806676</v>
      </c>
      <c r="I142" s="220">
        <f>$J$15/$J$18</f>
        <v>0.75</v>
      </c>
    </row>
    <row r="143" spans="1:9" x14ac:dyDescent="0.25">
      <c r="A143" s="8">
        <v>121</v>
      </c>
      <c r="B143" s="96" t="s">
        <v>663</v>
      </c>
      <c r="C143" s="25">
        <f>B$11+B$17+B$15+B$5</f>
        <v>5927.7224154711803</v>
      </c>
      <c r="D143" s="55">
        <f ca="1">C$11+C$17+C$15+C$5</f>
        <v>8416.7498909639289</v>
      </c>
      <c r="E143" s="25">
        <f>F$2</f>
        <v>1063.2766935978477</v>
      </c>
      <c r="F143" s="55">
        <f ca="1">G$2</f>
        <v>1228.8185715166962</v>
      </c>
      <c r="G143" s="96">
        <v>0</v>
      </c>
      <c r="H143" s="96">
        <v>0</v>
      </c>
      <c r="I143" s="220">
        <v>0</v>
      </c>
    </row>
    <row r="144" spans="1:9" x14ac:dyDescent="0.25">
      <c r="A144" s="8">
        <v>122</v>
      </c>
      <c r="B144" s="96" t="s">
        <v>664</v>
      </c>
      <c r="C144" s="25">
        <f t="shared" ref="C144:D146" si="28">B$11+B$17+B$15+B$5</f>
        <v>5927.7224154711803</v>
      </c>
      <c r="D144" s="55">
        <f t="shared" ca="1" si="28"/>
        <v>8416.7498909639289</v>
      </c>
      <c r="E144" s="25">
        <f>F$3</f>
        <v>15934.549158120588</v>
      </c>
      <c r="F144" s="55">
        <f ca="1">G$3</f>
        <v>2328.7412100836791</v>
      </c>
      <c r="G144" s="96">
        <v>0</v>
      </c>
      <c r="H144" s="96">
        <v>0</v>
      </c>
      <c r="I144" s="220">
        <v>0</v>
      </c>
    </row>
    <row r="145" spans="1:9" x14ac:dyDescent="0.25">
      <c r="A145" s="8">
        <v>123</v>
      </c>
      <c r="B145" s="96" t="s">
        <v>665</v>
      </c>
      <c r="C145" s="25">
        <f>B$11+B$17+B$15+B$5</f>
        <v>5927.7224154711803</v>
      </c>
      <c r="D145" s="55">
        <f t="shared" ca="1" si="28"/>
        <v>8416.7498909639289</v>
      </c>
      <c r="E145" s="25">
        <f>F$2</f>
        <v>1063.2766935978477</v>
      </c>
      <c r="F145" s="55">
        <f ca="1">G$2</f>
        <v>1228.8185715166962</v>
      </c>
      <c r="G145" s="96">
        <v>0</v>
      </c>
      <c r="H145" s="96">
        <v>0</v>
      </c>
      <c r="I145" s="220">
        <v>0</v>
      </c>
    </row>
    <row r="146" spans="1:9" x14ac:dyDescent="0.25">
      <c r="A146" s="8">
        <v>124</v>
      </c>
      <c r="B146" s="96" t="s">
        <v>666</v>
      </c>
      <c r="C146" s="25">
        <f>B$11+B$17+B$15+B$5</f>
        <v>5927.7224154711803</v>
      </c>
      <c r="D146" s="55">
        <f t="shared" ca="1" si="28"/>
        <v>8416.7498909639289</v>
      </c>
      <c r="E146" s="25">
        <f>F$3</f>
        <v>15934.549158120588</v>
      </c>
      <c r="F146" s="55">
        <f ca="1">G$3</f>
        <v>2328.7412100836791</v>
      </c>
      <c r="G146" s="96">
        <v>0</v>
      </c>
      <c r="H146" s="96">
        <v>0</v>
      </c>
      <c r="I146" s="220">
        <v>0</v>
      </c>
    </row>
    <row r="147" spans="1:9" x14ac:dyDescent="0.25">
      <c r="A147" s="8">
        <v>125</v>
      </c>
      <c r="B147" s="96" t="s">
        <v>667</v>
      </c>
      <c r="C147" s="25">
        <f>B$11+B$17+B$5</f>
        <v>4296.7425365538011</v>
      </c>
      <c r="D147" s="55">
        <f ca="1">C$11+C$17+C$5</f>
        <v>5765.7762603572537</v>
      </c>
      <c r="E147" s="25">
        <f>F$2</f>
        <v>1063.2766935978477</v>
      </c>
      <c r="F147" s="55">
        <f ca="1">G$2</f>
        <v>1228.8185715166962</v>
      </c>
      <c r="G147" s="96">
        <f>($J$16/$J$18)*(J$3-J$5)</f>
        <v>0.5523354686224422</v>
      </c>
      <c r="H147" s="96">
        <f ca="1">($J$16/$J$18)*(K$3-K$5)</f>
        <v>0.55269654957959236</v>
      </c>
      <c r="I147" s="220">
        <f>$J$16/$J$18</f>
        <v>0.63461538461538458</v>
      </c>
    </row>
    <row r="148" spans="1:9" x14ac:dyDescent="0.25">
      <c r="A148" s="8">
        <v>126</v>
      </c>
      <c r="B148" s="96" t="s">
        <v>668</v>
      </c>
      <c r="C148" s="25">
        <f t="shared" ref="C148:D150" si="29">B$11+B$17+B$5</f>
        <v>4296.7425365538011</v>
      </c>
      <c r="D148" s="55">
        <f t="shared" ca="1" si="29"/>
        <v>5765.7762603572537</v>
      </c>
      <c r="E148" s="25">
        <f>F$3</f>
        <v>15934.549158120588</v>
      </c>
      <c r="F148" s="55">
        <f ca="1">G$3</f>
        <v>2328.7412100836791</v>
      </c>
      <c r="G148" s="96">
        <f>($J$16/$J$18)*(J$3)</f>
        <v>0.61579700708398066</v>
      </c>
      <c r="H148" s="96">
        <f ca="1">($J$16/$J$18)*(K$3)</f>
        <v>0.61581681522144105</v>
      </c>
      <c r="I148" s="220">
        <f>$J$16/$J$18</f>
        <v>0.63461538461538458</v>
      </c>
    </row>
    <row r="149" spans="1:9" x14ac:dyDescent="0.25">
      <c r="A149" s="8">
        <v>127</v>
      </c>
      <c r="B149" s="96" t="s">
        <v>669</v>
      </c>
      <c r="C149" s="25">
        <f>B$11+B$17+B$5</f>
        <v>4296.7425365538011</v>
      </c>
      <c r="D149" s="55">
        <f t="shared" ca="1" si="29"/>
        <v>5765.7762603572537</v>
      </c>
      <c r="E149" s="25">
        <f>F$2</f>
        <v>1063.2766935978477</v>
      </c>
      <c r="F149" s="55">
        <f ca="1">G$2</f>
        <v>1228.8185715166962</v>
      </c>
      <c r="G149" s="96">
        <f>($J$16/$J$18)*(J$3-J$5)</f>
        <v>0.5523354686224422</v>
      </c>
      <c r="H149" s="96">
        <f ca="1">($J$16/$J$18)*(K$3-K$5)</f>
        <v>0.55269654957959236</v>
      </c>
      <c r="I149" s="220">
        <f>$J$16/$J$18</f>
        <v>0.63461538461538458</v>
      </c>
    </row>
    <row r="150" spans="1:9" x14ac:dyDescent="0.25">
      <c r="A150" s="8">
        <v>128</v>
      </c>
      <c r="B150" s="96" t="s">
        <v>670</v>
      </c>
      <c r="C150" s="25">
        <f>B$11+B$17+B$5</f>
        <v>4296.7425365538011</v>
      </c>
      <c r="D150" s="55">
        <f t="shared" ca="1" si="29"/>
        <v>5765.7762603572537</v>
      </c>
      <c r="E150" s="25">
        <f>F$3</f>
        <v>15934.549158120588</v>
      </c>
      <c r="F150" s="55">
        <f ca="1">G$3</f>
        <v>2328.7412100836791</v>
      </c>
      <c r="G150" s="96">
        <f>($J$16/$J$18)*(J$3)</f>
        <v>0.61579700708398066</v>
      </c>
      <c r="H150" s="96">
        <f ca="1">($J$16/$J$18)*(K$3)</f>
        <v>0.61581681522144105</v>
      </c>
      <c r="I150" s="220">
        <f>$J$16/$J$18</f>
        <v>0.63461538461538458</v>
      </c>
    </row>
    <row r="151" spans="1:9" x14ac:dyDescent="0.25">
      <c r="A151" s="8">
        <v>129</v>
      </c>
      <c r="B151" s="96" t="s">
        <v>671</v>
      </c>
      <c r="C151" s="25">
        <f>B$11+B$18+B$15</f>
        <v>4814.7100145422619</v>
      </c>
      <c r="D151" s="55">
        <f ca="1">C$11+C$18+C$15</f>
        <v>6024.3081224995731</v>
      </c>
      <c r="E151" s="25">
        <f>F$2</f>
        <v>1063.2766935978477</v>
      </c>
      <c r="F151" s="55">
        <f ca="1">G$2</f>
        <v>1228.8185715166962</v>
      </c>
      <c r="G151" s="96">
        <v>0</v>
      </c>
      <c r="H151" s="96">
        <v>0</v>
      </c>
      <c r="I151" s="220">
        <v>0</v>
      </c>
    </row>
    <row r="152" spans="1:9" x14ac:dyDescent="0.25">
      <c r="A152" s="8">
        <v>130</v>
      </c>
      <c r="B152" s="96" t="s">
        <v>672</v>
      </c>
      <c r="C152" s="25">
        <f t="shared" ref="C152:D154" si="30">B$11+B$18+B$15</f>
        <v>4814.7100145422619</v>
      </c>
      <c r="D152" s="55">
        <f t="shared" ca="1" si="30"/>
        <v>6024.3081224995731</v>
      </c>
      <c r="E152" s="25">
        <f>F$4</f>
        <v>2645.8677245958893</v>
      </c>
      <c r="F152" s="55">
        <f ca="1">G$4</f>
        <v>1686.1385279538206</v>
      </c>
      <c r="G152" s="96">
        <v>0</v>
      </c>
      <c r="H152" s="96">
        <v>0</v>
      </c>
      <c r="I152" s="220">
        <v>0</v>
      </c>
    </row>
    <row r="153" spans="1:9" x14ac:dyDescent="0.25">
      <c r="A153" s="8">
        <v>131</v>
      </c>
      <c r="B153" s="96" t="s">
        <v>673</v>
      </c>
      <c r="C153" s="25">
        <f>B$11+B$18+B$15</f>
        <v>4814.7100145422619</v>
      </c>
      <c r="D153" s="55">
        <f t="shared" ca="1" si="30"/>
        <v>6024.3081224995731</v>
      </c>
      <c r="E153" s="25">
        <f>F$2</f>
        <v>1063.2766935978477</v>
      </c>
      <c r="F153" s="55">
        <f ca="1">G$2</f>
        <v>1228.8185715166962</v>
      </c>
      <c r="G153" s="96">
        <v>0</v>
      </c>
      <c r="H153" s="96">
        <v>0</v>
      </c>
      <c r="I153" s="220">
        <v>0</v>
      </c>
    </row>
    <row r="154" spans="1:9" x14ac:dyDescent="0.25">
      <c r="A154" s="8">
        <v>132</v>
      </c>
      <c r="B154" s="96" t="s">
        <v>674</v>
      </c>
      <c r="C154" s="25">
        <f>B$11+B$18+B$15</f>
        <v>4814.7100145422619</v>
      </c>
      <c r="D154" s="55">
        <f t="shared" ca="1" si="30"/>
        <v>6024.3081224995731</v>
      </c>
      <c r="E154" s="25">
        <f>F$4</f>
        <v>2645.8677245958893</v>
      </c>
      <c r="F154" s="55">
        <f ca="1">G$4</f>
        <v>1686.1385279538206</v>
      </c>
      <c r="G154" s="96">
        <v>0</v>
      </c>
      <c r="H154" s="96">
        <v>0</v>
      </c>
      <c r="I154" s="220">
        <v>0</v>
      </c>
    </row>
    <row r="155" spans="1:9" x14ac:dyDescent="0.25">
      <c r="A155" s="8">
        <v>133</v>
      </c>
      <c r="B155" s="96" t="s">
        <v>675</v>
      </c>
      <c r="C155" s="25">
        <f>B$11+B$18</f>
        <v>3183.7301356248827</v>
      </c>
      <c r="D155" s="55">
        <f ca="1">C$11+C$18</f>
        <v>3373.3344918928988</v>
      </c>
      <c r="E155" s="25">
        <f>F$2</f>
        <v>1063.2766935978477</v>
      </c>
      <c r="F155" s="55">
        <f ca="1">G$2</f>
        <v>1228.8185715166962</v>
      </c>
      <c r="G155" s="96">
        <f>($J$17/$J$18)*(J$3-J$5)</f>
        <v>0.66949753772417253</v>
      </c>
      <c r="H155" s="96">
        <f ca="1">($J$17/$J$18)*(K$3-K$5)</f>
        <v>0.66993521161162717</v>
      </c>
      <c r="I155" s="220">
        <f>$J$17/$J$18</f>
        <v>0.76923076923076927</v>
      </c>
    </row>
    <row r="156" spans="1:9" x14ac:dyDescent="0.25">
      <c r="A156" s="8">
        <v>134</v>
      </c>
      <c r="B156" s="96" t="s">
        <v>676</v>
      </c>
      <c r="C156" s="25">
        <f t="shared" ref="C156:D158" si="31">B$11+B$18</f>
        <v>3183.7301356248827</v>
      </c>
      <c r="D156" s="55">
        <f t="shared" ca="1" si="31"/>
        <v>3373.3344918928988</v>
      </c>
      <c r="E156" s="25">
        <f>F$4</f>
        <v>2645.8677245958893</v>
      </c>
      <c r="F156" s="55">
        <f ca="1">G$4</f>
        <v>1686.1385279538206</v>
      </c>
      <c r="G156" s="96">
        <f>($J$17/$J$18)*(J$3)</f>
        <v>0.7464206146472494</v>
      </c>
      <c r="H156" s="96">
        <f ca="1">($J$17/$J$18)*(K$3)</f>
        <v>0.74644462451083771</v>
      </c>
      <c r="I156" s="220">
        <f>$J$17/$J$18</f>
        <v>0.76923076923076927</v>
      </c>
    </row>
    <row r="157" spans="1:9" ht="15.75" thickBot="1" x14ac:dyDescent="0.3">
      <c r="A157" s="8">
        <v>135</v>
      </c>
      <c r="B157" s="96" t="s">
        <v>677</v>
      </c>
      <c r="C157" s="25">
        <f>B$11+B$18</f>
        <v>3183.7301356248827</v>
      </c>
      <c r="D157" s="55">
        <f t="shared" ca="1" si="31"/>
        <v>3373.3344918928988</v>
      </c>
      <c r="E157" s="204">
        <f>F$2</f>
        <v>1063.2766935978477</v>
      </c>
      <c r="F157" s="56">
        <f ca="1">G$2</f>
        <v>1228.8185715166962</v>
      </c>
      <c r="G157" s="96">
        <f>($J$17/$J$18)*(J$3-J$5)</f>
        <v>0.66949753772417253</v>
      </c>
      <c r="H157" s="96">
        <f ca="1">($J$17/$J$18)*(K$3-K$5)</f>
        <v>0.66993521161162717</v>
      </c>
      <c r="I157" s="220">
        <f>$J$17/$J$18</f>
        <v>0.76923076923076927</v>
      </c>
    </row>
    <row r="158" spans="1:9" ht="15.75" thickBot="1" x14ac:dyDescent="0.3">
      <c r="A158" s="11">
        <v>136</v>
      </c>
      <c r="B158" s="12" t="s">
        <v>678</v>
      </c>
      <c r="C158" s="204">
        <f>B$11+B$18</f>
        <v>3183.7301356248827</v>
      </c>
      <c r="D158" s="56">
        <f t="shared" ca="1" si="31"/>
        <v>3373.3344918928988</v>
      </c>
      <c r="E158" s="45">
        <f>F$4</f>
        <v>2645.8677245958893</v>
      </c>
      <c r="F158" s="45">
        <f ca="1">G$4</f>
        <v>1686.1385279538206</v>
      </c>
      <c r="G158" s="12">
        <f>($J$17/$J$18)*(J$3)</f>
        <v>0.7464206146472494</v>
      </c>
      <c r="H158" s="12">
        <f ca="1">($J$17/$J$18)*(K$3)</f>
        <v>0.74644462451083771</v>
      </c>
      <c r="I158" s="221">
        <f>$J$17/$J$18</f>
        <v>0.76923076923076927</v>
      </c>
    </row>
  </sheetData>
  <sheetProtection algorithmName="SHA-512" hashValue="D2Dneh5uSRf0tNX/w0KCINqr2oCmKB6m3XJBEkmp+jQv0eCLSRlUjlZDoe4nkQYU5UtastG0fmgZEVowBvCaMw==" saltValue="+F/JTkyrYmybMTqie2sDtQ==" spinCount="100000" sheet="1" objects="1" scenarios="1" selectLockedCells="1"/>
  <mergeCells count="5">
    <mergeCell ref="A21:B21"/>
    <mergeCell ref="C21:D21"/>
    <mergeCell ref="E21:F21"/>
    <mergeCell ref="G21:H21"/>
    <mergeCell ref="I7:J7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M120"/>
  <sheetViews>
    <sheetView workbookViewId="0">
      <selection activeCell="M21" sqref="M21"/>
    </sheetView>
  </sheetViews>
  <sheetFormatPr defaultRowHeight="15" x14ac:dyDescent="0.25"/>
  <cols>
    <col min="1" max="1" width="16.7109375" bestFit="1" customWidth="1"/>
    <col min="2" max="2" width="20.42578125" bestFit="1" customWidth="1"/>
    <col min="3" max="3" width="14.5703125" bestFit="1" customWidth="1"/>
    <col min="4" max="4" width="14.85546875" bestFit="1" customWidth="1"/>
    <col min="5" max="5" width="13.5703125" bestFit="1" customWidth="1"/>
    <col min="6" max="6" width="14.5703125" bestFit="1" customWidth="1"/>
    <col min="7" max="7" width="14.85546875" bestFit="1" customWidth="1"/>
    <col min="8" max="8" width="13.5703125" bestFit="1" customWidth="1"/>
    <col min="9" max="9" width="14.5703125" bestFit="1" customWidth="1"/>
    <col min="10" max="10" width="14.85546875" bestFit="1" customWidth="1"/>
    <col min="11" max="11" width="13.5703125" bestFit="1" customWidth="1"/>
    <col min="12" max="12" width="14.5703125" bestFit="1" customWidth="1"/>
    <col min="13" max="13" width="14.85546875" bestFit="1" customWidth="1"/>
  </cols>
  <sheetData>
    <row r="1" spans="1:8" x14ac:dyDescent="0.25">
      <c r="A1" s="8"/>
      <c r="B1" s="96" t="s">
        <v>21</v>
      </c>
      <c r="C1" s="96" t="s">
        <v>14</v>
      </c>
      <c r="D1" t="s">
        <v>25</v>
      </c>
      <c r="F1" s="613" t="s">
        <v>341</v>
      </c>
      <c r="G1" s="613"/>
      <c r="H1" s="613"/>
    </row>
    <row r="2" spans="1:8" x14ac:dyDescent="0.25">
      <c r="A2" s="8" t="s">
        <v>26</v>
      </c>
      <c r="B2" s="96"/>
      <c r="C2" s="96">
        <f>Parameters!F400</f>
        <v>1.0569999999999999</v>
      </c>
      <c r="D2">
        <f ca="1">Parameters!O400</f>
        <v>1.0505110375673348</v>
      </c>
      <c r="F2" t="s">
        <v>27</v>
      </c>
      <c r="G2">
        <v>955</v>
      </c>
      <c r="H2">
        <f>G2/$G$5</f>
        <v>0.3269428277986991</v>
      </c>
    </row>
    <row r="3" spans="1:8" x14ac:dyDescent="0.25">
      <c r="A3" s="39" t="s">
        <v>28</v>
      </c>
      <c r="B3" s="40"/>
      <c r="C3" s="40"/>
      <c r="F3" t="s">
        <v>29</v>
      </c>
      <c r="G3">
        <v>1230</v>
      </c>
      <c r="H3" s="91">
        <f>G3/$G$5</f>
        <v>0.42108866826429303</v>
      </c>
    </row>
    <row r="4" spans="1:8" x14ac:dyDescent="0.25">
      <c r="A4" s="8" t="s">
        <v>27</v>
      </c>
      <c r="B4" s="96"/>
      <c r="C4" s="96">
        <f>Parameters!F401</f>
        <v>3.1E-2</v>
      </c>
      <c r="D4">
        <f ca="1">Parameters!O401</f>
        <v>3.5689170333962607E-2</v>
      </c>
      <c r="F4" t="s">
        <v>31</v>
      </c>
      <c r="G4">
        <v>736</v>
      </c>
      <c r="H4" s="91">
        <f>G4/$G$5</f>
        <v>0.25196850393700787</v>
      </c>
    </row>
    <row r="5" spans="1:8" x14ac:dyDescent="0.25">
      <c r="A5" s="8" t="s">
        <v>29</v>
      </c>
      <c r="B5" s="96"/>
      <c r="C5" s="96">
        <f>Parameters!F402</f>
        <v>3.3000000000000002E-2</v>
      </c>
      <c r="D5">
        <f ca="1">Parameters!O402</f>
        <v>3.3389751544707649E-2</v>
      </c>
      <c r="F5" t="s">
        <v>20</v>
      </c>
      <c r="G5">
        <f>SUM(G2:G4)</f>
        <v>2921</v>
      </c>
    </row>
    <row r="6" spans="1:8" x14ac:dyDescent="0.25">
      <c r="A6" s="8" t="s">
        <v>31</v>
      </c>
      <c r="B6" s="96"/>
      <c r="C6" s="96">
        <f>Parameters!F403</f>
        <v>6.2E-2</v>
      </c>
      <c r="D6">
        <f ca="1">Parameters!O403</f>
        <v>6.4994845571539075E-2</v>
      </c>
    </row>
    <row r="7" spans="1:8" s="91" customFormat="1" x14ac:dyDescent="0.25">
      <c r="A7" s="8" t="s">
        <v>111</v>
      </c>
      <c r="B7" s="96" t="s">
        <v>342</v>
      </c>
      <c r="C7" s="96">
        <f>(C4*H2)+(C5*H3)+(C6*H4)</f>
        <v>3.9653200958575829E-2</v>
      </c>
      <c r="D7" s="91">
        <f ca="1">(D4*H2)+(D5*H3)+(D6*H4)</f>
        <v>4.2105018284689308E-2</v>
      </c>
    </row>
    <row r="8" spans="1:8" x14ac:dyDescent="0.25">
      <c r="A8" s="8" t="s">
        <v>32</v>
      </c>
      <c r="B8" s="96"/>
      <c r="C8" s="96">
        <f>Parameters!F404</f>
        <v>2.3E-2</v>
      </c>
      <c r="D8">
        <f ca="1">Parameters!O404</f>
        <v>1.6264866748239008E-2</v>
      </c>
    </row>
    <row r="9" spans="1:8" x14ac:dyDescent="0.25">
      <c r="A9" s="8" t="s">
        <v>33</v>
      </c>
      <c r="B9" s="96"/>
      <c r="C9" s="96">
        <f>Parameters!F405</f>
        <v>1.4E-2</v>
      </c>
      <c r="D9">
        <f ca="1">Parameters!O405</f>
        <v>-9.2420005435604052E-4</v>
      </c>
    </row>
    <row r="10" spans="1:8" x14ac:dyDescent="0.25">
      <c r="A10" s="8" t="s">
        <v>34</v>
      </c>
      <c r="B10" s="96">
        <v>0</v>
      </c>
      <c r="C10" s="96">
        <v>0</v>
      </c>
      <c r="D10">
        <v>0</v>
      </c>
    </row>
    <row r="11" spans="1:8" x14ac:dyDescent="0.25">
      <c r="A11" s="8" t="s">
        <v>35</v>
      </c>
      <c r="B11" s="96">
        <v>25</v>
      </c>
      <c r="C11" s="96">
        <f>Parameters!F406</f>
        <v>3.3000000000000002E-2</v>
      </c>
      <c r="D11">
        <f ca="1">Parameters!O406</f>
        <v>3.8952207472912524E-2</v>
      </c>
    </row>
    <row r="12" spans="1:8" x14ac:dyDescent="0.25">
      <c r="A12" s="8" t="s">
        <v>36</v>
      </c>
      <c r="B12" s="96">
        <v>35</v>
      </c>
      <c r="C12" s="96">
        <f>Parameters!F407</f>
        <v>4.5999999999999999E-2</v>
      </c>
      <c r="D12" s="91">
        <f ca="1">Parameters!O407</f>
        <v>4.961083138809539E-2</v>
      </c>
    </row>
    <row r="13" spans="1:8" x14ac:dyDescent="0.25">
      <c r="A13" s="8" t="s">
        <v>37</v>
      </c>
      <c r="B13" s="96">
        <v>45</v>
      </c>
      <c r="C13" s="96">
        <f>Parameters!F408</f>
        <v>0.08</v>
      </c>
      <c r="D13" s="91">
        <f ca="1">Parameters!O408</f>
        <v>7.9516538282869559E-2</v>
      </c>
    </row>
    <row r="14" spans="1:8" x14ac:dyDescent="0.25">
      <c r="A14" s="8" t="s">
        <v>38</v>
      </c>
      <c r="B14" s="96">
        <v>55</v>
      </c>
      <c r="C14" s="96">
        <f>Parameters!F409</f>
        <v>0.1</v>
      </c>
      <c r="D14" s="91">
        <f ca="1">Parameters!O409</f>
        <v>0.10871035683019248</v>
      </c>
    </row>
    <row r="15" spans="1:8" x14ac:dyDescent="0.25">
      <c r="A15" s="8" t="s">
        <v>39</v>
      </c>
      <c r="B15" s="96">
        <v>65</v>
      </c>
      <c r="C15" s="96">
        <f>Parameters!F410</f>
        <v>0.107</v>
      </c>
      <c r="D15" s="91">
        <f ca="1">Parameters!O410</f>
        <v>0.1072776990303228</v>
      </c>
    </row>
    <row r="16" spans="1:8" ht="15.75" thickBot="1" x14ac:dyDescent="0.3">
      <c r="A16" s="11" t="s">
        <v>40</v>
      </c>
      <c r="B16" s="12">
        <v>75</v>
      </c>
      <c r="C16" s="12">
        <f>Parameters!F411</f>
        <v>0.11899999999999999</v>
      </c>
      <c r="D16" s="91">
        <f ca="1">Parameters!O411</f>
        <v>0.1114111698703002</v>
      </c>
    </row>
    <row r="18" spans="1:13" s="91" customFormat="1" x14ac:dyDescent="0.25">
      <c r="B18" s="614" t="s">
        <v>14</v>
      </c>
      <c r="C18" s="614"/>
      <c r="D18" s="614"/>
      <c r="E18" s="614"/>
      <c r="F18" s="614"/>
      <c r="G18" s="614"/>
      <c r="H18" s="614" t="s">
        <v>25</v>
      </c>
      <c r="I18" s="614"/>
      <c r="J18" s="614"/>
      <c r="K18" s="614"/>
      <c r="L18" s="614"/>
      <c r="M18" s="614"/>
    </row>
    <row r="19" spans="1:13" x14ac:dyDescent="0.25">
      <c r="B19" s="614" t="s">
        <v>72</v>
      </c>
      <c r="C19" s="614"/>
      <c r="D19" s="614"/>
      <c r="E19" s="614" t="s">
        <v>55</v>
      </c>
      <c r="F19" s="614"/>
      <c r="G19" s="614"/>
      <c r="H19" s="614" t="s">
        <v>72</v>
      </c>
      <c r="I19" s="614"/>
      <c r="J19" s="614"/>
      <c r="K19" s="614" t="s">
        <v>55</v>
      </c>
      <c r="L19" s="614"/>
      <c r="M19" s="614"/>
    </row>
    <row r="20" spans="1:13" x14ac:dyDescent="0.25">
      <c r="A20" s="96" t="s">
        <v>48</v>
      </c>
      <c r="B20" t="s">
        <v>30</v>
      </c>
      <c r="C20" t="s">
        <v>32</v>
      </c>
      <c r="D20" t="s">
        <v>111</v>
      </c>
      <c r="E20" s="91" t="s">
        <v>30</v>
      </c>
      <c r="F20" s="91" t="s">
        <v>32</v>
      </c>
      <c r="G20" s="91" t="s">
        <v>111</v>
      </c>
      <c r="H20" s="91" t="s">
        <v>30</v>
      </c>
      <c r="I20" s="91" t="s">
        <v>32</v>
      </c>
      <c r="J20" s="91" t="s">
        <v>111</v>
      </c>
      <c r="K20" s="91" t="s">
        <v>30</v>
      </c>
      <c r="L20" s="91" t="s">
        <v>32</v>
      </c>
      <c r="M20" s="91" t="s">
        <v>111</v>
      </c>
    </row>
    <row r="21" spans="1:13" x14ac:dyDescent="0.25">
      <c r="A21">
        <v>1</v>
      </c>
      <c r="B21">
        <f>$C$2-VLOOKUP($A21,$B$10:$D$16,2)</f>
        <v>1.0569999999999999</v>
      </c>
      <c r="C21" s="91">
        <f>$C$2-VLOOKUP($A21,$B$10:$D$16,2)-$C$8</f>
        <v>1.034</v>
      </c>
      <c r="D21" s="91">
        <f>$C$2-VLOOKUP($A21,$B$10:$D$16,2)-$C$7</f>
        <v>1.017346799041424</v>
      </c>
      <c r="E21" s="91">
        <f>$C$2-VLOOKUP($A21,$B$10:$D$16,2)-$C$9</f>
        <v>1.0429999999999999</v>
      </c>
      <c r="F21" s="91">
        <f>$C$2-VLOOKUP($A21,$B$10:$D$16,2)-$C$8-$C$9</f>
        <v>1.02</v>
      </c>
      <c r="G21" s="91">
        <f>$C$2-VLOOKUP($A21,$B$10:$D$16,2)-$C$7-$C$9</f>
        <v>1.003346799041424</v>
      </c>
      <c r="H21" s="91">
        <f ca="1">$D$2-VLOOKUP($A21,$B$10:$D$16,3)</f>
        <v>1.0505110375673348</v>
      </c>
      <c r="I21" s="91">
        <f ca="1">$D$2-VLOOKUP($A21,$B$10:$D$16,3)-$D$8</f>
        <v>1.0342461708190958</v>
      </c>
      <c r="J21" s="91">
        <f ca="1">$D$2-VLOOKUP($A21,$B$10:$D$16,3)-$D$7</f>
        <v>1.0084060192826454</v>
      </c>
      <c r="K21" s="91">
        <f ca="1">$D$2-VLOOKUP($A21,$B$10:$D$16,3)-$D$9</f>
        <v>1.0514352376216909</v>
      </c>
      <c r="L21" s="91">
        <f ca="1">$D$2-VLOOKUP($A21,$B$10:$D$16,3)-$D$8-$D$9</f>
        <v>1.0351703708734519</v>
      </c>
      <c r="M21" s="91">
        <f ca="1">$D$2-VLOOKUP($A21,$B$10:$D$16,3)-$D$7-$D$9</f>
        <v>1.0093302193370015</v>
      </c>
    </row>
    <row r="22" spans="1:13" x14ac:dyDescent="0.25">
      <c r="A22">
        <v>2</v>
      </c>
      <c r="B22" s="91">
        <f t="shared" ref="B22:B85" si="0">$C$2-VLOOKUP($A22,$B$10:$D$16,2)</f>
        <v>1.0569999999999999</v>
      </c>
      <c r="C22" s="91">
        <f t="shared" ref="C22:C85" si="1">$C$2-VLOOKUP($A22,$B$10:$D$16,2)-$C$8</f>
        <v>1.034</v>
      </c>
      <c r="D22" s="91">
        <f t="shared" ref="D22:D85" si="2">$C$2-VLOOKUP($A22,$B$10:$D$16,2)-$C$7</f>
        <v>1.017346799041424</v>
      </c>
      <c r="E22" s="91">
        <f t="shared" ref="E22:E85" si="3">$C$2-VLOOKUP($A22,$B$10:$D$16,2)-$C$9</f>
        <v>1.0429999999999999</v>
      </c>
      <c r="F22" s="91">
        <f t="shared" ref="F22:F85" si="4">$C$2-VLOOKUP($A22,$B$10:$D$16,2)-$C$8-$C$9</f>
        <v>1.02</v>
      </c>
      <c r="G22" s="91">
        <f t="shared" ref="G22:G85" si="5">$C$2-VLOOKUP($A22,$B$10:$D$16,2)-$C$7-$C$9</f>
        <v>1.003346799041424</v>
      </c>
      <c r="H22" s="91">
        <f t="shared" ref="H22:H85" ca="1" si="6">$D$2-VLOOKUP($A22,$B$10:$D$16,3)</f>
        <v>1.0505110375673348</v>
      </c>
      <c r="I22" s="91">
        <f t="shared" ref="I22:I85" ca="1" si="7">$D$2-VLOOKUP($A22,$B$10:$D$16,3)-$D$8</f>
        <v>1.0342461708190958</v>
      </c>
      <c r="J22" s="91">
        <f t="shared" ref="J22:J85" ca="1" si="8">$D$2-VLOOKUP($A22,$B$10:$D$16,3)-$D$7</f>
        <v>1.0084060192826454</v>
      </c>
      <c r="K22" s="91">
        <f t="shared" ref="K22:K85" ca="1" si="9">$D$2-VLOOKUP($A22,$B$10:$D$16,3)-$D$9</f>
        <v>1.0514352376216909</v>
      </c>
      <c r="L22" s="91">
        <f t="shared" ref="L22:L85" ca="1" si="10">$D$2-VLOOKUP($A22,$B$10:$D$16,3)-$D$8-$D$9</f>
        <v>1.0351703708734519</v>
      </c>
      <c r="M22" s="91">
        <f t="shared" ref="M22:M85" ca="1" si="11">$D$2-VLOOKUP($A22,$B$10:$D$16,3)-$D$7-$D$9</f>
        <v>1.0093302193370015</v>
      </c>
    </row>
    <row r="23" spans="1:13" x14ac:dyDescent="0.25">
      <c r="A23">
        <v>3</v>
      </c>
      <c r="B23" s="91">
        <f t="shared" si="0"/>
        <v>1.0569999999999999</v>
      </c>
      <c r="C23" s="91">
        <f t="shared" si="1"/>
        <v>1.034</v>
      </c>
      <c r="D23" s="91">
        <f t="shared" si="2"/>
        <v>1.017346799041424</v>
      </c>
      <c r="E23" s="91">
        <f t="shared" si="3"/>
        <v>1.0429999999999999</v>
      </c>
      <c r="F23" s="91">
        <f t="shared" si="4"/>
        <v>1.02</v>
      </c>
      <c r="G23" s="91">
        <f t="shared" si="5"/>
        <v>1.003346799041424</v>
      </c>
      <c r="H23" s="91">
        <f t="shared" ca="1" si="6"/>
        <v>1.0505110375673348</v>
      </c>
      <c r="I23" s="91">
        <f t="shared" ca="1" si="7"/>
        <v>1.0342461708190958</v>
      </c>
      <c r="J23" s="91">
        <f t="shared" ca="1" si="8"/>
        <v>1.0084060192826454</v>
      </c>
      <c r="K23" s="91">
        <f t="shared" ca="1" si="9"/>
        <v>1.0514352376216909</v>
      </c>
      <c r="L23" s="91">
        <f t="shared" ca="1" si="10"/>
        <v>1.0351703708734519</v>
      </c>
      <c r="M23" s="91">
        <f t="shared" ca="1" si="11"/>
        <v>1.0093302193370015</v>
      </c>
    </row>
    <row r="24" spans="1:13" x14ac:dyDescent="0.25">
      <c r="A24">
        <v>4</v>
      </c>
      <c r="B24" s="91">
        <f t="shared" si="0"/>
        <v>1.0569999999999999</v>
      </c>
      <c r="C24" s="91">
        <f t="shared" si="1"/>
        <v>1.034</v>
      </c>
      <c r="D24" s="91">
        <f t="shared" si="2"/>
        <v>1.017346799041424</v>
      </c>
      <c r="E24" s="91">
        <f t="shared" si="3"/>
        <v>1.0429999999999999</v>
      </c>
      <c r="F24" s="91">
        <f t="shared" si="4"/>
        <v>1.02</v>
      </c>
      <c r="G24" s="91">
        <f t="shared" si="5"/>
        <v>1.003346799041424</v>
      </c>
      <c r="H24" s="91">
        <f t="shared" ca="1" si="6"/>
        <v>1.0505110375673348</v>
      </c>
      <c r="I24" s="91">
        <f t="shared" ca="1" si="7"/>
        <v>1.0342461708190958</v>
      </c>
      <c r="J24" s="91">
        <f t="shared" ca="1" si="8"/>
        <v>1.0084060192826454</v>
      </c>
      <c r="K24" s="91">
        <f t="shared" ca="1" si="9"/>
        <v>1.0514352376216909</v>
      </c>
      <c r="L24" s="91">
        <f t="shared" ca="1" si="10"/>
        <v>1.0351703708734519</v>
      </c>
      <c r="M24" s="91">
        <f t="shared" ca="1" si="11"/>
        <v>1.0093302193370015</v>
      </c>
    </row>
    <row r="25" spans="1:13" x14ac:dyDescent="0.25">
      <c r="A25">
        <v>5</v>
      </c>
      <c r="B25" s="91">
        <f t="shared" si="0"/>
        <v>1.0569999999999999</v>
      </c>
      <c r="C25" s="91">
        <f t="shared" si="1"/>
        <v>1.034</v>
      </c>
      <c r="D25" s="91">
        <f t="shared" si="2"/>
        <v>1.017346799041424</v>
      </c>
      <c r="E25" s="91">
        <f t="shared" si="3"/>
        <v>1.0429999999999999</v>
      </c>
      <c r="F25" s="91">
        <f t="shared" si="4"/>
        <v>1.02</v>
      </c>
      <c r="G25" s="91">
        <f t="shared" si="5"/>
        <v>1.003346799041424</v>
      </c>
      <c r="H25" s="91">
        <f t="shared" ca="1" si="6"/>
        <v>1.0505110375673348</v>
      </c>
      <c r="I25" s="91">
        <f t="shared" ca="1" si="7"/>
        <v>1.0342461708190958</v>
      </c>
      <c r="J25" s="91">
        <f t="shared" ca="1" si="8"/>
        <v>1.0084060192826454</v>
      </c>
      <c r="K25" s="91">
        <f t="shared" ca="1" si="9"/>
        <v>1.0514352376216909</v>
      </c>
      <c r="L25" s="91">
        <f t="shared" ca="1" si="10"/>
        <v>1.0351703708734519</v>
      </c>
      <c r="M25" s="91">
        <f t="shared" ca="1" si="11"/>
        <v>1.0093302193370015</v>
      </c>
    </row>
    <row r="26" spans="1:13" x14ac:dyDescent="0.25">
      <c r="A26">
        <v>6</v>
      </c>
      <c r="B26" s="91">
        <f t="shared" si="0"/>
        <v>1.0569999999999999</v>
      </c>
      <c r="C26" s="91">
        <f t="shared" si="1"/>
        <v>1.034</v>
      </c>
      <c r="D26" s="91">
        <f t="shared" si="2"/>
        <v>1.017346799041424</v>
      </c>
      <c r="E26" s="91">
        <f t="shared" si="3"/>
        <v>1.0429999999999999</v>
      </c>
      <c r="F26" s="91">
        <f t="shared" si="4"/>
        <v>1.02</v>
      </c>
      <c r="G26" s="91">
        <f t="shared" si="5"/>
        <v>1.003346799041424</v>
      </c>
      <c r="H26" s="91">
        <f t="shared" ca="1" si="6"/>
        <v>1.0505110375673348</v>
      </c>
      <c r="I26" s="91">
        <f t="shared" ca="1" si="7"/>
        <v>1.0342461708190958</v>
      </c>
      <c r="J26" s="91">
        <f t="shared" ca="1" si="8"/>
        <v>1.0084060192826454</v>
      </c>
      <c r="K26" s="91">
        <f t="shared" ca="1" si="9"/>
        <v>1.0514352376216909</v>
      </c>
      <c r="L26" s="91">
        <f t="shared" ca="1" si="10"/>
        <v>1.0351703708734519</v>
      </c>
      <c r="M26" s="91">
        <f t="shared" ca="1" si="11"/>
        <v>1.0093302193370015</v>
      </c>
    </row>
    <row r="27" spans="1:13" x14ac:dyDescent="0.25">
      <c r="A27">
        <v>7</v>
      </c>
      <c r="B27" s="91">
        <f t="shared" si="0"/>
        <v>1.0569999999999999</v>
      </c>
      <c r="C27" s="91">
        <f t="shared" si="1"/>
        <v>1.034</v>
      </c>
      <c r="D27" s="91">
        <f t="shared" si="2"/>
        <v>1.017346799041424</v>
      </c>
      <c r="E27" s="91">
        <f t="shared" si="3"/>
        <v>1.0429999999999999</v>
      </c>
      <c r="F27" s="91">
        <f t="shared" si="4"/>
        <v>1.02</v>
      </c>
      <c r="G27" s="91">
        <f t="shared" si="5"/>
        <v>1.003346799041424</v>
      </c>
      <c r="H27" s="91">
        <f t="shared" ca="1" si="6"/>
        <v>1.0505110375673348</v>
      </c>
      <c r="I27" s="91">
        <f t="shared" ca="1" si="7"/>
        <v>1.0342461708190958</v>
      </c>
      <c r="J27" s="91">
        <f t="shared" ca="1" si="8"/>
        <v>1.0084060192826454</v>
      </c>
      <c r="K27" s="91">
        <f t="shared" ca="1" si="9"/>
        <v>1.0514352376216909</v>
      </c>
      <c r="L27" s="91">
        <f t="shared" ca="1" si="10"/>
        <v>1.0351703708734519</v>
      </c>
      <c r="M27" s="91">
        <f t="shared" ca="1" si="11"/>
        <v>1.0093302193370015</v>
      </c>
    </row>
    <row r="28" spans="1:13" x14ac:dyDescent="0.25">
      <c r="A28">
        <v>8</v>
      </c>
      <c r="B28" s="91">
        <f t="shared" si="0"/>
        <v>1.0569999999999999</v>
      </c>
      <c r="C28" s="91">
        <f t="shared" si="1"/>
        <v>1.034</v>
      </c>
      <c r="D28" s="91">
        <f t="shared" si="2"/>
        <v>1.017346799041424</v>
      </c>
      <c r="E28" s="91">
        <f t="shared" si="3"/>
        <v>1.0429999999999999</v>
      </c>
      <c r="F28" s="91">
        <f t="shared" si="4"/>
        <v>1.02</v>
      </c>
      <c r="G28" s="91">
        <f t="shared" si="5"/>
        <v>1.003346799041424</v>
      </c>
      <c r="H28" s="91">
        <f t="shared" ca="1" si="6"/>
        <v>1.0505110375673348</v>
      </c>
      <c r="I28" s="91">
        <f t="shared" ca="1" si="7"/>
        <v>1.0342461708190958</v>
      </c>
      <c r="J28" s="91">
        <f t="shared" ca="1" si="8"/>
        <v>1.0084060192826454</v>
      </c>
      <c r="K28" s="91">
        <f t="shared" ca="1" si="9"/>
        <v>1.0514352376216909</v>
      </c>
      <c r="L28" s="91">
        <f t="shared" ca="1" si="10"/>
        <v>1.0351703708734519</v>
      </c>
      <c r="M28" s="91">
        <f t="shared" ca="1" si="11"/>
        <v>1.0093302193370015</v>
      </c>
    </row>
    <row r="29" spans="1:13" x14ac:dyDescent="0.25">
      <c r="A29" s="91">
        <v>9</v>
      </c>
      <c r="B29" s="91">
        <f t="shared" si="0"/>
        <v>1.0569999999999999</v>
      </c>
      <c r="C29" s="91">
        <f t="shared" si="1"/>
        <v>1.034</v>
      </c>
      <c r="D29" s="91">
        <f t="shared" si="2"/>
        <v>1.017346799041424</v>
      </c>
      <c r="E29" s="91">
        <f t="shared" si="3"/>
        <v>1.0429999999999999</v>
      </c>
      <c r="F29" s="91">
        <f t="shared" si="4"/>
        <v>1.02</v>
      </c>
      <c r="G29" s="91">
        <f t="shared" si="5"/>
        <v>1.003346799041424</v>
      </c>
      <c r="H29" s="91">
        <f t="shared" ca="1" si="6"/>
        <v>1.0505110375673348</v>
      </c>
      <c r="I29" s="91">
        <f t="shared" ca="1" si="7"/>
        <v>1.0342461708190958</v>
      </c>
      <c r="J29" s="91">
        <f t="shared" ca="1" si="8"/>
        <v>1.0084060192826454</v>
      </c>
      <c r="K29" s="91">
        <f t="shared" ca="1" si="9"/>
        <v>1.0514352376216909</v>
      </c>
      <c r="L29" s="91">
        <f t="shared" ca="1" si="10"/>
        <v>1.0351703708734519</v>
      </c>
      <c r="M29" s="91">
        <f t="shared" ca="1" si="11"/>
        <v>1.0093302193370015</v>
      </c>
    </row>
    <row r="30" spans="1:13" x14ac:dyDescent="0.25">
      <c r="A30" s="91">
        <v>10</v>
      </c>
      <c r="B30" s="91">
        <f t="shared" si="0"/>
        <v>1.0569999999999999</v>
      </c>
      <c r="C30" s="91">
        <f t="shared" si="1"/>
        <v>1.034</v>
      </c>
      <c r="D30" s="91">
        <f t="shared" si="2"/>
        <v>1.017346799041424</v>
      </c>
      <c r="E30" s="91">
        <f t="shared" si="3"/>
        <v>1.0429999999999999</v>
      </c>
      <c r="F30" s="91">
        <f t="shared" si="4"/>
        <v>1.02</v>
      </c>
      <c r="G30" s="91">
        <f t="shared" si="5"/>
        <v>1.003346799041424</v>
      </c>
      <c r="H30" s="91">
        <f t="shared" ca="1" si="6"/>
        <v>1.0505110375673348</v>
      </c>
      <c r="I30" s="91">
        <f t="shared" ca="1" si="7"/>
        <v>1.0342461708190958</v>
      </c>
      <c r="J30" s="91">
        <f t="shared" ca="1" si="8"/>
        <v>1.0084060192826454</v>
      </c>
      <c r="K30" s="91">
        <f t="shared" ca="1" si="9"/>
        <v>1.0514352376216909</v>
      </c>
      <c r="L30" s="91">
        <f t="shared" ca="1" si="10"/>
        <v>1.0351703708734519</v>
      </c>
      <c r="M30" s="91">
        <f t="shared" ca="1" si="11"/>
        <v>1.0093302193370015</v>
      </c>
    </row>
    <row r="31" spans="1:13" x14ac:dyDescent="0.25">
      <c r="A31" s="91">
        <v>11</v>
      </c>
      <c r="B31" s="91">
        <f t="shared" si="0"/>
        <v>1.0569999999999999</v>
      </c>
      <c r="C31" s="91">
        <f t="shared" si="1"/>
        <v>1.034</v>
      </c>
      <c r="D31" s="91">
        <f t="shared" si="2"/>
        <v>1.017346799041424</v>
      </c>
      <c r="E31" s="91">
        <f t="shared" si="3"/>
        <v>1.0429999999999999</v>
      </c>
      <c r="F31" s="91">
        <f t="shared" si="4"/>
        <v>1.02</v>
      </c>
      <c r="G31" s="91">
        <f t="shared" si="5"/>
        <v>1.003346799041424</v>
      </c>
      <c r="H31" s="91">
        <f t="shared" ca="1" si="6"/>
        <v>1.0505110375673348</v>
      </c>
      <c r="I31" s="91">
        <f t="shared" ca="1" si="7"/>
        <v>1.0342461708190958</v>
      </c>
      <c r="J31" s="91">
        <f t="shared" ca="1" si="8"/>
        <v>1.0084060192826454</v>
      </c>
      <c r="K31" s="91">
        <f t="shared" ca="1" si="9"/>
        <v>1.0514352376216909</v>
      </c>
      <c r="L31" s="91">
        <f t="shared" ca="1" si="10"/>
        <v>1.0351703708734519</v>
      </c>
      <c r="M31" s="91">
        <f t="shared" ca="1" si="11"/>
        <v>1.0093302193370015</v>
      </c>
    </row>
    <row r="32" spans="1:13" x14ac:dyDescent="0.25">
      <c r="A32" s="91">
        <v>12</v>
      </c>
      <c r="B32" s="91">
        <f t="shared" si="0"/>
        <v>1.0569999999999999</v>
      </c>
      <c r="C32" s="91">
        <f t="shared" si="1"/>
        <v>1.034</v>
      </c>
      <c r="D32" s="91">
        <f t="shared" si="2"/>
        <v>1.017346799041424</v>
      </c>
      <c r="E32" s="91">
        <f t="shared" si="3"/>
        <v>1.0429999999999999</v>
      </c>
      <c r="F32" s="91">
        <f t="shared" si="4"/>
        <v>1.02</v>
      </c>
      <c r="G32" s="91">
        <f t="shared" si="5"/>
        <v>1.003346799041424</v>
      </c>
      <c r="H32" s="91">
        <f t="shared" ca="1" si="6"/>
        <v>1.0505110375673348</v>
      </c>
      <c r="I32" s="91">
        <f t="shared" ca="1" si="7"/>
        <v>1.0342461708190958</v>
      </c>
      <c r="J32" s="91">
        <f t="shared" ca="1" si="8"/>
        <v>1.0084060192826454</v>
      </c>
      <c r="K32" s="91">
        <f t="shared" ca="1" si="9"/>
        <v>1.0514352376216909</v>
      </c>
      <c r="L32" s="91">
        <f t="shared" ca="1" si="10"/>
        <v>1.0351703708734519</v>
      </c>
      <c r="M32" s="91">
        <f t="shared" ca="1" si="11"/>
        <v>1.0093302193370015</v>
      </c>
    </row>
    <row r="33" spans="1:13" x14ac:dyDescent="0.25">
      <c r="A33" s="91">
        <v>13</v>
      </c>
      <c r="B33" s="91">
        <f t="shared" si="0"/>
        <v>1.0569999999999999</v>
      </c>
      <c r="C33" s="91">
        <f t="shared" si="1"/>
        <v>1.034</v>
      </c>
      <c r="D33" s="91">
        <f t="shared" si="2"/>
        <v>1.017346799041424</v>
      </c>
      <c r="E33" s="91">
        <f t="shared" si="3"/>
        <v>1.0429999999999999</v>
      </c>
      <c r="F33" s="91">
        <f t="shared" si="4"/>
        <v>1.02</v>
      </c>
      <c r="G33" s="91">
        <f t="shared" si="5"/>
        <v>1.003346799041424</v>
      </c>
      <c r="H33" s="91">
        <f t="shared" ca="1" si="6"/>
        <v>1.0505110375673348</v>
      </c>
      <c r="I33" s="91">
        <f t="shared" ca="1" si="7"/>
        <v>1.0342461708190958</v>
      </c>
      <c r="J33" s="91">
        <f t="shared" ca="1" si="8"/>
        <v>1.0084060192826454</v>
      </c>
      <c r="K33" s="91">
        <f t="shared" ca="1" si="9"/>
        <v>1.0514352376216909</v>
      </c>
      <c r="L33" s="91">
        <f t="shared" ca="1" si="10"/>
        <v>1.0351703708734519</v>
      </c>
      <c r="M33" s="91">
        <f t="shared" ca="1" si="11"/>
        <v>1.0093302193370015</v>
      </c>
    </row>
    <row r="34" spans="1:13" x14ac:dyDescent="0.25">
      <c r="A34" s="91">
        <v>14</v>
      </c>
      <c r="B34" s="91">
        <f t="shared" si="0"/>
        <v>1.0569999999999999</v>
      </c>
      <c r="C34" s="91">
        <f t="shared" si="1"/>
        <v>1.034</v>
      </c>
      <c r="D34" s="91">
        <f t="shared" si="2"/>
        <v>1.017346799041424</v>
      </c>
      <c r="E34" s="91">
        <f t="shared" si="3"/>
        <v>1.0429999999999999</v>
      </c>
      <c r="F34" s="91">
        <f t="shared" si="4"/>
        <v>1.02</v>
      </c>
      <c r="G34" s="91">
        <f t="shared" si="5"/>
        <v>1.003346799041424</v>
      </c>
      <c r="H34" s="91">
        <f t="shared" ca="1" si="6"/>
        <v>1.0505110375673348</v>
      </c>
      <c r="I34" s="91">
        <f t="shared" ca="1" si="7"/>
        <v>1.0342461708190958</v>
      </c>
      <c r="J34" s="91">
        <f t="shared" ca="1" si="8"/>
        <v>1.0084060192826454</v>
      </c>
      <c r="K34" s="91">
        <f t="shared" ca="1" si="9"/>
        <v>1.0514352376216909</v>
      </c>
      <c r="L34" s="91">
        <f t="shared" ca="1" si="10"/>
        <v>1.0351703708734519</v>
      </c>
      <c r="M34" s="91">
        <f t="shared" ca="1" si="11"/>
        <v>1.0093302193370015</v>
      </c>
    </row>
    <row r="35" spans="1:13" x14ac:dyDescent="0.25">
      <c r="A35" s="91">
        <v>15</v>
      </c>
      <c r="B35" s="91">
        <f t="shared" si="0"/>
        <v>1.0569999999999999</v>
      </c>
      <c r="C35" s="91">
        <f t="shared" si="1"/>
        <v>1.034</v>
      </c>
      <c r="D35" s="91">
        <f t="shared" si="2"/>
        <v>1.017346799041424</v>
      </c>
      <c r="E35" s="91">
        <f t="shared" si="3"/>
        <v>1.0429999999999999</v>
      </c>
      <c r="F35" s="91">
        <f t="shared" si="4"/>
        <v>1.02</v>
      </c>
      <c r="G35" s="91">
        <f t="shared" si="5"/>
        <v>1.003346799041424</v>
      </c>
      <c r="H35" s="91">
        <f t="shared" ca="1" si="6"/>
        <v>1.0505110375673348</v>
      </c>
      <c r="I35" s="91">
        <f t="shared" ca="1" si="7"/>
        <v>1.0342461708190958</v>
      </c>
      <c r="J35" s="91">
        <f t="shared" ca="1" si="8"/>
        <v>1.0084060192826454</v>
      </c>
      <c r="K35" s="91">
        <f t="shared" ca="1" si="9"/>
        <v>1.0514352376216909</v>
      </c>
      <c r="L35" s="91">
        <f t="shared" ca="1" si="10"/>
        <v>1.0351703708734519</v>
      </c>
      <c r="M35" s="91">
        <f t="shared" ca="1" si="11"/>
        <v>1.0093302193370015</v>
      </c>
    </row>
    <row r="36" spans="1:13" x14ac:dyDescent="0.25">
      <c r="A36" s="91">
        <v>16</v>
      </c>
      <c r="B36" s="91">
        <f t="shared" si="0"/>
        <v>1.0569999999999999</v>
      </c>
      <c r="C36" s="91">
        <f t="shared" si="1"/>
        <v>1.034</v>
      </c>
      <c r="D36" s="91">
        <f t="shared" si="2"/>
        <v>1.017346799041424</v>
      </c>
      <c r="E36" s="91">
        <f t="shared" si="3"/>
        <v>1.0429999999999999</v>
      </c>
      <c r="F36" s="91">
        <f t="shared" si="4"/>
        <v>1.02</v>
      </c>
      <c r="G36" s="91">
        <f t="shared" si="5"/>
        <v>1.003346799041424</v>
      </c>
      <c r="H36" s="91">
        <f t="shared" ca="1" si="6"/>
        <v>1.0505110375673348</v>
      </c>
      <c r="I36" s="91">
        <f t="shared" ca="1" si="7"/>
        <v>1.0342461708190958</v>
      </c>
      <c r="J36" s="91">
        <f t="shared" ca="1" si="8"/>
        <v>1.0084060192826454</v>
      </c>
      <c r="K36" s="91">
        <f t="shared" ca="1" si="9"/>
        <v>1.0514352376216909</v>
      </c>
      <c r="L36" s="91">
        <f t="shared" ca="1" si="10"/>
        <v>1.0351703708734519</v>
      </c>
      <c r="M36" s="91">
        <f t="shared" ca="1" si="11"/>
        <v>1.0093302193370015</v>
      </c>
    </row>
    <row r="37" spans="1:13" x14ac:dyDescent="0.25">
      <c r="A37" s="91">
        <v>17</v>
      </c>
      <c r="B37" s="91">
        <f t="shared" si="0"/>
        <v>1.0569999999999999</v>
      </c>
      <c r="C37" s="91">
        <f t="shared" si="1"/>
        <v>1.034</v>
      </c>
      <c r="D37" s="91">
        <f t="shared" si="2"/>
        <v>1.017346799041424</v>
      </c>
      <c r="E37" s="91">
        <f t="shared" si="3"/>
        <v>1.0429999999999999</v>
      </c>
      <c r="F37" s="91">
        <f t="shared" si="4"/>
        <v>1.02</v>
      </c>
      <c r="G37" s="91">
        <f t="shared" si="5"/>
        <v>1.003346799041424</v>
      </c>
      <c r="H37" s="91">
        <f t="shared" ca="1" si="6"/>
        <v>1.0505110375673348</v>
      </c>
      <c r="I37" s="91">
        <f t="shared" ca="1" si="7"/>
        <v>1.0342461708190958</v>
      </c>
      <c r="J37" s="91">
        <f t="shared" ca="1" si="8"/>
        <v>1.0084060192826454</v>
      </c>
      <c r="K37" s="91">
        <f t="shared" ca="1" si="9"/>
        <v>1.0514352376216909</v>
      </c>
      <c r="L37" s="91">
        <f t="shared" ca="1" si="10"/>
        <v>1.0351703708734519</v>
      </c>
      <c r="M37" s="91">
        <f t="shared" ca="1" si="11"/>
        <v>1.0093302193370015</v>
      </c>
    </row>
    <row r="38" spans="1:13" x14ac:dyDescent="0.25">
      <c r="A38" s="91">
        <v>18</v>
      </c>
      <c r="B38" s="91">
        <f t="shared" si="0"/>
        <v>1.0569999999999999</v>
      </c>
      <c r="C38" s="91">
        <f t="shared" si="1"/>
        <v>1.034</v>
      </c>
      <c r="D38" s="91">
        <f t="shared" si="2"/>
        <v>1.017346799041424</v>
      </c>
      <c r="E38" s="91">
        <f t="shared" si="3"/>
        <v>1.0429999999999999</v>
      </c>
      <c r="F38" s="91">
        <f t="shared" si="4"/>
        <v>1.02</v>
      </c>
      <c r="G38" s="91">
        <f t="shared" si="5"/>
        <v>1.003346799041424</v>
      </c>
      <c r="H38" s="91">
        <f t="shared" ca="1" si="6"/>
        <v>1.0505110375673348</v>
      </c>
      <c r="I38" s="91">
        <f t="shared" ca="1" si="7"/>
        <v>1.0342461708190958</v>
      </c>
      <c r="J38" s="91">
        <f t="shared" ca="1" si="8"/>
        <v>1.0084060192826454</v>
      </c>
      <c r="K38" s="91">
        <f t="shared" ca="1" si="9"/>
        <v>1.0514352376216909</v>
      </c>
      <c r="L38" s="91">
        <f t="shared" ca="1" si="10"/>
        <v>1.0351703708734519</v>
      </c>
      <c r="M38" s="91">
        <f t="shared" ca="1" si="11"/>
        <v>1.0093302193370015</v>
      </c>
    </row>
    <row r="39" spans="1:13" x14ac:dyDescent="0.25">
      <c r="A39" s="91">
        <v>19</v>
      </c>
      <c r="B39" s="91">
        <f t="shared" si="0"/>
        <v>1.0569999999999999</v>
      </c>
      <c r="C39" s="91">
        <f t="shared" si="1"/>
        <v>1.034</v>
      </c>
      <c r="D39" s="91">
        <f t="shared" si="2"/>
        <v>1.017346799041424</v>
      </c>
      <c r="E39" s="91">
        <f t="shared" si="3"/>
        <v>1.0429999999999999</v>
      </c>
      <c r="F39" s="91">
        <f t="shared" si="4"/>
        <v>1.02</v>
      </c>
      <c r="G39" s="91">
        <f t="shared" si="5"/>
        <v>1.003346799041424</v>
      </c>
      <c r="H39" s="91">
        <f t="shared" ca="1" si="6"/>
        <v>1.0505110375673348</v>
      </c>
      <c r="I39" s="91">
        <f t="shared" ca="1" si="7"/>
        <v>1.0342461708190958</v>
      </c>
      <c r="J39" s="91">
        <f t="shared" ca="1" si="8"/>
        <v>1.0084060192826454</v>
      </c>
      <c r="K39" s="91">
        <f t="shared" ca="1" si="9"/>
        <v>1.0514352376216909</v>
      </c>
      <c r="L39" s="91">
        <f t="shared" ca="1" si="10"/>
        <v>1.0351703708734519</v>
      </c>
      <c r="M39" s="91">
        <f t="shared" ca="1" si="11"/>
        <v>1.0093302193370015</v>
      </c>
    </row>
    <row r="40" spans="1:13" x14ac:dyDescent="0.25">
      <c r="A40" s="91">
        <v>20</v>
      </c>
      <c r="B40" s="91">
        <f t="shared" si="0"/>
        <v>1.0569999999999999</v>
      </c>
      <c r="C40" s="91">
        <f t="shared" si="1"/>
        <v>1.034</v>
      </c>
      <c r="D40" s="91">
        <f t="shared" si="2"/>
        <v>1.017346799041424</v>
      </c>
      <c r="E40" s="91">
        <f t="shared" si="3"/>
        <v>1.0429999999999999</v>
      </c>
      <c r="F40" s="91">
        <f t="shared" si="4"/>
        <v>1.02</v>
      </c>
      <c r="G40" s="91">
        <f t="shared" si="5"/>
        <v>1.003346799041424</v>
      </c>
      <c r="H40" s="91">
        <f t="shared" ca="1" si="6"/>
        <v>1.0505110375673348</v>
      </c>
      <c r="I40" s="91">
        <f t="shared" ca="1" si="7"/>
        <v>1.0342461708190958</v>
      </c>
      <c r="J40" s="91">
        <f t="shared" ca="1" si="8"/>
        <v>1.0084060192826454</v>
      </c>
      <c r="K40" s="91">
        <f t="shared" ca="1" si="9"/>
        <v>1.0514352376216909</v>
      </c>
      <c r="L40" s="91">
        <f t="shared" ca="1" si="10"/>
        <v>1.0351703708734519</v>
      </c>
      <c r="M40" s="91">
        <f t="shared" ca="1" si="11"/>
        <v>1.0093302193370015</v>
      </c>
    </row>
    <row r="41" spans="1:13" x14ac:dyDescent="0.25">
      <c r="A41" s="91">
        <v>21</v>
      </c>
      <c r="B41" s="91">
        <f t="shared" si="0"/>
        <v>1.0569999999999999</v>
      </c>
      <c r="C41" s="91">
        <f t="shared" si="1"/>
        <v>1.034</v>
      </c>
      <c r="D41" s="91">
        <f t="shared" si="2"/>
        <v>1.017346799041424</v>
      </c>
      <c r="E41" s="91">
        <f t="shared" si="3"/>
        <v>1.0429999999999999</v>
      </c>
      <c r="F41" s="91">
        <f t="shared" si="4"/>
        <v>1.02</v>
      </c>
      <c r="G41" s="91">
        <f t="shared" si="5"/>
        <v>1.003346799041424</v>
      </c>
      <c r="H41" s="91">
        <f t="shared" ca="1" si="6"/>
        <v>1.0505110375673348</v>
      </c>
      <c r="I41" s="91">
        <f t="shared" ca="1" si="7"/>
        <v>1.0342461708190958</v>
      </c>
      <c r="J41" s="91">
        <f t="shared" ca="1" si="8"/>
        <v>1.0084060192826454</v>
      </c>
      <c r="K41" s="91">
        <f t="shared" ca="1" si="9"/>
        <v>1.0514352376216909</v>
      </c>
      <c r="L41" s="91">
        <f t="shared" ca="1" si="10"/>
        <v>1.0351703708734519</v>
      </c>
      <c r="M41" s="91">
        <f t="shared" ca="1" si="11"/>
        <v>1.0093302193370015</v>
      </c>
    </row>
    <row r="42" spans="1:13" x14ac:dyDescent="0.25">
      <c r="A42" s="91">
        <v>22</v>
      </c>
      <c r="B42" s="91">
        <f t="shared" si="0"/>
        <v>1.0569999999999999</v>
      </c>
      <c r="C42" s="91">
        <f t="shared" si="1"/>
        <v>1.034</v>
      </c>
      <c r="D42" s="91">
        <f t="shared" si="2"/>
        <v>1.017346799041424</v>
      </c>
      <c r="E42" s="91">
        <f t="shared" si="3"/>
        <v>1.0429999999999999</v>
      </c>
      <c r="F42" s="91">
        <f t="shared" si="4"/>
        <v>1.02</v>
      </c>
      <c r="G42" s="91">
        <f t="shared" si="5"/>
        <v>1.003346799041424</v>
      </c>
      <c r="H42" s="91">
        <f t="shared" ca="1" si="6"/>
        <v>1.0505110375673348</v>
      </c>
      <c r="I42" s="91">
        <f t="shared" ca="1" si="7"/>
        <v>1.0342461708190958</v>
      </c>
      <c r="J42" s="91">
        <f t="shared" ca="1" si="8"/>
        <v>1.0084060192826454</v>
      </c>
      <c r="K42" s="91">
        <f t="shared" ca="1" si="9"/>
        <v>1.0514352376216909</v>
      </c>
      <c r="L42" s="91">
        <f t="shared" ca="1" si="10"/>
        <v>1.0351703708734519</v>
      </c>
      <c r="M42" s="91">
        <f t="shared" ca="1" si="11"/>
        <v>1.0093302193370015</v>
      </c>
    </row>
    <row r="43" spans="1:13" x14ac:dyDescent="0.25">
      <c r="A43" s="91">
        <v>23</v>
      </c>
      <c r="B43" s="91">
        <f t="shared" si="0"/>
        <v>1.0569999999999999</v>
      </c>
      <c r="C43" s="91">
        <f t="shared" si="1"/>
        <v>1.034</v>
      </c>
      <c r="D43" s="91">
        <f t="shared" si="2"/>
        <v>1.017346799041424</v>
      </c>
      <c r="E43" s="91">
        <f t="shared" si="3"/>
        <v>1.0429999999999999</v>
      </c>
      <c r="F43" s="91">
        <f t="shared" si="4"/>
        <v>1.02</v>
      </c>
      <c r="G43" s="91">
        <f t="shared" si="5"/>
        <v>1.003346799041424</v>
      </c>
      <c r="H43" s="91">
        <f t="shared" ca="1" si="6"/>
        <v>1.0505110375673348</v>
      </c>
      <c r="I43" s="91">
        <f t="shared" ca="1" si="7"/>
        <v>1.0342461708190958</v>
      </c>
      <c r="J43" s="91">
        <f t="shared" ca="1" si="8"/>
        <v>1.0084060192826454</v>
      </c>
      <c r="K43" s="91">
        <f t="shared" ca="1" si="9"/>
        <v>1.0514352376216909</v>
      </c>
      <c r="L43" s="91">
        <f t="shared" ca="1" si="10"/>
        <v>1.0351703708734519</v>
      </c>
      <c r="M43" s="91">
        <f t="shared" ca="1" si="11"/>
        <v>1.0093302193370015</v>
      </c>
    </row>
    <row r="44" spans="1:13" x14ac:dyDescent="0.25">
      <c r="A44" s="91">
        <v>24</v>
      </c>
      <c r="B44" s="91">
        <f t="shared" si="0"/>
        <v>1.0569999999999999</v>
      </c>
      <c r="C44" s="91">
        <f t="shared" si="1"/>
        <v>1.034</v>
      </c>
      <c r="D44" s="91">
        <f t="shared" si="2"/>
        <v>1.017346799041424</v>
      </c>
      <c r="E44" s="91">
        <f t="shared" si="3"/>
        <v>1.0429999999999999</v>
      </c>
      <c r="F44" s="91">
        <f t="shared" si="4"/>
        <v>1.02</v>
      </c>
      <c r="G44" s="91">
        <f t="shared" si="5"/>
        <v>1.003346799041424</v>
      </c>
      <c r="H44" s="91">
        <f t="shared" ca="1" si="6"/>
        <v>1.0505110375673348</v>
      </c>
      <c r="I44" s="91">
        <f t="shared" ca="1" si="7"/>
        <v>1.0342461708190958</v>
      </c>
      <c r="J44" s="91">
        <f t="shared" ca="1" si="8"/>
        <v>1.0084060192826454</v>
      </c>
      <c r="K44" s="91">
        <f t="shared" ca="1" si="9"/>
        <v>1.0514352376216909</v>
      </c>
      <c r="L44" s="91">
        <f t="shared" ca="1" si="10"/>
        <v>1.0351703708734519</v>
      </c>
      <c r="M44" s="91">
        <f t="shared" ca="1" si="11"/>
        <v>1.0093302193370015</v>
      </c>
    </row>
    <row r="45" spans="1:13" x14ac:dyDescent="0.25">
      <c r="A45" s="91">
        <v>25</v>
      </c>
      <c r="B45" s="91">
        <f t="shared" si="0"/>
        <v>1.024</v>
      </c>
      <c r="C45" s="91">
        <f t="shared" si="1"/>
        <v>1.0010000000000001</v>
      </c>
      <c r="D45" s="91">
        <f t="shared" si="2"/>
        <v>0.98434679904142419</v>
      </c>
      <c r="E45" s="91">
        <f t="shared" si="3"/>
        <v>1.01</v>
      </c>
      <c r="F45" s="91">
        <f t="shared" si="4"/>
        <v>0.9870000000000001</v>
      </c>
      <c r="G45" s="91">
        <f t="shared" si="5"/>
        <v>0.97034679904142418</v>
      </c>
      <c r="H45" s="91">
        <f t="shared" ca="1" si="6"/>
        <v>1.0115588300944223</v>
      </c>
      <c r="I45" s="91">
        <f t="shared" ca="1" si="7"/>
        <v>0.99529396334618325</v>
      </c>
      <c r="J45" s="91">
        <f t="shared" ca="1" si="8"/>
        <v>0.969453811809733</v>
      </c>
      <c r="K45" s="91">
        <f t="shared" ca="1" si="9"/>
        <v>1.0124830301487784</v>
      </c>
      <c r="L45" s="91">
        <f t="shared" ca="1" si="10"/>
        <v>0.99621816340053926</v>
      </c>
      <c r="M45" s="91">
        <f t="shared" ca="1" si="11"/>
        <v>0.97037801186408901</v>
      </c>
    </row>
    <row r="46" spans="1:13" x14ac:dyDescent="0.25">
      <c r="A46" s="91">
        <v>26</v>
      </c>
      <c r="B46" s="91">
        <f t="shared" si="0"/>
        <v>1.024</v>
      </c>
      <c r="C46" s="91">
        <f t="shared" si="1"/>
        <v>1.0010000000000001</v>
      </c>
      <c r="D46" s="91">
        <f t="shared" si="2"/>
        <v>0.98434679904142419</v>
      </c>
      <c r="E46" s="91">
        <f t="shared" si="3"/>
        <v>1.01</v>
      </c>
      <c r="F46" s="91">
        <f t="shared" si="4"/>
        <v>0.9870000000000001</v>
      </c>
      <c r="G46" s="91">
        <f t="shared" si="5"/>
        <v>0.97034679904142418</v>
      </c>
      <c r="H46" s="91">
        <f t="shared" ca="1" si="6"/>
        <v>1.0115588300944223</v>
      </c>
      <c r="I46" s="91">
        <f t="shared" ca="1" si="7"/>
        <v>0.99529396334618325</v>
      </c>
      <c r="J46" s="91">
        <f t="shared" ca="1" si="8"/>
        <v>0.969453811809733</v>
      </c>
      <c r="K46" s="91">
        <f t="shared" ca="1" si="9"/>
        <v>1.0124830301487784</v>
      </c>
      <c r="L46" s="91">
        <f t="shared" ca="1" si="10"/>
        <v>0.99621816340053926</v>
      </c>
      <c r="M46" s="91">
        <f t="shared" ca="1" si="11"/>
        <v>0.97037801186408901</v>
      </c>
    </row>
    <row r="47" spans="1:13" x14ac:dyDescent="0.25">
      <c r="A47" s="91">
        <v>27</v>
      </c>
      <c r="B47" s="91">
        <f t="shared" si="0"/>
        <v>1.024</v>
      </c>
      <c r="C47" s="91">
        <f t="shared" si="1"/>
        <v>1.0010000000000001</v>
      </c>
      <c r="D47" s="91">
        <f t="shared" si="2"/>
        <v>0.98434679904142419</v>
      </c>
      <c r="E47" s="91">
        <f t="shared" si="3"/>
        <v>1.01</v>
      </c>
      <c r="F47" s="91">
        <f t="shared" si="4"/>
        <v>0.9870000000000001</v>
      </c>
      <c r="G47" s="91">
        <f t="shared" si="5"/>
        <v>0.97034679904142418</v>
      </c>
      <c r="H47" s="91">
        <f t="shared" ca="1" si="6"/>
        <v>1.0115588300944223</v>
      </c>
      <c r="I47" s="91">
        <f t="shared" ca="1" si="7"/>
        <v>0.99529396334618325</v>
      </c>
      <c r="J47" s="91">
        <f t="shared" ca="1" si="8"/>
        <v>0.969453811809733</v>
      </c>
      <c r="K47" s="91">
        <f t="shared" ca="1" si="9"/>
        <v>1.0124830301487784</v>
      </c>
      <c r="L47" s="91">
        <f t="shared" ca="1" si="10"/>
        <v>0.99621816340053926</v>
      </c>
      <c r="M47" s="91">
        <f t="shared" ca="1" si="11"/>
        <v>0.97037801186408901</v>
      </c>
    </row>
    <row r="48" spans="1:13" x14ac:dyDescent="0.25">
      <c r="A48" s="91">
        <v>28</v>
      </c>
      <c r="B48" s="91">
        <f t="shared" si="0"/>
        <v>1.024</v>
      </c>
      <c r="C48" s="91">
        <f t="shared" si="1"/>
        <v>1.0010000000000001</v>
      </c>
      <c r="D48" s="91">
        <f t="shared" si="2"/>
        <v>0.98434679904142419</v>
      </c>
      <c r="E48" s="91">
        <f t="shared" si="3"/>
        <v>1.01</v>
      </c>
      <c r="F48" s="91">
        <f t="shared" si="4"/>
        <v>0.9870000000000001</v>
      </c>
      <c r="G48" s="91">
        <f t="shared" si="5"/>
        <v>0.97034679904142418</v>
      </c>
      <c r="H48" s="91">
        <f t="shared" ca="1" si="6"/>
        <v>1.0115588300944223</v>
      </c>
      <c r="I48" s="91">
        <f t="shared" ca="1" si="7"/>
        <v>0.99529396334618325</v>
      </c>
      <c r="J48" s="91">
        <f t="shared" ca="1" si="8"/>
        <v>0.969453811809733</v>
      </c>
      <c r="K48" s="91">
        <f t="shared" ca="1" si="9"/>
        <v>1.0124830301487784</v>
      </c>
      <c r="L48" s="91">
        <f t="shared" ca="1" si="10"/>
        <v>0.99621816340053926</v>
      </c>
      <c r="M48" s="91">
        <f t="shared" ca="1" si="11"/>
        <v>0.97037801186408901</v>
      </c>
    </row>
    <row r="49" spans="1:13" x14ac:dyDescent="0.25">
      <c r="A49" s="91">
        <v>29</v>
      </c>
      <c r="B49" s="91">
        <f t="shared" si="0"/>
        <v>1.024</v>
      </c>
      <c r="C49" s="91">
        <f t="shared" si="1"/>
        <v>1.0010000000000001</v>
      </c>
      <c r="D49" s="91">
        <f t="shared" si="2"/>
        <v>0.98434679904142419</v>
      </c>
      <c r="E49" s="91">
        <f t="shared" si="3"/>
        <v>1.01</v>
      </c>
      <c r="F49" s="91">
        <f t="shared" si="4"/>
        <v>0.9870000000000001</v>
      </c>
      <c r="G49" s="91">
        <f t="shared" si="5"/>
        <v>0.97034679904142418</v>
      </c>
      <c r="H49" s="91">
        <f t="shared" ca="1" si="6"/>
        <v>1.0115588300944223</v>
      </c>
      <c r="I49" s="91">
        <f t="shared" ca="1" si="7"/>
        <v>0.99529396334618325</v>
      </c>
      <c r="J49" s="91">
        <f t="shared" ca="1" si="8"/>
        <v>0.969453811809733</v>
      </c>
      <c r="K49" s="91">
        <f t="shared" ca="1" si="9"/>
        <v>1.0124830301487784</v>
      </c>
      <c r="L49" s="91">
        <f t="shared" ca="1" si="10"/>
        <v>0.99621816340053926</v>
      </c>
      <c r="M49" s="91">
        <f t="shared" ca="1" si="11"/>
        <v>0.97037801186408901</v>
      </c>
    </row>
    <row r="50" spans="1:13" x14ac:dyDescent="0.25">
      <c r="A50" s="91">
        <v>30</v>
      </c>
      <c r="B50" s="91">
        <f t="shared" si="0"/>
        <v>1.024</v>
      </c>
      <c r="C50" s="91">
        <f t="shared" si="1"/>
        <v>1.0010000000000001</v>
      </c>
      <c r="D50" s="91">
        <f t="shared" si="2"/>
        <v>0.98434679904142419</v>
      </c>
      <c r="E50" s="91">
        <f t="shared" si="3"/>
        <v>1.01</v>
      </c>
      <c r="F50" s="91">
        <f t="shared" si="4"/>
        <v>0.9870000000000001</v>
      </c>
      <c r="G50" s="91">
        <f t="shared" si="5"/>
        <v>0.97034679904142418</v>
      </c>
      <c r="H50" s="91">
        <f t="shared" ca="1" si="6"/>
        <v>1.0115588300944223</v>
      </c>
      <c r="I50" s="91">
        <f t="shared" ca="1" si="7"/>
        <v>0.99529396334618325</v>
      </c>
      <c r="J50" s="91">
        <f t="shared" ca="1" si="8"/>
        <v>0.969453811809733</v>
      </c>
      <c r="K50" s="91">
        <f t="shared" ca="1" si="9"/>
        <v>1.0124830301487784</v>
      </c>
      <c r="L50" s="91">
        <f t="shared" ca="1" si="10"/>
        <v>0.99621816340053926</v>
      </c>
      <c r="M50" s="91">
        <f t="shared" ca="1" si="11"/>
        <v>0.97037801186408901</v>
      </c>
    </row>
    <row r="51" spans="1:13" x14ac:dyDescent="0.25">
      <c r="A51" s="91">
        <v>31</v>
      </c>
      <c r="B51" s="91">
        <f t="shared" si="0"/>
        <v>1.024</v>
      </c>
      <c r="C51" s="91">
        <f t="shared" si="1"/>
        <v>1.0010000000000001</v>
      </c>
      <c r="D51" s="91">
        <f t="shared" si="2"/>
        <v>0.98434679904142419</v>
      </c>
      <c r="E51" s="91">
        <f t="shared" si="3"/>
        <v>1.01</v>
      </c>
      <c r="F51" s="91">
        <f t="shared" si="4"/>
        <v>0.9870000000000001</v>
      </c>
      <c r="G51" s="91">
        <f t="shared" si="5"/>
        <v>0.97034679904142418</v>
      </c>
      <c r="H51" s="91">
        <f t="shared" ca="1" si="6"/>
        <v>1.0115588300944223</v>
      </c>
      <c r="I51" s="91">
        <f t="shared" ca="1" si="7"/>
        <v>0.99529396334618325</v>
      </c>
      <c r="J51" s="91">
        <f t="shared" ca="1" si="8"/>
        <v>0.969453811809733</v>
      </c>
      <c r="K51" s="91">
        <f t="shared" ca="1" si="9"/>
        <v>1.0124830301487784</v>
      </c>
      <c r="L51" s="91">
        <f t="shared" ca="1" si="10"/>
        <v>0.99621816340053926</v>
      </c>
      <c r="M51" s="91">
        <f t="shared" ca="1" si="11"/>
        <v>0.97037801186408901</v>
      </c>
    </row>
    <row r="52" spans="1:13" x14ac:dyDescent="0.25">
      <c r="A52" s="91">
        <v>32</v>
      </c>
      <c r="B52" s="91">
        <f t="shared" si="0"/>
        <v>1.024</v>
      </c>
      <c r="C52" s="91">
        <f t="shared" si="1"/>
        <v>1.0010000000000001</v>
      </c>
      <c r="D52" s="91">
        <f t="shared" si="2"/>
        <v>0.98434679904142419</v>
      </c>
      <c r="E52" s="91">
        <f t="shared" si="3"/>
        <v>1.01</v>
      </c>
      <c r="F52" s="91">
        <f t="shared" si="4"/>
        <v>0.9870000000000001</v>
      </c>
      <c r="G52" s="91">
        <f t="shared" si="5"/>
        <v>0.97034679904142418</v>
      </c>
      <c r="H52" s="91">
        <f t="shared" ca="1" si="6"/>
        <v>1.0115588300944223</v>
      </c>
      <c r="I52" s="91">
        <f t="shared" ca="1" si="7"/>
        <v>0.99529396334618325</v>
      </c>
      <c r="J52" s="91">
        <f t="shared" ca="1" si="8"/>
        <v>0.969453811809733</v>
      </c>
      <c r="K52" s="91">
        <f t="shared" ca="1" si="9"/>
        <v>1.0124830301487784</v>
      </c>
      <c r="L52" s="91">
        <f t="shared" ca="1" si="10"/>
        <v>0.99621816340053926</v>
      </c>
      <c r="M52" s="91">
        <f t="shared" ca="1" si="11"/>
        <v>0.97037801186408901</v>
      </c>
    </row>
    <row r="53" spans="1:13" x14ac:dyDescent="0.25">
      <c r="A53" s="91">
        <v>33</v>
      </c>
      <c r="B53" s="91">
        <f t="shared" si="0"/>
        <v>1.024</v>
      </c>
      <c r="C53" s="91">
        <f t="shared" si="1"/>
        <v>1.0010000000000001</v>
      </c>
      <c r="D53" s="91">
        <f t="shared" si="2"/>
        <v>0.98434679904142419</v>
      </c>
      <c r="E53" s="91">
        <f t="shared" si="3"/>
        <v>1.01</v>
      </c>
      <c r="F53" s="91">
        <f t="shared" si="4"/>
        <v>0.9870000000000001</v>
      </c>
      <c r="G53" s="91">
        <f t="shared" si="5"/>
        <v>0.97034679904142418</v>
      </c>
      <c r="H53" s="91">
        <f t="shared" ca="1" si="6"/>
        <v>1.0115588300944223</v>
      </c>
      <c r="I53" s="91">
        <f t="shared" ca="1" si="7"/>
        <v>0.99529396334618325</v>
      </c>
      <c r="J53" s="91">
        <f t="shared" ca="1" si="8"/>
        <v>0.969453811809733</v>
      </c>
      <c r="K53" s="91">
        <f t="shared" ca="1" si="9"/>
        <v>1.0124830301487784</v>
      </c>
      <c r="L53" s="91">
        <f t="shared" ca="1" si="10"/>
        <v>0.99621816340053926</v>
      </c>
      <c r="M53" s="91">
        <f t="shared" ca="1" si="11"/>
        <v>0.97037801186408901</v>
      </c>
    </row>
    <row r="54" spans="1:13" x14ac:dyDescent="0.25">
      <c r="A54" s="91">
        <v>34</v>
      </c>
      <c r="B54" s="91">
        <f t="shared" si="0"/>
        <v>1.024</v>
      </c>
      <c r="C54" s="91">
        <f t="shared" si="1"/>
        <v>1.0010000000000001</v>
      </c>
      <c r="D54" s="91">
        <f t="shared" si="2"/>
        <v>0.98434679904142419</v>
      </c>
      <c r="E54" s="91">
        <f t="shared" si="3"/>
        <v>1.01</v>
      </c>
      <c r="F54" s="91">
        <f t="shared" si="4"/>
        <v>0.9870000000000001</v>
      </c>
      <c r="G54" s="91">
        <f t="shared" si="5"/>
        <v>0.97034679904142418</v>
      </c>
      <c r="H54" s="91">
        <f t="shared" ca="1" si="6"/>
        <v>1.0115588300944223</v>
      </c>
      <c r="I54" s="91">
        <f t="shared" ca="1" si="7"/>
        <v>0.99529396334618325</v>
      </c>
      <c r="J54" s="91">
        <f t="shared" ca="1" si="8"/>
        <v>0.969453811809733</v>
      </c>
      <c r="K54" s="91">
        <f t="shared" ca="1" si="9"/>
        <v>1.0124830301487784</v>
      </c>
      <c r="L54" s="91">
        <f t="shared" ca="1" si="10"/>
        <v>0.99621816340053926</v>
      </c>
      <c r="M54" s="91">
        <f t="shared" ca="1" si="11"/>
        <v>0.97037801186408901</v>
      </c>
    </row>
    <row r="55" spans="1:13" x14ac:dyDescent="0.25">
      <c r="A55" s="91">
        <v>35</v>
      </c>
      <c r="B55" s="91">
        <f t="shared" si="0"/>
        <v>1.0109999999999999</v>
      </c>
      <c r="C55" s="91">
        <f t="shared" si="1"/>
        <v>0.98799999999999988</v>
      </c>
      <c r="D55" s="91">
        <f t="shared" si="2"/>
        <v>0.97134679904142407</v>
      </c>
      <c r="E55" s="91">
        <f t="shared" si="3"/>
        <v>0.99699999999999989</v>
      </c>
      <c r="F55" s="91">
        <f t="shared" si="4"/>
        <v>0.97399999999999987</v>
      </c>
      <c r="G55" s="91">
        <f t="shared" si="5"/>
        <v>0.95734679904142406</v>
      </c>
      <c r="H55" s="91">
        <f t="shared" ca="1" si="6"/>
        <v>1.0009002061792394</v>
      </c>
      <c r="I55" s="91">
        <f t="shared" ca="1" si="7"/>
        <v>0.98463533943100034</v>
      </c>
      <c r="J55" s="91">
        <f t="shared" ca="1" si="8"/>
        <v>0.95879518789455009</v>
      </c>
      <c r="K55" s="91">
        <f t="shared" ca="1" si="9"/>
        <v>1.0018244062335955</v>
      </c>
      <c r="L55" s="91">
        <f t="shared" ca="1" si="10"/>
        <v>0.98555953948535635</v>
      </c>
      <c r="M55" s="91">
        <f t="shared" ca="1" si="11"/>
        <v>0.9597193879489061</v>
      </c>
    </row>
    <row r="56" spans="1:13" x14ac:dyDescent="0.25">
      <c r="A56" s="91">
        <v>36</v>
      </c>
      <c r="B56" s="91">
        <f t="shared" si="0"/>
        <v>1.0109999999999999</v>
      </c>
      <c r="C56" s="91">
        <f t="shared" si="1"/>
        <v>0.98799999999999988</v>
      </c>
      <c r="D56" s="91">
        <f t="shared" si="2"/>
        <v>0.97134679904142407</v>
      </c>
      <c r="E56" s="91">
        <f t="shared" si="3"/>
        <v>0.99699999999999989</v>
      </c>
      <c r="F56" s="91">
        <f t="shared" si="4"/>
        <v>0.97399999999999987</v>
      </c>
      <c r="G56" s="91">
        <f t="shared" si="5"/>
        <v>0.95734679904142406</v>
      </c>
      <c r="H56" s="91">
        <f t="shared" ca="1" si="6"/>
        <v>1.0009002061792394</v>
      </c>
      <c r="I56" s="91">
        <f t="shared" ca="1" si="7"/>
        <v>0.98463533943100034</v>
      </c>
      <c r="J56" s="91">
        <f t="shared" ca="1" si="8"/>
        <v>0.95879518789455009</v>
      </c>
      <c r="K56" s="91">
        <f t="shared" ca="1" si="9"/>
        <v>1.0018244062335955</v>
      </c>
      <c r="L56" s="91">
        <f t="shared" ca="1" si="10"/>
        <v>0.98555953948535635</v>
      </c>
      <c r="M56" s="91">
        <f t="shared" ca="1" si="11"/>
        <v>0.9597193879489061</v>
      </c>
    </row>
    <row r="57" spans="1:13" x14ac:dyDescent="0.25">
      <c r="A57" s="91">
        <v>37</v>
      </c>
      <c r="B57" s="91">
        <f t="shared" si="0"/>
        <v>1.0109999999999999</v>
      </c>
      <c r="C57" s="91">
        <f t="shared" si="1"/>
        <v>0.98799999999999988</v>
      </c>
      <c r="D57" s="91">
        <f t="shared" si="2"/>
        <v>0.97134679904142407</v>
      </c>
      <c r="E57" s="91">
        <f t="shared" si="3"/>
        <v>0.99699999999999989</v>
      </c>
      <c r="F57" s="91">
        <f t="shared" si="4"/>
        <v>0.97399999999999987</v>
      </c>
      <c r="G57" s="91">
        <f t="shared" si="5"/>
        <v>0.95734679904142406</v>
      </c>
      <c r="H57" s="91">
        <f t="shared" ca="1" si="6"/>
        <v>1.0009002061792394</v>
      </c>
      <c r="I57" s="91">
        <f t="shared" ca="1" si="7"/>
        <v>0.98463533943100034</v>
      </c>
      <c r="J57" s="91">
        <f t="shared" ca="1" si="8"/>
        <v>0.95879518789455009</v>
      </c>
      <c r="K57" s="91">
        <f t="shared" ca="1" si="9"/>
        <v>1.0018244062335955</v>
      </c>
      <c r="L57" s="91">
        <f t="shared" ca="1" si="10"/>
        <v>0.98555953948535635</v>
      </c>
      <c r="M57" s="91">
        <f t="shared" ca="1" si="11"/>
        <v>0.9597193879489061</v>
      </c>
    </row>
    <row r="58" spans="1:13" x14ac:dyDescent="0.25">
      <c r="A58" s="91">
        <v>38</v>
      </c>
      <c r="B58" s="91">
        <f t="shared" si="0"/>
        <v>1.0109999999999999</v>
      </c>
      <c r="C58" s="91">
        <f t="shared" si="1"/>
        <v>0.98799999999999988</v>
      </c>
      <c r="D58" s="91">
        <f t="shared" si="2"/>
        <v>0.97134679904142407</v>
      </c>
      <c r="E58" s="91">
        <f t="shared" si="3"/>
        <v>0.99699999999999989</v>
      </c>
      <c r="F58" s="91">
        <f t="shared" si="4"/>
        <v>0.97399999999999987</v>
      </c>
      <c r="G58" s="91">
        <f t="shared" si="5"/>
        <v>0.95734679904142406</v>
      </c>
      <c r="H58" s="91">
        <f t="shared" ca="1" si="6"/>
        <v>1.0009002061792394</v>
      </c>
      <c r="I58" s="91">
        <f t="shared" ca="1" si="7"/>
        <v>0.98463533943100034</v>
      </c>
      <c r="J58" s="91">
        <f t="shared" ca="1" si="8"/>
        <v>0.95879518789455009</v>
      </c>
      <c r="K58" s="91">
        <f t="shared" ca="1" si="9"/>
        <v>1.0018244062335955</v>
      </c>
      <c r="L58" s="91">
        <f t="shared" ca="1" si="10"/>
        <v>0.98555953948535635</v>
      </c>
      <c r="M58" s="91">
        <f t="shared" ca="1" si="11"/>
        <v>0.9597193879489061</v>
      </c>
    </row>
    <row r="59" spans="1:13" x14ac:dyDescent="0.25">
      <c r="A59" s="91">
        <v>39</v>
      </c>
      <c r="B59" s="91">
        <f t="shared" si="0"/>
        <v>1.0109999999999999</v>
      </c>
      <c r="C59" s="91">
        <f t="shared" si="1"/>
        <v>0.98799999999999988</v>
      </c>
      <c r="D59" s="91">
        <f t="shared" si="2"/>
        <v>0.97134679904142407</v>
      </c>
      <c r="E59" s="91">
        <f t="shared" si="3"/>
        <v>0.99699999999999989</v>
      </c>
      <c r="F59" s="91">
        <f t="shared" si="4"/>
        <v>0.97399999999999987</v>
      </c>
      <c r="G59" s="91">
        <f t="shared" si="5"/>
        <v>0.95734679904142406</v>
      </c>
      <c r="H59" s="91">
        <f t="shared" ca="1" si="6"/>
        <v>1.0009002061792394</v>
      </c>
      <c r="I59" s="91">
        <f t="shared" ca="1" si="7"/>
        <v>0.98463533943100034</v>
      </c>
      <c r="J59" s="91">
        <f t="shared" ca="1" si="8"/>
        <v>0.95879518789455009</v>
      </c>
      <c r="K59" s="91">
        <f t="shared" ca="1" si="9"/>
        <v>1.0018244062335955</v>
      </c>
      <c r="L59" s="91">
        <f t="shared" ca="1" si="10"/>
        <v>0.98555953948535635</v>
      </c>
      <c r="M59" s="91">
        <f t="shared" ca="1" si="11"/>
        <v>0.9597193879489061</v>
      </c>
    </row>
    <row r="60" spans="1:13" x14ac:dyDescent="0.25">
      <c r="A60" s="91">
        <v>40</v>
      </c>
      <c r="B60" s="91">
        <f t="shared" si="0"/>
        <v>1.0109999999999999</v>
      </c>
      <c r="C60" s="91">
        <f t="shared" si="1"/>
        <v>0.98799999999999988</v>
      </c>
      <c r="D60" s="91">
        <f t="shared" si="2"/>
        <v>0.97134679904142407</v>
      </c>
      <c r="E60" s="91">
        <f t="shared" si="3"/>
        <v>0.99699999999999989</v>
      </c>
      <c r="F60" s="91">
        <f t="shared" si="4"/>
        <v>0.97399999999999987</v>
      </c>
      <c r="G60" s="91">
        <f t="shared" si="5"/>
        <v>0.95734679904142406</v>
      </c>
      <c r="H60" s="91">
        <f t="shared" ca="1" si="6"/>
        <v>1.0009002061792394</v>
      </c>
      <c r="I60" s="91">
        <f t="shared" ca="1" si="7"/>
        <v>0.98463533943100034</v>
      </c>
      <c r="J60" s="91">
        <f t="shared" ca="1" si="8"/>
        <v>0.95879518789455009</v>
      </c>
      <c r="K60" s="91">
        <f t="shared" ca="1" si="9"/>
        <v>1.0018244062335955</v>
      </c>
      <c r="L60" s="91">
        <f t="shared" ca="1" si="10"/>
        <v>0.98555953948535635</v>
      </c>
      <c r="M60" s="91">
        <f t="shared" ca="1" si="11"/>
        <v>0.9597193879489061</v>
      </c>
    </row>
    <row r="61" spans="1:13" x14ac:dyDescent="0.25">
      <c r="A61" s="91">
        <v>41</v>
      </c>
      <c r="B61" s="91">
        <f t="shared" si="0"/>
        <v>1.0109999999999999</v>
      </c>
      <c r="C61" s="91">
        <f t="shared" si="1"/>
        <v>0.98799999999999988</v>
      </c>
      <c r="D61" s="91">
        <f t="shared" si="2"/>
        <v>0.97134679904142407</v>
      </c>
      <c r="E61" s="91">
        <f t="shared" si="3"/>
        <v>0.99699999999999989</v>
      </c>
      <c r="F61" s="91">
        <f t="shared" si="4"/>
        <v>0.97399999999999987</v>
      </c>
      <c r="G61" s="91">
        <f t="shared" si="5"/>
        <v>0.95734679904142406</v>
      </c>
      <c r="H61" s="91">
        <f t="shared" ca="1" si="6"/>
        <v>1.0009002061792394</v>
      </c>
      <c r="I61" s="91">
        <f t="shared" ca="1" si="7"/>
        <v>0.98463533943100034</v>
      </c>
      <c r="J61" s="91">
        <f t="shared" ca="1" si="8"/>
        <v>0.95879518789455009</v>
      </c>
      <c r="K61" s="91">
        <f t="shared" ca="1" si="9"/>
        <v>1.0018244062335955</v>
      </c>
      <c r="L61" s="91">
        <f t="shared" ca="1" si="10"/>
        <v>0.98555953948535635</v>
      </c>
      <c r="M61" s="91">
        <f t="shared" ca="1" si="11"/>
        <v>0.9597193879489061</v>
      </c>
    </row>
    <row r="62" spans="1:13" x14ac:dyDescent="0.25">
      <c r="A62" s="91">
        <v>42</v>
      </c>
      <c r="B62" s="91">
        <f t="shared" si="0"/>
        <v>1.0109999999999999</v>
      </c>
      <c r="C62" s="91">
        <f t="shared" si="1"/>
        <v>0.98799999999999988</v>
      </c>
      <c r="D62" s="91">
        <f t="shared" si="2"/>
        <v>0.97134679904142407</v>
      </c>
      <c r="E62" s="91">
        <f t="shared" si="3"/>
        <v>0.99699999999999989</v>
      </c>
      <c r="F62" s="91">
        <f t="shared" si="4"/>
        <v>0.97399999999999987</v>
      </c>
      <c r="G62" s="91">
        <f t="shared" si="5"/>
        <v>0.95734679904142406</v>
      </c>
      <c r="H62" s="91">
        <f t="shared" ca="1" si="6"/>
        <v>1.0009002061792394</v>
      </c>
      <c r="I62" s="91">
        <f t="shared" ca="1" si="7"/>
        <v>0.98463533943100034</v>
      </c>
      <c r="J62" s="91">
        <f t="shared" ca="1" si="8"/>
        <v>0.95879518789455009</v>
      </c>
      <c r="K62" s="91">
        <f t="shared" ca="1" si="9"/>
        <v>1.0018244062335955</v>
      </c>
      <c r="L62" s="91">
        <f t="shared" ca="1" si="10"/>
        <v>0.98555953948535635</v>
      </c>
      <c r="M62" s="91">
        <f t="shared" ca="1" si="11"/>
        <v>0.9597193879489061</v>
      </c>
    </row>
    <row r="63" spans="1:13" x14ac:dyDescent="0.25">
      <c r="A63" s="91">
        <v>43</v>
      </c>
      <c r="B63" s="91">
        <f t="shared" si="0"/>
        <v>1.0109999999999999</v>
      </c>
      <c r="C63" s="91">
        <f t="shared" si="1"/>
        <v>0.98799999999999988</v>
      </c>
      <c r="D63" s="91">
        <f t="shared" si="2"/>
        <v>0.97134679904142407</v>
      </c>
      <c r="E63" s="91">
        <f t="shared" si="3"/>
        <v>0.99699999999999989</v>
      </c>
      <c r="F63" s="91">
        <f t="shared" si="4"/>
        <v>0.97399999999999987</v>
      </c>
      <c r="G63" s="91">
        <f t="shared" si="5"/>
        <v>0.95734679904142406</v>
      </c>
      <c r="H63" s="91">
        <f t="shared" ca="1" si="6"/>
        <v>1.0009002061792394</v>
      </c>
      <c r="I63" s="91">
        <f t="shared" ca="1" si="7"/>
        <v>0.98463533943100034</v>
      </c>
      <c r="J63" s="91">
        <f t="shared" ca="1" si="8"/>
        <v>0.95879518789455009</v>
      </c>
      <c r="K63" s="91">
        <f t="shared" ca="1" si="9"/>
        <v>1.0018244062335955</v>
      </c>
      <c r="L63" s="91">
        <f t="shared" ca="1" si="10"/>
        <v>0.98555953948535635</v>
      </c>
      <c r="M63" s="91">
        <f t="shared" ca="1" si="11"/>
        <v>0.9597193879489061</v>
      </c>
    </row>
    <row r="64" spans="1:13" x14ac:dyDescent="0.25">
      <c r="A64" s="91">
        <v>44</v>
      </c>
      <c r="B64" s="91">
        <f t="shared" si="0"/>
        <v>1.0109999999999999</v>
      </c>
      <c r="C64" s="91">
        <f t="shared" si="1"/>
        <v>0.98799999999999988</v>
      </c>
      <c r="D64" s="91">
        <f t="shared" si="2"/>
        <v>0.97134679904142407</v>
      </c>
      <c r="E64" s="91">
        <f t="shared" si="3"/>
        <v>0.99699999999999989</v>
      </c>
      <c r="F64" s="91">
        <f t="shared" si="4"/>
        <v>0.97399999999999987</v>
      </c>
      <c r="G64" s="91">
        <f t="shared" si="5"/>
        <v>0.95734679904142406</v>
      </c>
      <c r="H64" s="91">
        <f t="shared" ca="1" si="6"/>
        <v>1.0009002061792394</v>
      </c>
      <c r="I64" s="91">
        <f t="shared" ca="1" si="7"/>
        <v>0.98463533943100034</v>
      </c>
      <c r="J64" s="91">
        <f t="shared" ca="1" si="8"/>
        <v>0.95879518789455009</v>
      </c>
      <c r="K64" s="91">
        <f t="shared" ca="1" si="9"/>
        <v>1.0018244062335955</v>
      </c>
      <c r="L64" s="91">
        <f t="shared" ca="1" si="10"/>
        <v>0.98555953948535635</v>
      </c>
      <c r="M64" s="91">
        <f t="shared" ca="1" si="11"/>
        <v>0.9597193879489061</v>
      </c>
    </row>
    <row r="65" spans="1:13" x14ac:dyDescent="0.25">
      <c r="A65" s="91">
        <v>45</v>
      </c>
      <c r="B65" s="91">
        <f t="shared" si="0"/>
        <v>0.97699999999999998</v>
      </c>
      <c r="C65" s="91">
        <f t="shared" si="1"/>
        <v>0.95399999999999996</v>
      </c>
      <c r="D65" s="91">
        <f t="shared" si="2"/>
        <v>0.93734679904142415</v>
      </c>
      <c r="E65" s="91">
        <f t="shared" si="3"/>
        <v>0.96299999999999997</v>
      </c>
      <c r="F65" s="91">
        <f t="shared" si="4"/>
        <v>0.94</v>
      </c>
      <c r="G65" s="91">
        <f t="shared" si="5"/>
        <v>0.92334679904142414</v>
      </c>
      <c r="H65" s="91">
        <f t="shared" ca="1" si="6"/>
        <v>0.97099449928446524</v>
      </c>
      <c r="I65" s="91">
        <f t="shared" ca="1" si="7"/>
        <v>0.95472963253622622</v>
      </c>
      <c r="J65" s="91">
        <f t="shared" ca="1" si="8"/>
        <v>0.92888948099977597</v>
      </c>
      <c r="K65" s="91">
        <f t="shared" ca="1" si="9"/>
        <v>0.97191869933882125</v>
      </c>
      <c r="L65" s="91">
        <f t="shared" ca="1" si="10"/>
        <v>0.95565383259058223</v>
      </c>
      <c r="M65" s="91">
        <f t="shared" ca="1" si="11"/>
        <v>0.92981368105413198</v>
      </c>
    </row>
    <row r="66" spans="1:13" x14ac:dyDescent="0.25">
      <c r="A66" s="91">
        <v>46</v>
      </c>
      <c r="B66" s="91">
        <f t="shared" si="0"/>
        <v>0.97699999999999998</v>
      </c>
      <c r="C66" s="91">
        <f t="shared" si="1"/>
        <v>0.95399999999999996</v>
      </c>
      <c r="D66" s="91">
        <f t="shared" si="2"/>
        <v>0.93734679904142415</v>
      </c>
      <c r="E66" s="91">
        <f t="shared" si="3"/>
        <v>0.96299999999999997</v>
      </c>
      <c r="F66" s="91">
        <f t="shared" si="4"/>
        <v>0.94</v>
      </c>
      <c r="G66" s="91">
        <f t="shared" si="5"/>
        <v>0.92334679904142414</v>
      </c>
      <c r="H66" s="91">
        <f t="shared" ca="1" si="6"/>
        <v>0.97099449928446524</v>
      </c>
      <c r="I66" s="91">
        <f t="shared" ca="1" si="7"/>
        <v>0.95472963253622622</v>
      </c>
      <c r="J66" s="91">
        <f t="shared" ca="1" si="8"/>
        <v>0.92888948099977597</v>
      </c>
      <c r="K66" s="91">
        <f t="shared" ca="1" si="9"/>
        <v>0.97191869933882125</v>
      </c>
      <c r="L66" s="91">
        <f t="shared" ca="1" si="10"/>
        <v>0.95565383259058223</v>
      </c>
      <c r="M66" s="91">
        <f t="shared" ca="1" si="11"/>
        <v>0.92981368105413198</v>
      </c>
    </row>
    <row r="67" spans="1:13" x14ac:dyDescent="0.25">
      <c r="A67" s="91">
        <v>47</v>
      </c>
      <c r="B67" s="91">
        <f t="shared" si="0"/>
        <v>0.97699999999999998</v>
      </c>
      <c r="C67" s="91">
        <f t="shared" si="1"/>
        <v>0.95399999999999996</v>
      </c>
      <c r="D67" s="91">
        <f t="shared" si="2"/>
        <v>0.93734679904142415</v>
      </c>
      <c r="E67" s="91">
        <f t="shared" si="3"/>
        <v>0.96299999999999997</v>
      </c>
      <c r="F67" s="91">
        <f t="shared" si="4"/>
        <v>0.94</v>
      </c>
      <c r="G67" s="91">
        <f t="shared" si="5"/>
        <v>0.92334679904142414</v>
      </c>
      <c r="H67" s="91">
        <f t="shared" ca="1" si="6"/>
        <v>0.97099449928446524</v>
      </c>
      <c r="I67" s="91">
        <f t="shared" ca="1" si="7"/>
        <v>0.95472963253622622</v>
      </c>
      <c r="J67" s="91">
        <f t="shared" ca="1" si="8"/>
        <v>0.92888948099977597</v>
      </c>
      <c r="K67" s="91">
        <f t="shared" ca="1" si="9"/>
        <v>0.97191869933882125</v>
      </c>
      <c r="L67" s="91">
        <f t="shared" ca="1" si="10"/>
        <v>0.95565383259058223</v>
      </c>
      <c r="M67" s="91">
        <f t="shared" ca="1" si="11"/>
        <v>0.92981368105413198</v>
      </c>
    </row>
    <row r="68" spans="1:13" x14ac:dyDescent="0.25">
      <c r="A68" s="91">
        <v>48</v>
      </c>
      <c r="B68" s="91">
        <f t="shared" si="0"/>
        <v>0.97699999999999998</v>
      </c>
      <c r="C68" s="91">
        <f t="shared" si="1"/>
        <v>0.95399999999999996</v>
      </c>
      <c r="D68" s="91">
        <f t="shared" si="2"/>
        <v>0.93734679904142415</v>
      </c>
      <c r="E68" s="91">
        <f t="shared" si="3"/>
        <v>0.96299999999999997</v>
      </c>
      <c r="F68" s="91">
        <f t="shared" si="4"/>
        <v>0.94</v>
      </c>
      <c r="G68" s="91">
        <f t="shared" si="5"/>
        <v>0.92334679904142414</v>
      </c>
      <c r="H68" s="91">
        <f t="shared" ca="1" si="6"/>
        <v>0.97099449928446524</v>
      </c>
      <c r="I68" s="91">
        <f t="shared" ca="1" si="7"/>
        <v>0.95472963253622622</v>
      </c>
      <c r="J68" s="91">
        <f t="shared" ca="1" si="8"/>
        <v>0.92888948099977597</v>
      </c>
      <c r="K68" s="91">
        <f t="shared" ca="1" si="9"/>
        <v>0.97191869933882125</v>
      </c>
      <c r="L68" s="91">
        <f t="shared" ca="1" si="10"/>
        <v>0.95565383259058223</v>
      </c>
      <c r="M68" s="91">
        <f t="shared" ca="1" si="11"/>
        <v>0.92981368105413198</v>
      </c>
    </row>
    <row r="69" spans="1:13" x14ac:dyDescent="0.25">
      <c r="A69" s="91">
        <v>49</v>
      </c>
      <c r="B69" s="91">
        <f t="shared" si="0"/>
        <v>0.97699999999999998</v>
      </c>
      <c r="C69" s="91">
        <f t="shared" si="1"/>
        <v>0.95399999999999996</v>
      </c>
      <c r="D69" s="91">
        <f t="shared" si="2"/>
        <v>0.93734679904142415</v>
      </c>
      <c r="E69" s="91">
        <f t="shared" si="3"/>
        <v>0.96299999999999997</v>
      </c>
      <c r="F69" s="91">
        <f t="shared" si="4"/>
        <v>0.94</v>
      </c>
      <c r="G69" s="91">
        <f t="shared" si="5"/>
        <v>0.92334679904142414</v>
      </c>
      <c r="H69" s="91">
        <f t="shared" ca="1" si="6"/>
        <v>0.97099449928446524</v>
      </c>
      <c r="I69" s="91">
        <f t="shared" ca="1" si="7"/>
        <v>0.95472963253622622</v>
      </c>
      <c r="J69" s="91">
        <f t="shared" ca="1" si="8"/>
        <v>0.92888948099977597</v>
      </c>
      <c r="K69" s="91">
        <f t="shared" ca="1" si="9"/>
        <v>0.97191869933882125</v>
      </c>
      <c r="L69" s="91">
        <f t="shared" ca="1" si="10"/>
        <v>0.95565383259058223</v>
      </c>
      <c r="M69" s="91">
        <f t="shared" ca="1" si="11"/>
        <v>0.92981368105413198</v>
      </c>
    </row>
    <row r="70" spans="1:13" x14ac:dyDescent="0.25">
      <c r="A70" s="91">
        <v>50</v>
      </c>
      <c r="B70" s="91">
        <f t="shared" si="0"/>
        <v>0.97699999999999998</v>
      </c>
      <c r="C70" s="91">
        <f t="shared" si="1"/>
        <v>0.95399999999999996</v>
      </c>
      <c r="D70" s="91">
        <f t="shared" si="2"/>
        <v>0.93734679904142415</v>
      </c>
      <c r="E70" s="91">
        <f t="shared" si="3"/>
        <v>0.96299999999999997</v>
      </c>
      <c r="F70" s="91">
        <f t="shared" si="4"/>
        <v>0.94</v>
      </c>
      <c r="G70" s="91">
        <f t="shared" si="5"/>
        <v>0.92334679904142414</v>
      </c>
      <c r="H70" s="91">
        <f t="shared" ca="1" si="6"/>
        <v>0.97099449928446524</v>
      </c>
      <c r="I70" s="91">
        <f t="shared" ca="1" si="7"/>
        <v>0.95472963253622622</v>
      </c>
      <c r="J70" s="91">
        <f t="shared" ca="1" si="8"/>
        <v>0.92888948099977597</v>
      </c>
      <c r="K70" s="91">
        <f t="shared" ca="1" si="9"/>
        <v>0.97191869933882125</v>
      </c>
      <c r="L70" s="91">
        <f t="shared" ca="1" si="10"/>
        <v>0.95565383259058223</v>
      </c>
      <c r="M70" s="91">
        <f t="shared" ca="1" si="11"/>
        <v>0.92981368105413198</v>
      </c>
    </row>
    <row r="71" spans="1:13" x14ac:dyDescent="0.25">
      <c r="A71" s="91">
        <v>51</v>
      </c>
      <c r="B71" s="91">
        <f t="shared" si="0"/>
        <v>0.97699999999999998</v>
      </c>
      <c r="C71" s="91">
        <f t="shared" si="1"/>
        <v>0.95399999999999996</v>
      </c>
      <c r="D71" s="91">
        <f t="shared" si="2"/>
        <v>0.93734679904142415</v>
      </c>
      <c r="E71" s="91">
        <f t="shared" si="3"/>
        <v>0.96299999999999997</v>
      </c>
      <c r="F71" s="91">
        <f t="shared" si="4"/>
        <v>0.94</v>
      </c>
      <c r="G71" s="91">
        <f t="shared" si="5"/>
        <v>0.92334679904142414</v>
      </c>
      <c r="H71" s="91">
        <f t="shared" ca="1" si="6"/>
        <v>0.97099449928446524</v>
      </c>
      <c r="I71" s="91">
        <f t="shared" ca="1" si="7"/>
        <v>0.95472963253622622</v>
      </c>
      <c r="J71" s="91">
        <f t="shared" ca="1" si="8"/>
        <v>0.92888948099977597</v>
      </c>
      <c r="K71" s="91">
        <f t="shared" ca="1" si="9"/>
        <v>0.97191869933882125</v>
      </c>
      <c r="L71" s="91">
        <f t="shared" ca="1" si="10"/>
        <v>0.95565383259058223</v>
      </c>
      <c r="M71" s="91">
        <f t="shared" ca="1" si="11"/>
        <v>0.92981368105413198</v>
      </c>
    </row>
    <row r="72" spans="1:13" x14ac:dyDescent="0.25">
      <c r="A72" s="91">
        <v>52</v>
      </c>
      <c r="B72" s="91">
        <f t="shared" si="0"/>
        <v>0.97699999999999998</v>
      </c>
      <c r="C72" s="91">
        <f t="shared" si="1"/>
        <v>0.95399999999999996</v>
      </c>
      <c r="D72" s="91">
        <f t="shared" si="2"/>
        <v>0.93734679904142415</v>
      </c>
      <c r="E72" s="91">
        <f t="shared" si="3"/>
        <v>0.96299999999999997</v>
      </c>
      <c r="F72" s="91">
        <f t="shared" si="4"/>
        <v>0.94</v>
      </c>
      <c r="G72" s="91">
        <f t="shared" si="5"/>
        <v>0.92334679904142414</v>
      </c>
      <c r="H72" s="91">
        <f t="shared" ca="1" si="6"/>
        <v>0.97099449928446524</v>
      </c>
      <c r="I72" s="91">
        <f t="shared" ca="1" si="7"/>
        <v>0.95472963253622622</v>
      </c>
      <c r="J72" s="91">
        <f t="shared" ca="1" si="8"/>
        <v>0.92888948099977597</v>
      </c>
      <c r="K72" s="91">
        <f t="shared" ca="1" si="9"/>
        <v>0.97191869933882125</v>
      </c>
      <c r="L72" s="91">
        <f t="shared" ca="1" si="10"/>
        <v>0.95565383259058223</v>
      </c>
      <c r="M72" s="91">
        <f t="shared" ca="1" si="11"/>
        <v>0.92981368105413198</v>
      </c>
    </row>
    <row r="73" spans="1:13" x14ac:dyDescent="0.25">
      <c r="A73" s="91">
        <v>53</v>
      </c>
      <c r="B73" s="91">
        <f t="shared" si="0"/>
        <v>0.97699999999999998</v>
      </c>
      <c r="C73" s="91">
        <f t="shared" si="1"/>
        <v>0.95399999999999996</v>
      </c>
      <c r="D73" s="91">
        <f t="shared" si="2"/>
        <v>0.93734679904142415</v>
      </c>
      <c r="E73" s="91">
        <f t="shared" si="3"/>
        <v>0.96299999999999997</v>
      </c>
      <c r="F73" s="91">
        <f t="shared" si="4"/>
        <v>0.94</v>
      </c>
      <c r="G73" s="91">
        <f t="shared" si="5"/>
        <v>0.92334679904142414</v>
      </c>
      <c r="H73" s="91">
        <f t="shared" ca="1" si="6"/>
        <v>0.97099449928446524</v>
      </c>
      <c r="I73" s="91">
        <f t="shared" ca="1" si="7"/>
        <v>0.95472963253622622</v>
      </c>
      <c r="J73" s="91">
        <f t="shared" ca="1" si="8"/>
        <v>0.92888948099977597</v>
      </c>
      <c r="K73" s="91">
        <f t="shared" ca="1" si="9"/>
        <v>0.97191869933882125</v>
      </c>
      <c r="L73" s="91">
        <f t="shared" ca="1" si="10"/>
        <v>0.95565383259058223</v>
      </c>
      <c r="M73" s="91">
        <f t="shared" ca="1" si="11"/>
        <v>0.92981368105413198</v>
      </c>
    </row>
    <row r="74" spans="1:13" x14ac:dyDescent="0.25">
      <c r="A74" s="91">
        <v>54</v>
      </c>
      <c r="B74" s="91">
        <f t="shared" si="0"/>
        <v>0.97699999999999998</v>
      </c>
      <c r="C74" s="91">
        <f t="shared" si="1"/>
        <v>0.95399999999999996</v>
      </c>
      <c r="D74" s="91">
        <f t="shared" si="2"/>
        <v>0.93734679904142415</v>
      </c>
      <c r="E74" s="91">
        <f t="shared" si="3"/>
        <v>0.96299999999999997</v>
      </c>
      <c r="F74" s="91">
        <f t="shared" si="4"/>
        <v>0.94</v>
      </c>
      <c r="G74" s="91">
        <f t="shared" si="5"/>
        <v>0.92334679904142414</v>
      </c>
      <c r="H74" s="91">
        <f t="shared" ca="1" si="6"/>
        <v>0.97099449928446524</v>
      </c>
      <c r="I74" s="91">
        <f t="shared" ca="1" si="7"/>
        <v>0.95472963253622622</v>
      </c>
      <c r="J74" s="91">
        <f t="shared" ca="1" si="8"/>
        <v>0.92888948099977597</v>
      </c>
      <c r="K74" s="91">
        <f t="shared" ca="1" si="9"/>
        <v>0.97191869933882125</v>
      </c>
      <c r="L74" s="91">
        <f t="shared" ca="1" si="10"/>
        <v>0.95565383259058223</v>
      </c>
      <c r="M74" s="91">
        <f t="shared" ca="1" si="11"/>
        <v>0.92981368105413198</v>
      </c>
    </row>
    <row r="75" spans="1:13" x14ac:dyDescent="0.25">
      <c r="A75" s="91">
        <v>55</v>
      </c>
      <c r="B75" s="91">
        <f t="shared" si="0"/>
        <v>0.95699999999999996</v>
      </c>
      <c r="C75" s="91">
        <f t="shared" si="1"/>
        <v>0.93399999999999994</v>
      </c>
      <c r="D75" s="91">
        <f t="shared" si="2"/>
        <v>0.91734679904142413</v>
      </c>
      <c r="E75" s="91">
        <f t="shared" si="3"/>
        <v>0.94299999999999995</v>
      </c>
      <c r="F75" s="91">
        <f t="shared" si="4"/>
        <v>0.91999999999999993</v>
      </c>
      <c r="G75" s="91">
        <f t="shared" si="5"/>
        <v>0.90334679904142412</v>
      </c>
      <c r="H75" s="91">
        <f t="shared" ca="1" si="6"/>
        <v>0.94180068073714229</v>
      </c>
      <c r="I75" s="91">
        <f t="shared" ca="1" si="7"/>
        <v>0.92553581398890328</v>
      </c>
      <c r="J75" s="91">
        <f t="shared" ca="1" si="8"/>
        <v>0.89969566245245303</v>
      </c>
      <c r="K75" s="91">
        <f t="shared" ca="1" si="9"/>
        <v>0.9427248807914983</v>
      </c>
      <c r="L75" s="91">
        <f t="shared" ca="1" si="10"/>
        <v>0.92646001404325928</v>
      </c>
      <c r="M75" s="91">
        <f t="shared" ca="1" si="11"/>
        <v>0.90061986250680903</v>
      </c>
    </row>
    <row r="76" spans="1:13" x14ac:dyDescent="0.25">
      <c r="A76" s="91">
        <v>56</v>
      </c>
      <c r="B76" s="91">
        <f t="shared" si="0"/>
        <v>0.95699999999999996</v>
      </c>
      <c r="C76" s="91">
        <f t="shared" si="1"/>
        <v>0.93399999999999994</v>
      </c>
      <c r="D76" s="91">
        <f t="shared" si="2"/>
        <v>0.91734679904142413</v>
      </c>
      <c r="E76" s="91">
        <f t="shared" si="3"/>
        <v>0.94299999999999995</v>
      </c>
      <c r="F76" s="91">
        <f t="shared" si="4"/>
        <v>0.91999999999999993</v>
      </c>
      <c r="G76" s="91">
        <f t="shared" si="5"/>
        <v>0.90334679904142412</v>
      </c>
      <c r="H76" s="91">
        <f t="shared" ca="1" si="6"/>
        <v>0.94180068073714229</v>
      </c>
      <c r="I76" s="91">
        <f t="shared" ca="1" si="7"/>
        <v>0.92553581398890328</v>
      </c>
      <c r="J76" s="91">
        <f t="shared" ca="1" si="8"/>
        <v>0.89969566245245303</v>
      </c>
      <c r="K76" s="91">
        <f t="shared" ca="1" si="9"/>
        <v>0.9427248807914983</v>
      </c>
      <c r="L76" s="91">
        <f t="shared" ca="1" si="10"/>
        <v>0.92646001404325928</v>
      </c>
      <c r="M76" s="91">
        <f t="shared" ca="1" si="11"/>
        <v>0.90061986250680903</v>
      </c>
    </row>
    <row r="77" spans="1:13" x14ac:dyDescent="0.25">
      <c r="A77" s="91">
        <v>57</v>
      </c>
      <c r="B77" s="91">
        <f t="shared" si="0"/>
        <v>0.95699999999999996</v>
      </c>
      <c r="C77" s="91">
        <f t="shared" si="1"/>
        <v>0.93399999999999994</v>
      </c>
      <c r="D77" s="91">
        <f t="shared" si="2"/>
        <v>0.91734679904142413</v>
      </c>
      <c r="E77" s="91">
        <f t="shared" si="3"/>
        <v>0.94299999999999995</v>
      </c>
      <c r="F77" s="91">
        <f t="shared" si="4"/>
        <v>0.91999999999999993</v>
      </c>
      <c r="G77" s="91">
        <f t="shared" si="5"/>
        <v>0.90334679904142412</v>
      </c>
      <c r="H77" s="91">
        <f t="shared" ca="1" si="6"/>
        <v>0.94180068073714229</v>
      </c>
      <c r="I77" s="91">
        <f t="shared" ca="1" si="7"/>
        <v>0.92553581398890328</v>
      </c>
      <c r="J77" s="91">
        <f t="shared" ca="1" si="8"/>
        <v>0.89969566245245303</v>
      </c>
      <c r="K77" s="91">
        <f t="shared" ca="1" si="9"/>
        <v>0.9427248807914983</v>
      </c>
      <c r="L77" s="91">
        <f t="shared" ca="1" si="10"/>
        <v>0.92646001404325928</v>
      </c>
      <c r="M77" s="91">
        <f t="shared" ca="1" si="11"/>
        <v>0.90061986250680903</v>
      </c>
    </row>
    <row r="78" spans="1:13" x14ac:dyDescent="0.25">
      <c r="A78" s="91">
        <v>58</v>
      </c>
      <c r="B78" s="91">
        <f t="shared" si="0"/>
        <v>0.95699999999999996</v>
      </c>
      <c r="C78" s="91">
        <f t="shared" si="1"/>
        <v>0.93399999999999994</v>
      </c>
      <c r="D78" s="91">
        <f t="shared" si="2"/>
        <v>0.91734679904142413</v>
      </c>
      <c r="E78" s="91">
        <f t="shared" si="3"/>
        <v>0.94299999999999995</v>
      </c>
      <c r="F78" s="91">
        <f t="shared" si="4"/>
        <v>0.91999999999999993</v>
      </c>
      <c r="G78" s="91">
        <f t="shared" si="5"/>
        <v>0.90334679904142412</v>
      </c>
      <c r="H78" s="91">
        <f t="shared" ca="1" si="6"/>
        <v>0.94180068073714229</v>
      </c>
      <c r="I78" s="91">
        <f t="shared" ca="1" si="7"/>
        <v>0.92553581398890328</v>
      </c>
      <c r="J78" s="91">
        <f t="shared" ca="1" si="8"/>
        <v>0.89969566245245303</v>
      </c>
      <c r="K78" s="91">
        <f t="shared" ca="1" si="9"/>
        <v>0.9427248807914983</v>
      </c>
      <c r="L78" s="91">
        <f t="shared" ca="1" si="10"/>
        <v>0.92646001404325928</v>
      </c>
      <c r="M78" s="91">
        <f t="shared" ca="1" si="11"/>
        <v>0.90061986250680903</v>
      </c>
    </row>
    <row r="79" spans="1:13" x14ac:dyDescent="0.25">
      <c r="A79" s="91">
        <v>59</v>
      </c>
      <c r="B79" s="91">
        <f t="shared" si="0"/>
        <v>0.95699999999999996</v>
      </c>
      <c r="C79" s="91">
        <f t="shared" si="1"/>
        <v>0.93399999999999994</v>
      </c>
      <c r="D79" s="91">
        <f t="shared" si="2"/>
        <v>0.91734679904142413</v>
      </c>
      <c r="E79" s="91">
        <f t="shared" si="3"/>
        <v>0.94299999999999995</v>
      </c>
      <c r="F79" s="91">
        <f t="shared" si="4"/>
        <v>0.91999999999999993</v>
      </c>
      <c r="G79" s="91">
        <f t="shared" si="5"/>
        <v>0.90334679904142412</v>
      </c>
      <c r="H79" s="91">
        <f t="shared" ca="1" si="6"/>
        <v>0.94180068073714229</v>
      </c>
      <c r="I79" s="91">
        <f t="shared" ca="1" si="7"/>
        <v>0.92553581398890328</v>
      </c>
      <c r="J79" s="91">
        <f t="shared" ca="1" si="8"/>
        <v>0.89969566245245303</v>
      </c>
      <c r="K79" s="91">
        <f t="shared" ca="1" si="9"/>
        <v>0.9427248807914983</v>
      </c>
      <c r="L79" s="91">
        <f t="shared" ca="1" si="10"/>
        <v>0.92646001404325928</v>
      </c>
      <c r="M79" s="91">
        <f t="shared" ca="1" si="11"/>
        <v>0.90061986250680903</v>
      </c>
    </row>
    <row r="80" spans="1:13" x14ac:dyDescent="0.25">
      <c r="A80" s="91">
        <v>60</v>
      </c>
      <c r="B80" s="91">
        <f t="shared" si="0"/>
        <v>0.95699999999999996</v>
      </c>
      <c r="C80" s="91">
        <f t="shared" si="1"/>
        <v>0.93399999999999994</v>
      </c>
      <c r="D80" s="91">
        <f t="shared" si="2"/>
        <v>0.91734679904142413</v>
      </c>
      <c r="E80" s="91">
        <f t="shared" si="3"/>
        <v>0.94299999999999995</v>
      </c>
      <c r="F80" s="91">
        <f t="shared" si="4"/>
        <v>0.91999999999999993</v>
      </c>
      <c r="G80" s="91">
        <f t="shared" si="5"/>
        <v>0.90334679904142412</v>
      </c>
      <c r="H80" s="91">
        <f t="shared" ca="1" si="6"/>
        <v>0.94180068073714229</v>
      </c>
      <c r="I80" s="91">
        <f t="shared" ca="1" si="7"/>
        <v>0.92553581398890328</v>
      </c>
      <c r="J80" s="91">
        <f t="shared" ca="1" si="8"/>
        <v>0.89969566245245303</v>
      </c>
      <c r="K80" s="91">
        <f t="shared" ca="1" si="9"/>
        <v>0.9427248807914983</v>
      </c>
      <c r="L80" s="91">
        <f t="shared" ca="1" si="10"/>
        <v>0.92646001404325928</v>
      </c>
      <c r="M80" s="91">
        <f t="shared" ca="1" si="11"/>
        <v>0.90061986250680903</v>
      </c>
    </row>
    <row r="81" spans="1:13" x14ac:dyDescent="0.25">
      <c r="A81" s="91">
        <v>61</v>
      </c>
      <c r="B81" s="91">
        <f t="shared" si="0"/>
        <v>0.95699999999999996</v>
      </c>
      <c r="C81" s="91">
        <f t="shared" si="1"/>
        <v>0.93399999999999994</v>
      </c>
      <c r="D81" s="91">
        <f t="shared" si="2"/>
        <v>0.91734679904142413</v>
      </c>
      <c r="E81" s="91">
        <f t="shared" si="3"/>
        <v>0.94299999999999995</v>
      </c>
      <c r="F81" s="91">
        <f t="shared" si="4"/>
        <v>0.91999999999999993</v>
      </c>
      <c r="G81" s="91">
        <f t="shared" si="5"/>
        <v>0.90334679904142412</v>
      </c>
      <c r="H81" s="91">
        <f t="shared" ca="1" si="6"/>
        <v>0.94180068073714229</v>
      </c>
      <c r="I81" s="91">
        <f t="shared" ca="1" si="7"/>
        <v>0.92553581398890328</v>
      </c>
      <c r="J81" s="91">
        <f t="shared" ca="1" si="8"/>
        <v>0.89969566245245303</v>
      </c>
      <c r="K81" s="91">
        <f t="shared" ca="1" si="9"/>
        <v>0.9427248807914983</v>
      </c>
      <c r="L81" s="91">
        <f t="shared" ca="1" si="10"/>
        <v>0.92646001404325928</v>
      </c>
      <c r="M81" s="91">
        <f t="shared" ca="1" si="11"/>
        <v>0.90061986250680903</v>
      </c>
    </row>
    <row r="82" spans="1:13" x14ac:dyDescent="0.25">
      <c r="A82" s="91">
        <v>62</v>
      </c>
      <c r="B82" s="91">
        <f t="shared" si="0"/>
        <v>0.95699999999999996</v>
      </c>
      <c r="C82" s="91">
        <f t="shared" si="1"/>
        <v>0.93399999999999994</v>
      </c>
      <c r="D82" s="91">
        <f t="shared" si="2"/>
        <v>0.91734679904142413</v>
      </c>
      <c r="E82" s="91">
        <f t="shared" si="3"/>
        <v>0.94299999999999995</v>
      </c>
      <c r="F82" s="91">
        <f t="shared" si="4"/>
        <v>0.91999999999999993</v>
      </c>
      <c r="G82" s="91">
        <f t="shared" si="5"/>
        <v>0.90334679904142412</v>
      </c>
      <c r="H82" s="91">
        <f t="shared" ca="1" si="6"/>
        <v>0.94180068073714229</v>
      </c>
      <c r="I82" s="91">
        <f t="shared" ca="1" si="7"/>
        <v>0.92553581398890328</v>
      </c>
      <c r="J82" s="91">
        <f t="shared" ca="1" si="8"/>
        <v>0.89969566245245303</v>
      </c>
      <c r="K82" s="91">
        <f t="shared" ca="1" si="9"/>
        <v>0.9427248807914983</v>
      </c>
      <c r="L82" s="91">
        <f t="shared" ca="1" si="10"/>
        <v>0.92646001404325928</v>
      </c>
      <c r="M82" s="91">
        <f t="shared" ca="1" si="11"/>
        <v>0.90061986250680903</v>
      </c>
    </row>
    <row r="83" spans="1:13" x14ac:dyDescent="0.25">
      <c r="A83" s="91">
        <v>63</v>
      </c>
      <c r="B83" s="91">
        <f t="shared" si="0"/>
        <v>0.95699999999999996</v>
      </c>
      <c r="C83" s="91">
        <f t="shared" si="1"/>
        <v>0.93399999999999994</v>
      </c>
      <c r="D83" s="91">
        <f t="shared" si="2"/>
        <v>0.91734679904142413</v>
      </c>
      <c r="E83" s="91">
        <f t="shared" si="3"/>
        <v>0.94299999999999995</v>
      </c>
      <c r="F83" s="91">
        <f t="shared" si="4"/>
        <v>0.91999999999999993</v>
      </c>
      <c r="G83" s="91">
        <f t="shared" si="5"/>
        <v>0.90334679904142412</v>
      </c>
      <c r="H83" s="91">
        <f t="shared" ca="1" si="6"/>
        <v>0.94180068073714229</v>
      </c>
      <c r="I83" s="91">
        <f t="shared" ca="1" si="7"/>
        <v>0.92553581398890328</v>
      </c>
      <c r="J83" s="91">
        <f t="shared" ca="1" si="8"/>
        <v>0.89969566245245303</v>
      </c>
      <c r="K83" s="91">
        <f t="shared" ca="1" si="9"/>
        <v>0.9427248807914983</v>
      </c>
      <c r="L83" s="91">
        <f t="shared" ca="1" si="10"/>
        <v>0.92646001404325928</v>
      </c>
      <c r="M83" s="91">
        <f t="shared" ca="1" si="11"/>
        <v>0.90061986250680903</v>
      </c>
    </row>
    <row r="84" spans="1:13" x14ac:dyDescent="0.25">
      <c r="A84" s="91">
        <v>64</v>
      </c>
      <c r="B84" s="91">
        <f t="shared" si="0"/>
        <v>0.95699999999999996</v>
      </c>
      <c r="C84" s="91">
        <f t="shared" si="1"/>
        <v>0.93399999999999994</v>
      </c>
      <c r="D84" s="91">
        <f t="shared" si="2"/>
        <v>0.91734679904142413</v>
      </c>
      <c r="E84" s="91">
        <f t="shared" si="3"/>
        <v>0.94299999999999995</v>
      </c>
      <c r="F84" s="91">
        <f t="shared" si="4"/>
        <v>0.91999999999999993</v>
      </c>
      <c r="G84" s="91">
        <f t="shared" si="5"/>
        <v>0.90334679904142412</v>
      </c>
      <c r="H84" s="91">
        <f t="shared" ca="1" si="6"/>
        <v>0.94180068073714229</v>
      </c>
      <c r="I84" s="91">
        <f t="shared" ca="1" si="7"/>
        <v>0.92553581398890328</v>
      </c>
      <c r="J84" s="91">
        <f t="shared" ca="1" si="8"/>
        <v>0.89969566245245303</v>
      </c>
      <c r="K84" s="91">
        <f t="shared" ca="1" si="9"/>
        <v>0.9427248807914983</v>
      </c>
      <c r="L84" s="91">
        <f t="shared" ca="1" si="10"/>
        <v>0.92646001404325928</v>
      </c>
      <c r="M84" s="91">
        <f t="shared" ca="1" si="11"/>
        <v>0.90061986250680903</v>
      </c>
    </row>
    <row r="85" spans="1:13" x14ac:dyDescent="0.25">
      <c r="A85" s="91">
        <v>65</v>
      </c>
      <c r="B85" s="91">
        <f t="shared" si="0"/>
        <v>0.95</v>
      </c>
      <c r="C85" s="91">
        <f t="shared" si="1"/>
        <v>0.92699999999999994</v>
      </c>
      <c r="D85" s="91">
        <f t="shared" si="2"/>
        <v>0.91034679904142413</v>
      </c>
      <c r="E85" s="91">
        <f t="shared" si="3"/>
        <v>0.93599999999999994</v>
      </c>
      <c r="F85" s="91">
        <f t="shared" si="4"/>
        <v>0.91299999999999992</v>
      </c>
      <c r="G85" s="91">
        <f t="shared" si="5"/>
        <v>0.89634679904142411</v>
      </c>
      <c r="H85" s="91">
        <f t="shared" ca="1" si="6"/>
        <v>0.94323333853701197</v>
      </c>
      <c r="I85" s="91">
        <f t="shared" ca="1" si="7"/>
        <v>0.92696847178877295</v>
      </c>
      <c r="J85" s="91">
        <f t="shared" ca="1" si="8"/>
        <v>0.9011283202523227</v>
      </c>
      <c r="K85" s="91">
        <f t="shared" ca="1" si="9"/>
        <v>0.94415753859136797</v>
      </c>
      <c r="L85" s="91">
        <f t="shared" ca="1" si="10"/>
        <v>0.92789267184312896</v>
      </c>
      <c r="M85" s="91">
        <f t="shared" ca="1" si="11"/>
        <v>0.90205252030667871</v>
      </c>
    </row>
    <row r="86" spans="1:13" x14ac:dyDescent="0.25">
      <c r="A86" s="91">
        <v>66</v>
      </c>
      <c r="B86" s="91">
        <f t="shared" ref="B86:B120" si="12">$C$2-VLOOKUP($A86,$B$10:$D$16,2)</f>
        <v>0.95</v>
      </c>
      <c r="C86" s="91">
        <f t="shared" ref="C86:C120" si="13">$C$2-VLOOKUP($A86,$B$10:$D$16,2)-$C$8</f>
        <v>0.92699999999999994</v>
      </c>
      <c r="D86" s="91">
        <f t="shared" ref="D86:D120" si="14">$C$2-VLOOKUP($A86,$B$10:$D$16,2)-$C$7</f>
        <v>0.91034679904142413</v>
      </c>
      <c r="E86" s="91">
        <f t="shared" ref="E86:E120" si="15">$C$2-VLOOKUP($A86,$B$10:$D$16,2)-$C$9</f>
        <v>0.93599999999999994</v>
      </c>
      <c r="F86" s="91">
        <f t="shared" ref="F86:F120" si="16">$C$2-VLOOKUP($A86,$B$10:$D$16,2)-$C$8-$C$9</f>
        <v>0.91299999999999992</v>
      </c>
      <c r="G86" s="91">
        <f t="shared" ref="G86:G120" si="17">$C$2-VLOOKUP($A86,$B$10:$D$16,2)-$C$7-$C$9</f>
        <v>0.89634679904142411</v>
      </c>
      <c r="H86" s="91">
        <f t="shared" ref="H86:H120" ca="1" si="18">$D$2-VLOOKUP($A86,$B$10:$D$16,3)</f>
        <v>0.94323333853701197</v>
      </c>
      <c r="I86" s="91">
        <f t="shared" ref="I86:I120" ca="1" si="19">$D$2-VLOOKUP($A86,$B$10:$D$16,3)-$D$8</f>
        <v>0.92696847178877295</v>
      </c>
      <c r="J86" s="91">
        <f t="shared" ref="J86:J120" ca="1" si="20">$D$2-VLOOKUP($A86,$B$10:$D$16,3)-$D$7</f>
        <v>0.9011283202523227</v>
      </c>
      <c r="K86" s="91">
        <f t="shared" ref="K86:K120" ca="1" si="21">$D$2-VLOOKUP($A86,$B$10:$D$16,3)-$D$9</f>
        <v>0.94415753859136797</v>
      </c>
      <c r="L86" s="91">
        <f t="shared" ref="L86:L120" ca="1" si="22">$D$2-VLOOKUP($A86,$B$10:$D$16,3)-$D$8-$D$9</f>
        <v>0.92789267184312896</v>
      </c>
      <c r="M86" s="91">
        <f t="shared" ref="M86:M120" ca="1" si="23">$D$2-VLOOKUP($A86,$B$10:$D$16,3)-$D$7-$D$9</f>
        <v>0.90205252030667871</v>
      </c>
    </row>
    <row r="87" spans="1:13" x14ac:dyDescent="0.25">
      <c r="A87" s="91">
        <v>67</v>
      </c>
      <c r="B87" s="91">
        <f t="shared" si="12"/>
        <v>0.95</v>
      </c>
      <c r="C87" s="91">
        <f t="shared" si="13"/>
        <v>0.92699999999999994</v>
      </c>
      <c r="D87" s="91">
        <f t="shared" si="14"/>
        <v>0.91034679904142413</v>
      </c>
      <c r="E87" s="91">
        <f t="shared" si="15"/>
        <v>0.93599999999999994</v>
      </c>
      <c r="F87" s="91">
        <f t="shared" si="16"/>
        <v>0.91299999999999992</v>
      </c>
      <c r="G87" s="91">
        <f t="shared" si="17"/>
        <v>0.89634679904142411</v>
      </c>
      <c r="H87" s="91">
        <f t="shared" ca="1" si="18"/>
        <v>0.94323333853701197</v>
      </c>
      <c r="I87" s="91">
        <f t="shared" ca="1" si="19"/>
        <v>0.92696847178877295</v>
      </c>
      <c r="J87" s="91">
        <f t="shared" ca="1" si="20"/>
        <v>0.9011283202523227</v>
      </c>
      <c r="K87" s="91">
        <f t="shared" ca="1" si="21"/>
        <v>0.94415753859136797</v>
      </c>
      <c r="L87" s="91">
        <f t="shared" ca="1" si="22"/>
        <v>0.92789267184312896</v>
      </c>
      <c r="M87" s="91">
        <f t="shared" ca="1" si="23"/>
        <v>0.90205252030667871</v>
      </c>
    </row>
    <row r="88" spans="1:13" x14ac:dyDescent="0.25">
      <c r="A88" s="91">
        <v>68</v>
      </c>
      <c r="B88" s="91">
        <f t="shared" si="12"/>
        <v>0.95</v>
      </c>
      <c r="C88" s="91">
        <f t="shared" si="13"/>
        <v>0.92699999999999994</v>
      </c>
      <c r="D88" s="91">
        <f t="shared" si="14"/>
        <v>0.91034679904142413</v>
      </c>
      <c r="E88" s="91">
        <f t="shared" si="15"/>
        <v>0.93599999999999994</v>
      </c>
      <c r="F88" s="91">
        <f t="shared" si="16"/>
        <v>0.91299999999999992</v>
      </c>
      <c r="G88" s="91">
        <f t="shared" si="17"/>
        <v>0.89634679904142411</v>
      </c>
      <c r="H88" s="91">
        <f t="shared" ca="1" si="18"/>
        <v>0.94323333853701197</v>
      </c>
      <c r="I88" s="91">
        <f t="shared" ca="1" si="19"/>
        <v>0.92696847178877295</v>
      </c>
      <c r="J88" s="91">
        <f t="shared" ca="1" si="20"/>
        <v>0.9011283202523227</v>
      </c>
      <c r="K88" s="91">
        <f t="shared" ca="1" si="21"/>
        <v>0.94415753859136797</v>
      </c>
      <c r="L88" s="91">
        <f t="shared" ca="1" si="22"/>
        <v>0.92789267184312896</v>
      </c>
      <c r="M88" s="91">
        <f t="shared" ca="1" si="23"/>
        <v>0.90205252030667871</v>
      </c>
    </row>
    <row r="89" spans="1:13" x14ac:dyDescent="0.25">
      <c r="A89" s="91">
        <v>69</v>
      </c>
      <c r="B89" s="91">
        <f t="shared" si="12"/>
        <v>0.95</v>
      </c>
      <c r="C89" s="91">
        <f t="shared" si="13"/>
        <v>0.92699999999999994</v>
      </c>
      <c r="D89" s="91">
        <f t="shared" si="14"/>
        <v>0.91034679904142413</v>
      </c>
      <c r="E89" s="91">
        <f t="shared" si="15"/>
        <v>0.93599999999999994</v>
      </c>
      <c r="F89" s="91">
        <f t="shared" si="16"/>
        <v>0.91299999999999992</v>
      </c>
      <c r="G89" s="91">
        <f t="shared" si="17"/>
        <v>0.89634679904142411</v>
      </c>
      <c r="H89" s="91">
        <f t="shared" ca="1" si="18"/>
        <v>0.94323333853701197</v>
      </c>
      <c r="I89" s="91">
        <f t="shared" ca="1" si="19"/>
        <v>0.92696847178877295</v>
      </c>
      <c r="J89" s="91">
        <f t="shared" ca="1" si="20"/>
        <v>0.9011283202523227</v>
      </c>
      <c r="K89" s="91">
        <f t="shared" ca="1" si="21"/>
        <v>0.94415753859136797</v>
      </c>
      <c r="L89" s="91">
        <f t="shared" ca="1" si="22"/>
        <v>0.92789267184312896</v>
      </c>
      <c r="M89" s="91">
        <f t="shared" ca="1" si="23"/>
        <v>0.90205252030667871</v>
      </c>
    </row>
    <row r="90" spans="1:13" x14ac:dyDescent="0.25">
      <c r="A90" s="91">
        <v>70</v>
      </c>
      <c r="B90" s="91">
        <f t="shared" si="12"/>
        <v>0.95</v>
      </c>
      <c r="C90" s="91">
        <f t="shared" si="13"/>
        <v>0.92699999999999994</v>
      </c>
      <c r="D90" s="91">
        <f t="shared" si="14"/>
        <v>0.91034679904142413</v>
      </c>
      <c r="E90" s="91">
        <f t="shared" si="15"/>
        <v>0.93599999999999994</v>
      </c>
      <c r="F90" s="91">
        <f t="shared" si="16"/>
        <v>0.91299999999999992</v>
      </c>
      <c r="G90" s="91">
        <f t="shared" si="17"/>
        <v>0.89634679904142411</v>
      </c>
      <c r="H90" s="91">
        <f t="shared" ca="1" si="18"/>
        <v>0.94323333853701197</v>
      </c>
      <c r="I90" s="91">
        <f t="shared" ca="1" si="19"/>
        <v>0.92696847178877295</v>
      </c>
      <c r="J90" s="91">
        <f t="shared" ca="1" si="20"/>
        <v>0.9011283202523227</v>
      </c>
      <c r="K90" s="91">
        <f t="shared" ca="1" si="21"/>
        <v>0.94415753859136797</v>
      </c>
      <c r="L90" s="91">
        <f t="shared" ca="1" si="22"/>
        <v>0.92789267184312896</v>
      </c>
      <c r="M90" s="91">
        <f t="shared" ca="1" si="23"/>
        <v>0.90205252030667871</v>
      </c>
    </row>
    <row r="91" spans="1:13" x14ac:dyDescent="0.25">
      <c r="A91" s="91">
        <v>71</v>
      </c>
      <c r="B91" s="91">
        <f t="shared" si="12"/>
        <v>0.95</v>
      </c>
      <c r="C91" s="91">
        <f t="shared" si="13"/>
        <v>0.92699999999999994</v>
      </c>
      <c r="D91" s="91">
        <f t="shared" si="14"/>
        <v>0.91034679904142413</v>
      </c>
      <c r="E91" s="91">
        <f t="shared" si="15"/>
        <v>0.93599999999999994</v>
      </c>
      <c r="F91" s="91">
        <f t="shared" si="16"/>
        <v>0.91299999999999992</v>
      </c>
      <c r="G91" s="91">
        <f t="shared" si="17"/>
        <v>0.89634679904142411</v>
      </c>
      <c r="H91" s="91">
        <f t="shared" ca="1" si="18"/>
        <v>0.94323333853701197</v>
      </c>
      <c r="I91" s="91">
        <f t="shared" ca="1" si="19"/>
        <v>0.92696847178877295</v>
      </c>
      <c r="J91" s="91">
        <f t="shared" ca="1" si="20"/>
        <v>0.9011283202523227</v>
      </c>
      <c r="K91" s="91">
        <f t="shared" ca="1" si="21"/>
        <v>0.94415753859136797</v>
      </c>
      <c r="L91" s="91">
        <f t="shared" ca="1" si="22"/>
        <v>0.92789267184312896</v>
      </c>
      <c r="M91" s="91">
        <f t="shared" ca="1" si="23"/>
        <v>0.90205252030667871</v>
      </c>
    </row>
    <row r="92" spans="1:13" x14ac:dyDescent="0.25">
      <c r="A92" s="91">
        <v>72</v>
      </c>
      <c r="B92" s="91">
        <f t="shared" si="12"/>
        <v>0.95</v>
      </c>
      <c r="C92" s="91">
        <f t="shared" si="13"/>
        <v>0.92699999999999994</v>
      </c>
      <c r="D92" s="91">
        <f t="shared" si="14"/>
        <v>0.91034679904142413</v>
      </c>
      <c r="E92" s="91">
        <f t="shared" si="15"/>
        <v>0.93599999999999994</v>
      </c>
      <c r="F92" s="91">
        <f t="shared" si="16"/>
        <v>0.91299999999999992</v>
      </c>
      <c r="G92" s="91">
        <f t="shared" si="17"/>
        <v>0.89634679904142411</v>
      </c>
      <c r="H92" s="91">
        <f t="shared" ca="1" si="18"/>
        <v>0.94323333853701197</v>
      </c>
      <c r="I92" s="91">
        <f t="shared" ca="1" si="19"/>
        <v>0.92696847178877295</v>
      </c>
      <c r="J92" s="91">
        <f t="shared" ca="1" si="20"/>
        <v>0.9011283202523227</v>
      </c>
      <c r="K92" s="91">
        <f t="shared" ca="1" si="21"/>
        <v>0.94415753859136797</v>
      </c>
      <c r="L92" s="91">
        <f t="shared" ca="1" si="22"/>
        <v>0.92789267184312896</v>
      </c>
      <c r="M92" s="91">
        <f t="shared" ca="1" si="23"/>
        <v>0.90205252030667871</v>
      </c>
    </row>
    <row r="93" spans="1:13" x14ac:dyDescent="0.25">
      <c r="A93" s="91">
        <v>73</v>
      </c>
      <c r="B93" s="91">
        <f t="shared" si="12"/>
        <v>0.95</v>
      </c>
      <c r="C93" s="91">
        <f t="shared" si="13"/>
        <v>0.92699999999999994</v>
      </c>
      <c r="D93" s="91">
        <f t="shared" si="14"/>
        <v>0.91034679904142413</v>
      </c>
      <c r="E93" s="91">
        <f t="shared" si="15"/>
        <v>0.93599999999999994</v>
      </c>
      <c r="F93" s="91">
        <f t="shared" si="16"/>
        <v>0.91299999999999992</v>
      </c>
      <c r="G93" s="91">
        <f t="shared" si="17"/>
        <v>0.89634679904142411</v>
      </c>
      <c r="H93" s="91">
        <f t="shared" ca="1" si="18"/>
        <v>0.94323333853701197</v>
      </c>
      <c r="I93" s="91">
        <f t="shared" ca="1" si="19"/>
        <v>0.92696847178877295</v>
      </c>
      <c r="J93" s="91">
        <f t="shared" ca="1" si="20"/>
        <v>0.9011283202523227</v>
      </c>
      <c r="K93" s="91">
        <f t="shared" ca="1" si="21"/>
        <v>0.94415753859136797</v>
      </c>
      <c r="L93" s="91">
        <f t="shared" ca="1" si="22"/>
        <v>0.92789267184312896</v>
      </c>
      <c r="M93" s="91">
        <f t="shared" ca="1" si="23"/>
        <v>0.90205252030667871</v>
      </c>
    </row>
    <row r="94" spans="1:13" x14ac:dyDescent="0.25">
      <c r="A94" s="91">
        <v>74</v>
      </c>
      <c r="B94" s="91">
        <f t="shared" si="12"/>
        <v>0.95</v>
      </c>
      <c r="C94" s="91">
        <f t="shared" si="13"/>
        <v>0.92699999999999994</v>
      </c>
      <c r="D94" s="91">
        <f t="shared" si="14"/>
        <v>0.91034679904142413</v>
      </c>
      <c r="E94" s="91">
        <f t="shared" si="15"/>
        <v>0.93599999999999994</v>
      </c>
      <c r="F94" s="91">
        <f t="shared" si="16"/>
        <v>0.91299999999999992</v>
      </c>
      <c r="G94" s="91">
        <f t="shared" si="17"/>
        <v>0.89634679904142411</v>
      </c>
      <c r="H94" s="91">
        <f t="shared" ca="1" si="18"/>
        <v>0.94323333853701197</v>
      </c>
      <c r="I94" s="91">
        <f t="shared" ca="1" si="19"/>
        <v>0.92696847178877295</v>
      </c>
      <c r="J94" s="91">
        <f t="shared" ca="1" si="20"/>
        <v>0.9011283202523227</v>
      </c>
      <c r="K94" s="91">
        <f t="shared" ca="1" si="21"/>
        <v>0.94415753859136797</v>
      </c>
      <c r="L94" s="91">
        <f t="shared" ca="1" si="22"/>
        <v>0.92789267184312896</v>
      </c>
      <c r="M94" s="91">
        <f t="shared" ca="1" si="23"/>
        <v>0.90205252030667871</v>
      </c>
    </row>
    <row r="95" spans="1:13" x14ac:dyDescent="0.25">
      <c r="A95" s="91">
        <v>75</v>
      </c>
      <c r="B95" s="91">
        <f t="shared" si="12"/>
        <v>0.93799999999999994</v>
      </c>
      <c r="C95" s="91">
        <f t="shared" si="13"/>
        <v>0.91499999999999992</v>
      </c>
      <c r="D95" s="91">
        <f t="shared" si="14"/>
        <v>0.89834679904142412</v>
      </c>
      <c r="E95" s="91">
        <f t="shared" si="15"/>
        <v>0.92399999999999993</v>
      </c>
      <c r="F95" s="91">
        <f t="shared" si="16"/>
        <v>0.90099999999999991</v>
      </c>
      <c r="G95" s="91">
        <f t="shared" si="17"/>
        <v>0.8843467990414241</v>
      </c>
      <c r="H95" s="91">
        <f t="shared" ca="1" si="18"/>
        <v>0.93909986769703457</v>
      </c>
      <c r="I95" s="91">
        <f t="shared" ca="1" si="19"/>
        <v>0.92283500094879556</v>
      </c>
      <c r="J95" s="91">
        <f t="shared" ca="1" si="20"/>
        <v>0.89699484941234531</v>
      </c>
      <c r="K95" s="91">
        <f t="shared" ca="1" si="21"/>
        <v>0.94002406775139058</v>
      </c>
      <c r="L95" s="91">
        <f t="shared" ca="1" si="22"/>
        <v>0.92375920100315156</v>
      </c>
      <c r="M95" s="91">
        <f t="shared" ca="1" si="23"/>
        <v>0.89791904946670131</v>
      </c>
    </row>
    <row r="96" spans="1:13" x14ac:dyDescent="0.25">
      <c r="A96" s="91">
        <v>76</v>
      </c>
      <c r="B96" s="91">
        <f t="shared" si="12"/>
        <v>0.93799999999999994</v>
      </c>
      <c r="C96" s="91">
        <f t="shared" si="13"/>
        <v>0.91499999999999992</v>
      </c>
      <c r="D96" s="91">
        <f t="shared" si="14"/>
        <v>0.89834679904142412</v>
      </c>
      <c r="E96" s="91">
        <f t="shared" si="15"/>
        <v>0.92399999999999993</v>
      </c>
      <c r="F96" s="91">
        <f t="shared" si="16"/>
        <v>0.90099999999999991</v>
      </c>
      <c r="G96" s="91">
        <f t="shared" si="17"/>
        <v>0.8843467990414241</v>
      </c>
      <c r="H96" s="91">
        <f t="shared" ca="1" si="18"/>
        <v>0.93909986769703457</v>
      </c>
      <c r="I96" s="91">
        <f t="shared" ca="1" si="19"/>
        <v>0.92283500094879556</v>
      </c>
      <c r="J96" s="91">
        <f t="shared" ca="1" si="20"/>
        <v>0.89699484941234531</v>
      </c>
      <c r="K96" s="91">
        <f t="shared" ca="1" si="21"/>
        <v>0.94002406775139058</v>
      </c>
      <c r="L96" s="91">
        <f t="shared" ca="1" si="22"/>
        <v>0.92375920100315156</v>
      </c>
      <c r="M96" s="91">
        <f t="shared" ca="1" si="23"/>
        <v>0.89791904946670131</v>
      </c>
    </row>
    <row r="97" spans="1:13" x14ac:dyDescent="0.25">
      <c r="A97" s="91">
        <v>77</v>
      </c>
      <c r="B97" s="91">
        <f t="shared" si="12"/>
        <v>0.93799999999999994</v>
      </c>
      <c r="C97" s="91">
        <f t="shared" si="13"/>
        <v>0.91499999999999992</v>
      </c>
      <c r="D97" s="91">
        <f t="shared" si="14"/>
        <v>0.89834679904142412</v>
      </c>
      <c r="E97" s="91">
        <f t="shared" si="15"/>
        <v>0.92399999999999993</v>
      </c>
      <c r="F97" s="91">
        <f t="shared" si="16"/>
        <v>0.90099999999999991</v>
      </c>
      <c r="G97" s="91">
        <f t="shared" si="17"/>
        <v>0.8843467990414241</v>
      </c>
      <c r="H97" s="91">
        <f t="shared" ca="1" si="18"/>
        <v>0.93909986769703457</v>
      </c>
      <c r="I97" s="91">
        <f t="shared" ca="1" si="19"/>
        <v>0.92283500094879556</v>
      </c>
      <c r="J97" s="91">
        <f t="shared" ca="1" si="20"/>
        <v>0.89699484941234531</v>
      </c>
      <c r="K97" s="91">
        <f t="shared" ca="1" si="21"/>
        <v>0.94002406775139058</v>
      </c>
      <c r="L97" s="91">
        <f t="shared" ca="1" si="22"/>
        <v>0.92375920100315156</v>
      </c>
      <c r="M97" s="91">
        <f t="shared" ca="1" si="23"/>
        <v>0.89791904946670131</v>
      </c>
    </row>
    <row r="98" spans="1:13" x14ac:dyDescent="0.25">
      <c r="A98" s="91">
        <v>78</v>
      </c>
      <c r="B98" s="91">
        <f t="shared" si="12"/>
        <v>0.93799999999999994</v>
      </c>
      <c r="C98" s="91">
        <f t="shared" si="13"/>
        <v>0.91499999999999992</v>
      </c>
      <c r="D98" s="91">
        <f t="shared" si="14"/>
        <v>0.89834679904142412</v>
      </c>
      <c r="E98" s="91">
        <f t="shared" si="15"/>
        <v>0.92399999999999993</v>
      </c>
      <c r="F98" s="91">
        <f t="shared" si="16"/>
        <v>0.90099999999999991</v>
      </c>
      <c r="G98" s="91">
        <f t="shared" si="17"/>
        <v>0.8843467990414241</v>
      </c>
      <c r="H98" s="91">
        <f t="shared" ca="1" si="18"/>
        <v>0.93909986769703457</v>
      </c>
      <c r="I98" s="91">
        <f t="shared" ca="1" si="19"/>
        <v>0.92283500094879556</v>
      </c>
      <c r="J98" s="91">
        <f t="shared" ca="1" si="20"/>
        <v>0.89699484941234531</v>
      </c>
      <c r="K98" s="91">
        <f t="shared" ca="1" si="21"/>
        <v>0.94002406775139058</v>
      </c>
      <c r="L98" s="91">
        <f t="shared" ca="1" si="22"/>
        <v>0.92375920100315156</v>
      </c>
      <c r="M98" s="91">
        <f t="shared" ca="1" si="23"/>
        <v>0.89791904946670131</v>
      </c>
    </row>
    <row r="99" spans="1:13" x14ac:dyDescent="0.25">
      <c r="A99" s="91">
        <v>79</v>
      </c>
      <c r="B99" s="91">
        <f t="shared" si="12"/>
        <v>0.93799999999999994</v>
      </c>
      <c r="C99" s="91">
        <f t="shared" si="13"/>
        <v>0.91499999999999992</v>
      </c>
      <c r="D99" s="91">
        <f t="shared" si="14"/>
        <v>0.89834679904142412</v>
      </c>
      <c r="E99" s="91">
        <f t="shared" si="15"/>
        <v>0.92399999999999993</v>
      </c>
      <c r="F99" s="91">
        <f t="shared" si="16"/>
        <v>0.90099999999999991</v>
      </c>
      <c r="G99" s="91">
        <f t="shared" si="17"/>
        <v>0.8843467990414241</v>
      </c>
      <c r="H99" s="91">
        <f t="shared" ca="1" si="18"/>
        <v>0.93909986769703457</v>
      </c>
      <c r="I99" s="91">
        <f t="shared" ca="1" si="19"/>
        <v>0.92283500094879556</v>
      </c>
      <c r="J99" s="91">
        <f t="shared" ca="1" si="20"/>
        <v>0.89699484941234531</v>
      </c>
      <c r="K99" s="91">
        <f t="shared" ca="1" si="21"/>
        <v>0.94002406775139058</v>
      </c>
      <c r="L99" s="91">
        <f t="shared" ca="1" si="22"/>
        <v>0.92375920100315156</v>
      </c>
      <c r="M99" s="91">
        <f t="shared" ca="1" si="23"/>
        <v>0.89791904946670131</v>
      </c>
    </row>
    <row r="100" spans="1:13" x14ac:dyDescent="0.25">
      <c r="A100" s="91">
        <v>80</v>
      </c>
      <c r="B100" s="91">
        <f t="shared" si="12"/>
        <v>0.93799999999999994</v>
      </c>
      <c r="C100" s="91">
        <f t="shared" si="13"/>
        <v>0.91499999999999992</v>
      </c>
      <c r="D100" s="91">
        <f t="shared" si="14"/>
        <v>0.89834679904142412</v>
      </c>
      <c r="E100" s="91">
        <f t="shared" si="15"/>
        <v>0.92399999999999993</v>
      </c>
      <c r="F100" s="91">
        <f t="shared" si="16"/>
        <v>0.90099999999999991</v>
      </c>
      <c r="G100" s="91">
        <f t="shared" si="17"/>
        <v>0.8843467990414241</v>
      </c>
      <c r="H100" s="91">
        <f t="shared" ca="1" si="18"/>
        <v>0.93909986769703457</v>
      </c>
      <c r="I100" s="91">
        <f t="shared" ca="1" si="19"/>
        <v>0.92283500094879556</v>
      </c>
      <c r="J100" s="91">
        <f t="shared" ca="1" si="20"/>
        <v>0.89699484941234531</v>
      </c>
      <c r="K100" s="91">
        <f t="shared" ca="1" si="21"/>
        <v>0.94002406775139058</v>
      </c>
      <c r="L100" s="91">
        <f t="shared" ca="1" si="22"/>
        <v>0.92375920100315156</v>
      </c>
      <c r="M100" s="91">
        <f t="shared" ca="1" si="23"/>
        <v>0.89791904946670131</v>
      </c>
    </row>
    <row r="101" spans="1:13" x14ac:dyDescent="0.25">
      <c r="A101" s="91">
        <v>81</v>
      </c>
      <c r="B101" s="91">
        <f t="shared" si="12"/>
        <v>0.93799999999999994</v>
      </c>
      <c r="C101" s="91">
        <f t="shared" si="13"/>
        <v>0.91499999999999992</v>
      </c>
      <c r="D101" s="91">
        <f t="shared" si="14"/>
        <v>0.89834679904142412</v>
      </c>
      <c r="E101" s="91">
        <f t="shared" si="15"/>
        <v>0.92399999999999993</v>
      </c>
      <c r="F101" s="91">
        <f t="shared" si="16"/>
        <v>0.90099999999999991</v>
      </c>
      <c r="G101" s="91">
        <f t="shared" si="17"/>
        <v>0.8843467990414241</v>
      </c>
      <c r="H101" s="91">
        <f t="shared" ca="1" si="18"/>
        <v>0.93909986769703457</v>
      </c>
      <c r="I101" s="91">
        <f t="shared" ca="1" si="19"/>
        <v>0.92283500094879556</v>
      </c>
      <c r="J101" s="91">
        <f t="shared" ca="1" si="20"/>
        <v>0.89699484941234531</v>
      </c>
      <c r="K101" s="91">
        <f t="shared" ca="1" si="21"/>
        <v>0.94002406775139058</v>
      </c>
      <c r="L101" s="91">
        <f t="shared" ca="1" si="22"/>
        <v>0.92375920100315156</v>
      </c>
      <c r="M101" s="91">
        <f t="shared" ca="1" si="23"/>
        <v>0.89791904946670131</v>
      </c>
    </row>
    <row r="102" spans="1:13" x14ac:dyDescent="0.25">
      <c r="A102" s="91">
        <v>82</v>
      </c>
      <c r="B102" s="91">
        <f t="shared" si="12"/>
        <v>0.93799999999999994</v>
      </c>
      <c r="C102" s="91">
        <f t="shared" si="13"/>
        <v>0.91499999999999992</v>
      </c>
      <c r="D102" s="91">
        <f t="shared" si="14"/>
        <v>0.89834679904142412</v>
      </c>
      <c r="E102" s="91">
        <f t="shared" si="15"/>
        <v>0.92399999999999993</v>
      </c>
      <c r="F102" s="91">
        <f t="shared" si="16"/>
        <v>0.90099999999999991</v>
      </c>
      <c r="G102" s="91">
        <f t="shared" si="17"/>
        <v>0.8843467990414241</v>
      </c>
      <c r="H102" s="91">
        <f t="shared" ca="1" si="18"/>
        <v>0.93909986769703457</v>
      </c>
      <c r="I102" s="91">
        <f t="shared" ca="1" si="19"/>
        <v>0.92283500094879556</v>
      </c>
      <c r="J102" s="91">
        <f t="shared" ca="1" si="20"/>
        <v>0.89699484941234531</v>
      </c>
      <c r="K102" s="91">
        <f t="shared" ca="1" si="21"/>
        <v>0.94002406775139058</v>
      </c>
      <c r="L102" s="91">
        <f t="shared" ca="1" si="22"/>
        <v>0.92375920100315156</v>
      </c>
      <c r="M102" s="91">
        <f t="shared" ca="1" si="23"/>
        <v>0.89791904946670131</v>
      </c>
    </row>
    <row r="103" spans="1:13" x14ac:dyDescent="0.25">
      <c r="A103" s="91">
        <v>83</v>
      </c>
      <c r="B103" s="91">
        <f t="shared" si="12"/>
        <v>0.93799999999999994</v>
      </c>
      <c r="C103" s="91">
        <f t="shared" si="13"/>
        <v>0.91499999999999992</v>
      </c>
      <c r="D103" s="91">
        <f t="shared" si="14"/>
        <v>0.89834679904142412</v>
      </c>
      <c r="E103" s="91">
        <f t="shared" si="15"/>
        <v>0.92399999999999993</v>
      </c>
      <c r="F103" s="91">
        <f t="shared" si="16"/>
        <v>0.90099999999999991</v>
      </c>
      <c r="G103" s="91">
        <f t="shared" si="17"/>
        <v>0.8843467990414241</v>
      </c>
      <c r="H103" s="91">
        <f t="shared" ca="1" si="18"/>
        <v>0.93909986769703457</v>
      </c>
      <c r="I103" s="91">
        <f t="shared" ca="1" si="19"/>
        <v>0.92283500094879556</v>
      </c>
      <c r="J103" s="91">
        <f t="shared" ca="1" si="20"/>
        <v>0.89699484941234531</v>
      </c>
      <c r="K103" s="91">
        <f t="shared" ca="1" si="21"/>
        <v>0.94002406775139058</v>
      </c>
      <c r="L103" s="91">
        <f t="shared" ca="1" si="22"/>
        <v>0.92375920100315156</v>
      </c>
      <c r="M103" s="91">
        <f t="shared" ca="1" si="23"/>
        <v>0.89791904946670131</v>
      </c>
    </row>
    <row r="104" spans="1:13" x14ac:dyDescent="0.25">
      <c r="A104" s="91">
        <v>84</v>
      </c>
      <c r="B104" s="91">
        <f t="shared" si="12"/>
        <v>0.93799999999999994</v>
      </c>
      <c r="C104" s="91">
        <f t="shared" si="13"/>
        <v>0.91499999999999992</v>
      </c>
      <c r="D104" s="91">
        <f t="shared" si="14"/>
        <v>0.89834679904142412</v>
      </c>
      <c r="E104" s="91">
        <f t="shared" si="15"/>
        <v>0.92399999999999993</v>
      </c>
      <c r="F104" s="91">
        <f t="shared" si="16"/>
        <v>0.90099999999999991</v>
      </c>
      <c r="G104" s="91">
        <f t="shared" si="17"/>
        <v>0.8843467990414241</v>
      </c>
      <c r="H104" s="91">
        <f t="shared" ca="1" si="18"/>
        <v>0.93909986769703457</v>
      </c>
      <c r="I104" s="91">
        <f t="shared" ca="1" si="19"/>
        <v>0.92283500094879556</v>
      </c>
      <c r="J104" s="91">
        <f t="shared" ca="1" si="20"/>
        <v>0.89699484941234531</v>
      </c>
      <c r="K104" s="91">
        <f t="shared" ca="1" si="21"/>
        <v>0.94002406775139058</v>
      </c>
      <c r="L104" s="91">
        <f t="shared" ca="1" si="22"/>
        <v>0.92375920100315156</v>
      </c>
      <c r="M104" s="91">
        <f t="shared" ca="1" si="23"/>
        <v>0.89791904946670131</v>
      </c>
    </row>
    <row r="105" spans="1:13" x14ac:dyDescent="0.25">
      <c r="A105" s="91">
        <v>85</v>
      </c>
      <c r="B105" s="91">
        <f t="shared" si="12"/>
        <v>0.93799999999999994</v>
      </c>
      <c r="C105" s="91">
        <f t="shared" si="13"/>
        <v>0.91499999999999992</v>
      </c>
      <c r="D105" s="91">
        <f t="shared" si="14"/>
        <v>0.89834679904142412</v>
      </c>
      <c r="E105" s="91">
        <f t="shared" si="15"/>
        <v>0.92399999999999993</v>
      </c>
      <c r="F105" s="91">
        <f t="shared" si="16"/>
        <v>0.90099999999999991</v>
      </c>
      <c r="G105" s="91">
        <f t="shared" si="17"/>
        <v>0.8843467990414241</v>
      </c>
      <c r="H105" s="91">
        <f t="shared" ca="1" si="18"/>
        <v>0.93909986769703457</v>
      </c>
      <c r="I105" s="91">
        <f t="shared" ca="1" si="19"/>
        <v>0.92283500094879556</v>
      </c>
      <c r="J105" s="91">
        <f t="shared" ca="1" si="20"/>
        <v>0.89699484941234531</v>
      </c>
      <c r="K105" s="91">
        <f t="shared" ca="1" si="21"/>
        <v>0.94002406775139058</v>
      </c>
      <c r="L105" s="91">
        <f t="shared" ca="1" si="22"/>
        <v>0.92375920100315156</v>
      </c>
      <c r="M105" s="91">
        <f t="shared" ca="1" si="23"/>
        <v>0.89791904946670131</v>
      </c>
    </row>
    <row r="106" spans="1:13" x14ac:dyDescent="0.25">
      <c r="A106" s="91">
        <v>86</v>
      </c>
      <c r="B106" s="91">
        <f t="shared" si="12"/>
        <v>0.93799999999999994</v>
      </c>
      <c r="C106" s="91">
        <f t="shared" si="13"/>
        <v>0.91499999999999992</v>
      </c>
      <c r="D106" s="91">
        <f t="shared" si="14"/>
        <v>0.89834679904142412</v>
      </c>
      <c r="E106" s="91">
        <f t="shared" si="15"/>
        <v>0.92399999999999993</v>
      </c>
      <c r="F106" s="91">
        <f t="shared" si="16"/>
        <v>0.90099999999999991</v>
      </c>
      <c r="G106" s="91">
        <f t="shared" si="17"/>
        <v>0.8843467990414241</v>
      </c>
      <c r="H106" s="91">
        <f t="shared" ca="1" si="18"/>
        <v>0.93909986769703457</v>
      </c>
      <c r="I106" s="91">
        <f t="shared" ca="1" si="19"/>
        <v>0.92283500094879556</v>
      </c>
      <c r="J106" s="91">
        <f t="shared" ca="1" si="20"/>
        <v>0.89699484941234531</v>
      </c>
      <c r="K106" s="91">
        <f t="shared" ca="1" si="21"/>
        <v>0.94002406775139058</v>
      </c>
      <c r="L106" s="91">
        <f t="shared" ca="1" si="22"/>
        <v>0.92375920100315156</v>
      </c>
      <c r="M106" s="91">
        <f t="shared" ca="1" si="23"/>
        <v>0.89791904946670131</v>
      </c>
    </row>
    <row r="107" spans="1:13" x14ac:dyDescent="0.25">
      <c r="A107" s="91">
        <v>87</v>
      </c>
      <c r="B107" s="91">
        <f t="shared" si="12"/>
        <v>0.93799999999999994</v>
      </c>
      <c r="C107" s="91">
        <f t="shared" si="13"/>
        <v>0.91499999999999992</v>
      </c>
      <c r="D107" s="91">
        <f t="shared" si="14"/>
        <v>0.89834679904142412</v>
      </c>
      <c r="E107" s="91">
        <f t="shared" si="15"/>
        <v>0.92399999999999993</v>
      </c>
      <c r="F107" s="91">
        <f t="shared" si="16"/>
        <v>0.90099999999999991</v>
      </c>
      <c r="G107" s="91">
        <f t="shared" si="17"/>
        <v>0.8843467990414241</v>
      </c>
      <c r="H107" s="91">
        <f t="shared" ca="1" si="18"/>
        <v>0.93909986769703457</v>
      </c>
      <c r="I107" s="91">
        <f t="shared" ca="1" si="19"/>
        <v>0.92283500094879556</v>
      </c>
      <c r="J107" s="91">
        <f t="shared" ca="1" si="20"/>
        <v>0.89699484941234531</v>
      </c>
      <c r="K107" s="91">
        <f t="shared" ca="1" si="21"/>
        <v>0.94002406775139058</v>
      </c>
      <c r="L107" s="91">
        <f t="shared" ca="1" si="22"/>
        <v>0.92375920100315156</v>
      </c>
      <c r="M107" s="91">
        <f t="shared" ca="1" si="23"/>
        <v>0.89791904946670131</v>
      </c>
    </row>
    <row r="108" spans="1:13" x14ac:dyDescent="0.25">
      <c r="A108" s="91">
        <v>88</v>
      </c>
      <c r="B108" s="91">
        <f t="shared" si="12"/>
        <v>0.93799999999999994</v>
      </c>
      <c r="C108" s="91">
        <f t="shared" si="13"/>
        <v>0.91499999999999992</v>
      </c>
      <c r="D108" s="91">
        <f t="shared" si="14"/>
        <v>0.89834679904142412</v>
      </c>
      <c r="E108" s="91">
        <f t="shared" si="15"/>
        <v>0.92399999999999993</v>
      </c>
      <c r="F108" s="91">
        <f t="shared" si="16"/>
        <v>0.90099999999999991</v>
      </c>
      <c r="G108" s="91">
        <f t="shared" si="17"/>
        <v>0.8843467990414241</v>
      </c>
      <c r="H108" s="91">
        <f t="shared" ca="1" si="18"/>
        <v>0.93909986769703457</v>
      </c>
      <c r="I108" s="91">
        <f t="shared" ca="1" si="19"/>
        <v>0.92283500094879556</v>
      </c>
      <c r="J108" s="91">
        <f t="shared" ca="1" si="20"/>
        <v>0.89699484941234531</v>
      </c>
      <c r="K108" s="91">
        <f t="shared" ca="1" si="21"/>
        <v>0.94002406775139058</v>
      </c>
      <c r="L108" s="91">
        <f t="shared" ca="1" si="22"/>
        <v>0.92375920100315156</v>
      </c>
      <c r="M108" s="91">
        <f t="shared" ca="1" si="23"/>
        <v>0.89791904946670131</v>
      </c>
    </row>
    <row r="109" spans="1:13" x14ac:dyDescent="0.25">
      <c r="A109" s="91">
        <v>89</v>
      </c>
      <c r="B109" s="91">
        <f t="shared" si="12"/>
        <v>0.93799999999999994</v>
      </c>
      <c r="C109" s="91">
        <f t="shared" si="13"/>
        <v>0.91499999999999992</v>
      </c>
      <c r="D109" s="91">
        <f t="shared" si="14"/>
        <v>0.89834679904142412</v>
      </c>
      <c r="E109" s="91">
        <f t="shared" si="15"/>
        <v>0.92399999999999993</v>
      </c>
      <c r="F109" s="91">
        <f t="shared" si="16"/>
        <v>0.90099999999999991</v>
      </c>
      <c r="G109" s="91">
        <f t="shared" si="17"/>
        <v>0.8843467990414241</v>
      </c>
      <c r="H109" s="91">
        <f t="shared" ca="1" si="18"/>
        <v>0.93909986769703457</v>
      </c>
      <c r="I109" s="91">
        <f t="shared" ca="1" si="19"/>
        <v>0.92283500094879556</v>
      </c>
      <c r="J109" s="91">
        <f t="shared" ca="1" si="20"/>
        <v>0.89699484941234531</v>
      </c>
      <c r="K109" s="91">
        <f t="shared" ca="1" si="21"/>
        <v>0.94002406775139058</v>
      </c>
      <c r="L109" s="91">
        <f t="shared" ca="1" si="22"/>
        <v>0.92375920100315156</v>
      </c>
      <c r="M109" s="91">
        <f t="shared" ca="1" si="23"/>
        <v>0.89791904946670131</v>
      </c>
    </row>
    <row r="110" spans="1:13" x14ac:dyDescent="0.25">
      <c r="A110" s="91">
        <v>90</v>
      </c>
      <c r="B110" s="91">
        <f t="shared" si="12"/>
        <v>0.93799999999999994</v>
      </c>
      <c r="C110" s="91">
        <f t="shared" si="13"/>
        <v>0.91499999999999992</v>
      </c>
      <c r="D110" s="91">
        <f t="shared" si="14"/>
        <v>0.89834679904142412</v>
      </c>
      <c r="E110" s="91">
        <f t="shared" si="15"/>
        <v>0.92399999999999993</v>
      </c>
      <c r="F110" s="91">
        <f t="shared" si="16"/>
        <v>0.90099999999999991</v>
      </c>
      <c r="G110" s="91">
        <f t="shared" si="17"/>
        <v>0.8843467990414241</v>
      </c>
      <c r="H110" s="91">
        <f t="shared" ca="1" si="18"/>
        <v>0.93909986769703457</v>
      </c>
      <c r="I110" s="91">
        <f t="shared" ca="1" si="19"/>
        <v>0.92283500094879556</v>
      </c>
      <c r="J110" s="91">
        <f t="shared" ca="1" si="20"/>
        <v>0.89699484941234531</v>
      </c>
      <c r="K110" s="91">
        <f t="shared" ca="1" si="21"/>
        <v>0.94002406775139058</v>
      </c>
      <c r="L110" s="91">
        <f t="shared" ca="1" si="22"/>
        <v>0.92375920100315156</v>
      </c>
      <c r="M110" s="91">
        <f t="shared" ca="1" si="23"/>
        <v>0.89791904946670131</v>
      </c>
    </row>
    <row r="111" spans="1:13" x14ac:dyDescent="0.25">
      <c r="A111" s="91">
        <v>91</v>
      </c>
      <c r="B111" s="91">
        <f t="shared" si="12"/>
        <v>0.93799999999999994</v>
      </c>
      <c r="C111" s="91">
        <f t="shared" si="13"/>
        <v>0.91499999999999992</v>
      </c>
      <c r="D111" s="91">
        <f t="shared" si="14"/>
        <v>0.89834679904142412</v>
      </c>
      <c r="E111" s="91">
        <f t="shared" si="15"/>
        <v>0.92399999999999993</v>
      </c>
      <c r="F111" s="91">
        <f t="shared" si="16"/>
        <v>0.90099999999999991</v>
      </c>
      <c r="G111" s="91">
        <f t="shared" si="17"/>
        <v>0.8843467990414241</v>
      </c>
      <c r="H111" s="91">
        <f t="shared" ca="1" si="18"/>
        <v>0.93909986769703457</v>
      </c>
      <c r="I111" s="91">
        <f t="shared" ca="1" si="19"/>
        <v>0.92283500094879556</v>
      </c>
      <c r="J111" s="91">
        <f t="shared" ca="1" si="20"/>
        <v>0.89699484941234531</v>
      </c>
      <c r="K111" s="91">
        <f t="shared" ca="1" si="21"/>
        <v>0.94002406775139058</v>
      </c>
      <c r="L111" s="91">
        <f t="shared" ca="1" si="22"/>
        <v>0.92375920100315156</v>
      </c>
      <c r="M111" s="91">
        <f t="shared" ca="1" si="23"/>
        <v>0.89791904946670131</v>
      </c>
    </row>
    <row r="112" spans="1:13" x14ac:dyDescent="0.25">
      <c r="A112" s="91">
        <v>92</v>
      </c>
      <c r="B112" s="91">
        <f t="shared" si="12"/>
        <v>0.93799999999999994</v>
      </c>
      <c r="C112" s="91">
        <f t="shared" si="13"/>
        <v>0.91499999999999992</v>
      </c>
      <c r="D112" s="91">
        <f t="shared" si="14"/>
        <v>0.89834679904142412</v>
      </c>
      <c r="E112" s="91">
        <f t="shared" si="15"/>
        <v>0.92399999999999993</v>
      </c>
      <c r="F112" s="91">
        <f t="shared" si="16"/>
        <v>0.90099999999999991</v>
      </c>
      <c r="G112" s="91">
        <f t="shared" si="17"/>
        <v>0.8843467990414241</v>
      </c>
      <c r="H112" s="91">
        <f t="shared" ca="1" si="18"/>
        <v>0.93909986769703457</v>
      </c>
      <c r="I112" s="91">
        <f t="shared" ca="1" si="19"/>
        <v>0.92283500094879556</v>
      </c>
      <c r="J112" s="91">
        <f t="shared" ca="1" si="20"/>
        <v>0.89699484941234531</v>
      </c>
      <c r="K112" s="91">
        <f t="shared" ca="1" si="21"/>
        <v>0.94002406775139058</v>
      </c>
      <c r="L112" s="91">
        <f t="shared" ca="1" si="22"/>
        <v>0.92375920100315156</v>
      </c>
      <c r="M112" s="91">
        <f t="shared" ca="1" si="23"/>
        <v>0.89791904946670131</v>
      </c>
    </row>
    <row r="113" spans="1:13" x14ac:dyDescent="0.25">
      <c r="A113" s="91">
        <v>93</v>
      </c>
      <c r="B113" s="91">
        <f t="shared" si="12"/>
        <v>0.93799999999999994</v>
      </c>
      <c r="C113" s="91">
        <f t="shared" si="13"/>
        <v>0.91499999999999992</v>
      </c>
      <c r="D113" s="91">
        <f t="shared" si="14"/>
        <v>0.89834679904142412</v>
      </c>
      <c r="E113" s="91">
        <f t="shared" si="15"/>
        <v>0.92399999999999993</v>
      </c>
      <c r="F113" s="91">
        <f t="shared" si="16"/>
        <v>0.90099999999999991</v>
      </c>
      <c r="G113" s="91">
        <f t="shared" si="17"/>
        <v>0.8843467990414241</v>
      </c>
      <c r="H113" s="91">
        <f t="shared" ca="1" si="18"/>
        <v>0.93909986769703457</v>
      </c>
      <c r="I113" s="91">
        <f t="shared" ca="1" si="19"/>
        <v>0.92283500094879556</v>
      </c>
      <c r="J113" s="91">
        <f t="shared" ca="1" si="20"/>
        <v>0.89699484941234531</v>
      </c>
      <c r="K113" s="91">
        <f t="shared" ca="1" si="21"/>
        <v>0.94002406775139058</v>
      </c>
      <c r="L113" s="91">
        <f t="shared" ca="1" si="22"/>
        <v>0.92375920100315156</v>
      </c>
      <c r="M113" s="91">
        <f t="shared" ca="1" si="23"/>
        <v>0.89791904946670131</v>
      </c>
    </row>
    <row r="114" spans="1:13" x14ac:dyDescent="0.25">
      <c r="A114" s="91">
        <v>94</v>
      </c>
      <c r="B114" s="91">
        <f t="shared" si="12"/>
        <v>0.93799999999999994</v>
      </c>
      <c r="C114" s="91">
        <f t="shared" si="13"/>
        <v>0.91499999999999992</v>
      </c>
      <c r="D114" s="91">
        <f t="shared" si="14"/>
        <v>0.89834679904142412</v>
      </c>
      <c r="E114" s="91">
        <f t="shared" si="15"/>
        <v>0.92399999999999993</v>
      </c>
      <c r="F114" s="91">
        <f t="shared" si="16"/>
        <v>0.90099999999999991</v>
      </c>
      <c r="G114" s="91">
        <f t="shared" si="17"/>
        <v>0.8843467990414241</v>
      </c>
      <c r="H114" s="91">
        <f t="shared" ca="1" si="18"/>
        <v>0.93909986769703457</v>
      </c>
      <c r="I114" s="91">
        <f t="shared" ca="1" si="19"/>
        <v>0.92283500094879556</v>
      </c>
      <c r="J114" s="91">
        <f t="shared" ca="1" si="20"/>
        <v>0.89699484941234531</v>
      </c>
      <c r="K114" s="91">
        <f t="shared" ca="1" si="21"/>
        <v>0.94002406775139058</v>
      </c>
      <c r="L114" s="91">
        <f t="shared" ca="1" si="22"/>
        <v>0.92375920100315156</v>
      </c>
      <c r="M114" s="91">
        <f t="shared" ca="1" si="23"/>
        <v>0.89791904946670131</v>
      </c>
    </row>
    <row r="115" spans="1:13" x14ac:dyDescent="0.25">
      <c r="A115" s="91">
        <v>95</v>
      </c>
      <c r="B115" s="91">
        <f t="shared" si="12"/>
        <v>0.93799999999999994</v>
      </c>
      <c r="C115" s="91">
        <f t="shared" si="13"/>
        <v>0.91499999999999992</v>
      </c>
      <c r="D115" s="91">
        <f t="shared" si="14"/>
        <v>0.89834679904142412</v>
      </c>
      <c r="E115" s="91">
        <f t="shared" si="15"/>
        <v>0.92399999999999993</v>
      </c>
      <c r="F115" s="91">
        <f t="shared" si="16"/>
        <v>0.90099999999999991</v>
      </c>
      <c r="G115" s="91">
        <f t="shared" si="17"/>
        <v>0.8843467990414241</v>
      </c>
      <c r="H115" s="91">
        <f t="shared" ca="1" si="18"/>
        <v>0.93909986769703457</v>
      </c>
      <c r="I115" s="91">
        <f t="shared" ca="1" si="19"/>
        <v>0.92283500094879556</v>
      </c>
      <c r="J115" s="91">
        <f t="shared" ca="1" si="20"/>
        <v>0.89699484941234531</v>
      </c>
      <c r="K115" s="91">
        <f t="shared" ca="1" si="21"/>
        <v>0.94002406775139058</v>
      </c>
      <c r="L115" s="91">
        <f t="shared" ca="1" si="22"/>
        <v>0.92375920100315156</v>
      </c>
      <c r="M115" s="91">
        <f t="shared" ca="1" si="23"/>
        <v>0.89791904946670131</v>
      </c>
    </row>
    <row r="116" spans="1:13" x14ac:dyDescent="0.25">
      <c r="A116" s="91">
        <v>96</v>
      </c>
      <c r="B116" s="91">
        <f t="shared" si="12"/>
        <v>0.93799999999999994</v>
      </c>
      <c r="C116" s="91">
        <f t="shared" si="13"/>
        <v>0.91499999999999992</v>
      </c>
      <c r="D116" s="91">
        <f t="shared" si="14"/>
        <v>0.89834679904142412</v>
      </c>
      <c r="E116" s="91">
        <f t="shared" si="15"/>
        <v>0.92399999999999993</v>
      </c>
      <c r="F116" s="91">
        <f t="shared" si="16"/>
        <v>0.90099999999999991</v>
      </c>
      <c r="G116" s="91">
        <f t="shared" si="17"/>
        <v>0.8843467990414241</v>
      </c>
      <c r="H116" s="91">
        <f t="shared" ca="1" si="18"/>
        <v>0.93909986769703457</v>
      </c>
      <c r="I116" s="91">
        <f t="shared" ca="1" si="19"/>
        <v>0.92283500094879556</v>
      </c>
      <c r="J116" s="91">
        <f t="shared" ca="1" si="20"/>
        <v>0.89699484941234531</v>
      </c>
      <c r="K116" s="91">
        <f t="shared" ca="1" si="21"/>
        <v>0.94002406775139058</v>
      </c>
      <c r="L116" s="91">
        <f t="shared" ca="1" si="22"/>
        <v>0.92375920100315156</v>
      </c>
      <c r="M116" s="91">
        <f t="shared" ca="1" si="23"/>
        <v>0.89791904946670131</v>
      </c>
    </row>
    <row r="117" spans="1:13" x14ac:dyDescent="0.25">
      <c r="A117" s="91">
        <v>97</v>
      </c>
      <c r="B117" s="91">
        <f t="shared" si="12"/>
        <v>0.93799999999999994</v>
      </c>
      <c r="C117" s="91">
        <f t="shared" si="13"/>
        <v>0.91499999999999992</v>
      </c>
      <c r="D117" s="91">
        <f t="shared" si="14"/>
        <v>0.89834679904142412</v>
      </c>
      <c r="E117" s="91">
        <f t="shared" si="15"/>
        <v>0.92399999999999993</v>
      </c>
      <c r="F117" s="91">
        <f t="shared" si="16"/>
        <v>0.90099999999999991</v>
      </c>
      <c r="G117" s="91">
        <f t="shared" si="17"/>
        <v>0.8843467990414241</v>
      </c>
      <c r="H117" s="91">
        <f t="shared" ca="1" si="18"/>
        <v>0.93909986769703457</v>
      </c>
      <c r="I117" s="91">
        <f t="shared" ca="1" si="19"/>
        <v>0.92283500094879556</v>
      </c>
      <c r="J117" s="91">
        <f t="shared" ca="1" si="20"/>
        <v>0.89699484941234531</v>
      </c>
      <c r="K117" s="91">
        <f t="shared" ca="1" si="21"/>
        <v>0.94002406775139058</v>
      </c>
      <c r="L117" s="91">
        <f t="shared" ca="1" si="22"/>
        <v>0.92375920100315156</v>
      </c>
      <c r="M117" s="91">
        <f t="shared" ca="1" si="23"/>
        <v>0.89791904946670131</v>
      </c>
    </row>
    <row r="118" spans="1:13" x14ac:dyDescent="0.25">
      <c r="A118" s="91">
        <v>98</v>
      </c>
      <c r="B118" s="91">
        <f t="shared" si="12"/>
        <v>0.93799999999999994</v>
      </c>
      <c r="C118" s="91">
        <f t="shared" si="13"/>
        <v>0.91499999999999992</v>
      </c>
      <c r="D118" s="91">
        <f t="shared" si="14"/>
        <v>0.89834679904142412</v>
      </c>
      <c r="E118" s="91">
        <f t="shared" si="15"/>
        <v>0.92399999999999993</v>
      </c>
      <c r="F118" s="91">
        <f t="shared" si="16"/>
        <v>0.90099999999999991</v>
      </c>
      <c r="G118" s="91">
        <f t="shared" si="17"/>
        <v>0.8843467990414241</v>
      </c>
      <c r="H118" s="91">
        <f t="shared" ca="1" si="18"/>
        <v>0.93909986769703457</v>
      </c>
      <c r="I118" s="91">
        <f t="shared" ca="1" si="19"/>
        <v>0.92283500094879556</v>
      </c>
      <c r="J118" s="91">
        <f t="shared" ca="1" si="20"/>
        <v>0.89699484941234531</v>
      </c>
      <c r="K118" s="91">
        <f t="shared" ca="1" si="21"/>
        <v>0.94002406775139058</v>
      </c>
      <c r="L118" s="91">
        <f t="shared" ca="1" si="22"/>
        <v>0.92375920100315156</v>
      </c>
      <c r="M118" s="91">
        <f t="shared" ca="1" si="23"/>
        <v>0.89791904946670131</v>
      </c>
    </row>
    <row r="119" spans="1:13" x14ac:dyDescent="0.25">
      <c r="A119" s="91">
        <v>99</v>
      </c>
      <c r="B119" s="91">
        <f t="shared" si="12"/>
        <v>0.93799999999999994</v>
      </c>
      <c r="C119" s="91">
        <f t="shared" si="13"/>
        <v>0.91499999999999992</v>
      </c>
      <c r="D119" s="91">
        <f t="shared" si="14"/>
        <v>0.89834679904142412</v>
      </c>
      <c r="E119" s="91">
        <f t="shared" si="15"/>
        <v>0.92399999999999993</v>
      </c>
      <c r="F119" s="91">
        <f t="shared" si="16"/>
        <v>0.90099999999999991</v>
      </c>
      <c r="G119" s="91">
        <f t="shared" si="17"/>
        <v>0.8843467990414241</v>
      </c>
      <c r="H119" s="91">
        <f t="shared" ca="1" si="18"/>
        <v>0.93909986769703457</v>
      </c>
      <c r="I119" s="91">
        <f t="shared" ca="1" si="19"/>
        <v>0.92283500094879556</v>
      </c>
      <c r="J119" s="91">
        <f t="shared" ca="1" si="20"/>
        <v>0.89699484941234531</v>
      </c>
      <c r="K119" s="91">
        <f t="shared" ca="1" si="21"/>
        <v>0.94002406775139058</v>
      </c>
      <c r="L119" s="91">
        <f t="shared" ca="1" si="22"/>
        <v>0.92375920100315156</v>
      </c>
      <c r="M119" s="91">
        <f t="shared" ca="1" si="23"/>
        <v>0.89791904946670131</v>
      </c>
    </row>
    <row r="120" spans="1:13" x14ac:dyDescent="0.25">
      <c r="A120" s="91">
        <v>100</v>
      </c>
      <c r="B120" s="91">
        <f t="shared" si="12"/>
        <v>0.93799999999999994</v>
      </c>
      <c r="C120" s="91">
        <f t="shared" si="13"/>
        <v>0.91499999999999992</v>
      </c>
      <c r="D120" s="91">
        <f t="shared" si="14"/>
        <v>0.89834679904142412</v>
      </c>
      <c r="E120" s="91">
        <f t="shared" si="15"/>
        <v>0.92399999999999993</v>
      </c>
      <c r="F120" s="91">
        <f t="shared" si="16"/>
        <v>0.90099999999999991</v>
      </c>
      <c r="G120" s="91">
        <f t="shared" si="17"/>
        <v>0.8843467990414241</v>
      </c>
      <c r="H120" s="91">
        <f t="shared" ca="1" si="18"/>
        <v>0.93909986769703457</v>
      </c>
      <c r="I120" s="91">
        <f t="shared" ca="1" si="19"/>
        <v>0.92283500094879556</v>
      </c>
      <c r="J120" s="91">
        <f t="shared" ca="1" si="20"/>
        <v>0.89699484941234531</v>
      </c>
      <c r="K120" s="91">
        <f t="shared" ca="1" si="21"/>
        <v>0.94002406775139058</v>
      </c>
      <c r="L120" s="91">
        <f t="shared" ca="1" si="22"/>
        <v>0.92375920100315156</v>
      </c>
      <c r="M120" s="91">
        <f t="shared" ca="1" si="23"/>
        <v>0.89791904946670131</v>
      </c>
    </row>
  </sheetData>
  <sheetProtection algorithmName="SHA-512" hashValue="je0BWDDC5g5BBxOydMrQTJhYEYU6m5pGFtX/VJoK0qQfbREEb83JOzDfQy/VnYHWJ06gUB/oKtpQccYDcdBrgQ==" saltValue="fnaG60rte1yt9dHqktZbHg==" spinCount="100000" sheet="1" objects="1" scenarios="1" selectLockedCells="1"/>
  <mergeCells count="7">
    <mergeCell ref="F1:H1"/>
    <mergeCell ref="B19:D19"/>
    <mergeCell ref="E19:G19"/>
    <mergeCell ref="B18:G18"/>
    <mergeCell ref="H18:M18"/>
    <mergeCell ref="H19:J19"/>
    <mergeCell ref="K19:M1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S275"/>
  <sheetViews>
    <sheetView workbookViewId="0">
      <selection activeCell="A27" sqref="A27"/>
    </sheetView>
  </sheetViews>
  <sheetFormatPr defaultRowHeight="15" x14ac:dyDescent="0.25"/>
  <cols>
    <col min="1" max="1" width="37" style="96" bestFit="1" customWidth="1"/>
    <col min="2" max="2" width="23.140625" style="96" bestFit="1" customWidth="1"/>
    <col min="3" max="3" width="24" style="96" bestFit="1" customWidth="1"/>
    <col min="4" max="4" width="25" style="96" bestFit="1" customWidth="1"/>
    <col min="5" max="5" width="25.28515625" style="96" bestFit="1" customWidth="1"/>
    <col min="6" max="6" width="24" style="96" bestFit="1" customWidth="1"/>
    <col min="7" max="7" width="25" style="96" bestFit="1" customWidth="1"/>
    <col min="8" max="8" width="25.28515625" style="96" bestFit="1" customWidth="1"/>
    <col min="9" max="9" width="14.42578125" style="96" bestFit="1" customWidth="1"/>
    <col min="10" max="10" width="9.85546875" style="96" bestFit="1" customWidth="1"/>
    <col min="11" max="13" width="9.140625" style="96"/>
    <col min="14" max="16384" width="9.140625" style="98"/>
  </cols>
  <sheetData>
    <row r="1" spans="1:19" x14ac:dyDescent="0.25">
      <c r="A1" s="96" t="s">
        <v>744</v>
      </c>
      <c r="B1" s="613" t="s">
        <v>78</v>
      </c>
      <c r="C1" s="613"/>
      <c r="D1" s="613"/>
      <c r="E1" s="613" t="s">
        <v>79</v>
      </c>
      <c r="F1" s="613"/>
      <c r="G1" s="613"/>
      <c r="H1" s="40"/>
      <c r="I1" s="40"/>
    </row>
    <row r="2" spans="1:19" x14ac:dyDescent="0.25">
      <c r="A2" s="96" t="s">
        <v>51</v>
      </c>
      <c r="B2" s="96" t="s">
        <v>50</v>
      </c>
      <c r="C2" s="96" t="s">
        <v>49</v>
      </c>
      <c r="D2" s="96" t="s">
        <v>24</v>
      </c>
      <c r="E2" s="96" t="s">
        <v>50</v>
      </c>
      <c r="F2" s="96" t="s">
        <v>49</v>
      </c>
      <c r="G2" s="96" t="s">
        <v>24</v>
      </c>
    </row>
    <row r="3" spans="1:19" x14ac:dyDescent="0.25">
      <c r="A3" s="96">
        <v>0</v>
      </c>
      <c r="B3" s="67">
        <v>1</v>
      </c>
      <c r="C3" s="67">
        <v>0</v>
      </c>
      <c r="D3" s="67">
        <v>0</v>
      </c>
      <c r="E3" s="67">
        <v>1</v>
      </c>
      <c r="F3" s="67">
        <v>0</v>
      </c>
      <c r="G3" s="67">
        <v>0</v>
      </c>
      <c r="K3" s="67"/>
      <c r="L3" s="67"/>
      <c r="M3" s="67"/>
    </row>
    <row r="4" spans="1:19" x14ac:dyDescent="0.25">
      <c r="A4" s="96">
        <v>16</v>
      </c>
      <c r="B4" s="67">
        <v>0.77</v>
      </c>
      <c r="C4" s="67">
        <v>0.04</v>
      </c>
      <c r="D4" s="67">
        <v>0.19</v>
      </c>
      <c r="E4" s="67">
        <v>0.77</v>
      </c>
      <c r="F4" s="67">
        <v>0.04</v>
      </c>
      <c r="G4" s="67">
        <v>0.19</v>
      </c>
      <c r="H4" s="65"/>
      <c r="I4" s="66"/>
      <c r="K4" s="67"/>
      <c r="L4" s="67"/>
      <c r="M4" s="67"/>
    </row>
    <row r="5" spans="1:19" x14ac:dyDescent="0.25">
      <c r="A5" s="96">
        <v>20</v>
      </c>
      <c r="B5" s="67">
        <v>0.65</v>
      </c>
      <c r="C5" s="67">
        <v>7.0000000000000007E-2</v>
      </c>
      <c r="D5" s="67">
        <v>0.28000000000000003</v>
      </c>
      <c r="E5" s="67">
        <v>0.65</v>
      </c>
      <c r="F5" s="67">
        <v>7.0000000000000007E-2</v>
      </c>
      <c r="G5" s="67">
        <v>0.28000000000000003</v>
      </c>
      <c r="H5" s="65"/>
      <c r="I5" s="66"/>
      <c r="K5" s="67"/>
      <c r="L5" s="67"/>
      <c r="M5" s="67"/>
    </row>
    <row r="6" spans="1:19" x14ac:dyDescent="0.25">
      <c r="A6" s="96">
        <v>25</v>
      </c>
      <c r="B6" s="67">
        <v>0.61</v>
      </c>
      <c r="C6" s="67">
        <v>0.18</v>
      </c>
      <c r="D6" s="67">
        <v>0.21</v>
      </c>
      <c r="E6" s="67">
        <v>0.61</v>
      </c>
      <c r="F6" s="67">
        <v>0.18</v>
      </c>
      <c r="G6" s="67">
        <v>0.21</v>
      </c>
      <c r="H6" s="65"/>
      <c r="I6" s="66"/>
      <c r="K6" s="67"/>
      <c r="L6" s="67"/>
      <c r="M6" s="67"/>
    </row>
    <row r="7" spans="1:19" x14ac:dyDescent="0.25">
      <c r="A7" s="96">
        <v>35</v>
      </c>
      <c r="B7" s="67">
        <v>0.55000000000000004</v>
      </c>
      <c r="C7" s="67">
        <v>0.22</v>
      </c>
      <c r="D7" s="67">
        <v>0.23</v>
      </c>
      <c r="E7" s="67">
        <v>0.55000000000000004</v>
      </c>
      <c r="F7" s="67">
        <v>0.22</v>
      </c>
      <c r="G7" s="67">
        <v>0.23</v>
      </c>
      <c r="H7" s="65"/>
      <c r="I7" s="66"/>
      <c r="K7" s="67"/>
      <c r="L7" s="67"/>
      <c r="M7" s="67"/>
    </row>
    <row r="8" spans="1:19" x14ac:dyDescent="0.25">
      <c r="A8" s="96">
        <v>50</v>
      </c>
      <c r="B8" s="67">
        <v>0.57999999999999996</v>
      </c>
      <c r="C8" s="67">
        <v>0.24</v>
      </c>
      <c r="D8" s="67">
        <v>0.18</v>
      </c>
      <c r="E8" s="67">
        <v>0.57999999999999996</v>
      </c>
      <c r="F8" s="67">
        <v>0.24</v>
      </c>
      <c r="G8" s="67">
        <v>0.18</v>
      </c>
      <c r="H8" s="65"/>
      <c r="I8" s="66"/>
      <c r="K8" s="67"/>
      <c r="L8" s="67"/>
      <c r="M8" s="67"/>
    </row>
    <row r="9" spans="1:19" x14ac:dyDescent="0.25">
      <c r="A9" s="96">
        <v>60</v>
      </c>
      <c r="B9" s="67">
        <v>0.57999999999999996</v>
      </c>
      <c r="C9" s="67">
        <v>0.3</v>
      </c>
      <c r="D9" s="67">
        <v>0.12</v>
      </c>
      <c r="E9" s="67">
        <v>0.57999999999999996</v>
      </c>
      <c r="F9" s="67">
        <v>0.3</v>
      </c>
      <c r="G9" s="67">
        <v>0.12</v>
      </c>
      <c r="H9" s="65"/>
      <c r="I9" s="66"/>
      <c r="K9" s="67"/>
      <c r="L9" s="67"/>
      <c r="M9" s="67"/>
    </row>
    <row r="10" spans="1:19" x14ac:dyDescent="0.25">
      <c r="A10" s="613" t="s">
        <v>917</v>
      </c>
      <c r="B10" s="613"/>
      <c r="C10" s="613"/>
      <c r="D10" s="613"/>
      <c r="F10" s="64"/>
      <c r="G10" s="64"/>
      <c r="H10" s="65"/>
      <c r="I10" s="66"/>
      <c r="K10" s="67"/>
      <c r="L10" s="67"/>
      <c r="M10" s="67"/>
    </row>
    <row r="11" spans="1:19" x14ac:dyDescent="0.25">
      <c r="F11" s="613"/>
      <c r="G11" s="613"/>
      <c r="H11" s="613"/>
      <c r="I11" s="613"/>
      <c r="J11" s="613"/>
      <c r="K11" s="613"/>
      <c r="L11" s="613"/>
      <c r="M11" s="613"/>
    </row>
    <row r="12" spans="1:19" x14ac:dyDescent="0.25">
      <c r="B12" s="96" t="s">
        <v>14</v>
      </c>
      <c r="D12" s="96" t="s">
        <v>25</v>
      </c>
      <c r="F12" s="64"/>
      <c r="N12" s="96"/>
      <c r="O12" s="96"/>
      <c r="P12" s="96"/>
      <c r="Q12" s="613"/>
      <c r="R12" s="613"/>
      <c r="S12" s="613"/>
    </row>
    <row r="13" spans="1:19" x14ac:dyDescent="0.25">
      <c r="A13" s="96" t="s">
        <v>745</v>
      </c>
      <c r="B13" s="96" t="s">
        <v>49</v>
      </c>
      <c r="C13" s="96" t="s">
        <v>24</v>
      </c>
      <c r="D13" s="96" t="s">
        <v>49</v>
      </c>
      <c r="E13" s="96" t="s">
        <v>24</v>
      </c>
      <c r="F13" s="64"/>
      <c r="G13" s="64"/>
      <c r="H13" s="65"/>
      <c r="I13" s="66"/>
    </row>
    <row r="14" spans="1:19" x14ac:dyDescent="0.25">
      <c r="A14" s="96">
        <v>0</v>
      </c>
      <c r="B14" s="96">
        <v>1</v>
      </c>
      <c r="C14" s="96">
        <v>1</v>
      </c>
      <c r="D14" s="96">
        <v>1</v>
      </c>
      <c r="E14" s="96">
        <v>1</v>
      </c>
      <c r="F14" s="64"/>
      <c r="G14" s="64"/>
      <c r="H14" s="65"/>
      <c r="I14" s="66"/>
    </row>
    <row r="15" spans="1:19" x14ac:dyDescent="0.25">
      <c r="A15" s="96">
        <v>35</v>
      </c>
      <c r="B15" s="96">
        <f>Parameters!$O298</f>
        <v>1.25</v>
      </c>
      <c r="C15" s="96">
        <f>Parameters!$O292</f>
        <v>1.7499999999999998</v>
      </c>
      <c r="D15" s="96">
        <f ca="1">Parameters!$P298</f>
        <v>1.0172825153271732</v>
      </c>
      <c r="E15" s="96">
        <f ca="1">Parameters!$P292</f>
        <v>1.836583245731088</v>
      </c>
      <c r="F15" s="64"/>
      <c r="G15" s="64"/>
      <c r="H15" s="65"/>
      <c r="I15" s="66"/>
    </row>
    <row r="16" spans="1:19" x14ac:dyDescent="0.25">
      <c r="A16" s="96">
        <v>45</v>
      </c>
      <c r="B16" s="96">
        <f>Parameters!$O299</f>
        <v>1.2250000000000001</v>
      </c>
      <c r="C16" s="96">
        <f>Parameters!$O293</f>
        <v>2.0249999999999999</v>
      </c>
      <c r="D16" s="96">
        <f ca="1">Parameters!$P299</f>
        <v>0.95499327398870426</v>
      </c>
      <c r="E16" s="96">
        <f ca="1">Parameters!$P293</f>
        <v>2.1687851581177324</v>
      </c>
      <c r="F16" s="64"/>
      <c r="G16" s="64"/>
      <c r="H16" s="65"/>
      <c r="I16" s="66"/>
    </row>
    <row r="17" spans="1:14" x14ac:dyDescent="0.25">
      <c r="A17" s="96">
        <v>55</v>
      </c>
      <c r="B17" s="96">
        <f>Parameters!$O300</f>
        <v>1.4105263157894736</v>
      </c>
      <c r="C17" s="96">
        <f>Parameters!$O294</f>
        <v>2.1368421052631579</v>
      </c>
      <c r="D17" s="96">
        <f ca="1">Parameters!$P300</f>
        <v>1.4186520166313972</v>
      </c>
      <c r="E17" s="96">
        <f ca="1">Parameters!$P294</f>
        <v>2.3620569998065801</v>
      </c>
      <c r="F17" s="64"/>
      <c r="G17" s="64"/>
      <c r="H17" s="65"/>
      <c r="I17" s="66"/>
    </row>
    <row r="18" spans="1:14" x14ac:dyDescent="0.25">
      <c r="A18" s="96">
        <v>65</v>
      </c>
      <c r="B18" s="96">
        <f>Parameters!$O301</f>
        <v>1.3333333333333335</v>
      </c>
      <c r="C18" s="96">
        <f>Parameters!$O295</f>
        <v>1.9831223628691983</v>
      </c>
      <c r="D18" s="96">
        <f ca="1">Parameters!$P301</f>
        <v>1.195469330881672</v>
      </c>
      <c r="E18" s="96">
        <f ca="1">Parameters!$P295</f>
        <v>2.2495700528585751</v>
      </c>
      <c r="F18" s="64"/>
      <c r="G18" s="64"/>
      <c r="H18" s="65"/>
      <c r="I18" s="66"/>
    </row>
    <row r="19" spans="1:14" x14ac:dyDescent="0.25">
      <c r="A19" s="96">
        <v>75</v>
      </c>
      <c r="B19" s="96">
        <f>Parameters!$O302</f>
        <v>1.1468842729970326</v>
      </c>
      <c r="C19" s="96">
        <f>Parameters!$O296</f>
        <v>1.5727002967359049</v>
      </c>
      <c r="D19" s="96">
        <f ca="1">Parameters!$P302</f>
        <v>1.2704579037187369</v>
      </c>
      <c r="E19" s="96">
        <f ca="1">Parameters!$P296</f>
        <v>1.407927608019572</v>
      </c>
      <c r="F19" s="64"/>
      <c r="G19" s="64"/>
      <c r="H19" s="65"/>
      <c r="I19" s="66"/>
    </row>
    <row r="20" spans="1:14" x14ac:dyDescent="0.25">
      <c r="A20" s="96">
        <v>85</v>
      </c>
      <c r="B20" s="96">
        <f>Parameters!$O303</f>
        <v>1.0658362989323844</v>
      </c>
      <c r="C20" s="96">
        <f>Parameters!$O297</f>
        <v>1.2971530249110319</v>
      </c>
      <c r="D20" s="96">
        <f ca="1">Parameters!$P303</f>
        <v>1.3011984299779871</v>
      </c>
      <c r="E20" s="96">
        <f ca="1">Parameters!$P297</f>
        <v>1.4571806570423305</v>
      </c>
      <c r="F20" s="64"/>
      <c r="G20" s="64"/>
      <c r="H20" s="65"/>
      <c r="I20" s="66"/>
    </row>
    <row r="21" spans="1:14" x14ac:dyDescent="0.25">
      <c r="F21" s="64"/>
      <c r="G21" s="64"/>
      <c r="H21" s="65"/>
      <c r="I21" s="66"/>
    </row>
    <row r="22" spans="1:14" x14ac:dyDescent="0.25">
      <c r="F22" s="64"/>
      <c r="G22" s="64"/>
      <c r="H22" s="65"/>
      <c r="I22" s="66"/>
    </row>
    <row r="23" spans="1:14" x14ac:dyDescent="0.25">
      <c r="F23" s="64"/>
      <c r="G23" s="64"/>
      <c r="H23" s="65"/>
      <c r="I23" s="66"/>
    </row>
    <row r="24" spans="1:14" x14ac:dyDescent="0.25">
      <c r="A24" s="613" t="s">
        <v>78</v>
      </c>
      <c r="B24" s="613"/>
      <c r="C24" s="613"/>
      <c r="D24" s="613"/>
      <c r="E24" s="613"/>
      <c r="F24" s="613"/>
      <c r="G24" s="613"/>
      <c r="H24" s="613"/>
      <c r="I24" s="613"/>
    </row>
    <row r="25" spans="1:14" x14ac:dyDescent="0.25">
      <c r="A25" s="96" t="s">
        <v>52</v>
      </c>
      <c r="B25" s="613" t="s">
        <v>107</v>
      </c>
      <c r="C25" s="613"/>
      <c r="D25" s="613"/>
      <c r="E25" s="613"/>
      <c r="F25" s="615" t="s">
        <v>106</v>
      </c>
      <c r="G25" s="615"/>
      <c r="H25" s="615"/>
      <c r="I25" s="615"/>
    </row>
    <row r="26" spans="1:14" x14ac:dyDescent="0.25">
      <c r="A26" s="96" t="s">
        <v>110</v>
      </c>
      <c r="B26" s="96" t="s">
        <v>731</v>
      </c>
      <c r="C26" s="96" t="s">
        <v>77</v>
      </c>
      <c r="D26" s="96" t="s">
        <v>75</v>
      </c>
      <c r="E26" s="96" t="s">
        <v>76</v>
      </c>
      <c r="F26" s="96" t="s">
        <v>731</v>
      </c>
      <c r="G26" s="96" t="s">
        <v>77</v>
      </c>
      <c r="H26" s="96" t="s">
        <v>75</v>
      </c>
      <c r="I26" s="96" t="s">
        <v>76</v>
      </c>
      <c r="K26" s="96" t="s">
        <v>19</v>
      </c>
      <c r="L26" s="38" t="s">
        <v>108</v>
      </c>
      <c r="M26" s="38" t="s">
        <v>22</v>
      </c>
      <c r="N26" s="38" t="s">
        <v>23</v>
      </c>
    </row>
    <row r="27" spans="1:14" x14ac:dyDescent="0.25">
      <c r="A27" s="96">
        <v>0</v>
      </c>
      <c r="K27" s="96">
        <f t="shared" ref="K27:K58" si="0">0.1*B27</f>
        <v>0</v>
      </c>
      <c r="L27" s="96" t="e">
        <f t="shared" ref="L27:L58" si="1">((B27*(1-B27))/(K27^2))-1</f>
        <v>#DIV/0!</v>
      </c>
      <c r="M27" s="96" t="e">
        <f t="shared" ref="M27:M58" si="2">B27*L27</f>
        <v>#DIV/0!</v>
      </c>
      <c r="N27" s="96" t="e">
        <f t="shared" ref="N27:N58" si="3">M27*((1-B27)/B27)</f>
        <v>#DIV/0!</v>
      </c>
    </row>
    <row r="28" spans="1:14" x14ac:dyDescent="0.25">
      <c r="A28" s="96">
        <v>1</v>
      </c>
      <c r="B28" s="96">
        <f>VLOOKUP(Year_of_pregnancy,'ONS mortality stats'!$A$3:$CX$88,A27+2,TRUE)/ONS_mortality_rate_per_value</f>
        <v>4.4149999999999997E-3</v>
      </c>
      <c r="C28" s="96">
        <f>B28/((VLOOKUP($A28,$A$3:$G$9,2)*1)+(VLOOKUP($A28,$A$3:$G$9,3)*VLOOKUP($A28,$A$14:$E$20,2))+(VLOOKUP($A28,$A$3:$G$9,4)*VLOOKUP($A28,$A$14:$E$20,3)))</f>
        <v>4.4149999999999997E-3</v>
      </c>
      <c r="D28" s="96">
        <f>C28*VLOOKUP($A28,$A$14:$E$20,2)</f>
        <v>4.4149999999999997E-3</v>
      </c>
      <c r="E28" s="96">
        <f>C28*VLOOKUP($A28,$A$14:$E$20,3)</f>
        <v>4.4149999999999997E-3</v>
      </c>
      <c r="F28" s="96">
        <f t="shared" ref="F28:F91" ca="1" si="4">_xlfn.BETA.INV(RAND(),M28,N28)</f>
        <v>4.4412617364524287E-3</v>
      </c>
      <c r="G28" s="96">
        <f ca="1">F28/((VLOOKUP($A28,$A$3:$G$9,2)*1)+(VLOOKUP($A28,$A$3:$G$9,3)*VLOOKUP($A28,$A$14:$E$20,4))+(VLOOKUP($A28,$A$3:$G$9,4)*VLOOKUP($A28,$A$14:$E$20,5)))</f>
        <v>4.4412617364524287E-3</v>
      </c>
      <c r="H28" s="96">
        <f ca="1">G28*VLOOKUP($A28,$A$14:$E$20,4)</f>
        <v>4.4412617364524287E-3</v>
      </c>
      <c r="I28" s="96">
        <f ca="1">G28*VLOOKUP($A28,$A$14:$E$20,5)</f>
        <v>4.4412617364524287E-3</v>
      </c>
      <c r="K28" s="96">
        <f t="shared" si="0"/>
        <v>4.415E-4</v>
      </c>
      <c r="L28" s="96">
        <f t="shared" si="1"/>
        <v>22549.056625141562</v>
      </c>
      <c r="M28" s="96">
        <f t="shared" si="2"/>
        <v>99.554084999999986</v>
      </c>
      <c r="N28" s="96">
        <f t="shared" si="3"/>
        <v>22449.502540141562</v>
      </c>
    </row>
    <row r="29" spans="1:14" x14ac:dyDescent="0.25">
      <c r="A29" s="96">
        <v>2</v>
      </c>
      <c r="B29" s="96">
        <f>VLOOKUP(Year_of_pregnancy,'ONS mortality stats'!$A$3:$CX$88,A28+2,TRUE)/ONS_mortality_rate_per_value</f>
        <v>4.0499999999999998E-4</v>
      </c>
      <c r="C29" s="96">
        <f t="shared" ref="C29:C92" si="5">B29/((VLOOKUP($A29,$A$3:$G$9,2)*1)+(VLOOKUP($A29,$A$3:$G$9,3)*VLOOKUP($A29,$A$14:$E$20,2))+(VLOOKUP($A29,$A$3:$G$9,4)*VLOOKUP($A29,$A$14:$E$20,3)))</f>
        <v>4.0499999999999998E-4</v>
      </c>
      <c r="D29" s="96">
        <f t="shared" ref="D29:D92" si="6">C29*VLOOKUP($A29,$A$14:$E$20,2)</f>
        <v>4.0499999999999998E-4</v>
      </c>
      <c r="E29" s="96">
        <f t="shared" ref="E29:E92" si="7">C29*VLOOKUP($A29,$A$14:$E$20,3)</f>
        <v>4.0499999999999998E-4</v>
      </c>
      <c r="F29" s="96">
        <f t="shared" ca="1" si="4"/>
        <v>3.714906275571674E-4</v>
      </c>
      <c r="G29" s="96">
        <f t="shared" ref="G29:G92" ca="1" si="8">F29/((VLOOKUP($A29,$A$3:$G$9,2)*1)+(VLOOKUP($A29,$A$3:$G$9,3)*VLOOKUP($A29,$A$14:$E$20,4))+(VLOOKUP($A29,$A$3:$G$9,4)*VLOOKUP($A29,$A$14:$E$20,5)))</f>
        <v>3.714906275571674E-4</v>
      </c>
      <c r="H29" s="96">
        <f t="shared" ref="H29:H92" ca="1" si="9">G29*VLOOKUP($A29,$A$14:$E$20,4)</f>
        <v>3.714906275571674E-4</v>
      </c>
      <c r="I29" s="96">
        <f t="shared" ref="I29:I92" ca="1" si="10">G29*VLOOKUP($A29,$A$14:$E$20,5)</f>
        <v>3.714906275571674E-4</v>
      </c>
      <c r="K29" s="96">
        <f t="shared" si="0"/>
        <v>4.0500000000000002E-5</v>
      </c>
      <c r="L29" s="96">
        <f t="shared" si="1"/>
        <v>246812.58024691354</v>
      </c>
      <c r="M29" s="96">
        <f t="shared" si="2"/>
        <v>99.959094999999976</v>
      </c>
      <c r="N29" s="96">
        <f t="shared" si="3"/>
        <v>246712.62115191351</v>
      </c>
    </row>
    <row r="30" spans="1:14" x14ac:dyDescent="0.25">
      <c r="A30" s="96">
        <v>3</v>
      </c>
      <c r="B30" s="96">
        <f>VLOOKUP(Year_of_pregnancy,'ONS mortality stats'!$A$3:$CX$88,A29+2,TRUE)/ONS_mortality_rate_per_value</f>
        <v>1.8600000000000002E-4</v>
      </c>
      <c r="C30" s="96">
        <f t="shared" si="5"/>
        <v>1.8600000000000002E-4</v>
      </c>
      <c r="D30" s="96">
        <f t="shared" si="6"/>
        <v>1.8600000000000002E-4</v>
      </c>
      <c r="E30" s="96">
        <f t="shared" si="7"/>
        <v>1.8600000000000002E-4</v>
      </c>
      <c r="F30" s="96">
        <f t="shared" ca="1" si="4"/>
        <v>1.8253845574944891E-4</v>
      </c>
      <c r="G30" s="96">
        <f t="shared" ca="1" si="8"/>
        <v>1.8253845574944891E-4</v>
      </c>
      <c r="H30" s="96">
        <f t="shared" ca="1" si="9"/>
        <v>1.8253845574944891E-4</v>
      </c>
      <c r="I30" s="96">
        <f t="shared" ca="1" si="10"/>
        <v>1.8253845574944891E-4</v>
      </c>
      <c r="K30" s="96">
        <f t="shared" si="0"/>
        <v>1.8600000000000005E-5</v>
      </c>
      <c r="L30" s="96">
        <f t="shared" si="1"/>
        <v>537533.40860215039</v>
      </c>
      <c r="M30" s="96">
        <f t="shared" si="2"/>
        <v>99.98121399999998</v>
      </c>
      <c r="N30" s="96">
        <f t="shared" si="3"/>
        <v>537433.42738815036</v>
      </c>
    </row>
    <row r="31" spans="1:14" x14ac:dyDescent="0.25">
      <c r="A31" s="96">
        <v>4</v>
      </c>
      <c r="B31" s="96">
        <f>VLOOKUP(Year_of_pregnancy,'ONS mortality stats'!$A$3:$CX$88,A30+2,TRUE)/ONS_mortality_rate_per_value</f>
        <v>9.8300000000000004E-5</v>
      </c>
      <c r="C31" s="96">
        <f t="shared" si="5"/>
        <v>9.8300000000000004E-5</v>
      </c>
      <c r="D31" s="96">
        <f t="shared" si="6"/>
        <v>9.8300000000000004E-5</v>
      </c>
      <c r="E31" s="96">
        <f t="shared" si="7"/>
        <v>9.8300000000000004E-5</v>
      </c>
      <c r="F31" s="96">
        <f t="shared" ca="1" si="4"/>
        <v>1.0464783288055557E-4</v>
      </c>
      <c r="G31" s="96">
        <f t="shared" ca="1" si="8"/>
        <v>1.0464783288055557E-4</v>
      </c>
      <c r="H31" s="96">
        <f t="shared" ca="1" si="9"/>
        <v>1.0464783288055557E-4</v>
      </c>
      <c r="I31" s="96">
        <f t="shared" ca="1" si="10"/>
        <v>1.0464783288055557E-4</v>
      </c>
      <c r="K31" s="96">
        <f t="shared" si="0"/>
        <v>9.8300000000000008E-6</v>
      </c>
      <c r="L31" s="96">
        <f t="shared" si="1"/>
        <v>1017192.9979654119</v>
      </c>
      <c r="M31" s="96">
        <f t="shared" si="2"/>
        <v>99.990071699999987</v>
      </c>
      <c r="N31" s="96">
        <f t="shared" si="3"/>
        <v>1017093.0078937119</v>
      </c>
    </row>
    <row r="32" spans="1:14" x14ac:dyDescent="0.25">
      <c r="A32" s="96">
        <v>5</v>
      </c>
      <c r="B32" s="96">
        <f>VLOOKUP(Year_of_pregnancy,'ONS mortality stats'!$A$3:$CX$88,A31+2,TRUE)/ONS_mortality_rate_per_value</f>
        <v>8.4900000000000004E-5</v>
      </c>
      <c r="C32" s="96">
        <f t="shared" si="5"/>
        <v>8.4900000000000004E-5</v>
      </c>
      <c r="D32" s="96">
        <f t="shared" si="6"/>
        <v>8.4900000000000004E-5</v>
      </c>
      <c r="E32" s="96">
        <f t="shared" si="7"/>
        <v>8.4900000000000004E-5</v>
      </c>
      <c r="F32" s="96">
        <f t="shared" ca="1" si="4"/>
        <v>8.1625041206903346E-5</v>
      </c>
      <c r="G32" s="96">
        <f t="shared" ca="1" si="8"/>
        <v>8.1625041206903346E-5</v>
      </c>
      <c r="H32" s="96">
        <f t="shared" ca="1" si="9"/>
        <v>8.1625041206903346E-5</v>
      </c>
      <c r="I32" s="96">
        <f t="shared" ca="1" si="10"/>
        <v>8.1625041206903346E-5</v>
      </c>
      <c r="K32" s="96">
        <f t="shared" si="0"/>
        <v>8.49E-6</v>
      </c>
      <c r="L32" s="96">
        <f t="shared" si="1"/>
        <v>1177755.3015312131</v>
      </c>
      <c r="M32" s="96">
        <f t="shared" si="2"/>
        <v>99.991425100000001</v>
      </c>
      <c r="N32" s="96">
        <f t="shared" si="3"/>
        <v>1177655.3101061131</v>
      </c>
    </row>
    <row r="33" spans="1:14" x14ac:dyDescent="0.25">
      <c r="A33" s="96">
        <v>6</v>
      </c>
      <c r="B33" s="96">
        <f>VLOOKUP(Year_of_pregnancy,'ONS mortality stats'!$A$3:$CX$88,A32+2,TRUE)/ONS_mortality_rate_per_value</f>
        <v>7.8100000000000001E-5</v>
      </c>
      <c r="C33" s="96">
        <f t="shared" si="5"/>
        <v>7.8100000000000001E-5</v>
      </c>
      <c r="D33" s="96">
        <f t="shared" si="6"/>
        <v>7.8100000000000001E-5</v>
      </c>
      <c r="E33" s="96">
        <f t="shared" si="7"/>
        <v>7.8100000000000001E-5</v>
      </c>
      <c r="F33" s="96">
        <f t="shared" ca="1" si="4"/>
        <v>7.8547875791756816E-5</v>
      </c>
      <c r="G33" s="96">
        <f t="shared" ca="1" si="8"/>
        <v>7.8547875791756816E-5</v>
      </c>
      <c r="H33" s="96">
        <f t="shared" ca="1" si="9"/>
        <v>7.8547875791756816E-5</v>
      </c>
      <c r="I33" s="96">
        <f t="shared" ca="1" si="10"/>
        <v>7.8547875791756816E-5</v>
      </c>
      <c r="K33" s="96">
        <f t="shared" si="0"/>
        <v>7.8099999999999998E-6</v>
      </c>
      <c r="L33" s="96">
        <f t="shared" si="1"/>
        <v>1280308.7311139565</v>
      </c>
      <c r="M33" s="96">
        <f t="shared" si="2"/>
        <v>99.992111900000012</v>
      </c>
      <c r="N33" s="96">
        <f t="shared" si="3"/>
        <v>1280208.7390020567</v>
      </c>
    </row>
    <row r="34" spans="1:14" x14ac:dyDescent="0.25">
      <c r="A34" s="96">
        <v>7</v>
      </c>
      <c r="B34" s="96">
        <f>VLOOKUP(Year_of_pregnancy,'ONS mortality stats'!$A$3:$CX$88,A33+2,TRUE)/ONS_mortality_rate_per_value</f>
        <v>7.2600000000000003E-5</v>
      </c>
      <c r="C34" s="96">
        <f t="shared" si="5"/>
        <v>7.2600000000000003E-5</v>
      </c>
      <c r="D34" s="96">
        <f t="shared" si="6"/>
        <v>7.2600000000000003E-5</v>
      </c>
      <c r="E34" s="96">
        <f t="shared" si="7"/>
        <v>7.2600000000000003E-5</v>
      </c>
      <c r="F34" s="96">
        <f t="shared" ca="1" si="4"/>
        <v>6.3539424233182413E-5</v>
      </c>
      <c r="G34" s="96">
        <f t="shared" ca="1" si="8"/>
        <v>6.3539424233182413E-5</v>
      </c>
      <c r="H34" s="96">
        <f t="shared" ca="1" si="9"/>
        <v>6.3539424233182413E-5</v>
      </c>
      <c r="I34" s="96">
        <f t="shared" ca="1" si="10"/>
        <v>6.3539424233182413E-5</v>
      </c>
      <c r="K34" s="96">
        <f t="shared" si="0"/>
        <v>7.2600000000000008E-6</v>
      </c>
      <c r="L34" s="96">
        <f t="shared" si="1"/>
        <v>1377309.468319559</v>
      </c>
      <c r="M34" s="96">
        <f t="shared" si="2"/>
        <v>99.992667399999988</v>
      </c>
      <c r="N34" s="96">
        <f t="shared" si="3"/>
        <v>1377209.475652159</v>
      </c>
    </row>
    <row r="35" spans="1:14" x14ac:dyDescent="0.25">
      <c r="A35" s="96">
        <v>8</v>
      </c>
      <c r="B35" s="96">
        <f>VLOOKUP(Year_of_pregnancy,'ONS mortality stats'!$A$3:$CX$88,A34+2,TRUE)/ONS_mortality_rate_per_value</f>
        <v>6.6600000000000006E-5</v>
      </c>
      <c r="C35" s="96">
        <f t="shared" si="5"/>
        <v>6.6600000000000006E-5</v>
      </c>
      <c r="D35" s="96">
        <f t="shared" si="6"/>
        <v>6.6600000000000006E-5</v>
      </c>
      <c r="E35" s="96">
        <f t="shared" si="7"/>
        <v>6.6600000000000006E-5</v>
      </c>
      <c r="F35" s="96">
        <f t="shared" ca="1" si="4"/>
        <v>5.5112547135348079E-5</v>
      </c>
      <c r="G35" s="96">
        <f t="shared" ca="1" si="8"/>
        <v>5.5112547135348079E-5</v>
      </c>
      <c r="H35" s="96">
        <f t="shared" ca="1" si="9"/>
        <v>5.5112547135348079E-5</v>
      </c>
      <c r="I35" s="96">
        <f t="shared" ca="1" si="10"/>
        <v>5.5112547135348079E-5</v>
      </c>
      <c r="K35" s="96">
        <f t="shared" si="0"/>
        <v>6.6600000000000006E-6</v>
      </c>
      <c r="L35" s="96">
        <f t="shared" si="1"/>
        <v>1501400.5015015015</v>
      </c>
      <c r="M35" s="96">
        <f t="shared" si="2"/>
        <v>99.993273400000007</v>
      </c>
      <c r="N35" s="96">
        <f t="shared" si="3"/>
        <v>1501300.5082281013</v>
      </c>
    </row>
    <row r="36" spans="1:14" x14ac:dyDescent="0.25">
      <c r="A36" s="96">
        <v>9</v>
      </c>
      <c r="B36" s="96">
        <f>VLOOKUP(Year_of_pregnancy,'ONS mortality stats'!$A$3:$CX$88,A35+2,TRUE)/ONS_mortality_rate_per_value</f>
        <v>6.1699999999999995E-5</v>
      </c>
      <c r="C36" s="96">
        <f t="shared" si="5"/>
        <v>6.1699999999999995E-5</v>
      </c>
      <c r="D36" s="96">
        <f t="shared" si="6"/>
        <v>6.1699999999999995E-5</v>
      </c>
      <c r="E36" s="96">
        <f t="shared" si="7"/>
        <v>6.1699999999999995E-5</v>
      </c>
      <c r="F36" s="96">
        <f t="shared" ca="1" si="4"/>
        <v>6.8664960034992006E-5</v>
      </c>
      <c r="G36" s="96">
        <f t="shared" ca="1" si="8"/>
        <v>6.8664960034992006E-5</v>
      </c>
      <c r="H36" s="96">
        <f t="shared" ca="1" si="9"/>
        <v>6.8664960034992006E-5</v>
      </c>
      <c r="I36" s="96">
        <f t="shared" ca="1" si="10"/>
        <v>6.8664960034992006E-5</v>
      </c>
      <c r="K36" s="96">
        <f t="shared" si="0"/>
        <v>6.1700000000000002E-6</v>
      </c>
      <c r="L36" s="96">
        <f t="shared" si="1"/>
        <v>1620644.5429497566</v>
      </c>
      <c r="M36" s="96">
        <f t="shared" si="2"/>
        <v>99.993768299999971</v>
      </c>
      <c r="N36" s="96">
        <f t="shared" si="3"/>
        <v>1620544.5491814564</v>
      </c>
    </row>
    <row r="37" spans="1:14" x14ac:dyDescent="0.25">
      <c r="A37" s="96">
        <v>10</v>
      </c>
      <c r="B37" s="96">
        <f>VLOOKUP(Year_of_pregnancy,'ONS mortality stats'!$A$3:$CX$88,A36+2,TRUE)/ONS_mortality_rate_per_value</f>
        <v>5.8E-5</v>
      </c>
      <c r="C37" s="96">
        <f t="shared" si="5"/>
        <v>5.8E-5</v>
      </c>
      <c r="D37" s="96">
        <f t="shared" si="6"/>
        <v>5.8E-5</v>
      </c>
      <c r="E37" s="96">
        <f t="shared" si="7"/>
        <v>5.8E-5</v>
      </c>
      <c r="F37" s="96">
        <f t="shared" ca="1" si="4"/>
        <v>7.3147167385601009E-5</v>
      </c>
      <c r="G37" s="96">
        <f t="shared" ca="1" si="8"/>
        <v>7.3147167385601009E-5</v>
      </c>
      <c r="H37" s="96">
        <f t="shared" ca="1" si="9"/>
        <v>7.3147167385601009E-5</v>
      </c>
      <c r="I37" s="96">
        <f t="shared" ca="1" si="10"/>
        <v>7.3147167385601009E-5</v>
      </c>
      <c r="K37" s="96">
        <f t="shared" si="0"/>
        <v>5.8000000000000004E-6</v>
      </c>
      <c r="L37" s="96">
        <f t="shared" si="1"/>
        <v>1724036.9310344823</v>
      </c>
      <c r="M37" s="96">
        <f t="shared" si="2"/>
        <v>99.994141999999968</v>
      </c>
      <c r="N37" s="96">
        <f t="shared" si="3"/>
        <v>1723936.936892482</v>
      </c>
    </row>
    <row r="38" spans="1:14" x14ac:dyDescent="0.25">
      <c r="A38" s="96">
        <v>11</v>
      </c>
      <c r="B38" s="96">
        <f>VLOOKUP(Year_of_pregnancy,'ONS mortality stats'!$A$3:$CX$88,A37+2,TRUE)/ONS_mortality_rate_per_value</f>
        <v>5.5599999999999996E-5</v>
      </c>
      <c r="C38" s="96">
        <f t="shared" si="5"/>
        <v>5.5599999999999996E-5</v>
      </c>
      <c r="D38" s="96">
        <f t="shared" si="6"/>
        <v>5.5599999999999996E-5</v>
      </c>
      <c r="E38" s="96">
        <f t="shared" si="7"/>
        <v>5.5599999999999996E-5</v>
      </c>
      <c r="F38" s="96">
        <f t="shared" ca="1" si="4"/>
        <v>4.7876713393279373E-5</v>
      </c>
      <c r="G38" s="96">
        <f t="shared" ca="1" si="8"/>
        <v>4.7876713393279373E-5</v>
      </c>
      <c r="H38" s="96">
        <f t="shared" ca="1" si="9"/>
        <v>4.7876713393279373E-5</v>
      </c>
      <c r="I38" s="96">
        <f t="shared" ca="1" si="10"/>
        <v>4.7876713393279373E-5</v>
      </c>
      <c r="K38" s="96">
        <f t="shared" si="0"/>
        <v>5.5600000000000001E-6</v>
      </c>
      <c r="L38" s="96">
        <f t="shared" si="1"/>
        <v>1798460.1510791362</v>
      </c>
      <c r="M38" s="96">
        <f t="shared" si="2"/>
        <v>99.994384399999959</v>
      </c>
      <c r="N38" s="96">
        <f t="shared" si="3"/>
        <v>1798360.1566947361</v>
      </c>
    </row>
    <row r="39" spans="1:14" x14ac:dyDescent="0.25">
      <c r="A39" s="96">
        <v>12</v>
      </c>
      <c r="B39" s="96">
        <f>VLOOKUP(Year_of_pregnancy,'ONS mortality stats'!$A$3:$CX$88,A38+2,TRUE)/ONS_mortality_rate_per_value</f>
        <v>5.8499999999999999E-5</v>
      </c>
      <c r="C39" s="96">
        <f t="shared" si="5"/>
        <v>5.8499999999999999E-5</v>
      </c>
      <c r="D39" s="96">
        <f t="shared" si="6"/>
        <v>5.8499999999999999E-5</v>
      </c>
      <c r="E39" s="96">
        <f t="shared" si="7"/>
        <v>5.8499999999999999E-5</v>
      </c>
      <c r="F39" s="96">
        <f t="shared" ca="1" si="4"/>
        <v>6.6385368345578399E-5</v>
      </c>
      <c r="G39" s="96">
        <f t="shared" ca="1" si="8"/>
        <v>6.6385368345578399E-5</v>
      </c>
      <c r="H39" s="96">
        <f t="shared" ca="1" si="9"/>
        <v>6.6385368345578399E-5</v>
      </c>
      <c r="I39" s="96">
        <f t="shared" ca="1" si="10"/>
        <v>6.6385368345578399E-5</v>
      </c>
      <c r="K39" s="96">
        <f t="shared" si="0"/>
        <v>5.8499999999999999E-6</v>
      </c>
      <c r="L39" s="96">
        <f t="shared" si="1"/>
        <v>1709300.7094017093</v>
      </c>
      <c r="M39" s="96">
        <f t="shared" si="2"/>
        <v>99.994091499999996</v>
      </c>
      <c r="N39" s="96">
        <f t="shared" si="3"/>
        <v>1709200.7153102092</v>
      </c>
    </row>
    <row r="40" spans="1:14" x14ac:dyDescent="0.25">
      <c r="A40" s="96">
        <v>13</v>
      </c>
      <c r="B40" s="96">
        <f>VLOOKUP(Year_of_pregnancy,'ONS mortality stats'!$A$3:$CX$88,A39+2,TRUE)/ONS_mortality_rate_per_value</f>
        <v>6.6699999999999995E-5</v>
      </c>
      <c r="C40" s="96">
        <f t="shared" si="5"/>
        <v>6.6699999999999995E-5</v>
      </c>
      <c r="D40" s="96">
        <f t="shared" si="6"/>
        <v>6.6699999999999995E-5</v>
      </c>
      <c r="E40" s="96">
        <f t="shared" si="7"/>
        <v>6.6699999999999995E-5</v>
      </c>
      <c r="F40" s="96">
        <f t="shared" ca="1" si="4"/>
        <v>5.8249291620449926E-5</v>
      </c>
      <c r="G40" s="96">
        <f t="shared" ca="1" si="8"/>
        <v>5.8249291620449926E-5</v>
      </c>
      <c r="H40" s="96">
        <f t="shared" ca="1" si="9"/>
        <v>5.8249291620449926E-5</v>
      </c>
      <c r="I40" s="96">
        <f t="shared" ca="1" si="10"/>
        <v>5.8249291620449926E-5</v>
      </c>
      <c r="K40" s="96">
        <f t="shared" si="0"/>
        <v>6.6699999999999997E-6</v>
      </c>
      <c r="L40" s="96">
        <f t="shared" si="1"/>
        <v>1499149.3748125937</v>
      </c>
      <c r="M40" s="96">
        <f t="shared" si="2"/>
        <v>99.993263299999995</v>
      </c>
      <c r="N40" s="96">
        <f t="shared" si="3"/>
        <v>1499049.3815492939</v>
      </c>
    </row>
    <row r="41" spans="1:14" x14ac:dyDescent="0.25">
      <c r="A41" s="96">
        <v>14</v>
      </c>
      <c r="B41" s="96">
        <f>VLOOKUP(Year_of_pregnancy,'ONS mortality stats'!$A$3:$CX$88,A40+2,TRUE)/ONS_mortality_rate_per_value</f>
        <v>7.7399999999999998E-5</v>
      </c>
      <c r="C41" s="96">
        <f t="shared" si="5"/>
        <v>7.7399999999999998E-5</v>
      </c>
      <c r="D41" s="96">
        <f t="shared" si="6"/>
        <v>7.7399999999999998E-5</v>
      </c>
      <c r="E41" s="96">
        <f t="shared" si="7"/>
        <v>7.7399999999999998E-5</v>
      </c>
      <c r="F41" s="96">
        <f t="shared" ca="1" si="4"/>
        <v>8.0650767077639074E-5</v>
      </c>
      <c r="G41" s="96">
        <f t="shared" ca="1" si="8"/>
        <v>8.0650767077639074E-5</v>
      </c>
      <c r="H41" s="96">
        <f t="shared" ca="1" si="9"/>
        <v>8.0650767077639074E-5</v>
      </c>
      <c r="I41" s="96">
        <f t="shared" ca="1" si="10"/>
        <v>8.0650767077639074E-5</v>
      </c>
      <c r="K41" s="96">
        <f t="shared" si="0"/>
        <v>7.7400000000000004E-6</v>
      </c>
      <c r="L41" s="96">
        <f t="shared" si="1"/>
        <v>1291888.6640826873</v>
      </c>
      <c r="M41" s="96">
        <f t="shared" si="2"/>
        <v>99.992182599999992</v>
      </c>
      <c r="N41" s="96">
        <f t="shared" si="3"/>
        <v>1291788.6719000873</v>
      </c>
    </row>
    <row r="42" spans="1:14" x14ac:dyDescent="0.25">
      <c r="A42" s="96">
        <v>15</v>
      </c>
      <c r="B42" s="96">
        <f>VLOOKUP(Year_of_pregnancy,'ONS mortality stats'!$A$3:$CX$88,A41+2,TRUE)/ONS_mortality_rate_per_value</f>
        <v>9.2100000000000003E-5</v>
      </c>
      <c r="C42" s="96">
        <f t="shared" si="5"/>
        <v>9.2100000000000003E-5</v>
      </c>
      <c r="D42" s="96">
        <f t="shared" si="6"/>
        <v>9.2100000000000003E-5</v>
      </c>
      <c r="E42" s="96">
        <f t="shared" si="7"/>
        <v>9.2100000000000003E-5</v>
      </c>
      <c r="F42" s="96">
        <f t="shared" ca="1" si="4"/>
        <v>8.812077050634112E-5</v>
      </c>
      <c r="G42" s="96">
        <f t="shared" ca="1" si="8"/>
        <v>8.812077050634112E-5</v>
      </c>
      <c r="H42" s="96">
        <f t="shared" ca="1" si="9"/>
        <v>8.812077050634112E-5</v>
      </c>
      <c r="I42" s="96">
        <f t="shared" ca="1" si="10"/>
        <v>8.812077050634112E-5</v>
      </c>
      <c r="K42" s="96">
        <f t="shared" si="0"/>
        <v>9.2100000000000016E-6</v>
      </c>
      <c r="L42" s="96">
        <f t="shared" si="1"/>
        <v>1085675.3300760041</v>
      </c>
      <c r="M42" s="96">
        <f t="shared" si="2"/>
        <v>99.990697899999986</v>
      </c>
      <c r="N42" s="96">
        <f t="shared" si="3"/>
        <v>1085575.3393781041</v>
      </c>
    </row>
    <row r="43" spans="1:14" x14ac:dyDescent="0.25">
      <c r="A43" s="96">
        <v>16</v>
      </c>
      <c r="B43" s="96">
        <f>VLOOKUP(Year_of_pregnancy,'ONS mortality stats'!$A$3:$CX$88,A42+2,TRUE)/ONS_mortality_rate_per_value</f>
        <v>1.155E-4</v>
      </c>
      <c r="C43" s="96">
        <f t="shared" si="5"/>
        <v>1.155E-4</v>
      </c>
      <c r="D43" s="96">
        <f t="shared" si="6"/>
        <v>1.155E-4</v>
      </c>
      <c r="E43" s="96">
        <f t="shared" si="7"/>
        <v>1.155E-4</v>
      </c>
      <c r="F43" s="96">
        <f t="shared" ca="1" si="4"/>
        <v>1.1258792071098056E-4</v>
      </c>
      <c r="G43" s="96">
        <f t="shared" ca="1" si="8"/>
        <v>1.1258792071098056E-4</v>
      </c>
      <c r="H43" s="96">
        <f t="shared" ca="1" si="9"/>
        <v>1.1258792071098056E-4</v>
      </c>
      <c r="I43" s="96">
        <f t="shared" ca="1" si="10"/>
        <v>1.1258792071098056E-4</v>
      </c>
      <c r="K43" s="96">
        <f t="shared" si="0"/>
        <v>1.1550000000000001E-5</v>
      </c>
      <c r="L43" s="96">
        <f t="shared" si="1"/>
        <v>865699.86580086558</v>
      </c>
      <c r="M43" s="96">
        <f t="shared" si="2"/>
        <v>99.988334499999979</v>
      </c>
      <c r="N43" s="96">
        <f t="shared" si="3"/>
        <v>865599.87746636558</v>
      </c>
    </row>
    <row r="44" spans="1:14" x14ac:dyDescent="0.25">
      <c r="A44" s="96">
        <v>17</v>
      </c>
      <c r="B44" s="96">
        <f>VLOOKUP(Year_of_pregnancy,'ONS mortality stats'!$A$3:$CX$88,A43+2,TRUE)/ONS_mortality_rate_per_value</f>
        <v>1.4800000000000002E-4</v>
      </c>
      <c r="C44" s="96">
        <f t="shared" si="5"/>
        <v>1.4800000000000002E-4</v>
      </c>
      <c r="D44" s="96">
        <f t="shared" si="6"/>
        <v>1.4800000000000002E-4</v>
      </c>
      <c r="E44" s="96">
        <f t="shared" si="7"/>
        <v>1.4800000000000002E-4</v>
      </c>
      <c r="F44" s="96">
        <f t="shared" ca="1" si="4"/>
        <v>1.5115464911819032E-4</v>
      </c>
      <c r="G44" s="96">
        <f t="shared" ca="1" si="8"/>
        <v>1.5115464911819032E-4</v>
      </c>
      <c r="H44" s="96">
        <f t="shared" ca="1" si="9"/>
        <v>1.5115464911819032E-4</v>
      </c>
      <c r="I44" s="96">
        <f t="shared" ca="1" si="10"/>
        <v>1.5115464911819032E-4</v>
      </c>
      <c r="K44" s="96">
        <f t="shared" si="0"/>
        <v>1.4800000000000002E-5</v>
      </c>
      <c r="L44" s="96">
        <f t="shared" si="1"/>
        <v>675574.67567567551</v>
      </c>
      <c r="M44" s="96">
        <f t="shared" si="2"/>
        <v>99.985051999999982</v>
      </c>
      <c r="N44" s="96">
        <f t="shared" si="3"/>
        <v>675474.69062367547</v>
      </c>
    </row>
    <row r="45" spans="1:14" x14ac:dyDescent="0.25">
      <c r="A45" s="96">
        <v>18</v>
      </c>
      <c r="B45" s="96">
        <f>VLOOKUP(Year_of_pregnancy,'ONS mortality stats'!$A$3:$CX$88,A44+2,TRUE)/ONS_mortality_rate_per_value</f>
        <v>1.8770000000000001E-4</v>
      </c>
      <c r="C45" s="96">
        <f t="shared" si="5"/>
        <v>1.8770000000000001E-4</v>
      </c>
      <c r="D45" s="96">
        <f t="shared" si="6"/>
        <v>1.8770000000000001E-4</v>
      </c>
      <c r="E45" s="96">
        <f t="shared" si="7"/>
        <v>1.8770000000000001E-4</v>
      </c>
      <c r="F45" s="96">
        <f t="shared" ca="1" si="4"/>
        <v>1.8365740143577364E-4</v>
      </c>
      <c r="G45" s="96">
        <f t="shared" ca="1" si="8"/>
        <v>1.8365740143577364E-4</v>
      </c>
      <c r="H45" s="96">
        <f t="shared" ca="1" si="9"/>
        <v>1.8365740143577364E-4</v>
      </c>
      <c r="I45" s="96">
        <f t="shared" ca="1" si="10"/>
        <v>1.8365740143577364E-4</v>
      </c>
      <c r="K45" s="96">
        <f t="shared" si="0"/>
        <v>1.8770000000000002E-5</v>
      </c>
      <c r="L45" s="96">
        <f t="shared" si="1"/>
        <v>532664.0506126798</v>
      </c>
      <c r="M45" s="96">
        <f t="shared" si="2"/>
        <v>99.981042299999999</v>
      </c>
      <c r="N45" s="96">
        <f t="shared" si="3"/>
        <v>532564.0695703798</v>
      </c>
    </row>
    <row r="46" spans="1:14" x14ac:dyDescent="0.25">
      <c r="A46" s="96">
        <v>19</v>
      </c>
      <c r="B46" s="96">
        <f>VLOOKUP(Year_of_pregnancy,'ONS mortality stats'!$A$3:$CX$88,A45+2,TRUE)/ONS_mortality_rate_per_value</f>
        <v>2.309E-4</v>
      </c>
      <c r="C46" s="96">
        <f t="shared" si="5"/>
        <v>2.309E-4</v>
      </c>
      <c r="D46" s="96">
        <f t="shared" si="6"/>
        <v>2.309E-4</v>
      </c>
      <c r="E46" s="96">
        <f t="shared" si="7"/>
        <v>2.309E-4</v>
      </c>
      <c r="F46" s="96">
        <f t="shared" ca="1" si="4"/>
        <v>2.138005343683578E-4</v>
      </c>
      <c r="G46" s="96">
        <f t="shared" ca="1" si="8"/>
        <v>2.138005343683578E-4</v>
      </c>
      <c r="H46" s="96">
        <f t="shared" ca="1" si="9"/>
        <v>2.138005343683578E-4</v>
      </c>
      <c r="I46" s="96">
        <f t="shared" ca="1" si="10"/>
        <v>2.138005343683578E-4</v>
      </c>
      <c r="K46" s="96">
        <f t="shared" si="0"/>
        <v>2.3090000000000001E-5</v>
      </c>
      <c r="L46" s="96">
        <f t="shared" si="1"/>
        <v>432986.91684711992</v>
      </c>
      <c r="M46" s="96">
        <f t="shared" si="2"/>
        <v>99.976679099999984</v>
      </c>
      <c r="N46" s="96">
        <f t="shared" si="3"/>
        <v>432886.94016801991</v>
      </c>
    </row>
    <row r="47" spans="1:14" x14ac:dyDescent="0.25">
      <c r="A47" s="96">
        <v>20</v>
      </c>
      <c r="B47" s="96">
        <f>VLOOKUP(Year_of_pregnancy,'ONS mortality stats'!$A$3:$CX$88,A46+2,TRUE)/ONS_mortality_rate_per_value</f>
        <v>2.7339999999999998E-4</v>
      </c>
      <c r="C47" s="96">
        <f t="shared" si="5"/>
        <v>2.7339999999999998E-4</v>
      </c>
      <c r="D47" s="96">
        <f t="shared" si="6"/>
        <v>2.7339999999999998E-4</v>
      </c>
      <c r="E47" s="96">
        <f t="shared" si="7"/>
        <v>2.7339999999999998E-4</v>
      </c>
      <c r="F47" s="96">
        <f t="shared" ca="1" si="4"/>
        <v>2.2181961722981367E-4</v>
      </c>
      <c r="G47" s="96">
        <f t="shared" ca="1" si="8"/>
        <v>2.2181961722981367E-4</v>
      </c>
      <c r="H47" s="96">
        <f t="shared" ca="1" si="9"/>
        <v>2.2181961722981367E-4</v>
      </c>
      <c r="I47" s="96">
        <f t="shared" ca="1" si="10"/>
        <v>2.2181961722981367E-4</v>
      </c>
      <c r="K47" s="96">
        <f t="shared" si="0"/>
        <v>2.7339999999999999E-5</v>
      </c>
      <c r="L47" s="96">
        <f t="shared" si="1"/>
        <v>365663.44769568398</v>
      </c>
      <c r="M47" s="96">
        <f t="shared" si="2"/>
        <v>99.972386599999993</v>
      </c>
      <c r="N47" s="96">
        <f t="shared" si="3"/>
        <v>365563.47530908399</v>
      </c>
    </row>
    <row r="48" spans="1:14" x14ac:dyDescent="0.25">
      <c r="A48" s="96">
        <v>21</v>
      </c>
      <c r="B48" s="96">
        <f>VLOOKUP(Year_of_pregnancy,'ONS mortality stats'!$A$3:$CX$88,A47+2,TRUE)/ONS_mortality_rate_per_value</f>
        <v>3.035E-4</v>
      </c>
      <c r="C48" s="96">
        <f t="shared" si="5"/>
        <v>3.035E-4</v>
      </c>
      <c r="D48" s="96">
        <f t="shared" si="6"/>
        <v>3.035E-4</v>
      </c>
      <c r="E48" s="96">
        <f t="shared" si="7"/>
        <v>3.035E-4</v>
      </c>
      <c r="F48" s="96">
        <f t="shared" ca="1" si="4"/>
        <v>2.6450139577599791E-4</v>
      </c>
      <c r="G48" s="96">
        <f t="shared" ca="1" si="8"/>
        <v>2.6450139577599791E-4</v>
      </c>
      <c r="H48" s="96">
        <f t="shared" ca="1" si="9"/>
        <v>2.6450139577599791E-4</v>
      </c>
      <c r="I48" s="96">
        <f t="shared" ca="1" si="10"/>
        <v>2.6450139577599791E-4</v>
      </c>
      <c r="K48" s="96">
        <f t="shared" si="0"/>
        <v>3.0350000000000002E-5</v>
      </c>
      <c r="L48" s="96">
        <f t="shared" si="1"/>
        <v>329388.29159802297</v>
      </c>
      <c r="M48" s="96">
        <f t="shared" si="2"/>
        <v>99.969346499999972</v>
      </c>
      <c r="N48" s="96">
        <f t="shared" si="3"/>
        <v>329288.32225152297</v>
      </c>
    </row>
    <row r="49" spans="1:14" x14ac:dyDescent="0.25">
      <c r="A49" s="96">
        <v>22</v>
      </c>
      <c r="B49" s="96">
        <f>VLOOKUP(Year_of_pregnancy,'ONS mortality stats'!$A$3:$CX$88,A48+2,TRUE)/ONS_mortality_rate_per_value</f>
        <v>3.1710000000000001E-4</v>
      </c>
      <c r="C49" s="96">
        <f t="shared" si="5"/>
        <v>3.1710000000000001E-4</v>
      </c>
      <c r="D49" s="96">
        <f t="shared" si="6"/>
        <v>3.1710000000000001E-4</v>
      </c>
      <c r="E49" s="96">
        <f t="shared" si="7"/>
        <v>3.1710000000000001E-4</v>
      </c>
      <c r="F49" s="96">
        <f t="shared" ca="1" si="4"/>
        <v>2.8980759029011095E-4</v>
      </c>
      <c r="G49" s="96">
        <f t="shared" ca="1" si="8"/>
        <v>2.8980759029011095E-4</v>
      </c>
      <c r="H49" s="96">
        <f t="shared" ca="1" si="9"/>
        <v>2.8980759029011095E-4</v>
      </c>
      <c r="I49" s="96">
        <f t="shared" ca="1" si="10"/>
        <v>2.8980759029011095E-4</v>
      </c>
      <c r="K49" s="96">
        <f t="shared" si="0"/>
        <v>3.171E-5</v>
      </c>
      <c r="L49" s="96">
        <f t="shared" si="1"/>
        <v>315256.93125197105</v>
      </c>
      <c r="M49" s="96">
        <f t="shared" si="2"/>
        <v>99.967972900000021</v>
      </c>
      <c r="N49" s="96">
        <f t="shared" si="3"/>
        <v>315156.96327907103</v>
      </c>
    </row>
    <row r="50" spans="1:14" x14ac:dyDescent="0.25">
      <c r="A50" s="96">
        <v>23</v>
      </c>
      <c r="B50" s="96">
        <f>VLOOKUP(Year_of_pregnancy,'ONS mortality stats'!$A$3:$CX$88,A49+2,TRUE)/ONS_mortality_rate_per_value</f>
        <v>3.1639999999999999E-4</v>
      </c>
      <c r="C50" s="96">
        <f t="shared" si="5"/>
        <v>3.1639999999999999E-4</v>
      </c>
      <c r="D50" s="96">
        <f t="shared" si="6"/>
        <v>3.1639999999999999E-4</v>
      </c>
      <c r="E50" s="96">
        <f t="shared" si="7"/>
        <v>3.1639999999999999E-4</v>
      </c>
      <c r="F50" s="96">
        <f t="shared" ca="1" si="4"/>
        <v>2.7231469337531149E-4</v>
      </c>
      <c r="G50" s="96">
        <f t="shared" ca="1" si="8"/>
        <v>2.7231469337531149E-4</v>
      </c>
      <c r="H50" s="96">
        <f t="shared" ca="1" si="9"/>
        <v>2.7231469337531149E-4</v>
      </c>
      <c r="I50" s="96">
        <f t="shared" ca="1" si="10"/>
        <v>2.7231469337531149E-4</v>
      </c>
      <c r="K50" s="96">
        <f t="shared" si="0"/>
        <v>3.1640000000000002E-5</v>
      </c>
      <c r="L50" s="96">
        <f t="shared" si="1"/>
        <v>315954.62579013902</v>
      </c>
      <c r="M50" s="96">
        <f t="shared" si="2"/>
        <v>99.968043599999987</v>
      </c>
      <c r="N50" s="96">
        <f t="shared" si="3"/>
        <v>315854.65774653904</v>
      </c>
    </row>
    <row r="51" spans="1:14" x14ac:dyDescent="0.25">
      <c r="A51" s="96">
        <v>24</v>
      </c>
      <c r="B51" s="96">
        <f>VLOOKUP(Year_of_pregnancy,'ONS mortality stats'!$A$3:$CX$88,A50+2,TRUE)/ONS_mortality_rate_per_value</f>
        <v>3.0719999999999999E-4</v>
      </c>
      <c r="C51" s="96">
        <f t="shared" si="5"/>
        <v>3.0719999999999999E-4</v>
      </c>
      <c r="D51" s="96">
        <f t="shared" si="6"/>
        <v>3.0719999999999999E-4</v>
      </c>
      <c r="E51" s="96">
        <f t="shared" si="7"/>
        <v>3.0719999999999999E-4</v>
      </c>
      <c r="F51" s="96">
        <f t="shared" ca="1" si="4"/>
        <v>3.5502517969521197E-4</v>
      </c>
      <c r="G51" s="96">
        <f t="shared" ca="1" si="8"/>
        <v>3.5502517969521197E-4</v>
      </c>
      <c r="H51" s="96">
        <f t="shared" ca="1" si="9"/>
        <v>3.5502517969521197E-4</v>
      </c>
      <c r="I51" s="96">
        <f t="shared" ca="1" si="10"/>
        <v>3.5502517969521197E-4</v>
      </c>
      <c r="K51" s="96">
        <f t="shared" si="0"/>
        <v>3.0719999999999997E-5</v>
      </c>
      <c r="L51" s="96">
        <f t="shared" si="1"/>
        <v>325419.83333333337</v>
      </c>
      <c r="M51" s="96">
        <f t="shared" si="2"/>
        <v>99.968972800000003</v>
      </c>
      <c r="N51" s="96">
        <f t="shared" si="3"/>
        <v>325319.86436053336</v>
      </c>
    </row>
    <row r="52" spans="1:14" x14ac:dyDescent="0.25">
      <c r="A52" s="96">
        <v>25</v>
      </c>
      <c r="B52" s="96">
        <f>VLOOKUP(Year_of_pregnancy,'ONS mortality stats'!$A$3:$CX$88,A51+2,TRUE)/ONS_mortality_rate_per_value</f>
        <v>3.0219999999999997E-4</v>
      </c>
      <c r="C52" s="96">
        <f t="shared" si="5"/>
        <v>3.0219999999999997E-4</v>
      </c>
      <c r="D52" s="96">
        <f t="shared" si="6"/>
        <v>3.0219999999999997E-4</v>
      </c>
      <c r="E52" s="96">
        <f t="shared" si="7"/>
        <v>3.0219999999999997E-4</v>
      </c>
      <c r="F52" s="96">
        <f t="shared" ca="1" si="4"/>
        <v>3.1635614339542428E-4</v>
      </c>
      <c r="G52" s="96">
        <f t="shared" ca="1" si="8"/>
        <v>3.1635614339542428E-4</v>
      </c>
      <c r="H52" s="96">
        <f t="shared" ca="1" si="9"/>
        <v>3.1635614339542428E-4</v>
      </c>
      <c r="I52" s="96">
        <f t="shared" ca="1" si="10"/>
        <v>3.1635614339542428E-4</v>
      </c>
      <c r="K52" s="96">
        <f t="shared" si="0"/>
        <v>3.0219999999999999E-5</v>
      </c>
      <c r="L52" s="96">
        <f t="shared" si="1"/>
        <v>330805.68431502313</v>
      </c>
      <c r="M52" s="96">
        <f t="shared" si="2"/>
        <v>99.969477799999979</v>
      </c>
      <c r="N52" s="96">
        <f t="shared" si="3"/>
        <v>330705.71483722312</v>
      </c>
    </row>
    <row r="53" spans="1:14" x14ac:dyDescent="0.25">
      <c r="A53" s="96">
        <v>26</v>
      </c>
      <c r="B53" s="96">
        <f>VLOOKUP(Year_of_pregnancy,'ONS mortality stats'!$A$3:$CX$88,A52+2,TRUE)/ONS_mortality_rate_per_value</f>
        <v>3.0370000000000001E-4</v>
      </c>
      <c r="C53" s="96">
        <f t="shared" si="5"/>
        <v>3.0370000000000001E-4</v>
      </c>
      <c r="D53" s="96">
        <f t="shared" si="6"/>
        <v>3.0370000000000001E-4</v>
      </c>
      <c r="E53" s="96">
        <f t="shared" si="7"/>
        <v>3.0370000000000001E-4</v>
      </c>
      <c r="F53" s="96">
        <f t="shared" ca="1" si="4"/>
        <v>3.0451731986225195E-4</v>
      </c>
      <c r="G53" s="96">
        <f t="shared" ca="1" si="8"/>
        <v>3.0451731986225195E-4</v>
      </c>
      <c r="H53" s="96">
        <f t="shared" ca="1" si="9"/>
        <v>3.0451731986225195E-4</v>
      </c>
      <c r="I53" s="96">
        <f t="shared" ca="1" si="10"/>
        <v>3.0451731986225195E-4</v>
      </c>
      <c r="K53" s="96">
        <f t="shared" si="0"/>
        <v>3.0370000000000002E-5</v>
      </c>
      <c r="L53" s="96">
        <f t="shared" si="1"/>
        <v>329171.30819888046</v>
      </c>
      <c r="M53" s="96">
        <f t="shared" si="2"/>
        <v>99.969326300000006</v>
      </c>
      <c r="N53" s="96">
        <f t="shared" si="3"/>
        <v>329071.3388725805</v>
      </c>
    </row>
    <row r="54" spans="1:14" x14ac:dyDescent="0.25">
      <c r="A54" s="96">
        <v>27</v>
      </c>
      <c r="B54" s="96">
        <f>VLOOKUP(Year_of_pregnancy,'ONS mortality stats'!$A$3:$CX$88,A53+2,TRUE)/ONS_mortality_rate_per_value</f>
        <v>3.1419999999999999E-4</v>
      </c>
      <c r="C54" s="96">
        <f t="shared" si="5"/>
        <v>3.1419999999999999E-4</v>
      </c>
      <c r="D54" s="96">
        <f t="shared" si="6"/>
        <v>3.1419999999999999E-4</v>
      </c>
      <c r="E54" s="96">
        <f t="shared" si="7"/>
        <v>3.1419999999999999E-4</v>
      </c>
      <c r="F54" s="96">
        <f t="shared" ca="1" si="4"/>
        <v>3.1616399783329641E-4</v>
      </c>
      <c r="G54" s="96">
        <f t="shared" ca="1" si="8"/>
        <v>3.1616399783329641E-4</v>
      </c>
      <c r="H54" s="96">
        <f t="shared" ca="1" si="9"/>
        <v>3.1616399783329641E-4</v>
      </c>
      <c r="I54" s="96">
        <f t="shared" ca="1" si="10"/>
        <v>3.1616399783329641E-4</v>
      </c>
      <c r="K54" s="96">
        <f t="shared" si="0"/>
        <v>3.1420000000000001E-5</v>
      </c>
      <c r="L54" s="96">
        <f t="shared" si="1"/>
        <v>318167.61871419474</v>
      </c>
      <c r="M54" s="96">
        <f t="shared" si="2"/>
        <v>99.968265799999983</v>
      </c>
      <c r="N54" s="96">
        <f t="shared" si="3"/>
        <v>318067.65044839471</v>
      </c>
    </row>
    <row r="55" spans="1:14" x14ac:dyDescent="0.25">
      <c r="A55" s="96">
        <v>28</v>
      </c>
      <c r="B55" s="96">
        <f>VLOOKUP(Year_of_pregnancy,'ONS mortality stats'!$A$3:$CX$88,A54+2,TRUE)/ONS_mortality_rate_per_value</f>
        <v>3.3189999999999999E-4</v>
      </c>
      <c r="C55" s="96">
        <f t="shared" si="5"/>
        <v>3.3189999999999999E-4</v>
      </c>
      <c r="D55" s="96">
        <f t="shared" si="6"/>
        <v>3.3189999999999999E-4</v>
      </c>
      <c r="E55" s="96">
        <f t="shared" si="7"/>
        <v>3.3189999999999999E-4</v>
      </c>
      <c r="F55" s="96">
        <f t="shared" ca="1" si="4"/>
        <v>3.3293054818295253E-4</v>
      </c>
      <c r="G55" s="96">
        <f t="shared" ca="1" si="8"/>
        <v>3.3293054818295253E-4</v>
      </c>
      <c r="H55" s="96">
        <f t="shared" ca="1" si="9"/>
        <v>3.3293054818295253E-4</v>
      </c>
      <c r="I55" s="96">
        <f t="shared" ca="1" si="10"/>
        <v>3.3293054818295253E-4</v>
      </c>
      <c r="K55" s="96">
        <f t="shared" si="0"/>
        <v>3.3189999999999999E-5</v>
      </c>
      <c r="L55" s="96">
        <f t="shared" si="1"/>
        <v>301194.57095510693</v>
      </c>
      <c r="M55" s="96">
        <f t="shared" si="2"/>
        <v>99.966478099999989</v>
      </c>
      <c r="N55" s="96">
        <f t="shared" si="3"/>
        <v>301094.60447700694</v>
      </c>
    </row>
    <row r="56" spans="1:14" x14ac:dyDescent="0.25">
      <c r="A56" s="96">
        <v>29</v>
      </c>
      <c r="B56" s="96">
        <f>VLOOKUP(Year_of_pregnancy,'ONS mortality stats'!$A$3:$CX$88,A55+2,TRUE)/ONS_mortality_rate_per_value</f>
        <v>3.5729999999999996E-4</v>
      </c>
      <c r="C56" s="96">
        <f t="shared" si="5"/>
        <v>3.5729999999999996E-4</v>
      </c>
      <c r="D56" s="96">
        <f t="shared" si="6"/>
        <v>3.5729999999999996E-4</v>
      </c>
      <c r="E56" s="96">
        <f t="shared" si="7"/>
        <v>3.5729999999999996E-4</v>
      </c>
      <c r="F56" s="96">
        <f t="shared" ca="1" si="4"/>
        <v>4.0345940348829323E-4</v>
      </c>
      <c r="G56" s="96">
        <f t="shared" ca="1" si="8"/>
        <v>4.0345940348829323E-4</v>
      </c>
      <c r="H56" s="96">
        <f t="shared" ca="1" si="9"/>
        <v>4.0345940348829323E-4</v>
      </c>
      <c r="I56" s="96">
        <f t="shared" ca="1" si="10"/>
        <v>4.0345940348829323E-4</v>
      </c>
      <c r="K56" s="96">
        <f t="shared" si="0"/>
        <v>3.5729999999999998E-5</v>
      </c>
      <c r="L56" s="96">
        <f t="shared" si="1"/>
        <v>279775.85418415896</v>
      </c>
      <c r="M56" s="96">
        <f t="shared" si="2"/>
        <v>99.96391269999998</v>
      </c>
      <c r="N56" s="96">
        <f t="shared" si="3"/>
        <v>279675.89027145895</v>
      </c>
    </row>
    <row r="57" spans="1:14" x14ac:dyDescent="0.25">
      <c r="A57" s="96">
        <v>30</v>
      </c>
      <c r="B57" s="96">
        <f>VLOOKUP(Year_of_pregnancy,'ONS mortality stats'!$A$3:$CX$88,A56+2,TRUE)/ONS_mortality_rate_per_value</f>
        <v>3.8759999999999999E-4</v>
      </c>
      <c r="C57" s="96">
        <f t="shared" si="5"/>
        <v>3.8759999999999999E-4</v>
      </c>
      <c r="D57" s="96">
        <f t="shared" si="6"/>
        <v>3.8759999999999999E-4</v>
      </c>
      <c r="E57" s="96">
        <f t="shared" si="7"/>
        <v>3.8759999999999999E-4</v>
      </c>
      <c r="F57" s="96">
        <f t="shared" ca="1" si="4"/>
        <v>3.8514456996507912E-4</v>
      </c>
      <c r="G57" s="96">
        <f t="shared" ca="1" si="8"/>
        <v>3.8514456996507912E-4</v>
      </c>
      <c r="H57" s="96">
        <f t="shared" ca="1" si="9"/>
        <v>3.8514456996507912E-4</v>
      </c>
      <c r="I57" s="96">
        <f t="shared" ca="1" si="10"/>
        <v>3.8514456996507912E-4</v>
      </c>
      <c r="K57" s="96">
        <f t="shared" si="0"/>
        <v>3.8760000000000002E-5</v>
      </c>
      <c r="L57" s="96">
        <f t="shared" si="1"/>
        <v>257896.93601651184</v>
      </c>
      <c r="M57" s="96">
        <f t="shared" si="2"/>
        <v>99.960852399999993</v>
      </c>
      <c r="N57" s="96">
        <f t="shared" si="3"/>
        <v>257796.97516411185</v>
      </c>
    </row>
    <row r="58" spans="1:14" x14ac:dyDescent="0.25">
      <c r="A58" s="96">
        <v>31</v>
      </c>
      <c r="B58" s="96">
        <f>VLOOKUP(Year_of_pregnancy,'ONS mortality stats'!$A$3:$CX$88,A57+2,TRUE)/ONS_mortality_rate_per_value</f>
        <v>4.2200000000000001E-4</v>
      </c>
      <c r="C58" s="96">
        <f t="shared" si="5"/>
        <v>4.2200000000000001E-4</v>
      </c>
      <c r="D58" s="96">
        <f t="shared" si="6"/>
        <v>4.2200000000000001E-4</v>
      </c>
      <c r="E58" s="96">
        <f t="shared" si="7"/>
        <v>4.2200000000000001E-4</v>
      </c>
      <c r="F58" s="96">
        <f t="shared" ca="1" si="4"/>
        <v>4.439269945265556E-4</v>
      </c>
      <c r="G58" s="96">
        <f t="shared" ca="1" si="8"/>
        <v>4.439269945265556E-4</v>
      </c>
      <c r="H58" s="96">
        <f t="shared" ca="1" si="9"/>
        <v>4.439269945265556E-4</v>
      </c>
      <c r="I58" s="96">
        <f t="shared" ca="1" si="10"/>
        <v>4.439269945265556E-4</v>
      </c>
      <c r="K58" s="96">
        <f t="shared" si="0"/>
        <v>4.2200000000000003E-5</v>
      </c>
      <c r="L58" s="96">
        <f t="shared" si="1"/>
        <v>236865.82464454972</v>
      </c>
      <c r="M58" s="96">
        <f t="shared" si="2"/>
        <v>99.957377999999991</v>
      </c>
      <c r="N58" s="96">
        <f t="shared" si="3"/>
        <v>236765.86726654973</v>
      </c>
    </row>
    <row r="59" spans="1:14" x14ac:dyDescent="0.25">
      <c r="A59" s="96">
        <v>32</v>
      </c>
      <c r="B59" s="96">
        <f>VLOOKUP(Year_of_pregnancy,'ONS mortality stats'!$A$3:$CX$88,A58+2,TRUE)/ONS_mortality_rate_per_value</f>
        <v>4.55E-4</v>
      </c>
      <c r="C59" s="96">
        <f t="shared" si="5"/>
        <v>4.55E-4</v>
      </c>
      <c r="D59" s="96">
        <f t="shared" si="6"/>
        <v>4.55E-4</v>
      </c>
      <c r="E59" s="96">
        <f t="shared" si="7"/>
        <v>4.55E-4</v>
      </c>
      <c r="F59" s="96">
        <f t="shared" ca="1" si="4"/>
        <v>4.938808641410386E-4</v>
      </c>
      <c r="G59" s="96">
        <f t="shared" ca="1" si="8"/>
        <v>4.938808641410386E-4</v>
      </c>
      <c r="H59" s="96">
        <f t="shared" ca="1" si="9"/>
        <v>4.938808641410386E-4</v>
      </c>
      <c r="I59" s="96">
        <f t="shared" ca="1" si="10"/>
        <v>4.938808641410386E-4</v>
      </c>
      <c r="K59" s="96">
        <f t="shared" ref="K59:K90" si="11">0.1*B59</f>
        <v>4.5500000000000001E-5</v>
      </c>
      <c r="L59" s="96">
        <f t="shared" ref="L59:L90" si="12">((B59*(1-B59))/(K59^2))-1</f>
        <v>219679.21978021978</v>
      </c>
      <c r="M59" s="96">
        <f t="shared" ref="M59:M90" si="13">B59*L59</f>
        <v>99.954044999999994</v>
      </c>
      <c r="N59" s="96">
        <f t="shared" ref="N59:N90" si="14">M59*((1-B59)/B59)</f>
        <v>219579.26573521979</v>
      </c>
    </row>
    <row r="60" spans="1:14" x14ac:dyDescent="0.25">
      <c r="A60" s="96">
        <v>33</v>
      </c>
      <c r="B60" s="96">
        <f>VLOOKUP(Year_of_pregnancy,'ONS mortality stats'!$A$3:$CX$88,A59+2,TRUE)/ONS_mortality_rate_per_value</f>
        <v>4.9159999999999991E-4</v>
      </c>
      <c r="C60" s="96">
        <f t="shared" si="5"/>
        <v>4.9159999999999991E-4</v>
      </c>
      <c r="D60" s="96">
        <f t="shared" si="6"/>
        <v>4.9159999999999991E-4</v>
      </c>
      <c r="E60" s="96">
        <f t="shared" si="7"/>
        <v>4.9159999999999991E-4</v>
      </c>
      <c r="F60" s="96">
        <f t="shared" ca="1" si="4"/>
        <v>4.8057883997320488E-4</v>
      </c>
      <c r="G60" s="96">
        <f t="shared" ca="1" si="8"/>
        <v>4.8057883997320488E-4</v>
      </c>
      <c r="H60" s="96">
        <f t="shared" ca="1" si="9"/>
        <v>4.8057883997320488E-4</v>
      </c>
      <c r="I60" s="96">
        <f t="shared" ca="1" si="10"/>
        <v>4.8057883997320488E-4</v>
      </c>
      <c r="K60" s="96">
        <f t="shared" si="11"/>
        <v>4.9159999999999997E-5</v>
      </c>
      <c r="L60" s="96">
        <f t="shared" si="12"/>
        <v>203316.41253051258</v>
      </c>
      <c r="M60" s="96">
        <f t="shared" si="13"/>
        <v>99.950348399999967</v>
      </c>
      <c r="N60" s="96">
        <f t="shared" si="14"/>
        <v>203216.46218211256</v>
      </c>
    </row>
    <row r="61" spans="1:14" x14ac:dyDescent="0.25">
      <c r="A61" s="96">
        <v>34</v>
      </c>
      <c r="B61" s="96">
        <f>VLOOKUP(Year_of_pregnancy,'ONS mortality stats'!$A$3:$CX$88,A60+2,TRUE)/ONS_mortality_rate_per_value</f>
        <v>5.3229999999999998E-4</v>
      </c>
      <c r="C61" s="96">
        <f t="shared" si="5"/>
        <v>5.3229999999999998E-4</v>
      </c>
      <c r="D61" s="96">
        <f t="shared" si="6"/>
        <v>5.3229999999999998E-4</v>
      </c>
      <c r="E61" s="96">
        <f t="shared" si="7"/>
        <v>5.3229999999999998E-4</v>
      </c>
      <c r="F61" s="96">
        <f t="shared" ca="1" si="4"/>
        <v>6.1146323956162707E-4</v>
      </c>
      <c r="G61" s="96">
        <f t="shared" ca="1" si="8"/>
        <v>6.1146323956162707E-4</v>
      </c>
      <c r="H61" s="96">
        <f t="shared" ca="1" si="9"/>
        <v>6.1146323956162707E-4</v>
      </c>
      <c r="I61" s="96">
        <f t="shared" ca="1" si="10"/>
        <v>6.1146323956162707E-4</v>
      </c>
      <c r="K61" s="96">
        <f t="shared" si="11"/>
        <v>5.3230000000000004E-5</v>
      </c>
      <c r="L61" s="96">
        <f t="shared" si="12"/>
        <v>187762.98647379293</v>
      </c>
      <c r="M61" s="96">
        <f t="shared" si="13"/>
        <v>99.946237699999969</v>
      </c>
      <c r="N61" s="96">
        <f t="shared" si="14"/>
        <v>187663.0402360929</v>
      </c>
    </row>
    <row r="62" spans="1:14" x14ac:dyDescent="0.25">
      <c r="A62" s="96">
        <v>35</v>
      </c>
      <c r="B62" s="96">
        <f>VLOOKUP(Year_of_pregnancy,'ONS mortality stats'!$A$3:$CX$88,A61+2,TRUE)/ONS_mortality_rate_per_value</f>
        <v>5.7909999999999993E-4</v>
      </c>
      <c r="C62" s="96">
        <f t="shared" si="5"/>
        <v>4.717718940936863E-4</v>
      </c>
      <c r="D62" s="96">
        <f t="shared" si="6"/>
        <v>5.897148676171079E-4</v>
      </c>
      <c r="E62" s="96">
        <f t="shared" si="7"/>
        <v>8.2560081466395089E-4</v>
      </c>
      <c r="F62" s="96">
        <f t="shared" ca="1" si="4"/>
        <v>6.2291281986104341E-4</v>
      </c>
      <c r="G62" s="96">
        <f t="shared" ca="1" si="8"/>
        <v>5.2073594041333285E-4</v>
      </c>
      <c r="H62" s="96">
        <f t="shared" ca="1" si="9"/>
        <v>5.2973556728493618E-4</v>
      </c>
      <c r="I62" s="96">
        <f t="shared" ca="1" si="10"/>
        <v>9.5637490361314933E-4</v>
      </c>
      <c r="K62" s="96">
        <f t="shared" si="11"/>
        <v>5.7909999999999993E-5</v>
      </c>
      <c r="L62" s="96">
        <f t="shared" si="12"/>
        <v>172580.74753928513</v>
      </c>
      <c r="M62" s="96">
        <f t="shared" si="13"/>
        <v>99.941510900000011</v>
      </c>
      <c r="N62" s="96">
        <f t="shared" si="14"/>
        <v>172480.80602838512</v>
      </c>
    </row>
    <row r="63" spans="1:14" x14ac:dyDescent="0.25">
      <c r="A63" s="96">
        <v>36</v>
      </c>
      <c r="B63" s="96">
        <f>VLOOKUP(Year_of_pregnancy,'ONS mortality stats'!$A$3:$CX$88,A62+2,TRUE)/ONS_mortality_rate_per_value</f>
        <v>6.3500000000000004E-4</v>
      </c>
      <c r="C63" s="96">
        <f t="shared" si="5"/>
        <v>5.1731160896130348E-4</v>
      </c>
      <c r="D63" s="96">
        <f t="shared" si="6"/>
        <v>6.4663951120162938E-4</v>
      </c>
      <c r="E63" s="96">
        <f t="shared" si="7"/>
        <v>9.0529531568228096E-4</v>
      </c>
      <c r="F63" s="96">
        <f t="shared" ca="1" si="4"/>
        <v>6.4768794803315988E-4</v>
      </c>
      <c r="G63" s="96">
        <f t="shared" ca="1" si="8"/>
        <v>5.4144718483826841E-4</v>
      </c>
      <c r="H63" s="96">
        <f t="shared" ca="1" si="9"/>
        <v>5.508047541090905E-4</v>
      </c>
      <c r="I63" s="96">
        <f t="shared" ca="1" si="10"/>
        <v>9.9441282812222733E-4</v>
      </c>
      <c r="K63" s="96">
        <f t="shared" si="11"/>
        <v>6.3500000000000012E-5</v>
      </c>
      <c r="L63" s="96">
        <f t="shared" si="12"/>
        <v>157379.31496062988</v>
      </c>
      <c r="M63" s="96">
        <f t="shared" si="13"/>
        <v>99.935864999999978</v>
      </c>
      <c r="N63" s="96">
        <f t="shared" si="14"/>
        <v>157279.37909562988</v>
      </c>
    </row>
    <row r="64" spans="1:14" x14ac:dyDescent="0.25">
      <c r="A64" s="96">
        <v>37</v>
      </c>
      <c r="B64" s="96">
        <f>VLOOKUP(Year_of_pregnancy,'ONS mortality stats'!$A$3:$CX$88,A63+2,TRUE)/ONS_mortality_rate_per_value</f>
        <v>7.0459999999999989E-4</v>
      </c>
      <c r="C64" s="96">
        <f t="shared" si="5"/>
        <v>5.7401221995926667E-4</v>
      </c>
      <c r="D64" s="96">
        <f t="shared" si="6"/>
        <v>7.1751527494908331E-4</v>
      </c>
      <c r="E64" s="96">
        <f t="shared" si="7"/>
        <v>1.0045213849287165E-3</v>
      </c>
      <c r="F64" s="96">
        <f t="shared" ca="1" si="4"/>
        <v>7.3200485837643381E-4</v>
      </c>
      <c r="G64" s="96">
        <f t="shared" ca="1" si="8"/>
        <v>6.1193352610532722E-4</v>
      </c>
      <c r="H64" s="96">
        <f t="shared" ca="1" si="9"/>
        <v>6.2250927664945371E-4</v>
      </c>
      <c r="I64" s="96">
        <f t="shared" ca="1" si="10"/>
        <v>1.1238668615461912E-3</v>
      </c>
      <c r="K64" s="96">
        <f t="shared" si="11"/>
        <v>7.0459999999999986E-5</v>
      </c>
      <c r="L64" s="96">
        <f t="shared" si="12"/>
        <v>141823.49616803863</v>
      </c>
      <c r="M64" s="96">
        <f t="shared" si="13"/>
        <v>99.928835400000011</v>
      </c>
      <c r="N64" s="96">
        <f t="shared" si="14"/>
        <v>141723.56733263863</v>
      </c>
    </row>
    <row r="65" spans="1:14" x14ac:dyDescent="0.25">
      <c r="A65" s="96">
        <v>38</v>
      </c>
      <c r="B65" s="96">
        <f>VLOOKUP(Year_of_pregnancy,'ONS mortality stats'!$A$3:$CX$88,A64+2,TRUE)/ONS_mortality_rate_per_value</f>
        <v>7.8439999999999998E-4</v>
      </c>
      <c r="C65" s="96">
        <f t="shared" si="5"/>
        <v>6.3902240325865579E-4</v>
      </c>
      <c r="D65" s="96">
        <f t="shared" si="6"/>
        <v>7.9877800407331979E-4</v>
      </c>
      <c r="E65" s="96">
        <f t="shared" si="7"/>
        <v>1.1182892057026476E-3</v>
      </c>
      <c r="F65" s="96">
        <f t="shared" ca="1" si="4"/>
        <v>7.8986373628031625E-4</v>
      </c>
      <c r="G65" s="96">
        <f t="shared" ca="1" si="8"/>
        <v>6.6030176678988958E-4</v>
      </c>
      <c r="H65" s="96">
        <f t="shared" ca="1" si="9"/>
        <v>6.7171344219499535E-4</v>
      </c>
      <c r="I65" s="96">
        <f t="shared" ca="1" si="10"/>
        <v>1.2126991620129474E-3</v>
      </c>
      <c r="K65" s="96">
        <f t="shared" si="11"/>
        <v>7.8440000000000001E-5</v>
      </c>
      <c r="L65" s="96">
        <f t="shared" si="12"/>
        <v>127384.97654258031</v>
      </c>
      <c r="M65" s="96">
        <f t="shared" si="13"/>
        <v>99.920775599999985</v>
      </c>
      <c r="N65" s="96">
        <f t="shared" si="14"/>
        <v>127285.05576698028</v>
      </c>
    </row>
    <row r="66" spans="1:14" x14ac:dyDescent="0.25">
      <c r="A66" s="96">
        <v>39</v>
      </c>
      <c r="B66" s="96">
        <f>VLOOKUP(Year_of_pregnancy,'ONS mortality stats'!$A$3:$CX$88,A65+2,TRUE)/ONS_mortality_rate_per_value</f>
        <v>8.7140000000000004E-4</v>
      </c>
      <c r="C66" s="96">
        <f t="shared" si="5"/>
        <v>7.0989816700611004E-4</v>
      </c>
      <c r="D66" s="96">
        <f t="shared" si="6"/>
        <v>8.8737270875763753E-4</v>
      </c>
      <c r="E66" s="96">
        <f t="shared" si="7"/>
        <v>1.2423217922606924E-3</v>
      </c>
      <c r="F66" s="96">
        <f t="shared" ca="1" si="4"/>
        <v>9.9425721496981811E-4</v>
      </c>
      <c r="G66" s="96">
        <f t="shared" ca="1" si="8"/>
        <v>8.3116842251785054E-4</v>
      </c>
      <c r="H66" s="96">
        <f t="shared" ca="1" si="9"/>
        <v>8.4553310351947759E-4</v>
      </c>
      <c r="I66" s="96">
        <f t="shared" ca="1" si="10"/>
        <v>1.5265099991770223E-3</v>
      </c>
      <c r="K66" s="96">
        <f t="shared" si="11"/>
        <v>8.7140000000000009E-5</v>
      </c>
      <c r="L66" s="96">
        <f t="shared" si="12"/>
        <v>114656.86091347254</v>
      </c>
      <c r="M66" s="96">
        <f t="shared" si="13"/>
        <v>99.911988599999972</v>
      </c>
      <c r="N66" s="96">
        <f t="shared" si="14"/>
        <v>114556.94892487253</v>
      </c>
    </row>
    <row r="67" spans="1:14" x14ac:dyDescent="0.25">
      <c r="A67" s="96">
        <v>40</v>
      </c>
      <c r="B67" s="96">
        <f>VLOOKUP(Year_of_pregnancy,'ONS mortality stats'!$A$3:$CX$88,A66+2,TRUE)/ONS_mortality_rate_per_value</f>
        <v>9.5819999999999998E-4</v>
      </c>
      <c r="C67" s="96">
        <f t="shared" si="5"/>
        <v>7.8061099796334005E-4</v>
      </c>
      <c r="D67" s="96">
        <f t="shared" si="6"/>
        <v>9.7576374745417509E-4</v>
      </c>
      <c r="E67" s="96">
        <f t="shared" si="7"/>
        <v>1.366069246435845E-3</v>
      </c>
      <c r="F67" s="96">
        <f t="shared" ca="1" si="4"/>
        <v>9.8481053384347206E-4</v>
      </c>
      <c r="G67" s="96">
        <f t="shared" ca="1" si="8"/>
        <v>8.2327128792169624E-4</v>
      </c>
      <c r="H67" s="96">
        <f t="shared" ca="1" si="9"/>
        <v>8.374994865736245E-4</v>
      </c>
      <c r="I67" s="96">
        <f t="shared" ca="1" si="10"/>
        <v>1.5120062540884419E-3</v>
      </c>
      <c r="K67" s="96">
        <f t="shared" si="11"/>
        <v>9.5820000000000001E-5</v>
      </c>
      <c r="L67" s="96">
        <f t="shared" si="12"/>
        <v>104261.34606553955</v>
      </c>
      <c r="M67" s="96">
        <f t="shared" si="13"/>
        <v>99.903221799999997</v>
      </c>
      <c r="N67" s="96">
        <f t="shared" si="14"/>
        <v>104161.44284373955</v>
      </c>
    </row>
    <row r="68" spans="1:14" x14ac:dyDescent="0.25">
      <c r="A68" s="96">
        <v>41</v>
      </c>
      <c r="B68" s="96">
        <f>VLOOKUP(Year_of_pregnancy,'ONS mortality stats'!$A$3:$CX$88,A67+2,TRUE)/ONS_mortality_rate_per_value</f>
        <v>1.0403000000000001E-3</v>
      </c>
      <c r="C68" s="96">
        <f t="shared" si="5"/>
        <v>8.4749490835030552E-4</v>
      </c>
      <c r="D68" s="96">
        <f t="shared" si="6"/>
        <v>1.059368635437882E-3</v>
      </c>
      <c r="E68" s="96">
        <f t="shared" si="7"/>
        <v>1.4831160896130345E-3</v>
      </c>
      <c r="F68" s="96">
        <f t="shared" ca="1" si="4"/>
        <v>1.0688028427383589E-3</v>
      </c>
      <c r="G68" s="96">
        <f t="shared" ca="1" si="8"/>
        <v>8.9348627237108172E-4</v>
      </c>
      <c r="H68" s="96">
        <f t="shared" ca="1" si="9"/>
        <v>9.0892796256795375E-4</v>
      </c>
      <c r="I68" s="96">
        <f t="shared" ca="1" si="10"/>
        <v>1.6409619181274521E-3</v>
      </c>
      <c r="K68" s="96">
        <f t="shared" si="11"/>
        <v>1.0403000000000002E-4</v>
      </c>
      <c r="L68" s="96">
        <f t="shared" si="12"/>
        <v>96025.117466115524</v>
      </c>
      <c r="M68" s="96">
        <f t="shared" si="13"/>
        <v>99.894929699999992</v>
      </c>
      <c r="N68" s="96">
        <f t="shared" si="14"/>
        <v>95925.222536415531</v>
      </c>
    </row>
    <row r="69" spans="1:14" x14ac:dyDescent="0.25">
      <c r="A69" s="96">
        <v>42</v>
      </c>
      <c r="B69" s="96">
        <f>VLOOKUP(Year_of_pregnancy,'ONS mortality stats'!$A$3:$CX$88,A68+2,TRUE)/ONS_mortality_rate_per_value</f>
        <v>1.1081999999999999E-3</v>
      </c>
      <c r="C69" s="96">
        <f t="shared" si="5"/>
        <v>9.0281059063136444E-4</v>
      </c>
      <c r="D69" s="96">
        <f t="shared" si="6"/>
        <v>1.1285132382892055E-3</v>
      </c>
      <c r="E69" s="96">
        <f t="shared" si="7"/>
        <v>1.5799185336048875E-3</v>
      </c>
      <c r="F69" s="96">
        <f t="shared" ca="1" si="4"/>
        <v>1.0306319600908377E-3</v>
      </c>
      <c r="G69" s="96">
        <f t="shared" ca="1" si="8"/>
        <v>8.6157658960632824E-4</v>
      </c>
      <c r="H69" s="96">
        <f t="shared" ca="1" si="9"/>
        <v>8.7646680022173318E-4</v>
      </c>
      <c r="I69" s="96">
        <f t="shared" ca="1" si="10"/>
        <v>1.5823571293851119E-3</v>
      </c>
      <c r="K69" s="96">
        <f t="shared" si="11"/>
        <v>1.1082E-4</v>
      </c>
      <c r="L69" s="96">
        <f t="shared" si="12"/>
        <v>90135.419418877471</v>
      </c>
      <c r="M69" s="96">
        <f t="shared" si="13"/>
        <v>99.888071800000006</v>
      </c>
      <c r="N69" s="96">
        <f t="shared" si="14"/>
        <v>90035.531347077471</v>
      </c>
    </row>
    <row r="70" spans="1:14" x14ac:dyDescent="0.25">
      <c r="A70" s="96">
        <v>43</v>
      </c>
      <c r="B70" s="96">
        <f>VLOOKUP(Year_of_pregnancy,'ONS mortality stats'!$A$3:$CX$88,A69+2,TRUE)/ONS_mortality_rate_per_value</f>
        <v>1.1620000000000001E-3</v>
      </c>
      <c r="C70" s="96">
        <f t="shared" si="5"/>
        <v>9.466395112016293E-4</v>
      </c>
      <c r="D70" s="96">
        <f t="shared" si="6"/>
        <v>1.1832993890020366E-3</v>
      </c>
      <c r="E70" s="96">
        <f t="shared" si="7"/>
        <v>1.656619144602851E-3</v>
      </c>
      <c r="F70" s="96">
        <f t="shared" ca="1" si="4"/>
        <v>1.3985785184891242E-3</v>
      </c>
      <c r="G70" s="96">
        <f t="shared" ca="1" si="8"/>
        <v>1.1691685848266593E-3</v>
      </c>
      <c r="H70" s="96">
        <f t="shared" ca="1" si="9"/>
        <v>1.1893747588139754E-3</v>
      </c>
      <c r="I70" s="96">
        <f t="shared" ca="1" si="10"/>
        <v>2.1472754343277688E-3</v>
      </c>
      <c r="K70" s="96">
        <f t="shared" si="11"/>
        <v>1.1620000000000001E-4</v>
      </c>
      <c r="L70" s="96">
        <f t="shared" si="12"/>
        <v>85957.519793459549</v>
      </c>
      <c r="M70" s="96">
        <f t="shared" si="13"/>
        <v>99.882638</v>
      </c>
      <c r="N70" s="96">
        <f t="shared" si="14"/>
        <v>85857.637155459553</v>
      </c>
    </row>
    <row r="71" spans="1:14" x14ac:dyDescent="0.25">
      <c r="A71" s="96">
        <v>44</v>
      </c>
      <c r="B71" s="96">
        <f>VLOOKUP(Year_of_pregnancy,'ONS mortality stats'!$A$3:$CX$88,A70+2,TRUE)/ONS_mortality_rate_per_value</f>
        <v>1.1987E-3</v>
      </c>
      <c r="C71" s="96">
        <f t="shared" si="5"/>
        <v>9.765376782077393E-4</v>
      </c>
      <c r="D71" s="96">
        <f t="shared" si="6"/>
        <v>1.2206720977596742E-3</v>
      </c>
      <c r="E71" s="96">
        <f t="shared" si="7"/>
        <v>1.7089409368635435E-3</v>
      </c>
      <c r="F71" s="96">
        <f t="shared" ca="1" si="4"/>
        <v>1.1007941555362679E-3</v>
      </c>
      <c r="G71" s="96">
        <f t="shared" ca="1" si="8"/>
        <v>9.2023002498576136E-4</v>
      </c>
      <c r="H71" s="96">
        <f t="shared" ca="1" si="9"/>
        <v>9.3613391449710274E-4</v>
      </c>
      <c r="I71" s="96">
        <f t="shared" ca="1" si="10"/>
        <v>1.6900790461075498E-3</v>
      </c>
      <c r="K71" s="96">
        <f t="shared" si="11"/>
        <v>1.1987E-4</v>
      </c>
      <c r="L71" s="96">
        <f t="shared" si="12"/>
        <v>83322.709018102949</v>
      </c>
      <c r="M71" s="96">
        <f t="shared" si="13"/>
        <v>99.878931300000005</v>
      </c>
      <c r="N71" s="96">
        <f t="shared" si="14"/>
        <v>83222.830086802947</v>
      </c>
    </row>
    <row r="72" spans="1:14" x14ac:dyDescent="0.25">
      <c r="A72" s="96">
        <v>45</v>
      </c>
      <c r="B72" s="96">
        <f>VLOOKUP(Year_of_pregnancy,'ONS mortality stats'!$A$3:$CX$88,A71+2,TRUE)/ONS_mortality_rate_per_value</f>
        <v>1.2190999999999999E-3</v>
      </c>
      <c r="C72" s="96">
        <f t="shared" si="5"/>
        <v>9.4853141412176614E-4</v>
      </c>
      <c r="D72" s="96">
        <f t="shared" si="6"/>
        <v>1.1619509822991636E-3</v>
      </c>
      <c r="E72" s="96">
        <f t="shared" si="7"/>
        <v>1.9207761135965763E-3</v>
      </c>
      <c r="F72" s="96">
        <f t="shared" ca="1" si="4"/>
        <v>1.1147481423736023E-3</v>
      </c>
      <c r="G72" s="96">
        <f t="shared" ca="1" si="8"/>
        <v>8.8548035889672756E-4</v>
      </c>
      <c r="H72" s="96">
        <f t="shared" ca="1" si="9"/>
        <v>8.4562778699547871E-4</v>
      </c>
      <c r="I72" s="96">
        <f t="shared" ca="1" si="10"/>
        <v>1.9204166601799856E-3</v>
      </c>
      <c r="K72" s="96">
        <f t="shared" si="11"/>
        <v>1.2190999999999999E-4</v>
      </c>
      <c r="L72" s="96">
        <f t="shared" si="12"/>
        <v>81926.725371175446</v>
      </c>
      <c r="M72" s="96">
        <f t="shared" si="13"/>
        <v>99.876870899999972</v>
      </c>
      <c r="N72" s="96">
        <f t="shared" si="14"/>
        <v>81826.848500275431</v>
      </c>
    </row>
    <row r="73" spans="1:14" x14ac:dyDescent="0.25">
      <c r="A73" s="96">
        <v>46</v>
      </c>
      <c r="B73" s="96">
        <f>VLOOKUP(Year_of_pregnancy,'ONS mortality stats'!$A$3:$CX$88,A72+2,TRUE)/ONS_mortality_rate_per_value</f>
        <v>1.2228E-3</v>
      </c>
      <c r="C73" s="96">
        <f t="shared" si="5"/>
        <v>9.5141023147247614E-4</v>
      </c>
      <c r="D73" s="96">
        <f t="shared" si="6"/>
        <v>1.1654775335537835E-3</v>
      </c>
      <c r="E73" s="96">
        <f t="shared" si="7"/>
        <v>1.9266057187317641E-3</v>
      </c>
      <c r="F73" s="96">
        <f t="shared" ca="1" si="4"/>
        <v>1.3992885502390751E-3</v>
      </c>
      <c r="G73" s="96">
        <f t="shared" ca="1" si="8"/>
        <v>1.1114999707714417E-3</v>
      </c>
      <c r="H73" s="96">
        <f t="shared" ca="1" si="9"/>
        <v>1.0614749961253681E-3</v>
      </c>
      <c r="I73" s="96">
        <f t="shared" ca="1" si="10"/>
        <v>2.410604639857396E-3</v>
      </c>
      <c r="K73" s="96">
        <f t="shared" si="11"/>
        <v>1.2228E-4</v>
      </c>
      <c r="L73" s="96">
        <f t="shared" si="12"/>
        <v>81678.522407589146</v>
      </c>
      <c r="M73" s="96">
        <f t="shared" si="13"/>
        <v>99.876497200000003</v>
      </c>
      <c r="N73" s="96">
        <f t="shared" si="14"/>
        <v>81578.645910389139</v>
      </c>
    </row>
    <row r="74" spans="1:14" x14ac:dyDescent="0.25">
      <c r="A74" s="96">
        <v>47</v>
      </c>
      <c r="B74" s="96">
        <f>VLOOKUP(Year_of_pregnancy,'ONS mortality stats'!$A$3:$CX$88,A73+2,TRUE)/ONS_mortality_rate_per_value</f>
        <v>1.2154000000000002E-3</v>
      </c>
      <c r="C74" s="96">
        <f t="shared" si="5"/>
        <v>9.4565259677105635E-4</v>
      </c>
      <c r="D74" s="96">
        <f t="shared" si="6"/>
        <v>1.1584244310445442E-3</v>
      </c>
      <c r="E74" s="96">
        <f t="shared" si="7"/>
        <v>1.9149465084613889E-3</v>
      </c>
      <c r="F74" s="96">
        <f t="shared" ca="1" si="4"/>
        <v>1.1835022748305413E-3</v>
      </c>
      <c r="G74" s="96">
        <f t="shared" ca="1" si="8"/>
        <v>9.4009398108583695E-4</v>
      </c>
      <c r="H74" s="96">
        <f t="shared" ca="1" si="9"/>
        <v>8.9778342885423845E-4</v>
      </c>
      <c r="I74" s="96">
        <f t="shared" ca="1" si="10"/>
        <v>2.0388618734147753E-3</v>
      </c>
      <c r="K74" s="96">
        <f t="shared" si="11"/>
        <v>1.2154000000000002E-4</v>
      </c>
      <c r="L74" s="96">
        <f t="shared" si="12"/>
        <v>82176.439526081929</v>
      </c>
      <c r="M74" s="96">
        <f t="shared" si="13"/>
        <v>99.877244599999983</v>
      </c>
      <c r="N74" s="96">
        <f t="shared" si="14"/>
        <v>82076.562281481922</v>
      </c>
    </row>
    <row r="75" spans="1:14" x14ac:dyDescent="0.25">
      <c r="A75" s="96">
        <v>48</v>
      </c>
      <c r="B75" s="96">
        <f>VLOOKUP(Year_of_pregnancy,'ONS mortality stats'!$A$3:$CX$88,A74+2,TRUE)/ONS_mortality_rate_per_value</f>
        <v>1.2095999999999999E-3</v>
      </c>
      <c r="C75" s="96">
        <f t="shared" si="5"/>
        <v>9.4113985605913234E-4</v>
      </c>
      <c r="D75" s="96">
        <f t="shared" si="6"/>
        <v>1.1528963236724372E-3</v>
      </c>
      <c r="E75" s="96">
        <f t="shared" si="7"/>
        <v>1.9058082085197429E-3</v>
      </c>
      <c r="F75" s="96">
        <f t="shared" ca="1" si="4"/>
        <v>1.2105245434650413E-3</v>
      </c>
      <c r="G75" s="96">
        <f t="shared" ca="1" si="8"/>
        <v>9.6155863953122566E-4</v>
      </c>
      <c r="H75" s="96">
        <f t="shared" ca="1" si="9"/>
        <v>9.1828203329804951E-4</v>
      </c>
      <c r="I75" s="96">
        <f t="shared" ca="1" si="10"/>
        <v>2.085414106075201E-3</v>
      </c>
      <c r="K75" s="96">
        <f t="shared" si="11"/>
        <v>1.2095999999999999E-4</v>
      </c>
      <c r="L75" s="96">
        <f t="shared" si="12"/>
        <v>82570.957671957658</v>
      </c>
      <c r="M75" s="96">
        <f t="shared" si="13"/>
        <v>99.877830399999979</v>
      </c>
      <c r="N75" s="96">
        <f t="shared" si="14"/>
        <v>82471.079841557657</v>
      </c>
    </row>
    <row r="76" spans="1:14" x14ac:dyDescent="0.25">
      <c r="A76" s="96">
        <v>49</v>
      </c>
      <c r="B76" s="96">
        <f>VLOOKUP(Year_of_pregnancy,'ONS mortality stats'!$A$3:$CX$88,A75+2,TRUE)/ONS_mortality_rate_per_value</f>
        <v>1.2186E-3</v>
      </c>
      <c r="C76" s="96">
        <f t="shared" si="5"/>
        <v>9.4814238475004868E-4</v>
      </c>
      <c r="D76" s="96">
        <f t="shared" si="6"/>
        <v>1.1614744213188097E-3</v>
      </c>
      <c r="E76" s="96">
        <f t="shared" si="7"/>
        <v>1.9199883291188486E-3</v>
      </c>
      <c r="F76" s="96">
        <f t="shared" ca="1" si="4"/>
        <v>1.1166375938398319E-3</v>
      </c>
      <c r="G76" s="96">
        <f t="shared" ca="1" si="8"/>
        <v>8.8698121106130039E-4</v>
      </c>
      <c r="H76" s="96">
        <f t="shared" ca="1" si="9"/>
        <v>8.4706109071789714E-4</v>
      </c>
      <c r="I76" s="96">
        <f t="shared" ca="1" si="10"/>
        <v>1.9236716860790402E-3</v>
      </c>
      <c r="K76" s="96">
        <f t="shared" si="11"/>
        <v>1.2186E-4</v>
      </c>
      <c r="L76" s="96">
        <f t="shared" si="12"/>
        <v>81960.38191367143</v>
      </c>
      <c r="M76" s="96">
        <f t="shared" si="13"/>
        <v>99.876921400000001</v>
      </c>
      <c r="N76" s="96">
        <f t="shared" si="14"/>
        <v>81860.504992271424</v>
      </c>
    </row>
    <row r="77" spans="1:14" x14ac:dyDescent="0.25">
      <c r="A77" s="96">
        <v>50</v>
      </c>
      <c r="B77" s="96">
        <f>VLOOKUP(Year_of_pregnancy,'ONS mortality stats'!$A$3:$CX$88,A76+2,TRUE)/ONS_mortality_rate_per_value</f>
        <v>1.2596E-3</v>
      </c>
      <c r="C77" s="96">
        <f t="shared" si="5"/>
        <v>1.0170367379895035E-3</v>
      </c>
      <c r="D77" s="96">
        <f t="shared" si="6"/>
        <v>1.245870004037142E-3</v>
      </c>
      <c r="E77" s="96">
        <f t="shared" si="7"/>
        <v>2.0594993944287447E-3</v>
      </c>
      <c r="F77" s="96">
        <f t="shared" ca="1" si="4"/>
        <v>1.1928910880467292E-3</v>
      </c>
      <c r="G77" s="96">
        <f t="shared" ca="1" si="8"/>
        <v>9.9442419199618657E-4</v>
      </c>
      <c r="H77" s="96">
        <f t="shared" ca="1" si="9"/>
        <v>9.4966841484801009E-4</v>
      </c>
      <c r="I77" s="96">
        <f t="shared" ca="1" si="10"/>
        <v>2.1566924284745479E-3</v>
      </c>
      <c r="K77" s="96">
        <f t="shared" si="11"/>
        <v>1.2596000000000002E-4</v>
      </c>
      <c r="L77" s="96">
        <f t="shared" si="12"/>
        <v>79289.282629406123</v>
      </c>
      <c r="M77" s="96">
        <f t="shared" si="13"/>
        <v>99.872780399999954</v>
      </c>
      <c r="N77" s="96">
        <f t="shared" si="14"/>
        <v>79189.409849006115</v>
      </c>
    </row>
    <row r="78" spans="1:14" x14ac:dyDescent="0.25">
      <c r="A78" s="96">
        <v>51</v>
      </c>
      <c r="B78" s="96">
        <f>VLOOKUP(Year_of_pregnancy,'ONS mortality stats'!$A$3:$CX$88,A77+2,TRUE)/ONS_mortality_rate_per_value</f>
        <v>1.34E-3</v>
      </c>
      <c r="C78" s="96">
        <f t="shared" si="5"/>
        <v>1.0819539765845783E-3</v>
      </c>
      <c r="D78" s="96">
        <f t="shared" si="6"/>
        <v>1.3253936213161084E-3</v>
      </c>
      <c r="E78" s="96">
        <f t="shared" si="7"/>
        <v>2.1909568025837707E-3</v>
      </c>
      <c r="F78" s="96">
        <f t="shared" ca="1" si="4"/>
        <v>1.3606240633144973E-3</v>
      </c>
      <c r="G78" s="96">
        <f t="shared" ca="1" si="8"/>
        <v>1.1342506439440216E-3</v>
      </c>
      <c r="H78" s="96">
        <f t="shared" ca="1" si="9"/>
        <v>1.0832017359838973E-3</v>
      </c>
      <c r="I78" s="96">
        <f t="shared" ca="1" si="10"/>
        <v>2.4599459621712748E-3</v>
      </c>
      <c r="K78" s="96">
        <f t="shared" si="11"/>
        <v>1.34E-4</v>
      </c>
      <c r="L78" s="96">
        <f t="shared" si="12"/>
        <v>74525.86567164179</v>
      </c>
      <c r="M78" s="96">
        <f t="shared" si="13"/>
        <v>99.864660000000001</v>
      </c>
      <c r="N78" s="96">
        <f t="shared" si="14"/>
        <v>74426.001011641798</v>
      </c>
    </row>
    <row r="79" spans="1:14" x14ac:dyDescent="0.25">
      <c r="A79" s="96">
        <v>52</v>
      </c>
      <c r="B79" s="96">
        <f>VLOOKUP(Year_of_pregnancy,'ONS mortality stats'!$A$3:$CX$88,A78+2,TRUE)/ONS_mortality_rate_per_value</f>
        <v>1.4513E-3</v>
      </c>
      <c r="C79" s="96">
        <f t="shared" si="5"/>
        <v>1.1718207509083568E-3</v>
      </c>
      <c r="D79" s="96">
        <f t="shared" si="6"/>
        <v>1.4354804198627373E-3</v>
      </c>
      <c r="E79" s="96">
        <f t="shared" si="7"/>
        <v>2.3729370205894224E-3</v>
      </c>
      <c r="F79" s="96">
        <f t="shared" ca="1" si="4"/>
        <v>1.526260454984274E-3</v>
      </c>
      <c r="G79" s="96">
        <f t="shared" ca="1" si="8"/>
        <v>1.2723293307595018E-3</v>
      </c>
      <c r="H79" s="96">
        <f t="shared" ca="1" si="9"/>
        <v>1.2150659531738736E-3</v>
      </c>
      <c r="I79" s="96">
        <f t="shared" ca="1" si="10"/>
        <v>2.7594089687890747E-3</v>
      </c>
      <c r="K79" s="96">
        <f t="shared" si="11"/>
        <v>1.4513000000000001E-4</v>
      </c>
      <c r="L79" s="96">
        <f t="shared" si="12"/>
        <v>68802.741473161965</v>
      </c>
      <c r="M79" s="96">
        <f t="shared" si="13"/>
        <v>99.853418699999963</v>
      </c>
      <c r="N79" s="96">
        <f t="shared" si="14"/>
        <v>68702.888054461975</v>
      </c>
    </row>
    <row r="80" spans="1:14" x14ac:dyDescent="0.25">
      <c r="A80" s="96">
        <v>53</v>
      </c>
      <c r="B80" s="96">
        <f>VLOOKUP(Year_of_pregnancy,'ONS mortality stats'!$A$3:$CX$88,A79+2,TRUE)/ONS_mortality_rate_per_value</f>
        <v>1.5909000000000001E-3</v>
      </c>
      <c r="C80" s="96">
        <f t="shared" si="5"/>
        <v>1.2845377472749295E-3</v>
      </c>
      <c r="D80" s="96">
        <f t="shared" si="6"/>
        <v>1.5735587404117888E-3</v>
      </c>
      <c r="E80" s="96">
        <f t="shared" si="7"/>
        <v>2.6011889382317323E-3</v>
      </c>
      <c r="F80" s="96">
        <f t="shared" ca="1" si="4"/>
        <v>1.5107680232043636E-3</v>
      </c>
      <c r="G80" s="96">
        <f t="shared" ca="1" si="8"/>
        <v>1.2594144476581286E-3</v>
      </c>
      <c r="H80" s="96">
        <f t="shared" ca="1" si="9"/>
        <v>1.2027323266777118E-3</v>
      </c>
      <c r="I80" s="96">
        <f t="shared" ca="1" si="10"/>
        <v>2.731399361999991E-3</v>
      </c>
      <c r="K80" s="96">
        <f t="shared" si="11"/>
        <v>1.5909000000000002E-4</v>
      </c>
      <c r="L80" s="96">
        <f t="shared" si="12"/>
        <v>62756.502042868808</v>
      </c>
      <c r="M80" s="96">
        <f t="shared" si="13"/>
        <v>99.839319099999997</v>
      </c>
      <c r="N80" s="96">
        <f t="shared" si="14"/>
        <v>62656.662723768815</v>
      </c>
    </row>
    <row r="81" spans="1:14" x14ac:dyDescent="0.25">
      <c r="A81" s="96">
        <v>54</v>
      </c>
      <c r="B81" s="96">
        <f>VLOOKUP(Year_of_pregnancy,'ONS mortality stats'!$A$3:$CX$88,A80+2,TRUE)/ONS_mortality_rate_per_value</f>
        <v>1.7599E-3</v>
      </c>
      <c r="C81" s="96">
        <f t="shared" si="5"/>
        <v>1.4209931368591039E-3</v>
      </c>
      <c r="D81" s="96">
        <f t="shared" si="6"/>
        <v>1.7407165926524024E-3</v>
      </c>
      <c r="E81" s="96">
        <f t="shared" si="7"/>
        <v>2.8775111021396853E-3</v>
      </c>
      <c r="F81" s="96">
        <f t="shared" ca="1" si="4"/>
        <v>1.4451984520754036E-3</v>
      </c>
      <c r="G81" s="96">
        <f t="shared" ca="1" si="8"/>
        <v>1.2047539942078313E-3</v>
      </c>
      <c r="H81" s="96">
        <f t="shared" ca="1" si="9"/>
        <v>1.1505319612795052E-3</v>
      </c>
      <c r="I81" s="96">
        <f t="shared" ca="1" si="10"/>
        <v>2.6128525818210012E-3</v>
      </c>
      <c r="K81" s="96">
        <f t="shared" si="11"/>
        <v>1.7599E-4</v>
      </c>
      <c r="L81" s="96">
        <f t="shared" si="12"/>
        <v>56720.410307403821</v>
      </c>
      <c r="M81" s="96">
        <f t="shared" si="13"/>
        <v>99.822250099999991</v>
      </c>
      <c r="N81" s="96">
        <f t="shared" si="14"/>
        <v>56620.588057303816</v>
      </c>
    </row>
    <row r="82" spans="1:14" x14ac:dyDescent="0.25">
      <c r="A82" s="96">
        <v>55</v>
      </c>
      <c r="B82" s="96">
        <f>VLOOKUP(Year_of_pregnancy,'ONS mortality stats'!$A$3:$CX$88,A81+2,TRUE)/ONS_mortality_rate_per_value</f>
        <v>1.9441E-3</v>
      </c>
      <c r="C82" s="96">
        <f t="shared" si="5"/>
        <v>1.4918376413570276E-3</v>
      </c>
      <c r="D82" s="96">
        <f t="shared" si="6"/>
        <v>2.1042762520193862E-3</v>
      </c>
      <c r="E82" s="96">
        <f t="shared" si="7"/>
        <v>3.1878214862681746E-3</v>
      </c>
      <c r="F82" s="96">
        <f t="shared" ca="1" si="4"/>
        <v>1.8669966256558777E-3</v>
      </c>
      <c r="G82" s="96">
        <f t="shared" ca="1" si="8"/>
        <v>1.3874344318377263E-3</v>
      </c>
      <c r="H82" s="96">
        <f t="shared" ca="1" si="9"/>
        <v>1.9682866546704273E-3</v>
      </c>
      <c r="I82" s="96">
        <f t="shared" ca="1" si="10"/>
        <v>3.2771992114949667E-3</v>
      </c>
      <c r="K82" s="96">
        <f t="shared" si="11"/>
        <v>1.9441E-4</v>
      </c>
      <c r="L82" s="96">
        <f t="shared" si="12"/>
        <v>51336.683246746565</v>
      </c>
      <c r="M82" s="96">
        <f t="shared" si="13"/>
        <v>99.803645899999992</v>
      </c>
      <c r="N82" s="96">
        <f t="shared" si="14"/>
        <v>51236.879600846558</v>
      </c>
    </row>
    <row r="83" spans="1:14" x14ac:dyDescent="0.25">
      <c r="A83" s="96">
        <v>56</v>
      </c>
      <c r="B83" s="96">
        <f>VLOOKUP(Year_of_pregnancy,'ONS mortality stats'!$A$3:$CX$88,A82+2,TRUE)/ONS_mortality_rate_per_value</f>
        <v>2.1393000000000002E-3</v>
      </c>
      <c r="C83" s="96">
        <f t="shared" si="5"/>
        <v>1.6416276252019389E-3</v>
      </c>
      <c r="D83" s="96">
        <f t="shared" si="6"/>
        <v>2.315558966074314E-3</v>
      </c>
      <c r="E83" s="96">
        <f t="shared" si="7"/>
        <v>3.5078990306946695E-3</v>
      </c>
      <c r="F83" s="96">
        <f t="shared" ca="1" si="4"/>
        <v>2.4862234234140912E-3</v>
      </c>
      <c r="G83" s="96">
        <f t="shared" ca="1" si="8"/>
        <v>1.8476048298557441E-3</v>
      </c>
      <c r="H83" s="96">
        <f t="shared" ca="1" si="9"/>
        <v>2.6211083178127609E-3</v>
      </c>
      <c r="I83" s="96">
        <f t="shared" ca="1" si="10"/>
        <v>4.364147921237206E-3</v>
      </c>
      <c r="K83" s="96">
        <f t="shared" si="11"/>
        <v>2.1393000000000003E-4</v>
      </c>
      <c r="L83" s="96">
        <f t="shared" si="12"/>
        <v>46643.262141822081</v>
      </c>
      <c r="M83" s="96">
        <f t="shared" si="13"/>
        <v>99.783930699999985</v>
      </c>
      <c r="N83" s="96">
        <f t="shared" si="14"/>
        <v>46543.478211122077</v>
      </c>
    </row>
    <row r="84" spans="1:14" x14ac:dyDescent="0.25">
      <c r="A84" s="96">
        <v>57</v>
      </c>
      <c r="B84" s="96">
        <f>VLOOKUP(Year_of_pregnancy,'ONS mortality stats'!$A$3:$CX$88,A83+2,TRUE)/ONS_mortality_rate_per_value</f>
        <v>2.3433E-3</v>
      </c>
      <c r="C84" s="96">
        <f t="shared" si="5"/>
        <v>1.7981704361873991E-3</v>
      </c>
      <c r="D84" s="96">
        <f t="shared" si="6"/>
        <v>2.5363667205169629E-3</v>
      </c>
      <c r="E84" s="96">
        <f t="shared" si="7"/>
        <v>3.8424063004846528E-3</v>
      </c>
      <c r="F84" s="96">
        <f t="shared" ca="1" si="4"/>
        <v>2.3537931223004405E-3</v>
      </c>
      <c r="G84" s="96">
        <f t="shared" ca="1" si="8"/>
        <v>1.7491909617968399E-3</v>
      </c>
      <c r="H84" s="96">
        <f t="shared" ca="1" si="9"/>
        <v>2.4814932854265001E-3</v>
      </c>
      <c r="I84" s="96">
        <f t="shared" ca="1" si="10"/>
        <v>4.1316887553106297E-3</v>
      </c>
      <c r="K84" s="96">
        <f t="shared" si="11"/>
        <v>2.3433000000000001E-4</v>
      </c>
      <c r="L84" s="96">
        <f t="shared" si="12"/>
        <v>42573.860239832713</v>
      </c>
      <c r="M84" s="96">
        <f t="shared" si="13"/>
        <v>99.763326699999993</v>
      </c>
      <c r="N84" s="96">
        <f t="shared" si="14"/>
        <v>42474.096913132707</v>
      </c>
    </row>
    <row r="85" spans="1:14" x14ac:dyDescent="0.25">
      <c r="A85" s="96">
        <v>58</v>
      </c>
      <c r="B85" s="96">
        <f>VLOOKUP(Year_of_pregnancy,'ONS mortality stats'!$A$3:$CX$88,A84+2,TRUE)/ONS_mortality_rate_per_value</f>
        <v>2.5555E-3</v>
      </c>
      <c r="C85" s="96">
        <f t="shared" si="5"/>
        <v>1.9610056542810985E-3</v>
      </c>
      <c r="D85" s="96">
        <f t="shared" si="6"/>
        <v>2.766050080775444E-3</v>
      </c>
      <c r="E85" s="96">
        <f t="shared" si="7"/>
        <v>4.1903594507269786E-3</v>
      </c>
      <c r="F85" s="96">
        <f t="shared" ca="1" si="4"/>
        <v>2.2901312535138505E-3</v>
      </c>
      <c r="G85" s="96">
        <f t="shared" ca="1" si="8"/>
        <v>1.7018814661416879E-3</v>
      </c>
      <c r="H85" s="96">
        <f t="shared" ca="1" si="9"/>
        <v>2.4143775740095045E-3</v>
      </c>
      <c r="I85" s="96">
        <f t="shared" ca="1" si="10"/>
        <v>4.0199410299410591E-3</v>
      </c>
      <c r="K85" s="96">
        <f t="shared" si="11"/>
        <v>2.5555E-4</v>
      </c>
      <c r="L85" s="96">
        <f t="shared" si="12"/>
        <v>39030.28546272745</v>
      </c>
      <c r="M85" s="96">
        <f t="shared" si="13"/>
        <v>99.741894500000001</v>
      </c>
      <c r="N85" s="96">
        <f t="shared" si="14"/>
        <v>38930.543568227447</v>
      </c>
    </row>
    <row r="86" spans="1:14" x14ac:dyDescent="0.25">
      <c r="A86" s="96">
        <v>59</v>
      </c>
      <c r="B86" s="96">
        <f>VLOOKUP(Year_of_pregnancy,'ONS mortality stats'!$A$3:$CX$88,A85+2,TRUE)/ONS_mortality_rate_per_value</f>
        <v>2.7783999999999999E-3</v>
      </c>
      <c r="C86" s="96">
        <f t="shared" si="5"/>
        <v>2.1320516962843295E-3</v>
      </c>
      <c r="D86" s="96">
        <f t="shared" si="6"/>
        <v>3.0073150242326332E-3</v>
      </c>
      <c r="E86" s="96">
        <f t="shared" si="7"/>
        <v>4.5558578352180934E-3</v>
      </c>
      <c r="F86" s="96">
        <f t="shared" ca="1" si="4"/>
        <v>3.0264352508014847E-3</v>
      </c>
      <c r="G86" s="96">
        <f t="shared" ca="1" si="8"/>
        <v>2.2490562730472629E-3</v>
      </c>
      <c r="H86" s="96">
        <f t="shared" ca="1" si="9"/>
        <v>3.1906282172759937E-3</v>
      </c>
      <c r="I86" s="96">
        <f t="shared" ca="1" si="10"/>
        <v>5.3123991127101864E-3</v>
      </c>
      <c r="K86" s="96">
        <f t="shared" si="11"/>
        <v>2.7784000000000001E-4</v>
      </c>
      <c r="L86" s="96">
        <f t="shared" si="12"/>
        <v>35890.937805931469</v>
      </c>
      <c r="M86" s="96">
        <f t="shared" si="13"/>
        <v>99.719381599999991</v>
      </c>
      <c r="N86" s="96">
        <f t="shared" si="14"/>
        <v>35791.21842433147</v>
      </c>
    </row>
    <row r="87" spans="1:14" x14ac:dyDescent="0.25">
      <c r="A87" s="96">
        <v>60</v>
      </c>
      <c r="B87" s="96">
        <f>VLOOKUP(Year_of_pregnancy,'ONS mortality stats'!$A$3:$CX$88,A86+2,TRUE)/ONS_mortality_rate_per_value</f>
        <v>3.0111999999999999E-3</v>
      </c>
      <c r="C87" s="96">
        <f t="shared" si="5"/>
        <v>2.390640147083403E-3</v>
      </c>
      <c r="D87" s="96">
        <f t="shared" si="6"/>
        <v>3.3720608390439577E-3</v>
      </c>
      <c r="E87" s="96">
        <f t="shared" si="7"/>
        <v>5.1084205248203242E-3</v>
      </c>
      <c r="F87" s="96">
        <f t="shared" ca="1" si="4"/>
        <v>3.1699617238077904E-3</v>
      </c>
      <c r="G87" s="96">
        <f t="shared" ca="1" si="8"/>
        <v>2.4591600813353271E-3</v>
      </c>
      <c r="H87" s="96">
        <f t="shared" ca="1" si="9"/>
        <v>3.4886924086057923E-3</v>
      </c>
      <c r="I87" s="96">
        <f t="shared" ca="1" si="10"/>
        <v>5.8086762837630283E-3</v>
      </c>
      <c r="K87" s="96">
        <f t="shared" si="11"/>
        <v>3.0111999999999999E-4</v>
      </c>
      <c r="L87" s="96">
        <f t="shared" si="12"/>
        <v>33108.351753453775</v>
      </c>
      <c r="M87" s="96">
        <f t="shared" si="13"/>
        <v>99.6958688</v>
      </c>
      <c r="N87" s="96">
        <f t="shared" si="14"/>
        <v>33008.655884653774</v>
      </c>
    </row>
    <row r="88" spans="1:14" x14ac:dyDescent="0.25">
      <c r="A88" s="96">
        <v>61</v>
      </c>
      <c r="B88" s="96">
        <f>VLOOKUP(Year_of_pregnancy,'ONS mortality stats'!$A$3:$CX$88,A87+2,TRUE)/ONS_mortality_rate_per_value</f>
        <v>3.2602999999999998E-3</v>
      </c>
      <c r="C88" s="96">
        <f t="shared" si="5"/>
        <v>2.5884046464984124E-3</v>
      </c>
      <c r="D88" s="96">
        <f t="shared" si="6"/>
        <v>3.6510128697977606E-3</v>
      </c>
      <c r="E88" s="96">
        <f t="shared" si="7"/>
        <v>5.5310120340966076E-3</v>
      </c>
      <c r="F88" s="96">
        <f t="shared" ca="1" si="4"/>
        <v>3.5132821376810952E-3</v>
      </c>
      <c r="G88" s="96">
        <f t="shared" ca="1" si="8"/>
        <v>2.7254976369480168E-3</v>
      </c>
      <c r="H88" s="96">
        <f t="shared" ca="1" si="9"/>
        <v>3.8665327189804114E-3</v>
      </c>
      <c r="I88" s="96">
        <f t="shared" ca="1" si="10"/>
        <v>6.4377807713093564E-3</v>
      </c>
      <c r="K88" s="96">
        <f t="shared" si="11"/>
        <v>3.2602999999999999E-4</v>
      </c>
      <c r="L88" s="96">
        <f t="shared" si="12"/>
        <v>30571.024046866853</v>
      </c>
      <c r="M88" s="96">
        <f t="shared" si="13"/>
        <v>99.670709699999989</v>
      </c>
      <c r="N88" s="96">
        <f t="shared" si="14"/>
        <v>30471.353337166849</v>
      </c>
    </row>
    <row r="89" spans="1:14" x14ac:dyDescent="0.25">
      <c r="A89" s="96">
        <v>62</v>
      </c>
      <c r="B89" s="96">
        <f>VLOOKUP(Year_of_pregnancy,'ONS mortality stats'!$A$3:$CX$88,A88+2,TRUE)/ONS_mortality_rate_per_value</f>
        <v>3.5339999999999998E-3</v>
      </c>
      <c r="C89" s="96">
        <f t="shared" si="5"/>
        <v>2.8056994818652851E-3</v>
      </c>
      <c r="D89" s="96">
        <f t="shared" si="6"/>
        <v>3.9575129533678758E-3</v>
      </c>
      <c r="E89" s="96">
        <f t="shared" si="7"/>
        <v>5.9953367875647673E-3</v>
      </c>
      <c r="F89" s="96">
        <f t="shared" ca="1" si="4"/>
        <v>3.1449397754569064E-3</v>
      </c>
      <c r="G89" s="96">
        <f t="shared" ca="1" si="8"/>
        <v>2.4397488133444272E-3</v>
      </c>
      <c r="H89" s="96">
        <f t="shared" ca="1" si="9"/>
        <v>3.46115457412513E-3</v>
      </c>
      <c r="I89" s="96">
        <f t="shared" ca="1" si="10"/>
        <v>5.7628257623300021E-3</v>
      </c>
      <c r="K89" s="96">
        <f t="shared" si="11"/>
        <v>3.5340000000000002E-4</v>
      </c>
      <c r="L89" s="96">
        <f t="shared" si="12"/>
        <v>28195.547821165808</v>
      </c>
      <c r="M89" s="96">
        <f t="shared" si="13"/>
        <v>99.643065999999962</v>
      </c>
      <c r="N89" s="96">
        <f t="shared" si="14"/>
        <v>28095.904755165808</v>
      </c>
    </row>
    <row r="90" spans="1:14" x14ac:dyDescent="0.25">
      <c r="A90" s="96">
        <v>63</v>
      </c>
      <c r="B90" s="96">
        <f>VLOOKUP(Year_of_pregnancy,'ONS mortality stats'!$A$3:$CX$88,A89+2,TRUE)/ONS_mortality_rate_per_value</f>
        <v>3.8257E-3</v>
      </c>
      <c r="C90" s="96">
        <f t="shared" si="5"/>
        <v>3.0372848069530338E-3</v>
      </c>
      <c r="D90" s="96">
        <f t="shared" si="6"/>
        <v>4.2841701487548057E-3</v>
      </c>
      <c r="E90" s="96">
        <f t="shared" si="7"/>
        <v>6.4901980611733251E-3</v>
      </c>
      <c r="F90" s="96">
        <f t="shared" ca="1" si="4"/>
        <v>3.2996861928787685E-3</v>
      </c>
      <c r="G90" s="96">
        <f t="shared" ca="1" si="8"/>
        <v>2.5597963866622465E-3</v>
      </c>
      <c r="H90" s="96">
        <f t="shared" ca="1" si="9"/>
        <v>3.6314603061041598E-3</v>
      </c>
      <c r="I90" s="96">
        <f t="shared" ca="1" si="10"/>
        <v>6.0463849731951505E-3</v>
      </c>
      <c r="K90" s="96">
        <f t="shared" si="11"/>
        <v>3.8257000000000005E-4</v>
      </c>
      <c r="L90" s="96">
        <f t="shared" si="12"/>
        <v>26038.007240504998</v>
      </c>
      <c r="M90" s="96">
        <f t="shared" si="13"/>
        <v>99.613604299999977</v>
      </c>
      <c r="N90" s="96">
        <f t="shared" si="14"/>
        <v>25938.393636204997</v>
      </c>
    </row>
    <row r="91" spans="1:14" x14ac:dyDescent="0.25">
      <c r="A91" s="96">
        <v>64</v>
      </c>
      <c r="B91" s="96">
        <f>VLOOKUP(Year_of_pregnancy,'ONS mortality stats'!$A$3:$CX$88,A90+2,TRUE)/ONS_mortality_rate_per_value</f>
        <v>4.1399999999999996E-3</v>
      </c>
      <c r="C91" s="96">
        <f t="shared" si="5"/>
        <v>3.2868126358014376E-3</v>
      </c>
      <c r="D91" s="96">
        <f t="shared" si="6"/>
        <v>4.6361357178672903E-3</v>
      </c>
      <c r="E91" s="96">
        <f t="shared" si="7"/>
        <v>7.0233996322914931E-3</v>
      </c>
      <c r="F91" s="96">
        <f t="shared" ca="1" si="4"/>
        <v>4.3376644831312205E-3</v>
      </c>
      <c r="G91" s="96">
        <f t="shared" ca="1" si="8"/>
        <v>3.3650284364724154E-3</v>
      </c>
      <c r="H91" s="96">
        <f t="shared" ca="1" si="9"/>
        <v>4.7738043774235893E-3</v>
      </c>
      <c r="I91" s="96">
        <f t="shared" ca="1" si="10"/>
        <v>7.9483889729178615E-3</v>
      </c>
      <c r="K91" s="96">
        <f t="shared" ref="K91:K122" si="15">0.1*B91</f>
        <v>4.1399999999999998E-4</v>
      </c>
      <c r="L91" s="96">
        <f t="shared" ref="L91:L122" si="16">((B91*(1-B91))/(K91^2))-1</f>
        <v>24053.589371980674</v>
      </c>
      <c r="M91" s="96">
        <f t="shared" ref="M91:M122" si="17">B91*L91</f>
        <v>99.581859999999978</v>
      </c>
      <c r="N91" s="96">
        <f t="shared" ref="N91:N122" si="18">M91*((1-B91)/B91)</f>
        <v>23954.007511980672</v>
      </c>
    </row>
    <row r="92" spans="1:14" x14ac:dyDescent="0.25">
      <c r="A92" s="96">
        <v>65</v>
      </c>
      <c r="B92" s="96">
        <f>VLOOKUP(Year_of_pregnancy,'ONS mortality stats'!$A$3:$CX$88,A91+2,TRUE)/ONS_mortality_rate_per_value</f>
        <v>4.4770999999999995E-3</v>
      </c>
      <c r="C92" s="96">
        <f t="shared" si="5"/>
        <v>3.675856370816878E-3</v>
      </c>
      <c r="D92" s="96">
        <f t="shared" si="6"/>
        <v>4.9011418277558382E-3</v>
      </c>
      <c r="E92" s="96">
        <f t="shared" si="7"/>
        <v>7.2896729716621627E-3</v>
      </c>
      <c r="F92" s="96">
        <f t="shared" ref="F92:F128" ca="1" si="19">_xlfn.BETA.INV(RAND(),M92,N92)</f>
        <v>4.9514470363637431E-3</v>
      </c>
      <c r="G92" s="96">
        <f t="shared" ca="1" si="8"/>
        <v>4.0968817306909185E-3</v>
      </c>
      <c r="H92" s="96">
        <f t="shared" ca="1" si="9"/>
        <v>4.8976964612904182E-3</v>
      </c>
      <c r="I92" s="96">
        <f t="shared" ca="1" si="10"/>
        <v>9.2162224514656995E-3</v>
      </c>
      <c r="K92" s="96">
        <f t="shared" si="15"/>
        <v>4.4770999999999998E-4</v>
      </c>
      <c r="L92" s="96">
        <f t="shared" si="16"/>
        <v>22234.887069754979</v>
      </c>
      <c r="M92" s="96">
        <f t="shared" si="17"/>
        <v>99.547812900000011</v>
      </c>
      <c r="N92" s="96">
        <f t="shared" si="18"/>
        <v>22135.339256854979</v>
      </c>
    </row>
    <row r="93" spans="1:14" x14ac:dyDescent="0.25">
      <c r="A93" s="96">
        <v>66</v>
      </c>
      <c r="B93" s="96">
        <f>VLOOKUP(Year_of_pregnancy,'ONS mortality stats'!$A$3:$CX$88,A92+2,TRUE)/ONS_mortality_rate_per_value</f>
        <v>4.8433999999999994E-3</v>
      </c>
      <c r="C93" s="96">
        <f t="shared" ref="C93:C128" si="20">B93/((VLOOKUP($A93,$A$3:$G$9,2)*1)+(VLOOKUP($A93,$A$3:$G$9,3)*VLOOKUP($A93,$A$14:$E$20,2))+(VLOOKUP($A93,$A$3:$G$9,4)*VLOOKUP($A93,$A$14:$E$20,3)))</f>
        <v>3.9766015381417583E-3</v>
      </c>
      <c r="D93" s="96">
        <f t="shared" ref="D93:D128" si="21">C93*VLOOKUP($A93,$A$14:$E$20,2)</f>
        <v>5.3021353841890117E-3</v>
      </c>
      <c r="E93" s="96">
        <f t="shared" ref="E93:E128" si="22">C93*VLOOKUP($A93,$A$14:$E$20,3)</f>
        <v>7.8860874385089721E-3</v>
      </c>
      <c r="F93" s="96">
        <f t="shared" ca="1" si="19"/>
        <v>4.3881757545021077E-3</v>
      </c>
      <c r="G93" s="96">
        <f t="shared" ref="G93:G128" ca="1" si="23">F93/((VLOOKUP($A93,$A$3:$G$9,2)*1)+(VLOOKUP($A93,$A$3:$G$9,3)*VLOOKUP($A93,$A$14:$E$20,4))+(VLOOKUP($A93,$A$3:$G$9,4)*VLOOKUP($A93,$A$14:$E$20,5)))</f>
        <v>3.6308248775863178E-3</v>
      </c>
      <c r="H93" s="96">
        <f t="shared" ref="H93:H128" ca="1" si="24">G93*VLOOKUP($A93,$A$14:$E$20,4)</f>
        <v>4.340539786956644E-3</v>
      </c>
      <c r="I93" s="96">
        <f t="shared" ref="I93:I128" ca="1" si="25">G93*VLOOKUP($A93,$A$14:$E$20,5)</f>
        <v>8.1677949117920819E-3</v>
      </c>
      <c r="K93" s="96">
        <f t="shared" si="15"/>
        <v>4.8433999999999999E-4</v>
      </c>
      <c r="L93" s="96">
        <f t="shared" si="16"/>
        <v>20545.653177519922</v>
      </c>
      <c r="M93" s="96">
        <f t="shared" si="17"/>
        <v>99.510816599999984</v>
      </c>
      <c r="N93" s="96">
        <f t="shared" si="18"/>
        <v>20446.142360919923</v>
      </c>
    </row>
    <row r="94" spans="1:14" x14ac:dyDescent="0.25">
      <c r="A94" s="96">
        <v>67</v>
      </c>
      <c r="B94" s="96">
        <f>VLOOKUP(Year_of_pregnancy,'ONS mortality stats'!$A$3:$CX$88,A93+2,TRUE)/ONS_mortality_rate_per_value</f>
        <v>5.2415999999999999E-3</v>
      </c>
      <c r="C94" s="96">
        <f t="shared" si="20"/>
        <v>4.303537726044482E-3</v>
      </c>
      <c r="D94" s="96">
        <f t="shared" si="21"/>
        <v>5.7380503013926432E-3</v>
      </c>
      <c r="E94" s="96">
        <f t="shared" si="22"/>
        <v>8.5344419039700692E-3</v>
      </c>
      <c r="F94" s="96">
        <f t="shared" ca="1" si="19"/>
        <v>5.3100759545501308E-3</v>
      </c>
      <c r="G94" s="96">
        <f t="shared" ca="1" si="23"/>
        <v>4.3936152415666122E-3</v>
      </c>
      <c r="H94" s="96">
        <f t="shared" ca="1" si="24"/>
        <v>5.2524322729871533E-3</v>
      </c>
      <c r="I94" s="96">
        <f t="shared" ca="1" si="25"/>
        <v>9.8837452712112455E-3</v>
      </c>
      <c r="K94" s="96">
        <f t="shared" si="15"/>
        <v>5.2415999999999997E-4</v>
      </c>
      <c r="L94" s="96">
        <f t="shared" si="16"/>
        <v>18977.144078144083</v>
      </c>
      <c r="M94" s="96">
        <f t="shared" si="17"/>
        <v>99.470598400000029</v>
      </c>
      <c r="N94" s="96">
        <f t="shared" si="18"/>
        <v>18877.673479744088</v>
      </c>
    </row>
    <row r="95" spans="1:14" x14ac:dyDescent="0.25">
      <c r="A95" s="96">
        <v>68</v>
      </c>
      <c r="B95" s="96">
        <f>VLOOKUP(Year_of_pregnancy,'ONS mortality stats'!$A$3:$CX$88,A94+2,TRUE)/ONS_mortality_rate_per_value</f>
        <v>5.7028999999999995E-3</v>
      </c>
      <c r="C95" s="96">
        <f t="shared" si="20"/>
        <v>4.6822812305134069E-3</v>
      </c>
      <c r="D95" s="96">
        <f t="shared" si="21"/>
        <v>6.2430416406845431E-3</v>
      </c>
      <c r="E95" s="96">
        <f t="shared" si="22"/>
        <v>9.2855366174738451E-3</v>
      </c>
      <c r="F95" s="96">
        <f t="shared" ca="1" si="19"/>
        <v>6.6336819111697531E-3</v>
      </c>
      <c r="G95" s="96">
        <f t="shared" ca="1" si="23"/>
        <v>5.4887813662336579E-3</v>
      </c>
      <c r="H95" s="96">
        <f t="shared" ca="1" si="24"/>
        <v>6.5616697872471399E-3</v>
      </c>
      <c r="I95" s="96">
        <f t="shared" ca="1" si="25"/>
        <v>1.2347398188167411E-2</v>
      </c>
      <c r="K95" s="96">
        <f t="shared" si="15"/>
        <v>5.7028999999999999E-4</v>
      </c>
      <c r="L95" s="96">
        <f t="shared" si="16"/>
        <v>17433.93836469165</v>
      </c>
      <c r="M95" s="96">
        <f t="shared" si="17"/>
        <v>99.424007099999997</v>
      </c>
      <c r="N95" s="96">
        <f t="shared" si="18"/>
        <v>17334.514357591648</v>
      </c>
    </row>
    <row r="96" spans="1:14" x14ac:dyDescent="0.25">
      <c r="A96" s="96">
        <v>69</v>
      </c>
      <c r="B96" s="96">
        <f>VLOOKUP(Year_of_pregnancy,'ONS mortality stats'!$A$3:$CX$88,A95+2,TRUE)/ONS_mortality_rate_per_value</f>
        <v>6.2315999999999995E-3</v>
      </c>
      <c r="C96" s="96">
        <f t="shared" si="20"/>
        <v>5.1163625025982123E-3</v>
      </c>
      <c r="D96" s="96">
        <f t="shared" si="21"/>
        <v>6.8218166701309504E-3</v>
      </c>
      <c r="E96" s="96">
        <f t="shared" si="22"/>
        <v>1.0146372895447932E-2</v>
      </c>
      <c r="F96" s="96">
        <f t="shared" ca="1" si="19"/>
        <v>7.4152916755411136E-3</v>
      </c>
      <c r="G96" s="96">
        <f t="shared" ca="1" si="23"/>
        <v>6.1354938809118457E-3</v>
      </c>
      <c r="H96" s="96">
        <f t="shared" ca="1" si="24"/>
        <v>7.3347947644422772E-3</v>
      </c>
      <c r="I96" s="96">
        <f t="shared" ca="1" si="25"/>
        <v>1.3802223293996324E-2</v>
      </c>
      <c r="K96" s="96">
        <f t="shared" si="15"/>
        <v>6.2315999999999999E-4</v>
      </c>
      <c r="L96" s="96">
        <f t="shared" si="16"/>
        <v>15946.24308363823</v>
      </c>
      <c r="M96" s="96">
        <f t="shared" si="17"/>
        <v>99.370608399999981</v>
      </c>
      <c r="N96" s="96">
        <f t="shared" si="18"/>
        <v>15846.87247523823</v>
      </c>
    </row>
    <row r="97" spans="1:14" x14ac:dyDescent="0.25">
      <c r="A97" s="96">
        <v>70</v>
      </c>
      <c r="B97" s="96">
        <f>VLOOKUP(Year_of_pregnancy,'ONS mortality stats'!$A$3:$CX$88,A96+2,TRUE)/ONS_mortality_rate_per_value</f>
        <v>6.7846E-3</v>
      </c>
      <c r="C97" s="96">
        <f t="shared" si="20"/>
        <v>5.5703949282893371E-3</v>
      </c>
      <c r="D97" s="96">
        <f t="shared" si="21"/>
        <v>7.4271932377191173E-3</v>
      </c>
      <c r="E97" s="96">
        <f t="shared" si="22"/>
        <v>1.1046774752303749E-2</v>
      </c>
      <c r="F97" s="96">
        <f t="shared" ca="1" si="19"/>
        <v>6.9061409141834007E-3</v>
      </c>
      <c r="G97" s="96">
        <f t="shared" ca="1" si="23"/>
        <v>5.7142169416545784E-3</v>
      </c>
      <c r="H97" s="96">
        <f t="shared" ca="1" si="24"/>
        <v>6.8311711037525131E-3</v>
      </c>
      <c r="I97" s="96">
        <f t="shared" ca="1" si="25"/>
        <v>1.2854531307483255E-2</v>
      </c>
      <c r="K97" s="96">
        <f t="shared" si="15"/>
        <v>6.7846000000000009E-4</v>
      </c>
      <c r="L97" s="96">
        <f t="shared" si="16"/>
        <v>14638.262447307134</v>
      </c>
      <c r="M97" s="96">
        <f t="shared" si="17"/>
        <v>99.314755399999981</v>
      </c>
      <c r="N97" s="96">
        <f t="shared" si="18"/>
        <v>14538.947691907133</v>
      </c>
    </row>
    <row r="98" spans="1:14" x14ac:dyDescent="0.25">
      <c r="A98" s="96">
        <v>71</v>
      </c>
      <c r="B98" s="96">
        <f>VLOOKUP(Year_of_pregnancy,'ONS mortality stats'!$A$3:$CX$88,A97+2,TRUE)/ONS_mortality_rate_per_value</f>
        <v>7.3413000000000003E-3</v>
      </c>
      <c r="C98" s="96">
        <f t="shared" si="20"/>
        <v>6.0274651839534402E-3</v>
      </c>
      <c r="D98" s="96">
        <f t="shared" si="21"/>
        <v>8.0366202452712542E-3</v>
      </c>
      <c r="E98" s="96">
        <f t="shared" si="22"/>
        <v>1.1953200997713574E-2</v>
      </c>
      <c r="F98" s="96">
        <f t="shared" ca="1" si="19"/>
        <v>7.5831270138899676E-3</v>
      </c>
      <c r="G98" s="96">
        <f t="shared" ca="1" si="23"/>
        <v>6.2743626856058997E-3</v>
      </c>
      <c r="H98" s="96">
        <f t="shared" ca="1" si="24"/>
        <v>7.5008081614702151E-3</v>
      </c>
      <c r="I98" s="96">
        <f t="shared" ca="1" si="25"/>
        <v>1.4114618398312335E-2</v>
      </c>
      <c r="K98" s="96">
        <f t="shared" si="15"/>
        <v>7.3413000000000005E-4</v>
      </c>
      <c r="L98" s="96">
        <f t="shared" si="16"/>
        <v>13520.565662757275</v>
      </c>
      <c r="M98" s="96">
        <f t="shared" si="17"/>
        <v>99.258528699999985</v>
      </c>
      <c r="N98" s="96">
        <f t="shared" si="18"/>
        <v>13421.307134057275</v>
      </c>
    </row>
    <row r="99" spans="1:14" x14ac:dyDescent="0.25">
      <c r="A99" s="96">
        <v>72</v>
      </c>
      <c r="B99" s="96">
        <f>VLOOKUP(Year_of_pregnancy,'ONS mortality stats'!$A$3:$CX$88,A98+2,TRUE)/ONS_mortality_rate_per_value</f>
        <v>7.928300000000001E-3</v>
      </c>
      <c r="C99" s="96">
        <f t="shared" si="20"/>
        <v>6.5094128039908557E-3</v>
      </c>
      <c r="D99" s="96">
        <f t="shared" si="21"/>
        <v>8.6792170719878093E-3</v>
      </c>
      <c r="E99" s="96">
        <f t="shared" si="22"/>
        <v>1.2908962100741359E-2</v>
      </c>
      <c r="F99" s="96">
        <f t="shared" ca="1" si="19"/>
        <v>8.6934129602305177E-3</v>
      </c>
      <c r="G99" s="96">
        <f t="shared" ca="1" si="23"/>
        <v>7.1930254878129034E-3</v>
      </c>
      <c r="H99" s="96">
        <f t="shared" ca="1" si="24"/>
        <v>8.5990413669305033E-3</v>
      </c>
      <c r="I99" s="96">
        <f t="shared" ca="1" si="25"/>
        <v>1.6181214726832351E-2</v>
      </c>
      <c r="K99" s="96">
        <f t="shared" si="15"/>
        <v>7.9283000000000012E-4</v>
      </c>
      <c r="L99" s="96">
        <f t="shared" si="16"/>
        <v>12512.044410529366</v>
      </c>
      <c r="M99" s="96">
        <f t="shared" si="17"/>
        <v>99.199241699999988</v>
      </c>
      <c r="N99" s="96">
        <f t="shared" si="18"/>
        <v>12412.845168829366</v>
      </c>
    </row>
    <row r="100" spans="1:14" x14ac:dyDescent="0.25">
      <c r="A100" s="96">
        <v>73</v>
      </c>
      <c r="B100" s="96">
        <f>VLOOKUP(Year_of_pregnancy,'ONS mortality stats'!$A$3:$CX$88,A99+2,TRUE)/ONS_mortality_rate_per_value</f>
        <v>8.5949000000000008E-3</v>
      </c>
      <c r="C100" s="96">
        <f t="shared" si="20"/>
        <v>7.0567148202037014E-3</v>
      </c>
      <c r="D100" s="96">
        <f t="shared" si="21"/>
        <v>9.4089530936049357E-3</v>
      </c>
      <c r="E100" s="96">
        <f t="shared" si="22"/>
        <v>1.3994328968336455E-2</v>
      </c>
      <c r="F100" s="96">
        <f t="shared" ca="1" si="19"/>
        <v>7.380668578482903E-3</v>
      </c>
      <c r="G100" s="96">
        <f t="shared" ca="1" si="23"/>
        <v>6.1068463496435138E-3</v>
      </c>
      <c r="H100" s="96">
        <f t="shared" ca="1" si="24"/>
        <v>7.3005475194055126E-3</v>
      </c>
      <c r="I100" s="96">
        <f t="shared" ca="1" si="25"/>
        <v>1.3737778665566755E-2</v>
      </c>
      <c r="K100" s="96">
        <f t="shared" si="15"/>
        <v>8.5949000000000008E-4</v>
      </c>
      <c r="L100" s="96">
        <f t="shared" si="16"/>
        <v>11533.806687686885</v>
      </c>
      <c r="M100" s="96">
        <f t="shared" si="17"/>
        <v>99.131915100000015</v>
      </c>
      <c r="N100" s="96">
        <f t="shared" si="18"/>
        <v>11434.674772586885</v>
      </c>
    </row>
    <row r="101" spans="1:14" x14ac:dyDescent="0.25">
      <c r="A101" s="96">
        <v>74</v>
      </c>
      <c r="B101" s="96">
        <f>VLOOKUP(Year_of_pregnancy,'ONS mortality stats'!$A$3:$CX$88,A100+2,TRUE)/ONS_mortality_rate_per_value</f>
        <v>9.3466E-3</v>
      </c>
      <c r="C101" s="96">
        <f t="shared" si="20"/>
        <v>7.6738869257950539E-3</v>
      </c>
      <c r="D101" s="96">
        <f t="shared" si="21"/>
        <v>1.0231849234393407E-2</v>
      </c>
      <c r="E101" s="96">
        <f t="shared" si="22"/>
        <v>1.5218256772673735E-2</v>
      </c>
      <c r="F101" s="96">
        <f t="shared" ca="1" si="19"/>
        <v>8.7159676517348066E-3</v>
      </c>
      <c r="G101" s="96">
        <f t="shared" ca="1" si="23"/>
        <v>7.2116874876054227E-3</v>
      </c>
      <c r="H101" s="96">
        <f t="shared" ca="1" si="24"/>
        <v>8.6213512153353808E-3</v>
      </c>
      <c r="I101" s="96">
        <f t="shared" ca="1" si="25"/>
        <v>1.6223196202692056E-2</v>
      </c>
      <c r="K101" s="96">
        <f t="shared" si="15"/>
        <v>9.3466000000000003E-4</v>
      </c>
      <c r="L101" s="96">
        <f t="shared" si="16"/>
        <v>10598.077739498854</v>
      </c>
      <c r="M101" s="96">
        <f t="shared" si="17"/>
        <v>99.055993399999991</v>
      </c>
      <c r="N101" s="96">
        <f t="shared" si="18"/>
        <v>10499.021746098855</v>
      </c>
    </row>
    <row r="102" spans="1:14" x14ac:dyDescent="0.25">
      <c r="A102" s="96">
        <v>75</v>
      </c>
      <c r="B102" s="96">
        <f>VLOOKUP(Year_of_pregnancy,'ONS mortality stats'!$A$3:$CX$88,A101+2,TRUE)/ONS_mortality_rate_per_value</f>
        <v>1.01672E-2</v>
      </c>
      <c r="C102" s="96">
        <f t="shared" si="20"/>
        <v>9.1366800885309719E-3</v>
      </c>
      <c r="D102" s="96">
        <f t="shared" si="21"/>
        <v>1.0478714700941307E-2</v>
      </c>
      <c r="E102" s="96">
        <f t="shared" si="22"/>
        <v>1.4369259486413695E-2</v>
      </c>
      <c r="F102" s="96">
        <f t="shared" ca="1" si="19"/>
        <v>1.0599762386132916E-2</v>
      </c>
      <c r="G102" s="96">
        <f t="shared" ca="1" si="23"/>
        <v>9.3795845719676224E-3</v>
      </c>
      <c r="H102" s="96">
        <f t="shared" ca="1" si="24"/>
        <v>1.1916367353054591E-2</v>
      </c>
      <c r="I102" s="96">
        <f t="shared" ca="1" si="25"/>
        <v>1.3205776070627655E-2</v>
      </c>
      <c r="K102" s="96">
        <f t="shared" si="15"/>
        <v>1.01672E-3</v>
      </c>
      <c r="L102" s="96">
        <f t="shared" si="16"/>
        <v>9734.5496105122347</v>
      </c>
      <c r="M102" s="96">
        <f t="shared" si="17"/>
        <v>98.973112799999981</v>
      </c>
      <c r="N102" s="96">
        <f t="shared" si="18"/>
        <v>9635.5764977122344</v>
      </c>
    </row>
    <row r="103" spans="1:14" x14ac:dyDescent="0.25">
      <c r="A103" s="96">
        <v>76</v>
      </c>
      <c r="B103" s="96">
        <f>VLOOKUP(Year_of_pregnancy,'ONS mortality stats'!$A$3:$CX$88,A102+2,TRUE)/ONS_mortality_rate_per_value</f>
        <v>1.1069000000000001E-2</v>
      </c>
      <c r="C103" s="96">
        <f t="shared" si="20"/>
        <v>9.9470760779712553E-3</v>
      </c>
      <c r="D103" s="96">
        <f t="shared" si="21"/>
        <v>1.1408145116130237E-2</v>
      </c>
      <c r="E103" s="96">
        <f t="shared" si="22"/>
        <v>1.5643769499480015E-2</v>
      </c>
      <c r="F103" s="96">
        <f t="shared" ca="1" si="19"/>
        <v>1.2865030288054857E-2</v>
      </c>
      <c r="G103" s="96">
        <f t="shared" ca="1" si="23"/>
        <v>1.1384089115582405E-2</v>
      </c>
      <c r="H103" s="96">
        <f t="shared" ca="1" si="24"/>
        <v>1.4463005993530112E-2</v>
      </c>
      <c r="I103" s="96">
        <f t="shared" ca="1" si="25"/>
        <v>1.6027973357983581E-2</v>
      </c>
      <c r="K103" s="96">
        <f t="shared" si="15"/>
        <v>1.1069000000000001E-3</v>
      </c>
      <c r="L103" s="96">
        <f t="shared" si="16"/>
        <v>8933.2397687234607</v>
      </c>
      <c r="M103" s="96">
        <f t="shared" si="17"/>
        <v>98.882030999999998</v>
      </c>
      <c r="N103" s="96">
        <f t="shared" si="18"/>
        <v>8834.3577377234615</v>
      </c>
    </row>
    <row r="104" spans="1:14" x14ac:dyDescent="0.25">
      <c r="A104" s="96">
        <v>77</v>
      </c>
      <c r="B104" s="96">
        <f>VLOOKUP(Year_of_pregnancy,'ONS mortality stats'!$A$3:$CX$88,A103+2,TRUE)/ONS_mortality_rate_per_value</f>
        <v>1.2073499999999999E-2</v>
      </c>
      <c r="C104" s="96">
        <f t="shared" si="20"/>
        <v>1.0849762672995386E-2</v>
      </c>
      <c r="D104" s="96">
        <f t="shared" si="21"/>
        <v>1.2443422175408654E-2</v>
      </c>
      <c r="E104" s="96">
        <f t="shared" si="22"/>
        <v>1.7063424975333988E-2</v>
      </c>
      <c r="F104" s="96">
        <f t="shared" ca="1" si="19"/>
        <v>1.3399600684668167E-2</v>
      </c>
      <c r="G104" s="96">
        <f t="shared" ca="1" si="23"/>
        <v>1.1857123138615262E-2</v>
      </c>
      <c r="H104" s="96">
        <f t="shared" ca="1" si="24"/>
        <v>1.5063975806820076E-2</v>
      </c>
      <c r="I104" s="96">
        <f t="shared" ca="1" si="25"/>
        <v>1.6693971018544106E-2</v>
      </c>
      <c r="K104" s="96">
        <f t="shared" si="15"/>
        <v>1.20735E-3</v>
      </c>
      <c r="L104" s="96">
        <f t="shared" si="16"/>
        <v>8181.6023936720912</v>
      </c>
      <c r="M104" s="96">
        <f t="shared" si="17"/>
        <v>98.780576499999981</v>
      </c>
      <c r="N104" s="96">
        <f t="shared" si="18"/>
        <v>8082.821817172091</v>
      </c>
    </row>
    <row r="105" spans="1:14" x14ac:dyDescent="0.25">
      <c r="A105" s="96">
        <v>78</v>
      </c>
      <c r="B105" s="96">
        <f>VLOOKUP(Year_of_pregnancy,'ONS mortality stats'!$A$3:$CX$88,A104+2,TRUE)/ONS_mortality_rate_per_value</f>
        <v>1.3192600000000001E-2</v>
      </c>
      <c r="C105" s="96">
        <f t="shared" si="20"/>
        <v>1.185543372176742E-2</v>
      </c>
      <c r="D105" s="96">
        <f t="shared" si="21"/>
        <v>1.3596810485053732E-2</v>
      </c>
      <c r="E105" s="96">
        <f t="shared" si="22"/>
        <v>1.8645044132156476E-2</v>
      </c>
      <c r="F105" s="96">
        <f t="shared" ca="1" si="19"/>
        <v>1.3209173901070459E-2</v>
      </c>
      <c r="G105" s="96">
        <f t="shared" ca="1" si="23"/>
        <v>1.1688617085700419E-2</v>
      </c>
      <c r="H105" s="96">
        <f t="shared" ca="1" si="24"/>
        <v>1.4849895960069966E-2</v>
      </c>
      <c r="I105" s="96">
        <f t="shared" ca="1" si="25"/>
        <v>1.6456726694526892E-2</v>
      </c>
      <c r="K105" s="96">
        <f t="shared" si="15"/>
        <v>1.3192600000000001E-3</v>
      </c>
      <c r="L105" s="96">
        <f t="shared" si="16"/>
        <v>7479.0069736064161</v>
      </c>
      <c r="M105" s="96">
        <f t="shared" si="17"/>
        <v>98.667547400000004</v>
      </c>
      <c r="N105" s="96">
        <f t="shared" si="18"/>
        <v>7380.3394262064166</v>
      </c>
    </row>
    <row r="106" spans="1:14" x14ac:dyDescent="0.25">
      <c r="A106" s="96">
        <v>79</v>
      </c>
      <c r="B106" s="96">
        <f>VLOOKUP(Year_of_pregnancy,'ONS mortality stats'!$A$3:$CX$88,A105+2,TRUE)/ONS_mortality_rate_per_value</f>
        <v>1.4426900000000001E-2</v>
      </c>
      <c r="C106" s="96">
        <f t="shared" si="20"/>
        <v>1.2964628409909071E-2</v>
      </c>
      <c r="D106" s="96">
        <f t="shared" si="21"/>
        <v>1.486892842857524E-2</v>
      </c>
      <c r="E106" s="96">
        <f t="shared" si="22"/>
        <v>2.038947494733474E-2</v>
      </c>
      <c r="F106" s="96">
        <f t="shared" ca="1" si="19"/>
        <v>1.3333924574779308E-2</v>
      </c>
      <c r="G106" s="96">
        <f t="shared" ca="1" si="23"/>
        <v>1.1799007248407545E-2</v>
      </c>
      <c r="H106" s="96">
        <f t="shared" ca="1" si="24"/>
        <v>1.4990142014774031E-2</v>
      </c>
      <c r="I106" s="96">
        <f t="shared" ca="1" si="25"/>
        <v>1.6612148052256026E-2</v>
      </c>
      <c r="K106" s="96">
        <f t="shared" si="15"/>
        <v>1.4426900000000002E-3</v>
      </c>
      <c r="L106" s="96">
        <f t="shared" si="16"/>
        <v>6830.4960247870285</v>
      </c>
      <c r="M106" s="96">
        <f t="shared" si="17"/>
        <v>98.542883099999983</v>
      </c>
      <c r="N106" s="96">
        <f t="shared" si="18"/>
        <v>6731.9531416870277</v>
      </c>
    </row>
    <row r="107" spans="1:14" x14ac:dyDescent="0.25">
      <c r="A107" s="96">
        <v>80</v>
      </c>
      <c r="B107" s="96">
        <f>VLOOKUP(Year_of_pregnancy,'ONS mortality stats'!$A$3:$CX$88,A106+2,TRUE)/ONS_mortality_rate_per_value</f>
        <v>1.5786600000000001E-2</v>
      </c>
      <c r="C107" s="96">
        <f t="shared" si="20"/>
        <v>1.4186512892989521E-2</v>
      </c>
      <c r="D107" s="96">
        <f t="shared" si="21"/>
        <v>1.6270288525639314E-2</v>
      </c>
      <c r="E107" s="96">
        <f t="shared" si="22"/>
        <v>2.2311133036452362E-2</v>
      </c>
      <c r="F107" s="96">
        <f t="shared" ca="1" si="19"/>
        <v>1.728287979351939E-2</v>
      </c>
      <c r="G107" s="96">
        <f t="shared" ca="1" si="23"/>
        <v>1.5293383640612555E-2</v>
      </c>
      <c r="H107" s="96">
        <f t="shared" ca="1" si="24"/>
        <v>1.9429600120819051E-2</v>
      </c>
      <c r="I107" s="96">
        <f t="shared" ca="1" si="25"/>
        <v>2.1531977047653288E-2</v>
      </c>
      <c r="K107" s="96">
        <f t="shared" si="15"/>
        <v>1.5786600000000002E-3</v>
      </c>
      <c r="L107" s="96">
        <f t="shared" si="16"/>
        <v>6233.4862098235208</v>
      </c>
      <c r="M107" s="96">
        <f t="shared" si="17"/>
        <v>98.405553400000002</v>
      </c>
      <c r="N107" s="96">
        <f t="shared" si="18"/>
        <v>6135.0806564235208</v>
      </c>
    </row>
    <row r="108" spans="1:14" x14ac:dyDescent="0.25">
      <c r="A108" s="96">
        <v>81</v>
      </c>
      <c r="B108" s="96">
        <f>VLOOKUP(Year_of_pregnancy,'ONS mortality stats'!$A$3:$CX$88,A107+2,TRUE)/ONS_mortality_rate_per_value</f>
        <v>1.72975E-2</v>
      </c>
      <c r="C108" s="96">
        <f t="shared" si="20"/>
        <v>1.5544272152742594E-2</v>
      </c>
      <c r="D108" s="96">
        <f t="shared" si="21"/>
        <v>1.7827481267166208E-2</v>
      </c>
      <c r="E108" s="96">
        <f t="shared" si="22"/>
        <v>2.444648142716194E-2</v>
      </c>
      <c r="F108" s="96">
        <f t="shared" ca="1" si="19"/>
        <v>1.7259598038302904E-2</v>
      </c>
      <c r="G108" s="96">
        <f t="shared" ca="1" si="23"/>
        <v>1.527278193426463E-2</v>
      </c>
      <c r="H108" s="96">
        <f t="shared" ca="1" si="24"/>
        <v>1.9403426520159237E-2</v>
      </c>
      <c r="I108" s="96">
        <f t="shared" ca="1" si="25"/>
        <v>2.1502971336513733E-2</v>
      </c>
      <c r="K108" s="96">
        <f t="shared" si="15"/>
        <v>1.7297500000000002E-3</v>
      </c>
      <c r="L108" s="96">
        <f t="shared" si="16"/>
        <v>5680.1822517704868</v>
      </c>
      <c r="M108" s="96">
        <f t="shared" si="17"/>
        <v>98.252952499999992</v>
      </c>
      <c r="N108" s="96">
        <f t="shared" si="18"/>
        <v>5581.9292992704868</v>
      </c>
    </row>
    <row r="109" spans="1:14" x14ac:dyDescent="0.25">
      <c r="A109" s="96">
        <v>82</v>
      </c>
      <c r="B109" s="96">
        <f>VLOOKUP(Year_of_pregnancy,'ONS mortality stats'!$A$3:$CX$88,A108+2,TRUE)/ONS_mortality_rate_per_value</f>
        <v>1.8985100000000001E-2</v>
      </c>
      <c r="C109" s="96">
        <f t="shared" si="20"/>
        <v>1.7060821578091252E-2</v>
      </c>
      <c r="D109" s="96">
        <f t="shared" si="21"/>
        <v>1.9566787952321273E-2</v>
      </c>
      <c r="E109" s="96">
        <f t="shared" si="22"/>
        <v>2.6831559158422443E-2</v>
      </c>
      <c r="F109" s="96">
        <f t="shared" ca="1" si="19"/>
        <v>1.8038547561703987E-2</v>
      </c>
      <c r="G109" s="96">
        <f t="shared" ca="1" si="23"/>
        <v>1.5962063699825023E-2</v>
      </c>
      <c r="H109" s="96">
        <f t="shared" ca="1" si="24"/>
        <v>2.0279129987104644E-2</v>
      </c>
      <c r="I109" s="96">
        <f t="shared" ca="1" si="25"/>
        <v>2.2473430163950682E-2</v>
      </c>
      <c r="K109" s="96">
        <f t="shared" si="15"/>
        <v>1.8985100000000002E-3</v>
      </c>
      <c r="L109" s="96">
        <f t="shared" si="16"/>
        <v>5166.2885578690648</v>
      </c>
      <c r="M109" s="96">
        <f t="shared" si="17"/>
        <v>98.082504899999989</v>
      </c>
      <c r="N109" s="96">
        <f t="shared" si="18"/>
        <v>5068.2060529690652</v>
      </c>
    </row>
    <row r="110" spans="1:14" x14ac:dyDescent="0.25">
      <c r="A110" s="96">
        <v>83</v>
      </c>
      <c r="B110" s="96">
        <f>VLOOKUP(Year_of_pregnancy,'ONS mortality stats'!$A$3:$CX$88,A109+2,TRUE)/ONS_mortality_rate_per_value</f>
        <v>2.0869499999999999E-2</v>
      </c>
      <c r="C110" s="96">
        <f t="shared" si="20"/>
        <v>1.8754223887363003E-2</v>
      </c>
      <c r="D110" s="96">
        <f t="shared" si="21"/>
        <v>2.1508924428681898E-2</v>
      </c>
      <c r="E110" s="96">
        <f t="shared" si="22"/>
        <v>2.9494773472707392E-2</v>
      </c>
      <c r="F110" s="96">
        <f t="shared" ca="1" si="19"/>
        <v>2.204292382924844E-2</v>
      </c>
      <c r="G110" s="96">
        <f t="shared" ca="1" si="23"/>
        <v>1.9505481419126929E-2</v>
      </c>
      <c r="H110" s="96">
        <f t="shared" ca="1" si="24"/>
        <v>2.4780893034768773E-2</v>
      </c>
      <c r="I110" s="96">
        <f t="shared" ca="1" si="25"/>
        <v>2.7462305797701585E-2</v>
      </c>
      <c r="K110" s="96">
        <f t="shared" si="15"/>
        <v>2.0869500000000002E-3</v>
      </c>
      <c r="L110" s="96">
        <f t="shared" si="16"/>
        <v>4690.6816406717926</v>
      </c>
      <c r="M110" s="96">
        <f t="shared" si="17"/>
        <v>97.892180499999967</v>
      </c>
      <c r="N110" s="96">
        <f t="shared" si="18"/>
        <v>4592.7894601717926</v>
      </c>
    </row>
    <row r="111" spans="1:14" x14ac:dyDescent="0.25">
      <c r="A111" s="96">
        <v>84</v>
      </c>
      <c r="B111" s="96">
        <f>VLOOKUP(Year_of_pregnancy,'ONS mortality stats'!$A$3:$CX$88,A110+2,TRUE)/ONS_mortality_rate_per_value</f>
        <v>2.2964899999999996E-2</v>
      </c>
      <c r="C111" s="96">
        <f t="shared" si="20"/>
        <v>2.063723980693848E-2</v>
      </c>
      <c r="D111" s="96">
        <f t="shared" si="21"/>
        <v>2.3668525772646058E-2</v>
      </c>
      <c r="E111" s="96">
        <f t="shared" si="22"/>
        <v>3.2456193168182178E-2</v>
      </c>
      <c r="F111" s="96">
        <f t="shared" ca="1" si="19"/>
        <v>2.4576734211459561E-2</v>
      </c>
      <c r="G111" s="96">
        <f t="shared" ca="1" si="23"/>
        <v>2.1747615525866029E-2</v>
      </c>
      <c r="H111" s="96">
        <f t="shared" ca="1" si="24"/>
        <v>2.762943003187281E-2</v>
      </c>
      <c r="I111" s="96">
        <f t="shared" ca="1" si="25"/>
        <v>3.0619068307461864E-2</v>
      </c>
      <c r="K111" s="96">
        <f t="shared" si="15"/>
        <v>2.2964899999999996E-3</v>
      </c>
      <c r="L111" s="96">
        <f t="shared" si="16"/>
        <v>4253.4713889457407</v>
      </c>
      <c r="M111" s="96">
        <f t="shared" si="17"/>
        <v>97.680545100000032</v>
      </c>
      <c r="N111" s="96">
        <f t="shared" si="18"/>
        <v>4155.7908438457407</v>
      </c>
    </row>
    <row r="112" spans="1:14" x14ac:dyDescent="0.25">
      <c r="A112" s="96">
        <v>85</v>
      </c>
      <c r="B112" s="96">
        <f>VLOOKUP(Year_of_pregnancy,'ONS mortality stats'!$A$3:$CX$88,A111+2,TRUE)/ONS_mortality_rate_per_value</f>
        <v>2.52819E-2</v>
      </c>
      <c r="C112" s="96">
        <f t="shared" si="20"/>
        <v>2.3954593856425128E-2</v>
      </c>
      <c r="D112" s="96">
        <f t="shared" si="21"/>
        <v>2.5531675658360592E-2</v>
      </c>
      <c r="E112" s="96">
        <f t="shared" si="22"/>
        <v>3.1072773881377077E-2</v>
      </c>
      <c r="F112" s="96">
        <f t="shared" ca="1" si="19"/>
        <v>2.7217669174774972E-2</v>
      </c>
      <c r="G112" s="96">
        <f t="shared" ca="1" si="23"/>
        <v>2.376629858797883E-2</v>
      </c>
      <c r="H112" s="96">
        <f t="shared" ca="1" si="24"/>
        <v>3.0924670409066105E-2</v>
      </c>
      <c r="I112" s="96">
        <f t="shared" ca="1" si="25"/>
        <v>3.4631790591895202E-2</v>
      </c>
      <c r="K112" s="96">
        <f t="shared" si="15"/>
        <v>2.52819E-3</v>
      </c>
      <c r="L112" s="96">
        <f t="shared" si="16"/>
        <v>3854.3989217582543</v>
      </c>
      <c r="M112" s="96">
        <f t="shared" si="17"/>
        <v>97.446528100000009</v>
      </c>
      <c r="N112" s="96">
        <f t="shared" si="18"/>
        <v>3756.9523936582546</v>
      </c>
    </row>
    <row r="113" spans="1:14" x14ac:dyDescent="0.25">
      <c r="A113" s="96">
        <v>86</v>
      </c>
      <c r="B113" s="96">
        <f>VLOOKUP(Year_of_pregnancy,'ONS mortality stats'!$A$3:$CX$88,A112+2,TRUE)/ONS_mortality_rate_per_value</f>
        <v>2.7843000000000003E-2</v>
      </c>
      <c r="C113" s="96">
        <f t="shared" si="20"/>
        <v>2.6381235458744989E-2</v>
      </c>
      <c r="D113" s="96">
        <f t="shared" si="21"/>
        <v>2.8118078362612545E-2</v>
      </c>
      <c r="E113" s="96">
        <f t="shared" si="22"/>
        <v>3.4220499376201238E-2</v>
      </c>
      <c r="F113" s="96">
        <f t="shared" ca="1" si="19"/>
        <v>2.6812901210331811E-2</v>
      </c>
      <c r="G113" s="96">
        <f t="shared" ca="1" si="23"/>
        <v>2.3412857731598662E-2</v>
      </c>
      <c r="H113" s="96">
        <f t="shared" ca="1" si="24"/>
        <v>3.0464773721654154E-2</v>
      </c>
      <c r="I113" s="96">
        <f t="shared" ca="1" si="25"/>
        <v>3.4116763412569542E-2</v>
      </c>
      <c r="K113" s="96">
        <f t="shared" si="15"/>
        <v>2.7843000000000004E-3</v>
      </c>
      <c r="L113" s="96">
        <f t="shared" si="16"/>
        <v>3490.5670006823966</v>
      </c>
      <c r="M113" s="96">
        <f t="shared" si="17"/>
        <v>97.18785699999998</v>
      </c>
      <c r="N113" s="96">
        <f t="shared" si="18"/>
        <v>3393.3791436823967</v>
      </c>
    </row>
    <row r="114" spans="1:14" x14ac:dyDescent="0.25">
      <c r="A114" s="96">
        <v>87</v>
      </c>
      <c r="B114" s="96">
        <f>VLOOKUP(Year_of_pregnancy,'ONS mortality stats'!$A$3:$CX$88,A113+2,TRUE)/ONS_mortality_rate_per_value</f>
        <v>3.0662700000000001E-2</v>
      </c>
      <c r="C114" s="96">
        <f t="shared" si="20"/>
        <v>2.9052900495667132E-2</v>
      </c>
      <c r="D114" s="96">
        <f t="shared" si="21"/>
        <v>3.0965635937552694E-2</v>
      </c>
      <c r="E114" s="96">
        <f t="shared" si="22"/>
        <v>3.768605776039384E-2</v>
      </c>
      <c r="F114" s="96">
        <f t="shared" ca="1" si="19"/>
        <v>3.0932039007069756E-2</v>
      </c>
      <c r="G114" s="96">
        <f t="shared" ca="1" si="23"/>
        <v>2.7009663107315139E-2</v>
      </c>
      <c r="H114" s="96">
        <f t="shared" ca="1" si="24"/>
        <v>3.514493122947282E-2</v>
      </c>
      <c r="I114" s="96">
        <f t="shared" ca="1" si="25"/>
        <v>3.9357958633209469E-2</v>
      </c>
      <c r="K114" s="96">
        <f t="shared" si="15"/>
        <v>3.0662700000000003E-3</v>
      </c>
      <c r="L114" s="96">
        <f t="shared" si="16"/>
        <v>3160.2914061710148</v>
      </c>
      <c r="M114" s="96">
        <f t="shared" si="17"/>
        <v>96.903067299999975</v>
      </c>
      <c r="N114" s="96">
        <f t="shared" si="18"/>
        <v>3063.3883388710146</v>
      </c>
    </row>
    <row r="115" spans="1:14" x14ac:dyDescent="0.25">
      <c r="A115" s="96">
        <v>88</v>
      </c>
      <c r="B115" s="96">
        <f>VLOOKUP(Year_of_pregnancy,'ONS mortality stats'!$A$3:$CX$88,A114+2,TRUE)/ONS_mortality_rate_per_value</f>
        <v>3.3734600000000003E-2</v>
      </c>
      <c r="C115" s="96">
        <f t="shared" si="20"/>
        <v>3.1963524968810067E-2</v>
      </c>
      <c r="D115" s="96">
        <f t="shared" si="21"/>
        <v>3.4067885153589376E-2</v>
      </c>
      <c r="E115" s="96">
        <f t="shared" si="22"/>
        <v>4.1461583100111277E-2</v>
      </c>
      <c r="F115" s="96">
        <f t="shared" ca="1" si="19"/>
        <v>3.9865466239411229E-2</v>
      </c>
      <c r="G115" s="96">
        <f t="shared" ca="1" si="23"/>
        <v>3.4810275924469204E-2</v>
      </c>
      <c r="H115" s="96">
        <f t="shared" ca="1" si="24"/>
        <v>4.5295076380019852E-2</v>
      </c>
      <c r="I115" s="96">
        <f t="shared" ca="1" si="25"/>
        <v>5.0724860743442853E-2</v>
      </c>
      <c r="K115" s="96">
        <f t="shared" si="15"/>
        <v>3.3734600000000004E-3</v>
      </c>
      <c r="L115" s="96">
        <f t="shared" si="16"/>
        <v>2863.3155691782322</v>
      </c>
      <c r="M115" s="96">
        <f t="shared" si="17"/>
        <v>96.592805400000003</v>
      </c>
      <c r="N115" s="96">
        <f t="shared" si="18"/>
        <v>2766.7227637782321</v>
      </c>
    </row>
    <row r="116" spans="1:14" x14ac:dyDescent="0.25">
      <c r="A116" s="96">
        <v>89</v>
      </c>
      <c r="B116" s="96">
        <f>VLOOKUP(Year_of_pregnancy,'ONS mortality stats'!$A$3:$CX$88,A115+2,TRUE)/ONS_mortality_rate_per_value</f>
        <v>3.7037899999999999E-2</v>
      </c>
      <c r="C116" s="96">
        <f t="shared" si="20"/>
        <v>3.5093400883433927E-2</v>
      </c>
      <c r="D116" s="96">
        <f t="shared" si="21"/>
        <v>3.7403820514549685E-2</v>
      </c>
      <c r="E116" s="96">
        <f t="shared" si="22"/>
        <v>4.5521511110361797E-2</v>
      </c>
      <c r="F116" s="96">
        <f t="shared" ca="1" si="19"/>
        <v>3.5935002724089199E-2</v>
      </c>
      <c r="G116" s="96">
        <f t="shared" ca="1" si="23"/>
        <v>3.1378219751897529E-2</v>
      </c>
      <c r="H116" s="96">
        <f t="shared" ca="1" si="24"/>
        <v>4.0829290276673327E-2</v>
      </c>
      <c r="I116" s="96">
        <f t="shared" ca="1" si="25"/>
        <v>4.572373487488867E-2</v>
      </c>
      <c r="K116" s="96">
        <f t="shared" si="15"/>
        <v>3.7037900000000002E-3</v>
      </c>
      <c r="L116" s="96">
        <f t="shared" si="16"/>
        <v>2598.9370914657688</v>
      </c>
      <c r="M116" s="96">
        <f t="shared" si="17"/>
        <v>96.259172100000001</v>
      </c>
      <c r="N116" s="96">
        <f t="shared" si="18"/>
        <v>2502.677919365769</v>
      </c>
    </row>
    <row r="117" spans="1:14" x14ac:dyDescent="0.25">
      <c r="A117" s="96">
        <v>90</v>
      </c>
      <c r="B117" s="96">
        <f>VLOOKUP(Year_of_pregnancy,'ONS mortality stats'!$A$3:$CX$88,A116+2,TRUE)/ONS_mortality_rate_per_value</f>
        <v>4.0586199999999996E-2</v>
      </c>
      <c r="C117" s="96">
        <f t="shared" si="20"/>
        <v>3.8455414236099404E-2</v>
      </c>
      <c r="D117" s="96">
        <f t="shared" si="21"/>
        <v>4.0987176383315914E-2</v>
      </c>
      <c r="E117" s="96">
        <f t="shared" si="22"/>
        <v>4.9882556900563105E-2</v>
      </c>
      <c r="F117" s="96">
        <f t="shared" ca="1" si="19"/>
        <v>3.8786555490481558E-2</v>
      </c>
      <c r="G117" s="96">
        <f t="shared" ca="1" si="23"/>
        <v>3.386817780268709E-2</v>
      </c>
      <c r="H117" s="96">
        <f t="shared" ca="1" si="24"/>
        <v>4.4069219783071753E-2</v>
      </c>
      <c r="I117" s="96">
        <f t="shared" ca="1" si="25"/>
        <v>4.9352053583346045E-2</v>
      </c>
      <c r="K117" s="96">
        <f t="shared" si="15"/>
        <v>4.0586199999999998E-3</v>
      </c>
      <c r="L117" s="96">
        <f t="shared" si="16"/>
        <v>2362.891667611158</v>
      </c>
      <c r="M117" s="96">
        <f t="shared" si="17"/>
        <v>95.900793799999974</v>
      </c>
      <c r="N117" s="96">
        <f t="shared" si="18"/>
        <v>2266.9908738111581</v>
      </c>
    </row>
    <row r="118" spans="1:14" x14ac:dyDescent="0.25">
      <c r="A118" s="96">
        <v>91</v>
      </c>
      <c r="B118" s="96">
        <f>VLOOKUP(Year_of_pregnancy,'ONS mortality stats'!$A$3:$CX$88,A117+2,TRUE)/ONS_mortality_rate_per_value</f>
        <v>4.4435299999999997E-2</v>
      </c>
      <c r="C118" s="96">
        <f t="shared" si="20"/>
        <v>4.2102435512695151E-2</v>
      </c>
      <c r="D118" s="96">
        <f t="shared" si="21"/>
        <v>4.4874304042890382E-2</v>
      </c>
      <c r="E118" s="96">
        <f t="shared" si="22"/>
        <v>5.461330158141417E-2</v>
      </c>
      <c r="F118" s="96">
        <f t="shared" ca="1" si="19"/>
        <v>4.5150934001412901E-2</v>
      </c>
      <c r="G118" s="96">
        <f t="shared" ca="1" si="23"/>
        <v>3.9425513335220284E-2</v>
      </c>
      <c r="H118" s="96">
        <f t="shared" ca="1" si="24"/>
        <v>5.1300416052864825E-2</v>
      </c>
      <c r="I118" s="96">
        <f t="shared" ca="1" si="25"/>
        <v>5.7450095426047454E-2</v>
      </c>
      <c r="K118" s="96">
        <f t="shared" si="15"/>
        <v>4.4435300000000002E-3</v>
      </c>
      <c r="L118" s="96">
        <f t="shared" si="16"/>
        <v>2149.463032768992</v>
      </c>
      <c r="M118" s="96">
        <f t="shared" si="17"/>
        <v>95.512034699999987</v>
      </c>
      <c r="N118" s="96">
        <f t="shared" si="18"/>
        <v>2053.9509980689922</v>
      </c>
    </row>
    <row r="119" spans="1:14" x14ac:dyDescent="0.25">
      <c r="A119" s="96">
        <v>92</v>
      </c>
      <c r="B119" s="96">
        <f>VLOOKUP(Year_of_pregnancy,'ONS mortality stats'!$A$3:$CX$88,A118+2,TRUE)/ONS_mortality_rate_per_value</f>
        <v>4.8581599999999996E-2</v>
      </c>
      <c r="C119" s="96">
        <f t="shared" si="20"/>
        <v>4.6031053714131569E-2</v>
      </c>
      <c r="D119" s="96">
        <f t="shared" si="21"/>
        <v>4.9061567926627775E-2</v>
      </c>
      <c r="E119" s="96">
        <f t="shared" si="22"/>
        <v>5.9709320565127955E-2</v>
      </c>
      <c r="F119" s="96">
        <f t="shared" ca="1" si="19"/>
        <v>4.9949525545209039E-2</v>
      </c>
      <c r="G119" s="96">
        <f t="shared" ca="1" si="23"/>
        <v>4.3615613475657906E-2</v>
      </c>
      <c r="H119" s="96">
        <f t="shared" ca="1" si="24"/>
        <v>5.6752567777052801E-2</v>
      </c>
      <c r="I119" s="96">
        <f t="shared" ca="1" si="25"/>
        <v>6.3555828301763512E-2</v>
      </c>
      <c r="K119" s="96">
        <f t="shared" si="15"/>
        <v>4.8581600000000003E-3</v>
      </c>
      <c r="L119" s="96">
        <f t="shared" si="16"/>
        <v>1957.3924778105286</v>
      </c>
      <c r="M119" s="96">
        <f t="shared" si="17"/>
        <v>95.093258399999968</v>
      </c>
      <c r="N119" s="96">
        <f t="shared" si="18"/>
        <v>1862.2992194105286</v>
      </c>
    </row>
    <row r="120" spans="1:14" x14ac:dyDescent="0.25">
      <c r="A120" s="96">
        <v>93</v>
      </c>
      <c r="B120" s="96">
        <f>VLOOKUP(Year_of_pregnancy,'ONS mortality stats'!$A$3:$CX$88,A119+2,TRUE)/ONS_mortality_rate_per_value</f>
        <v>5.3004599999999999E-2</v>
      </c>
      <c r="C120" s="96">
        <f t="shared" si="20"/>
        <v>5.0221845095592951E-2</v>
      </c>
      <c r="D120" s="96">
        <f t="shared" si="21"/>
        <v>5.3528265502242316E-2</v>
      </c>
      <c r="E120" s="96">
        <f t="shared" si="22"/>
        <v>6.5145418282361672E-2</v>
      </c>
      <c r="F120" s="96">
        <f t="shared" ca="1" si="19"/>
        <v>5.7074925766316342E-2</v>
      </c>
      <c r="G120" s="96">
        <f t="shared" ca="1" si="23"/>
        <v>4.9837468408431979E-2</v>
      </c>
      <c r="H120" s="96">
        <f t="shared" ca="1" si="24"/>
        <v>6.4848435647129221E-2</v>
      </c>
      <c r="I120" s="96">
        <f t="shared" ca="1" si="25"/>
        <v>7.2622194960725292E-2</v>
      </c>
      <c r="K120" s="96">
        <f t="shared" si="15"/>
        <v>5.3004599999999999E-3</v>
      </c>
      <c r="L120" s="96">
        <f t="shared" si="16"/>
        <v>1785.628707697068</v>
      </c>
      <c r="M120" s="96">
        <f t="shared" si="17"/>
        <v>94.646535400000005</v>
      </c>
      <c r="N120" s="96">
        <f t="shared" si="18"/>
        <v>1690.982172297068</v>
      </c>
    </row>
    <row r="121" spans="1:14" x14ac:dyDescent="0.25">
      <c r="A121" s="96">
        <v>94</v>
      </c>
      <c r="B121" s="96">
        <f>VLOOKUP(Year_of_pregnancy,'ONS mortality stats'!$A$3:$CX$88,A120+2,TRUE)/ONS_mortality_rate_per_value</f>
        <v>5.7724999999999999E-2</v>
      </c>
      <c r="C121" s="96">
        <f t="shared" si="20"/>
        <v>5.4694422901844425E-2</v>
      </c>
      <c r="D121" s="96">
        <f t="shared" si="21"/>
        <v>5.8295301277944508E-2</v>
      </c>
      <c r="E121" s="96">
        <f t="shared" si="22"/>
        <v>7.0947036112890716E-2</v>
      </c>
      <c r="F121" s="96">
        <f t="shared" ca="1" si="19"/>
        <v>6.8686810571631729E-2</v>
      </c>
      <c r="G121" s="96">
        <f t="shared" ca="1" si="23"/>
        <v>5.997689363548659E-2</v>
      </c>
      <c r="H121" s="96">
        <f t="shared" ca="1" si="24"/>
        <v>7.8041839833451879E-2</v>
      </c>
      <c r="I121" s="96">
        <f t="shared" ca="1" si="25"/>
        <v>8.7397169275116315E-2</v>
      </c>
      <c r="K121" s="96">
        <f t="shared" si="15"/>
        <v>5.7724999999999999E-3</v>
      </c>
      <c r="L121" s="96">
        <f t="shared" si="16"/>
        <v>1631.3516673884799</v>
      </c>
      <c r="M121" s="96">
        <f t="shared" si="17"/>
        <v>94.169775000000001</v>
      </c>
      <c r="N121" s="96">
        <f t="shared" si="18"/>
        <v>1537.18189238848</v>
      </c>
    </row>
    <row r="122" spans="1:14" x14ac:dyDescent="0.25">
      <c r="A122" s="96">
        <v>95</v>
      </c>
      <c r="B122" s="96">
        <f>VLOOKUP(Year_of_pregnancy,'ONS mortality stats'!$A$3:$CX$88,A121+2,TRUE)/ONS_mortality_rate_per_value</f>
        <v>6.2807500000000002E-2</v>
      </c>
      <c r="C122" s="96">
        <f t="shared" si="20"/>
        <v>5.9510090366523931E-2</v>
      </c>
      <c r="D122" s="96">
        <f t="shared" si="21"/>
        <v>6.3428014465387608E-2</v>
      </c>
      <c r="E122" s="96">
        <f t="shared" si="22"/>
        <v>7.7193693731665375E-2</v>
      </c>
      <c r="F122" s="96">
        <f t="shared" ca="1" si="19"/>
        <v>6.3497425411466302E-2</v>
      </c>
      <c r="G122" s="96">
        <f t="shared" ca="1" si="23"/>
        <v>5.5445554952054395E-2</v>
      </c>
      <c r="H122" s="96">
        <f t="shared" ca="1" si="24"/>
        <v>7.2145669052871383E-2</v>
      </c>
      <c r="I122" s="96">
        <f t="shared" ca="1" si="25"/>
        <v>8.0794190195111262E-2</v>
      </c>
      <c r="K122" s="96">
        <f t="shared" si="15"/>
        <v>6.2807500000000007E-3</v>
      </c>
      <c r="L122" s="96">
        <f t="shared" si="16"/>
        <v>1491.1665406201485</v>
      </c>
      <c r="M122" s="96">
        <f t="shared" si="17"/>
        <v>93.656442499999983</v>
      </c>
      <c r="N122" s="96">
        <f t="shared" si="18"/>
        <v>1397.5100981201485</v>
      </c>
    </row>
    <row r="123" spans="1:14" x14ac:dyDescent="0.25">
      <c r="A123" s="96">
        <v>96</v>
      </c>
      <c r="B123" s="96">
        <f>VLOOKUP(Year_of_pregnancy,'ONS mortality stats'!$A$3:$CX$88,A122+2,TRUE)/ONS_mortality_rate_per_value</f>
        <v>6.8359500000000004E-2</v>
      </c>
      <c r="C123" s="96">
        <f t="shared" si="20"/>
        <v>6.477060896247093E-2</v>
      </c>
      <c r="D123" s="96">
        <f t="shared" si="21"/>
        <v>6.9034866136156739E-2</v>
      </c>
      <c r="E123" s="96">
        <f t="shared" si="22"/>
        <v>8.4017391340998754E-2</v>
      </c>
      <c r="F123" s="96">
        <f t="shared" ca="1" si="19"/>
        <v>7.0991448121386691E-2</v>
      </c>
      <c r="G123" s="96">
        <f t="shared" ca="1" si="23"/>
        <v>6.1989288737830876E-2</v>
      </c>
      <c r="H123" s="96">
        <f t="shared" ca="1" si="24"/>
        <v>8.0660365181117646E-2</v>
      </c>
      <c r="I123" s="96">
        <f t="shared" ca="1" si="25"/>
        <v>9.032959249257913E-2</v>
      </c>
      <c r="K123" s="96">
        <f t="shared" ref="K123:K128" si="26">0.1*B123</f>
        <v>6.8359500000000004E-3</v>
      </c>
      <c r="L123" s="96">
        <f t="shared" ref="L123:L128" si="27">((B123*(1-B123))/(K123^2))-1</f>
        <v>1361.8544679232587</v>
      </c>
      <c r="M123" s="96">
        <f t="shared" ref="M123:M128" si="28">B123*L123</f>
        <v>93.095690500000003</v>
      </c>
      <c r="N123" s="96">
        <f t="shared" ref="N123:N128" si="29">M123*((1-B123)/B123)</f>
        <v>1268.7587774232586</v>
      </c>
    </row>
    <row r="124" spans="1:14" x14ac:dyDescent="0.25">
      <c r="A124" s="96">
        <v>97</v>
      </c>
      <c r="B124" s="96">
        <f>VLOOKUP(Year_of_pregnancy,'ONS mortality stats'!$A$3:$CX$88,A123+2,TRUE)/ONS_mortality_rate_per_value</f>
        <v>7.4456499999999995E-2</v>
      </c>
      <c r="C124" s="96">
        <f t="shared" si="20"/>
        <v>7.0547514920592108E-2</v>
      </c>
      <c r="D124" s="96">
        <f t="shared" si="21"/>
        <v>7.5192102201841055E-2</v>
      </c>
      <c r="E124" s="96">
        <f t="shared" si="22"/>
        <v>9.1510922379202206E-2</v>
      </c>
      <c r="F124" s="96">
        <f t="shared" ca="1" si="19"/>
        <v>7.7375651809281631E-2</v>
      </c>
      <c r="G124" s="96">
        <f t="shared" ca="1" si="23"/>
        <v>6.7563935490963123E-2</v>
      </c>
      <c r="H124" s="96">
        <f t="shared" ca="1" si="24"/>
        <v>8.791408678397522E-2</v>
      </c>
      <c r="I124" s="96">
        <f t="shared" ca="1" si="25"/>
        <v>9.8452859911087279E-2</v>
      </c>
      <c r="K124" s="96">
        <f t="shared" si="26"/>
        <v>7.4456499999999998E-3</v>
      </c>
      <c r="L124" s="96">
        <f t="shared" si="27"/>
        <v>1242.0660855667402</v>
      </c>
      <c r="M124" s="96">
        <f t="shared" si="28"/>
        <v>92.479893499999989</v>
      </c>
      <c r="N124" s="96">
        <f t="shared" si="29"/>
        <v>1149.5861920667401</v>
      </c>
    </row>
    <row r="125" spans="1:14" x14ac:dyDescent="0.25">
      <c r="A125" s="96">
        <v>98</v>
      </c>
      <c r="B125" s="96">
        <f>VLOOKUP(Year_of_pregnancy,'ONS mortality stats'!$A$3:$CX$88,A124+2,TRUE)/ONS_mortality_rate_per_value</f>
        <v>8.0978300000000003E-2</v>
      </c>
      <c r="C125" s="96">
        <f t="shared" si="20"/>
        <v>7.6726918771285041E-2</v>
      </c>
      <c r="D125" s="96">
        <f t="shared" si="21"/>
        <v>8.1778335131672139E-2</v>
      </c>
      <c r="E125" s="96">
        <f t="shared" si="22"/>
        <v>9.9526554776275422E-2</v>
      </c>
      <c r="F125" s="96">
        <f t="shared" ca="1" si="19"/>
        <v>8.1672126345228802E-2</v>
      </c>
      <c r="G125" s="96">
        <f t="shared" ca="1" si="23"/>
        <v>7.1315590198839568E-2</v>
      </c>
      <c r="H125" s="96">
        <f t="shared" ca="1" si="24"/>
        <v>9.2795733999683563E-2</v>
      </c>
      <c r="I125" s="96">
        <f t="shared" ca="1" si="25"/>
        <v>0.10391969858330663</v>
      </c>
      <c r="K125" s="96">
        <f t="shared" si="26"/>
        <v>8.0978300000000003E-3</v>
      </c>
      <c r="L125" s="96">
        <f t="shared" si="27"/>
        <v>1133.8987321294719</v>
      </c>
      <c r="M125" s="96">
        <f t="shared" si="28"/>
        <v>91.821191700000014</v>
      </c>
      <c r="N125" s="96">
        <f t="shared" si="29"/>
        <v>1042.077540429472</v>
      </c>
    </row>
    <row r="126" spans="1:14" x14ac:dyDescent="0.25">
      <c r="A126" s="96">
        <v>99</v>
      </c>
      <c r="B126" s="96">
        <f>VLOOKUP(Year_of_pregnancy,'ONS mortality stats'!$A$3:$CX$88,A125+2,TRUE)/ONS_mortality_rate_per_value</f>
        <v>8.7855599999999992E-2</v>
      </c>
      <c r="C126" s="96">
        <f t="shared" si="20"/>
        <v>8.3243158782075055E-2</v>
      </c>
      <c r="D126" s="96">
        <f t="shared" si="21"/>
        <v>8.8723580267727684E-2</v>
      </c>
      <c r="E126" s="96">
        <f t="shared" si="22"/>
        <v>0.10797911521731798</v>
      </c>
      <c r="F126" s="96">
        <f t="shared" ca="1" si="19"/>
        <v>7.5278961106257869E-2</v>
      </c>
      <c r="G126" s="96">
        <f t="shared" ca="1" si="23"/>
        <v>6.57331182753257E-2</v>
      </c>
      <c r="H126" s="96">
        <f t="shared" ca="1" si="24"/>
        <v>8.5531830297411127E-2</v>
      </c>
      <c r="I126" s="96">
        <f t="shared" ca="1" si="25"/>
        <v>9.5785028477880327E-2</v>
      </c>
      <c r="K126" s="96">
        <f t="shared" si="26"/>
        <v>8.7855599999999996E-3</v>
      </c>
      <c r="L126" s="96">
        <f t="shared" si="27"/>
        <v>1037.2313705671579</v>
      </c>
      <c r="M126" s="96">
        <f t="shared" si="28"/>
        <v>91.126584399999984</v>
      </c>
      <c r="N126" s="96">
        <f t="shared" si="29"/>
        <v>946.10478616715784</v>
      </c>
    </row>
    <row r="127" spans="1:14" x14ac:dyDescent="0.25">
      <c r="A127" s="96">
        <v>100</v>
      </c>
      <c r="B127" s="96">
        <f>VLOOKUP(Year_of_pregnancy,'ONS mortality stats'!$A$3:$CX$88,A126+2,TRUE)/ONS_mortality_rate_per_value</f>
        <v>9.5222199999999993E-2</v>
      </c>
      <c r="C127" s="96">
        <f t="shared" si="20"/>
        <v>9.0223010419125338E-2</v>
      </c>
      <c r="D127" s="96">
        <f t="shared" si="21"/>
        <v>9.616295950365851E-2</v>
      </c>
      <c r="E127" s="96">
        <f t="shared" si="22"/>
        <v>0.11703305088174798</v>
      </c>
      <c r="F127" s="96">
        <f t="shared" ca="1" si="19"/>
        <v>8.2511269672913751E-2</v>
      </c>
      <c r="G127" s="96">
        <f t="shared" ca="1" si="23"/>
        <v>7.2048324907157429E-2</v>
      </c>
      <c r="H127" s="96">
        <f t="shared" ca="1" si="24"/>
        <v>9.3749167251737153E-2</v>
      </c>
      <c r="I127" s="96">
        <f t="shared" ca="1" si="25"/>
        <v>0.10498742542701096</v>
      </c>
      <c r="K127" s="96">
        <f t="shared" si="26"/>
        <v>9.5222199999999996E-3</v>
      </c>
      <c r="L127" s="96">
        <f t="shared" si="27"/>
        <v>949.17527425327296</v>
      </c>
      <c r="M127" s="96">
        <f t="shared" si="28"/>
        <v>90.382557800000001</v>
      </c>
      <c r="N127" s="96">
        <f t="shared" si="29"/>
        <v>858.79271645327287</v>
      </c>
    </row>
    <row r="128" spans="1:14" x14ac:dyDescent="0.25">
      <c r="A128" s="96">
        <v>101</v>
      </c>
      <c r="B128" s="96">
        <f>VLOOKUP(Year_of_pregnancy,'ONS mortality stats'!$A$3:$CX$88,A127+2,TRUE)/ONS_mortality_rate_per_value</f>
        <v>0.10308370000000001</v>
      </c>
      <c r="C128" s="96">
        <f t="shared" si="20"/>
        <v>9.7671779681019685E-2</v>
      </c>
      <c r="D128" s="96">
        <f t="shared" si="21"/>
        <v>0.10410212816535729</v>
      </c>
      <c r="E128" s="96">
        <f t="shared" si="22"/>
        <v>0.12669524446167854</v>
      </c>
      <c r="F128" s="96">
        <f t="shared" ca="1" si="19"/>
        <v>9.9504955466366882E-2</v>
      </c>
      <c r="G128" s="96">
        <f t="shared" ca="1" si="23"/>
        <v>8.6887105115853971E-2</v>
      </c>
      <c r="H128" s="96">
        <f t="shared" ca="1" si="24"/>
        <v>0.11305736476208152</v>
      </c>
      <c r="I128" s="96">
        <f t="shared" ca="1" si="25"/>
        <v>0.12661020892122613</v>
      </c>
      <c r="K128" s="96">
        <f t="shared" si="26"/>
        <v>1.0308370000000002E-2</v>
      </c>
      <c r="L128" s="96">
        <f t="shared" si="27"/>
        <v>869.0854742311343</v>
      </c>
      <c r="M128" s="96">
        <f t="shared" si="28"/>
        <v>89.58854629999999</v>
      </c>
      <c r="N128" s="96">
        <f t="shared" si="29"/>
        <v>779.49692793113434</v>
      </c>
    </row>
    <row r="130" spans="1:14" x14ac:dyDescent="0.25">
      <c r="A130" s="613" t="s">
        <v>79</v>
      </c>
      <c r="B130" s="613"/>
      <c r="C130" s="613"/>
      <c r="D130" s="613"/>
      <c r="E130" s="613"/>
      <c r="F130" s="613"/>
      <c r="G130" s="613"/>
      <c r="H130" s="613"/>
      <c r="I130" s="613"/>
    </row>
    <row r="131" spans="1:14" x14ac:dyDescent="0.25">
      <c r="A131" s="96" t="s">
        <v>52</v>
      </c>
      <c r="B131" s="613" t="s">
        <v>107</v>
      </c>
      <c r="C131" s="613"/>
      <c r="D131" s="613"/>
      <c r="E131" s="613"/>
      <c r="F131" s="615" t="s">
        <v>106</v>
      </c>
      <c r="G131" s="615"/>
      <c r="H131" s="615"/>
      <c r="I131" s="615"/>
    </row>
    <row r="132" spans="1:14" x14ac:dyDescent="0.25">
      <c r="A132" s="96" t="s">
        <v>110</v>
      </c>
      <c r="B132" s="96" t="s">
        <v>731</v>
      </c>
      <c r="C132" s="96" t="s">
        <v>77</v>
      </c>
      <c r="D132" s="96" t="s">
        <v>75</v>
      </c>
      <c r="E132" s="96" t="s">
        <v>76</v>
      </c>
      <c r="F132" s="96" t="s">
        <v>731</v>
      </c>
      <c r="G132" s="96" t="s">
        <v>77</v>
      </c>
      <c r="H132" s="96" t="s">
        <v>75</v>
      </c>
      <c r="I132" s="96" t="s">
        <v>76</v>
      </c>
      <c r="K132" s="96" t="s">
        <v>19</v>
      </c>
      <c r="L132" s="38" t="s">
        <v>108</v>
      </c>
      <c r="M132" s="38" t="s">
        <v>22</v>
      </c>
      <c r="N132" s="38" t="s">
        <v>23</v>
      </c>
    </row>
    <row r="133" spans="1:14" x14ac:dyDescent="0.25">
      <c r="A133" s="96">
        <v>0</v>
      </c>
      <c r="K133" s="96">
        <f>0.1*B133</f>
        <v>0</v>
      </c>
      <c r="L133" s="96" t="e">
        <f>((B133*(1-B133))/(K133^2))-1</f>
        <v>#DIV/0!</v>
      </c>
      <c r="M133" s="96" t="e">
        <f>B133*L133</f>
        <v>#DIV/0!</v>
      </c>
      <c r="N133" s="96" t="e">
        <f>M133*((1-B133)/B133)</f>
        <v>#DIV/0!</v>
      </c>
    </row>
    <row r="134" spans="1:14" x14ac:dyDescent="0.25">
      <c r="A134" s="96">
        <v>1</v>
      </c>
      <c r="B134" s="96">
        <f>VLOOKUP(Year_of_pregnancy,'ONS mortality stats'!$A$88:$CX$169,A133+2,TRUE)/ONS_mortality_rate_per_value</f>
        <v>3.5751999999999997E-3</v>
      </c>
      <c r="C134" s="96">
        <f>B134/((VLOOKUP($A134,$A$3:$G$9,5)*1)+(VLOOKUP($A134,$A$3:$G$9,6)*VLOOKUP($A134,$A$14:$E$20,2))+(VLOOKUP($A134,$A$3:$G$9,7)*VLOOKUP($A134,$A$14:$E$20,3)))</f>
        <v>3.5751999999999997E-3</v>
      </c>
      <c r="D134" s="96">
        <f>C134*VLOOKUP($A134,$A$14:$E$20,2)</f>
        <v>3.5751999999999997E-3</v>
      </c>
      <c r="E134" s="96">
        <f>C134*VLOOKUP($A134,$A$14:$E$20,3)</f>
        <v>3.5751999999999997E-3</v>
      </c>
      <c r="F134" s="96">
        <f ca="1">_xlfn.BETA.INV(RAND(),M134,N134)</f>
        <v>3.4942842221631085E-3</v>
      </c>
      <c r="G134" s="96">
        <f ca="1">F134/((VLOOKUP($A134,$A$3:$G$9,5)*1)+(VLOOKUP($A134,$A$3:$G$9,6)*VLOOKUP($A134,$A$14:$E$20,4))+(VLOOKUP($A134,$A$3:$G$9,7)*VLOOKUP($A134,$A$14:$E$20,5)))</f>
        <v>3.4942842221631085E-3</v>
      </c>
      <c r="H134" s="96">
        <f ca="1">G134*VLOOKUP($A134,$A$14:$E$20,4)</f>
        <v>3.4942842221631085E-3</v>
      </c>
      <c r="I134" s="96">
        <f ca="1">G134*VLOOKUP($A134,$A$14:$E$20,5)</f>
        <v>3.4942842221631085E-3</v>
      </c>
      <c r="K134" s="96">
        <f t="shared" ref="K134:K197" si="30">0.1*B134</f>
        <v>3.5752000000000001E-4</v>
      </c>
      <c r="L134" s="96">
        <f t="shared" ref="L134:L197" si="31">((B134*(1-B134))/(K134^2))-1</f>
        <v>27869.463190870436</v>
      </c>
      <c r="M134" s="96">
        <f t="shared" ref="M134:M197" si="32">B134*L134</f>
        <v>99.638904799999978</v>
      </c>
      <c r="N134" s="96">
        <f t="shared" ref="N134:N197" si="33">M134*((1-B134)/B134)</f>
        <v>27769.824286070434</v>
      </c>
    </row>
    <row r="135" spans="1:14" x14ac:dyDescent="0.25">
      <c r="A135" s="96">
        <v>2</v>
      </c>
      <c r="B135" s="96">
        <f>VLOOKUP(Year_of_pregnancy,'ONS mortality stats'!$A$88:$CX$169,A134+2,TRUE)/ONS_mortality_rate_per_value</f>
        <v>3.5189999999999999E-4</v>
      </c>
      <c r="C135" s="96">
        <f t="shared" ref="C135:C198" si="34">B135/((VLOOKUP($A135,$A$3:$G$9,5)*1)+(VLOOKUP($A135,$A$3:$G$9,6)*VLOOKUP($A135,$A$14:$E$20,2))+(VLOOKUP($A135,$A$3:$G$9,7)*VLOOKUP($A135,$A$14:$E$20,3)))</f>
        <v>3.5189999999999999E-4</v>
      </c>
      <c r="D135" s="96">
        <f t="shared" ref="D135:D198" si="35">C135*VLOOKUP($A135,$A$14:$E$20,2)</f>
        <v>3.5189999999999999E-4</v>
      </c>
      <c r="E135" s="96">
        <f t="shared" ref="E135:E198" si="36">C135*VLOOKUP($A135,$A$14:$E$20,3)</f>
        <v>3.5189999999999999E-4</v>
      </c>
      <c r="F135" s="96">
        <f t="shared" ref="F135:F198" ca="1" si="37">_xlfn.BETA.INV(RAND(),M135,N135)</f>
        <v>3.345613047159205E-4</v>
      </c>
      <c r="G135" s="96">
        <f t="shared" ref="G135:G198" ca="1" si="38">F135/((VLOOKUP($A135,$A$3:$G$9,5)*1)+(VLOOKUP($A135,$A$3:$G$9,6)*VLOOKUP($A135,$A$14:$E$20,4))+(VLOOKUP($A135,$A$3:$G$9,7)*VLOOKUP($A135,$A$14:$E$20,5)))</f>
        <v>3.345613047159205E-4</v>
      </c>
      <c r="H135" s="96">
        <f t="shared" ref="H135:H198" ca="1" si="39">G135*VLOOKUP($A135,$A$14:$E$20,4)</f>
        <v>3.345613047159205E-4</v>
      </c>
      <c r="I135" s="96">
        <f t="shared" ref="I135:I198" ca="1" si="40">G135*VLOOKUP($A135,$A$14:$E$20,5)</f>
        <v>3.345613047159205E-4</v>
      </c>
      <c r="K135" s="96">
        <f t="shared" si="30"/>
        <v>3.519E-5</v>
      </c>
      <c r="L135" s="96">
        <f t="shared" si="31"/>
        <v>284070.63967036089</v>
      </c>
      <c r="M135" s="96">
        <f t="shared" si="32"/>
        <v>99.964458099999987</v>
      </c>
      <c r="N135" s="96">
        <f t="shared" si="33"/>
        <v>283970.67521226086</v>
      </c>
    </row>
    <row r="136" spans="1:14" x14ac:dyDescent="0.25">
      <c r="A136" s="96">
        <v>3</v>
      </c>
      <c r="B136" s="96">
        <f>VLOOKUP(Year_of_pregnancy,'ONS mortality stats'!$A$88:$CX$169,A135+2,TRUE)/ONS_mortality_rate_per_value</f>
        <v>1.6870000000000001E-4</v>
      </c>
      <c r="C136" s="96">
        <f t="shared" si="34"/>
        <v>1.6870000000000001E-4</v>
      </c>
      <c r="D136" s="96">
        <f t="shared" si="35"/>
        <v>1.6870000000000001E-4</v>
      </c>
      <c r="E136" s="96">
        <f t="shared" si="36"/>
        <v>1.6870000000000001E-4</v>
      </c>
      <c r="F136" s="96">
        <f t="shared" ca="1" si="37"/>
        <v>1.6599109510891463E-4</v>
      </c>
      <c r="G136" s="96">
        <f t="shared" ca="1" si="38"/>
        <v>1.6599109510891463E-4</v>
      </c>
      <c r="H136" s="96">
        <f t="shared" ca="1" si="39"/>
        <v>1.6599109510891463E-4</v>
      </c>
      <c r="I136" s="96">
        <f t="shared" ca="1" si="40"/>
        <v>1.6599109510891463E-4</v>
      </c>
      <c r="K136" s="96">
        <f t="shared" si="30"/>
        <v>1.6870000000000003E-5</v>
      </c>
      <c r="L136" s="96">
        <f t="shared" si="31"/>
        <v>592667.22762299934</v>
      </c>
      <c r="M136" s="96">
        <f t="shared" si="32"/>
        <v>99.982961299999999</v>
      </c>
      <c r="N136" s="96">
        <f t="shared" si="33"/>
        <v>592567.2446616994</v>
      </c>
    </row>
    <row r="137" spans="1:14" x14ac:dyDescent="0.25">
      <c r="A137" s="96">
        <v>4</v>
      </c>
      <c r="B137" s="96">
        <f>VLOOKUP(Year_of_pregnancy,'ONS mortality stats'!$A$88:$CX$169,A136+2,TRUE)/ONS_mortality_rate_per_value</f>
        <v>9.630000000000001E-5</v>
      </c>
      <c r="C137" s="96">
        <f t="shared" si="34"/>
        <v>9.630000000000001E-5</v>
      </c>
      <c r="D137" s="96">
        <f t="shared" si="35"/>
        <v>9.630000000000001E-5</v>
      </c>
      <c r="E137" s="96">
        <f t="shared" si="36"/>
        <v>9.630000000000001E-5</v>
      </c>
      <c r="F137" s="96">
        <f t="shared" ca="1" si="37"/>
        <v>9.0719990803435821E-5</v>
      </c>
      <c r="G137" s="96">
        <f t="shared" ca="1" si="38"/>
        <v>9.0719990803435821E-5</v>
      </c>
      <c r="H137" s="96">
        <f t="shared" ca="1" si="39"/>
        <v>9.0719990803435821E-5</v>
      </c>
      <c r="I137" s="96">
        <f t="shared" ca="1" si="40"/>
        <v>9.0719990803435821E-5</v>
      </c>
      <c r="K137" s="96">
        <f t="shared" si="30"/>
        <v>9.630000000000001E-6</v>
      </c>
      <c r="L137" s="96">
        <f t="shared" si="31"/>
        <v>1038320.5991692626</v>
      </c>
      <c r="M137" s="96">
        <f t="shared" si="32"/>
        <v>99.990273699999989</v>
      </c>
      <c r="N137" s="96">
        <f t="shared" si="33"/>
        <v>1038220.6088955624</v>
      </c>
    </row>
    <row r="138" spans="1:14" x14ac:dyDescent="0.25">
      <c r="A138" s="96">
        <v>5</v>
      </c>
      <c r="B138" s="96">
        <f>VLOOKUP(Year_of_pregnancy,'ONS mortality stats'!$A$88:$CX$169,A137+2,TRUE)/ONS_mortality_rate_per_value</f>
        <v>8.2899999999999996E-5</v>
      </c>
      <c r="C138" s="96">
        <f t="shared" si="34"/>
        <v>8.2899999999999996E-5</v>
      </c>
      <c r="D138" s="96">
        <f t="shared" si="35"/>
        <v>8.2899999999999996E-5</v>
      </c>
      <c r="E138" s="96">
        <f t="shared" si="36"/>
        <v>8.2899999999999996E-5</v>
      </c>
      <c r="F138" s="96">
        <f t="shared" ca="1" si="37"/>
        <v>9.1820577106105361E-5</v>
      </c>
      <c r="G138" s="96">
        <f t="shared" ca="1" si="38"/>
        <v>9.1820577106105361E-5</v>
      </c>
      <c r="H138" s="96">
        <f t="shared" ca="1" si="39"/>
        <v>9.1820577106105361E-5</v>
      </c>
      <c r="I138" s="96">
        <f t="shared" ca="1" si="40"/>
        <v>9.1820577106105361E-5</v>
      </c>
      <c r="K138" s="96">
        <f t="shared" si="30"/>
        <v>8.2900000000000002E-6</v>
      </c>
      <c r="L138" s="96">
        <f t="shared" si="31"/>
        <v>1206171.6176115803</v>
      </c>
      <c r="M138" s="96">
        <f t="shared" si="32"/>
        <v>99.991627100000002</v>
      </c>
      <c r="N138" s="96">
        <f t="shared" si="33"/>
        <v>1206071.6259844804</v>
      </c>
    </row>
    <row r="139" spans="1:14" x14ac:dyDescent="0.25">
      <c r="A139" s="96">
        <v>6</v>
      </c>
      <c r="B139" s="96">
        <f>VLOOKUP(Year_of_pregnancy,'ONS mortality stats'!$A$88:$CX$169,A138+2,TRUE)/ONS_mortality_rate_per_value</f>
        <v>7.64E-5</v>
      </c>
      <c r="C139" s="96">
        <f t="shared" si="34"/>
        <v>7.64E-5</v>
      </c>
      <c r="D139" s="96">
        <f t="shared" si="35"/>
        <v>7.64E-5</v>
      </c>
      <c r="E139" s="96">
        <f t="shared" si="36"/>
        <v>7.64E-5</v>
      </c>
      <c r="F139" s="96">
        <f t="shared" ca="1" si="37"/>
        <v>8.5575923806646692E-5</v>
      </c>
      <c r="G139" s="96">
        <f t="shared" ca="1" si="38"/>
        <v>8.5575923806646692E-5</v>
      </c>
      <c r="H139" s="96">
        <f t="shared" ca="1" si="39"/>
        <v>8.5575923806646692E-5</v>
      </c>
      <c r="I139" s="96">
        <f t="shared" ca="1" si="40"/>
        <v>8.5575923806646692E-5</v>
      </c>
      <c r="K139" s="96">
        <f t="shared" si="30"/>
        <v>7.6399999999999997E-6</v>
      </c>
      <c r="L139" s="96">
        <f t="shared" si="31"/>
        <v>1308799.5235602097</v>
      </c>
      <c r="M139" s="96">
        <f t="shared" si="32"/>
        <v>99.992283600000022</v>
      </c>
      <c r="N139" s="96">
        <f t="shared" si="33"/>
        <v>1308699.5312766097</v>
      </c>
    </row>
    <row r="140" spans="1:14" x14ac:dyDescent="0.25">
      <c r="A140" s="96">
        <v>7</v>
      </c>
      <c r="B140" s="96">
        <f>VLOOKUP(Year_of_pregnancy,'ONS mortality stats'!$A$88:$CX$169,A139+2,TRUE)/ONS_mortality_rate_per_value</f>
        <v>6.9999999999999994E-5</v>
      </c>
      <c r="C140" s="96">
        <f t="shared" si="34"/>
        <v>6.9999999999999994E-5</v>
      </c>
      <c r="D140" s="96">
        <f t="shared" si="35"/>
        <v>6.9999999999999994E-5</v>
      </c>
      <c r="E140" s="96">
        <f t="shared" si="36"/>
        <v>6.9999999999999994E-5</v>
      </c>
      <c r="F140" s="96">
        <f t="shared" ca="1" si="37"/>
        <v>6.7936557050810517E-5</v>
      </c>
      <c r="G140" s="96">
        <f t="shared" ca="1" si="38"/>
        <v>6.7936557050810517E-5</v>
      </c>
      <c r="H140" s="96">
        <f t="shared" ca="1" si="39"/>
        <v>6.7936557050810517E-5</v>
      </c>
      <c r="I140" s="96">
        <f t="shared" ca="1" si="40"/>
        <v>6.7936557050810517E-5</v>
      </c>
      <c r="K140" s="96">
        <f t="shared" si="30"/>
        <v>6.9999999999999999E-6</v>
      </c>
      <c r="L140" s="96">
        <f t="shared" si="31"/>
        <v>1428470.4285714284</v>
      </c>
      <c r="M140" s="96">
        <f t="shared" si="32"/>
        <v>99.992929999999973</v>
      </c>
      <c r="N140" s="96">
        <f t="shared" si="33"/>
        <v>1428370.4356414282</v>
      </c>
    </row>
    <row r="141" spans="1:14" x14ac:dyDescent="0.25">
      <c r="A141" s="96">
        <v>8</v>
      </c>
      <c r="B141" s="96">
        <f>VLOOKUP(Year_of_pregnancy,'ONS mortality stats'!$A$88:$CX$169,A140+2,TRUE)/ONS_mortality_rate_per_value</f>
        <v>6.1699999999999995E-5</v>
      </c>
      <c r="C141" s="96">
        <f t="shared" si="34"/>
        <v>6.1699999999999995E-5</v>
      </c>
      <c r="D141" s="96">
        <f t="shared" si="35"/>
        <v>6.1699999999999995E-5</v>
      </c>
      <c r="E141" s="96">
        <f t="shared" si="36"/>
        <v>6.1699999999999995E-5</v>
      </c>
      <c r="F141" s="96">
        <f t="shared" ca="1" si="37"/>
        <v>6.8696775185728143E-5</v>
      </c>
      <c r="G141" s="96">
        <f t="shared" ca="1" si="38"/>
        <v>6.8696775185728143E-5</v>
      </c>
      <c r="H141" s="96">
        <f t="shared" ca="1" si="39"/>
        <v>6.8696775185728143E-5</v>
      </c>
      <c r="I141" s="96">
        <f t="shared" ca="1" si="40"/>
        <v>6.8696775185728143E-5</v>
      </c>
      <c r="K141" s="96">
        <f t="shared" si="30"/>
        <v>6.1700000000000002E-6</v>
      </c>
      <c r="L141" s="96">
        <f t="shared" si="31"/>
        <v>1620644.5429497566</v>
      </c>
      <c r="M141" s="96">
        <f t="shared" si="32"/>
        <v>99.993768299999971</v>
      </c>
      <c r="N141" s="96">
        <f t="shared" si="33"/>
        <v>1620544.5491814564</v>
      </c>
    </row>
    <row r="142" spans="1:14" x14ac:dyDescent="0.25">
      <c r="A142" s="96">
        <v>9</v>
      </c>
      <c r="B142" s="96">
        <f>VLOOKUP(Year_of_pregnancy,'ONS mortality stats'!$A$88:$CX$169,A141+2,TRUE)/ONS_mortality_rate_per_value</f>
        <v>5.5399999999999998E-5</v>
      </c>
      <c r="C142" s="96">
        <f t="shared" si="34"/>
        <v>5.5399999999999998E-5</v>
      </c>
      <c r="D142" s="96">
        <f t="shared" si="35"/>
        <v>5.5399999999999998E-5</v>
      </c>
      <c r="E142" s="96">
        <f t="shared" si="36"/>
        <v>5.5399999999999998E-5</v>
      </c>
      <c r="F142" s="96">
        <f t="shared" ca="1" si="37"/>
        <v>5.3989052556575493E-5</v>
      </c>
      <c r="G142" s="96">
        <f t="shared" ca="1" si="38"/>
        <v>5.3989052556575493E-5</v>
      </c>
      <c r="H142" s="96">
        <f t="shared" ca="1" si="39"/>
        <v>5.3989052556575493E-5</v>
      </c>
      <c r="I142" s="96">
        <f t="shared" ca="1" si="40"/>
        <v>5.3989052556575493E-5</v>
      </c>
      <c r="K142" s="96">
        <f t="shared" si="30"/>
        <v>5.5400000000000003E-6</v>
      </c>
      <c r="L142" s="96">
        <f t="shared" si="31"/>
        <v>1804953.1516245485</v>
      </c>
      <c r="M142" s="96">
        <f t="shared" si="32"/>
        <v>99.994404599999982</v>
      </c>
      <c r="N142" s="96">
        <f t="shared" si="33"/>
        <v>1804853.1572199485</v>
      </c>
    </row>
    <row r="143" spans="1:14" x14ac:dyDescent="0.25">
      <c r="A143" s="96">
        <v>10</v>
      </c>
      <c r="B143" s="96">
        <f>VLOOKUP(Year_of_pregnancy,'ONS mortality stats'!$A$88:$CX$169,A142+2,TRUE)/ONS_mortality_rate_per_value</f>
        <v>5.1500000000000005E-5</v>
      </c>
      <c r="C143" s="96">
        <f t="shared" si="34"/>
        <v>5.1500000000000005E-5</v>
      </c>
      <c r="D143" s="96">
        <f t="shared" si="35"/>
        <v>5.1500000000000005E-5</v>
      </c>
      <c r="E143" s="96">
        <f t="shared" si="36"/>
        <v>5.1500000000000005E-5</v>
      </c>
      <c r="F143" s="96">
        <f t="shared" ca="1" si="37"/>
        <v>5.7456474663264423E-5</v>
      </c>
      <c r="G143" s="96">
        <f t="shared" ca="1" si="38"/>
        <v>5.7456474663264423E-5</v>
      </c>
      <c r="H143" s="96">
        <f t="shared" ca="1" si="39"/>
        <v>5.7456474663264423E-5</v>
      </c>
      <c r="I143" s="96">
        <f t="shared" ca="1" si="40"/>
        <v>5.7456474663264423E-5</v>
      </c>
      <c r="K143" s="96">
        <f t="shared" si="30"/>
        <v>5.1500000000000007E-6</v>
      </c>
      <c r="L143" s="96">
        <f t="shared" si="31"/>
        <v>1941646.5728155335</v>
      </c>
      <c r="M143" s="96">
        <f t="shared" si="32"/>
        <v>99.994798499999987</v>
      </c>
      <c r="N143" s="96">
        <f t="shared" si="33"/>
        <v>1941546.5780170336</v>
      </c>
    </row>
    <row r="144" spans="1:14" x14ac:dyDescent="0.25">
      <c r="A144" s="96">
        <v>11</v>
      </c>
      <c r="B144" s="96">
        <f>VLOOKUP(Year_of_pregnancy,'ONS mortality stats'!$A$88:$CX$169,A143+2,TRUE)/ONS_mortality_rate_per_value</f>
        <v>5.0800000000000002E-5</v>
      </c>
      <c r="C144" s="96">
        <f t="shared" si="34"/>
        <v>5.0800000000000002E-5</v>
      </c>
      <c r="D144" s="96">
        <f t="shared" si="35"/>
        <v>5.0800000000000002E-5</v>
      </c>
      <c r="E144" s="96">
        <f t="shared" si="36"/>
        <v>5.0800000000000002E-5</v>
      </c>
      <c r="F144" s="96">
        <f t="shared" ca="1" si="37"/>
        <v>4.9168958317701697E-5</v>
      </c>
      <c r="G144" s="96">
        <f t="shared" ca="1" si="38"/>
        <v>4.9168958317701697E-5</v>
      </c>
      <c r="H144" s="96">
        <f t="shared" ca="1" si="39"/>
        <v>4.9168958317701697E-5</v>
      </c>
      <c r="I144" s="96">
        <f t="shared" ca="1" si="40"/>
        <v>4.9168958317701697E-5</v>
      </c>
      <c r="K144" s="96">
        <f t="shared" si="30"/>
        <v>5.0800000000000005E-6</v>
      </c>
      <c r="L144" s="96">
        <f t="shared" si="31"/>
        <v>1968402.9370078738</v>
      </c>
      <c r="M144" s="96">
        <f t="shared" si="32"/>
        <v>99.994869199999997</v>
      </c>
      <c r="N144" s="96">
        <f t="shared" si="33"/>
        <v>1968302.9421386737</v>
      </c>
    </row>
    <row r="145" spans="1:14" x14ac:dyDescent="0.25">
      <c r="A145" s="96">
        <v>12</v>
      </c>
      <c r="B145" s="96">
        <f>VLOOKUP(Year_of_pregnancy,'ONS mortality stats'!$A$88:$CX$169,A144+2,TRUE)/ONS_mortality_rate_per_value</f>
        <v>5.3899999999999996E-5</v>
      </c>
      <c r="C145" s="96">
        <f t="shared" si="34"/>
        <v>5.3899999999999996E-5</v>
      </c>
      <c r="D145" s="96">
        <f t="shared" si="35"/>
        <v>5.3899999999999996E-5</v>
      </c>
      <c r="E145" s="96">
        <f t="shared" si="36"/>
        <v>5.3899999999999996E-5</v>
      </c>
      <c r="F145" s="96">
        <f t="shared" ca="1" si="37"/>
        <v>6.411385544147219E-5</v>
      </c>
      <c r="G145" s="96">
        <f t="shared" ca="1" si="38"/>
        <v>6.411385544147219E-5</v>
      </c>
      <c r="H145" s="96">
        <f t="shared" ca="1" si="39"/>
        <v>6.411385544147219E-5</v>
      </c>
      <c r="I145" s="96">
        <f t="shared" ca="1" si="40"/>
        <v>6.411385544147219E-5</v>
      </c>
      <c r="K145" s="96">
        <f t="shared" si="30"/>
        <v>5.3900000000000001E-6</v>
      </c>
      <c r="L145" s="96">
        <f t="shared" si="31"/>
        <v>1855186.5695732837</v>
      </c>
      <c r="M145" s="96">
        <f t="shared" si="32"/>
        <v>99.994556099999983</v>
      </c>
      <c r="N145" s="96">
        <f t="shared" si="33"/>
        <v>1855086.5750171838</v>
      </c>
    </row>
    <row r="146" spans="1:14" x14ac:dyDescent="0.25">
      <c r="A146" s="96">
        <v>13</v>
      </c>
      <c r="B146" s="96">
        <f>VLOOKUP(Year_of_pregnancy,'ONS mortality stats'!$A$88:$CX$169,A145+2,TRUE)/ONS_mortality_rate_per_value</f>
        <v>5.9500000000000003E-5</v>
      </c>
      <c r="C146" s="96">
        <f t="shared" si="34"/>
        <v>5.9500000000000003E-5</v>
      </c>
      <c r="D146" s="96">
        <f t="shared" si="35"/>
        <v>5.9500000000000003E-5</v>
      </c>
      <c r="E146" s="96">
        <f t="shared" si="36"/>
        <v>5.9500000000000003E-5</v>
      </c>
      <c r="F146" s="96">
        <f t="shared" ca="1" si="37"/>
        <v>5.3697970027922026E-5</v>
      </c>
      <c r="G146" s="96">
        <f t="shared" ca="1" si="38"/>
        <v>5.3697970027922026E-5</v>
      </c>
      <c r="H146" s="96">
        <f t="shared" ca="1" si="39"/>
        <v>5.3697970027922026E-5</v>
      </c>
      <c r="I146" s="96">
        <f t="shared" ca="1" si="40"/>
        <v>5.3697970027922026E-5</v>
      </c>
      <c r="K146" s="96">
        <f t="shared" si="30"/>
        <v>5.9500000000000006E-6</v>
      </c>
      <c r="L146" s="96">
        <f t="shared" si="31"/>
        <v>1680571.2689075626</v>
      </c>
      <c r="M146" s="96">
        <f t="shared" si="32"/>
        <v>99.993990499999981</v>
      </c>
      <c r="N146" s="96">
        <f t="shared" si="33"/>
        <v>1680471.2749170626</v>
      </c>
    </row>
    <row r="147" spans="1:14" x14ac:dyDescent="0.25">
      <c r="A147" s="96">
        <v>14</v>
      </c>
      <c r="B147" s="96">
        <f>VLOOKUP(Year_of_pregnancy,'ONS mortality stats'!$A$88:$CX$169,A146+2,TRUE)/ONS_mortality_rate_per_value</f>
        <v>6.6400000000000001E-5</v>
      </c>
      <c r="C147" s="96">
        <f t="shared" si="34"/>
        <v>6.6400000000000001E-5</v>
      </c>
      <c r="D147" s="96">
        <f t="shared" si="35"/>
        <v>6.6400000000000001E-5</v>
      </c>
      <c r="E147" s="96">
        <f t="shared" si="36"/>
        <v>6.6400000000000001E-5</v>
      </c>
      <c r="F147" s="96">
        <f t="shared" ca="1" si="37"/>
        <v>7.0774300365616938E-5</v>
      </c>
      <c r="G147" s="96">
        <f t="shared" ca="1" si="38"/>
        <v>7.0774300365616938E-5</v>
      </c>
      <c r="H147" s="96">
        <f t="shared" ca="1" si="39"/>
        <v>7.0774300365616938E-5</v>
      </c>
      <c r="I147" s="96">
        <f t="shared" ca="1" si="40"/>
        <v>7.0774300365616938E-5</v>
      </c>
      <c r="K147" s="96">
        <f t="shared" si="30"/>
        <v>6.6400000000000008E-6</v>
      </c>
      <c r="L147" s="96">
        <f t="shared" si="31"/>
        <v>1505923.0963855418</v>
      </c>
      <c r="M147" s="96">
        <f t="shared" si="32"/>
        <v>99.993293599999973</v>
      </c>
      <c r="N147" s="96">
        <f t="shared" si="33"/>
        <v>1505823.1030919417</v>
      </c>
    </row>
    <row r="148" spans="1:14" x14ac:dyDescent="0.25">
      <c r="A148" s="96">
        <v>15</v>
      </c>
      <c r="B148" s="96">
        <f>VLOOKUP(Year_of_pregnancy,'ONS mortality stats'!$A$88:$CX$169,A147+2,TRUE)/ONS_mortality_rate_per_value</f>
        <v>7.5099999999999996E-5</v>
      </c>
      <c r="C148" s="96">
        <f t="shared" si="34"/>
        <v>7.5099999999999996E-5</v>
      </c>
      <c r="D148" s="96">
        <f t="shared" si="35"/>
        <v>7.5099999999999996E-5</v>
      </c>
      <c r="E148" s="96">
        <f t="shared" si="36"/>
        <v>7.5099999999999996E-5</v>
      </c>
      <c r="F148" s="96">
        <f t="shared" ca="1" si="37"/>
        <v>7.645794172117526E-5</v>
      </c>
      <c r="G148" s="96">
        <f t="shared" ca="1" si="38"/>
        <v>7.645794172117526E-5</v>
      </c>
      <c r="H148" s="96">
        <f t="shared" ca="1" si="39"/>
        <v>7.645794172117526E-5</v>
      </c>
      <c r="I148" s="96">
        <f t="shared" ca="1" si="40"/>
        <v>7.645794172117526E-5</v>
      </c>
      <c r="K148" s="96">
        <f t="shared" si="30"/>
        <v>7.5100000000000001E-6</v>
      </c>
      <c r="L148" s="96">
        <f t="shared" si="31"/>
        <v>1331456.9227696403</v>
      </c>
      <c r="M148" s="96">
        <f t="shared" si="32"/>
        <v>99.992414899999986</v>
      </c>
      <c r="N148" s="96">
        <f t="shared" si="33"/>
        <v>1331356.9303547405</v>
      </c>
    </row>
    <row r="149" spans="1:14" x14ac:dyDescent="0.25">
      <c r="A149" s="96">
        <v>16</v>
      </c>
      <c r="B149" s="96">
        <f>VLOOKUP(Year_of_pregnancy,'ONS mortality stats'!$A$88:$CX$169,A148+2,TRUE)/ONS_mortality_rate_per_value</f>
        <v>8.7399999999999997E-5</v>
      </c>
      <c r="C149" s="96">
        <f t="shared" si="34"/>
        <v>8.7399999999999997E-5</v>
      </c>
      <c r="D149" s="96">
        <f t="shared" si="35"/>
        <v>8.7399999999999997E-5</v>
      </c>
      <c r="E149" s="96">
        <f t="shared" si="36"/>
        <v>8.7399999999999997E-5</v>
      </c>
      <c r="F149" s="96">
        <f t="shared" ca="1" si="37"/>
        <v>8.9072002639190018E-5</v>
      </c>
      <c r="G149" s="96">
        <f t="shared" ca="1" si="38"/>
        <v>8.9072002639190018E-5</v>
      </c>
      <c r="H149" s="96">
        <f t="shared" ca="1" si="39"/>
        <v>8.9072002639190018E-5</v>
      </c>
      <c r="I149" s="96">
        <f t="shared" ca="1" si="40"/>
        <v>8.9072002639190018E-5</v>
      </c>
      <c r="K149" s="96">
        <f t="shared" si="30"/>
        <v>8.7399999999999993E-6</v>
      </c>
      <c r="L149" s="96">
        <f t="shared" si="31"/>
        <v>1144063.7597254005</v>
      </c>
      <c r="M149" s="96">
        <f t="shared" si="32"/>
        <v>99.991172599999999</v>
      </c>
      <c r="N149" s="96">
        <f t="shared" si="33"/>
        <v>1143963.7685528004</v>
      </c>
    </row>
    <row r="150" spans="1:14" x14ac:dyDescent="0.25">
      <c r="A150" s="96">
        <v>17</v>
      </c>
      <c r="B150" s="96">
        <f>VLOOKUP(Year_of_pregnancy,'ONS mortality stats'!$A$88:$CX$169,A149+2,TRUE)/ONS_mortality_rate_per_value</f>
        <v>9.8900000000000005E-5</v>
      </c>
      <c r="C150" s="96">
        <f t="shared" si="34"/>
        <v>9.8900000000000005E-5</v>
      </c>
      <c r="D150" s="96">
        <f t="shared" si="35"/>
        <v>9.8900000000000005E-5</v>
      </c>
      <c r="E150" s="96">
        <f t="shared" si="36"/>
        <v>9.8900000000000005E-5</v>
      </c>
      <c r="F150" s="96">
        <f t="shared" ca="1" si="37"/>
        <v>9.552802158191083E-5</v>
      </c>
      <c r="G150" s="96">
        <f t="shared" ca="1" si="38"/>
        <v>9.552802158191083E-5</v>
      </c>
      <c r="H150" s="96">
        <f t="shared" ca="1" si="39"/>
        <v>9.552802158191083E-5</v>
      </c>
      <c r="I150" s="96">
        <f t="shared" ca="1" si="40"/>
        <v>9.552802158191083E-5</v>
      </c>
      <c r="K150" s="96">
        <f t="shared" si="30"/>
        <v>9.8900000000000019E-6</v>
      </c>
      <c r="L150" s="96">
        <f t="shared" si="31"/>
        <v>1011021.3458038419</v>
      </c>
      <c r="M150" s="96">
        <f t="shared" si="32"/>
        <v>99.990011099999975</v>
      </c>
      <c r="N150" s="96">
        <f t="shared" si="33"/>
        <v>1010921.3557927419</v>
      </c>
    </row>
    <row r="151" spans="1:14" x14ac:dyDescent="0.25">
      <c r="A151" s="96">
        <v>18</v>
      </c>
      <c r="B151" s="96">
        <f>VLOOKUP(Year_of_pregnancy,'ONS mortality stats'!$A$88:$CX$169,A150+2,TRUE)/ONS_mortality_rate_per_value</f>
        <v>1.083E-4</v>
      </c>
      <c r="C151" s="96">
        <f t="shared" si="34"/>
        <v>1.083E-4</v>
      </c>
      <c r="D151" s="96">
        <f t="shared" si="35"/>
        <v>1.083E-4</v>
      </c>
      <c r="E151" s="96">
        <f t="shared" si="36"/>
        <v>1.083E-4</v>
      </c>
      <c r="F151" s="96">
        <f t="shared" ca="1" si="37"/>
        <v>1.2624122616355926E-4</v>
      </c>
      <c r="G151" s="96">
        <f t="shared" ca="1" si="38"/>
        <v>1.2624122616355926E-4</v>
      </c>
      <c r="H151" s="96">
        <f t="shared" ca="1" si="39"/>
        <v>1.2624122616355926E-4</v>
      </c>
      <c r="I151" s="96">
        <f t="shared" ca="1" si="40"/>
        <v>1.2624122616355926E-4</v>
      </c>
      <c r="K151" s="96">
        <f t="shared" si="30"/>
        <v>1.0830000000000001E-5</v>
      </c>
      <c r="L151" s="96">
        <f t="shared" si="31"/>
        <v>923260.03416435816</v>
      </c>
      <c r="M151" s="96">
        <f t="shared" si="32"/>
        <v>99.989061699999993</v>
      </c>
      <c r="N151" s="96">
        <f t="shared" si="33"/>
        <v>923160.04510265833</v>
      </c>
    </row>
    <row r="152" spans="1:14" x14ac:dyDescent="0.25">
      <c r="A152" s="96">
        <v>19</v>
      </c>
      <c r="B152" s="96">
        <f>VLOOKUP(Year_of_pregnancy,'ONS mortality stats'!$A$88:$CX$169,A151+2,TRUE)/ONS_mortality_rate_per_value</f>
        <v>1.1779999999999999E-4</v>
      </c>
      <c r="C152" s="96">
        <f t="shared" si="34"/>
        <v>1.1779999999999999E-4</v>
      </c>
      <c r="D152" s="96">
        <f t="shared" si="35"/>
        <v>1.1779999999999999E-4</v>
      </c>
      <c r="E152" s="96">
        <f t="shared" si="36"/>
        <v>1.1779999999999999E-4</v>
      </c>
      <c r="F152" s="96">
        <f t="shared" ca="1" si="37"/>
        <v>1.3576488483790783E-4</v>
      </c>
      <c r="G152" s="96">
        <f t="shared" ca="1" si="38"/>
        <v>1.3576488483790783E-4</v>
      </c>
      <c r="H152" s="96">
        <f t="shared" ca="1" si="39"/>
        <v>1.3576488483790783E-4</v>
      </c>
      <c r="I152" s="96">
        <f t="shared" ca="1" si="40"/>
        <v>1.3576488483790783E-4</v>
      </c>
      <c r="K152" s="96">
        <f t="shared" si="30"/>
        <v>1.1779999999999999E-5</v>
      </c>
      <c r="L152" s="96">
        <f t="shared" si="31"/>
        <v>848795.43463497458</v>
      </c>
      <c r="M152" s="96">
        <f t="shared" si="32"/>
        <v>99.9881022</v>
      </c>
      <c r="N152" s="96">
        <f t="shared" si="33"/>
        <v>848695.44653277472</v>
      </c>
    </row>
    <row r="153" spans="1:14" x14ac:dyDescent="0.25">
      <c r="A153" s="96">
        <v>20</v>
      </c>
      <c r="B153" s="96">
        <f>VLOOKUP(Year_of_pregnancy,'ONS mortality stats'!$A$88:$CX$169,A152+2,TRUE)/ONS_mortality_rate_per_value</f>
        <v>1.2460000000000002E-4</v>
      </c>
      <c r="C153" s="96">
        <f t="shared" si="34"/>
        <v>1.2460000000000002E-4</v>
      </c>
      <c r="D153" s="96">
        <f t="shared" si="35"/>
        <v>1.2460000000000002E-4</v>
      </c>
      <c r="E153" s="96">
        <f t="shared" si="36"/>
        <v>1.2460000000000002E-4</v>
      </c>
      <c r="F153" s="96">
        <f t="shared" ca="1" si="37"/>
        <v>1.2355171127607304E-4</v>
      </c>
      <c r="G153" s="96">
        <f t="shared" ca="1" si="38"/>
        <v>1.2355171127607304E-4</v>
      </c>
      <c r="H153" s="96">
        <f t="shared" ca="1" si="39"/>
        <v>1.2355171127607304E-4</v>
      </c>
      <c r="I153" s="96">
        <f t="shared" ca="1" si="40"/>
        <v>1.2355171127607304E-4</v>
      </c>
      <c r="K153" s="96">
        <f t="shared" si="30"/>
        <v>1.2460000000000003E-5</v>
      </c>
      <c r="L153" s="96">
        <f t="shared" si="31"/>
        <v>802467.21829855512</v>
      </c>
      <c r="M153" s="96">
        <f t="shared" si="32"/>
        <v>99.987415399999989</v>
      </c>
      <c r="N153" s="96">
        <f t="shared" si="33"/>
        <v>802367.23088315513</v>
      </c>
    </row>
    <row r="154" spans="1:14" x14ac:dyDescent="0.25">
      <c r="A154" s="96">
        <v>21</v>
      </c>
      <c r="B154" s="96">
        <f>VLOOKUP(Year_of_pregnancy,'ONS mortality stats'!$A$88:$CX$169,A153+2,TRUE)/ONS_mortality_rate_per_value</f>
        <v>1.2909999999999999E-4</v>
      </c>
      <c r="C154" s="96">
        <f t="shared" si="34"/>
        <v>1.2909999999999999E-4</v>
      </c>
      <c r="D154" s="96">
        <f t="shared" si="35"/>
        <v>1.2909999999999999E-4</v>
      </c>
      <c r="E154" s="96">
        <f t="shared" si="36"/>
        <v>1.2909999999999999E-4</v>
      </c>
      <c r="F154" s="96">
        <f t="shared" ca="1" si="37"/>
        <v>1.0222279388332343E-4</v>
      </c>
      <c r="G154" s="96">
        <f t="shared" ca="1" si="38"/>
        <v>1.0222279388332343E-4</v>
      </c>
      <c r="H154" s="96">
        <f t="shared" ca="1" si="39"/>
        <v>1.0222279388332343E-4</v>
      </c>
      <c r="I154" s="96">
        <f t="shared" ca="1" si="40"/>
        <v>1.0222279388332343E-4</v>
      </c>
      <c r="K154" s="96">
        <f t="shared" si="30"/>
        <v>1.291E-5</v>
      </c>
      <c r="L154" s="96">
        <f t="shared" si="31"/>
        <v>774492.33849728899</v>
      </c>
      <c r="M154" s="96">
        <f t="shared" si="32"/>
        <v>99.9869609</v>
      </c>
      <c r="N154" s="96">
        <f t="shared" si="33"/>
        <v>774392.35153638897</v>
      </c>
    </row>
    <row r="155" spans="1:14" x14ac:dyDescent="0.25">
      <c r="A155" s="96">
        <v>22</v>
      </c>
      <c r="B155" s="96">
        <f>VLOOKUP(Year_of_pregnancy,'ONS mortality stats'!$A$88:$CX$169,A154+2,TRUE)/ONS_mortality_rate_per_value</f>
        <v>1.337E-4</v>
      </c>
      <c r="C155" s="96">
        <f t="shared" si="34"/>
        <v>1.337E-4</v>
      </c>
      <c r="D155" s="96">
        <f t="shared" si="35"/>
        <v>1.337E-4</v>
      </c>
      <c r="E155" s="96">
        <f t="shared" si="36"/>
        <v>1.337E-4</v>
      </c>
      <c r="F155" s="96">
        <f t="shared" ca="1" si="37"/>
        <v>1.2433006202896814E-4</v>
      </c>
      <c r="G155" s="96">
        <f t="shared" ca="1" si="38"/>
        <v>1.2433006202896814E-4</v>
      </c>
      <c r="H155" s="96">
        <f t="shared" ca="1" si="39"/>
        <v>1.2433006202896814E-4</v>
      </c>
      <c r="I155" s="96">
        <f t="shared" ca="1" si="40"/>
        <v>1.2433006202896814E-4</v>
      </c>
      <c r="K155" s="96">
        <f t="shared" si="30"/>
        <v>1.3370000000000001E-5</v>
      </c>
      <c r="L155" s="96">
        <f t="shared" si="31"/>
        <v>747842.15632011951</v>
      </c>
      <c r="M155" s="96">
        <f t="shared" si="32"/>
        <v>99.98649629999997</v>
      </c>
      <c r="N155" s="96">
        <f t="shared" si="33"/>
        <v>747742.16982381942</v>
      </c>
    </row>
    <row r="156" spans="1:14" x14ac:dyDescent="0.25">
      <c r="A156" s="96">
        <v>23</v>
      </c>
      <c r="B156" s="96">
        <f>VLOOKUP(Year_of_pregnancy,'ONS mortality stats'!$A$88:$CX$169,A155+2,TRUE)/ONS_mortality_rate_per_value</f>
        <v>1.3779999999999999E-4</v>
      </c>
      <c r="C156" s="96">
        <f t="shared" si="34"/>
        <v>1.3779999999999999E-4</v>
      </c>
      <c r="D156" s="96">
        <f t="shared" si="35"/>
        <v>1.3779999999999999E-4</v>
      </c>
      <c r="E156" s="96">
        <f t="shared" si="36"/>
        <v>1.3779999999999999E-4</v>
      </c>
      <c r="F156" s="96">
        <f t="shared" ca="1" si="37"/>
        <v>1.4203157108849673E-4</v>
      </c>
      <c r="G156" s="96">
        <f t="shared" ca="1" si="38"/>
        <v>1.4203157108849673E-4</v>
      </c>
      <c r="H156" s="96">
        <f t="shared" ca="1" si="39"/>
        <v>1.4203157108849673E-4</v>
      </c>
      <c r="I156" s="96">
        <f t="shared" ca="1" si="40"/>
        <v>1.4203157108849673E-4</v>
      </c>
      <c r="K156" s="96">
        <f t="shared" si="30"/>
        <v>1.378E-5</v>
      </c>
      <c r="L156" s="96">
        <f t="shared" si="31"/>
        <v>725588.40493468789</v>
      </c>
      <c r="M156" s="96">
        <f t="shared" si="32"/>
        <v>99.986082199999984</v>
      </c>
      <c r="N156" s="96">
        <f t="shared" si="33"/>
        <v>725488.41885248793</v>
      </c>
    </row>
    <row r="157" spans="1:14" x14ac:dyDescent="0.25">
      <c r="A157" s="96">
        <v>24</v>
      </c>
      <c r="B157" s="96">
        <f>VLOOKUP(Year_of_pregnancy,'ONS mortality stats'!$A$88:$CX$169,A156+2,TRUE)/ONS_mortality_rate_per_value</f>
        <v>1.4230000000000002E-4</v>
      </c>
      <c r="C157" s="96">
        <f t="shared" si="34"/>
        <v>1.4230000000000002E-4</v>
      </c>
      <c r="D157" s="96">
        <f t="shared" si="35"/>
        <v>1.4230000000000002E-4</v>
      </c>
      <c r="E157" s="96">
        <f t="shared" si="36"/>
        <v>1.4230000000000002E-4</v>
      </c>
      <c r="F157" s="96">
        <f t="shared" ca="1" si="37"/>
        <v>1.270927527437958E-4</v>
      </c>
      <c r="G157" s="96">
        <f t="shared" ca="1" si="38"/>
        <v>1.270927527437958E-4</v>
      </c>
      <c r="H157" s="96">
        <f t="shared" ca="1" si="39"/>
        <v>1.270927527437958E-4</v>
      </c>
      <c r="I157" s="96">
        <f t="shared" ca="1" si="40"/>
        <v>1.270927527437958E-4</v>
      </c>
      <c r="K157" s="96">
        <f t="shared" si="30"/>
        <v>1.4230000000000003E-5</v>
      </c>
      <c r="L157" s="96">
        <f t="shared" si="31"/>
        <v>702639.68868587469</v>
      </c>
      <c r="M157" s="96">
        <f t="shared" si="32"/>
        <v>99.985627699999981</v>
      </c>
      <c r="N157" s="96">
        <f t="shared" si="33"/>
        <v>702539.70305817469</v>
      </c>
    </row>
    <row r="158" spans="1:14" x14ac:dyDescent="0.25">
      <c r="A158" s="96">
        <v>25</v>
      </c>
      <c r="B158" s="96">
        <f>VLOOKUP(Year_of_pregnancy,'ONS mortality stats'!$A$88:$CX$169,A157+2,TRUE)/ONS_mortality_rate_per_value</f>
        <v>1.482E-4</v>
      </c>
      <c r="C158" s="96">
        <f t="shared" si="34"/>
        <v>1.482E-4</v>
      </c>
      <c r="D158" s="96">
        <f t="shared" si="35"/>
        <v>1.482E-4</v>
      </c>
      <c r="E158" s="96">
        <f t="shared" si="36"/>
        <v>1.482E-4</v>
      </c>
      <c r="F158" s="96">
        <f t="shared" ca="1" si="37"/>
        <v>1.4001272625869808E-4</v>
      </c>
      <c r="G158" s="96">
        <f t="shared" ca="1" si="38"/>
        <v>1.4001272625869808E-4</v>
      </c>
      <c r="H158" s="96">
        <f t="shared" ca="1" si="39"/>
        <v>1.4001272625869808E-4</v>
      </c>
      <c r="I158" s="96">
        <f t="shared" ca="1" si="40"/>
        <v>1.4001272625869808E-4</v>
      </c>
      <c r="K158" s="96">
        <f t="shared" si="30"/>
        <v>1.482E-5</v>
      </c>
      <c r="L158" s="96">
        <f t="shared" si="31"/>
        <v>674662.83265856944</v>
      </c>
      <c r="M158" s="96">
        <f t="shared" si="32"/>
        <v>99.985031799999987</v>
      </c>
      <c r="N158" s="96">
        <f t="shared" si="33"/>
        <v>674562.84762676945</v>
      </c>
    </row>
    <row r="159" spans="1:14" x14ac:dyDescent="0.25">
      <c r="A159" s="96">
        <v>26</v>
      </c>
      <c r="B159" s="96">
        <f>VLOOKUP(Year_of_pregnancy,'ONS mortality stats'!$A$88:$CX$169,A158+2,TRUE)/ONS_mortality_rate_per_value</f>
        <v>1.585E-4</v>
      </c>
      <c r="C159" s="96">
        <f t="shared" si="34"/>
        <v>1.585E-4</v>
      </c>
      <c r="D159" s="96">
        <f t="shared" si="35"/>
        <v>1.585E-4</v>
      </c>
      <c r="E159" s="96">
        <f t="shared" si="36"/>
        <v>1.585E-4</v>
      </c>
      <c r="F159" s="96">
        <f t="shared" ca="1" si="37"/>
        <v>1.6860541244179128E-4</v>
      </c>
      <c r="G159" s="96">
        <f t="shared" ca="1" si="38"/>
        <v>1.6860541244179128E-4</v>
      </c>
      <c r="H159" s="96">
        <f t="shared" ca="1" si="39"/>
        <v>1.6860541244179128E-4</v>
      </c>
      <c r="I159" s="96">
        <f t="shared" ca="1" si="40"/>
        <v>1.6860541244179128E-4</v>
      </c>
      <c r="K159" s="96">
        <f t="shared" si="30"/>
        <v>1.5850000000000002E-5</v>
      </c>
      <c r="L159" s="96">
        <f t="shared" si="31"/>
        <v>630813.82649842266</v>
      </c>
      <c r="M159" s="96">
        <f t="shared" si="32"/>
        <v>99.983991499999988</v>
      </c>
      <c r="N159" s="96">
        <f t="shared" si="33"/>
        <v>630713.84250692267</v>
      </c>
    </row>
    <row r="160" spans="1:14" x14ac:dyDescent="0.25">
      <c r="A160" s="96">
        <v>27</v>
      </c>
      <c r="B160" s="96">
        <f>VLOOKUP(Year_of_pregnancy,'ONS mortality stats'!$A$88:$CX$169,A159+2,TRUE)/ONS_mortality_rate_per_value</f>
        <v>1.7140000000000002E-4</v>
      </c>
      <c r="C160" s="96">
        <f t="shared" si="34"/>
        <v>1.7140000000000002E-4</v>
      </c>
      <c r="D160" s="96">
        <f t="shared" si="35"/>
        <v>1.7140000000000002E-4</v>
      </c>
      <c r="E160" s="96">
        <f t="shared" si="36"/>
        <v>1.7140000000000002E-4</v>
      </c>
      <c r="F160" s="96">
        <f t="shared" ca="1" si="37"/>
        <v>1.703220583543141E-4</v>
      </c>
      <c r="G160" s="96">
        <f t="shared" ca="1" si="38"/>
        <v>1.703220583543141E-4</v>
      </c>
      <c r="H160" s="96">
        <f t="shared" ca="1" si="39"/>
        <v>1.703220583543141E-4</v>
      </c>
      <c r="I160" s="96">
        <f t="shared" ca="1" si="40"/>
        <v>1.703220583543141E-4</v>
      </c>
      <c r="K160" s="96">
        <f t="shared" si="30"/>
        <v>1.7140000000000002E-5</v>
      </c>
      <c r="L160" s="96">
        <f t="shared" si="31"/>
        <v>583329.57176196016</v>
      </c>
      <c r="M160" s="96">
        <f t="shared" si="32"/>
        <v>99.982688599999989</v>
      </c>
      <c r="N160" s="96">
        <f t="shared" si="33"/>
        <v>583229.5890733602</v>
      </c>
    </row>
    <row r="161" spans="1:14" x14ac:dyDescent="0.25">
      <c r="A161" s="96">
        <v>28</v>
      </c>
      <c r="B161" s="96">
        <f>VLOOKUP(Year_of_pregnancy,'ONS mortality stats'!$A$88:$CX$169,A160+2,TRUE)/ONS_mortality_rate_per_value</f>
        <v>1.9100000000000001E-4</v>
      </c>
      <c r="C161" s="96">
        <f t="shared" si="34"/>
        <v>1.9100000000000001E-4</v>
      </c>
      <c r="D161" s="96">
        <f t="shared" si="35"/>
        <v>1.9100000000000001E-4</v>
      </c>
      <c r="E161" s="96">
        <f t="shared" si="36"/>
        <v>1.9100000000000001E-4</v>
      </c>
      <c r="F161" s="96">
        <f t="shared" ca="1" si="37"/>
        <v>1.9873220563471072E-4</v>
      </c>
      <c r="G161" s="96">
        <f t="shared" ca="1" si="38"/>
        <v>1.9873220563471072E-4</v>
      </c>
      <c r="H161" s="96">
        <f t="shared" ca="1" si="39"/>
        <v>1.9873220563471072E-4</v>
      </c>
      <c r="I161" s="96">
        <f t="shared" ca="1" si="40"/>
        <v>1.9873220563471072E-4</v>
      </c>
      <c r="K161" s="96">
        <f t="shared" si="30"/>
        <v>1.9100000000000003E-5</v>
      </c>
      <c r="L161" s="96">
        <f t="shared" si="31"/>
        <v>523459.20942408364</v>
      </c>
      <c r="M161" s="96">
        <f t="shared" si="32"/>
        <v>99.980708999999976</v>
      </c>
      <c r="N161" s="96">
        <f t="shared" si="33"/>
        <v>523359.22871508356</v>
      </c>
    </row>
    <row r="162" spans="1:14" x14ac:dyDescent="0.25">
      <c r="A162" s="96">
        <v>29</v>
      </c>
      <c r="B162" s="96">
        <f>VLOOKUP(Year_of_pregnancy,'ONS mortality stats'!$A$88:$CX$169,A161+2,TRUE)/ONS_mortality_rate_per_value</f>
        <v>2.1320000000000001E-4</v>
      </c>
      <c r="C162" s="96">
        <f t="shared" si="34"/>
        <v>2.1320000000000001E-4</v>
      </c>
      <c r="D162" s="96">
        <f t="shared" si="35"/>
        <v>2.1320000000000001E-4</v>
      </c>
      <c r="E162" s="96">
        <f t="shared" si="36"/>
        <v>2.1320000000000001E-4</v>
      </c>
      <c r="F162" s="96">
        <f t="shared" ca="1" si="37"/>
        <v>2.2869504254419137E-4</v>
      </c>
      <c r="G162" s="96">
        <f t="shared" ca="1" si="38"/>
        <v>2.2869504254419137E-4</v>
      </c>
      <c r="H162" s="96">
        <f t="shared" ca="1" si="39"/>
        <v>2.2869504254419137E-4</v>
      </c>
      <c r="I162" s="96">
        <f t="shared" ca="1" si="40"/>
        <v>2.2869504254419137E-4</v>
      </c>
      <c r="K162" s="96">
        <f t="shared" si="30"/>
        <v>2.1320000000000003E-5</v>
      </c>
      <c r="L162" s="96">
        <f t="shared" si="31"/>
        <v>468942.15196998115</v>
      </c>
      <c r="M162" s="96">
        <f t="shared" si="32"/>
        <v>99.978466799999978</v>
      </c>
      <c r="N162" s="96">
        <f t="shared" si="33"/>
        <v>468842.17350318114</v>
      </c>
    </row>
    <row r="163" spans="1:14" x14ac:dyDescent="0.25">
      <c r="A163" s="96">
        <v>30</v>
      </c>
      <c r="B163" s="96">
        <f>VLOOKUP(Year_of_pregnancy,'ONS mortality stats'!$A$88:$CX$169,A162+2,TRUE)/ONS_mortality_rate_per_value</f>
        <v>2.386E-4</v>
      </c>
      <c r="C163" s="96">
        <f t="shared" si="34"/>
        <v>2.386E-4</v>
      </c>
      <c r="D163" s="96">
        <f t="shared" si="35"/>
        <v>2.386E-4</v>
      </c>
      <c r="E163" s="96">
        <f t="shared" si="36"/>
        <v>2.386E-4</v>
      </c>
      <c r="F163" s="96">
        <f t="shared" ca="1" si="37"/>
        <v>2.1331788683436246E-4</v>
      </c>
      <c r="G163" s="96">
        <f t="shared" ca="1" si="38"/>
        <v>2.1331788683436246E-4</v>
      </c>
      <c r="H163" s="96">
        <f t="shared" ca="1" si="39"/>
        <v>2.1331788683436246E-4</v>
      </c>
      <c r="I163" s="96">
        <f t="shared" ca="1" si="40"/>
        <v>2.1331788683436246E-4</v>
      </c>
      <c r="K163" s="96">
        <f t="shared" si="30"/>
        <v>2.3860000000000002E-5</v>
      </c>
      <c r="L163" s="96">
        <f t="shared" si="31"/>
        <v>419010.48365465208</v>
      </c>
      <c r="M163" s="96">
        <f t="shared" si="32"/>
        <v>99.975901399999984</v>
      </c>
      <c r="N163" s="96">
        <f t="shared" si="33"/>
        <v>418910.50775325205</v>
      </c>
    </row>
    <row r="164" spans="1:14" x14ac:dyDescent="0.25">
      <c r="A164" s="96">
        <v>31</v>
      </c>
      <c r="B164" s="96">
        <f>VLOOKUP(Year_of_pregnancy,'ONS mortality stats'!$A$88:$CX$169,A163+2,TRUE)/ONS_mortality_rate_per_value</f>
        <v>2.6340000000000001E-4</v>
      </c>
      <c r="C164" s="96">
        <f t="shared" si="34"/>
        <v>2.6340000000000001E-4</v>
      </c>
      <c r="D164" s="96">
        <f t="shared" si="35"/>
        <v>2.6340000000000001E-4</v>
      </c>
      <c r="E164" s="96">
        <f t="shared" si="36"/>
        <v>2.6340000000000001E-4</v>
      </c>
      <c r="F164" s="96">
        <f t="shared" ca="1" si="37"/>
        <v>3.2224523058599353E-4</v>
      </c>
      <c r="G164" s="96">
        <f t="shared" ca="1" si="38"/>
        <v>3.2224523058599353E-4</v>
      </c>
      <c r="H164" s="96">
        <f t="shared" ca="1" si="39"/>
        <v>3.2224523058599353E-4</v>
      </c>
      <c r="I164" s="96">
        <f t="shared" ca="1" si="40"/>
        <v>3.2224523058599353E-4</v>
      </c>
      <c r="K164" s="96">
        <f t="shared" si="30"/>
        <v>2.6340000000000002E-5</v>
      </c>
      <c r="L164" s="96">
        <f t="shared" si="31"/>
        <v>379549.72133637045</v>
      </c>
      <c r="M164" s="96">
        <f t="shared" si="32"/>
        <v>99.973396599999973</v>
      </c>
      <c r="N164" s="96">
        <f t="shared" si="33"/>
        <v>379449.74793977046</v>
      </c>
    </row>
    <row r="165" spans="1:14" x14ac:dyDescent="0.25">
      <c r="A165" s="96">
        <v>32</v>
      </c>
      <c r="B165" s="96">
        <f>VLOOKUP(Year_of_pregnancy,'ONS mortality stats'!$A$88:$CX$169,A164+2,TRUE)/ONS_mortality_rate_per_value</f>
        <v>2.8620000000000002E-4</v>
      </c>
      <c r="C165" s="96">
        <f t="shared" si="34"/>
        <v>2.8620000000000002E-4</v>
      </c>
      <c r="D165" s="96">
        <f t="shared" si="35"/>
        <v>2.8620000000000002E-4</v>
      </c>
      <c r="E165" s="96">
        <f t="shared" si="36"/>
        <v>2.8620000000000002E-4</v>
      </c>
      <c r="F165" s="96">
        <f t="shared" ca="1" si="37"/>
        <v>2.9024987136627711E-4</v>
      </c>
      <c r="G165" s="96">
        <f t="shared" ca="1" si="38"/>
        <v>2.9024987136627711E-4</v>
      </c>
      <c r="H165" s="96">
        <f t="shared" ca="1" si="39"/>
        <v>2.9024987136627711E-4</v>
      </c>
      <c r="I165" s="96">
        <f t="shared" ca="1" si="40"/>
        <v>2.9024987136627711E-4</v>
      </c>
      <c r="K165" s="96">
        <f t="shared" si="30"/>
        <v>2.8620000000000004E-5</v>
      </c>
      <c r="L165" s="96">
        <f t="shared" si="31"/>
        <v>349305.00978336821</v>
      </c>
      <c r="M165" s="96">
        <f t="shared" si="32"/>
        <v>99.971093799999991</v>
      </c>
      <c r="N165" s="96">
        <f t="shared" si="33"/>
        <v>349205.03868956823</v>
      </c>
    </row>
    <row r="166" spans="1:14" x14ac:dyDescent="0.25">
      <c r="A166" s="96">
        <v>33</v>
      </c>
      <c r="B166" s="96">
        <f>VLOOKUP(Year_of_pregnancy,'ONS mortality stats'!$A$88:$CX$169,A165+2,TRUE)/ONS_mortality_rate_per_value</f>
        <v>3.0899999999999998E-4</v>
      </c>
      <c r="C166" s="96">
        <f t="shared" si="34"/>
        <v>3.0899999999999998E-4</v>
      </c>
      <c r="D166" s="96">
        <f t="shared" si="35"/>
        <v>3.0899999999999998E-4</v>
      </c>
      <c r="E166" s="96">
        <f t="shared" si="36"/>
        <v>3.0899999999999998E-4</v>
      </c>
      <c r="F166" s="96">
        <f t="shared" ca="1" si="37"/>
        <v>3.1463829356925821E-4</v>
      </c>
      <c r="G166" s="96">
        <f t="shared" ca="1" si="38"/>
        <v>3.1463829356925821E-4</v>
      </c>
      <c r="H166" s="96">
        <f t="shared" ca="1" si="39"/>
        <v>3.1463829356925821E-4</v>
      </c>
      <c r="I166" s="96">
        <f t="shared" ca="1" si="40"/>
        <v>3.1463829356925821E-4</v>
      </c>
      <c r="K166" s="96">
        <f t="shared" si="30"/>
        <v>3.0899999999999999E-5</v>
      </c>
      <c r="L166" s="96">
        <f t="shared" si="31"/>
        <v>323523.59546925564</v>
      </c>
      <c r="M166" s="96">
        <f t="shared" si="32"/>
        <v>99.968790999999982</v>
      </c>
      <c r="N166" s="96">
        <f t="shared" si="33"/>
        <v>323423.62667825562</v>
      </c>
    </row>
    <row r="167" spans="1:14" x14ac:dyDescent="0.25">
      <c r="A167" s="96">
        <v>34</v>
      </c>
      <c r="B167" s="96">
        <f>VLOOKUP(Year_of_pregnancy,'ONS mortality stats'!$A$88:$CX$169,A166+2,TRUE)/ONS_mortality_rate_per_value</f>
        <v>3.3179999999999999E-4</v>
      </c>
      <c r="C167" s="96">
        <f t="shared" si="34"/>
        <v>3.3179999999999999E-4</v>
      </c>
      <c r="D167" s="96">
        <f t="shared" si="35"/>
        <v>3.3179999999999999E-4</v>
      </c>
      <c r="E167" s="96">
        <f t="shared" si="36"/>
        <v>3.3179999999999999E-4</v>
      </c>
      <c r="F167" s="96">
        <f t="shared" ca="1" si="37"/>
        <v>2.8618889978453165E-4</v>
      </c>
      <c r="G167" s="96">
        <f t="shared" ca="1" si="38"/>
        <v>2.8618889978453165E-4</v>
      </c>
      <c r="H167" s="96">
        <f t="shared" ca="1" si="39"/>
        <v>2.8618889978453165E-4</v>
      </c>
      <c r="I167" s="96">
        <f t="shared" ca="1" si="40"/>
        <v>2.8618889978453165E-4</v>
      </c>
      <c r="K167" s="96">
        <f t="shared" si="30"/>
        <v>3.3179999999999997E-5</v>
      </c>
      <c r="L167" s="96">
        <f t="shared" si="31"/>
        <v>301285.3773357445</v>
      </c>
      <c r="M167" s="96">
        <f t="shared" si="32"/>
        <v>99.966488200000029</v>
      </c>
      <c r="N167" s="96">
        <f t="shared" si="33"/>
        <v>301185.4108475445</v>
      </c>
    </row>
    <row r="168" spans="1:14" x14ac:dyDescent="0.25">
      <c r="A168" s="96">
        <v>35</v>
      </c>
      <c r="B168" s="96">
        <f>VLOOKUP(Year_of_pregnancy,'ONS mortality stats'!$A$88:$CX$169,A167+2,TRUE)/ONS_mortality_rate_per_value</f>
        <v>3.5950000000000001E-4</v>
      </c>
      <c r="C168" s="96">
        <f t="shared" si="34"/>
        <v>2.9287169042769857E-4</v>
      </c>
      <c r="D168" s="96">
        <f t="shared" si="35"/>
        <v>3.6608961303462323E-4</v>
      </c>
      <c r="E168" s="96">
        <f t="shared" si="36"/>
        <v>5.1252545824847248E-4</v>
      </c>
      <c r="F168" s="96">
        <f t="shared" ca="1" si="37"/>
        <v>4.0224887282236388E-4</v>
      </c>
      <c r="G168" s="96">
        <f t="shared" ca="1" si="38"/>
        <v>3.3626767404800465E-4</v>
      </c>
      <c r="H168" s="96">
        <f t="shared" ca="1" si="39"/>
        <v>3.4207922527877216E-4</v>
      </c>
      <c r="I168" s="96">
        <f t="shared" ca="1" si="40"/>
        <v>6.1758357623752796E-4</v>
      </c>
      <c r="K168" s="96">
        <f t="shared" si="30"/>
        <v>3.595E-5</v>
      </c>
      <c r="L168" s="96">
        <f t="shared" si="31"/>
        <v>278063.11682892911</v>
      </c>
      <c r="M168" s="96">
        <f t="shared" si="32"/>
        <v>99.963690500000013</v>
      </c>
      <c r="N168" s="96">
        <f t="shared" si="33"/>
        <v>277963.1531384291</v>
      </c>
    </row>
    <row r="169" spans="1:14" x14ac:dyDescent="0.25">
      <c r="A169" s="96">
        <v>36</v>
      </c>
      <c r="B169" s="96">
        <f>VLOOKUP(Year_of_pregnancy,'ONS mortality stats'!$A$88:$CX$169,A168+2,TRUE)/ONS_mortality_rate_per_value</f>
        <v>3.8899999999999997E-4</v>
      </c>
      <c r="C169" s="96">
        <f t="shared" si="34"/>
        <v>3.1690427698574333E-4</v>
      </c>
      <c r="D169" s="96">
        <f t="shared" si="35"/>
        <v>3.9613034623217917E-4</v>
      </c>
      <c r="E169" s="96">
        <f t="shared" si="36"/>
        <v>5.5458248472505076E-4</v>
      </c>
      <c r="F169" s="96">
        <f t="shared" ca="1" si="37"/>
        <v>3.4562936538391444E-4</v>
      </c>
      <c r="G169" s="96">
        <f t="shared" ca="1" si="38"/>
        <v>2.8893550891729214E-4</v>
      </c>
      <c r="H169" s="96">
        <f t="shared" ca="1" si="39"/>
        <v>2.9392904127871982E-4</v>
      </c>
      <c r="I169" s="96">
        <f t="shared" ca="1" si="40"/>
        <v>5.3065411477428413E-4</v>
      </c>
      <c r="K169" s="96">
        <f t="shared" si="30"/>
        <v>3.8899999999999997E-5</v>
      </c>
      <c r="L169" s="96">
        <f t="shared" si="31"/>
        <v>256968.40874035991</v>
      </c>
      <c r="M169" s="96">
        <f t="shared" si="32"/>
        <v>99.960711000000003</v>
      </c>
      <c r="N169" s="96">
        <f t="shared" si="33"/>
        <v>256868.44802935992</v>
      </c>
    </row>
    <row r="170" spans="1:14" x14ac:dyDescent="0.25">
      <c r="A170" s="96">
        <v>37</v>
      </c>
      <c r="B170" s="96">
        <f>VLOOKUP(Year_of_pregnancy,'ONS mortality stats'!$A$88:$CX$169,A169+2,TRUE)/ONS_mortality_rate_per_value</f>
        <v>4.2210000000000001E-4</v>
      </c>
      <c r="C170" s="96">
        <f t="shared" si="34"/>
        <v>3.4386965376782076E-4</v>
      </c>
      <c r="D170" s="96">
        <f t="shared" si="35"/>
        <v>4.2983706720977596E-4</v>
      </c>
      <c r="E170" s="96">
        <f t="shared" si="36"/>
        <v>6.0177189409368621E-4</v>
      </c>
      <c r="F170" s="96">
        <f t="shared" ca="1" si="37"/>
        <v>4.6756597588659687E-4</v>
      </c>
      <c r="G170" s="96">
        <f t="shared" ca="1" si="38"/>
        <v>3.908707613577431E-4</v>
      </c>
      <c r="H170" s="96">
        <f t="shared" ca="1" si="39"/>
        <v>3.9762599128185215E-4</v>
      </c>
      <c r="I170" s="96">
        <f t="shared" ca="1" si="40"/>
        <v>7.1786669155578535E-4</v>
      </c>
      <c r="K170" s="96">
        <f t="shared" si="30"/>
        <v>4.2210000000000004E-5</v>
      </c>
      <c r="L170" s="96">
        <f t="shared" si="31"/>
        <v>236809.68467187867</v>
      </c>
      <c r="M170" s="96">
        <f t="shared" si="32"/>
        <v>99.957367899999994</v>
      </c>
      <c r="N170" s="96">
        <f t="shared" si="33"/>
        <v>236709.7273039787</v>
      </c>
    </row>
    <row r="171" spans="1:14" x14ac:dyDescent="0.25">
      <c r="A171" s="96">
        <v>38</v>
      </c>
      <c r="B171" s="96">
        <f>VLOOKUP(Year_of_pregnancy,'ONS mortality stats'!$A$88:$CX$169,A170+2,TRUE)/ONS_mortality_rate_per_value</f>
        <v>4.594E-4</v>
      </c>
      <c r="C171" s="96">
        <f t="shared" si="34"/>
        <v>3.7425661914460283E-4</v>
      </c>
      <c r="D171" s="96">
        <f t="shared" si="35"/>
        <v>4.6782077393075355E-4</v>
      </c>
      <c r="E171" s="96">
        <f t="shared" si="36"/>
        <v>6.5494908350305489E-4</v>
      </c>
      <c r="F171" s="96">
        <f t="shared" ca="1" si="37"/>
        <v>5.248797110302128E-4</v>
      </c>
      <c r="G171" s="96">
        <f t="shared" ca="1" si="38"/>
        <v>4.3878327947748466E-4</v>
      </c>
      <c r="H171" s="96">
        <f t="shared" ca="1" si="39"/>
        <v>4.4636655823036158E-4</v>
      </c>
      <c r="I171" s="96">
        <f t="shared" ca="1" si="40"/>
        <v>8.0586201959528987E-4</v>
      </c>
      <c r="K171" s="96">
        <f t="shared" si="30"/>
        <v>4.5940000000000004E-5</v>
      </c>
      <c r="L171" s="96">
        <f t="shared" si="31"/>
        <v>217574.22855898997</v>
      </c>
      <c r="M171" s="96">
        <f t="shared" si="32"/>
        <v>99.953600599999987</v>
      </c>
      <c r="N171" s="96">
        <f t="shared" si="33"/>
        <v>217474.27495838993</v>
      </c>
    </row>
    <row r="172" spans="1:14" x14ac:dyDescent="0.25">
      <c r="A172" s="96">
        <v>39</v>
      </c>
      <c r="B172" s="96">
        <f>VLOOKUP(Year_of_pregnancy,'ONS mortality stats'!$A$88:$CX$169,A171+2,TRUE)/ONS_mortality_rate_per_value</f>
        <v>4.9790000000000001E-4</v>
      </c>
      <c r="C172" s="96">
        <f t="shared" si="34"/>
        <v>4.0562118126272911E-4</v>
      </c>
      <c r="D172" s="96">
        <f t="shared" si="35"/>
        <v>5.0702647657841133E-4</v>
      </c>
      <c r="E172" s="96">
        <f t="shared" si="36"/>
        <v>7.0983706720977589E-4</v>
      </c>
      <c r="F172" s="96">
        <f t="shared" ca="1" si="37"/>
        <v>5.342361277838048E-4</v>
      </c>
      <c r="G172" s="96">
        <f t="shared" ca="1" si="38"/>
        <v>4.4660495583689501E-4</v>
      </c>
      <c r="H172" s="96">
        <f t="shared" ca="1" si="39"/>
        <v>4.5432341283133766E-4</v>
      </c>
      <c r="I172" s="96">
        <f t="shared" ca="1" si="40"/>
        <v>8.202271793505138E-4</v>
      </c>
      <c r="K172" s="96">
        <f t="shared" si="30"/>
        <v>4.9790000000000003E-5</v>
      </c>
      <c r="L172" s="96">
        <f t="shared" si="31"/>
        <v>200742.54288009639</v>
      </c>
      <c r="M172" s="96">
        <f t="shared" si="32"/>
        <v>99.949712099999999</v>
      </c>
      <c r="N172" s="96">
        <f t="shared" si="33"/>
        <v>200642.59316799638</v>
      </c>
    </row>
    <row r="173" spans="1:14" x14ac:dyDescent="0.25">
      <c r="A173" s="96">
        <v>40</v>
      </c>
      <c r="B173" s="96">
        <f>VLOOKUP(Year_of_pregnancy,'ONS mortality stats'!$A$88:$CX$169,A172+2,TRUE)/ONS_mortality_rate_per_value</f>
        <v>5.3590000000000007E-4</v>
      </c>
      <c r="C173" s="96">
        <f t="shared" si="34"/>
        <v>4.3657841140529538E-4</v>
      </c>
      <c r="D173" s="96">
        <f t="shared" si="35"/>
        <v>5.4572301425661923E-4</v>
      </c>
      <c r="E173" s="96">
        <f t="shared" si="36"/>
        <v>7.6401221995926684E-4</v>
      </c>
      <c r="F173" s="96">
        <f t="shared" ca="1" si="37"/>
        <v>5.2446601683071761E-4</v>
      </c>
      <c r="G173" s="96">
        <f t="shared" ca="1" si="38"/>
        <v>4.384374438626939E-4</v>
      </c>
      <c r="H173" s="96">
        <f t="shared" ca="1" si="39"/>
        <v>4.4601474570625754E-4</v>
      </c>
      <c r="I173" s="96">
        <f t="shared" ca="1" si="40"/>
        <v>8.0522686369938808E-4</v>
      </c>
      <c r="K173" s="96">
        <f t="shared" si="30"/>
        <v>5.3590000000000007E-5</v>
      </c>
      <c r="L173" s="96">
        <f t="shared" si="31"/>
        <v>186500.97798096656</v>
      </c>
      <c r="M173" s="96">
        <f t="shared" si="32"/>
        <v>99.945874099999997</v>
      </c>
      <c r="N173" s="96">
        <f t="shared" si="33"/>
        <v>186401.03210686657</v>
      </c>
    </row>
    <row r="174" spans="1:14" x14ac:dyDescent="0.25">
      <c r="A174" s="96">
        <v>41</v>
      </c>
      <c r="B174" s="96">
        <f>VLOOKUP(Year_of_pregnancy,'ONS mortality stats'!$A$88:$CX$169,A173+2,TRUE)/ONS_mortality_rate_per_value</f>
        <v>5.7120000000000001E-4</v>
      </c>
      <c r="C174" s="96">
        <f t="shared" si="34"/>
        <v>4.6533604887983709E-4</v>
      </c>
      <c r="D174" s="96">
        <f t="shared" si="35"/>
        <v>5.816700610997964E-4</v>
      </c>
      <c r="E174" s="96">
        <f t="shared" si="36"/>
        <v>8.1433808553971481E-4</v>
      </c>
      <c r="F174" s="96">
        <f t="shared" ca="1" si="37"/>
        <v>5.1647450907237643E-4</v>
      </c>
      <c r="G174" s="96">
        <f t="shared" ca="1" si="38"/>
        <v>4.3175678940323271E-4</v>
      </c>
      <c r="H174" s="96">
        <f t="shared" ca="1" si="39"/>
        <v>4.3921863273370517E-4</v>
      </c>
      <c r="I174" s="96">
        <f t="shared" ca="1" si="40"/>
        <v>7.9295728564862298E-4</v>
      </c>
      <c r="K174" s="96">
        <f t="shared" si="30"/>
        <v>5.7120000000000002E-5</v>
      </c>
      <c r="L174" s="96">
        <f t="shared" si="31"/>
        <v>174969.02801120447</v>
      </c>
      <c r="M174" s="96">
        <f t="shared" si="32"/>
        <v>99.942308799999992</v>
      </c>
      <c r="N174" s="96">
        <f t="shared" si="33"/>
        <v>174869.08570240447</v>
      </c>
    </row>
    <row r="175" spans="1:14" x14ac:dyDescent="0.25">
      <c r="A175" s="96">
        <v>42</v>
      </c>
      <c r="B175" s="96">
        <f>VLOOKUP(Year_of_pregnancy,'ONS mortality stats'!$A$88:$CX$169,A174+2,TRUE)/ONS_mortality_rate_per_value</f>
        <v>5.9800000000000001E-4</v>
      </c>
      <c r="C175" s="96">
        <f t="shared" si="34"/>
        <v>4.8716904276985745E-4</v>
      </c>
      <c r="D175" s="96">
        <f t="shared" si="35"/>
        <v>6.0896130346232177E-4</v>
      </c>
      <c r="E175" s="96">
        <f t="shared" si="36"/>
        <v>8.5254582484725042E-4</v>
      </c>
      <c r="F175" s="96">
        <f t="shared" ca="1" si="37"/>
        <v>5.3651401016831322E-4</v>
      </c>
      <c r="G175" s="96">
        <f t="shared" ca="1" si="38"/>
        <v>4.4850919538347002E-4</v>
      </c>
      <c r="H175" s="96">
        <f t="shared" ca="1" si="39"/>
        <v>4.5626056242706293E-4</v>
      </c>
      <c r="I175" s="96">
        <f t="shared" ca="1" si="40"/>
        <v>8.2372447379761211E-4</v>
      </c>
      <c r="K175" s="96">
        <f t="shared" si="30"/>
        <v>5.9800000000000003E-5</v>
      </c>
      <c r="L175" s="96">
        <f t="shared" si="31"/>
        <v>167123.08026755851</v>
      </c>
      <c r="M175" s="96">
        <f t="shared" si="32"/>
        <v>99.939601999999994</v>
      </c>
      <c r="N175" s="96">
        <f t="shared" si="33"/>
        <v>167023.14066555852</v>
      </c>
    </row>
    <row r="176" spans="1:14" x14ac:dyDescent="0.25">
      <c r="A176" s="96">
        <v>43</v>
      </c>
      <c r="B176" s="96">
        <f>VLOOKUP(Year_of_pregnancy,'ONS mortality stats'!$A$88:$CX$169,A175+2,TRUE)/ONS_mortality_rate_per_value</f>
        <v>6.2159999999999993E-4</v>
      </c>
      <c r="C176" s="96">
        <f t="shared" si="34"/>
        <v>5.0639511201629325E-4</v>
      </c>
      <c r="D176" s="96">
        <f t="shared" si="35"/>
        <v>6.3299389002036653E-4</v>
      </c>
      <c r="E176" s="96">
        <f t="shared" si="36"/>
        <v>8.861914460285131E-4</v>
      </c>
      <c r="F176" s="96">
        <f t="shared" ca="1" si="37"/>
        <v>6.6584549255943593E-4</v>
      </c>
      <c r="G176" s="96">
        <f t="shared" ca="1" si="38"/>
        <v>5.5662633306417352E-4</v>
      </c>
      <c r="H176" s="96">
        <f t="shared" ca="1" si="39"/>
        <v>5.6624623619686335E-4</v>
      </c>
      <c r="I176" s="96">
        <f t="shared" ca="1" si="40"/>
        <v>1.0222905974383934E-3</v>
      </c>
      <c r="K176" s="96">
        <f t="shared" si="30"/>
        <v>6.2160000000000001E-5</v>
      </c>
      <c r="L176" s="96">
        <f t="shared" si="31"/>
        <v>160774.16087516083</v>
      </c>
      <c r="M176" s="96">
        <f t="shared" si="32"/>
        <v>99.937218399999963</v>
      </c>
      <c r="N176" s="96">
        <f t="shared" si="33"/>
        <v>160674.22365676085</v>
      </c>
    </row>
    <row r="177" spans="1:14" x14ac:dyDescent="0.25">
      <c r="A177" s="96">
        <v>44</v>
      </c>
      <c r="B177" s="96">
        <f>VLOOKUP(Year_of_pregnancy,'ONS mortality stats'!$A$88:$CX$169,A176+2,TRUE)/ONS_mortality_rate_per_value</f>
        <v>6.4569999999999992E-4</v>
      </c>
      <c r="C177" s="96">
        <f t="shared" si="34"/>
        <v>5.2602851323828911E-4</v>
      </c>
      <c r="D177" s="96">
        <f t="shared" si="35"/>
        <v>6.5753564154786138E-4</v>
      </c>
      <c r="E177" s="96">
        <f t="shared" si="36"/>
        <v>9.2054989816700583E-4</v>
      </c>
      <c r="F177" s="96">
        <f t="shared" ca="1" si="37"/>
        <v>6.9652340343684394E-4</v>
      </c>
      <c r="G177" s="96">
        <f t="shared" ca="1" si="38"/>
        <v>5.822721221076983E-4</v>
      </c>
      <c r="H177" s="96">
        <f t="shared" ca="1" si="39"/>
        <v>5.9233524898261029E-4</v>
      </c>
      <c r="I177" s="96">
        <f t="shared" ca="1" si="40"/>
        <v>1.0693912239192849E-3</v>
      </c>
      <c r="K177" s="96">
        <f t="shared" si="30"/>
        <v>6.457E-5</v>
      </c>
      <c r="L177" s="96">
        <f t="shared" si="31"/>
        <v>154769.68297971194</v>
      </c>
      <c r="M177" s="96">
        <f t="shared" si="32"/>
        <v>99.93478429999999</v>
      </c>
      <c r="N177" s="96">
        <f t="shared" si="33"/>
        <v>154669.74819541193</v>
      </c>
    </row>
    <row r="178" spans="1:14" x14ac:dyDescent="0.25">
      <c r="A178" s="96">
        <v>45</v>
      </c>
      <c r="B178" s="96">
        <f>VLOOKUP(Year_of_pregnancy,'ONS mortality stats'!$A$88:$CX$169,A177+2,TRUE)/ONS_mortality_rate_per_value</f>
        <v>6.6989999999999997E-4</v>
      </c>
      <c r="C178" s="96">
        <f t="shared" si="34"/>
        <v>5.2122155222719311E-4</v>
      </c>
      <c r="D178" s="96">
        <f t="shared" si="35"/>
        <v>6.3849640147831165E-4</v>
      </c>
      <c r="E178" s="96">
        <f t="shared" si="36"/>
        <v>1.055473643260066E-3</v>
      </c>
      <c r="F178" s="96">
        <f t="shared" ca="1" si="37"/>
        <v>6.5130783258202855E-4</v>
      </c>
      <c r="G178" s="96">
        <f t="shared" ca="1" si="38"/>
        <v>5.1735479201516301E-4</v>
      </c>
      <c r="H178" s="96">
        <f t="shared" ca="1" si="39"/>
        <v>4.9407034664030564E-4</v>
      </c>
      <c r="I178" s="96">
        <f t="shared" ca="1" si="40"/>
        <v>1.122031394403572E-3</v>
      </c>
      <c r="K178" s="96">
        <f t="shared" si="30"/>
        <v>6.6989999999999994E-5</v>
      </c>
      <c r="L178" s="96">
        <f t="shared" si="31"/>
        <v>149175.01134497687</v>
      </c>
      <c r="M178" s="96">
        <f t="shared" si="32"/>
        <v>99.932340100000005</v>
      </c>
      <c r="N178" s="96">
        <f t="shared" si="33"/>
        <v>149075.07900487687</v>
      </c>
    </row>
    <row r="179" spans="1:14" x14ac:dyDescent="0.25">
      <c r="A179" s="96">
        <v>46</v>
      </c>
      <c r="B179" s="96">
        <f>VLOOKUP(Year_of_pregnancy,'ONS mortality stats'!$A$88:$CX$169,A178+2,TRUE)/ONS_mortality_rate_per_value</f>
        <v>7.0060000000000001E-4</v>
      </c>
      <c r="C179" s="96">
        <f t="shared" si="34"/>
        <v>5.4510795565065168E-4</v>
      </c>
      <c r="D179" s="96">
        <f t="shared" si="35"/>
        <v>6.677572456720484E-4</v>
      </c>
      <c r="E179" s="96">
        <f t="shared" si="36"/>
        <v>1.1038436101925696E-3</v>
      </c>
      <c r="F179" s="96">
        <f t="shared" ca="1" si="37"/>
        <v>6.6083492012380149E-4</v>
      </c>
      <c r="G179" s="96">
        <f t="shared" ca="1" si="38"/>
        <v>5.2492246454589897E-4</v>
      </c>
      <c r="H179" s="96">
        <f t="shared" ca="1" si="39"/>
        <v>5.0129742300690755E-4</v>
      </c>
      <c r="I179" s="96">
        <f t="shared" ca="1" si="40"/>
        <v>1.1384440502697274E-3</v>
      </c>
      <c r="K179" s="96">
        <f t="shared" si="30"/>
        <v>7.0060000000000003E-5</v>
      </c>
      <c r="L179" s="96">
        <f t="shared" si="31"/>
        <v>142633.79874393376</v>
      </c>
      <c r="M179" s="96">
        <f t="shared" si="32"/>
        <v>99.929239399999986</v>
      </c>
      <c r="N179" s="96">
        <f t="shared" si="33"/>
        <v>142533.86950453374</v>
      </c>
    </row>
    <row r="180" spans="1:14" x14ac:dyDescent="0.25">
      <c r="A180" s="96">
        <v>47</v>
      </c>
      <c r="B180" s="96">
        <f>VLOOKUP(Year_of_pregnancy,'ONS mortality stats'!$A$88:$CX$169,A179+2,TRUE)/ONS_mortality_rate_per_value</f>
        <v>7.4209999999999999E-4</v>
      </c>
      <c r="C180" s="96">
        <f t="shared" si="34"/>
        <v>5.7739739350320951E-4</v>
      </c>
      <c r="D180" s="96">
        <f t="shared" si="35"/>
        <v>7.0731180704143169E-4</v>
      </c>
      <c r="E180" s="96">
        <f t="shared" si="36"/>
        <v>1.1692297218439992E-3</v>
      </c>
      <c r="F180" s="96">
        <f t="shared" ca="1" si="37"/>
        <v>6.9692347992294926E-4</v>
      </c>
      <c r="G180" s="96">
        <f t="shared" ca="1" si="38"/>
        <v>5.5358877011602806E-4</v>
      </c>
      <c r="H180" s="96">
        <f t="shared" ca="1" si="39"/>
        <v>5.2867355201648581E-4</v>
      </c>
      <c r="I180" s="96">
        <f t="shared" ca="1" si="40"/>
        <v>1.2006151083282909E-3</v>
      </c>
      <c r="K180" s="96">
        <f t="shared" si="30"/>
        <v>7.4210000000000009E-5</v>
      </c>
      <c r="L180" s="96">
        <f t="shared" si="31"/>
        <v>134651.728742757</v>
      </c>
      <c r="M180" s="96">
        <f t="shared" si="32"/>
        <v>99.925047899999967</v>
      </c>
      <c r="N180" s="96">
        <f t="shared" si="33"/>
        <v>134551.80369485699</v>
      </c>
    </row>
    <row r="181" spans="1:14" x14ac:dyDescent="0.25">
      <c r="A181" s="96">
        <v>48</v>
      </c>
      <c r="B181" s="96">
        <f>VLOOKUP(Year_of_pregnancy,'ONS mortality stats'!$A$88:$CX$169,A180+2,TRUE)/ONS_mortality_rate_per_value</f>
        <v>7.8959999999999989E-4</v>
      </c>
      <c r="C181" s="96">
        <f t="shared" si="34"/>
        <v>6.1435518381637805E-4</v>
      </c>
      <c r="D181" s="96">
        <f t="shared" si="35"/>
        <v>7.5258510017506318E-4</v>
      </c>
      <c r="E181" s="96">
        <f t="shared" si="36"/>
        <v>1.2440692472281654E-3</v>
      </c>
      <c r="F181" s="96">
        <f t="shared" ca="1" si="37"/>
        <v>7.8846614401506532E-4</v>
      </c>
      <c r="G181" s="96">
        <f t="shared" ca="1" si="38"/>
        <v>6.2630405707048966E-4</v>
      </c>
      <c r="H181" s="96">
        <f t="shared" ca="1" si="39"/>
        <v>5.9811616197415522E-4</v>
      </c>
      <c r="I181" s="96">
        <f t="shared" ca="1" si="40"/>
        <v>1.3583189434433992E-3</v>
      </c>
      <c r="K181" s="96">
        <f t="shared" si="30"/>
        <v>7.8959999999999989E-5</v>
      </c>
      <c r="L181" s="96">
        <f t="shared" si="31"/>
        <v>126545.40324214794</v>
      </c>
      <c r="M181" s="96">
        <f t="shared" si="32"/>
        <v>99.9202504</v>
      </c>
      <c r="N181" s="96">
        <f t="shared" si="33"/>
        <v>126445.48299174795</v>
      </c>
    </row>
    <row r="182" spans="1:14" x14ac:dyDescent="0.25">
      <c r="A182" s="96">
        <v>49</v>
      </c>
      <c r="B182" s="96">
        <f>VLOOKUP(Year_of_pregnancy,'ONS mortality stats'!$A$88:$CX$169,A181+2,TRUE)/ONS_mortality_rate_per_value</f>
        <v>8.5249999999999996E-4</v>
      </c>
      <c r="C182" s="96">
        <f t="shared" si="34"/>
        <v>6.6329507877844779E-4</v>
      </c>
      <c r="D182" s="96">
        <f t="shared" si="35"/>
        <v>8.1253647150359863E-4</v>
      </c>
      <c r="E182" s="96">
        <f t="shared" si="36"/>
        <v>1.3431725345263567E-3</v>
      </c>
      <c r="F182" s="96">
        <f t="shared" ca="1" si="37"/>
        <v>7.8661050829749056E-4</v>
      </c>
      <c r="G182" s="96">
        <f t="shared" ca="1" si="38"/>
        <v>6.2483006584438088E-4</v>
      </c>
      <c r="H182" s="96">
        <f t="shared" ca="1" si="39"/>
        <v>5.9670851026730296E-4</v>
      </c>
      <c r="I182" s="96">
        <f t="shared" ca="1" si="40"/>
        <v>1.3551221731490188E-3</v>
      </c>
      <c r="K182" s="96">
        <f t="shared" si="30"/>
        <v>8.5249999999999999E-5</v>
      </c>
      <c r="L182" s="96">
        <f t="shared" si="31"/>
        <v>117201.05278592375</v>
      </c>
      <c r="M182" s="96">
        <f t="shared" si="32"/>
        <v>99.91389749999999</v>
      </c>
      <c r="N182" s="96">
        <f t="shared" si="33"/>
        <v>117101.13888842374</v>
      </c>
    </row>
    <row r="183" spans="1:14" x14ac:dyDescent="0.25">
      <c r="A183" s="96">
        <v>50</v>
      </c>
      <c r="B183" s="96">
        <f>VLOOKUP(Year_of_pregnancy,'ONS mortality stats'!$A$88:$CX$169,A182+2,TRUE)/ONS_mortality_rate_per_value</f>
        <v>9.2900000000000003E-4</v>
      </c>
      <c r="C183" s="96">
        <f t="shared" si="34"/>
        <v>7.5010092854259196E-4</v>
      </c>
      <c r="D183" s="96">
        <f t="shared" si="35"/>
        <v>9.1887363746467519E-4</v>
      </c>
      <c r="E183" s="96">
        <f t="shared" si="36"/>
        <v>1.5189543802987487E-3</v>
      </c>
      <c r="F183" s="96">
        <f t="shared" ca="1" si="37"/>
        <v>8.9157395266153104E-4</v>
      </c>
      <c r="G183" s="96">
        <f t="shared" ca="1" si="38"/>
        <v>7.4323860439936358E-4</v>
      </c>
      <c r="H183" s="96">
        <f t="shared" ca="1" si="39"/>
        <v>7.0978786817014355E-4</v>
      </c>
      <c r="I183" s="96">
        <f t="shared" ca="1" si="40"/>
        <v>1.6119248541614766E-3</v>
      </c>
      <c r="K183" s="96">
        <f t="shared" si="30"/>
        <v>9.2900000000000008E-5</v>
      </c>
      <c r="L183" s="96">
        <f t="shared" si="31"/>
        <v>107541.6264800861</v>
      </c>
      <c r="M183" s="96">
        <f t="shared" si="32"/>
        <v>99.906170999999986</v>
      </c>
      <c r="N183" s="96">
        <f t="shared" si="33"/>
        <v>107441.7203090861</v>
      </c>
    </row>
    <row r="184" spans="1:14" x14ac:dyDescent="0.25">
      <c r="A184" s="96">
        <v>51</v>
      </c>
      <c r="B184" s="96">
        <f>VLOOKUP(Year_of_pregnancy,'ONS mortality stats'!$A$88:$CX$169,A183+2,TRUE)/ONS_mortality_rate_per_value</f>
        <v>1.016E-3</v>
      </c>
      <c r="C184" s="96">
        <f t="shared" si="34"/>
        <v>8.2034719418651596E-4</v>
      </c>
      <c r="D184" s="96">
        <f t="shared" si="35"/>
        <v>1.0049253128784821E-3</v>
      </c>
      <c r="E184" s="96">
        <f t="shared" si="36"/>
        <v>1.6612030682276947E-3</v>
      </c>
      <c r="F184" s="96">
        <f t="shared" ca="1" si="37"/>
        <v>9.3679404575547581E-4</v>
      </c>
      <c r="G184" s="96">
        <f t="shared" ca="1" si="38"/>
        <v>7.8093521810327683E-4</v>
      </c>
      <c r="H184" s="96">
        <f t="shared" ca="1" si="39"/>
        <v>7.4578788070953116E-4</v>
      </c>
      <c r="I184" s="96">
        <f t="shared" ca="1" si="40"/>
        <v>1.6936807104738212E-3</v>
      </c>
      <c r="K184" s="96">
        <f t="shared" si="30"/>
        <v>1.016E-4</v>
      </c>
      <c r="L184" s="96">
        <f t="shared" si="31"/>
        <v>98324.196850393681</v>
      </c>
      <c r="M184" s="96">
        <f t="shared" si="32"/>
        <v>99.897383999999974</v>
      </c>
      <c r="N184" s="96">
        <f t="shared" si="33"/>
        <v>98224.299466393684</v>
      </c>
    </row>
    <row r="185" spans="1:14" x14ac:dyDescent="0.25">
      <c r="A185" s="96">
        <v>52</v>
      </c>
      <c r="B185" s="96">
        <f>VLOOKUP(Year_of_pregnancy,'ONS mortality stats'!$A$88:$CX$169,A184+2,TRUE)/ONS_mortality_rate_per_value</f>
        <v>1.109E-3</v>
      </c>
      <c r="C185" s="96">
        <f t="shared" si="34"/>
        <v>8.9543802987484861E-4</v>
      </c>
      <c r="D185" s="96">
        <f t="shared" si="35"/>
        <v>1.0969115865966895E-3</v>
      </c>
      <c r="E185" s="96">
        <f t="shared" si="36"/>
        <v>1.8132620104965684E-3</v>
      </c>
      <c r="F185" s="96">
        <f t="shared" ca="1" si="37"/>
        <v>1.1539265883796501E-3</v>
      </c>
      <c r="G185" s="96">
        <f t="shared" ca="1" si="38"/>
        <v>9.6194239924391074E-4</v>
      </c>
      <c r="H185" s="96">
        <f t="shared" ca="1" si="39"/>
        <v>9.1864852124249154E-4</v>
      </c>
      <c r="I185" s="96">
        <f t="shared" ca="1" si="40"/>
        <v>2.086246398444356E-3</v>
      </c>
      <c r="K185" s="96">
        <f t="shared" si="30"/>
        <v>1.109E-4</v>
      </c>
      <c r="L185" s="96">
        <f t="shared" si="31"/>
        <v>90070.3255184851</v>
      </c>
      <c r="M185" s="96">
        <f t="shared" si="32"/>
        <v>99.887990999999971</v>
      </c>
      <c r="N185" s="96">
        <f t="shared" si="33"/>
        <v>89970.437527485105</v>
      </c>
    </row>
    <row r="186" spans="1:14" x14ac:dyDescent="0.25">
      <c r="A186" s="96">
        <v>53</v>
      </c>
      <c r="B186" s="96">
        <f>VLOOKUP(Year_of_pregnancy,'ONS mortality stats'!$A$88:$CX$169,A185+2,TRUE)/ONS_mortality_rate_per_value</f>
        <v>1.2121E-3</v>
      </c>
      <c r="C186" s="96">
        <f t="shared" si="34"/>
        <v>9.7868389180460233E-4</v>
      </c>
      <c r="D186" s="96">
        <f t="shared" si="35"/>
        <v>1.1988877674606378E-3</v>
      </c>
      <c r="E186" s="96">
        <f t="shared" si="36"/>
        <v>1.9818348809043196E-3</v>
      </c>
      <c r="F186" s="96">
        <f t="shared" ca="1" si="37"/>
        <v>1.3113957767298956E-3</v>
      </c>
      <c r="G186" s="96">
        <f t="shared" ca="1" si="38"/>
        <v>1.0932126987361255E-3</v>
      </c>
      <c r="H186" s="96">
        <f t="shared" ca="1" si="39"/>
        <v>1.0440107743320394E-3</v>
      </c>
      <c r="I186" s="96">
        <f t="shared" ca="1" si="40"/>
        <v>2.3709434756847407E-3</v>
      </c>
      <c r="K186" s="96">
        <f t="shared" si="30"/>
        <v>1.2121000000000001E-4</v>
      </c>
      <c r="L186" s="96">
        <f t="shared" si="31"/>
        <v>82400.443775266045</v>
      </c>
      <c r="M186" s="96">
        <f t="shared" si="32"/>
        <v>99.877577899999977</v>
      </c>
      <c r="N186" s="96">
        <f t="shared" si="33"/>
        <v>82300.566197366032</v>
      </c>
    </row>
    <row r="187" spans="1:14" x14ac:dyDescent="0.25">
      <c r="A187" s="96">
        <v>54</v>
      </c>
      <c r="B187" s="96">
        <f>VLOOKUP(Year_of_pregnancy,'ONS mortality stats'!$A$88:$CX$169,A186+2,TRUE)/ONS_mortality_rate_per_value</f>
        <v>1.3219999999999998E-3</v>
      </c>
      <c r="C187" s="96">
        <f t="shared" si="34"/>
        <v>1.0674202664513524E-3</v>
      </c>
      <c r="D187" s="96">
        <f t="shared" si="35"/>
        <v>1.3075898264029069E-3</v>
      </c>
      <c r="E187" s="96">
        <f t="shared" si="36"/>
        <v>2.1615260395639888E-3</v>
      </c>
      <c r="F187" s="96">
        <f t="shared" ca="1" si="37"/>
        <v>1.414386128349876E-3</v>
      </c>
      <c r="G187" s="96">
        <f t="shared" ca="1" si="38"/>
        <v>1.1790680615763334E-3</v>
      </c>
      <c r="H187" s="96">
        <f t="shared" ca="1" si="39"/>
        <v>1.1260020683802978E-3</v>
      </c>
      <c r="I187" s="96">
        <f t="shared" ca="1" si="40"/>
        <v>2.5571453123573963E-3</v>
      </c>
      <c r="K187" s="96">
        <f t="shared" si="30"/>
        <v>1.3219999999999999E-4</v>
      </c>
      <c r="L187" s="96">
        <f t="shared" si="31"/>
        <v>75541.965204235996</v>
      </c>
      <c r="M187" s="96">
        <f t="shared" si="32"/>
        <v>99.866477999999972</v>
      </c>
      <c r="N187" s="96">
        <f t="shared" si="33"/>
        <v>75442.098726235985</v>
      </c>
    </row>
    <row r="188" spans="1:14" x14ac:dyDescent="0.25">
      <c r="A188" s="96">
        <v>55</v>
      </c>
      <c r="B188" s="96">
        <f>VLOOKUP(Year_of_pregnancy,'ONS mortality stats'!$A$88:$CX$169,A187+2,TRUE)/ONS_mortality_rate_per_value</f>
        <v>1.4372E-3</v>
      </c>
      <c r="C188" s="96">
        <f t="shared" si="34"/>
        <v>1.102859450726979E-3</v>
      </c>
      <c r="D188" s="96">
        <f t="shared" si="35"/>
        <v>1.5556122778675283E-3</v>
      </c>
      <c r="E188" s="96">
        <f t="shared" si="36"/>
        <v>2.3566365105008079E-3</v>
      </c>
      <c r="F188" s="96">
        <f t="shared" ca="1" si="37"/>
        <v>1.6820281014153782E-3</v>
      </c>
      <c r="G188" s="96">
        <f t="shared" ca="1" si="38"/>
        <v>1.2499774617442077E-3</v>
      </c>
      <c r="H188" s="96">
        <f t="shared" ca="1" si="39"/>
        <v>1.7732830468472154E-3</v>
      </c>
      <c r="I188" s="96">
        <f t="shared" ca="1" si="40"/>
        <v>2.9525180131133675E-3</v>
      </c>
      <c r="K188" s="96">
        <f t="shared" si="30"/>
        <v>1.4372000000000001E-4</v>
      </c>
      <c r="L188" s="96">
        <f t="shared" si="31"/>
        <v>69478.738380183684</v>
      </c>
      <c r="M188" s="96">
        <f t="shared" si="32"/>
        <v>99.854842799999986</v>
      </c>
      <c r="N188" s="96">
        <f t="shared" si="33"/>
        <v>69378.883537383677</v>
      </c>
    </row>
    <row r="189" spans="1:14" x14ac:dyDescent="0.25">
      <c r="A189" s="96">
        <v>56</v>
      </c>
      <c r="B189" s="96">
        <f>VLOOKUP(Year_of_pregnancy,'ONS mortality stats'!$A$88:$CX$169,A188+2,TRUE)/ONS_mortality_rate_per_value</f>
        <v>1.5588999999999998E-3</v>
      </c>
      <c r="C189" s="96">
        <f t="shared" si="34"/>
        <v>1.1962479806138931E-3</v>
      </c>
      <c r="D189" s="96">
        <f t="shared" si="35"/>
        <v>1.6873392568659124E-3</v>
      </c>
      <c r="E189" s="96">
        <f t="shared" si="36"/>
        <v>2.5561930533117925E-3</v>
      </c>
      <c r="F189" s="96">
        <f t="shared" ca="1" si="37"/>
        <v>1.5357379151487937E-3</v>
      </c>
      <c r="G189" s="96">
        <f t="shared" ca="1" si="38"/>
        <v>1.1412637990213781E-3</v>
      </c>
      <c r="H189" s="96">
        <f t="shared" ca="1" si="39"/>
        <v>1.6190561899900877E-3</v>
      </c>
      <c r="I189" s="96">
        <f t="shared" ca="1" si="40"/>
        <v>2.6957301451042961E-3</v>
      </c>
      <c r="K189" s="96">
        <f t="shared" si="30"/>
        <v>1.5589E-4</v>
      </c>
      <c r="L189" s="96">
        <f t="shared" si="31"/>
        <v>64046.796523189412</v>
      </c>
      <c r="M189" s="96">
        <f t="shared" si="32"/>
        <v>99.842551099999966</v>
      </c>
      <c r="N189" s="96">
        <f t="shared" si="33"/>
        <v>63946.953972089417</v>
      </c>
    </row>
    <row r="190" spans="1:14" x14ac:dyDescent="0.25">
      <c r="A190" s="96">
        <v>57</v>
      </c>
      <c r="B190" s="96">
        <f>VLOOKUP(Year_of_pregnancy,'ONS mortality stats'!$A$88:$CX$169,A189+2,TRUE)/ONS_mortality_rate_per_value</f>
        <v>1.6872999999999999E-3</v>
      </c>
      <c r="C190" s="96">
        <f t="shared" si="34"/>
        <v>1.2947778675282714E-3</v>
      </c>
      <c r="D190" s="96">
        <f t="shared" si="35"/>
        <v>1.8263182552504039E-3</v>
      </c>
      <c r="E190" s="96">
        <f t="shared" si="36"/>
        <v>2.7667358642972538E-3</v>
      </c>
      <c r="F190" s="96">
        <f t="shared" ca="1" si="37"/>
        <v>1.7537810742852544E-3</v>
      </c>
      <c r="G190" s="96">
        <f t="shared" ca="1" si="38"/>
        <v>1.3032997569097985E-3</v>
      </c>
      <c r="H190" s="96">
        <f t="shared" ca="1" si="39"/>
        <v>1.8489288284152952E-3</v>
      </c>
      <c r="I190" s="96">
        <f t="shared" ca="1" si="40"/>
        <v>3.0784683136550039E-3</v>
      </c>
      <c r="K190" s="96">
        <f t="shared" si="30"/>
        <v>1.6872999999999999E-4</v>
      </c>
      <c r="L190" s="96">
        <f t="shared" si="31"/>
        <v>59165.283411367272</v>
      </c>
      <c r="M190" s="96">
        <f t="shared" si="32"/>
        <v>99.829582699999989</v>
      </c>
      <c r="N190" s="96">
        <f t="shared" si="33"/>
        <v>59065.453828667276</v>
      </c>
    </row>
    <row r="191" spans="1:14" x14ac:dyDescent="0.25">
      <c r="A191" s="96">
        <v>58</v>
      </c>
      <c r="B191" s="96">
        <f>VLOOKUP(Year_of_pregnancy,'ONS mortality stats'!$A$88:$CX$169,A190+2,TRUE)/ONS_mortality_rate_per_value</f>
        <v>1.8244999999999999E-3</v>
      </c>
      <c r="C191" s="96">
        <f t="shared" si="34"/>
        <v>1.4000605815831988E-3</v>
      </c>
      <c r="D191" s="96">
        <f t="shared" si="35"/>
        <v>1.9748222940226172E-3</v>
      </c>
      <c r="E191" s="96">
        <f t="shared" si="36"/>
        <v>2.9917084006462038E-3</v>
      </c>
      <c r="F191" s="96">
        <f t="shared" ca="1" si="37"/>
        <v>1.5592717768688823E-3</v>
      </c>
      <c r="G191" s="96">
        <f t="shared" ca="1" si="38"/>
        <v>1.1587526844408086E-3</v>
      </c>
      <c r="H191" s="96">
        <f t="shared" ca="1" si="39"/>
        <v>1.6438668325589982E-3</v>
      </c>
      <c r="I191" s="96">
        <f t="shared" ca="1" si="40"/>
        <v>2.737039889328077E-3</v>
      </c>
      <c r="K191" s="96">
        <f t="shared" si="30"/>
        <v>1.8245000000000002E-4</v>
      </c>
      <c r="L191" s="96">
        <f t="shared" si="31"/>
        <v>54708.536859413522</v>
      </c>
      <c r="M191" s="96">
        <f t="shared" si="32"/>
        <v>99.815725499999971</v>
      </c>
      <c r="N191" s="96">
        <f t="shared" si="33"/>
        <v>54608.721133913525</v>
      </c>
    </row>
    <row r="192" spans="1:14" x14ac:dyDescent="0.25">
      <c r="A192" s="96">
        <v>59</v>
      </c>
      <c r="B192" s="96">
        <f>VLOOKUP(Year_of_pregnancy,'ONS mortality stats'!$A$88:$CX$169,A191+2,TRUE)/ONS_mortality_rate_per_value</f>
        <v>1.9696000000000002E-3</v>
      </c>
      <c r="C192" s="96">
        <f t="shared" si="34"/>
        <v>1.5114054927302101E-3</v>
      </c>
      <c r="D192" s="96">
        <f t="shared" si="35"/>
        <v>2.1318772213247171E-3</v>
      </c>
      <c r="E192" s="96">
        <f t="shared" si="36"/>
        <v>3.2296348949919225E-3</v>
      </c>
      <c r="F192" s="96">
        <f t="shared" ca="1" si="37"/>
        <v>1.9854806619641341E-3</v>
      </c>
      <c r="G192" s="96">
        <f t="shared" ca="1" si="38"/>
        <v>1.4754843133094918E-3</v>
      </c>
      <c r="H192" s="96">
        <f t="shared" ca="1" si="39"/>
        <v>2.0931987965845029E-3</v>
      </c>
      <c r="I192" s="96">
        <f t="shared" ca="1" si="40"/>
        <v>3.4851780503574905E-3</v>
      </c>
      <c r="K192" s="96">
        <f t="shared" si="30"/>
        <v>1.9696000000000004E-4</v>
      </c>
      <c r="L192" s="96">
        <f t="shared" si="31"/>
        <v>50670.730300568626</v>
      </c>
      <c r="M192" s="96">
        <f t="shared" si="32"/>
        <v>99.801070399999972</v>
      </c>
      <c r="N192" s="96">
        <f t="shared" si="33"/>
        <v>50570.929230168629</v>
      </c>
    </row>
    <row r="193" spans="1:14" x14ac:dyDescent="0.25">
      <c r="A193" s="96">
        <v>60</v>
      </c>
      <c r="B193" s="96">
        <f>VLOOKUP(Year_of_pregnancy,'ONS mortality stats'!$A$88:$CX$169,A192+2,TRUE)/ONS_mortality_rate_per_value</f>
        <v>2.1247000000000002E-3</v>
      </c>
      <c r="C193" s="96">
        <f t="shared" si="34"/>
        <v>1.6868335283302695E-3</v>
      </c>
      <c r="D193" s="96">
        <f t="shared" si="35"/>
        <v>2.3793230820658537E-3</v>
      </c>
      <c r="E193" s="96">
        <f t="shared" si="36"/>
        <v>3.6044969079057337E-3</v>
      </c>
      <c r="F193" s="96">
        <f t="shared" ca="1" si="37"/>
        <v>1.8597223349741303E-3</v>
      </c>
      <c r="G193" s="96">
        <f t="shared" ca="1" si="38"/>
        <v>1.4427161357148963E-3</v>
      </c>
      <c r="H193" s="96">
        <f t="shared" ca="1" si="39"/>
        <v>2.0467121553585941E-3</v>
      </c>
      <c r="I193" s="96">
        <f t="shared" ca="1" si="40"/>
        <v>3.4077777470992708E-3</v>
      </c>
      <c r="K193" s="96">
        <f t="shared" si="30"/>
        <v>2.1247000000000003E-4</v>
      </c>
      <c r="L193" s="96">
        <f t="shared" si="31"/>
        <v>46964.468066079906</v>
      </c>
      <c r="M193" s="96">
        <f t="shared" si="32"/>
        <v>99.785405299999979</v>
      </c>
      <c r="N193" s="96">
        <f t="shared" si="33"/>
        <v>46864.682660779908</v>
      </c>
    </row>
    <row r="194" spans="1:14" x14ac:dyDescent="0.25">
      <c r="A194" s="96">
        <v>61</v>
      </c>
      <c r="B194" s="96">
        <f>VLOOKUP(Year_of_pregnancy,'ONS mortality stats'!$A$88:$CX$169,A193+2,TRUE)/ONS_mortality_rate_per_value</f>
        <v>2.2916999999999998E-3</v>
      </c>
      <c r="C194" s="96">
        <f t="shared" si="34"/>
        <v>1.8194175162961725E-3</v>
      </c>
      <c r="D194" s="96">
        <f t="shared" si="35"/>
        <v>2.5663362861440748E-3</v>
      </c>
      <c r="E194" s="96">
        <f t="shared" si="36"/>
        <v>3.8878079558749791E-3</v>
      </c>
      <c r="F194" s="96">
        <f t="shared" ca="1" si="37"/>
        <v>2.3668570864781024E-3</v>
      </c>
      <c r="G194" s="96">
        <f t="shared" ca="1" si="38"/>
        <v>1.8361358818872315E-3</v>
      </c>
      <c r="H194" s="96">
        <f t="shared" ca="1" si="39"/>
        <v>2.6048378716485897E-3</v>
      </c>
      <c r="I194" s="96">
        <f t="shared" ca="1" si="40"/>
        <v>4.3370576124077635E-3</v>
      </c>
      <c r="K194" s="96">
        <f t="shared" si="30"/>
        <v>2.2917E-4</v>
      </c>
      <c r="L194" s="96">
        <f t="shared" si="31"/>
        <v>43534.728934851846</v>
      </c>
      <c r="M194" s="96">
        <f t="shared" si="32"/>
        <v>99.768538299999975</v>
      </c>
      <c r="N194" s="96">
        <f t="shared" si="33"/>
        <v>43434.960396551847</v>
      </c>
    </row>
    <row r="195" spans="1:14" x14ac:dyDescent="0.25">
      <c r="A195" s="96">
        <v>62</v>
      </c>
      <c r="B195" s="96">
        <f>VLOOKUP(Year_of_pregnancy,'ONS mortality stats'!$A$88:$CX$169,A194+2,TRUE)/ONS_mortality_rate_per_value</f>
        <v>2.4700999999999998E-3</v>
      </c>
      <c r="C195" s="96">
        <f t="shared" si="34"/>
        <v>1.9610521477519639E-3</v>
      </c>
      <c r="D195" s="96">
        <f t="shared" si="35"/>
        <v>2.7661156610396119E-3</v>
      </c>
      <c r="E195" s="96">
        <f t="shared" si="36"/>
        <v>4.1904587999331442E-3</v>
      </c>
      <c r="F195" s="96">
        <f t="shared" ca="1" si="37"/>
        <v>2.064556374265376E-3</v>
      </c>
      <c r="G195" s="96">
        <f t="shared" ca="1" si="38"/>
        <v>1.6016201656722771E-3</v>
      </c>
      <c r="H195" s="96">
        <f t="shared" ca="1" si="39"/>
        <v>2.2721416779084886E-3</v>
      </c>
      <c r="I195" s="96">
        <f t="shared" ca="1" si="40"/>
        <v>3.7831181233575766E-3</v>
      </c>
      <c r="K195" s="96">
        <f t="shared" si="30"/>
        <v>2.4700999999999998E-4</v>
      </c>
      <c r="L195" s="96">
        <f t="shared" si="31"/>
        <v>40383.190923444396</v>
      </c>
      <c r="M195" s="96">
        <f t="shared" si="32"/>
        <v>99.7505199</v>
      </c>
      <c r="N195" s="96">
        <f t="shared" si="33"/>
        <v>40283.440403544395</v>
      </c>
    </row>
    <row r="196" spans="1:14" x14ac:dyDescent="0.25">
      <c r="A196" s="96">
        <v>63</v>
      </c>
      <c r="B196" s="96">
        <f>VLOOKUP(Year_of_pregnancy,'ONS mortality stats'!$A$88:$CX$169,A195+2,TRUE)/ONS_mortality_rate_per_value</f>
        <v>2.6626999999999996E-3</v>
      </c>
      <c r="C196" s="96">
        <f t="shared" si="34"/>
        <v>2.1139603877653353E-3</v>
      </c>
      <c r="D196" s="96">
        <f t="shared" si="35"/>
        <v>2.9817967574795254E-3</v>
      </c>
      <c r="E196" s="96">
        <f t="shared" si="36"/>
        <v>4.5171995654354003E-3</v>
      </c>
      <c r="F196" s="96">
        <f t="shared" ca="1" si="37"/>
        <v>2.6674546859393189E-3</v>
      </c>
      <c r="G196" s="96">
        <f t="shared" ca="1" si="38"/>
        <v>2.0693303749274483E-3</v>
      </c>
      <c r="H196" s="96">
        <f t="shared" ca="1" si="39"/>
        <v>2.9356597094674299E-3</v>
      </c>
      <c r="I196" s="96">
        <f t="shared" ca="1" si="40"/>
        <v>4.8878762970097538E-3</v>
      </c>
      <c r="K196" s="96">
        <f t="shared" si="30"/>
        <v>2.6626999999999998E-4</v>
      </c>
      <c r="L196" s="96">
        <f t="shared" si="31"/>
        <v>37454.864348217976</v>
      </c>
      <c r="M196" s="96">
        <f t="shared" si="32"/>
        <v>99.731067299999992</v>
      </c>
      <c r="N196" s="96">
        <f t="shared" si="33"/>
        <v>37355.133280917973</v>
      </c>
    </row>
    <row r="197" spans="1:14" x14ac:dyDescent="0.25">
      <c r="A197" s="96">
        <v>64</v>
      </c>
      <c r="B197" s="96">
        <f>VLOOKUP(Year_of_pregnancy,'ONS mortality stats'!$A$88:$CX$169,A196+2,TRUE)/ONS_mortality_rate_per_value</f>
        <v>2.8695000000000001E-3</v>
      </c>
      <c r="C197" s="96">
        <f t="shared" si="34"/>
        <v>2.2781422363362864E-3</v>
      </c>
      <c r="D197" s="96">
        <f t="shared" si="35"/>
        <v>3.2133795754638143E-3</v>
      </c>
      <c r="E197" s="96">
        <f t="shared" si="36"/>
        <v>4.8680302523817489E-3</v>
      </c>
      <c r="F197" s="96">
        <f t="shared" ca="1" si="37"/>
        <v>3.4896631049884386E-3</v>
      </c>
      <c r="G197" s="96">
        <f t="shared" ca="1" si="38"/>
        <v>2.7071747083393504E-3</v>
      </c>
      <c r="H197" s="96">
        <f t="shared" ca="1" si="39"/>
        <v>3.8405388593591339E-3</v>
      </c>
      <c r="I197" s="96">
        <f t="shared" ca="1" si="40"/>
        <v>6.3945009695322999E-3</v>
      </c>
      <c r="K197" s="96">
        <f t="shared" si="30"/>
        <v>2.8695000000000001E-4</v>
      </c>
      <c r="L197" s="96">
        <f t="shared" si="31"/>
        <v>34748.276877504795</v>
      </c>
      <c r="M197" s="96">
        <f t="shared" si="32"/>
        <v>99.710180500000007</v>
      </c>
      <c r="N197" s="96">
        <f t="shared" si="33"/>
        <v>34648.566697004797</v>
      </c>
    </row>
    <row r="198" spans="1:14" x14ac:dyDescent="0.25">
      <c r="A198" s="96">
        <v>65</v>
      </c>
      <c r="B198" s="96">
        <f>VLOOKUP(Year_of_pregnancy,'ONS mortality stats'!$A$88:$CX$169,A197+2,TRUE)/ONS_mortality_rate_per_value</f>
        <v>3.0936000000000002E-3</v>
      </c>
      <c r="C198" s="96">
        <f t="shared" si="34"/>
        <v>2.5399542714612351E-3</v>
      </c>
      <c r="D198" s="96">
        <f t="shared" si="35"/>
        <v>3.3866056952816474E-3</v>
      </c>
      <c r="E198" s="96">
        <f t="shared" si="36"/>
        <v>5.0370401163999179E-3</v>
      </c>
      <c r="F198" s="96">
        <f t="shared" ca="1" si="37"/>
        <v>2.6718272254535832E-3</v>
      </c>
      <c r="G198" s="96">
        <f t="shared" ca="1" si="38"/>
        <v>2.2106992293634757E-3</v>
      </c>
      <c r="H198" s="96">
        <f t="shared" ca="1" si="39"/>
        <v>2.642823128507782E-3</v>
      </c>
      <c r="I198" s="96">
        <f t="shared" ca="1" si="40"/>
        <v>4.9731227822536056E-3</v>
      </c>
      <c r="K198" s="96">
        <f t="shared" ref="K198:K234" si="41">0.1*B198</f>
        <v>3.0936000000000006E-4</v>
      </c>
      <c r="L198" s="96">
        <f t="shared" ref="L198:L234" si="42">((B198*(1-B198))/(K198^2))-1</f>
        <v>32223.799586242552</v>
      </c>
      <c r="M198" s="96">
        <f t="shared" ref="M198:M234" si="43">B198*L198</f>
        <v>99.68754639999996</v>
      </c>
      <c r="N198" s="96">
        <f t="shared" ref="N198:N234" si="44">M198*((1-B198)/B198)</f>
        <v>32124.112039842548</v>
      </c>
    </row>
    <row r="199" spans="1:14" x14ac:dyDescent="0.25">
      <c r="A199" s="96">
        <v>66</v>
      </c>
      <c r="B199" s="96">
        <f>VLOOKUP(Year_of_pregnancy,'ONS mortality stats'!$A$88:$CX$169,A198+2,TRUE)/ONS_mortality_rate_per_value</f>
        <v>3.3368999999999998E-3</v>
      </c>
      <c r="C199" s="96">
        <f t="shared" ref="C199:C234" si="45">B199/((VLOOKUP($A199,$A$3:$G$9,5)*1)+(VLOOKUP($A199,$A$3:$G$9,6)*VLOOKUP($A199,$A$14:$E$20,2))+(VLOOKUP($A199,$A$3:$G$9,7)*VLOOKUP($A199,$A$14:$E$20,3)))</f>
        <v>2.7397121180627727E-3</v>
      </c>
      <c r="D199" s="96">
        <f t="shared" ref="D199:D234" si="46">C199*VLOOKUP($A199,$A$14:$E$20,2)</f>
        <v>3.6529494907503639E-3</v>
      </c>
      <c r="E199" s="96">
        <f t="shared" ref="E199:E234" si="47">C199*VLOOKUP($A199,$A$14:$E$20,3)</f>
        <v>5.4331843691540222E-3</v>
      </c>
      <c r="F199" s="96">
        <f t="shared" ref="F199:F234" ca="1" si="48">_xlfn.BETA.INV(RAND(),M199,N199)</f>
        <v>3.4986024499814583E-3</v>
      </c>
      <c r="G199" s="96">
        <f t="shared" ref="G199:G234" ca="1" si="49">F199/((VLOOKUP($A199,$A$3:$G$9,5)*1)+(VLOOKUP($A199,$A$3:$G$9,6)*VLOOKUP($A199,$A$14:$E$20,4))+(VLOOKUP($A199,$A$3:$G$9,7)*VLOOKUP($A199,$A$14:$E$20,5)))</f>
        <v>2.8947821424756058E-3</v>
      </c>
      <c r="H199" s="96">
        <f t="shared" ref="H199:H234" ca="1" si="50">G199*VLOOKUP($A199,$A$14:$E$20,4)</f>
        <v>3.460623270913525E-3</v>
      </c>
      <c r="I199" s="96">
        <f t="shared" ref="I199:I234" ca="1" si="51">G199*VLOOKUP($A199,$A$14:$E$20,5)</f>
        <v>6.5120152172629077E-3</v>
      </c>
      <c r="K199" s="96">
        <f t="shared" si="41"/>
        <v>3.3368999999999998E-4</v>
      </c>
      <c r="L199" s="96">
        <f t="shared" si="42"/>
        <v>29866.934310287994</v>
      </c>
      <c r="M199" s="96">
        <f t="shared" si="43"/>
        <v>99.662973100000002</v>
      </c>
      <c r="N199" s="96">
        <f t="shared" si="44"/>
        <v>29767.271337187995</v>
      </c>
    </row>
    <row r="200" spans="1:14" x14ac:dyDescent="0.25">
      <c r="A200" s="96">
        <v>67</v>
      </c>
      <c r="B200" s="96">
        <f>VLOOKUP(Year_of_pregnancy,'ONS mortality stats'!$A$88:$CX$169,A199+2,TRUE)/ONS_mortality_rate_per_value</f>
        <v>3.6036000000000002E-3</v>
      </c>
      <c r="C200" s="96">
        <f t="shared" si="45"/>
        <v>2.9586821866555814E-3</v>
      </c>
      <c r="D200" s="96">
        <f t="shared" si="46"/>
        <v>3.9449095822074428E-3</v>
      </c>
      <c r="E200" s="96">
        <f t="shared" si="47"/>
        <v>5.8674288089794234E-3</v>
      </c>
      <c r="F200" s="96">
        <f t="shared" ca="1" si="48"/>
        <v>3.3900897108625435E-3</v>
      </c>
      <c r="G200" s="96">
        <f t="shared" ca="1" si="49"/>
        <v>2.80499750877588E-3</v>
      </c>
      <c r="H200" s="96">
        <f t="shared" ca="1" si="50"/>
        <v>3.353288494941058E-3</v>
      </c>
      <c r="I200" s="96">
        <f t="shared" ca="1" si="51"/>
        <v>6.3100383940851278E-3</v>
      </c>
      <c r="K200" s="96">
        <f t="shared" si="41"/>
        <v>3.6036000000000005E-4</v>
      </c>
      <c r="L200" s="96">
        <f t="shared" si="42"/>
        <v>27649.027750027741</v>
      </c>
      <c r="M200" s="96">
        <f t="shared" si="43"/>
        <v>99.636036399999966</v>
      </c>
      <c r="N200" s="96">
        <f t="shared" si="44"/>
        <v>27549.391713627741</v>
      </c>
    </row>
    <row r="201" spans="1:14" x14ac:dyDescent="0.25">
      <c r="A201" s="96">
        <v>68</v>
      </c>
      <c r="B201" s="96">
        <f>VLOOKUP(Year_of_pregnancy,'ONS mortality stats'!$A$88:$CX$169,A200+2,TRUE)/ONS_mortality_rate_per_value</f>
        <v>3.9144999999999996E-3</v>
      </c>
      <c r="C201" s="96">
        <f t="shared" si="45"/>
        <v>3.2139420078985655E-3</v>
      </c>
      <c r="D201" s="96">
        <f t="shared" si="46"/>
        <v>4.2852560105314215E-3</v>
      </c>
      <c r="E201" s="96">
        <f t="shared" si="47"/>
        <v>6.3736402688283787E-3</v>
      </c>
      <c r="F201" s="96">
        <f t="shared" ca="1" si="48"/>
        <v>4.1605049997291976E-3</v>
      </c>
      <c r="G201" s="96">
        <f t="shared" ca="1" si="49"/>
        <v>3.4424475913118926E-3</v>
      </c>
      <c r="H201" s="96">
        <f t="shared" ca="1" si="50"/>
        <v>4.1153405185808513E-3</v>
      </c>
      <c r="I201" s="96">
        <f t="shared" ca="1" si="51"/>
        <v>7.7440270099503692E-3</v>
      </c>
      <c r="K201" s="96">
        <f t="shared" si="41"/>
        <v>3.9145E-4</v>
      </c>
      <c r="L201" s="96">
        <f t="shared" si="42"/>
        <v>25445.046749265548</v>
      </c>
      <c r="M201" s="96">
        <f t="shared" si="43"/>
        <v>99.604635499999972</v>
      </c>
      <c r="N201" s="96">
        <f t="shared" si="44"/>
        <v>25345.442113765548</v>
      </c>
    </row>
    <row r="202" spans="1:14" x14ac:dyDescent="0.25">
      <c r="A202" s="96">
        <v>69</v>
      </c>
      <c r="B202" s="96">
        <f>VLOOKUP(Year_of_pregnancy,'ONS mortality stats'!$A$88:$CX$169,A201+2,TRUE)/ONS_mortality_rate_per_value</f>
        <v>4.2712999999999996E-3</v>
      </c>
      <c r="C202" s="96">
        <f t="shared" si="45"/>
        <v>3.5068873415090417E-3</v>
      </c>
      <c r="D202" s="96">
        <f t="shared" si="46"/>
        <v>4.6758497886787232E-3</v>
      </c>
      <c r="E202" s="96">
        <f t="shared" si="47"/>
        <v>6.9545867110094922E-3</v>
      </c>
      <c r="F202" s="96">
        <f t="shared" ca="1" si="48"/>
        <v>4.3842222513165163E-3</v>
      </c>
      <c r="G202" s="96">
        <f t="shared" ca="1" si="49"/>
        <v>3.6275537055724953E-3</v>
      </c>
      <c r="H202" s="96">
        <f t="shared" ca="1" si="50"/>
        <v>4.3366292011380808E-3</v>
      </c>
      <c r="I202" s="96">
        <f t="shared" ca="1" si="51"/>
        <v>8.1604361811920389E-3</v>
      </c>
      <c r="K202" s="96">
        <f t="shared" si="41"/>
        <v>4.2712999999999996E-4</v>
      </c>
      <c r="L202" s="96">
        <f t="shared" si="42"/>
        <v>23311.075948774378</v>
      </c>
      <c r="M202" s="96">
        <f t="shared" si="43"/>
        <v>99.568598699999995</v>
      </c>
      <c r="N202" s="96">
        <f t="shared" si="44"/>
        <v>23211.507350074378</v>
      </c>
    </row>
    <row r="203" spans="1:14" x14ac:dyDescent="0.25">
      <c r="A203" s="96">
        <v>70</v>
      </c>
      <c r="B203" s="96">
        <f>VLOOKUP(Year_of_pregnancy,'ONS mortality stats'!$A$88:$CX$169,A202+2,TRUE)/ONS_mortality_rate_per_value</f>
        <v>4.6512000000000003E-3</v>
      </c>
      <c r="C203" s="96">
        <f t="shared" si="45"/>
        <v>3.8187985865724386E-3</v>
      </c>
      <c r="D203" s="96">
        <f t="shared" si="46"/>
        <v>5.0917314487632518E-3</v>
      </c>
      <c r="E203" s="96">
        <f t="shared" si="47"/>
        <v>7.5731448763250893E-3</v>
      </c>
      <c r="F203" s="96">
        <f t="shared" ca="1" si="48"/>
        <v>4.5933806338707703E-3</v>
      </c>
      <c r="G203" s="96">
        <f t="shared" ca="1" si="49"/>
        <v>3.8006136514861398E-3</v>
      </c>
      <c r="H203" s="96">
        <f t="shared" ca="1" si="50"/>
        <v>4.5435170588818833E-3</v>
      </c>
      <c r="I203" s="96">
        <f t="shared" ca="1" si="51"/>
        <v>8.549746652868697E-3</v>
      </c>
      <c r="K203" s="96">
        <f t="shared" si="41"/>
        <v>4.6512000000000007E-4</v>
      </c>
      <c r="L203" s="96">
        <f t="shared" si="42"/>
        <v>21398.828001375983</v>
      </c>
      <c r="M203" s="96">
        <f t="shared" si="43"/>
        <v>99.530228799999975</v>
      </c>
      <c r="N203" s="96">
        <f t="shared" si="44"/>
        <v>21299.297772575981</v>
      </c>
    </row>
    <row r="204" spans="1:14" x14ac:dyDescent="0.25">
      <c r="A204" s="96">
        <v>71</v>
      </c>
      <c r="B204" s="96">
        <f>VLOOKUP(Year_of_pregnancy,'ONS mortality stats'!$A$88:$CX$169,A203+2,TRUE)/ONS_mortality_rate_per_value</f>
        <v>5.0384000000000002E-3</v>
      </c>
      <c r="C204" s="96">
        <f t="shared" si="45"/>
        <v>4.1367033880690086E-3</v>
      </c>
      <c r="D204" s="96">
        <f t="shared" si="46"/>
        <v>5.5156045174253451E-3</v>
      </c>
      <c r="E204" s="96">
        <f t="shared" si="47"/>
        <v>8.2035889974364298E-3</v>
      </c>
      <c r="F204" s="96">
        <f t="shared" ca="1" si="48"/>
        <v>4.7792476458892045E-3</v>
      </c>
      <c r="G204" s="96">
        <f t="shared" ca="1" si="49"/>
        <v>3.954402061275058E-3</v>
      </c>
      <c r="H204" s="96">
        <f t="shared" ca="1" si="50"/>
        <v>4.727366386229598E-3</v>
      </c>
      <c r="I204" s="96">
        <f t="shared" ca="1" si="51"/>
        <v>8.8957044540065901E-3</v>
      </c>
      <c r="K204" s="96">
        <f t="shared" si="41"/>
        <v>5.0384000000000008E-4</v>
      </c>
      <c r="L204" s="96">
        <f t="shared" si="42"/>
        <v>19746.570657351534</v>
      </c>
      <c r="M204" s="96">
        <f t="shared" si="43"/>
        <v>99.491121599999971</v>
      </c>
      <c r="N204" s="96">
        <f t="shared" si="44"/>
        <v>19647.079535751534</v>
      </c>
    </row>
    <row r="205" spans="1:14" x14ac:dyDescent="0.25">
      <c r="A205" s="96">
        <v>72</v>
      </c>
      <c r="B205" s="96">
        <f>VLOOKUP(Year_of_pregnancy,'ONS mortality stats'!$A$88:$CX$169,A204+2,TRUE)/ONS_mortality_rate_per_value</f>
        <v>5.4466999999999996E-3</v>
      </c>
      <c r="C205" s="96">
        <f t="shared" si="45"/>
        <v>4.4719320307628355E-3</v>
      </c>
      <c r="D205" s="96">
        <f t="shared" si="46"/>
        <v>5.9625760410171149E-3</v>
      </c>
      <c r="E205" s="96">
        <f t="shared" si="47"/>
        <v>8.868388415436846E-3</v>
      </c>
      <c r="F205" s="96">
        <f t="shared" ca="1" si="48"/>
        <v>6.1012009880916374E-3</v>
      </c>
      <c r="G205" s="96">
        <f t="shared" ca="1" si="49"/>
        <v>5.0482007945989397E-3</v>
      </c>
      <c r="H205" s="96">
        <f t="shared" ca="1" si="50"/>
        <v>6.0349692260755188E-3</v>
      </c>
      <c r="I205" s="96">
        <f t="shared" ca="1" si="51"/>
        <v>1.1356281328346637E-2</v>
      </c>
      <c r="K205" s="96">
        <f t="shared" si="41"/>
        <v>5.4467000000000003E-4</v>
      </c>
      <c r="L205" s="96">
        <f t="shared" si="42"/>
        <v>18258.74076046046</v>
      </c>
      <c r="M205" s="96">
        <f t="shared" si="43"/>
        <v>99.449883299999982</v>
      </c>
      <c r="N205" s="96">
        <f t="shared" si="44"/>
        <v>18159.29087716046</v>
      </c>
    </row>
    <row r="206" spans="1:14" x14ac:dyDescent="0.25">
      <c r="A206" s="96">
        <v>73</v>
      </c>
      <c r="B206" s="96">
        <f>VLOOKUP(Year_of_pregnancy,'ONS mortality stats'!$A$88:$CX$169,A205+2,TRUE)/ONS_mortality_rate_per_value</f>
        <v>5.9102999999999994E-3</v>
      </c>
      <c r="C206" s="96">
        <f t="shared" si="45"/>
        <v>4.8525639160257742E-3</v>
      </c>
      <c r="D206" s="96">
        <f t="shared" si="46"/>
        <v>6.4700852213676998E-3</v>
      </c>
      <c r="E206" s="96">
        <f t="shared" si="47"/>
        <v>9.6232280191228432E-3</v>
      </c>
      <c r="F206" s="96">
        <f t="shared" ca="1" si="48"/>
        <v>5.7749666574883236E-3</v>
      </c>
      <c r="G206" s="96">
        <f t="shared" ca="1" si="49"/>
        <v>4.7782709217441483E-3</v>
      </c>
      <c r="H206" s="96">
        <f t="shared" ca="1" si="50"/>
        <v>5.7122763415888272E-3</v>
      </c>
      <c r="I206" s="96">
        <f t="shared" ca="1" si="51"/>
        <v>1.0749055170000577E-2</v>
      </c>
      <c r="K206" s="96">
        <f t="shared" si="41"/>
        <v>5.9102999999999998E-4</v>
      </c>
      <c r="L206" s="96">
        <f t="shared" si="42"/>
        <v>16818.614909564658</v>
      </c>
      <c r="M206" s="96">
        <f t="shared" si="43"/>
        <v>99.403059699999986</v>
      </c>
      <c r="N206" s="96">
        <f t="shared" si="44"/>
        <v>16719.21184986466</v>
      </c>
    </row>
    <row r="207" spans="1:14" x14ac:dyDescent="0.25">
      <c r="A207" s="96">
        <v>74</v>
      </c>
      <c r="B207" s="96">
        <f>VLOOKUP(Year_of_pregnancy,'ONS mortality stats'!$A$88:$CX$169,A206+2,TRUE)/ONS_mortality_rate_per_value</f>
        <v>6.4380999999999996E-3</v>
      </c>
      <c r="C207" s="96">
        <f t="shared" si="45"/>
        <v>5.2859062564955313E-3</v>
      </c>
      <c r="D207" s="96">
        <f t="shared" si="46"/>
        <v>7.0478750086607096E-3</v>
      </c>
      <c r="E207" s="96">
        <f t="shared" si="47"/>
        <v>1.0482598905286496E-2</v>
      </c>
      <c r="F207" s="96">
        <f t="shared" ca="1" si="48"/>
        <v>6.4471161589305659E-3</v>
      </c>
      <c r="G207" s="96">
        <f t="shared" ca="1" si="49"/>
        <v>5.334414811101796E-3</v>
      </c>
      <c r="H207" s="96">
        <f t="shared" ca="1" si="50"/>
        <v>6.3771293048731446E-3</v>
      </c>
      <c r="I207" s="96">
        <f t="shared" ca="1" si="51"/>
        <v>1.2000139808579833E-2</v>
      </c>
      <c r="K207" s="96">
        <f t="shared" si="41"/>
        <v>6.4380999999999998E-4</v>
      </c>
      <c r="L207" s="96">
        <f t="shared" si="42"/>
        <v>15431.532890138395</v>
      </c>
      <c r="M207" s="96">
        <f t="shared" si="43"/>
        <v>99.349751899999987</v>
      </c>
      <c r="N207" s="96">
        <f t="shared" si="44"/>
        <v>15332.183138238393</v>
      </c>
    </row>
    <row r="208" spans="1:14" x14ac:dyDescent="0.25">
      <c r="A208" s="96">
        <v>75</v>
      </c>
      <c r="B208" s="96">
        <f>VLOOKUP(Year_of_pregnancy,'ONS mortality stats'!$A$88:$CX$169,A207+2,TRUE)/ONS_mortality_rate_per_value</f>
        <v>7.0198999999999999E-3</v>
      </c>
      <c r="C208" s="96">
        <f t="shared" si="45"/>
        <v>6.3083819098157384E-3</v>
      </c>
      <c r="D208" s="96">
        <f t="shared" si="46"/>
        <v>7.2349840004266551E-3</v>
      </c>
      <c r="E208" s="96">
        <f t="shared" si="47"/>
        <v>9.9211941014906262E-3</v>
      </c>
      <c r="F208" s="96">
        <f t="shared" ca="1" si="48"/>
        <v>6.3230423523387303E-3</v>
      </c>
      <c r="G208" s="96">
        <f t="shared" ca="1" si="49"/>
        <v>5.5951735836534374E-3</v>
      </c>
      <c r="H208" s="96">
        <f t="shared" ca="1" si="50"/>
        <v>7.1084325020307985E-3</v>
      </c>
      <c r="I208" s="96">
        <f t="shared" ca="1" si="51"/>
        <v>7.8775993600874797E-3</v>
      </c>
      <c r="K208" s="96">
        <f t="shared" si="41"/>
        <v>7.0198999999999999E-4</v>
      </c>
      <c r="L208" s="96">
        <f t="shared" si="42"/>
        <v>14144.217168335734</v>
      </c>
      <c r="M208" s="96">
        <f t="shared" si="43"/>
        <v>99.290990100000016</v>
      </c>
      <c r="N208" s="96">
        <f t="shared" si="44"/>
        <v>14044.926178235733</v>
      </c>
    </row>
    <row r="209" spans="1:14" x14ac:dyDescent="0.25">
      <c r="A209" s="96">
        <v>76</v>
      </c>
      <c r="B209" s="96">
        <f>VLOOKUP(Year_of_pregnancy,'ONS mortality stats'!$A$88:$CX$169,A208+2,TRUE)/ONS_mortality_rate_per_value</f>
        <v>7.6752999999999995E-3</v>
      </c>
      <c r="C209" s="96">
        <f t="shared" si="45"/>
        <v>6.8973523372710061E-3</v>
      </c>
      <c r="D209" s="96">
        <f t="shared" si="46"/>
        <v>7.9104649209354415E-3</v>
      </c>
      <c r="E209" s="96">
        <f t="shared" si="47"/>
        <v>1.0847468067518198E-2</v>
      </c>
      <c r="F209" s="96">
        <f t="shared" ca="1" si="48"/>
        <v>7.6605877048457893E-3</v>
      </c>
      <c r="G209" s="96">
        <f t="shared" ca="1" si="49"/>
        <v>6.7787491484316582E-3</v>
      </c>
      <c r="H209" s="96">
        <f t="shared" ca="1" si="50"/>
        <v>8.6121154329516572E-3</v>
      </c>
      <c r="I209" s="96">
        <f t="shared" ca="1" si="51"/>
        <v>9.5439880739160952E-3</v>
      </c>
      <c r="K209" s="96">
        <f t="shared" si="41"/>
        <v>7.6752999999999999E-4</v>
      </c>
      <c r="L209" s="96">
        <f t="shared" si="42"/>
        <v>12927.806691595115</v>
      </c>
      <c r="M209" s="96">
        <f t="shared" si="43"/>
        <v>99.224794699999975</v>
      </c>
      <c r="N209" s="96">
        <f t="shared" si="44"/>
        <v>12828.581896895113</v>
      </c>
    </row>
    <row r="210" spans="1:14" x14ac:dyDescent="0.25">
      <c r="A210" s="96">
        <v>77</v>
      </c>
      <c r="B210" s="96">
        <f>VLOOKUP(Year_of_pregnancy,'ONS mortality stats'!$A$88:$CX$169,A209+2,TRUE)/ONS_mortality_rate_per_value</f>
        <v>8.4177999999999996E-3</v>
      </c>
      <c r="C210" s="96">
        <f t="shared" si="45"/>
        <v>7.5645945441454891E-3</v>
      </c>
      <c r="D210" s="96">
        <f t="shared" si="46"/>
        <v>8.6757145142796182E-3</v>
      </c>
      <c r="E210" s="96">
        <f t="shared" si="47"/>
        <v>1.1896840084264419E-2</v>
      </c>
      <c r="F210" s="96">
        <f t="shared" ca="1" si="48"/>
        <v>7.6522340597983312E-3</v>
      </c>
      <c r="G210" s="96">
        <f t="shared" ca="1" si="49"/>
        <v>6.7713571223321544E-3</v>
      </c>
      <c r="H210" s="96">
        <f t="shared" ca="1" si="50"/>
        <v>8.602724174969047E-3</v>
      </c>
      <c r="I210" s="96">
        <f t="shared" ca="1" si="51"/>
        <v>9.5335806362914013E-3</v>
      </c>
      <c r="K210" s="96">
        <f t="shared" si="41"/>
        <v>8.4177999999999998E-4</v>
      </c>
      <c r="L210" s="96">
        <f t="shared" si="42"/>
        <v>11778.58849105467</v>
      </c>
      <c r="M210" s="96">
        <f t="shared" si="43"/>
        <v>99.149802199999996</v>
      </c>
      <c r="N210" s="96">
        <f t="shared" si="44"/>
        <v>11679.438688854671</v>
      </c>
    </row>
    <row r="211" spans="1:14" x14ac:dyDescent="0.25">
      <c r="A211" s="96">
        <v>78</v>
      </c>
      <c r="B211" s="96">
        <f>VLOOKUP(Year_of_pregnancy,'ONS mortality stats'!$A$88:$CX$169,A210+2,TRUE)/ONS_mortality_rate_per_value</f>
        <v>9.2647000000000007E-3</v>
      </c>
      <c r="C211" s="96">
        <f t="shared" si="45"/>
        <v>8.325655049198688E-3</v>
      </c>
      <c r="D211" s="96">
        <f t="shared" si="46"/>
        <v>9.548562838324311E-3</v>
      </c>
      <c r="E211" s="96">
        <f t="shared" si="47"/>
        <v>1.3093760166395562E-2</v>
      </c>
      <c r="F211" s="96">
        <f t="shared" ca="1" si="48"/>
        <v>8.639828993211255E-3</v>
      </c>
      <c r="G211" s="96">
        <f t="shared" ca="1" si="49"/>
        <v>7.6452663538175529E-3</v>
      </c>
      <c r="H211" s="96">
        <f t="shared" ca="1" si="50"/>
        <v>9.7129890652424399E-3</v>
      </c>
      <c r="I211" s="96">
        <f t="shared" ca="1" si="51"/>
        <v>1.0763981570202861E-2</v>
      </c>
      <c r="K211" s="96">
        <f t="shared" si="41"/>
        <v>9.2647000000000009E-4</v>
      </c>
      <c r="L211" s="96">
        <f t="shared" si="42"/>
        <v>10692.657646766756</v>
      </c>
      <c r="M211" s="96">
        <f t="shared" si="43"/>
        <v>99.064265299999974</v>
      </c>
      <c r="N211" s="96">
        <f t="shared" si="44"/>
        <v>10593.593381466757</v>
      </c>
    </row>
    <row r="212" spans="1:14" x14ac:dyDescent="0.25">
      <c r="A212" s="96">
        <v>79</v>
      </c>
      <c r="B212" s="96">
        <f>VLOOKUP(Year_of_pregnancy,'ONS mortality stats'!$A$88:$CX$169,A211+2,TRUE)/ONS_mortality_rate_per_value</f>
        <v>1.02221E-2</v>
      </c>
      <c r="C212" s="96">
        <f t="shared" si="45"/>
        <v>9.1860155729180555E-3</v>
      </c>
      <c r="D212" s="96">
        <f t="shared" si="46"/>
        <v>1.0535296792085544E-2</v>
      </c>
      <c r="E212" s="96">
        <f t="shared" si="47"/>
        <v>1.444684941734887E-2</v>
      </c>
      <c r="F212" s="96">
        <f t="shared" ca="1" si="48"/>
        <v>8.6238125702441486E-3</v>
      </c>
      <c r="G212" s="96">
        <f t="shared" ca="1" si="49"/>
        <v>7.6310936404785342E-3</v>
      </c>
      <c r="H212" s="96">
        <f t="shared" ca="1" si="50"/>
        <v>9.6949832295637438E-3</v>
      </c>
      <c r="I212" s="96">
        <f t="shared" ca="1" si="51"/>
        <v>1.074402741581231E-2</v>
      </c>
      <c r="K212" s="96">
        <f t="shared" si="41"/>
        <v>1.02221E-3</v>
      </c>
      <c r="L212" s="96">
        <f t="shared" si="42"/>
        <v>9681.7256630242318</v>
      </c>
      <c r="M212" s="96">
        <f t="shared" si="43"/>
        <v>98.967567899999992</v>
      </c>
      <c r="N212" s="96">
        <f t="shared" si="44"/>
        <v>9582.7580951242307</v>
      </c>
    </row>
    <row r="213" spans="1:14" x14ac:dyDescent="0.25">
      <c r="A213" s="96">
        <v>80</v>
      </c>
      <c r="B213" s="96">
        <f>VLOOKUP(Year_of_pregnancy,'ONS mortality stats'!$A$88:$CX$169,A212+2,TRUE)/ONS_mortality_rate_per_value</f>
        <v>1.13002E-2</v>
      </c>
      <c r="C213" s="96">
        <f t="shared" si="45"/>
        <v>1.0154842270872776E-2</v>
      </c>
      <c r="D213" s="96">
        <f t="shared" si="46"/>
        <v>1.1646428895229459E-2</v>
      </c>
      <c r="E213" s="96">
        <f t="shared" si="47"/>
        <v>1.5970523452707927E-2</v>
      </c>
      <c r="F213" s="96">
        <f t="shared" ca="1" si="48"/>
        <v>1.0652158423084835E-2</v>
      </c>
      <c r="G213" s="96">
        <f t="shared" ca="1" si="49"/>
        <v>9.4259491075037588E-3</v>
      </c>
      <c r="H213" s="96">
        <f t="shared" ca="1" si="50"/>
        <v>1.1975271543678724E-2</v>
      </c>
      <c r="I213" s="96">
        <f t="shared" ca="1" si="51"/>
        <v>1.3271053980241986E-2</v>
      </c>
      <c r="K213" s="96">
        <f t="shared" si="41"/>
        <v>1.13002E-3</v>
      </c>
      <c r="L213" s="96">
        <f t="shared" si="42"/>
        <v>8748.400895559369</v>
      </c>
      <c r="M213" s="96">
        <f t="shared" si="43"/>
        <v>98.858679799999976</v>
      </c>
      <c r="N213" s="96">
        <f t="shared" si="44"/>
        <v>8649.5422157593694</v>
      </c>
    </row>
    <row r="214" spans="1:14" x14ac:dyDescent="0.25">
      <c r="A214" s="96">
        <v>81</v>
      </c>
      <c r="B214" s="96">
        <f>VLOOKUP(Year_of_pregnancy,'ONS mortality stats'!$A$88:$CX$169,A213+2,TRUE)/ONS_mortality_rate_per_value</f>
        <v>1.2504400000000001E-2</v>
      </c>
      <c r="C214" s="96">
        <f t="shared" si="45"/>
        <v>1.1236987813658303E-2</v>
      </c>
      <c r="D214" s="96">
        <f t="shared" si="46"/>
        <v>1.2887524599344016E-2</v>
      </c>
      <c r="E214" s="96">
        <f t="shared" si="47"/>
        <v>1.7672414068958159E-2</v>
      </c>
      <c r="F214" s="96">
        <f t="shared" ca="1" si="48"/>
        <v>1.0570105023485706E-2</v>
      </c>
      <c r="G214" s="96">
        <f t="shared" ca="1" si="49"/>
        <v>9.3533411779180599E-3</v>
      </c>
      <c r="H214" s="96">
        <f t="shared" ca="1" si="50"/>
        <v>1.188302622566392E-2</v>
      </c>
      <c r="I214" s="96">
        <f t="shared" ca="1" si="51"/>
        <v>1.316882727161714E-2</v>
      </c>
      <c r="K214" s="96">
        <f t="shared" si="41"/>
        <v>1.2504400000000002E-3</v>
      </c>
      <c r="L214" s="96">
        <f t="shared" si="42"/>
        <v>7896.1849908832073</v>
      </c>
      <c r="M214" s="96">
        <f t="shared" si="43"/>
        <v>98.737055599999977</v>
      </c>
      <c r="N214" s="96">
        <f t="shared" si="44"/>
        <v>7797.4479352832068</v>
      </c>
    </row>
    <row r="215" spans="1:14" x14ac:dyDescent="0.25">
      <c r="A215" s="96">
        <v>82</v>
      </c>
      <c r="B215" s="96">
        <f>VLOOKUP(Year_of_pregnancy,'ONS mortality stats'!$A$88:$CX$169,A214+2,TRUE)/ONS_mortality_rate_per_value</f>
        <v>1.38449E-2</v>
      </c>
      <c r="C215" s="96">
        <f t="shared" si="45"/>
        <v>1.2441618356843818E-2</v>
      </c>
      <c r="D215" s="96">
        <f t="shared" si="46"/>
        <v>1.4269096424095356E-2</v>
      </c>
      <c r="E215" s="96">
        <f t="shared" si="47"/>
        <v>1.9566936881683154E-2</v>
      </c>
      <c r="F215" s="96">
        <f t="shared" ca="1" si="48"/>
        <v>1.5540962950497672E-2</v>
      </c>
      <c r="G215" s="96">
        <f t="shared" ca="1" si="49"/>
        <v>1.3751985281736911E-2</v>
      </c>
      <c r="H215" s="96">
        <f t="shared" ca="1" si="50"/>
        <v>1.7471318393006401E-2</v>
      </c>
      <c r="I215" s="96">
        <f t="shared" ca="1" si="51"/>
        <v>1.9361799743236208E-2</v>
      </c>
      <c r="K215" s="96">
        <f t="shared" si="41"/>
        <v>1.3844900000000002E-3</v>
      </c>
      <c r="L215" s="96">
        <f t="shared" si="42"/>
        <v>7121.8762937977144</v>
      </c>
      <c r="M215" s="96">
        <f t="shared" si="43"/>
        <v>98.601665099999977</v>
      </c>
      <c r="N215" s="96">
        <f t="shared" si="44"/>
        <v>7023.2746286977135</v>
      </c>
    </row>
    <row r="216" spans="1:14" x14ac:dyDescent="0.25">
      <c r="A216" s="96">
        <v>83</v>
      </c>
      <c r="B216" s="96">
        <f>VLOOKUP(Year_of_pregnancy,'ONS mortality stats'!$A$88:$CX$169,A215+2,TRUE)/ONS_mortality_rate_per_value</f>
        <v>1.53422E-2</v>
      </c>
      <c r="C216" s="96">
        <f t="shared" si="45"/>
        <v>1.3787156075837978E-2</v>
      </c>
      <c r="D216" s="96">
        <f t="shared" si="46"/>
        <v>1.5812272472734059E-2</v>
      </c>
      <c r="E216" s="96">
        <f t="shared" si="47"/>
        <v>2.1683064451614623E-2</v>
      </c>
      <c r="F216" s="96">
        <f t="shared" ca="1" si="48"/>
        <v>1.4888056483380535E-2</v>
      </c>
      <c r="G216" s="96">
        <f t="shared" ca="1" si="49"/>
        <v>1.3174237290525198E-2</v>
      </c>
      <c r="H216" s="96">
        <f t="shared" ca="1" si="50"/>
        <v>1.6737313891213856E-2</v>
      </c>
      <c r="I216" s="96">
        <f t="shared" ca="1" si="51"/>
        <v>1.8548372395931389E-2</v>
      </c>
      <c r="K216" s="96">
        <f t="shared" si="41"/>
        <v>1.5342200000000002E-3</v>
      </c>
      <c r="L216" s="96">
        <f t="shared" si="42"/>
        <v>6416.9700434096785</v>
      </c>
      <c r="M216" s="96">
        <f t="shared" si="43"/>
        <v>98.450437799999975</v>
      </c>
      <c r="N216" s="96">
        <f t="shared" si="44"/>
        <v>6318.5196056096784</v>
      </c>
    </row>
    <row r="217" spans="1:14" x14ac:dyDescent="0.25">
      <c r="A217" s="96">
        <v>84</v>
      </c>
      <c r="B217" s="96">
        <f>VLOOKUP(Year_of_pregnancy,'ONS mortality stats'!$A$88:$CX$169,A216+2,TRUE)/ONS_mortality_rate_per_value</f>
        <v>1.7016300000000002E-2</v>
      </c>
      <c r="C217" s="96">
        <f t="shared" si="45"/>
        <v>1.5291573824698009E-2</v>
      </c>
      <c r="D217" s="96">
        <f t="shared" si="46"/>
        <v>1.7537665528919229E-2</v>
      </c>
      <c r="E217" s="96">
        <f t="shared" si="47"/>
        <v>2.4049062691661554E-2</v>
      </c>
      <c r="F217" s="96">
        <f t="shared" ca="1" si="48"/>
        <v>1.6248697212062731E-2</v>
      </c>
      <c r="G217" s="96">
        <f t="shared" ca="1" si="49"/>
        <v>1.4378249637390109E-2</v>
      </c>
      <c r="H217" s="96">
        <f t="shared" ca="1" si="50"/>
        <v>1.8266960893463326E-2</v>
      </c>
      <c r="I217" s="96">
        <f t="shared" ca="1" si="51"/>
        <v>2.0243534619478934E-2</v>
      </c>
      <c r="K217" s="96">
        <f t="shared" si="41"/>
        <v>1.7016300000000002E-3</v>
      </c>
      <c r="L217" s="96">
        <f t="shared" si="42"/>
        <v>5775.7182054853274</v>
      </c>
      <c r="M217" s="96">
        <f t="shared" si="43"/>
        <v>98.281353699999983</v>
      </c>
      <c r="N217" s="96">
        <f t="shared" si="44"/>
        <v>5677.4368517853272</v>
      </c>
    </row>
    <row r="218" spans="1:14" x14ac:dyDescent="0.25">
      <c r="A218" s="96">
        <v>85</v>
      </c>
      <c r="B218" s="96">
        <f>VLOOKUP(Year_of_pregnancy,'ONS mortality stats'!$A$88:$CX$169,A217+2,TRUE)/ONS_mortality_rate_per_value</f>
        <v>1.88971E-2</v>
      </c>
      <c r="C218" s="96">
        <f t="shared" si="45"/>
        <v>1.7904997471086086E-2</v>
      </c>
      <c r="D218" s="96">
        <f t="shared" si="46"/>
        <v>1.9083796236976095E-2</v>
      </c>
      <c r="E218" s="96">
        <f t="shared" si="47"/>
        <v>2.3225521630643692E-2</v>
      </c>
      <c r="F218" s="96">
        <f t="shared" ca="1" si="48"/>
        <v>1.9674220461253444E-2</v>
      </c>
      <c r="G218" s="96">
        <f t="shared" ca="1" si="49"/>
        <v>1.7179406324815755E-2</v>
      </c>
      <c r="H218" s="96">
        <f t="shared" ca="1" si="50"/>
        <v>2.2353816537804161E-2</v>
      </c>
      <c r="I218" s="96">
        <f t="shared" ca="1" si="51"/>
        <v>2.5033498595992191E-2</v>
      </c>
      <c r="K218" s="96">
        <f t="shared" si="41"/>
        <v>1.8897100000000002E-3</v>
      </c>
      <c r="L218" s="96">
        <f t="shared" si="42"/>
        <v>5190.817262966274</v>
      </c>
      <c r="M218" s="96">
        <f t="shared" si="43"/>
        <v>98.091392899999974</v>
      </c>
      <c r="N218" s="96">
        <f t="shared" si="44"/>
        <v>5092.7258700662742</v>
      </c>
    </row>
    <row r="219" spans="1:14" x14ac:dyDescent="0.25">
      <c r="A219" s="96">
        <v>86</v>
      </c>
      <c r="B219" s="96">
        <f>VLOOKUP(Year_of_pregnancy,'ONS mortality stats'!$A$88:$CX$169,A218+2,TRUE)/ONS_mortality_rate_per_value</f>
        <v>2.0993899999999999E-2</v>
      </c>
      <c r="C219" s="96">
        <f t="shared" si="45"/>
        <v>1.9891714940823414E-2</v>
      </c>
      <c r="D219" s="96">
        <f t="shared" si="46"/>
        <v>2.1201311831945242E-2</v>
      </c>
      <c r="E219" s="96">
        <f t="shared" si="47"/>
        <v>2.580259820615706E-2</v>
      </c>
      <c r="F219" s="96">
        <f t="shared" ca="1" si="48"/>
        <v>2.0579370930605613E-2</v>
      </c>
      <c r="G219" s="96">
        <f t="shared" ca="1" si="49"/>
        <v>1.7969778056632156E-2</v>
      </c>
      <c r="H219" s="96">
        <f t="shared" ca="1" si="50"/>
        <v>2.3382246994342645E-2</v>
      </c>
      <c r="I219" s="96">
        <f t="shared" ca="1" si="51"/>
        <v>2.6185212995468096E-2</v>
      </c>
      <c r="K219" s="96">
        <f t="shared" si="41"/>
        <v>2.09939E-3</v>
      </c>
      <c r="L219" s="96">
        <f t="shared" si="42"/>
        <v>4662.2883837686186</v>
      </c>
      <c r="M219" s="96">
        <f t="shared" si="43"/>
        <v>97.879616099999993</v>
      </c>
      <c r="N219" s="96">
        <f t="shared" si="44"/>
        <v>4564.4087676686186</v>
      </c>
    </row>
    <row r="220" spans="1:14" x14ac:dyDescent="0.25">
      <c r="A220" s="96">
        <v>87</v>
      </c>
      <c r="B220" s="96">
        <f>VLOOKUP(Year_of_pregnancy,'ONS mortality stats'!$A$88:$CX$169,A219+2,TRUE)/ONS_mortality_rate_per_value</f>
        <v>2.33248E-2</v>
      </c>
      <c r="C220" s="96">
        <f t="shared" si="45"/>
        <v>2.2100242101358872E-2</v>
      </c>
      <c r="D220" s="96">
        <f t="shared" si="46"/>
        <v>2.3555240246822002E-2</v>
      </c>
      <c r="E220" s="96">
        <f t="shared" si="47"/>
        <v>2.86673958930438E-2</v>
      </c>
      <c r="F220" s="96">
        <f t="shared" ca="1" si="48"/>
        <v>2.3563710373869062E-2</v>
      </c>
      <c r="G220" s="96">
        <f t="shared" ca="1" si="49"/>
        <v>2.0575684603626847E-2</v>
      </c>
      <c r="H220" s="96">
        <f t="shared" ca="1" si="50"/>
        <v>2.6773048501961494E-2</v>
      </c>
      <c r="I220" s="96">
        <f t="shared" ca="1" si="51"/>
        <v>2.9982489609808732E-2</v>
      </c>
      <c r="K220" s="96">
        <f t="shared" si="41"/>
        <v>2.3324800000000001E-3</v>
      </c>
      <c r="L220" s="96">
        <f t="shared" si="42"/>
        <v>4186.282206063931</v>
      </c>
      <c r="M220" s="96">
        <f t="shared" si="43"/>
        <v>97.64419519999997</v>
      </c>
      <c r="N220" s="96">
        <f t="shared" si="44"/>
        <v>4088.63801086393</v>
      </c>
    </row>
    <row r="221" spans="1:14" x14ac:dyDescent="0.25">
      <c r="A221" s="96">
        <v>88</v>
      </c>
      <c r="B221" s="96">
        <f>VLOOKUP(Year_of_pregnancy,'ONS mortality stats'!$A$88:$CX$169,A220+2,TRUE)/ONS_mortality_rate_per_value</f>
        <v>2.5913000000000002E-2</v>
      </c>
      <c r="C221" s="96">
        <f t="shared" si="45"/>
        <v>2.4552560946825373E-2</v>
      </c>
      <c r="D221" s="96">
        <f t="shared" si="46"/>
        <v>2.6169010688876154E-2</v>
      </c>
      <c r="E221" s="96">
        <f t="shared" si="47"/>
        <v>3.1848428701486999E-2</v>
      </c>
      <c r="F221" s="96">
        <f t="shared" ca="1" si="48"/>
        <v>2.849873904295197E-2</v>
      </c>
      <c r="G221" s="96">
        <f t="shared" ca="1" si="49"/>
        <v>2.488492078900751E-2</v>
      </c>
      <c r="H221" s="96">
        <f t="shared" ca="1" si="50"/>
        <v>3.2380219860783141E-2</v>
      </c>
      <c r="I221" s="96">
        <f t="shared" ca="1" si="51"/>
        <v>3.6261825225772315E-2</v>
      </c>
      <c r="K221" s="96">
        <f t="shared" si="41"/>
        <v>2.5913000000000004E-3</v>
      </c>
      <c r="L221" s="96">
        <f t="shared" si="42"/>
        <v>3758.0668776289885</v>
      </c>
      <c r="M221" s="96">
        <f t="shared" si="43"/>
        <v>97.382786999999993</v>
      </c>
      <c r="N221" s="96">
        <f t="shared" si="44"/>
        <v>3660.6840906289885</v>
      </c>
    </row>
    <row r="222" spans="1:14" x14ac:dyDescent="0.25">
      <c r="A222" s="96">
        <v>89</v>
      </c>
      <c r="B222" s="96">
        <f>VLOOKUP(Year_of_pregnancy,'ONS mortality stats'!$A$88:$CX$169,A221+2,TRUE)/ONS_mortality_rate_per_value</f>
        <v>2.87748E-2</v>
      </c>
      <c r="C222" s="96">
        <f t="shared" si="45"/>
        <v>2.7264115723100786E-2</v>
      </c>
      <c r="D222" s="96">
        <f t="shared" si="46"/>
        <v>2.9059084195973972E-2</v>
      </c>
      <c r="E222" s="96">
        <f t="shared" si="47"/>
        <v>3.536573018174461E-2</v>
      </c>
      <c r="F222" s="96">
        <f t="shared" ca="1" si="48"/>
        <v>2.8988518174523081E-2</v>
      </c>
      <c r="G222" s="96">
        <f t="shared" ca="1" si="49"/>
        <v>2.5312592865125917E-2</v>
      </c>
      <c r="H222" s="96">
        <f t="shared" ca="1" si="50"/>
        <v>3.2936706094773838E-2</v>
      </c>
      <c r="I222" s="96">
        <f t="shared" ca="1" si="51"/>
        <v>3.6885020702649193E-2</v>
      </c>
      <c r="K222" s="96">
        <f t="shared" si="41"/>
        <v>2.87748E-3</v>
      </c>
      <c r="L222" s="96">
        <f t="shared" si="42"/>
        <v>3374.2630774149607</v>
      </c>
      <c r="M222" s="96">
        <f t="shared" si="43"/>
        <v>97.093745200000015</v>
      </c>
      <c r="N222" s="96">
        <f t="shared" si="44"/>
        <v>3277.1693322149608</v>
      </c>
    </row>
    <row r="223" spans="1:14" x14ac:dyDescent="0.25">
      <c r="A223" s="96">
        <v>90</v>
      </c>
      <c r="B223" s="96">
        <f>VLOOKUP(Year_of_pregnancy,'ONS mortality stats'!$A$88:$CX$169,A222+2,TRUE)/ONS_mortality_rate_per_value</f>
        <v>3.1929600000000002E-2</v>
      </c>
      <c r="C223" s="96">
        <f t="shared" si="45"/>
        <v>3.0253287925279027E-2</v>
      </c>
      <c r="D223" s="96">
        <f t="shared" si="46"/>
        <v>3.224505243281519E-2</v>
      </c>
      <c r="E223" s="96">
        <f t="shared" si="47"/>
        <v>3.9243143945780087E-2</v>
      </c>
      <c r="F223" s="96">
        <f t="shared" ca="1" si="48"/>
        <v>2.8008038827234218E-2</v>
      </c>
      <c r="G223" s="96">
        <f t="shared" ca="1" si="49"/>
        <v>2.4456444427969876E-2</v>
      </c>
      <c r="H223" s="96">
        <f t="shared" ca="1" si="50"/>
        <v>3.1822687092518294E-2</v>
      </c>
      <c r="I223" s="96">
        <f t="shared" ca="1" si="51"/>
        <v>3.5637457760468387E-2</v>
      </c>
      <c r="K223" s="96">
        <f t="shared" si="41"/>
        <v>3.1929600000000003E-3</v>
      </c>
      <c r="L223" s="96">
        <f t="shared" si="42"/>
        <v>3030.8901583483657</v>
      </c>
      <c r="M223" s="96">
        <f t="shared" si="43"/>
        <v>96.775110399999988</v>
      </c>
      <c r="N223" s="96">
        <f t="shared" si="44"/>
        <v>2934.1150479483658</v>
      </c>
    </row>
    <row r="224" spans="1:14" x14ac:dyDescent="0.25">
      <c r="A224" s="96">
        <v>91</v>
      </c>
      <c r="B224" s="96">
        <f>VLOOKUP(Year_of_pregnancy,'ONS mortality stats'!$A$88:$CX$169,A223+2,TRUE)/ONS_mortality_rate_per_value</f>
        <v>3.5407300000000003E-2</v>
      </c>
      <c r="C224" s="96">
        <f t="shared" si="45"/>
        <v>3.3548407795798638E-2</v>
      </c>
      <c r="D224" s="96">
        <f t="shared" si="46"/>
        <v>3.5757110800148373E-2</v>
      </c>
      <c r="E224" s="96">
        <f t="shared" si="47"/>
        <v>4.3517418653269045E-2</v>
      </c>
      <c r="F224" s="96">
        <f t="shared" ca="1" si="48"/>
        <v>3.4416299540409992E-2</v>
      </c>
      <c r="G224" s="96">
        <f t="shared" ca="1" si="49"/>
        <v>3.0052097625198834E-2</v>
      </c>
      <c r="H224" s="96">
        <f t="shared" ca="1" si="50"/>
        <v>3.9103742247453915E-2</v>
      </c>
      <c r="I224" s="96">
        <f t="shared" ca="1" si="51"/>
        <v>4.3791335362987495E-2</v>
      </c>
      <c r="K224" s="96">
        <f t="shared" si="41"/>
        <v>3.5407300000000006E-3</v>
      </c>
      <c r="L224" s="96">
        <f t="shared" si="42"/>
        <v>2723.2763497922738</v>
      </c>
      <c r="M224" s="96">
        <f t="shared" si="43"/>
        <v>96.423862699999987</v>
      </c>
      <c r="N224" s="96">
        <f t="shared" si="44"/>
        <v>2626.8524870922738</v>
      </c>
    </row>
    <row r="225" spans="1:14" x14ac:dyDescent="0.25">
      <c r="A225" s="96">
        <v>92</v>
      </c>
      <c r="B225" s="96">
        <f>VLOOKUP(Year_of_pregnancy,'ONS mortality stats'!$A$88:$CX$169,A224+2,TRUE)/ONS_mortality_rate_per_value</f>
        <v>3.92459E-2</v>
      </c>
      <c r="C225" s="96">
        <f t="shared" si="45"/>
        <v>3.7185480325049737E-2</v>
      </c>
      <c r="D225" s="96">
        <f t="shared" si="46"/>
        <v>3.9633634723674011E-2</v>
      </c>
      <c r="E225" s="96">
        <f t="shared" si="47"/>
        <v>4.8235258286407928E-2</v>
      </c>
      <c r="F225" s="96">
        <f t="shared" ca="1" si="48"/>
        <v>4.1911973804523939E-2</v>
      </c>
      <c r="G225" s="96">
        <f t="shared" ca="1" si="49"/>
        <v>3.6597273537773402E-2</v>
      </c>
      <c r="H225" s="96">
        <f t="shared" ca="1" si="50"/>
        <v>4.7620314868825682E-2</v>
      </c>
      <c r="I225" s="96">
        <f t="shared" ca="1" si="51"/>
        <v>5.3328839099730539E-2</v>
      </c>
      <c r="K225" s="96">
        <f t="shared" si="41"/>
        <v>3.9245900000000004E-3</v>
      </c>
      <c r="L225" s="96">
        <f t="shared" si="42"/>
        <v>2447.0368649973625</v>
      </c>
      <c r="M225" s="96">
        <f t="shared" si="43"/>
        <v>96.036164099999993</v>
      </c>
      <c r="N225" s="96">
        <f t="shared" si="44"/>
        <v>2351.0007008973625</v>
      </c>
    </row>
    <row r="226" spans="1:14" x14ac:dyDescent="0.25">
      <c r="A226" s="96">
        <v>93</v>
      </c>
      <c r="B226" s="96">
        <f>VLOOKUP(Year_of_pregnancy,'ONS mortality stats'!$A$88:$CX$169,A225+2,TRUE)/ONS_mortality_rate_per_value</f>
        <v>4.3482E-2</v>
      </c>
      <c r="C226" s="96">
        <f t="shared" si="45"/>
        <v>4.1199184003776514E-2</v>
      </c>
      <c r="D226" s="96">
        <f t="shared" si="46"/>
        <v>4.3911585797619453E-2</v>
      </c>
      <c r="E226" s="96">
        <f t="shared" si="47"/>
        <v>5.3441646154364905E-2</v>
      </c>
      <c r="F226" s="96">
        <f t="shared" ca="1" si="48"/>
        <v>4.5325502901933712E-2</v>
      </c>
      <c r="G226" s="96">
        <f t="shared" ca="1" si="49"/>
        <v>3.9577945807939066E-2</v>
      </c>
      <c r="H226" s="96">
        <f t="shared" ca="1" si="50"/>
        <v>5.149876094704417E-2</v>
      </c>
      <c r="I226" s="96">
        <f t="shared" ca="1" si="51"/>
        <v>5.7672217076798399E-2</v>
      </c>
      <c r="K226" s="96">
        <f t="shared" si="41"/>
        <v>4.3482E-3</v>
      </c>
      <c r="L226" s="96">
        <f t="shared" si="42"/>
        <v>2198.8022170093368</v>
      </c>
      <c r="M226" s="96">
        <f t="shared" si="43"/>
        <v>95.608317999999983</v>
      </c>
      <c r="N226" s="96">
        <f t="shared" si="44"/>
        <v>2103.1938990093367</v>
      </c>
    </row>
    <row r="227" spans="1:14" x14ac:dyDescent="0.25">
      <c r="A227" s="96">
        <v>94</v>
      </c>
      <c r="B227" s="96">
        <f>VLOOKUP(Year_of_pregnancy,'ONS mortality stats'!$A$88:$CX$169,A226+2,TRUE)/ONS_mortality_rate_per_value</f>
        <v>4.8103400000000004E-2</v>
      </c>
      <c r="C227" s="96">
        <f t="shared" si="45"/>
        <v>4.5577959335064241E-2</v>
      </c>
      <c r="D227" s="96">
        <f t="shared" si="46"/>
        <v>4.8578643490575592E-2</v>
      </c>
      <c r="E227" s="96">
        <f t="shared" si="47"/>
        <v>5.9121587820750582E-2</v>
      </c>
      <c r="F227" s="96">
        <f t="shared" ca="1" si="48"/>
        <v>4.366566510161296E-2</v>
      </c>
      <c r="G227" s="96">
        <f t="shared" ca="1" si="49"/>
        <v>3.8128585816209981E-2</v>
      </c>
      <c r="H227" s="96">
        <f t="shared" ca="1" si="50"/>
        <v>4.9612856001333375E-2</v>
      </c>
      <c r="I227" s="96">
        <f t="shared" ca="1" si="51"/>
        <v>5.5560237731759742E-2</v>
      </c>
      <c r="K227" s="96">
        <f t="shared" si="41"/>
        <v>4.8103400000000006E-3</v>
      </c>
      <c r="L227" s="96">
        <f t="shared" si="42"/>
        <v>1977.8551329012084</v>
      </c>
      <c r="M227" s="96">
        <f t="shared" si="43"/>
        <v>95.141556600000001</v>
      </c>
      <c r="N227" s="96">
        <f t="shared" si="44"/>
        <v>1882.7135763012084</v>
      </c>
    </row>
    <row r="228" spans="1:14" x14ac:dyDescent="0.25">
      <c r="A228" s="96">
        <v>95</v>
      </c>
      <c r="B228" s="96">
        <f>VLOOKUP(Year_of_pregnancy,'ONS mortality stats'!$A$88:$CX$169,A227+2,TRUE)/ONS_mortality_rate_per_value</f>
        <v>5.3060099999999999E-2</v>
      </c>
      <c r="C228" s="96">
        <f t="shared" si="45"/>
        <v>5.0274431331557477E-2</v>
      </c>
      <c r="D228" s="96">
        <f t="shared" si="46"/>
        <v>5.3584313821357525E-2</v>
      </c>
      <c r="E228" s="96">
        <f t="shared" si="47"/>
        <v>6.5213630677411732E-2</v>
      </c>
      <c r="F228" s="96">
        <f t="shared" ca="1" si="48"/>
        <v>6.2082523432075987E-2</v>
      </c>
      <c r="G228" s="96">
        <f t="shared" ca="1" si="49"/>
        <v>5.421007138808788E-2</v>
      </c>
      <c r="H228" s="96">
        <f t="shared" ca="1" si="50"/>
        <v>7.0538059779174545E-2</v>
      </c>
      <c r="I228" s="96">
        <f t="shared" ca="1" si="51"/>
        <v>7.8993867443605537E-2</v>
      </c>
      <c r="K228" s="96">
        <f t="shared" si="41"/>
        <v>5.3060099999999999E-3</v>
      </c>
      <c r="L228" s="96">
        <f t="shared" si="42"/>
        <v>1783.6553248109221</v>
      </c>
      <c r="M228" s="96">
        <f t="shared" si="43"/>
        <v>94.640929900000003</v>
      </c>
      <c r="N228" s="96">
        <f t="shared" si="44"/>
        <v>1689.0143949109222</v>
      </c>
    </row>
    <row r="229" spans="1:14" x14ac:dyDescent="0.25">
      <c r="A229" s="96">
        <v>96</v>
      </c>
      <c r="B229" s="96">
        <f>VLOOKUP(Year_of_pregnancy,'ONS mortality stats'!$A$88:$CX$169,A228+2,TRUE)/ONS_mortality_rate_per_value</f>
        <v>5.8244700000000003E-2</v>
      </c>
      <c r="C229" s="96">
        <f t="shared" si="45"/>
        <v>5.5186838520416774E-2</v>
      </c>
      <c r="D229" s="96">
        <f t="shared" si="46"/>
        <v>5.8820135718380157E-2</v>
      </c>
      <c r="E229" s="96">
        <f t="shared" si="47"/>
        <v>7.1585774522035281E-2</v>
      </c>
      <c r="F229" s="96">
        <f t="shared" ca="1" si="48"/>
        <v>6.4021087367290952E-2</v>
      </c>
      <c r="G229" s="96">
        <f t="shared" ca="1" si="49"/>
        <v>5.5902813298512211E-2</v>
      </c>
      <c r="H229" s="96">
        <f t="shared" ca="1" si="50"/>
        <v>7.2740652895376623E-2</v>
      </c>
      <c r="I229" s="96">
        <f t="shared" ca="1" si="51"/>
        <v>8.1460498212840751E-2</v>
      </c>
      <c r="K229" s="96">
        <f t="shared" si="41"/>
        <v>5.8244700000000009E-3</v>
      </c>
      <c r="L229" s="96">
        <f t="shared" si="42"/>
        <v>1615.8944127105124</v>
      </c>
      <c r="M229" s="96">
        <f t="shared" si="43"/>
        <v>94.117285299999992</v>
      </c>
      <c r="N229" s="96">
        <f t="shared" si="44"/>
        <v>1521.7771274105123</v>
      </c>
    </row>
    <row r="230" spans="1:14" x14ac:dyDescent="0.25">
      <c r="A230" s="96">
        <v>97</v>
      </c>
      <c r="B230" s="96">
        <f>VLOOKUP(Year_of_pregnancy,'ONS mortality stats'!$A$88:$CX$169,A229+2,TRUE)/ONS_mortality_rate_per_value</f>
        <v>6.35463E-2</v>
      </c>
      <c r="C230" s="96">
        <f t="shared" si="45"/>
        <v>6.0210103179687766E-2</v>
      </c>
      <c r="D230" s="96">
        <f t="shared" si="46"/>
        <v>6.4174113531375393E-2</v>
      </c>
      <c r="E230" s="96">
        <f t="shared" si="47"/>
        <v>7.810171746973732E-2</v>
      </c>
      <c r="F230" s="96">
        <f t="shared" ca="1" si="48"/>
        <v>5.7278788810024864E-2</v>
      </c>
      <c r="G230" s="96">
        <f t="shared" ca="1" si="49"/>
        <v>5.0015480343866971E-2</v>
      </c>
      <c r="H230" s="96">
        <f t="shared" ca="1" si="50"/>
        <v>6.5080064498034579E-2</v>
      </c>
      <c r="I230" s="96">
        <f t="shared" ca="1" si="51"/>
        <v>7.2881590509763838E-2</v>
      </c>
      <c r="K230" s="96">
        <f t="shared" si="41"/>
        <v>6.35463E-3</v>
      </c>
      <c r="L230" s="96">
        <f t="shared" si="42"/>
        <v>1472.6557439221481</v>
      </c>
      <c r="M230" s="96">
        <f t="shared" si="43"/>
        <v>93.581823700000001</v>
      </c>
      <c r="N230" s="96">
        <f t="shared" si="44"/>
        <v>1379.073920222148</v>
      </c>
    </row>
    <row r="231" spans="1:14" x14ac:dyDescent="0.25">
      <c r="A231" s="96">
        <v>98</v>
      </c>
      <c r="B231" s="96">
        <f>VLOOKUP(Year_of_pregnancy,'ONS mortality stats'!$A$88:$CX$169,A230+2,TRUE)/ONS_mortality_rate_per_value</f>
        <v>6.8945000000000006E-2</v>
      </c>
      <c r="C231" s="96">
        <f t="shared" si="45"/>
        <v>6.5325370064403018E-2</v>
      </c>
      <c r="D231" s="96">
        <f t="shared" si="46"/>
        <v>6.9626150655831692E-2</v>
      </c>
      <c r="E231" s="96">
        <f t="shared" si="47"/>
        <v>8.4737001382472948E-2</v>
      </c>
      <c r="F231" s="96">
        <f t="shared" ca="1" si="48"/>
        <v>7.8373242498118278E-2</v>
      </c>
      <c r="G231" s="96">
        <f t="shared" ca="1" si="49"/>
        <v>6.8435025444597078E-2</v>
      </c>
      <c r="H231" s="96">
        <f t="shared" ca="1" si="50"/>
        <v>8.9047547664013321E-2</v>
      </c>
      <c r="I231" s="96">
        <f t="shared" ca="1" si="51"/>
        <v>9.9722195342066569E-2</v>
      </c>
      <c r="K231" s="96">
        <f t="shared" si="41"/>
        <v>6.8945000000000013E-3</v>
      </c>
      <c r="L231" s="96">
        <f t="shared" si="42"/>
        <v>1349.4315033722528</v>
      </c>
      <c r="M231" s="96">
        <f t="shared" si="43"/>
        <v>93.036554999999979</v>
      </c>
      <c r="N231" s="96">
        <f t="shared" si="44"/>
        <v>1256.3949483722529</v>
      </c>
    </row>
    <row r="232" spans="1:14" x14ac:dyDescent="0.25">
      <c r="A232" s="96">
        <v>99</v>
      </c>
      <c r="B232" s="96">
        <f>VLOOKUP(Year_of_pregnancy,'ONS mortality stats'!$A$88:$CX$169,A231+2,TRUE)/ONS_mortality_rate_per_value</f>
        <v>7.4563299999999999E-2</v>
      </c>
      <c r="C232" s="96">
        <f t="shared" si="45"/>
        <v>7.064870789358331E-2</v>
      </c>
      <c r="D232" s="96">
        <f t="shared" si="46"/>
        <v>7.5299957345651966E-2</v>
      </c>
      <c r="E232" s="96">
        <f t="shared" si="47"/>
        <v>9.1642185150217492E-2</v>
      </c>
      <c r="F232" s="96">
        <f t="shared" ca="1" si="48"/>
        <v>7.1016401690181058E-2</v>
      </c>
      <c r="G232" s="96">
        <f t="shared" ca="1" si="49"/>
        <v>6.2011078038119394E-2</v>
      </c>
      <c r="H232" s="96">
        <f t="shared" ca="1" si="50"/>
        <v>8.0688717384443387E-2</v>
      </c>
      <c r="I232" s="96">
        <f t="shared" ca="1" si="51"/>
        <v>9.0361343439490052E-2</v>
      </c>
      <c r="K232" s="96">
        <f t="shared" si="41"/>
        <v>7.4563300000000006E-3</v>
      </c>
      <c r="L232" s="96">
        <f t="shared" si="42"/>
        <v>1240.1423582378995</v>
      </c>
      <c r="M232" s="96">
        <f t="shared" si="43"/>
        <v>92.469106699999969</v>
      </c>
      <c r="N232" s="96">
        <f t="shared" si="44"/>
        <v>1147.6732515378997</v>
      </c>
    </row>
    <row r="233" spans="1:14" x14ac:dyDescent="0.25">
      <c r="A233" s="96">
        <v>100</v>
      </c>
      <c r="B233" s="96">
        <f>VLOOKUP(Year_of_pregnancy,'ONS mortality stats'!$A$88:$CX$169,A232+2,TRUE)/ONS_mortality_rate_per_value</f>
        <v>8.060189999999999E-2</v>
      </c>
      <c r="C233" s="96">
        <f t="shared" si="45"/>
        <v>7.6370279866473337E-2</v>
      </c>
      <c r="D233" s="96">
        <f t="shared" si="46"/>
        <v>8.1398216441312329E-2</v>
      </c>
      <c r="E233" s="96">
        <f t="shared" si="47"/>
        <v>9.9063939542097967E-2</v>
      </c>
      <c r="F233" s="96">
        <f t="shared" ca="1" si="48"/>
        <v>7.2959399128225105E-2</v>
      </c>
      <c r="G233" s="96">
        <f t="shared" ca="1" si="49"/>
        <v>6.3707691255500618E-2</v>
      </c>
      <c r="H233" s="96">
        <f t="shared" ca="1" si="50"/>
        <v>8.2896347839179735E-2</v>
      </c>
      <c r="I233" s="96">
        <f t="shared" ca="1" si="51"/>
        <v>9.2833615402340322E-2</v>
      </c>
      <c r="K233" s="96">
        <f t="shared" si="41"/>
        <v>8.0601900000000001E-3</v>
      </c>
      <c r="L233" s="96">
        <f t="shared" si="42"/>
        <v>1139.665542623685</v>
      </c>
      <c r="M233" s="96">
        <f t="shared" si="43"/>
        <v>91.859208099999989</v>
      </c>
      <c r="N233" s="96">
        <f t="shared" si="44"/>
        <v>1047.8063345236851</v>
      </c>
    </row>
    <row r="234" spans="1:14" x14ac:dyDescent="0.25">
      <c r="A234" s="96">
        <v>101</v>
      </c>
      <c r="B234" s="96">
        <f>VLOOKUP(Year_of_pregnancy,'ONS mortality stats'!$A$88:$CX$169,A233+2,TRUE)/ONS_mortality_rate_per_value</f>
        <v>8.73197E-2</v>
      </c>
      <c r="C234" s="96">
        <f t="shared" si="45"/>
        <v>8.2735393667599563E-2</v>
      </c>
      <c r="D234" s="96">
        <f t="shared" si="46"/>
        <v>8.8182385777388156E-2</v>
      </c>
      <c r="E234" s="96">
        <f t="shared" si="47"/>
        <v>0.1073204661631318</v>
      </c>
      <c r="F234" s="96">
        <f t="shared" ca="1" si="48"/>
        <v>8.6659192588382838E-2</v>
      </c>
      <c r="G234" s="96">
        <f t="shared" ca="1" si="49"/>
        <v>7.5670265268616504E-2</v>
      </c>
      <c r="H234" s="96">
        <f t="shared" ca="1" si="50"/>
        <v>9.8462030363541606E-2</v>
      </c>
      <c r="I234" s="96">
        <f t="shared" ca="1" si="51"/>
        <v>0.11026524686269004</v>
      </c>
      <c r="K234" s="96">
        <f t="shared" si="41"/>
        <v>8.7319700000000004E-3</v>
      </c>
      <c r="L234" s="96">
        <f t="shared" si="42"/>
        <v>1044.2169441718193</v>
      </c>
      <c r="M234" s="96">
        <f t="shared" si="43"/>
        <v>91.180710300000001</v>
      </c>
      <c r="N234" s="96">
        <f t="shared" si="44"/>
        <v>953.03623387181926</v>
      </c>
    </row>
    <row r="235" spans="1:14" x14ac:dyDescent="0.25">
      <c r="N235" s="96"/>
    </row>
    <row r="236" spans="1:14" x14ac:dyDescent="0.25">
      <c r="N236" s="96"/>
    </row>
    <row r="237" spans="1:14" x14ac:dyDescent="0.25">
      <c r="N237" s="96"/>
    </row>
    <row r="238" spans="1:14" x14ac:dyDescent="0.25">
      <c r="N238" s="96"/>
    </row>
    <row r="239" spans="1:14" x14ac:dyDescent="0.25">
      <c r="N239" s="96"/>
    </row>
    <row r="240" spans="1:14" x14ac:dyDescent="0.25">
      <c r="N240" s="96"/>
    </row>
    <row r="241" spans="14:14" x14ac:dyDescent="0.25">
      <c r="N241" s="96"/>
    </row>
    <row r="242" spans="14:14" x14ac:dyDescent="0.25">
      <c r="N242" s="96"/>
    </row>
    <row r="243" spans="14:14" x14ac:dyDescent="0.25">
      <c r="N243" s="96"/>
    </row>
    <row r="244" spans="14:14" x14ac:dyDescent="0.25">
      <c r="N244" s="96"/>
    </row>
    <row r="245" spans="14:14" x14ac:dyDescent="0.25">
      <c r="N245" s="96"/>
    </row>
    <row r="246" spans="14:14" x14ac:dyDescent="0.25">
      <c r="N246" s="96"/>
    </row>
    <row r="247" spans="14:14" x14ac:dyDescent="0.25">
      <c r="N247" s="96"/>
    </row>
    <row r="248" spans="14:14" x14ac:dyDescent="0.25">
      <c r="N248" s="96"/>
    </row>
    <row r="249" spans="14:14" x14ac:dyDescent="0.25">
      <c r="N249" s="96"/>
    </row>
    <row r="250" spans="14:14" x14ac:dyDescent="0.25">
      <c r="N250" s="96"/>
    </row>
    <row r="251" spans="14:14" x14ac:dyDescent="0.25">
      <c r="N251" s="96"/>
    </row>
    <row r="252" spans="14:14" x14ac:dyDescent="0.25">
      <c r="N252" s="96"/>
    </row>
    <row r="253" spans="14:14" x14ac:dyDescent="0.25">
      <c r="N253" s="96"/>
    </row>
    <row r="254" spans="14:14" x14ac:dyDescent="0.25">
      <c r="N254" s="96"/>
    </row>
    <row r="255" spans="14:14" x14ac:dyDescent="0.25">
      <c r="N255" s="96"/>
    </row>
    <row r="256" spans="14:14" x14ac:dyDescent="0.25">
      <c r="N256" s="96"/>
    </row>
    <row r="257" spans="14:14" x14ac:dyDescent="0.25">
      <c r="N257" s="96"/>
    </row>
    <row r="258" spans="14:14" x14ac:dyDescent="0.25">
      <c r="N258" s="96"/>
    </row>
    <row r="259" spans="14:14" x14ac:dyDescent="0.25">
      <c r="N259" s="96"/>
    </row>
    <row r="260" spans="14:14" x14ac:dyDescent="0.25">
      <c r="N260" s="96"/>
    </row>
    <row r="261" spans="14:14" x14ac:dyDescent="0.25">
      <c r="N261" s="96"/>
    </row>
    <row r="262" spans="14:14" x14ac:dyDescent="0.25">
      <c r="N262" s="96"/>
    </row>
    <row r="263" spans="14:14" x14ac:dyDescent="0.25">
      <c r="N263" s="96"/>
    </row>
    <row r="264" spans="14:14" x14ac:dyDescent="0.25">
      <c r="N264" s="96"/>
    </row>
    <row r="265" spans="14:14" x14ac:dyDescent="0.25">
      <c r="N265" s="96"/>
    </row>
    <row r="266" spans="14:14" x14ac:dyDescent="0.25">
      <c r="N266" s="96"/>
    </row>
    <row r="267" spans="14:14" x14ac:dyDescent="0.25">
      <c r="N267" s="96"/>
    </row>
    <row r="268" spans="14:14" x14ac:dyDescent="0.25">
      <c r="N268" s="96"/>
    </row>
    <row r="269" spans="14:14" x14ac:dyDescent="0.25">
      <c r="N269" s="96"/>
    </row>
    <row r="270" spans="14:14" x14ac:dyDescent="0.25">
      <c r="N270" s="96"/>
    </row>
    <row r="271" spans="14:14" x14ac:dyDescent="0.25">
      <c r="N271" s="96"/>
    </row>
    <row r="272" spans="14:14" x14ac:dyDescent="0.25">
      <c r="N272" s="96"/>
    </row>
    <row r="273" spans="14:14" x14ac:dyDescent="0.25">
      <c r="N273" s="96"/>
    </row>
    <row r="274" spans="14:14" x14ac:dyDescent="0.25">
      <c r="N274" s="96"/>
    </row>
    <row r="275" spans="14:14" x14ac:dyDescent="0.25">
      <c r="N275" s="96"/>
    </row>
  </sheetData>
  <sheetProtection algorithmName="SHA-512" hashValue="IjjD9NoK8gwH3oA9JOqaniUDpzGw/v5Dob1if/d6XYacbPKzNoSv6lwvjR5xx4Vu12K9P3troKVszT56pmVCsA==" saltValue="/F2FB30b/iJwBbtJUTw2pQ==" spinCount="100000" sheet="1" objects="1" scenarios="1" selectLockedCells="1"/>
  <mergeCells count="11">
    <mergeCell ref="A130:I130"/>
    <mergeCell ref="B131:E131"/>
    <mergeCell ref="F131:I131"/>
    <mergeCell ref="B1:D1"/>
    <mergeCell ref="E1:G1"/>
    <mergeCell ref="F11:M11"/>
    <mergeCell ref="Q12:S12"/>
    <mergeCell ref="F25:I25"/>
    <mergeCell ref="B25:E25"/>
    <mergeCell ref="A24:I24"/>
    <mergeCell ref="A10:D1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O124"/>
  <sheetViews>
    <sheetView topLeftCell="B1" workbookViewId="0">
      <selection activeCell="E37" sqref="E37"/>
    </sheetView>
  </sheetViews>
  <sheetFormatPr defaultRowHeight="15" x14ac:dyDescent="0.25"/>
  <cols>
    <col min="1" max="1" width="68.7109375" style="18" bestFit="1" customWidth="1"/>
    <col min="2" max="2" width="23.140625" style="18" bestFit="1" customWidth="1"/>
    <col min="3" max="3" width="24" style="18" bestFit="1" customWidth="1"/>
    <col min="4" max="4" width="25" style="18" bestFit="1" customWidth="1"/>
    <col min="5" max="5" width="25.28515625" style="18" bestFit="1" customWidth="1"/>
    <col min="6" max="6" width="12" style="18" bestFit="1" customWidth="1"/>
    <col min="7" max="7" width="24" style="18" bestFit="1" customWidth="1"/>
    <col min="8" max="8" width="25" style="18" bestFit="1" customWidth="1"/>
    <col min="9" max="9" width="25.28515625" style="18" bestFit="1" customWidth="1"/>
    <col min="10" max="10" width="9.85546875" style="18" bestFit="1" customWidth="1"/>
    <col min="11" max="11" width="9.85546875" style="18" customWidth="1"/>
    <col min="12" max="16384" width="9.140625" style="18"/>
  </cols>
  <sheetData>
    <row r="1" spans="1:15" x14ac:dyDescent="0.25">
      <c r="A1" s="96" t="s">
        <v>744</v>
      </c>
      <c r="B1" s="96"/>
      <c r="C1" s="96"/>
      <c r="D1" s="96"/>
      <c r="E1" s="96"/>
      <c r="F1" s="613"/>
      <c r="G1" s="613"/>
      <c r="H1" s="613"/>
      <c r="I1" s="613"/>
      <c r="J1" s="96"/>
      <c r="K1" s="96"/>
      <c r="L1" s="96"/>
      <c r="M1" s="96"/>
      <c r="N1" s="96"/>
    </row>
    <row r="2" spans="1:15" x14ac:dyDescent="0.25">
      <c r="A2" s="96" t="s">
        <v>51</v>
      </c>
      <c r="B2" s="96" t="s">
        <v>50</v>
      </c>
      <c r="C2" s="96" t="s">
        <v>49</v>
      </c>
      <c r="D2" s="96" t="s">
        <v>24</v>
      </c>
      <c r="E2" s="96"/>
      <c r="F2" s="96"/>
      <c r="G2" s="96"/>
      <c r="H2" s="96"/>
      <c r="I2" s="96"/>
      <c r="J2" s="96"/>
      <c r="K2" s="96"/>
      <c r="L2" s="96"/>
      <c r="M2" s="96"/>
      <c r="N2" s="96"/>
    </row>
    <row r="3" spans="1:15" x14ac:dyDescent="0.25">
      <c r="A3" s="96">
        <v>0</v>
      </c>
      <c r="B3" s="67">
        <v>1</v>
      </c>
      <c r="C3" s="67">
        <v>0</v>
      </c>
      <c r="D3" s="67">
        <v>0</v>
      </c>
      <c r="E3" s="96"/>
      <c r="I3" s="96"/>
      <c r="J3" s="96"/>
      <c r="K3" s="96"/>
      <c r="L3" s="67"/>
      <c r="M3" s="67"/>
      <c r="N3" s="67"/>
    </row>
    <row r="4" spans="1:15" x14ac:dyDescent="0.25">
      <c r="A4" s="96">
        <v>16</v>
      </c>
      <c r="B4" s="67">
        <v>0.77</v>
      </c>
      <c r="C4" s="67">
        <v>0.04</v>
      </c>
      <c r="D4" s="67">
        <v>0.19</v>
      </c>
      <c r="E4" s="96"/>
      <c r="I4" s="66"/>
      <c r="J4" s="96"/>
      <c r="K4" s="96"/>
      <c r="L4" s="67"/>
      <c r="M4" s="67"/>
      <c r="N4" s="67"/>
    </row>
    <row r="5" spans="1:15" x14ac:dyDescent="0.25">
      <c r="A5" s="96">
        <v>20</v>
      </c>
      <c r="B5" s="67">
        <v>0.65</v>
      </c>
      <c r="C5" s="67">
        <v>7.0000000000000007E-2</v>
      </c>
      <c r="D5" s="67">
        <v>0.28000000000000003</v>
      </c>
      <c r="E5" s="96"/>
      <c r="I5" s="66"/>
      <c r="J5" s="96"/>
      <c r="K5" s="96"/>
      <c r="L5" s="67"/>
      <c r="M5" s="67"/>
      <c r="N5" s="67"/>
    </row>
    <row r="6" spans="1:15" x14ac:dyDescent="0.25">
      <c r="A6" s="96">
        <v>25</v>
      </c>
      <c r="B6" s="67">
        <v>0.61</v>
      </c>
      <c r="C6" s="67">
        <v>0.18</v>
      </c>
      <c r="D6" s="67">
        <v>0.21</v>
      </c>
      <c r="E6" s="96"/>
      <c r="I6" s="66"/>
      <c r="J6" s="96"/>
      <c r="K6" s="96"/>
      <c r="L6" s="67"/>
      <c r="M6" s="67"/>
      <c r="N6" s="67"/>
    </row>
    <row r="7" spans="1:15" x14ac:dyDescent="0.25">
      <c r="A7" s="96">
        <v>35</v>
      </c>
      <c r="B7" s="67">
        <v>0.55000000000000004</v>
      </c>
      <c r="C7" s="67">
        <v>0.22</v>
      </c>
      <c r="D7" s="67">
        <v>0.23</v>
      </c>
      <c r="E7" s="96"/>
      <c r="I7" s="66"/>
      <c r="J7" s="96"/>
      <c r="K7" s="96"/>
      <c r="L7" s="67"/>
      <c r="M7" s="67"/>
      <c r="N7" s="67"/>
    </row>
    <row r="8" spans="1:15" x14ac:dyDescent="0.25">
      <c r="A8" s="96">
        <v>50</v>
      </c>
      <c r="B8" s="67">
        <v>0.57999999999999996</v>
      </c>
      <c r="C8" s="67">
        <v>0.24</v>
      </c>
      <c r="D8" s="67">
        <v>0.18</v>
      </c>
      <c r="E8" s="96"/>
      <c r="I8" s="66"/>
      <c r="J8" s="96"/>
      <c r="K8" s="96"/>
      <c r="L8" s="67"/>
      <c r="M8" s="67"/>
      <c r="N8" s="67"/>
    </row>
    <row r="9" spans="1:15" x14ac:dyDescent="0.25">
      <c r="A9" s="96">
        <v>60</v>
      </c>
      <c r="B9" s="67">
        <v>0.57999999999999996</v>
      </c>
      <c r="C9" s="67">
        <v>0.3</v>
      </c>
      <c r="D9" s="67">
        <v>0.12</v>
      </c>
      <c r="E9" s="96"/>
      <c r="I9" s="66"/>
      <c r="J9" s="96"/>
      <c r="K9" s="96"/>
      <c r="L9" s="67"/>
      <c r="M9" s="67"/>
      <c r="N9" s="67"/>
    </row>
    <row r="10" spans="1:15" x14ac:dyDescent="0.25">
      <c r="A10" s="96"/>
      <c r="B10" s="67"/>
      <c r="C10" s="67"/>
      <c r="D10" s="67"/>
      <c r="E10" s="96"/>
      <c r="F10" s="64"/>
      <c r="G10" s="64"/>
      <c r="H10" s="65"/>
      <c r="I10" s="66"/>
      <c r="J10" s="96"/>
      <c r="K10" s="96"/>
      <c r="L10" s="67"/>
      <c r="M10" s="67"/>
      <c r="N10" s="67"/>
    </row>
    <row r="11" spans="1:15" x14ac:dyDescent="0.25">
      <c r="A11" s="96"/>
      <c r="B11" s="96" t="s">
        <v>14</v>
      </c>
      <c r="C11" s="96"/>
      <c r="D11" s="96" t="s">
        <v>25</v>
      </c>
      <c r="E11" s="96"/>
      <c r="F11" s="613"/>
      <c r="G11" s="613"/>
      <c r="H11" s="613"/>
      <c r="I11" s="613"/>
      <c r="J11" s="613"/>
      <c r="K11" s="613"/>
      <c r="L11" s="613"/>
      <c r="M11" s="613"/>
      <c r="N11" s="613"/>
    </row>
    <row r="12" spans="1:15" x14ac:dyDescent="0.25">
      <c r="A12" s="96" t="s">
        <v>745</v>
      </c>
      <c r="B12" s="96" t="s">
        <v>49</v>
      </c>
      <c r="C12" s="96" t="s">
        <v>24</v>
      </c>
      <c r="D12" s="96" t="s">
        <v>49</v>
      </c>
      <c r="E12" s="96" t="s">
        <v>24</v>
      </c>
      <c r="F12" s="64"/>
      <c r="G12" s="96"/>
      <c r="H12" s="96"/>
      <c r="I12" s="96"/>
      <c r="J12" s="96"/>
      <c r="K12" s="96"/>
      <c r="L12" s="96"/>
      <c r="M12" s="96"/>
      <c r="N12" s="96"/>
    </row>
    <row r="13" spans="1:15" x14ac:dyDescent="0.25">
      <c r="A13" s="96">
        <v>0</v>
      </c>
      <c r="B13" s="96">
        <v>1</v>
      </c>
      <c r="C13" s="96">
        <v>1</v>
      </c>
      <c r="D13" s="96">
        <v>1</v>
      </c>
      <c r="E13" s="96">
        <v>1</v>
      </c>
      <c r="F13" s="64"/>
      <c r="G13" s="208"/>
      <c r="H13" s="209"/>
      <c r="I13" s="208"/>
      <c r="J13" s="96"/>
      <c r="K13" s="96"/>
      <c r="L13" s="96"/>
      <c r="M13" s="96"/>
      <c r="N13" s="96"/>
      <c r="O13" s="96"/>
    </row>
    <row r="14" spans="1:15" x14ac:dyDescent="0.25">
      <c r="A14" s="96">
        <v>35</v>
      </c>
      <c r="B14" s="96">
        <f>Parameters!O298</f>
        <v>1.25</v>
      </c>
      <c r="C14" s="96">
        <f>Parameters!O292</f>
        <v>1.7499999999999998</v>
      </c>
      <c r="D14" s="96">
        <f ca="1">Parameters!P298</f>
        <v>1.0172825153271732</v>
      </c>
      <c r="E14" s="96">
        <f ca="1">Parameters!P292</f>
        <v>1.836583245731088</v>
      </c>
      <c r="F14" s="64"/>
      <c r="G14" s="208"/>
      <c r="H14" s="209"/>
      <c r="I14" s="208"/>
      <c r="J14" s="96"/>
      <c r="K14" s="96"/>
      <c r="L14" s="96"/>
      <c r="M14" s="96"/>
      <c r="N14" s="96"/>
      <c r="O14" s="96"/>
    </row>
    <row r="15" spans="1:15" x14ac:dyDescent="0.25">
      <c r="A15" s="96">
        <v>45</v>
      </c>
      <c r="B15" s="96">
        <f>Parameters!O299</f>
        <v>1.2250000000000001</v>
      </c>
      <c r="C15" s="96">
        <f>Parameters!O293</f>
        <v>2.0249999999999999</v>
      </c>
      <c r="D15" s="96">
        <f ca="1">Parameters!P299</f>
        <v>0.95499327398870426</v>
      </c>
      <c r="E15" s="96">
        <f ca="1">Parameters!P293</f>
        <v>2.1687851581177324</v>
      </c>
      <c r="F15" s="64"/>
      <c r="G15" s="208"/>
      <c r="H15" s="209"/>
      <c r="I15" s="208"/>
      <c r="J15" s="96"/>
      <c r="K15" s="96"/>
      <c r="L15" s="96"/>
      <c r="M15" s="96"/>
      <c r="N15" s="96"/>
      <c r="O15" s="96"/>
    </row>
    <row r="16" spans="1:15" x14ac:dyDescent="0.25">
      <c r="A16" s="96">
        <v>55</v>
      </c>
      <c r="B16" s="96">
        <f>Parameters!O300</f>
        <v>1.4105263157894736</v>
      </c>
      <c r="C16" s="96">
        <f>Parameters!O294</f>
        <v>2.1368421052631579</v>
      </c>
      <c r="D16" s="96">
        <f ca="1">Parameters!P300</f>
        <v>1.4186520166313972</v>
      </c>
      <c r="E16" s="96">
        <f ca="1">Parameters!P294</f>
        <v>2.3620569998065801</v>
      </c>
      <c r="F16" s="64"/>
      <c r="G16" s="208"/>
      <c r="H16" s="209"/>
      <c r="I16" s="208"/>
      <c r="J16" s="96"/>
      <c r="K16" s="96"/>
      <c r="L16" s="96"/>
      <c r="M16" s="96"/>
      <c r="N16" s="96"/>
      <c r="O16" s="96"/>
    </row>
    <row r="17" spans="1:15" x14ac:dyDescent="0.25">
      <c r="A17" s="96">
        <v>65</v>
      </c>
      <c r="B17" s="96">
        <f>Parameters!O301</f>
        <v>1.3333333333333335</v>
      </c>
      <c r="C17" s="96">
        <f>Parameters!O295</f>
        <v>1.9831223628691983</v>
      </c>
      <c r="D17" s="96">
        <f ca="1">Parameters!P301</f>
        <v>1.195469330881672</v>
      </c>
      <c r="E17" s="96">
        <f ca="1">Parameters!P295</f>
        <v>2.2495700528585751</v>
      </c>
      <c r="F17" s="64"/>
      <c r="G17" s="208"/>
      <c r="H17" s="209"/>
      <c r="I17" s="208"/>
      <c r="J17" s="96"/>
      <c r="K17" s="96"/>
      <c r="L17" s="96"/>
      <c r="M17" s="96"/>
      <c r="N17" s="96"/>
      <c r="O17" s="96"/>
    </row>
    <row r="18" spans="1:15" x14ac:dyDescent="0.25">
      <c r="A18" s="96">
        <v>75</v>
      </c>
      <c r="B18" s="96">
        <f>Parameters!O302</f>
        <v>1.1468842729970326</v>
      </c>
      <c r="C18" s="96">
        <f>Parameters!O296</f>
        <v>1.5727002967359049</v>
      </c>
      <c r="D18" s="96">
        <f ca="1">Parameters!P302</f>
        <v>1.2704579037187369</v>
      </c>
      <c r="E18" s="96">
        <f ca="1">Parameters!P296</f>
        <v>1.407927608019572</v>
      </c>
      <c r="F18" s="64"/>
      <c r="G18" s="208"/>
      <c r="H18" s="209"/>
      <c r="I18" s="208"/>
      <c r="J18" s="96"/>
      <c r="K18" s="96"/>
      <c r="L18" s="96"/>
      <c r="M18" s="96"/>
      <c r="N18" s="96"/>
      <c r="O18" s="96"/>
    </row>
    <row r="19" spans="1:15" x14ac:dyDescent="0.25">
      <c r="A19" s="96">
        <v>85</v>
      </c>
      <c r="B19" s="96">
        <f>Parameters!O303</f>
        <v>1.0658362989323844</v>
      </c>
      <c r="C19" s="96">
        <f>Parameters!O297</f>
        <v>1.2971530249110319</v>
      </c>
      <c r="D19" s="96">
        <f ca="1">Parameters!P303</f>
        <v>1.3011984299779871</v>
      </c>
      <c r="E19" s="96">
        <f ca="1">Parameters!P297</f>
        <v>1.4571806570423305</v>
      </c>
      <c r="F19" s="64"/>
      <c r="G19" s="208"/>
      <c r="H19" s="209"/>
      <c r="I19" s="208"/>
      <c r="J19" s="96"/>
      <c r="K19" s="96"/>
      <c r="L19" s="96"/>
      <c r="M19" s="96"/>
      <c r="N19" s="96"/>
      <c r="O19" s="96"/>
    </row>
    <row r="20" spans="1:15" ht="15.75" thickBot="1" x14ac:dyDescent="0.3">
      <c r="F20" s="64"/>
      <c r="G20" s="208"/>
      <c r="H20" s="209"/>
      <c r="I20" s="208"/>
      <c r="J20" s="96"/>
      <c r="K20" s="96"/>
      <c r="L20" s="96"/>
      <c r="M20" s="96"/>
      <c r="N20" s="96"/>
      <c r="O20" s="96"/>
    </row>
    <row r="21" spans="1:15" x14ac:dyDescent="0.25">
      <c r="A21" s="16" t="s">
        <v>52</v>
      </c>
      <c r="B21" s="553" t="s">
        <v>14</v>
      </c>
      <c r="C21" s="553"/>
      <c r="D21" s="553"/>
      <c r="E21" s="554"/>
      <c r="F21" s="616" t="s">
        <v>25</v>
      </c>
      <c r="G21" s="617"/>
      <c r="H21" s="617"/>
      <c r="I21" s="617"/>
      <c r="J21" s="96"/>
      <c r="K21" s="96"/>
      <c r="L21" s="96"/>
      <c r="M21" s="96"/>
      <c r="N21" s="96"/>
      <c r="O21" s="96"/>
    </row>
    <row r="22" spans="1:15" x14ac:dyDescent="0.25">
      <c r="A22" s="8" t="s">
        <v>46</v>
      </c>
      <c r="B22" s="9" t="s">
        <v>731</v>
      </c>
      <c r="C22" s="9" t="s">
        <v>77</v>
      </c>
      <c r="D22" s="9" t="s">
        <v>75</v>
      </c>
      <c r="E22" s="10" t="s">
        <v>76</v>
      </c>
      <c r="F22" s="96" t="s">
        <v>731</v>
      </c>
      <c r="G22" s="96" t="s">
        <v>77</v>
      </c>
      <c r="H22" s="96" t="s">
        <v>75</v>
      </c>
      <c r="I22" s="10" t="s">
        <v>76</v>
      </c>
      <c r="J22" s="96"/>
      <c r="K22" s="96" t="s">
        <v>19</v>
      </c>
      <c r="L22" s="38" t="s">
        <v>108</v>
      </c>
      <c r="M22" s="38" t="s">
        <v>22</v>
      </c>
      <c r="N22" s="38" t="s">
        <v>23</v>
      </c>
      <c r="O22" s="96"/>
    </row>
    <row r="23" spans="1:15" x14ac:dyDescent="0.25">
      <c r="A23" s="8">
        <v>0</v>
      </c>
      <c r="B23" s="9"/>
      <c r="C23" s="9">
        <f t="shared" ref="C23:C54" si="0">B23/((VLOOKUP($A23,$A$3:$E$9,2)*1)+(VLOOKUP($A23,$A$3:$E$9,3)*VLOOKUP($A23,$A$13:$E$19,2))+(VLOOKUP($A23,$A$3:$E$9,4)*VLOOKUP($A23,$A$13:$E$19,3)))</f>
        <v>0</v>
      </c>
      <c r="D23" s="9">
        <f>C23*VLOOKUP($A23,$A$13:$E$19,2)</f>
        <v>0</v>
      </c>
      <c r="E23" s="10">
        <f>C23*VLOOKUP($A23,$A$13:$E$19,3)</f>
        <v>0</v>
      </c>
      <c r="F23" s="63" t="e">
        <f ca="1">_xlfn.BETA.INV(RAND(),M23,N23)</f>
        <v>#DIV/0!</v>
      </c>
      <c r="G23" s="96" t="e">
        <f ca="1">F23/((VLOOKUP($A23,$A$3:$E$9,2)*1)+(VLOOKUP($A23,$A$3:$E$9,3)*VLOOKUP($A23,$A$13:$E$19,4))+(VLOOKUP($A23,$A$3:$E$9,4)*VLOOKUP($A23,$A$13:$E$19,5)))</f>
        <v>#DIV/0!</v>
      </c>
      <c r="H23" s="96" t="e">
        <f ca="1">G23*VLOOKUP($A23,$A$13:$E$19,4)</f>
        <v>#DIV/0!</v>
      </c>
      <c r="I23" s="10" t="e">
        <f ca="1">G23*VLOOKUP($A23,$A$13:$E$19,5)</f>
        <v>#DIV/0!</v>
      </c>
      <c r="J23" s="96"/>
      <c r="K23" s="96">
        <f t="shared" ref="K23:K54" si="1">0.1*B23</f>
        <v>0</v>
      </c>
      <c r="L23" s="96" t="e">
        <f t="shared" ref="L23:L54" si="2">((B23*(1-B23))/(K23^2))-1</f>
        <v>#DIV/0!</v>
      </c>
      <c r="M23" s="96" t="e">
        <f t="shared" ref="M23:M54" si="3">B23*L23</f>
        <v>#DIV/0!</v>
      </c>
      <c r="N23" s="96" t="e">
        <f t="shared" ref="N23:N54" si="4">M23*((1-B23)/B23)</f>
        <v>#DIV/0!</v>
      </c>
      <c r="O23" s="96"/>
    </row>
    <row r="24" spans="1:15" x14ac:dyDescent="0.25">
      <c r="A24" s="8">
        <v>1</v>
      </c>
      <c r="B24" s="9">
        <f>VLOOKUP((Year_of_pregnancy-Age_of_mother),'ONS mortality stats'!$A$88:$CX$169,A23+2,TRUE)/ONS_mortality_rate_per_value</f>
        <v>7.9089E-3</v>
      </c>
      <c r="C24" s="96">
        <f t="shared" si="0"/>
        <v>7.9089E-3</v>
      </c>
      <c r="D24" s="96">
        <f t="shared" ref="D24:D87" si="5">C24*VLOOKUP($A24,$A$13:$E$19,2)</f>
        <v>7.9089E-3</v>
      </c>
      <c r="E24" s="10">
        <f t="shared" ref="E24:E87" si="6">C24*VLOOKUP($A24,$A$13:$E$19,3)</f>
        <v>7.9089E-3</v>
      </c>
      <c r="F24" s="63">
        <f t="shared" ref="F24:F87" ca="1" si="7">_xlfn.BETA.INV(RAND(),M24,N24)</f>
        <v>7.7932847049638019E-3</v>
      </c>
      <c r="G24" s="96">
        <f t="shared" ref="G24:G87" ca="1" si="8">F24/((VLOOKUP($A24,$A$3:$E$9,2)*1)+(VLOOKUP($A24,$A$3:$E$9,3)*VLOOKUP($A24,$A$13:$E$19,4))+(VLOOKUP($A24,$A$3:$E$9,4)*VLOOKUP($A24,$A$13:$E$19,5)))</f>
        <v>7.7932847049638019E-3</v>
      </c>
      <c r="H24" s="96">
        <f t="shared" ref="H24:H87" ca="1" si="9">G24*VLOOKUP($A24,$A$13:$E$19,4)</f>
        <v>7.7932847049638019E-3</v>
      </c>
      <c r="I24" s="10">
        <f t="shared" ref="I24:I87" ca="1" si="10">G24*VLOOKUP($A24,$A$13:$E$19,5)</f>
        <v>7.7932847049638019E-3</v>
      </c>
      <c r="J24" s="96"/>
      <c r="K24" s="96">
        <f t="shared" si="1"/>
        <v>7.9089000000000004E-4</v>
      </c>
      <c r="L24" s="96">
        <f t="shared" si="2"/>
        <v>12542.983360517897</v>
      </c>
      <c r="M24" s="96">
        <f t="shared" si="3"/>
        <v>99.201201099999992</v>
      </c>
      <c r="N24" s="96">
        <f t="shared" si="4"/>
        <v>12443.782159417897</v>
      </c>
    </row>
    <row r="25" spans="1:15" x14ac:dyDescent="0.25">
      <c r="A25" s="8">
        <v>2</v>
      </c>
      <c r="B25" s="96">
        <f>VLOOKUP((Year_of_pregnancy-Age_of_mother),'ONS mortality stats'!$A$88:$CX$169,A24+2,TRUE)/ONS_mortality_rate_per_value</f>
        <v>5.7049999999999994E-4</v>
      </c>
      <c r="C25" s="96">
        <f t="shared" si="0"/>
        <v>5.7049999999999994E-4</v>
      </c>
      <c r="D25" s="96">
        <f t="shared" si="5"/>
        <v>5.7049999999999994E-4</v>
      </c>
      <c r="E25" s="10">
        <f t="shared" si="6"/>
        <v>5.7049999999999994E-4</v>
      </c>
      <c r="F25" s="63">
        <f ca="1">_xlfn.BETA.INV(RAND(),M25,N25)</f>
        <v>5.4582769611687934E-4</v>
      </c>
      <c r="G25" s="96">
        <f t="shared" ca="1" si="8"/>
        <v>5.4582769611687934E-4</v>
      </c>
      <c r="H25" s="96">
        <f t="shared" ca="1" si="9"/>
        <v>5.4582769611687934E-4</v>
      </c>
      <c r="I25" s="10">
        <f t="shared" ca="1" si="10"/>
        <v>5.4582769611687934E-4</v>
      </c>
      <c r="J25" s="96"/>
      <c r="K25" s="96">
        <f t="shared" si="1"/>
        <v>5.7049999999999998E-5</v>
      </c>
      <c r="L25" s="96">
        <f t="shared" si="2"/>
        <v>175183.83786152495</v>
      </c>
      <c r="M25" s="96">
        <f t="shared" si="3"/>
        <v>99.942379499999973</v>
      </c>
      <c r="N25" s="96">
        <f t="shared" si="4"/>
        <v>175083.89548202493</v>
      </c>
    </row>
    <row r="26" spans="1:15" x14ac:dyDescent="0.25">
      <c r="A26" s="8">
        <v>3</v>
      </c>
      <c r="B26" s="96">
        <f>VLOOKUP((Year_of_pregnancy-Age_of_mother),'ONS mortality stats'!$A$88:$CX$169,A25+2,TRUE)/ONS_mortality_rate_per_value</f>
        <v>3.5939999999999995E-4</v>
      </c>
      <c r="C26" s="96">
        <f t="shared" si="0"/>
        <v>3.5939999999999995E-4</v>
      </c>
      <c r="D26" s="96">
        <f t="shared" si="5"/>
        <v>3.5939999999999995E-4</v>
      </c>
      <c r="E26" s="10">
        <f t="shared" si="6"/>
        <v>3.5939999999999995E-4</v>
      </c>
      <c r="F26" s="63">
        <f t="shared" ca="1" si="7"/>
        <v>3.7478865550588658E-4</v>
      </c>
      <c r="G26" s="96">
        <f t="shared" ca="1" si="8"/>
        <v>3.7478865550588658E-4</v>
      </c>
      <c r="H26" s="96">
        <f t="shared" ca="1" si="9"/>
        <v>3.7478865550588658E-4</v>
      </c>
      <c r="I26" s="10">
        <f t="shared" ca="1" si="10"/>
        <v>3.7478865550588658E-4</v>
      </c>
      <c r="J26" s="96"/>
      <c r="K26" s="96">
        <f t="shared" si="1"/>
        <v>3.5939999999999998E-5</v>
      </c>
      <c r="L26" s="96">
        <f t="shared" si="2"/>
        <v>278140.51363383414</v>
      </c>
      <c r="M26" s="96">
        <f t="shared" si="3"/>
        <v>99.963700599999981</v>
      </c>
      <c r="N26" s="96">
        <f t="shared" si="4"/>
        <v>278040.54993323417</v>
      </c>
    </row>
    <row r="27" spans="1:15" x14ac:dyDescent="0.25">
      <c r="A27" s="8">
        <v>4</v>
      </c>
      <c r="B27" s="96">
        <f>VLOOKUP((Year_of_pregnancy-Age_of_mother),'ONS mortality stats'!$A$88:$CX$169,A26+2,TRUE)/ONS_mortality_rate_per_value</f>
        <v>2.6420000000000003E-4</v>
      </c>
      <c r="C27" s="96">
        <f t="shared" si="0"/>
        <v>2.6420000000000003E-4</v>
      </c>
      <c r="D27" s="96">
        <f t="shared" si="5"/>
        <v>2.6420000000000003E-4</v>
      </c>
      <c r="E27" s="10">
        <f t="shared" si="6"/>
        <v>2.6420000000000003E-4</v>
      </c>
      <c r="F27" s="63">
        <f t="shared" ca="1" si="7"/>
        <v>2.8698732553600337E-4</v>
      </c>
      <c r="G27" s="96">
        <f t="shared" ca="1" si="8"/>
        <v>2.8698732553600337E-4</v>
      </c>
      <c r="H27" s="96">
        <f t="shared" ca="1" si="9"/>
        <v>2.8698732553600337E-4</v>
      </c>
      <c r="I27" s="10">
        <f t="shared" ca="1" si="10"/>
        <v>2.8698732553600337E-4</v>
      </c>
      <c r="J27" s="96"/>
      <c r="K27" s="96">
        <f t="shared" si="1"/>
        <v>2.6420000000000005E-5</v>
      </c>
      <c r="L27" s="96">
        <f t="shared" si="2"/>
        <v>378400.13550340646</v>
      </c>
      <c r="M27" s="96">
        <f t="shared" si="3"/>
        <v>99.973315799999995</v>
      </c>
      <c r="N27" s="96">
        <f t="shared" si="4"/>
        <v>378300.16218760645</v>
      </c>
    </row>
    <row r="28" spans="1:15" x14ac:dyDescent="0.25">
      <c r="A28" s="8">
        <v>5</v>
      </c>
      <c r="B28" s="96">
        <f>VLOOKUP((Year_of_pregnancy-Age_of_mother),'ONS mortality stats'!$A$88:$CX$169,A27+2,TRUE)/ONS_mortality_rate_per_value</f>
        <v>2.1249999999999999E-4</v>
      </c>
      <c r="C28" s="96">
        <f t="shared" si="0"/>
        <v>2.1249999999999999E-4</v>
      </c>
      <c r="D28" s="96">
        <f t="shared" si="5"/>
        <v>2.1249999999999999E-4</v>
      </c>
      <c r="E28" s="10">
        <f t="shared" si="6"/>
        <v>2.1249999999999999E-4</v>
      </c>
      <c r="F28" s="63">
        <f t="shared" ca="1" si="7"/>
        <v>2.1207783360221999E-4</v>
      </c>
      <c r="G28" s="96">
        <f t="shared" ca="1" si="8"/>
        <v>2.1207783360221999E-4</v>
      </c>
      <c r="H28" s="96">
        <f t="shared" ca="1" si="9"/>
        <v>2.1207783360221999E-4</v>
      </c>
      <c r="I28" s="10">
        <f t="shared" ca="1" si="10"/>
        <v>2.1207783360221999E-4</v>
      </c>
      <c r="J28" s="96"/>
      <c r="K28" s="96">
        <f t="shared" si="1"/>
        <v>2.1250000000000002E-5</v>
      </c>
      <c r="L28" s="96">
        <f t="shared" si="2"/>
        <v>470487.23529411759</v>
      </c>
      <c r="M28" s="96">
        <f t="shared" si="3"/>
        <v>99.978537499999987</v>
      </c>
      <c r="N28" s="96">
        <f t="shared" si="4"/>
        <v>470387.25675661757</v>
      </c>
    </row>
    <row r="29" spans="1:15" x14ac:dyDescent="0.25">
      <c r="A29" s="8">
        <v>6</v>
      </c>
      <c r="B29" s="96">
        <f>VLOOKUP((Year_of_pregnancy-Age_of_mother),'ONS mortality stats'!$A$88:$CX$169,A28+2,TRUE)/ONS_mortality_rate_per_value</f>
        <v>1.2650000000000001E-4</v>
      </c>
      <c r="C29" s="96">
        <f t="shared" si="0"/>
        <v>1.2650000000000001E-4</v>
      </c>
      <c r="D29" s="96">
        <f t="shared" si="5"/>
        <v>1.2650000000000001E-4</v>
      </c>
      <c r="E29" s="10">
        <f t="shared" si="6"/>
        <v>1.2650000000000001E-4</v>
      </c>
      <c r="F29" s="63">
        <f t="shared" ca="1" si="7"/>
        <v>1.1042146985035438E-4</v>
      </c>
      <c r="G29" s="96">
        <f t="shared" ca="1" si="8"/>
        <v>1.1042146985035438E-4</v>
      </c>
      <c r="H29" s="96">
        <f t="shared" ca="1" si="9"/>
        <v>1.1042146985035438E-4</v>
      </c>
      <c r="I29" s="10">
        <f t="shared" ca="1" si="10"/>
        <v>1.1042146985035438E-4</v>
      </c>
      <c r="J29" s="96"/>
      <c r="K29" s="96">
        <f t="shared" si="1"/>
        <v>1.2650000000000003E-5</v>
      </c>
      <c r="L29" s="96">
        <f t="shared" si="2"/>
        <v>790412.83399209473</v>
      </c>
      <c r="M29" s="96">
        <f t="shared" si="3"/>
        <v>99.987223499999999</v>
      </c>
      <c r="N29" s="96">
        <f t="shared" si="4"/>
        <v>790312.84676859481</v>
      </c>
    </row>
    <row r="30" spans="1:15" x14ac:dyDescent="0.25">
      <c r="A30" s="8">
        <v>7</v>
      </c>
      <c r="B30" s="96">
        <f>VLOOKUP((Year_of_pregnancy-Age_of_mother),'ONS mortality stats'!$A$88:$CX$169,A29+2,TRUE)/ONS_mortality_rate_per_value</f>
        <v>1.4800000000000002E-4</v>
      </c>
      <c r="C30" s="96">
        <f t="shared" si="0"/>
        <v>1.4800000000000002E-4</v>
      </c>
      <c r="D30" s="96">
        <f t="shared" si="5"/>
        <v>1.4800000000000002E-4</v>
      </c>
      <c r="E30" s="10">
        <f t="shared" si="6"/>
        <v>1.4800000000000002E-4</v>
      </c>
      <c r="F30" s="63">
        <f t="shared" ca="1" si="7"/>
        <v>1.592105186064563E-4</v>
      </c>
      <c r="G30" s="96">
        <f t="shared" ca="1" si="8"/>
        <v>1.592105186064563E-4</v>
      </c>
      <c r="H30" s="96">
        <f t="shared" ca="1" si="9"/>
        <v>1.592105186064563E-4</v>
      </c>
      <c r="I30" s="10">
        <f t="shared" ca="1" si="10"/>
        <v>1.592105186064563E-4</v>
      </c>
      <c r="J30" s="96"/>
      <c r="K30" s="96">
        <f t="shared" si="1"/>
        <v>1.4800000000000002E-5</v>
      </c>
      <c r="L30" s="96">
        <f t="shared" si="2"/>
        <v>675574.67567567551</v>
      </c>
      <c r="M30" s="96">
        <f t="shared" si="3"/>
        <v>99.985051999999982</v>
      </c>
      <c r="N30" s="96">
        <f t="shared" si="4"/>
        <v>675474.69062367547</v>
      </c>
    </row>
    <row r="31" spans="1:15" x14ac:dyDescent="0.25">
      <c r="A31" s="8">
        <v>8</v>
      </c>
      <c r="B31" s="96">
        <f>VLOOKUP((Year_of_pregnancy-Age_of_mother),'ONS mortality stats'!$A$88:$CX$169,A30+2,TRUE)/ONS_mortality_rate_per_value</f>
        <v>9.4099999999999997E-5</v>
      </c>
      <c r="C31" s="96">
        <f t="shared" si="0"/>
        <v>9.4099999999999997E-5</v>
      </c>
      <c r="D31" s="96">
        <f t="shared" si="5"/>
        <v>9.4099999999999997E-5</v>
      </c>
      <c r="E31" s="10">
        <f t="shared" si="6"/>
        <v>9.4099999999999997E-5</v>
      </c>
      <c r="F31" s="63">
        <f t="shared" ca="1" si="7"/>
        <v>7.7536600777708205E-5</v>
      </c>
      <c r="G31" s="96">
        <f t="shared" ca="1" si="8"/>
        <v>7.7536600777708205E-5</v>
      </c>
      <c r="H31" s="96">
        <f t="shared" ca="1" si="9"/>
        <v>7.7536600777708205E-5</v>
      </c>
      <c r="I31" s="10">
        <f t="shared" ca="1" si="10"/>
        <v>7.7536600777708205E-5</v>
      </c>
      <c r="J31" s="96"/>
      <c r="K31" s="96">
        <f t="shared" si="1"/>
        <v>9.4099999999999997E-6</v>
      </c>
      <c r="L31" s="96">
        <f t="shared" si="2"/>
        <v>1062598.2561105208</v>
      </c>
      <c r="M31" s="96">
        <f t="shared" si="3"/>
        <v>99.990495899999999</v>
      </c>
      <c r="N31" s="96">
        <f t="shared" si="4"/>
        <v>1062498.2656146206</v>
      </c>
    </row>
    <row r="32" spans="1:15" x14ac:dyDescent="0.25">
      <c r="A32" s="8">
        <v>9</v>
      </c>
      <c r="B32" s="96">
        <f>VLOOKUP((Year_of_pregnancy-Age_of_mother),'ONS mortality stats'!$A$88:$CX$169,A31+2,TRUE)/ONS_mortality_rate_per_value</f>
        <v>9.130000000000001E-5</v>
      </c>
      <c r="C32" s="96">
        <f t="shared" si="0"/>
        <v>9.130000000000001E-5</v>
      </c>
      <c r="D32" s="96">
        <f t="shared" si="5"/>
        <v>9.130000000000001E-5</v>
      </c>
      <c r="E32" s="10">
        <f t="shared" si="6"/>
        <v>9.130000000000001E-5</v>
      </c>
      <c r="F32" s="63">
        <f t="shared" ca="1" si="7"/>
        <v>9.6534872460973808E-5</v>
      </c>
      <c r="G32" s="96">
        <f t="shared" ca="1" si="8"/>
        <v>9.6534872460973808E-5</v>
      </c>
      <c r="H32" s="96">
        <f t="shared" ca="1" si="9"/>
        <v>9.6534872460973808E-5</v>
      </c>
      <c r="I32" s="10">
        <f t="shared" ca="1" si="10"/>
        <v>9.6534872460973808E-5</v>
      </c>
      <c r="J32" s="96"/>
      <c r="K32" s="96">
        <f t="shared" si="1"/>
        <v>9.1300000000000007E-6</v>
      </c>
      <c r="L32" s="96">
        <f t="shared" si="2"/>
        <v>1095189.2519167578</v>
      </c>
      <c r="M32" s="96">
        <f t="shared" si="3"/>
        <v>99.990778699999993</v>
      </c>
      <c r="N32" s="96">
        <f t="shared" si="4"/>
        <v>1095089.2611380576</v>
      </c>
    </row>
    <row r="33" spans="1:14" x14ac:dyDescent="0.25">
      <c r="A33" s="8">
        <v>10</v>
      </c>
      <c r="B33" s="96">
        <f>VLOOKUP((Year_of_pregnancy-Age_of_mother),'ONS mortality stats'!$A$88:$CX$169,A32+2,TRUE)/ONS_mortality_rate_per_value</f>
        <v>1.208E-4</v>
      </c>
      <c r="C33" s="96">
        <f t="shared" si="0"/>
        <v>1.208E-4</v>
      </c>
      <c r="D33" s="96">
        <f t="shared" si="5"/>
        <v>1.208E-4</v>
      </c>
      <c r="E33" s="10">
        <f t="shared" si="6"/>
        <v>1.208E-4</v>
      </c>
      <c r="F33" s="63">
        <f t="shared" ca="1" si="7"/>
        <v>1.4862556846351183E-4</v>
      </c>
      <c r="G33" s="96">
        <f t="shared" ca="1" si="8"/>
        <v>1.4862556846351183E-4</v>
      </c>
      <c r="H33" s="96">
        <f t="shared" ca="1" si="9"/>
        <v>1.4862556846351183E-4</v>
      </c>
      <c r="I33" s="10">
        <f t="shared" ca="1" si="10"/>
        <v>1.4862556846351183E-4</v>
      </c>
      <c r="J33" s="96"/>
      <c r="K33" s="96">
        <f t="shared" si="1"/>
        <v>1.208E-5</v>
      </c>
      <c r="L33" s="96">
        <f t="shared" si="2"/>
        <v>827713.56953642389</v>
      </c>
      <c r="M33" s="96">
        <f t="shared" si="3"/>
        <v>99.987799199999998</v>
      </c>
      <c r="N33" s="96">
        <f t="shared" si="4"/>
        <v>827613.5817372239</v>
      </c>
    </row>
    <row r="34" spans="1:14" x14ac:dyDescent="0.25">
      <c r="A34" s="8">
        <v>11</v>
      </c>
      <c r="B34" s="96">
        <f>VLOOKUP((Year_of_pregnancy-Age_of_mother),'ONS mortality stats'!$A$88:$CX$169,A33+2,TRUE)/ONS_mortality_rate_per_value</f>
        <v>1.3689999999999999E-4</v>
      </c>
      <c r="C34" s="96">
        <f t="shared" si="0"/>
        <v>1.3689999999999999E-4</v>
      </c>
      <c r="D34" s="96">
        <f t="shared" si="5"/>
        <v>1.3689999999999999E-4</v>
      </c>
      <c r="E34" s="10">
        <f t="shared" si="6"/>
        <v>1.3689999999999999E-4</v>
      </c>
      <c r="F34" s="63">
        <f t="shared" ca="1" si="7"/>
        <v>1.4912159274449444E-4</v>
      </c>
      <c r="G34" s="96">
        <f t="shared" ca="1" si="8"/>
        <v>1.4912159274449444E-4</v>
      </c>
      <c r="H34" s="96">
        <f t="shared" ca="1" si="9"/>
        <v>1.4912159274449444E-4</v>
      </c>
      <c r="I34" s="10">
        <f t="shared" ca="1" si="10"/>
        <v>1.4912159274449444E-4</v>
      </c>
      <c r="J34" s="96"/>
      <c r="K34" s="96">
        <f t="shared" si="1"/>
        <v>1.3689999999999999E-5</v>
      </c>
      <c r="L34" s="96">
        <f t="shared" si="2"/>
        <v>730359.18991964939</v>
      </c>
      <c r="M34" s="96">
        <f t="shared" si="3"/>
        <v>99.986173100000002</v>
      </c>
      <c r="N34" s="96">
        <f t="shared" si="4"/>
        <v>730259.20374654944</v>
      </c>
    </row>
    <row r="35" spans="1:14" x14ac:dyDescent="0.25">
      <c r="A35" s="8">
        <v>12</v>
      </c>
      <c r="B35" s="96">
        <f>VLOOKUP((Year_of_pregnancy-Age_of_mother),'ONS mortality stats'!$A$88:$CX$169,A34+2,TRUE)/ONS_mortality_rate_per_value</f>
        <v>1.2869999999999998E-4</v>
      </c>
      <c r="C35" s="96">
        <f t="shared" si="0"/>
        <v>1.2869999999999998E-4</v>
      </c>
      <c r="D35" s="96">
        <f t="shared" si="5"/>
        <v>1.2869999999999998E-4</v>
      </c>
      <c r="E35" s="10">
        <f t="shared" si="6"/>
        <v>1.2869999999999998E-4</v>
      </c>
      <c r="F35" s="63">
        <f t="shared" ca="1" si="7"/>
        <v>1.0781589427579855E-4</v>
      </c>
      <c r="G35" s="96">
        <f t="shared" ca="1" si="8"/>
        <v>1.0781589427579855E-4</v>
      </c>
      <c r="H35" s="96">
        <f t="shared" ca="1" si="9"/>
        <v>1.0781589427579855E-4</v>
      </c>
      <c r="I35" s="10">
        <f t="shared" ca="1" si="10"/>
        <v>1.0781589427579855E-4</v>
      </c>
      <c r="J35" s="96"/>
      <c r="K35" s="96">
        <f t="shared" si="1"/>
        <v>1.2869999999999999E-5</v>
      </c>
      <c r="L35" s="96">
        <f t="shared" si="2"/>
        <v>776899.77700077707</v>
      </c>
      <c r="M35" s="96">
        <f t="shared" si="3"/>
        <v>99.987001300000003</v>
      </c>
      <c r="N35" s="96">
        <f t="shared" si="4"/>
        <v>776799.7899994771</v>
      </c>
    </row>
    <row r="36" spans="1:14" x14ac:dyDescent="0.25">
      <c r="A36" s="8">
        <v>13</v>
      </c>
      <c r="B36" s="96">
        <f>VLOOKUP((Year_of_pregnancy-Age_of_mother),'ONS mortality stats'!$A$88:$CX$169,A35+2,TRUE)/ONS_mortality_rate_per_value</f>
        <v>1.338E-4</v>
      </c>
      <c r="C36" s="96">
        <f t="shared" si="0"/>
        <v>1.338E-4</v>
      </c>
      <c r="D36" s="96">
        <f t="shared" si="5"/>
        <v>1.338E-4</v>
      </c>
      <c r="E36" s="10">
        <f t="shared" si="6"/>
        <v>1.338E-4</v>
      </c>
      <c r="F36" s="63">
        <f t="shared" ca="1" si="7"/>
        <v>1.3178068098124087E-4</v>
      </c>
      <c r="G36" s="96">
        <f t="shared" ca="1" si="8"/>
        <v>1.3178068098124087E-4</v>
      </c>
      <c r="H36" s="96">
        <f t="shared" ca="1" si="9"/>
        <v>1.3178068098124087E-4</v>
      </c>
      <c r="I36" s="10">
        <f t="shared" ca="1" si="10"/>
        <v>1.3178068098124087E-4</v>
      </c>
      <c r="J36" s="96"/>
      <c r="K36" s="96">
        <f t="shared" si="1"/>
        <v>1.3380000000000001E-5</v>
      </c>
      <c r="L36" s="96">
        <f t="shared" si="2"/>
        <v>747283.1554559042</v>
      </c>
      <c r="M36" s="96">
        <f t="shared" si="3"/>
        <v>99.986486199999987</v>
      </c>
      <c r="N36" s="96">
        <f t="shared" si="4"/>
        <v>747183.16896970419</v>
      </c>
    </row>
    <row r="37" spans="1:14" x14ac:dyDescent="0.25">
      <c r="A37" s="8">
        <v>14</v>
      </c>
      <c r="B37" s="96">
        <f>VLOOKUP((Year_of_pregnancy-Age_of_mother),'ONS mortality stats'!$A$88:$CX$169,A36+2,TRUE)/ONS_mortality_rate_per_value</f>
        <v>1.177E-4</v>
      </c>
      <c r="C37" s="96">
        <f t="shared" si="0"/>
        <v>1.177E-4</v>
      </c>
      <c r="D37" s="96">
        <f t="shared" si="5"/>
        <v>1.177E-4</v>
      </c>
      <c r="E37" s="10">
        <f t="shared" si="6"/>
        <v>1.177E-4</v>
      </c>
      <c r="F37" s="63">
        <f t="shared" ca="1" si="7"/>
        <v>1.0809996525122539E-4</v>
      </c>
      <c r="G37" s="96">
        <f t="shared" ca="1" si="8"/>
        <v>1.0809996525122539E-4</v>
      </c>
      <c r="H37" s="96">
        <f t="shared" ca="1" si="9"/>
        <v>1.0809996525122539E-4</v>
      </c>
      <c r="I37" s="10">
        <f t="shared" ca="1" si="10"/>
        <v>1.0809996525122539E-4</v>
      </c>
      <c r="J37" s="96"/>
      <c r="K37" s="96">
        <f t="shared" si="1"/>
        <v>1.1770000000000001E-5</v>
      </c>
      <c r="L37" s="96">
        <f t="shared" si="2"/>
        <v>849516.67204757838</v>
      </c>
      <c r="M37" s="96">
        <f t="shared" si="3"/>
        <v>99.988112299999983</v>
      </c>
      <c r="N37" s="96">
        <f t="shared" si="4"/>
        <v>849416.68393527833</v>
      </c>
    </row>
    <row r="38" spans="1:14" x14ac:dyDescent="0.25">
      <c r="A38" s="8">
        <v>15</v>
      </c>
      <c r="B38" s="96">
        <f>VLOOKUP((Year_of_pregnancy-Age_of_mother),'ONS mortality stats'!$A$88:$CX$169,A37+2,TRUE)/ONS_mortality_rate_per_value</f>
        <v>1.2310000000000001E-4</v>
      </c>
      <c r="C38" s="96">
        <f t="shared" si="0"/>
        <v>1.2310000000000001E-4</v>
      </c>
      <c r="D38" s="96">
        <f t="shared" si="5"/>
        <v>1.2310000000000001E-4</v>
      </c>
      <c r="E38" s="10">
        <f t="shared" si="6"/>
        <v>1.2310000000000001E-4</v>
      </c>
      <c r="F38" s="63">
        <f t="shared" ca="1" si="7"/>
        <v>1.2202189169075998E-4</v>
      </c>
      <c r="G38" s="96">
        <f t="shared" ca="1" si="8"/>
        <v>1.2202189169075998E-4</v>
      </c>
      <c r="H38" s="96">
        <f t="shared" ca="1" si="9"/>
        <v>1.2202189169075998E-4</v>
      </c>
      <c r="I38" s="10">
        <f t="shared" ca="1" si="10"/>
        <v>1.2202189169075998E-4</v>
      </c>
      <c r="J38" s="96"/>
      <c r="K38" s="96">
        <f t="shared" si="1"/>
        <v>1.2310000000000002E-5</v>
      </c>
      <c r="L38" s="96">
        <f t="shared" si="2"/>
        <v>812246.68480909802</v>
      </c>
      <c r="M38" s="96">
        <f t="shared" si="3"/>
        <v>99.987566899999976</v>
      </c>
      <c r="N38" s="96">
        <f t="shared" si="4"/>
        <v>812146.69724219793</v>
      </c>
    </row>
    <row r="39" spans="1:14" x14ac:dyDescent="0.25">
      <c r="A39" s="8">
        <v>16</v>
      </c>
      <c r="B39" s="96">
        <f>VLOOKUP((Year_of_pregnancy-Age_of_mother),'ONS mortality stats'!$A$88:$CX$169,A38+2,TRUE)/ONS_mortality_rate_per_value</f>
        <v>1.4439999999999999E-4</v>
      </c>
      <c r="C39" s="96">
        <f t="shared" si="0"/>
        <v>1.4439999999999999E-4</v>
      </c>
      <c r="D39" s="96">
        <f t="shared" si="5"/>
        <v>1.4439999999999999E-4</v>
      </c>
      <c r="E39" s="10">
        <f t="shared" si="6"/>
        <v>1.4439999999999999E-4</v>
      </c>
      <c r="F39" s="63">
        <f t="shared" ca="1" si="7"/>
        <v>1.26018860252547E-4</v>
      </c>
      <c r="G39" s="96">
        <f t="shared" ca="1" si="8"/>
        <v>1.26018860252547E-4</v>
      </c>
      <c r="H39" s="96">
        <f t="shared" ca="1" si="9"/>
        <v>1.26018860252547E-4</v>
      </c>
      <c r="I39" s="10">
        <f t="shared" ca="1" si="10"/>
        <v>1.26018860252547E-4</v>
      </c>
      <c r="J39" s="96"/>
      <c r="K39" s="96">
        <f t="shared" si="1"/>
        <v>1.4439999999999999E-5</v>
      </c>
      <c r="L39" s="96">
        <f t="shared" si="2"/>
        <v>692419.77562326868</v>
      </c>
      <c r="M39" s="96">
        <f t="shared" si="3"/>
        <v>99.985415599999982</v>
      </c>
      <c r="N39" s="96">
        <f t="shared" si="4"/>
        <v>692319.79020766867</v>
      </c>
    </row>
    <row r="40" spans="1:14" x14ac:dyDescent="0.25">
      <c r="A40" s="8">
        <v>17</v>
      </c>
      <c r="B40" s="96">
        <f>VLOOKUP((Year_of_pregnancy-Age_of_mother),'ONS mortality stats'!$A$88:$CX$169,A39+2,TRUE)/ONS_mortality_rate_per_value</f>
        <v>2.019E-4</v>
      </c>
      <c r="C40" s="96">
        <f t="shared" si="0"/>
        <v>2.019E-4</v>
      </c>
      <c r="D40" s="96">
        <f t="shared" si="5"/>
        <v>2.019E-4</v>
      </c>
      <c r="E40" s="10">
        <f t="shared" si="6"/>
        <v>2.019E-4</v>
      </c>
      <c r="F40" s="63">
        <f t="shared" ca="1" si="7"/>
        <v>1.9471655047024799E-4</v>
      </c>
      <c r="G40" s="96">
        <f t="shared" ca="1" si="8"/>
        <v>1.9471655047024799E-4</v>
      </c>
      <c r="H40" s="96">
        <f t="shared" ca="1" si="9"/>
        <v>1.9471655047024799E-4</v>
      </c>
      <c r="I40" s="10">
        <f t="shared" ca="1" si="10"/>
        <v>1.9471655047024799E-4</v>
      </c>
      <c r="J40" s="96"/>
      <c r="K40" s="96">
        <f t="shared" si="1"/>
        <v>2.0190000000000002E-5</v>
      </c>
      <c r="L40" s="96">
        <f t="shared" si="2"/>
        <v>495193.70034670626</v>
      </c>
      <c r="M40" s="96">
        <f t="shared" si="3"/>
        <v>99.979608099999993</v>
      </c>
      <c r="N40" s="96">
        <f t="shared" si="4"/>
        <v>495093.72073860629</v>
      </c>
    </row>
    <row r="41" spans="1:14" x14ac:dyDescent="0.25">
      <c r="A41" s="8">
        <v>18</v>
      </c>
      <c r="B41" s="96">
        <f>VLOOKUP((Year_of_pregnancy-Age_of_mother),'ONS mortality stats'!$A$88:$CX$169,A40+2,TRUE)/ONS_mortality_rate_per_value</f>
        <v>2.2940000000000002E-4</v>
      </c>
      <c r="C41" s="96">
        <f t="shared" si="0"/>
        <v>2.2940000000000002E-4</v>
      </c>
      <c r="D41" s="96">
        <f t="shared" si="5"/>
        <v>2.2940000000000002E-4</v>
      </c>
      <c r="E41" s="10">
        <f t="shared" si="6"/>
        <v>2.2940000000000002E-4</v>
      </c>
      <c r="F41" s="63">
        <f t="shared" ca="1" si="7"/>
        <v>2.2911516831425338E-4</v>
      </c>
      <c r="G41" s="96">
        <f t="shared" ca="1" si="8"/>
        <v>2.2911516831425338E-4</v>
      </c>
      <c r="H41" s="96">
        <f t="shared" ca="1" si="9"/>
        <v>2.2911516831425338E-4</v>
      </c>
      <c r="I41" s="10">
        <f t="shared" ca="1" si="10"/>
        <v>2.2911516831425338E-4</v>
      </c>
      <c r="J41" s="96"/>
      <c r="K41" s="96">
        <f t="shared" si="1"/>
        <v>2.2940000000000004E-5</v>
      </c>
      <c r="L41" s="96">
        <f t="shared" si="2"/>
        <v>435818.79075850034</v>
      </c>
      <c r="M41" s="96">
        <f t="shared" si="3"/>
        <v>99.976830599999985</v>
      </c>
      <c r="N41" s="96">
        <f t="shared" si="4"/>
        <v>435718.81392790034</v>
      </c>
    </row>
    <row r="42" spans="1:14" x14ac:dyDescent="0.25">
      <c r="A42" s="8">
        <v>19</v>
      </c>
      <c r="B42" s="96">
        <f>VLOOKUP((Year_of_pregnancy-Age_of_mother),'ONS mortality stats'!$A$88:$CX$169,A41+2,TRUE)/ONS_mortality_rate_per_value</f>
        <v>2.7470000000000001E-4</v>
      </c>
      <c r="C42" s="96">
        <f t="shared" si="0"/>
        <v>2.7470000000000001E-4</v>
      </c>
      <c r="D42" s="96">
        <f t="shared" si="5"/>
        <v>2.7470000000000001E-4</v>
      </c>
      <c r="E42" s="10">
        <f t="shared" si="6"/>
        <v>2.7470000000000001E-4</v>
      </c>
      <c r="F42" s="63">
        <f t="shared" ca="1" si="7"/>
        <v>2.303436321609978E-4</v>
      </c>
      <c r="G42" s="96">
        <f t="shared" ca="1" si="8"/>
        <v>2.303436321609978E-4</v>
      </c>
      <c r="H42" s="96">
        <f t="shared" ca="1" si="9"/>
        <v>2.303436321609978E-4</v>
      </c>
      <c r="I42" s="10">
        <f t="shared" ca="1" si="10"/>
        <v>2.303436321609978E-4</v>
      </c>
      <c r="J42" s="96"/>
      <c r="K42" s="96">
        <f t="shared" si="1"/>
        <v>2.7470000000000003E-5</v>
      </c>
      <c r="L42" s="96">
        <f t="shared" si="2"/>
        <v>363932.49108117941</v>
      </c>
      <c r="M42" s="96">
        <f t="shared" si="3"/>
        <v>99.972255299999986</v>
      </c>
      <c r="N42" s="96">
        <f t="shared" si="4"/>
        <v>363832.51882587938</v>
      </c>
    </row>
    <row r="43" spans="1:14" x14ac:dyDescent="0.25">
      <c r="A43" s="8">
        <v>20</v>
      </c>
      <c r="B43" s="96">
        <f>VLOOKUP((Year_of_pregnancy-Age_of_mother),'ONS mortality stats'!$A$88:$CX$169,A42+2,TRUE)/ONS_mortality_rate_per_value</f>
        <v>2.5569999999999998E-4</v>
      </c>
      <c r="C43" s="96">
        <f t="shared" si="0"/>
        <v>2.5569999999999998E-4</v>
      </c>
      <c r="D43" s="96">
        <f t="shared" si="5"/>
        <v>2.5569999999999998E-4</v>
      </c>
      <c r="E43" s="10">
        <f t="shared" si="6"/>
        <v>2.5569999999999998E-4</v>
      </c>
      <c r="F43" s="63">
        <f t="shared" ca="1" si="7"/>
        <v>2.7170952964161721E-4</v>
      </c>
      <c r="G43" s="96">
        <f t="shared" ca="1" si="8"/>
        <v>2.7170952964161721E-4</v>
      </c>
      <c r="H43" s="96">
        <f t="shared" ca="1" si="9"/>
        <v>2.7170952964161721E-4</v>
      </c>
      <c r="I43" s="10">
        <f t="shared" ca="1" si="10"/>
        <v>2.7170952964161721E-4</v>
      </c>
      <c r="J43" s="96"/>
      <c r="K43" s="96">
        <f t="shared" si="1"/>
        <v>2.5570000000000001E-5</v>
      </c>
      <c r="L43" s="96">
        <f t="shared" si="2"/>
        <v>390982.30074305821</v>
      </c>
      <c r="M43" s="96">
        <f t="shared" si="3"/>
        <v>99.974174299999973</v>
      </c>
      <c r="N43" s="96">
        <f t="shared" si="4"/>
        <v>390882.32656875823</v>
      </c>
    </row>
    <row r="44" spans="1:14" x14ac:dyDescent="0.25">
      <c r="A44" s="8">
        <v>21</v>
      </c>
      <c r="B44" s="96">
        <f>VLOOKUP((Year_of_pregnancy-Age_of_mother),'ONS mortality stats'!$A$88:$CX$169,A43+2,TRUE)/ONS_mortality_rate_per_value</f>
        <v>2.1309999999999998E-4</v>
      </c>
      <c r="C44" s="96">
        <f t="shared" si="0"/>
        <v>2.1309999999999998E-4</v>
      </c>
      <c r="D44" s="96">
        <f t="shared" si="5"/>
        <v>2.1309999999999998E-4</v>
      </c>
      <c r="E44" s="10">
        <f t="shared" si="6"/>
        <v>2.1309999999999998E-4</v>
      </c>
      <c r="F44" s="63">
        <f t="shared" ca="1" si="7"/>
        <v>1.9244700187547904E-4</v>
      </c>
      <c r="G44" s="96">
        <f t="shared" ca="1" si="8"/>
        <v>1.9244700187547904E-4</v>
      </c>
      <c r="H44" s="96">
        <f t="shared" ca="1" si="9"/>
        <v>1.9244700187547904E-4</v>
      </c>
      <c r="I44" s="10">
        <f t="shared" ca="1" si="10"/>
        <v>1.9244700187547904E-4</v>
      </c>
      <c r="J44" s="96"/>
      <c r="K44" s="96">
        <f t="shared" si="1"/>
        <v>2.1309999999999998E-5</v>
      </c>
      <c r="L44" s="96">
        <f t="shared" si="2"/>
        <v>469162.2566870015</v>
      </c>
      <c r="M44" s="96">
        <f t="shared" si="3"/>
        <v>99.978476900000004</v>
      </c>
      <c r="N44" s="96">
        <f t="shared" si="4"/>
        <v>469062.27821010147</v>
      </c>
    </row>
    <row r="45" spans="1:14" x14ac:dyDescent="0.25">
      <c r="A45" s="8">
        <v>22</v>
      </c>
      <c r="B45" s="96">
        <f>VLOOKUP((Year_of_pregnancy-Age_of_mother),'ONS mortality stats'!$A$88:$CX$169,A44+2,TRUE)/ONS_mortality_rate_per_value</f>
        <v>2.7409999999999999E-4</v>
      </c>
      <c r="C45" s="96">
        <f t="shared" si="0"/>
        <v>2.7409999999999999E-4</v>
      </c>
      <c r="D45" s="96">
        <f t="shared" si="5"/>
        <v>2.7409999999999999E-4</v>
      </c>
      <c r="E45" s="10">
        <f t="shared" si="6"/>
        <v>2.7409999999999999E-4</v>
      </c>
      <c r="F45" s="63">
        <f t="shared" ca="1" si="7"/>
        <v>2.9208058180940633E-4</v>
      </c>
      <c r="G45" s="96">
        <f t="shared" ca="1" si="8"/>
        <v>2.9208058180940633E-4</v>
      </c>
      <c r="H45" s="96">
        <f t="shared" ca="1" si="9"/>
        <v>2.9208058180940633E-4</v>
      </c>
      <c r="I45" s="10">
        <f t="shared" ca="1" si="10"/>
        <v>2.9208058180940633E-4</v>
      </c>
      <c r="J45" s="96"/>
      <c r="K45" s="96">
        <f t="shared" si="1"/>
        <v>2.741E-5</v>
      </c>
      <c r="L45" s="96">
        <f t="shared" si="2"/>
        <v>364729.35388544324</v>
      </c>
      <c r="M45" s="96">
        <f t="shared" si="3"/>
        <v>99.972315899999984</v>
      </c>
      <c r="N45" s="96">
        <f t="shared" si="4"/>
        <v>364629.38156954321</v>
      </c>
    </row>
    <row r="46" spans="1:14" x14ac:dyDescent="0.25">
      <c r="A46" s="8">
        <v>23</v>
      </c>
      <c r="B46" s="96">
        <f>VLOOKUP((Year_of_pregnancy-Age_of_mother),'ONS mortality stats'!$A$88:$CX$169,A45+2,TRUE)/ONS_mortality_rate_per_value</f>
        <v>2.1449999999999998E-4</v>
      </c>
      <c r="C46" s="96">
        <f t="shared" si="0"/>
        <v>2.1449999999999998E-4</v>
      </c>
      <c r="D46" s="96">
        <f t="shared" si="5"/>
        <v>2.1449999999999998E-4</v>
      </c>
      <c r="E46" s="10">
        <f t="shared" si="6"/>
        <v>2.1449999999999998E-4</v>
      </c>
      <c r="F46" s="63">
        <f t="shared" ca="1" si="7"/>
        <v>2.3207367676036927E-4</v>
      </c>
      <c r="G46" s="96">
        <f t="shared" ca="1" si="8"/>
        <v>2.3207367676036927E-4</v>
      </c>
      <c r="H46" s="96">
        <f t="shared" ca="1" si="9"/>
        <v>2.3207367676036927E-4</v>
      </c>
      <c r="I46" s="10">
        <f t="shared" ca="1" si="10"/>
        <v>2.3207367676036927E-4</v>
      </c>
      <c r="J46" s="96"/>
      <c r="K46" s="96">
        <f t="shared" si="1"/>
        <v>2.145E-5</v>
      </c>
      <c r="L46" s="96">
        <f t="shared" si="2"/>
        <v>466099.46620046621</v>
      </c>
      <c r="M46" s="96">
        <f t="shared" si="3"/>
        <v>99.9783355</v>
      </c>
      <c r="N46" s="96">
        <f t="shared" si="4"/>
        <v>465999.48786496621</v>
      </c>
    </row>
    <row r="47" spans="1:14" x14ac:dyDescent="0.25">
      <c r="A47" s="8">
        <v>24</v>
      </c>
      <c r="B47" s="96">
        <f>VLOOKUP((Year_of_pregnancy-Age_of_mother),'ONS mortality stats'!$A$88:$CX$169,A46+2,TRUE)/ONS_mortality_rate_per_value</f>
        <v>2.5999999999999998E-4</v>
      </c>
      <c r="C47" s="96">
        <f t="shared" si="0"/>
        <v>2.5999999999999998E-4</v>
      </c>
      <c r="D47" s="96">
        <f t="shared" si="5"/>
        <v>2.5999999999999998E-4</v>
      </c>
      <c r="E47" s="10">
        <f t="shared" si="6"/>
        <v>2.5999999999999998E-4</v>
      </c>
      <c r="F47" s="63">
        <f t="shared" ca="1" si="7"/>
        <v>2.7355177734567082E-4</v>
      </c>
      <c r="G47" s="96">
        <f t="shared" ca="1" si="8"/>
        <v>2.7355177734567082E-4</v>
      </c>
      <c r="H47" s="96">
        <f t="shared" ca="1" si="9"/>
        <v>2.7355177734567082E-4</v>
      </c>
      <c r="I47" s="10">
        <f t="shared" ca="1" si="10"/>
        <v>2.7355177734567082E-4</v>
      </c>
      <c r="J47" s="96"/>
      <c r="K47" s="96">
        <f t="shared" si="1"/>
        <v>2.5999999999999998E-5</v>
      </c>
      <c r="L47" s="96">
        <f t="shared" si="2"/>
        <v>384514.38461538462</v>
      </c>
      <c r="M47" s="96">
        <f t="shared" si="3"/>
        <v>99.973739999999992</v>
      </c>
      <c r="N47" s="96">
        <f t="shared" si="4"/>
        <v>384414.41087538458</v>
      </c>
    </row>
    <row r="48" spans="1:14" x14ac:dyDescent="0.25">
      <c r="A48" s="8">
        <v>25</v>
      </c>
      <c r="B48" s="96">
        <f>VLOOKUP((Year_of_pregnancy-Age_of_mother),'ONS mortality stats'!$A$88:$CX$169,A47+2,TRUE)/ONS_mortality_rate_per_value</f>
        <v>2.4610000000000002E-4</v>
      </c>
      <c r="C48" s="96">
        <f t="shared" si="0"/>
        <v>2.4610000000000002E-4</v>
      </c>
      <c r="D48" s="96">
        <f t="shared" si="5"/>
        <v>2.4610000000000002E-4</v>
      </c>
      <c r="E48" s="10">
        <f t="shared" si="6"/>
        <v>2.4610000000000002E-4</v>
      </c>
      <c r="F48" s="63">
        <f t="shared" ca="1" si="7"/>
        <v>2.346380225675249E-4</v>
      </c>
      <c r="G48" s="96">
        <f t="shared" ca="1" si="8"/>
        <v>2.346380225675249E-4</v>
      </c>
      <c r="H48" s="96">
        <f t="shared" ca="1" si="9"/>
        <v>2.346380225675249E-4</v>
      </c>
      <c r="I48" s="10">
        <f t="shared" ca="1" si="10"/>
        <v>2.346380225675249E-4</v>
      </c>
      <c r="J48" s="96"/>
      <c r="K48" s="96">
        <f t="shared" si="1"/>
        <v>2.4610000000000003E-5</v>
      </c>
      <c r="L48" s="96">
        <f t="shared" si="2"/>
        <v>406237.88663145056</v>
      </c>
      <c r="M48" s="96">
        <f t="shared" si="3"/>
        <v>99.975143899999992</v>
      </c>
      <c r="N48" s="96">
        <f t="shared" si="4"/>
        <v>406137.91148755053</v>
      </c>
    </row>
    <row r="49" spans="1:14" x14ac:dyDescent="0.25">
      <c r="A49" s="8">
        <v>26</v>
      </c>
      <c r="B49" s="96">
        <f>VLOOKUP((Year_of_pregnancy-Age_of_mother),'ONS mortality stats'!$A$88:$CX$169,A48+2,TRUE)/ONS_mortality_rate_per_value</f>
        <v>2.586E-4</v>
      </c>
      <c r="C49" s="96">
        <f t="shared" si="0"/>
        <v>2.586E-4</v>
      </c>
      <c r="D49" s="96">
        <f t="shared" si="5"/>
        <v>2.586E-4</v>
      </c>
      <c r="E49" s="10">
        <f t="shared" si="6"/>
        <v>2.586E-4</v>
      </c>
      <c r="F49" s="63">
        <f t="shared" ca="1" si="7"/>
        <v>2.5257925517689541E-4</v>
      </c>
      <c r="G49" s="96">
        <f t="shared" ca="1" si="8"/>
        <v>2.5257925517689541E-4</v>
      </c>
      <c r="H49" s="96">
        <f t="shared" ca="1" si="9"/>
        <v>2.5257925517689541E-4</v>
      </c>
      <c r="I49" s="10">
        <f t="shared" ca="1" si="10"/>
        <v>2.5257925517689541E-4</v>
      </c>
      <c r="J49" s="96"/>
      <c r="K49" s="96">
        <f t="shared" si="1"/>
        <v>2.586E-5</v>
      </c>
      <c r="L49" s="96">
        <f t="shared" si="2"/>
        <v>386596.60247486469</v>
      </c>
      <c r="M49" s="96">
        <f t="shared" si="3"/>
        <v>99.97388140000001</v>
      </c>
      <c r="N49" s="96">
        <f t="shared" si="4"/>
        <v>386496.62859346467</v>
      </c>
    </row>
    <row r="50" spans="1:14" x14ac:dyDescent="0.25">
      <c r="A50" s="8">
        <v>27</v>
      </c>
      <c r="B50" s="96">
        <f>VLOOKUP((Year_of_pregnancy-Age_of_mother),'ONS mortality stats'!$A$88:$CX$169,A49+2,TRUE)/ONS_mortality_rate_per_value</f>
        <v>2.7550000000000003E-4</v>
      </c>
      <c r="C50" s="96">
        <f t="shared" si="0"/>
        <v>2.7550000000000003E-4</v>
      </c>
      <c r="D50" s="96">
        <f t="shared" si="5"/>
        <v>2.7550000000000003E-4</v>
      </c>
      <c r="E50" s="10">
        <f t="shared" si="6"/>
        <v>2.7550000000000003E-4</v>
      </c>
      <c r="F50" s="63">
        <f t="shared" ca="1" si="7"/>
        <v>2.4130235278139274E-4</v>
      </c>
      <c r="G50" s="96">
        <f t="shared" ca="1" si="8"/>
        <v>2.4130235278139274E-4</v>
      </c>
      <c r="H50" s="96">
        <f t="shared" ca="1" si="9"/>
        <v>2.4130235278139274E-4</v>
      </c>
      <c r="I50" s="10">
        <f t="shared" ca="1" si="10"/>
        <v>2.4130235278139274E-4</v>
      </c>
      <c r="J50" s="96"/>
      <c r="K50" s="96">
        <f t="shared" si="1"/>
        <v>2.7550000000000006E-5</v>
      </c>
      <c r="L50" s="96">
        <f t="shared" si="2"/>
        <v>362875.40653357521</v>
      </c>
      <c r="M50" s="96">
        <f t="shared" si="3"/>
        <v>99.97217449999998</v>
      </c>
      <c r="N50" s="96">
        <f t="shared" si="4"/>
        <v>362775.43435907521</v>
      </c>
    </row>
    <row r="51" spans="1:14" x14ac:dyDescent="0.25">
      <c r="A51" s="8">
        <v>28</v>
      </c>
      <c r="B51" s="96">
        <f>VLOOKUP((Year_of_pregnancy-Age_of_mother),'ONS mortality stats'!$A$88:$CX$169,A50+2,TRUE)/ONS_mortality_rate_per_value</f>
        <v>2.8499999999999999E-4</v>
      </c>
      <c r="C51" s="96">
        <f t="shared" si="0"/>
        <v>2.8499999999999999E-4</v>
      </c>
      <c r="D51" s="96">
        <f t="shared" si="5"/>
        <v>2.8499999999999999E-4</v>
      </c>
      <c r="E51" s="10">
        <f t="shared" si="6"/>
        <v>2.8499999999999999E-4</v>
      </c>
      <c r="F51" s="63">
        <f t="shared" ca="1" si="7"/>
        <v>2.8439975819605223E-4</v>
      </c>
      <c r="G51" s="96">
        <f t="shared" ca="1" si="8"/>
        <v>2.8439975819605223E-4</v>
      </c>
      <c r="H51" s="96">
        <f t="shared" ca="1" si="9"/>
        <v>2.8439975819605223E-4</v>
      </c>
      <c r="I51" s="10">
        <f t="shared" ca="1" si="10"/>
        <v>2.8439975819605223E-4</v>
      </c>
      <c r="J51" s="96"/>
      <c r="K51" s="96">
        <f t="shared" si="1"/>
        <v>2.8500000000000002E-5</v>
      </c>
      <c r="L51" s="96">
        <f t="shared" si="2"/>
        <v>350776.19298245612</v>
      </c>
      <c r="M51" s="96">
        <f t="shared" si="3"/>
        <v>99.971214999999987</v>
      </c>
      <c r="N51" s="96">
        <f t="shared" si="4"/>
        <v>350676.2217674561</v>
      </c>
    </row>
    <row r="52" spans="1:14" x14ac:dyDescent="0.25">
      <c r="A52" s="8">
        <v>29</v>
      </c>
      <c r="B52" s="96">
        <f>VLOOKUP((Year_of_pregnancy-Age_of_mother),'ONS mortality stats'!$A$88:$CX$169,A51+2,TRUE)/ONS_mortality_rate_per_value</f>
        <v>3.077E-4</v>
      </c>
      <c r="C52" s="96">
        <f t="shared" si="0"/>
        <v>3.077E-4</v>
      </c>
      <c r="D52" s="96">
        <f t="shared" si="5"/>
        <v>3.077E-4</v>
      </c>
      <c r="E52" s="10">
        <f t="shared" si="6"/>
        <v>3.077E-4</v>
      </c>
      <c r="F52" s="63">
        <f t="shared" ca="1" si="7"/>
        <v>3.0547638570042928E-4</v>
      </c>
      <c r="G52" s="96">
        <f t="shared" ca="1" si="8"/>
        <v>3.0547638570042928E-4</v>
      </c>
      <c r="H52" s="96">
        <f t="shared" ca="1" si="9"/>
        <v>3.0547638570042928E-4</v>
      </c>
      <c r="I52" s="10">
        <f t="shared" ca="1" si="10"/>
        <v>3.0547638570042928E-4</v>
      </c>
      <c r="J52" s="96"/>
      <c r="K52" s="96">
        <f t="shared" si="1"/>
        <v>3.0769999999999998E-5</v>
      </c>
      <c r="L52" s="96">
        <f t="shared" si="2"/>
        <v>324890.87520311994</v>
      </c>
      <c r="M52" s="96">
        <f t="shared" si="3"/>
        <v>99.968922300000003</v>
      </c>
      <c r="N52" s="96">
        <f t="shared" si="4"/>
        <v>324790.90628081997</v>
      </c>
    </row>
    <row r="53" spans="1:14" x14ac:dyDescent="0.25">
      <c r="A53" s="8">
        <v>30</v>
      </c>
      <c r="B53" s="96">
        <f>VLOOKUP((Year_of_pregnancy-Age_of_mother),'ONS mortality stats'!$A$88:$CX$169,A52+2,TRUE)/ONS_mortality_rate_per_value</f>
        <v>3.3479999999999995E-4</v>
      </c>
      <c r="C53" s="96">
        <f t="shared" si="0"/>
        <v>3.3479999999999995E-4</v>
      </c>
      <c r="D53" s="96">
        <f t="shared" si="5"/>
        <v>3.3479999999999995E-4</v>
      </c>
      <c r="E53" s="10">
        <f t="shared" si="6"/>
        <v>3.3479999999999995E-4</v>
      </c>
      <c r="F53" s="63">
        <f t="shared" ca="1" si="7"/>
        <v>3.2973385969013594E-4</v>
      </c>
      <c r="G53" s="96">
        <f t="shared" ca="1" si="8"/>
        <v>3.2973385969013594E-4</v>
      </c>
      <c r="H53" s="96">
        <f t="shared" ca="1" si="9"/>
        <v>3.2973385969013594E-4</v>
      </c>
      <c r="I53" s="10">
        <f t="shared" ca="1" si="10"/>
        <v>3.2973385969013594E-4</v>
      </c>
      <c r="J53" s="96"/>
      <c r="K53" s="96">
        <f t="shared" si="1"/>
        <v>3.3479999999999998E-5</v>
      </c>
      <c r="L53" s="96">
        <f t="shared" si="2"/>
        <v>298584.78255675029</v>
      </c>
      <c r="M53" s="96">
        <f t="shared" si="3"/>
        <v>99.966185199999984</v>
      </c>
      <c r="N53" s="96">
        <f t="shared" si="4"/>
        <v>298484.81637155032</v>
      </c>
    </row>
    <row r="54" spans="1:14" x14ac:dyDescent="0.25">
      <c r="A54" s="8">
        <v>31</v>
      </c>
      <c r="B54" s="96">
        <f>VLOOKUP((Year_of_pregnancy-Age_of_mother),'ONS mortality stats'!$A$88:$CX$169,A53+2,TRUE)/ONS_mortality_rate_per_value</f>
        <v>3.6479999999999998E-4</v>
      </c>
      <c r="C54" s="96">
        <f t="shared" si="0"/>
        <v>3.6479999999999998E-4</v>
      </c>
      <c r="D54" s="96">
        <f t="shared" si="5"/>
        <v>3.6479999999999998E-4</v>
      </c>
      <c r="E54" s="10">
        <f t="shared" si="6"/>
        <v>3.6479999999999998E-4</v>
      </c>
      <c r="F54" s="63">
        <f t="shared" ca="1" si="7"/>
        <v>3.376046937256998E-4</v>
      </c>
      <c r="G54" s="96">
        <f t="shared" ca="1" si="8"/>
        <v>3.376046937256998E-4</v>
      </c>
      <c r="H54" s="96">
        <f t="shared" ca="1" si="9"/>
        <v>3.376046937256998E-4</v>
      </c>
      <c r="I54" s="10">
        <f t="shared" ca="1" si="10"/>
        <v>3.376046937256998E-4</v>
      </c>
      <c r="J54" s="96"/>
      <c r="K54" s="96">
        <f t="shared" si="1"/>
        <v>3.6479999999999996E-5</v>
      </c>
      <c r="L54" s="96">
        <f t="shared" si="2"/>
        <v>274021.80701754388</v>
      </c>
      <c r="M54" s="96">
        <f t="shared" si="3"/>
        <v>99.963155200000003</v>
      </c>
      <c r="N54" s="96">
        <f t="shared" si="4"/>
        <v>273921.84386234387</v>
      </c>
    </row>
    <row r="55" spans="1:14" x14ac:dyDescent="0.25">
      <c r="A55" s="8">
        <v>32</v>
      </c>
      <c r="B55" s="96">
        <f>VLOOKUP((Year_of_pregnancy-Age_of_mother),'ONS mortality stats'!$A$88:$CX$169,A54+2,TRUE)/ONS_mortality_rate_per_value</f>
        <v>3.9549999999999996E-4</v>
      </c>
      <c r="C55" s="96">
        <f t="shared" ref="C55:C86" si="11">B55/((VLOOKUP($A55,$A$3:$E$9,2)*1)+(VLOOKUP($A55,$A$3:$E$9,3)*VLOOKUP($A55,$A$13:$E$19,2))+(VLOOKUP($A55,$A$3:$E$9,4)*VLOOKUP($A55,$A$13:$E$19,3)))</f>
        <v>3.9549999999999996E-4</v>
      </c>
      <c r="D55" s="96">
        <f t="shared" si="5"/>
        <v>3.9549999999999996E-4</v>
      </c>
      <c r="E55" s="10">
        <f t="shared" si="6"/>
        <v>3.9549999999999996E-4</v>
      </c>
      <c r="F55" s="63">
        <f t="shared" ca="1" si="7"/>
        <v>3.4625884153394003E-4</v>
      </c>
      <c r="G55" s="96">
        <f t="shared" ca="1" si="8"/>
        <v>3.4625884153394003E-4</v>
      </c>
      <c r="H55" s="96">
        <f t="shared" ca="1" si="9"/>
        <v>3.4625884153394003E-4</v>
      </c>
      <c r="I55" s="10">
        <f t="shared" ca="1" si="10"/>
        <v>3.4625884153394003E-4</v>
      </c>
      <c r="J55" s="96"/>
      <c r="K55" s="96">
        <f t="shared" ref="K55:K86" si="12">0.1*B55</f>
        <v>3.9549999999999999E-5</v>
      </c>
      <c r="L55" s="96">
        <f t="shared" ref="L55:L86" si="13">((B55*(1-B55))/(K55^2))-1</f>
        <v>252743.50063211122</v>
      </c>
      <c r="M55" s="96">
        <f t="shared" ref="M55:M86" si="14">B55*L55</f>
        <v>99.96005449999997</v>
      </c>
      <c r="N55" s="96">
        <f t="shared" ref="N55:N86" si="15">M55*((1-B55)/B55)</f>
        <v>252643.54057761122</v>
      </c>
    </row>
    <row r="56" spans="1:14" x14ac:dyDescent="0.25">
      <c r="A56" s="8">
        <v>33</v>
      </c>
      <c r="B56" s="96">
        <f>VLOOKUP((Year_of_pregnancy-Age_of_mother),'ONS mortality stats'!$A$88:$CX$169,A55+2,TRUE)/ONS_mortality_rate_per_value</f>
        <v>4.2680000000000002E-4</v>
      </c>
      <c r="C56" s="96">
        <f t="shared" si="11"/>
        <v>4.2680000000000002E-4</v>
      </c>
      <c r="D56" s="96">
        <f t="shared" si="5"/>
        <v>4.2680000000000002E-4</v>
      </c>
      <c r="E56" s="10">
        <f t="shared" si="6"/>
        <v>4.2680000000000002E-4</v>
      </c>
      <c r="F56" s="63">
        <f t="shared" ca="1" si="7"/>
        <v>4.5637958580146964E-4</v>
      </c>
      <c r="G56" s="96">
        <f t="shared" ca="1" si="8"/>
        <v>4.5637958580146964E-4</v>
      </c>
      <c r="H56" s="96">
        <f t="shared" ca="1" si="9"/>
        <v>4.5637958580146964E-4</v>
      </c>
      <c r="I56" s="10">
        <f t="shared" ca="1" si="10"/>
        <v>4.5637958580146964E-4</v>
      </c>
      <c r="J56" s="96"/>
      <c r="K56" s="96">
        <f t="shared" si="12"/>
        <v>4.2680000000000005E-5</v>
      </c>
      <c r="L56" s="96">
        <f t="shared" si="13"/>
        <v>234200.78069353325</v>
      </c>
      <c r="M56" s="96">
        <f t="shared" si="14"/>
        <v>99.956893199999996</v>
      </c>
      <c r="N56" s="96">
        <f t="shared" si="15"/>
        <v>234100.82380033328</v>
      </c>
    </row>
    <row r="57" spans="1:14" x14ac:dyDescent="0.25">
      <c r="A57" s="8">
        <v>34</v>
      </c>
      <c r="B57" s="96">
        <f>VLOOKUP((Year_of_pregnancy-Age_of_mother),'ONS mortality stats'!$A$88:$CX$169,A56+2,TRUE)/ONS_mortality_rate_per_value</f>
        <v>4.593E-4</v>
      </c>
      <c r="C57" s="96">
        <f t="shared" si="11"/>
        <v>4.593E-4</v>
      </c>
      <c r="D57" s="96">
        <f t="shared" si="5"/>
        <v>4.593E-4</v>
      </c>
      <c r="E57" s="10">
        <f t="shared" si="6"/>
        <v>4.593E-4</v>
      </c>
      <c r="F57" s="63">
        <f t="shared" ca="1" si="7"/>
        <v>5.0685206416534179E-4</v>
      </c>
      <c r="G57" s="96">
        <f t="shared" ca="1" si="8"/>
        <v>5.0685206416534179E-4</v>
      </c>
      <c r="H57" s="96">
        <f t="shared" ca="1" si="9"/>
        <v>5.0685206416534179E-4</v>
      </c>
      <c r="I57" s="10">
        <f t="shared" ca="1" si="10"/>
        <v>5.0685206416534179E-4</v>
      </c>
      <c r="J57" s="96"/>
      <c r="K57" s="96">
        <f t="shared" si="12"/>
        <v>4.5930000000000002E-5</v>
      </c>
      <c r="L57" s="96">
        <f t="shared" si="13"/>
        <v>217621.62138036138</v>
      </c>
      <c r="M57" s="96">
        <f t="shared" si="14"/>
        <v>99.953610699999984</v>
      </c>
      <c r="N57" s="96">
        <f t="shared" si="15"/>
        <v>217521.66776966138</v>
      </c>
    </row>
    <row r="58" spans="1:14" x14ac:dyDescent="0.25">
      <c r="A58" s="8">
        <v>35</v>
      </c>
      <c r="B58" s="96">
        <f>VLOOKUP((Year_of_pregnancy-Age_of_mother),'ONS mortality stats'!$A$88:$CX$169,A57+2,TRUE)/ONS_mortality_rate_per_value</f>
        <v>4.9359999999999996E-4</v>
      </c>
      <c r="C58" s="96">
        <f t="shared" si="11"/>
        <v>4.021181262729124E-4</v>
      </c>
      <c r="D58" s="96">
        <f t="shared" si="5"/>
        <v>5.0264765784114045E-4</v>
      </c>
      <c r="E58" s="10">
        <f t="shared" si="6"/>
        <v>7.0370672097759665E-4</v>
      </c>
      <c r="F58" s="63">
        <f t="shared" ca="1" si="7"/>
        <v>5.5346402687705964E-4</v>
      </c>
      <c r="G58" s="96">
        <f t="shared" ca="1" si="8"/>
        <v>4.6267888752886486E-4</v>
      </c>
      <c r="H58" s="96">
        <f t="shared" ca="1" si="9"/>
        <v>4.7067514249414191E-4</v>
      </c>
      <c r="I58" s="10">
        <f t="shared" ca="1" si="10"/>
        <v>8.4974829298901163E-4</v>
      </c>
      <c r="J58" s="96"/>
      <c r="K58" s="96">
        <f t="shared" si="12"/>
        <v>4.9360000000000002E-5</v>
      </c>
      <c r="L58" s="96">
        <f t="shared" si="13"/>
        <v>202492.19286871961</v>
      </c>
      <c r="M58" s="96">
        <f t="shared" si="14"/>
        <v>99.950146399999994</v>
      </c>
      <c r="N58" s="96">
        <f t="shared" si="15"/>
        <v>202392.24272231961</v>
      </c>
    </row>
    <row r="59" spans="1:14" x14ac:dyDescent="0.25">
      <c r="A59" s="8">
        <v>36</v>
      </c>
      <c r="B59" s="96">
        <f>VLOOKUP((Year_of_pregnancy-Age_of_mother),'ONS mortality stats'!$A$88:$CX$169,A58+2,TRUE)/ONS_mortality_rate_per_value</f>
        <v>5.3439999999999998E-4</v>
      </c>
      <c r="C59" s="96">
        <f t="shared" si="11"/>
        <v>4.3535641547861502E-4</v>
      </c>
      <c r="D59" s="96">
        <f t="shared" si="5"/>
        <v>5.4419551934826874E-4</v>
      </c>
      <c r="E59" s="10">
        <f t="shared" si="6"/>
        <v>7.6187372708757617E-4</v>
      </c>
      <c r="F59" s="63">
        <f t="shared" ca="1" si="7"/>
        <v>5.4064781029239395E-4</v>
      </c>
      <c r="G59" s="96">
        <f t="shared" ca="1" si="8"/>
        <v>4.519649250240546E-4</v>
      </c>
      <c r="H59" s="96">
        <f t="shared" ca="1" si="9"/>
        <v>4.5977601576812748E-4</v>
      </c>
      <c r="I59" s="10">
        <f t="shared" ca="1" si="10"/>
        <v>8.3007120895728598E-4</v>
      </c>
      <c r="J59" s="96"/>
      <c r="K59" s="96">
        <f t="shared" si="12"/>
        <v>5.3440000000000003E-5</v>
      </c>
      <c r="L59" s="96">
        <f t="shared" si="13"/>
        <v>187024.74850299399</v>
      </c>
      <c r="M59" s="96">
        <f t="shared" si="14"/>
        <v>99.946025599999984</v>
      </c>
      <c r="N59" s="96">
        <f t="shared" si="15"/>
        <v>186924.802477394</v>
      </c>
    </row>
    <row r="60" spans="1:14" x14ac:dyDescent="0.25">
      <c r="A60" s="8">
        <v>37</v>
      </c>
      <c r="B60" s="96">
        <f>VLOOKUP((Year_of_pregnancy-Age_of_mother),'ONS mortality stats'!$A$88:$CX$169,A59+2,TRUE)/ONS_mortality_rate_per_value</f>
        <v>5.8159999999999993E-4</v>
      </c>
      <c r="C60" s="96">
        <f t="shared" si="11"/>
        <v>4.7380855397148667E-4</v>
      </c>
      <c r="D60" s="96">
        <f t="shared" si="5"/>
        <v>5.9226069246435837E-4</v>
      </c>
      <c r="E60" s="10">
        <f t="shared" si="6"/>
        <v>8.2916496945010154E-4</v>
      </c>
      <c r="F60" s="63">
        <f t="shared" ca="1" si="7"/>
        <v>5.917085412769918E-4</v>
      </c>
      <c r="G60" s="96">
        <f t="shared" ca="1" si="8"/>
        <v>4.9465012417180718E-4</v>
      </c>
      <c r="H60" s="96">
        <f t="shared" ca="1" si="9"/>
        <v>5.0319892252439461E-4</v>
      </c>
      <c r="I60" s="10">
        <f t="shared" ca="1" si="10"/>
        <v>9.0846613055274334E-4</v>
      </c>
      <c r="J60" s="96"/>
      <c r="K60" s="96">
        <f t="shared" si="12"/>
        <v>5.8159999999999999E-5</v>
      </c>
      <c r="L60" s="96">
        <f t="shared" si="13"/>
        <v>171838.47730398897</v>
      </c>
      <c r="M60" s="96">
        <f t="shared" si="14"/>
        <v>99.941258399999967</v>
      </c>
      <c r="N60" s="96">
        <f t="shared" si="15"/>
        <v>171738.53604558896</v>
      </c>
    </row>
    <row r="61" spans="1:14" x14ac:dyDescent="0.25">
      <c r="A61" s="8">
        <v>38</v>
      </c>
      <c r="B61" s="96">
        <f>VLOOKUP((Year_of_pregnancy-Age_of_mother),'ONS mortality stats'!$A$88:$CX$169,A60+2,TRUE)/ONS_mortality_rate_per_value</f>
        <v>6.3290000000000004E-4</v>
      </c>
      <c r="C61" s="96">
        <f t="shared" si="11"/>
        <v>5.1560081466395116E-4</v>
      </c>
      <c r="D61" s="96">
        <f t="shared" si="5"/>
        <v>6.4450101832993893E-4</v>
      </c>
      <c r="E61" s="10">
        <f t="shared" si="6"/>
        <v>9.0230142566191445E-4</v>
      </c>
      <c r="F61" s="63">
        <f t="shared" ca="1" si="7"/>
        <v>6.5379483007532713E-4</v>
      </c>
      <c r="G61" s="96">
        <f t="shared" ca="1" si="8"/>
        <v>5.465523502190847E-4</v>
      </c>
      <c r="H61" s="96">
        <f t="shared" ca="1" si="9"/>
        <v>5.5599814958884851E-4</v>
      </c>
      <c r="I61" s="10">
        <f t="shared" ca="1" si="10"/>
        <v>1.0037888893273208E-3</v>
      </c>
      <c r="J61" s="96"/>
      <c r="K61" s="96">
        <f t="shared" si="12"/>
        <v>6.3290000000000012E-5</v>
      </c>
      <c r="L61" s="96">
        <f t="shared" si="13"/>
        <v>157901.84405119289</v>
      </c>
      <c r="M61" s="96">
        <f t="shared" si="14"/>
        <v>99.936077099999991</v>
      </c>
      <c r="N61" s="96">
        <f t="shared" si="15"/>
        <v>157801.9079740929</v>
      </c>
    </row>
    <row r="62" spans="1:14" x14ac:dyDescent="0.25">
      <c r="A62" s="8">
        <v>39</v>
      </c>
      <c r="B62" s="96">
        <f>VLOOKUP((Year_of_pregnancy-Age_of_mother),'ONS mortality stats'!$A$88:$CX$169,A61+2,TRUE)/ONS_mortality_rate_per_value</f>
        <v>6.8540000000000007E-4</v>
      </c>
      <c r="C62" s="96">
        <f t="shared" si="11"/>
        <v>5.583706720977597E-4</v>
      </c>
      <c r="D62" s="96">
        <f t="shared" si="5"/>
        <v>6.9796334012219962E-4</v>
      </c>
      <c r="E62" s="10">
        <f t="shared" si="6"/>
        <v>9.7714867617107936E-4</v>
      </c>
      <c r="F62" s="63">
        <f t="shared" ca="1" si="7"/>
        <v>6.0062096499331318E-4</v>
      </c>
      <c r="G62" s="96">
        <f t="shared" ca="1" si="8"/>
        <v>5.0210063602082651E-4</v>
      </c>
      <c r="H62" s="96">
        <f t="shared" ca="1" si="9"/>
        <v>5.1077819795863986E-4</v>
      </c>
      <c r="I62" s="10">
        <f t="shared" ca="1" si="10"/>
        <v>9.2214961578677317E-4</v>
      </c>
      <c r="J62" s="96"/>
      <c r="K62" s="96">
        <f t="shared" si="12"/>
        <v>6.8540000000000004E-5</v>
      </c>
      <c r="L62" s="96">
        <f t="shared" si="13"/>
        <v>145799.20426028597</v>
      </c>
      <c r="M62" s="96">
        <f t="shared" si="14"/>
        <v>99.930774600000021</v>
      </c>
      <c r="N62" s="96">
        <f t="shared" si="15"/>
        <v>145699.27348568599</v>
      </c>
    </row>
    <row r="63" spans="1:14" x14ac:dyDescent="0.25">
      <c r="A63" s="8">
        <v>40</v>
      </c>
      <c r="B63" s="96">
        <f>VLOOKUP((Year_of_pregnancy-Age_of_mother),'ONS mortality stats'!$A$88:$CX$169,A62+2,TRUE)/ONS_mortality_rate_per_value</f>
        <v>7.3900000000000007E-4</v>
      </c>
      <c r="C63" s="96">
        <f t="shared" si="11"/>
        <v>6.0203665987780043E-4</v>
      </c>
      <c r="D63" s="96">
        <f t="shared" si="5"/>
        <v>7.5254582484725048E-4</v>
      </c>
      <c r="E63" s="10">
        <f t="shared" si="6"/>
        <v>1.0535641547861506E-3</v>
      </c>
      <c r="F63" s="63">
        <f t="shared" ca="1" si="7"/>
        <v>6.6566491090971512E-4</v>
      </c>
      <c r="G63" s="96">
        <f t="shared" ca="1" si="8"/>
        <v>5.5647537236439254E-4</v>
      </c>
      <c r="H63" s="96">
        <f t="shared" ca="1" si="9"/>
        <v>5.6609266651647453E-4</v>
      </c>
      <c r="I63" s="10">
        <f t="shared" ca="1" si="10"/>
        <v>1.0220133455464118E-3</v>
      </c>
      <c r="J63" s="96"/>
      <c r="K63" s="96">
        <f t="shared" si="12"/>
        <v>7.3900000000000007E-5</v>
      </c>
      <c r="L63" s="96">
        <f t="shared" si="13"/>
        <v>135216.99729364004</v>
      </c>
      <c r="M63" s="96">
        <f t="shared" si="14"/>
        <v>99.925361000000009</v>
      </c>
      <c r="N63" s="96">
        <f t="shared" si="15"/>
        <v>135117.07193264004</v>
      </c>
    </row>
    <row r="64" spans="1:14" x14ac:dyDescent="0.25">
      <c r="A64" s="8">
        <v>41</v>
      </c>
      <c r="B64" s="96">
        <f>VLOOKUP((Year_of_pregnancy-Age_of_mother),'ONS mortality stats'!$A$88:$CX$169,A63+2,TRUE)/ONS_mortality_rate_per_value</f>
        <v>7.8709999999999989E-4</v>
      </c>
      <c r="C64" s="96">
        <f t="shared" si="11"/>
        <v>6.4122199592668019E-4</v>
      </c>
      <c r="D64" s="96">
        <f t="shared" si="5"/>
        <v>8.0152749490835021E-4</v>
      </c>
      <c r="E64" s="10">
        <f t="shared" si="6"/>
        <v>1.1221384928716902E-3</v>
      </c>
      <c r="F64" s="63">
        <f t="shared" ca="1" si="7"/>
        <v>7.5172462432436429E-4</v>
      </c>
      <c r="G64" s="96">
        <f t="shared" ca="1" si="8"/>
        <v>6.2841864334519575E-4</v>
      </c>
      <c r="H64" s="96">
        <f t="shared" ca="1" si="9"/>
        <v>6.3927929818069051E-4</v>
      </c>
      <c r="I64" s="10">
        <f t="shared" ca="1" si="10"/>
        <v>1.1541431516728466E-3</v>
      </c>
      <c r="J64" s="96"/>
      <c r="K64" s="96">
        <f t="shared" si="12"/>
        <v>7.8709999999999997E-5</v>
      </c>
      <c r="L64" s="96">
        <f t="shared" si="13"/>
        <v>126947.65963664083</v>
      </c>
      <c r="M64" s="96">
        <f t="shared" si="14"/>
        <v>99.920502899999988</v>
      </c>
      <c r="N64" s="96">
        <f t="shared" si="15"/>
        <v>126847.73913374083</v>
      </c>
    </row>
    <row r="65" spans="1:14" x14ac:dyDescent="0.25">
      <c r="A65" s="8">
        <v>42</v>
      </c>
      <c r="B65" s="96">
        <f>VLOOKUP((Year_of_pregnancy-Age_of_mother),'ONS mortality stats'!$A$88:$CX$169,A64+2,TRUE)/ONS_mortality_rate_per_value</f>
        <v>8.3040000000000002E-4</v>
      </c>
      <c r="C65" s="96">
        <f t="shared" si="11"/>
        <v>6.7649694501018334E-4</v>
      </c>
      <c r="D65" s="96">
        <f t="shared" si="5"/>
        <v>8.4562118126272918E-4</v>
      </c>
      <c r="E65" s="10">
        <f t="shared" si="6"/>
        <v>1.1838696537678206E-3</v>
      </c>
      <c r="F65" s="63">
        <f t="shared" ca="1" si="7"/>
        <v>8.7923018763058636E-4</v>
      </c>
      <c r="G65" s="96">
        <f t="shared" ca="1" si="8"/>
        <v>7.350093688836567E-4</v>
      </c>
      <c r="H65" s="96">
        <f t="shared" ca="1" si="9"/>
        <v>7.4771217956700437E-4</v>
      </c>
      <c r="I65" s="10">
        <f t="shared" ca="1" si="10"/>
        <v>1.3499058923471048E-3</v>
      </c>
      <c r="J65" s="96"/>
      <c r="K65" s="96">
        <f t="shared" si="12"/>
        <v>8.3040000000000005E-5</v>
      </c>
      <c r="L65" s="96">
        <f t="shared" si="13"/>
        <v>120322.89210019266</v>
      </c>
      <c r="M65" s="96">
        <f t="shared" si="14"/>
        <v>99.916129599999991</v>
      </c>
      <c r="N65" s="96">
        <f t="shared" si="15"/>
        <v>120222.97597059266</v>
      </c>
    </row>
    <row r="66" spans="1:14" x14ac:dyDescent="0.25">
      <c r="A66" s="8">
        <v>43</v>
      </c>
      <c r="B66" s="96">
        <f>VLOOKUP((Year_of_pregnancy-Age_of_mother),'ONS mortality stats'!$A$88:$CX$169,A65+2,TRUE)/ONS_mortality_rate_per_value</f>
        <v>8.6640000000000003E-4</v>
      </c>
      <c r="C66" s="96">
        <f t="shared" si="11"/>
        <v>7.0582484725050919E-4</v>
      </c>
      <c r="D66" s="96">
        <f t="shared" si="5"/>
        <v>8.8228105906313649E-4</v>
      </c>
      <c r="E66" s="10">
        <f t="shared" si="6"/>
        <v>1.2351934826883909E-3</v>
      </c>
      <c r="F66" s="63">
        <f t="shared" ca="1" si="7"/>
        <v>7.9896720145280521E-4</v>
      </c>
      <c r="G66" s="96">
        <f t="shared" ca="1" si="8"/>
        <v>6.6791198341486385E-4</v>
      </c>
      <c r="H66" s="96">
        <f t="shared" ca="1" si="9"/>
        <v>6.7945518250543387E-4</v>
      </c>
      <c r="I66" s="10">
        <f t="shared" ca="1" si="10"/>
        <v>1.2266759583627594E-3</v>
      </c>
      <c r="J66" s="96"/>
      <c r="K66" s="96">
        <f t="shared" si="12"/>
        <v>8.6640000000000011E-5</v>
      </c>
      <c r="L66" s="96">
        <f t="shared" si="13"/>
        <v>115319.12927054476</v>
      </c>
      <c r="M66" s="96">
        <f t="shared" si="14"/>
        <v>99.912493599999976</v>
      </c>
      <c r="N66" s="96">
        <f t="shared" si="15"/>
        <v>115219.21677694474</v>
      </c>
    </row>
    <row r="67" spans="1:14" x14ac:dyDescent="0.25">
      <c r="A67" s="8">
        <v>44</v>
      </c>
      <c r="B67" s="96">
        <f>VLOOKUP((Year_of_pregnancy-Age_of_mother),'ONS mortality stats'!$A$88:$CX$169,A66+2,TRUE)/ONS_mortality_rate_per_value</f>
        <v>8.9920000000000006E-4</v>
      </c>
      <c r="C67" s="96">
        <f t="shared" si="11"/>
        <v>7.3254582484725053E-4</v>
      </c>
      <c r="D67" s="96">
        <f t="shared" si="5"/>
        <v>9.156822810590632E-4</v>
      </c>
      <c r="E67" s="10">
        <f t="shared" si="6"/>
        <v>1.2819551934826882E-3</v>
      </c>
      <c r="F67" s="63">
        <f t="shared" ca="1" si="7"/>
        <v>7.7712557128938422E-4</v>
      </c>
      <c r="G67" s="96">
        <f t="shared" ca="1" si="8"/>
        <v>6.4965305301454483E-4</v>
      </c>
      <c r="H67" s="96">
        <f t="shared" ca="1" si="9"/>
        <v>6.6088069186061359E-4</v>
      </c>
      <c r="I67" s="10">
        <f t="shared" ca="1" si="10"/>
        <v>1.1931419127045634E-3</v>
      </c>
      <c r="J67" s="96"/>
      <c r="K67" s="96">
        <f t="shared" si="12"/>
        <v>8.9920000000000006E-5</v>
      </c>
      <c r="L67" s="96">
        <f t="shared" si="13"/>
        <v>111108.96441281139</v>
      </c>
      <c r="M67" s="96">
        <f t="shared" si="14"/>
        <v>99.909180800000001</v>
      </c>
      <c r="N67" s="96">
        <f t="shared" si="15"/>
        <v>111009.05523201138</v>
      </c>
    </row>
    <row r="68" spans="1:14" x14ac:dyDescent="0.25">
      <c r="A68" s="8">
        <v>45</v>
      </c>
      <c r="B68" s="96">
        <f>VLOOKUP((Year_of_pregnancy-Age_of_mother),'ONS mortality stats'!$A$88:$CX$169,A67+2,TRUE)/ONS_mortality_rate_per_value</f>
        <v>9.3310000000000008E-4</v>
      </c>
      <c r="C68" s="96">
        <f t="shared" si="11"/>
        <v>7.2600661349931923E-4</v>
      </c>
      <c r="D68" s="96">
        <f t="shared" si="5"/>
        <v>8.8935810153666615E-4</v>
      </c>
      <c r="E68" s="10">
        <f t="shared" si="6"/>
        <v>1.4701633923361213E-3</v>
      </c>
      <c r="F68" s="63">
        <f t="shared" ca="1" si="7"/>
        <v>8.6180332367652023E-4</v>
      </c>
      <c r="G68" s="96">
        <f t="shared" ca="1" si="8"/>
        <v>6.8455814128795859E-4</v>
      </c>
      <c r="H68" s="96">
        <f t="shared" ca="1" si="9"/>
        <v>6.5374842058420961E-4</v>
      </c>
      <c r="I68" s="10">
        <f t="shared" ca="1" si="10"/>
        <v>1.4846595366939863E-3</v>
      </c>
      <c r="J68" s="96"/>
      <c r="K68" s="96">
        <f t="shared" si="12"/>
        <v>9.3310000000000013E-5</v>
      </c>
      <c r="L68" s="96">
        <f t="shared" si="13"/>
        <v>107068.64955524592</v>
      </c>
      <c r="M68" s="96">
        <f t="shared" si="14"/>
        <v>99.905756899999986</v>
      </c>
      <c r="N68" s="96">
        <f t="shared" si="15"/>
        <v>106968.74379834594</v>
      </c>
    </row>
    <row r="69" spans="1:14" x14ac:dyDescent="0.25">
      <c r="A69" s="8">
        <v>46</v>
      </c>
      <c r="B69" s="96">
        <f>VLOOKUP((Year_of_pregnancy-Age_of_mother),'ONS mortality stats'!$A$88:$CX$169,A68+2,TRUE)/ONS_mortality_rate_per_value</f>
        <v>9.748999999999999E-4</v>
      </c>
      <c r="C69" s="96">
        <f t="shared" si="11"/>
        <v>7.5852946897490749E-4</v>
      </c>
      <c r="D69" s="96">
        <f t="shared" si="5"/>
        <v>9.2919859949426174E-4</v>
      </c>
      <c r="E69" s="10">
        <f t="shared" si="6"/>
        <v>1.5360221746741876E-3</v>
      </c>
      <c r="F69" s="63">
        <f t="shared" ca="1" si="7"/>
        <v>9.1840731468132786E-4</v>
      </c>
      <c r="G69" s="96">
        <f t="shared" ca="1" si="8"/>
        <v>7.2952051472883409E-4</v>
      </c>
      <c r="H69" s="96">
        <f t="shared" ca="1" si="9"/>
        <v>6.9668718480281398E-4</v>
      </c>
      <c r="I69" s="10">
        <f t="shared" ca="1" si="10"/>
        <v>1.5821732648863039E-3</v>
      </c>
      <c r="J69" s="96"/>
      <c r="K69" s="96">
        <f t="shared" si="12"/>
        <v>9.748999999999999E-5</v>
      </c>
      <c r="L69" s="96">
        <f t="shared" si="13"/>
        <v>102473.62303826034</v>
      </c>
      <c r="M69" s="96">
        <f t="shared" si="14"/>
        <v>99.90153509999999</v>
      </c>
      <c r="N69" s="96">
        <f t="shared" si="15"/>
        <v>102373.72150316034</v>
      </c>
    </row>
    <row r="70" spans="1:14" x14ac:dyDescent="0.25">
      <c r="A70" s="8">
        <v>47</v>
      </c>
      <c r="B70" s="96">
        <f>VLOOKUP((Year_of_pregnancy-Age_of_mother),'ONS mortality stats'!$A$88:$CX$169,A69+2,TRUE)/ONS_mortality_rate_per_value</f>
        <v>1.0298E-3</v>
      </c>
      <c r="C70" s="96">
        <f t="shared" si="11"/>
        <v>8.0124489398949615E-4</v>
      </c>
      <c r="D70" s="96">
        <f t="shared" si="5"/>
        <v>9.8152499513713275E-4</v>
      </c>
      <c r="E70" s="10">
        <f t="shared" si="6"/>
        <v>1.6225209103287296E-3</v>
      </c>
      <c r="F70" s="63">
        <f t="shared" ca="1" si="7"/>
        <v>1.0036065623899876E-3</v>
      </c>
      <c r="G70" s="96">
        <f t="shared" ca="1" si="8"/>
        <v>7.9719702170928815E-4</v>
      </c>
      <c r="H70" s="96">
        <f t="shared" ca="1" si="9"/>
        <v>7.6131779377619719E-4</v>
      </c>
      <c r="I70" s="10">
        <f t="shared" ca="1" si="10"/>
        <v>1.728949068778764E-3</v>
      </c>
      <c r="J70" s="96"/>
      <c r="K70" s="96">
        <f t="shared" si="12"/>
        <v>1.0298000000000001E-4</v>
      </c>
      <c r="L70" s="96">
        <f t="shared" si="13"/>
        <v>97005.234220236933</v>
      </c>
      <c r="M70" s="96">
        <f t="shared" si="14"/>
        <v>99.895990199999986</v>
      </c>
      <c r="N70" s="96">
        <f t="shared" si="15"/>
        <v>96905.338230036927</v>
      </c>
    </row>
    <row r="71" spans="1:14" x14ac:dyDescent="0.25">
      <c r="A71" s="8">
        <v>48</v>
      </c>
      <c r="B71" s="96">
        <f>VLOOKUP((Year_of_pregnancy-Age_of_mother),'ONS mortality stats'!$A$88:$CX$169,A70+2,TRUE)/ONS_mortality_rate_per_value</f>
        <v>1.0977999999999999E-3</v>
      </c>
      <c r="C71" s="96">
        <f t="shared" si="11"/>
        <v>8.5415288854308498E-4</v>
      </c>
      <c r="D71" s="96">
        <f t="shared" si="5"/>
        <v>1.0463372884652793E-3</v>
      </c>
      <c r="E71" s="10">
        <f t="shared" si="6"/>
        <v>1.7296595992997469E-3</v>
      </c>
      <c r="F71" s="63">
        <f t="shared" ca="1" si="7"/>
        <v>1.1484069293701271E-3</v>
      </c>
      <c r="G71" s="96">
        <f t="shared" ca="1" si="8"/>
        <v>9.1221661765940201E-4</v>
      </c>
      <c r="H71" s="96">
        <f t="shared" ca="1" si="9"/>
        <v>8.7116073428545444E-4</v>
      </c>
      <c r="I71" s="10">
        <f t="shared" ca="1" si="10"/>
        <v>1.9784018613680692E-3</v>
      </c>
      <c r="J71" s="96"/>
      <c r="K71" s="96">
        <f t="shared" si="12"/>
        <v>1.0978E-4</v>
      </c>
      <c r="L71" s="96">
        <f t="shared" si="13"/>
        <v>90990.27345600292</v>
      </c>
      <c r="M71" s="96">
        <f t="shared" si="14"/>
        <v>99.889122200000003</v>
      </c>
      <c r="N71" s="96">
        <f t="shared" si="15"/>
        <v>90890.384333802926</v>
      </c>
    </row>
    <row r="72" spans="1:14" x14ac:dyDescent="0.25">
      <c r="A72" s="8">
        <v>49</v>
      </c>
      <c r="B72" s="96">
        <f>VLOOKUP((Year_of_pregnancy-Age_of_mother),'ONS mortality stats'!$A$88:$CX$169,A71+2,TRUE)/ONS_mortality_rate_per_value</f>
        <v>1.1845999999999998E-3</v>
      </c>
      <c r="C72" s="96">
        <f t="shared" si="11"/>
        <v>9.2168838747325415E-4</v>
      </c>
      <c r="D72" s="96">
        <f t="shared" si="5"/>
        <v>1.1290682746547365E-3</v>
      </c>
      <c r="E72" s="10">
        <f t="shared" si="6"/>
        <v>1.8664189846333396E-3</v>
      </c>
      <c r="F72" s="63">
        <f t="shared" ca="1" si="7"/>
        <v>1.2679824387437089E-3</v>
      </c>
      <c r="G72" s="96">
        <f t="shared" ca="1" si="8"/>
        <v>1.0071992966436676E-3</v>
      </c>
      <c r="H72" s="96">
        <f t="shared" ca="1" si="9"/>
        <v>9.6186855386085632E-4</v>
      </c>
      <c r="I72" s="10">
        <f t="shared" ca="1" si="10"/>
        <v>2.1843988858274055E-3</v>
      </c>
      <c r="J72" s="96"/>
      <c r="K72" s="96">
        <f t="shared" si="12"/>
        <v>1.1845999999999999E-4</v>
      </c>
      <c r="L72" s="96">
        <f t="shared" si="13"/>
        <v>84315.680736113471</v>
      </c>
      <c r="M72" s="96">
        <f t="shared" si="14"/>
        <v>99.880355399999999</v>
      </c>
      <c r="N72" s="96">
        <f t="shared" si="15"/>
        <v>84215.800380713466</v>
      </c>
    </row>
    <row r="73" spans="1:14" x14ac:dyDescent="0.25">
      <c r="A73" s="8">
        <v>50</v>
      </c>
      <c r="B73" s="96">
        <f>VLOOKUP((Year_of_pregnancy-Age_of_mother),'ONS mortality stats'!$A$88:$CX$169,A72+2,TRUE)/ONS_mortality_rate_per_value</f>
        <v>1.2915000000000001E-3</v>
      </c>
      <c r="C73" s="96">
        <f t="shared" si="11"/>
        <v>1.0427937020589424E-3</v>
      </c>
      <c r="D73" s="96">
        <f t="shared" si="5"/>
        <v>1.2774222850222045E-3</v>
      </c>
      <c r="E73" s="10">
        <f t="shared" si="6"/>
        <v>2.1116572466693584E-3</v>
      </c>
      <c r="F73" s="63">
        <f t="shared" ca="1" si="7"/>
        <v>1.4448588451579925E-3</v>
      </c>
      <c r="G73" s="96">
        <f t="shared" ca="1" si="8"/>
        <v>1.2044708892891788E-3</v>
      </c>
      <c r="H73" s="96">
        <f t="shared" ca="1" si="9"/>
        <v>1.1502615979863591E-3</v>
      </c>
      <c r="I73" s="10">
        <f t="shared" ca="1" si="10"/>
        <v>2.6122385880752372E-3</v>
      </c>
      <c r="J73" s="96"/>
      <c r="K73" s="96">
        <f t="shared" si="12"/>
        <v>1.2915000000000002E-4</v>
      </c>
      <c r="L73" s="96">
        <f t="shared" si="13"/>
        <v>77328.345722028622</v>
      </c>
      <c r="M73" s="96">
        <f t="shared" si="14"/>
        <v>99.869558499999968</v>
      </c>
      <c r="N73" s="96">
        <f t="shared" si="15"/>
        <v>77228.476163528612</v>
      </c>
    </row>
    <row r="74" spans="1:14" x14ac:dyDescent="0.25">
      <c r="A74" s="8">
        <v>51</v>
      </c>
      <c r="B74" s="96">
        <f>VLOOKUP((Year_of_pregnancy-Age_of_mother),'ONS mortality stats'!$A$88:$CX$169,A73+2,TRUE)/ONS_mortality_rate_per_value</f>
        <v>1.4109999999999999E-3</v>
      </c>
      <c r="C74" s="96">
        <f t="shared" si="11"/>
        <v>1.1392813887767461E-3</v>
      </c>
      <c r="D74" s="96">
        <f t="shared" si="5"/>
        <v>1.395619701251514E-3</v>
      </c>
      <c r="E74" s="10">
        <f t="shared" si="6"/>
        <v>2.3070448122729107E-3</v>
      </c>
      <c r="F74" s="63">
        <f t="shared" ca="1" si="7"/>
        <v>1.4662825792939316E-3</v>
      </c>
      <c r="G74" s="96">
        <f t="shared" ca="1" si="8"/>
        <v>1.2223302561007428E-3</v>
      </c>
      <c r="H74" s="96">
        <f t="shared" ca="1" si="9"/>
        <v>1.1673171731690997E-3</v>
      </c>
      <c r="I74" s="10">
        <f t="shared" ca="1" si="10"/>
        <v>2.650971717749538E-3</v>
      </c>
      <c r="J74" s="96"/>
      <c r="K74" s="96">
        <f t="shared" si="12"/>
        <v>1.4109999999999999E-4</v>
      </c>
      <c r="L74" s="96">
        <f t="shared" si="13"/>
        <v>70770.722182849044</v>
      </c>
      <c r="M74" s="96">
        <f t="shared" si="14"/>
        <v>99.857489000000001</v>
      </c>
      <c r="N74" s="96">
        <f t="shared" si="15"/>
        <v>70670.864693849042</v>
      </c>
    </row>
    <row r="75" spans="1:14" x14ac:dyDescent="0.25">
      <c r="A75" s="8">
        <v>52</v>
      </c>
      <c r="B75" s="96">
        <f>VLOOKUP((Year_of_pregnancy-Age_of_mother),'ONS mortality stats'!$A$88:$CX$169,A74+2,TRUE)/ONS_mortality_rate_per_value</f>
        <v>1.5399000000000001E-3</v>
      </c>
      <c r="C75" s="96">
        <f t="shared" si="11"/>
        <v>1.2433589018974566E-3</v>
      </c>
      <c r="D75" s="96">
        <f t="shared" si="5"/>
        <v>1.5231146548243845E-3</v>
      </c>
      <c r="E75" s="10">
        <f t="shared" si="6"/>
        <v>2.5178017763423494E-3</v>
      </c>
      <c r="F75" s="63">
        <f t="shared" ca="1" si="7"/>
        <v>1.444350079566444E-3</v>
      </c>
      <c r="G75" s="96">
        <f t="shared" ca="1" si="8"/>
        <v>1.2040467694199295E-3</v>
      </c>
      <c r="H75" s="96">
        <f t="shared" ca="1" si="9"/>
        <v>1.1498565663638611E-3</v>
      </c>
      <c r="I75" s="10">
        <f t="shared" ca="1" si="10"/>
        <v>2.6113187631975469E-3</v>
      </c>
      <c r="J75" s="96"/>
      <c r="K75" s="96">
        <f t="shared" si="12"/>
        <v>1.5399000000000001E-4</v>
      </c>
      <c r="L75" s="96">
        <f t="shared" si="13"/>
        <v>64838.281771543603</v>
      </c>
      <c r="M75" s="96">
        <f t="shared" si="14"/>
        <v>99.844470099999995</v>
      </c>
      <c r="N75" s="96">
        <f t="shared" si="15"/>
        <v>64738.437301443591</v>
      </c>
    </row>
    <row r="76" spans="1:14" x14ac:dyDescent="0.25">
      <c r="A76" s="8">
        <v>53</v>
      </c>
      <c r="B76" s="96">
        <f>VLOOKUP((Year_of_pregnancy-Age_of_mother),'ONS mortality stats'!$A$88:$CX$169,A75+2,TRUE)/ONS_mortality_rate_per_value</f>
        <v>1.6822999999999999E-3</v>
      </c>
      <c r="C76" s="96">
        <f t="shared" si="11"/>
        <v>1.3583366976180863E-3</v>
      </c>
      <c r="D76" s="96">
        <f t="shared" si="5"/>
        <v>1.6639624545821557E-3</v>
      </c>
      <c r="E76" s="10">
        <f t="shared" si="6"/>
        <v>2.7506318126766247E-3</v>
      </c>
      <c r="F76" s="63">
        <f t="shared" ca="1" si="7"/>
        <v>1.2971964094655548E-3</v>
      </c>
      <c r="G76" s="96">
        <f t="shared" ca="1" si="8"/>
        <v>1.0813757469303911E-3</v>
      </c>
      <c r="H76" s="96">
        <f t="shared" ca="1" si="9"/>
        <v>1.0327065649730347E-3</v>
      </c>
      <c r="I76" s="10">
        <f t="shared" ca="1" si="10"/>
        <v>2.3452716702911094E-3</v>
      </c>
      <c r="J76" s="96"/>
      <c r="K76" s="96">
        <f t="shared" si="12"/>
        <v>1.6823000000000001E-4</v>
      </c>
      <c r="L76" s="96">
        <f t="shared" si="13"/>
        <v>59341.430006538656</v>
      </c>
      <c r="M76" s="96">
        <f t="shared" si="14"/>
        <v>99.830087699999979</v>
      </c>
      <c r="N76" s="96">
        <f t="shared" si="15"/>
        <v>59241.599918838656</v>
      </c>
    </row>
    <row r="77" spans="1:14" x14ac:dyDescent="0.25">
      <c r="A77" s="8">
        <v>54</v>
      </c>
      <c r="B77" s="96">
        <f>VLOOKUP((Year_of_pregnancy-Age_of_mother),'ONS mortality stats'!$A$88:$CX$169,A76+2,TRUE)/ONS_mortality_rate_per_value</f>
        <v>1.8361000000000002E-3</v>
      </c>
      <c r="C77" s="96">
        <f t="shared" si="11"/>
        <v>1.4825191764230928E-3</v>
      </c>
      <c r="D77" s="96">
        <f t="shared" si="5"/>
        <v>1.8160859911182888E-3</v>
      </c>
      <c r="E77" s="10">
        <f t="shared" si="6"/>
        <v>3.0021013322567625E-3</v>
      </c>
      <c r="F77" s="63">
        <f t="shared" ca="1" si="7"/>
        <v>1.8469144348486344E-3</v>
      </c>
      <c r="G77" s="96">
        <f t="shared" ca="1" si="8"/>
        <v>1.5396346011501941E-3</v>
      </c>
      <c r="H77" s="96">
        <f t="shared" ca="1" si="9"/>
        <v>1.4703406884987167E-3</v>
      </c>
      <c r="I77" s="10">
        <f t="shared" ca="1" si="10"/>
        <v>3.3391366718990554E-3</v>
      </c>
      <c r="J77" s="96"/>
      <c r="K77" s="96">
        <f t="shared" si="12"/>
        <v>1.8361000000000004E-4</v>
      </c>
      <c r="L77" s="96">
        <f t="shared" si="13"/>
        <v>54362.264528075793</v>
      </c>
      <c r="M77" s="96">
        <f t="shared" si="14"/>
        <v>99.814553899999979</v>
      </c>
      <c r="N77" s="96">
        <f t="shared" si="15"/>
        <v>54262.449974175797</v>
      </c>
    </row>
    <row r="78" spans="1:14" x14ac:dyDescent="0.25">
      <c r="A78" s="8">
        <v>55</v>
      </c>
      <c r="B78" s="96">
        <f>VLOOKUP((Year_of_pregnancy-Age_of_mother),'ONS mortality stats'!$A$88:$CX$169,A77+2,TRUE)/ONS_mortality_rate_per_value</f>
        <v>1.9957E-3</v>
      </c>
      <c r="C78" s="96">
        <f t="shared" si="11"/>
        <v>1.5314337641357029E-3</v>
      </c>
      <c r="D78" s="96">
        <f t="shared" si="5"/>
        <v>2.1601276252019388E-3</v>
      </c>
      <c r="E78" s="10">
        <f t="shared" si="6"/>
        <v>3.2724321486268175E-3</v>
      </c>
      <c r="F78" s="63">
        <f t="shared" ca="1" si="7"/>
        <v>2.5558277047106337E-3</v>
      </c>
      <c r="G78" s="96">
        <f t="shared" ca="1" si="8"/>
        <v>1.8993303526269577E-3</v>
      </c>
      <c r="H78" s="96">
        <f t="shared" ca="1" si="9"/>
        <v>2.6944888350034562E-3</v>
      </c>
      <c r="I78" s="10">
        <f t="shared" ca="1" si="10"/>
        <v>4.4863265543676053E-3</v>
      </c>
      <c r="J78" s="96"/>
      <c r="K78" s="96">
        <f t="shared" si="12"/>
        <v>1.9957000000000002E-4</v>
      </c>
      <c r="L78" s="96">
        <f t="shared" si="13"/>
        <v>50006.731622989413</v>
      </c>
      <c r="M78" s="96">
        <f t="shared" si="14"/>
        <v>99.798434299999968</v>
      </c>
      <c r="N78" s="96">
        <f t="shared" si="15"/>
        <v>49906.933188689414</v>
      </c>
    </row>
    <row r="79" spans="1:14" x14ac:dyDescent="0.25">
      <c r="A79" s="8">
        <v>56</v>
      </c>
      <c r="B79" s="96">
        <f>VLOOKUP((Year_of_pregnancy-Age_of_mother),'ONS mortality stats'!$A$88:$CX$169,A78+2,TRUE)/ONS_mortality_rate_per_value</f>
        <v>2.1638E-3</v>
      </c>
      <c r="C79" s="96">
        <f t="shared" si="11"/>
        <v>1.6604281098546042E-3</v>
      </c>
      <c r="D79" s="96">
        <f t="shared" si="5"/>
        <v>2.342077544426494E-3</v>
      </c>
      <c r="E79" s="10">
        <f t="shared" si="6"/>
        <v>3.5480726978998384E-3</v>
      </c>
      <c r="F79" s="63">
        <f t="shared" ca="1" si="7"/>
        <v>2.2792039184177382E-3</v>
      </c>
      <c r="G79" s="96">
        <f t="shared" ca="1" si="8"/>
        <v>1.6937609581813432E-3</v>
      </c>
      <c r="H79" s="96">
        <f t="shared" ca="1" si="9"/>
        <v>2.4028573990154899E-3</v>
      </c>
      <c r="I79" s="10">
        <f t="shared" ca="1" si="10"/>
        <v>4.0007599272713417E-3</v>
      </c>
      <c r="J79" s="96"/>
      <c r="K79" s="96">
        <f t="shared" si="12"/>
        <v>2.1638000000000001E-4</v>
      </c>
      <c r="L79" s="96">
        <f t="shared" si="13"/>
        <v>46113.992143451331</v>
      </c>
      <c r="M79" s="96">
        <f t="shared" si="14"/>
        <v>99.781456199999994</v>
      </c>
      <c r="N79" s="96">
        <f t="shared" si="15"/>
        <v>46014.210687251332</v>
      </c>
    </row>
    <row r="80" spans="1:14" x14ac:dyDescent="0.25">
      <c r="A80" s="8">
        <v>57</v>
      </c>
      <c r="B80" s="96">
        <f>VLOOKUP((Year_of_pregnancy-Age_of_mother),'ONS mortality stats'!$A$88:$CX$169,A79+2,TRUE)/ONS_mortality_rate_per_value</f>
        <v>2.3427999999999999E-3</v>
      </c>
      <c r="C80" s="96">
        <f t="shared" si="11"/>
        <v>1.7977867528271405E-3</v>
      </c>
      <c r="D80" s="96">
        <f t="shared" si="5"/>
        <v>2.5358255250403877E-3</v>
      </c>
      <c r="E80" s="10">
        <f t="shared" si="6"/>
        <v>3.8415864297253635E-3</v>
      </c>
      <c r="F80" s="63">
        <f t="shared" ca="1" si="7"/>
        <v>2.1346126803867813E-3</v>
      </c>
      <c r="G80" s="96">
        <f t="shared" ca="1" si="8"/>
        <v>1.5863098468994901E-3</v>
      </c>
      <c r="H80" s="96">
        <f t="shared" ca="1" si="9"/>
        <v>2.2504216633062045E-3</v>
      </c>
      <c r="I80" s="10">
        <f t="shared" ca="1" si="10"/>
        <v>3.746954277731045E-3</v>
      </c>
      <c r="J80" s="96"/>
      <c r="K80" s="96">
        <f t="shared" si="12"/>
        <v>2.3428000000000001E-4</v>
      </c>
      <c r="L80" s="96">
        <f t="shared" si="13"/>
        <v>42582.967901656135</v>
      </c>
      <c r="M80" s="96">
        <f t="shared" si="14"/>
        <v>99.763377199999994</v>
      </c>
      <c r="N80" s="96">
        <f t="shared" si="15"/>
        <v>42483.204524456138</v>
      </c>
    </row>
    <row r="81" spans="1:14" x14ac:dyDescent="0.25">
      <c r="A81" s="8">
        <v>58</v>
      </c>
      <c r="B81" s="96">
        <f>VLOOKUP((Year_of_pregnancy-Age_of_mother),'ONS mortality stats'!$A$88:$CX$169,A80+2,TRUE)/ONS_mortality_rate_per_value</f>
        <v>2.5333999999999999E-3</v>
      </c>
      <c r="C81" s="96">
        <f t="shared" si="11"/>
        <v>1.9440468497576736E-3</v>
      </c>
      <c r="D81" s="96">
        <f t="shared" si="5"/>
        <v>2.7421292407108235E-3</v>
      </c>
      <c r="E81" s="10">
        <f t="shared" si="6"/>
        <v>4.1541211631663973E-3</v>
      </c>
      <c r="F81" s="63">
        <f t="shared" ca="1" si="7"/>
        <v>3.291946307609761E-3</v>
      </c>
      <c r="G81" s="96">
        <f t="shared" ca="1" si="8"/>
        <v>2.4463673860869095E-3</v>
      </c>
      <c r="H81" s="96">
        <f t="shared" ca="1" si="9"/>
        <v>3.4705440256934741E-3</v>
      </c>
      <c r="I81" s="10">
        <f t="shared" ca="1" si="10"/>
        <v>5.7784592084051114E-3</v>
      </c>
      <c r="J81" s="96"/>
      <c r="K81" s="96">
        <f t="shared" si="12"/>
        <v>2.5334000000000001E-4</v>
      </c>
      <c r="L81" s="96">
        <f t="shared" si="13"/>
        <v>39371.645456698505</v>
      </c>
      <c r="M81" s="96">
        <f t="shared" si="14"/>
        <v>99.744126599999987</v>
      </c>
      <c r="N81" s="96">
        <f t="shared" si="15"/>
        <v>39271.901330098503</v>
      </c>
    </row>
    <row r="82" spans="1:14" x14ac:dyDescent="0.25">
      <c r="A82" s="8">
        <v>59</v>
      </c>
      <c r="B82" s="96">
        <f>VLOOKUP((Year_of_pregnancy-Age_of_mother),'ONS mortality stats'!$A$88:$CX$169,A81+2,TRUE)/ONS_mortality_rate_per_value</f>
        <v>2.7355000000000001E-3</v>
      </c>
      <c r="C82" s="96">
        <f t="shared" si="11"/>
        <v>2.0991316639741519E-3</v>
      </c>
      <c r="D82" s="96">
        <f t="shared" si="5"/>
        <v>2.9608804523424876E-3</v>
      </c>
      <c r="E82" s="10">
        <f t="shared" si="6"/>
        <v>4.4855129240710823E-3</v>
      </c>
      <c r="F82" s="63">
        <f t="shared" ca="1" si="7"/>
        <v>2.8410478753085888E-3</v>
      </c>
      <c r="G82" s="96">
        <f t="shared" ca="1" si="8"/>
        <v>2.1112880390545992E-3</v>
      </c>
      <c r="H82" s="96">
        <f t="shared" ca="1" si="9"/>
        <v>2.9951830342945553E-3</v>
      </c>
      <c r="I82" s="10">
        <f t="shared" ca="1" si="10"/>
        <v>4.9869826912568244E-3</v>
      </c>
      <c r="J82" s="96"/>
      <c r="K82" s="96">
        <f t="shared" si="12"/>
        <v>2.7355000000000001E-4</v>
      </c>
      <c r="L82" s="96">
        <f t="shared" si="13"/>
        <v>36455.388228842996</v>
      </c>
      <c r="M82" s="96">
        <f t="shared" si="14"/>
        <v>99.723714500000014</v>
      </c>
      <c r="N82" s="96">
        <f t="shared" si="15"/>
        <v>36355.664514343</v>
      </c>
    </row>
    <row r="83" spans="1:14" x14ac:dyDescent="0.25">
      <c r="A83" s="8">
        <v>60</v>
      </c>
      <c r="B83" s="96">
        <f>VLOOKUP((Year_of_pregnancy-Age_of_mother),'ONS mortality stats'!$A$88:$CX$169,A82+2,TRUE)/ONS_mortality_rate_per_value</f>
        <v>2.9494999999999999E-3</v>
      </c>
      <c r="C83" s="96">
        <f t="shared" si="11"/>
        <v>2.3416555239846233E-3</v>
      </c>
      <c r="D83" s="96">
        <f t="shared" si="5"/>
        <v>3.3029667390941002E-3</v>
      </c>
      <c r="E83" s="10">
        <f t="shared" si="6"/>
        <v>5.0037481196724054E-3</v>
      </c>
      <c r="F83" s="63">
        <f t="shared" ca="1" si="7"/>
        <v>3.0218728940907269E-3</v>
      </c>
      <c r="G83" s="96">
        <f t="shared" ca="1" si="8"/>
        <v>2.3442772624682217E-3</v>
      </c>
      <c r="H83" s="96">
        <f t="shared" ca="1" si="9"/>
        <v>3.325713665943674E-3</v>
      </c>
      <c r="I83" s="10">
        <f t="shared" ca="1" si="10"/>
        <v>5.5373165173004703E-3</v>
      </c>
      <c r="J83" s="96"/>
      <c r="K83" s="96">
        <f t="shared" si="12"/>
        <v>2.9494999999999999E-4</v>
      </c>
      <c r="L83" s="96">
        <f t="shared" si="13"/>
        <v>33803.05153415833</v>
      </c>
      <c r="M83" s="96">
        <f t="shared" si="14"/>
        <v>99.702100499999986</v>
      </c>
      <c r="N83" s="96">
        <f t="shared" si="15"/>
        <v>33703.349433658332</v>
      </c>
    </row>
    <row r="84" spans="1:14" x14ac:dyDescent="0.25">
      <c r="A84" s="8">
        <v>61</v>
      </c>
      <c r="B84" s="96">
        <f>VLOOKUP((Year_of_pregnancy-Age_of_mother),'ONS mortality stats'!$A$88:$CX$169,A83+2,TRUE)/ONS_mortality_rate_per_value</f>
        <v>3.1814E-3</v>
      </c>
      <c r="C84" s="96">
        <f t="shared" si="11"/>
        <v>2.52576466655524E-3</v>
      </c>
      <c r="D84" s="96">
        <f t="shared" si="5"/>
        <v>3.562657529667391E-3</v>
      </c>
      <c r="E84" s="10">
        <f t="shared" si="6"/>
        <v>5.3971602874811975E-3</v>
      </c>
      <c r="F84" s="63">
        <f t="shared" ca="1" si="7"/>
        <v>2.6620010613479504E-3</v>
      </c>
      <c r="G84" s="96">
        <f t="shared" ca="1" si="8"/>
        <v>2.0650996185139063E-3</v>
      </c>
      <c r="H84" s="96">
        <f t="shared" ca="1" si="9"/>
        <v>2.9296577383494823E-3</v>
      </c>
      <c r="I84" s="10">
        <f t="shared" ca="1" si="10"/>
        <v>4.8778830092086707E-3</v>
      </c>
      <c r="J84" s="96"/>
      <c r="K84" s="96">
        <f t="shared" si="12"/>
        <v>3.1814000000000001E-4</v>
      </c>
      <c r="L84" s="96">
        <f t="shared" si="13"/>
        <v>31331.70258376815</v>
      </c>
      <c r="M84" s="96">
        <f t="shared" si="14"/>
        <v>99.678678599999998</v>
      </c>
      <c r="N84" s="96">
        <f t="shared" si="15"/>
        <v>31232.023905168149</v>
      </c>
    </row>
    <row r="85" spans="1:14" x14ac:dyDescent="0.25">
      <c r="A85" s="8">
        <v>62</v>
      </c>
      <c r="B85" s="96">
        <f>VLOOKUP((Year_of_pregnancy-Age_of_mother),'ONS mortality stats'!$A$88:$CX$169,A84+2,TRUE)/ONS_mortality_rate_per_value</f>
        <v>3.4300999999999997E-3</v>
      </c>
      <c r="C85" s="96">
        <f t="shared" si="11"/>
        <v>2.7232115995320075E-3</v>
      </c>
      <c r="D85" s="96">
        <f t="shared" si="5"/>
        <v>3.8411616246030421E-3</v>
      </c>
      <c r="E85" s="10">
        <f t="shared" si="6"/>
        <v>5.8190732074210267E-3</v>
      </c>
      <c r="F85" s="63">
        <f t="shared" ca="1" si="7"/>
        <v>3.5461272120842491E-3</v>
      </c>
      <c r="G85" s="96">
        <f t="shared" ca="1" si="8"/>
        <v>2.7509778486597535E-3</v>
      </c>
      <c r="H85" s="96">
        <f t="shared" ca="1" si="9"/>
        <v>3.9026802727094617E-3</v>
      </c>
      <c r="I85" s="10">
        <f t="shared" ca="1" si="10"/>
        <v>6.4979664837396178E-3</v>
      </c>
      <c r="J85" s="96"/>
      <c r="K85" s="96">
        <f t="shared" si="12"/>
        <v>3.4300999999999998E-4</v>
      </c>
      <c r="L85" s="96">
        <f t="shared" si="13"/>
        <v>29052.668989242295</v>
      </c>
      <c r="M85" s="96">
        <f t="shared" si="14"/>
        <v>99.653559899999991</v>
      </c>
      <c r="N85" s="96">
        <f t="shared" si="15"/>
        <v>28953.015429342297</v>
      </c>
    </row>
    <row r="86" spans="1:14" x14ac:dyDescent="0.25">
      <c r="A86" s="8">
        <v>63</v>
      </c>
      <c r="B86" s="96">
        <f>VLOOKUP((Year_of_pregnancy-Age_of_mother),'ONS mortality stats'!$A$88:$CX$169,A85+2,TRUE)/ONS_mortality_rate_per_value</f>
        <v>3.6982999999999999E-3</v>
      </c>
      <c r="C86" s="96">
        <f t="shared" si="11"/>
        <v>2.9361398963730573E-3</v>
      </c>
      <c r="D86" s="96">
        <f t="shared" si="5"/>
        <v>4.1415025906735752E-3</v>
      </c>
      <c r="E86" s="10">
        <f t="shared" si="6"/>
        <v>6.2740673575129536E-3</v>
      </c>
      <c r="F86" s="63">
        <f t="shared" ca="1" si="7"/>
        <v>4.0296801957653283E-3</v>
      </c>
      <c r="G86" s="96">
        <f t="shared" ca="1" si="8"/>
        <v>3.1261035751782122E-3</v>
      </c>
      <c r="H86" s="96">
        <f t="shared" ca="1" si="9"/>
        <v>4.4348531411251913E-3</v>
      </c>
      <c r="I86" s="10">
        <f t="shared" ca="1" si="10"/>
        <v>7.3840348318700722E-3</v>
      </c>
      <c r="J86" s="96"/>
      <c r="K86" s="96">
        <f t="shared" si="12"/>
        <v>3.6983000000000003E-4</v>
      </c>
      <c r="L86" s="96">
        <f t="shared" si="13"/>
        <v>26938.45055836465</v>
      </c>
      <c r="M86" s="96">
        <f t="shared" si="14"/>
        <v>99.626471699999982</v>
      </c>
      <c r="N86" s="96">
        <f t="shared" si="15"/>
        <v>26838.824086664648</v>
      </c>
    </row>
    <row r="87" spans="1:14" x14ac:dyDescent="0.25">
      <c r="A87" s="8">
        <v>64</v>
      </c>
      <c r="B87" s="96">
        <f>VLOOKUP((Year_of_pregnancy-Age_of_mother),'ONS mortality stats'!$A$88:$CX$169,A86+2,TRUE)/ONS_mortality_rate_per_value</f>
        <v>3.9843999999999999E-3</v>
      </c>
      <c r="C87" s="96">
        <f t="shared" ref="C87:C118" si="16">B87/((VLOOKUP($A87,$A$3:$E$9,2)*1)+(VLOOKUP($A87,$A$3:$E$9,3)*VLOOKUP($A87,$A$13:$E$19,2))+(VLOOKUP($A87,$A$3:$E$9,4)*VLOOKUP($A87,$A$13:$E$19,3)))</f>
        <v>3.1632792913254223E-3</v>
      </c>
      <c r="D87" s="96">
        <f t="shared" si="5"/>
        <v>4.4618886846063853E-3</v>
      </c>
      <c r="E87" s="10">
        <f t="shared" si="6"/>
        <v>6.7594283804111657E-3</v>
      </c>
      <c r="F87" s="63">
        <f t="shared" ca="1" si="7"/>
        <v>3.477757178700025E-3</v>
      </c>
      <c r="G87" s="96">
        <f t="shared" ca="1" si="8"/>
        <v>2.6979384521284653E-3</v>
      </c>
      <c r="H87" s="96">
        <f t="shared" ca="1" si="9"/>
        <v>3.8274358258594374E-3</v>
      </c>
      <c r="I87" s="10">
        <f t="shared" ca="1" si="10"/>
        <v>6.3726844058973713E-3</v>
      </c>
      <c r="J87" s="96"/>
      <c r="K87" s="96">
        <f t="shared" ref="K87:K118" si="17">0.1*B87</f>
        <v>3.9844000000000001E-4</v>
      </c>
      <c r="L87" s="96">
        <f t="shared" ref="L87:L118" si="18">((B87*(1-B87))/(K87^2))-1</f>
        <v>24996.881738781245</v>
      </c>
      <c r="M87" s="96">
        <f t="shared" ref="M87:M118" si="19">B87*L87</f>
        <v>99.597575599999985</v>
      </c>
      <c r="N87" s="96">
        <f t="shared" ref="N87:N118" si="20">M87*((1-B87)/B87)</f>
        <v>24897.284163181244</v>
      </c>
    </row>
    <row r="88" spans="1:14" x14ac:dyDescent="0.25">
      <c r="A88" s="8">
        <v>65</v>
      </c>
      <c r="B88" s="96">
        <f>VLOOKUP((Year_of_pregnancy-Age_of_mother),'ONS mortality stats'!$A$88:$CX$169,A87+2,TRUE)/ONS_mortality_rate_per_value</f>
        <v>4.2937000000000001E-3</v>
      </c>
      <c r="C88" s="96">
        <f t="shared" si="16"/>
        <v>3.5252785283724801E-3</v>
      </c>
      <c r="D88" s="96">
        <f t="shared" ref="D88:D124" si="21">C88*VLOOKUP($A88,$A$13:$E$19,2)</f>
        <v>4.7003713711633076E-3</v>
      </c>
      <c r="E88" s="10">
        <f t="shared" ref="E88:E124" si="22">C88*VLOOKUP($A88,$A$13:$E$19,3)</f>
        <v>6.991058684958083E-3</v>
      </c>
      <c r="F88" s="63">
        <f t="shared" ref="F88:F124" ca="1" si="23">_xlfn.BETA.INV(RAND(),M88,N88)</f>
        <v>4.3343116117552372E-3</v>
      </c>
      <c r="G88" s="96">
        <f t="shared" ref="G88:G124" ca="1" si="24">F88/((VLOOKUP($A88,$A$3:$E$9,2)*1)+(VLOOKUP($A88,$A$3:$E$9,3)*VLOOKUP($A88,$A$13:$E$19,4))+(VLOOKUP($A88,$A$3:$E$9,4)*VLOOKUP($A88,$A$13:$E$19,5)))</f>
        <v>3.5862570935146455E-3</v>
      </c>
      <c r="H88" s="96">
        <f t="shared" ref="H88:H124" ca="1" si="25">G88*VLOOKUP($A88,$A$13:$E$19,4)</f>
        <v>4.2872603679536027E-3</v>
      </c>
      <c r="I88" s="10">
        <f t="shared" ref="I88:I124" ca="1" si="26">G88*VLOOKUP($A88,$A$13:$E$19,5)</f>
        <v>8.0675365594221806E-3</v>
      </c>
      <c r="J88" s="96"/>
      <c r="K88" s="96">
        <f t="shared" si="17"/>
        <v>4.2937000000000004E-4</v>
      </c>
      <c r="L88" s="96">
        <f t="shared" si="18"/>
        <v>23188.936418473575</v>
      </c>
      <c r="M88" s="96">
        <f t="shared" si="19"/>
        <v>99.566336299999989</v>
      </c>
      <c r="N88" s="96">
        <f t="shared" si="20"/>
        <v>23089.370082173577</v>
      </c>
    </row>
    <row r="89" spans="1:14" x14ac:dyDescent="0.25">
      <c r="A89" s="8">
        <v>66</v>
      </c>
      <c r="B89" s="96">
        <f>VLOOKUP((Year_of_pregnancy-Age_of_mother),'ONS mortality stats'!$A$88:$CX$169,A88+2,TRUE)/ONS_mortality_rate_per_value</f>
        <v>4.633E-3</v>
      </c>
      <c r="C89" s="96">
        <f t="shared" si="16"/>
        <v>3.803855747245895E-3</v>
      </c>
      <c r="D89" s="96">
        <f t="shared" si="21"/>
        <v>5.0718076629945276E-3</v>
      </c>
      <c r="E89" s="10">
        <f t="shared" si="22"/>
        <v>7.543511397491859E-3</v>
      </c>
      <c r="F89" s="63">
        <f t="shared" ca="1" si="23"/>
        <v>4.762001030407137E-3</v>
      </c>
      <c r="G89" s="96">
        <f t="shared" ca="1" si="24"/>
        <v>3.9401320219581027E-3</v>
      </c>
      <c r="H89" s="96">
        <f t="shared" ca="1" si="25"/>
        <v>4.7103069918757023E-3</v>
      </c>
      <c r="I89" s="10">
        <f t="shared" ca="1" si="26"/>
        <v>8.8636030009060542E-3</v>
      </c>
      <c r="J89" s="96"/>
      <c r="K89" s="96">
        <f t="shared" si="17"/>
        <v>4.6330000000000004E-4</v>
      </c>
      <c r="L89" s="96">
        <f t="shared" si="18"/>
        <v>21483.286639326569</v>
      </c>
      <c r="M89" s="96">
        <f t="shared" si="19"/>
        <v>99.532066999999998</v>
      </c>
      <c r="N89" s="96">
        <f t="shared" si="20"/>
        <v>21383.754572326568</v>
      </c>
    </row>
    <row r="90" spans="1:14" x14ac:dyDescent="0.25">
      <c r="A90" s="8">
        <v>67</v>
      </c>
      <c r="B90" s="96">
        <f>VLOOKUP((Year_of_pregnancy-Age_of_mother),'ONS mortality stats'!$A$88:$CX$169,A89+2,TRUE)/ONS_mortality_rate_per_value</f>
        <v>5.0032999999999996E-3</v>
      </c>
      <c r="C90" s="96">
        <f t="shared" si="16"/>
        <v>4.1078850550821033E-3</v>
      </c>
      <c r="D90" s="96">
        <f t="shared" si="21"/>
        <v>5.4771800734428047E-3</v>
      </c>
      <c r="E90" s="10">
        <f t="shared" si="22"/>
        <v>8.146438716829487E-3</v>
      </c>
      <c r="F90" s="63">
        <f t="shared" ca="1" si="23"/>
        <v>4.1637128019651965E-3</v>
      </c>
      <c r="G90" s="96">
        <f t="shared" ca="1" si="24"/>
        <v>3.4451017621592865E-3</v>
      </c>
      <c r="H90" s="96">
        <f t="shared" ca="1" si="25"/>
        <v>4.118513498427831E-3</v>
      </c>
      <c r="I90" s="10">
        <f t="shared" ca="1" si="26"/>
        <v>7.7499977532038368E-3</v>
      </c>
      <c r="J90" s="96"/>
      <c r="K90" s="96">
        <f t="shared" si="17"/>
        <v>5.0033E-4</v>
      </c>
      <c r="L90" s="96">
        <f t="shared" si="18"/>
        <v>19885.808706253869</v>
      </c>
      <c r="M90" s="96">
        <f t="shared" si="19"/>
        <v>99.494666699999968</v>
      </c>
      <c r="N90" s="96">
        <f t="shared" si="20"/>
        <v>19786.314039553868</v>
      </c>
    </row>
    <row r="91" spans="1:14" x14ac:dyDescent="0.25">
      <c r="A91" s="8">
        <v>68</v>
      </c>
      <c r="B91" s="96">
        <f>VLOOKUP((Year_of_pregnancy-Age_of_mother),'ONS mortality stats'!$A$88:$CX$169,A90+2,TRUE)/ONS_mortality_rate_per_value</f>
        <v>5.4339000000000002E-3</v>
      </c>
      <c r="C91" s="96">
        <f t="shared" si="16"/>
        <v>4.4614227811265858E-3</v>
      </c>
      <c r="D91" s="96">
        <f t="shared" si="21"/>
        <v>5.9485637081687819E-3</v>
      </c>
      <c r="E91" s="10">
        <f t="shared" si="22"/>
        <v>8.8475472874662252E-3</v>
      </c>
      <c r="F91" s="63">
        <f t="shared" ca="1" si="23"/>
        <v>5.5564538887650228E-3</v>
      </c>
      <c r="G91" s="96">
        <f t="shared" ca="1" si="24"/>
        <v>4.5974710538407614E-3</v>
      </c>
      <c r="H91" s="96">
        <f t="shared" ca="1" si="25"/>
        <v>5.4961356444828699E-3</v>
      </c>
      <c r="I91" s="10">
        <f t="shared" ca="1" si="26"/>
        <v>1.0342333201604331E-2</v>
      </c>
      <c r="J91" s="96"/>
      <c r="K91" s="96">
        <f t="shared" si="17"/>
        <v>5.4339000000000004E-4</v>
      </c>
      <c r="L91" s="96">
        <f t="shared" si="18"/>
        <v>18301.988645355999</v>
      </c>
      <c r="M91" s="96">
        <f t="shared" si="19"/>
        <v>99.451176099999969</v>
      </c>
      <c r="N91" s="96">
        <f t="shared" si="20"/>
        <v>18202.537469256</v>
      </c>
    </row>
    <row r="92" spans="1:14" x14ac:dyDescent="0.25">
      <c r="A92" s="8">
        <v>69</v>
      </c>
      <c r="B92" s="96">
        <f>VLOOKUP((Year_of_pregnancy-Age_of_mother),'ONS mortality stats'!$A$88:$CX$169,A91+2,TRUE)/ONS_mortality_rate_per_value</f>
        <v>5.9302000000000001E-3</v>
      </c>
      <c r="C92" s="96">
        <f t="shared" si="16"/>
        <v>4.8689025150696324E-3</v>
      </c>
      <c r="D92" s="96">
        <f t="shared" si="21"/>
        <v>6.4918700200928435E-3</v>
      </c>
      <c r="E92" s="10">
        <f t="shared" si="22"/>
        <v>9.6556294602646725E-3</v>
      </c>
      <c r="F92" s="63">
        <f t="shared" ca="1" si="23"/>
        <v>5.6663668220718203E-3</v>
      </c>
      <c r="G92" s="96">
        <f t="shared" ca="1" si="24"/>
        <v>4.6884142236099692E-3</v>
      </c>
      <c r="H92" s="96">
        <f t="shared" ca="1" si="25"/>
        <v>5.6048554147951233E-3</v>
      </c>
      <c r="I92" s="10">
        <f t="shared" ca="1" si="26"/>
        <v>1.0546916232829174E-2</v>
      </c>
      <c r="J92" s="96"/>
      <c r="K92" s="96">
        <f t="shared" si="17"/>
        <v>5.9302000000000009E-4</v>
      </c>
      <c r="L92" s="96">
        <f t="shared" si="18"/>
        <v>16761.837678324504</v>
      </c>
      <c r="M92" s="96">
        <f t="shared" si="19"/>
        <v>99.401049799999967</v>
      </c>
      <c r="N92" s="96">
        <f t="shared" si="20"/>
        <v>16662.436628524501</v>
      </c>
    </row>
    <row r="93" spans="1:14" x14ac:dyDescent="0.25">
      <c r="A93" s="8">
        <v>70</v>
      </c>
      <c r="B93" s="96">
        <f>VLOOKUP((Year_of_pregnancy-Age_of_mother),'ONS mortality stats'!$A$88:$CX$169,A92+2,TRUE)/ONS_mortality_rate_per_value</f>
        <v>6.4539999999999997E-3</v>
      </c>
      <c r="C93" s="96">
        <f t="shared" si="16"/>
        <v>5.2989607150280612E-3</v>
      </c>
      <c r="D93" s="96">
        <f t="shared" si="21"/>
        <v>7.0652809533707488E-3</v>
      </c>
      <c r="E93" s="10">
        <f t="shared" si="22"/>
        <v>1.0508487493937506E-2</v>
      </c>
      <c r="F93" s="63">
        <f t="shared" ca="1" si="23"/>
        <v>6.275266725127693E-3</v>
      </c>
      <c r="G93" s="96">
        <f t="shared" ca="1" si="24"/>
        <v>5.1922246996846683E-3</v>
      </c>
      <c r="H93" s="96">
        <f t="shared" ca="1" si="25"/>
        <v>6.2071453875193203E-3</v>
      </c>
      <c r="I93" s="10">
        <f t="shared" ca="1" si="26"/>
        <v>1.1680273192123239E-2</v>
      </c>
      <c r="J93" s="96"/>
      <c r="K93" s="96">
        <f t="shared" si="17"/>
        <v>6.4539999999999997E-4</v>
      </c>
      <c r="L93" s="96">
        <f t="shared" si="18"/>
        <v>15393.267121165169</v>
      </c>
      <c r="M93" s="96">
        <f t="shared" si="19"/>
        <v>99.348146</v>
      </c>
      <c r="N93" s="96">
        <f t="shared" si="20"/>
        <v>15293.918975165172</v>
      </c>
    </row>
    <row r="94" spans="1:14" x14ac:dyDescent="0.25">
      <c r="A94" s="8">
        <v>71</v>
      </c>
      <c r="B94" s="96">
        <f>VLOOKUP((Year_of_pregnancy-Age_of_mother),'ONS mortality stats'!$A$88:$CX$169,A93+2,TRUE)/ONS_mortality_rate_per_value</f>
        <v>6.9905999999999996E-3</v>
      </c>
      <c r="C94" s="96">
        <f t="shared" si="16"/>
        <v>5.7395281646227397E-3</v>
      </c>
      <c r="D94" s="96">
        <f t="shared" si="21"/>
        <v>7.6527042194969872E-3</v>
      </c>
      <c r="E94" s="10">
        <f t="shared" si="22"/>
        <v>1.138218665558096E-2</v>
      </c>
      <c r="F94" s="63">
        <f t="shared" ca="1" si="23"/>
        <v>7.5737927331609445E-3</v>
      </c>
      <c r="G94" s="96">
        <f t="shared" ca="1" si="24"/>
        <v>6.2666393990783399E-3</v>
      </c>
      <c r="H94" s="96">
        <f t="shared" ca="1" si="25"/>
        <v>7.4915752092929054E-3</v>
      </c>
      <c r="I94" s="10">
        <f t="shared" ca="1" si="26"/>
        <v>1.409724432423029E-2</v>
      </c>
      <c r="J94" s="96"/>
      <c r="K94" s="96">
        <f t="shared" si="17"/>
        <v>6.9906000000000005E-4</v>
      </c>
      <c r="L94" s="96">
        <f t="shared" si="18"/>
        <v>14203.923754756384</v>
      </c>
      <c r="M94" s="96">
        <f t="shared" si="19"/>
        <v>99.293949399999974</v>
      </c>
      <c r="N94" s="96">
        <f t="shared" si="20"/>
        <v>14104.629805356384</v>
      </c>
    </row>
    <row r="95" spans="1:14" x14ac:dyDescent="0.25">
      <c r="A95" s="8">
        <v>72</v>
      </c>
      <c r="B95" s="96">
        <f>VLOOKUP((Year_of_pregnancy-Age_of_mother),'ONS mortality stats'!$A$88:$CX$169,A94+2,TRUE)/ONS_mortality_rate_per_value</f>
        <v>7.5579999999999996E-3</v>
      </c>
      <c r="C95" s="96">
        <f t="shared" si="16"/>
        <v>6.2053834961546461E-3</v>
      </c>
      <c r="D95" s="96">
        <f t="shared" si="21"/>
        <v>8.2738446615395287E-3</v>
      </c>
      <c r="E95" s="10">
        <f t="shared" si="22"/>
        <v>1.2306034781403729E-2</v>
      </c>
      <c r="F95" s="63">
        <f t="shared" ca="1" si="23"/>
        <v>8.7045475134454042E-3</v>
      </c>
      <c r="G95" s="96">
        <f t="shared" ca="1" si="24"/>
        <v>7.2022383395934962E-3</v>
      </c>
      <c r="H95" s="96">
        <f t="shared" ca="1" si="25"/>
        <v>8.610055048684161E-3</v>
      </c>
      <c r="I95" s="10">
        <f t="shared" ca="1" si="26"/>
        <v>1.62019396822994E-2</v>
      </c>
      <c r="J95" s="96"/>
      <c r="K95" s="96">
        <f t="shared" si="17"/>
        <v>7.5580000000000005E-4</v>
      </c>
      <c r="L95" s="96">
        <f t="shared" si="18"/>
        <v>13130.013495633764</v>
      </c>
      <c r="M95" s="96">
        <f t="shared" si="19"/>
        <v>99.236641999999989</v>
      </c>
      <c r="N95" s="96">
        <f t="shared" si="20"/>
        <v>13030.776853633764</v>
      </c>
    </row>
    <row r="96" spans="1:14" x14ac:dyDescent="0.25">
      <c r="A96" s="8">
        <v>73</v>
      </c>
      <c r="B96" s="96">
        <f>VLOOKUP((Year_of_pregnancy-Age_of_mother),'ONS mortality stats'!$A$88:$CX$169,A95+2,TRUE)/ONS_mortality_rate_per_value</f>
        <v>8.201E-3</v>
      </c>
      <c r="C96" s="96">
        <f t="shared" si="16"/>
        <v>6.7333090833506552E-3</v>
      </c>
      <c r="D96" s="96">
        <f t="shared" si="21"/>
        <v>8.9777454444675414E-3</v>
      </c>
      <c r="E96" s="10">
        <f t="shared" si="22"/>
        <v>1.3352975819302986E-2</v>
      </c>
      <c r="F96" s="63">
        <f t="shared" ca="1" si="23"/>
        <v>6.7859770246359238E-3</v>
      </c>
      <c r="G96" s="96">
        <f t="shared" ca="1" si="24"/>
        <v>5.6147920179584641E-3</v>
      </c>
      <c r="H96" s="96">
        <f t="shared" ca="1" si="25"/>
        <v>6.7123116567485578E-3</v>
      </c>
      <c r="I96" s="10">
        <f t="shared" ca="1" si="26"/>
        <v>1.2630867976628728E-2</v>
      </c>
      <c r="J96" s="96"/>
      <c r="K96" s="96">
        <f t="shared" si="17"/>
        <v>8.2010000000000004E-4</v>
      </c>
      <c r="L96" s="96">
        <f t="shared" si="18"/>
        <v>12092.634922570416</v>
      </c>
      <c r="M96" s="96">
        <f t="shared" si="19"/>
        <v>99.171698999999975</v>
      </c>
      <c r="N96" s="96">
        <f t="shared" si="20"/>
        <v>11993.463223570414</v>
      </c>
    </row>
    <row r="97" spans="1:14" x14ac:dyDescent="0.25">
      <c r="A97" s="8">
        <v>74</v>
      </c>
      <c r="B97" s="96">
        <f>VLOOKUP((Year_of_pregnancy-Age_of_mother),'ONS mortality stats'!$A$88:$CX$169,A96+2,TRUE)/ONS_mortality_rate_per_value</f>
        <v>8.9289999999999994E-3</v>
      </c>
      <c r="C97" s="96">
        <f t="shared" si="16"/>
        <v>7.3310226564123884E-3</v>
      </c>
      <c r="D97" s="96">
        <f t="shared" si="21"/>
        <v>9.7746968752165184E-3</v>
      </c>
      <c r="E97" s="10">
        <f t="shared" si="22"/>
        <v>1.4538314972632162E-2</v>
      </c>
      <c r="F97" s="63">
        <f t="shared" ca="1" si="23"/>
        <v>8.173286661716397E-3</v>
      </c>
      <c r="G97" s="96">
        <f t="shared" ca="1" si="24"/>
        <v>6.7626672684105837E-3</v>
      </c>
      <c r="H97" s="96">
        <f t="shared" ca="1" si="25"/>
        <v>8.0845613143421848E-3</v>
      </c>
      <c r="I97" s="10">
        <f t="shared" ca="1" si="26"/>
        <v>1.5213093764463352E-2</v>
      </c>
      <c r="J97" s="96"/>
      <c r="K97" s="96">
        <f t="shared" si="17"/>
        <v>8.9289999999999997E-4</v>
      </c>
      <c r="L97" s="96">
        <f t="shared" si="18"/>
        <v>11098.462425803562</v>
      </c>
      <c r="M97" s="96">
        <f t="shared" si="19"/>
        <v>99.098170999999994</v>
      </c>
      <c r="N97" s="96">
        <f t="shared" si="20"/>
        <v>10999.364254803562</v>
      </c>
    </row>
    <row r="98" spans="1:14" x14ac:dyDescent="0.25">
      <c r="A98" s="8">
        <v>75</v>
      </c>
      <c r="B98" s="96">
        <f>VLOOKUP((Year_of_pregnancy-Age_of_mother),'ONS mortality stats'!$A$88:$CX$169,A97+2,TRUE)/ONS_mortality_rate_per_value</f>
        <v>9.7358000000000011E-3</v>
      </c>
      <c r="C98" s="96">
        <f t="shared" si="16"/>
        <v>8.7490056265166274E-3</v>
      </c>
      <c r="D98" s="96">
        <f t="shared" si="21"/>
        <v>1.003409695741447E-2</v>
      </c>
      <c r="E98" s="10">
        <f t="shared" si="22"/>
        <v>1.3759563744966802E-2</v>
      </c>
      <c r="F98" s="63">
        <f t="shared" ca="1" si="23"/>
        <v>9.8327010841927631E-3</v>
      </c>
      <c r="G98" s="96">
        <f t="shared" ca="1" si="24"/>
        <v>8.7008225307690663E-3</v>
      </c>
      <c r="H98" s="96">
        <f t="shared" ca="1" si="25"/>
        <v>1.1054028753069623E-2</v>
      </c>
      <c r="I98" s="10">
        <f t="shared" ca="1" si="26"/>
        <v>1.225012825354849E-2</v>
      </c>
      <c r="J98" s="96"/>
      <c r="K98" s="96">
        <f t="shared" si="17"/>
        <v>9.7358000000000015E-4</v>
      </c>
      <c r="L98" s="96">
        <f t="shared" si="18"/>
        <v>10170.369584420385</v>
      </c>
      <c r="M98" s="96">
        <f t="shared" si="19"/>
        <v>99.0166842</v>
      </c>
      <c r="N98" s="96">
        <f t="shared" si="20"/>
        <v>10071.352900220385</v>
      </c>
    </row>
    <row r="99" spans="1:14" x14ac:dyDescent="0.25">
      <c r="A99" s="8">
        <v>76</v>
      </c>
      <c r="B99" s="96">
        <f>VLOOKUP((Year_of_pregnancy-Age_of_mother),'ONS mortality stats'!$A$88:$CX$169,A98+2,TRUE)/ONS_mortality_rate_per_value</f>
        <v>1.0642200000000001E-2</v>
      </c>
      <c r="C99" s="96">
        <f t="shared" si="16"/>
        <v>9.5635353723900699E-3</v>
      </c>
      <c r="D99" s="96">
        <f t="shared" si="21"/>
        <v>1.0968268312844991E-2</v>
      </c>
      <c r="E99" s="10">
        <f t="shared" si="22"/>
        <v>1.5040574918002186E-2</v>
      </c>
      <c r="F99" s="63">
        <f t="shared" ca="1" si="23"/>
        <v>8.0319807928710234E-3</v>
      </c>
      <c r="G99" s="96">
        <f t="shared" ca="1" si="24"/>
        <v>7.1073898058047124E-3</v>
      </c>
      <c r="H99" s="96">
        <f t="shared" ca="1" si="25"/>
        <v>9.0296395535945755E-3</v>
      </c>
      <c r="I99" s="10">
        <f t="shared" ca="1" si="26"/>
        <v>1.0006690328549318E-2</v>
      </c>
      <c r="J99" s="96"/>
      <c r="K99" s="96">
        <f t="shared" si="17"/>
        <v>1.0642200000000001E-3</v>
      </c>
      <c r="L99" s="96">
        <f t="shared" si="18"/>
        <v>9295.5533442333344</v>
      </c>
      <c r="M99" s="96">
        <f t="shared" si="19"/>
        <v>98.925137800000002</v>
      </c>
      <c r="N99" s="96">
        <f t="shared" si="20"/>
        <v>9196.6282064333336</v>
      </c>
    </row>
    <row r="100" spans="1:14" x14ac:dyDescent="0.25">
      <c r="A100" s="8">
        <v>77</v>
      </c>
      <c r="B100" s="96">
        <f>VLOOKUP((Year_of_pregnancy-Age_of_mother),'ONS mortality stats'!$A$88:$CX$169,A99+2,TRUE)/ONS_mortality_rate_per_value</f>
        <v>1.1668900000000001E-2</v>
      </c>
      <c r="C100" s="96">
        <f t="shared" si="16"/>
        <v>1.0486171835417724E-2</v>
      </c>
      <c r="D100" s="96">
        <f t="shared" si="21"/>
        <v>1.2026425561985014E-2</v>
      </c>
      <c r="E100" s="10">
        <f t="shared" si="22"/>
        <v>1.6491605557185141E-2</v>
      </c>
      <c r="F100" s="63">
        <f t="shared" ca="1" si="23"/>
        <v>1.2145022628435753E-2</v>
      </c>
      <c r="G100" s="96">
        <f t="shared" ca="1" si="24"/>
        <v>1.074696419807511E-2</v>
      </c>
      <c r="H100" s="96">
        <f t="shared" ca="1" si="25"/>
        <v>1.365356560642682E-2</v>
      </c>
      <c r="I100" s="10">
        <f t="shared" ca="1" si="26"/>
        <v>1.5130947596867866E-2</v>
      </c>
      <c r="J100" s="96"/>
      <c r="K100" s="96">
        <f t="shared" si="17"/>
        <v>1.1668900000000001E-3</v>
      </c>
      <c r="L100" s="96">
        <f t="shared" si="18"/>
        <v>8468.7880691410501</v>
      </c>
      <c r="M100" s="96">
        <f t="shared" si="19"/>
        <v>98.821441100000015</v>
      </c>
      <c r="N100" s="96">
        <f t="shared" si="20"/>
        <v>8369.9666280410511</v>
      </c>
    </row>
    <row r="101" spans="1:14" x14ac:dyDescent="0.25">
      <c r="A101" s="8">
        <v>78</v>
      </c>
      <c r="B101" s="96">
        <f>VLOOKUP((Year_of_pregnancy-Age_of_mother),'ONS mortality stats'!$A$88:$CX$169,A100+2,TRUE)/ONS_mortality_rate_per_value</f>
        <v>1.2837400000000001E-2</v>
      </c>
      <c r="C101" s="96">
        <f t="shared" si="16"/>
        <v>1.1536235833711102E-2</v>
      </c>
      <c r="D101" s="96">
        <f t="shared" si="21"/>
        <v>1.3230727447268073E-2</v>
      </c>
      <c r="E101" s="10">
        <f t="shared" si="22"/>
        <v>1.814304151889283E-2</v>
      </c>
      <c r="F101" s="63">
        <f t="shared" ca="1" si="23"/>
        <v>1.4361739949053431E-2</v>
      </c>
      <c r="G101" s="96">
        <f t="shared" ca="1" si="24"/>
        <v>1.2708506997192934E-2</v>
      </c>
      <c r="H101" s="96">
        <f t="shared" ca="1" si="25"/>
        <v>1.6145623159048633E-2</v>
      </c>
      <c r="I101" s="10">
        <f t="shared" ca="1" si="26"/>
        <v>1.7892657858057839E-2</v>
      </c>
      <c r="J101" s="96"/>
      <c r="K101" s="96">
        <f t="shared" si="17"/>
        <v>1.2837400000000002E-3</v>
      </c>
      <c r="L101" s="96">
        <f t="shared" si="18"/>
        <v>7688.7393553211696</v>
      </c>
      <c r="M101" s="96">
        <f t="shared" si="19"/>
        <v>98.703422599999982</v>
      </c>
      <c r="N101" s="96">
        <f t="shared" si="20"/>
        <v>7590.0359327211681</v>
      </c>
    </row>
    <row r="102" spans="1:14" x14ac:dyDescent="0.25">
      <c r="A102" s="8">
        <v>79</v>
      </c>
      <c r="B102" s="96">
        <f>VLOOKUP((Year_of_pregnancy-Age_of_mother),'ONS mortality stats'!$A$88:$CX$169,A101+2,TRUE)/ONS_mortality_rate_per_value</f>
        <v>1.41607E-2</v>
      </c>
      <c r="C102" s="96">
        <f t="shared" si="16"/>
        <v>1.2725409722407403E-2</v>
      </c>
      <c r="D102" s="96">
        <f t="shared" si="21"/>
        <v>1.4594572278072584E-2</v>
      </c>
      <c r="E102" s="10">
        <f t="shared" si="22"/>
        <v>2.0013255646516091E-2</v>
      </c>
      <c r="F102" s="63">
        <f t="shared" ca="1" si="23"/>
        <v>1.4211400553379772E-2</v>
      </c>
      <c r="G102" s="96">
        <f t="shared" ca="1" si="24"/>
        <v>1.2575473724856153E-2</v>
      </c>
      <c r="H102" s="96">
        <f t="shared" ca="1" si="25"/>
        <v>1.5976609986750805E-2</v>
      </c>
      <c r="I102" s="10">
        <f t="shared" ca="1" si="26"/>
        <v>1.7705356641149701E-2</v>
      </c>
      <c r="J102" s="96"/>
      <c r="K102" s="96">
        <f t="shared" si="17"/>
        <v>1.4160700000000002E-3</v>
      </c>
      <c r="L102" s="96">
        <f t="shared" si="18"/>
        <v>6960.7977924820079</v>
      </c>
      <c r="M102" s="96">
        <f t="shared" si="19"/>
        <v>98.569769299999976</v>
      </c>
      <c r="N102" s="96">
        <f t="shared" si="20"/>
        <v>6862.2280231820077</v>
      </c>
    </row>
    <row r="103" spans="1:14" x14ac:dyDescent="0.25">
      <c r="A103" s="8">
        <v>80</v>
      </c>
      <c r="B103" s="96">
        <f>VLOOKUP((Year_of_pregnancy-Age_of_mother),'ONS mortality stats'!$A$88:$CX$169,A102+2,TRUE)/ONS_mortality_rate_per_value</f>
        <v>1.5648099999999998E-2</v>
      </c>
      <c r="C103" s="96">
        <f t="shared" si="16"/>
        <v>1.4062050878643234E-2</v>
      </c>
      <c r="D103" s="96">
        <f t="shared" si="21"/>
        <v>1.6127544998800029E-2</v>
      </c>
      <c r="E103" s="10">
        <f t="shared" si="22"/>
        <v>2.2115391589557606E-2</v>
      </c>
      <c r="F103" s="63">
        <f t="shared" ca="1" si="23"/>
        <v>1.5999083303316564E-2</v>
      </c>
      <c r="G103" s="96">
        <f t="shared" ca="1" si="24"/>
        <v>1.415736970799782E-2</v>
      </c>
      <c r="H103" s="96">
        <f t="shared" ca="1" si="25"/>
        <v>1.7986342241394056E-2</v>
      </c>
      <c r="I103" s="10">
        <f t="shared" ca="1" si="26"/>
        <v>1.9932551668830116E-2</v>
      </c>
      <c r="J103" s="96"/>
      <c r="K103" s="96">
        <f t="shared" si="17"/>
        <v>1.5648099999999998E-3</v>
      </c>
      <c r="L103" s="96">
        <f t="shared" si="18"/>
        <v>6289.5522076162606</v>
      </c>
      <c r="M103" s="96">
        <f t="shared" si="19"/>
        <v>98.419541899999999</v>
      </c>
      <c r="N103" s="96">
        <f t="shared" si="20"/>
        <v>6191.1326657162608</v>
      </c>
    </row>
    <row r="104" spans="1:14" x14ac:dyDescent="0.25">
      <c r="A104" s="8">
        <v>81</v>
      </c>
      <c r="B104" s="96">
        <f>VLOOKUP((Year_of_pregnancy-Age_of_mother),'ONS mortality stats'!$A$88:$CX$169,A103+2,TRUE)/ONS_mortality_rate_per_value</f>
        <v>1.73081E-2</v>
      </c>
      <c r="C104" s="96">
        <f t="shared" si="16"/>
        <v>1.5553797765392922E-2</v>
      </c>
      <c r="D104" s="96">
        <f t="shared" si="21"/>
        <v>1.7838406042505531E-2</v>
      </c>
      <c r="E104" s="10">
        <f t="shared" si="22"/>
        <v>2.4461462361003702E-2</v>
      </c>
      <c r="F104" s="63">
        <f t="shared" ca="1" si="23"/>
        <v>1.7668394702464396E-2</v>
      </c>
      <c r="G104" s="96">
        <f t="shared" ca="1" si="24"/>
        <v>1.5634520503919478E-2</v>
      </c>
      <c r="H104" s="96">
        <f t="shared" ca="1" si="25"/>
        <v>1.9863000145057149E-2</v>
      </c>
      <c r="I104" s="10">
        <f t="shared" ca="1" si="26"/>
        <v>2.2012273055616302E-2</v>
      </c>
      <c r="J104" s="96"/>
      <c r="K104" s="96">
        <f t="shared" si="17"/>
        <v>1.7308100000000002E-3</v>
      </c>
      <c r="L104" s="96">
        <f t="shared" si="18"/>
        <v>5676.6416822181509</v>
      </c>
      <c r="M104" s="96">
        <f t="shared" si="19"/>
        <v>98.251881899999972</v>
      </c>
      <c r="N104" s="96">
        <f t="shared" si="20"/>
        <v>5578.3898003181503</v>
      </c>
    </row>
    <row r="105" spans="1:14" x14ac:dyDescent="0.25">
      <c r="A105" s="8">
        <v>82</v>
      </c>
      <c r="B105" s="96">
        <f>VLOOKUP((Year_of_pregnancy-Age_of_mother),'ONS mortality stats'!$A$88:$CX$169,A104+2,TRUE)/ONS_mortality_rate_per_value</f>
        <v>1.9161899999999999E-2</v>
      </c>
      <c r="C105" s="96">
        <f t="shared" si="16"/>
        <v>1.7219701607957119E-2</v>
      </c>
      <c r="D105" s="96">
        <f t="shared" si="21"/>
        <v>1.9749004959867734E-2</v>
      </c>
      <c r="E105" s="10">
        <f t="shared" si="22"/>
        <v>2.7081429828537902E-2</v>
      </c>
      <c r="F105" s="63">
        <f t="shared" ca="1" si="23"/>
        <v>2.0719346648358727E-2</v>
      </c>
      <c r="G105" s="96">
        <f t="shared" ca="1" si="24"/>
        <v>1.8334266098119084E-2</v>
      </c>
      <c r="H105" s="96">
        <f t="shared" ca="1" si="25"/>
        <v>2.3292913273237879E-2</v>
      </c>
      <c r="I105" s="10">
        <f t="shared" ca="1" si="26"/>
        <v>2.5813319412319131E-2</v>
      </c>
      <c r="J105" s="96"/>
      <c r="K105" s="96">
        <f t="shared" si="17"/>
        <v>1.9161899999999999E-3</v>
      </c>
      <c r="L105" s="96">
        <f t="shared" si="18"/>
        <v>5117.6891696543671</v>
      </c>
      <c r="M105" s="96">
        <f t="shared" si="19"/>
        <v>98.064648100000014</v>
      </c>
      <c r="N105" s="96">
        <f t="shared" si="20"/>
        <v>5019.6245215543677</v>
      </c>
    </row>
    <row r="106" spans="1:14" x14ac:dyDescent="0.25">
      <c r="A106" s="8">
        <v>83</v>
      </c>
      <c r="B106" s="96">
        <f>VLOOKUP((Year_of_pregnancy-Age_of_mother),'ONS mortality stats'!$A$88:$CX$169,A105+2,TRUE)/ONS_mortality_rate_per_value</f>
        <v>2.12252E-2</v>
      </c>
      <c r="C106" s="96">
        <f t="shared" si="16"/>
        <v>1.9073871096770754E-2</v>
      </c>
      <c r="D106" s="96">
        <f t="shared" si="21"/>
        <v>2.1875522786059039E-2</v>
      </c>
      <c r="E106" s="10">
        <f t="shared" si="22"/>
        <v>2.9997482733793764E-2</v>
      </c>
      <c r="F106" s="63">
        <f t="shared" ca="1" si="23"/>
        <v>2.118956363806479E-2</v>
      </c>
      <c r="G106" s="96">
        <f t="shared" ca="1" si="24"/>
        <v>1.8750354672698265E-2</v>
      </c>
      <c r="H106" s="96">
        <f t="shared" ca="1" si="25"/>
        <v>2.3821536291459063E-2</v>
      </c>
      <c r="I106" s="10">
        <f t="shared" ca="1" si="26"/>
        <v>2.6399142003850674E-2</v>
      </c>
      <c r="J106" s="96"/>
      <c r="K106" s="96">
        <f t="shared" si="17"/>
        <v>2.1225200000000001E-3</v>
      </c>
      <c r="L106" s="96">
        <f t="shared" si="18"/>
        <v>4610.3808114882304</v>
      </c>
      <c r="M106" s="96">
        <f t="shared" si="19"/>
        <v>97.856254799999988</v>
      </c>
      <c r="N106" s="96">
        <f t="shared" si="20"/>
        <v>4512.5245566882304</v>
      </c>
    </row>
    <row r="107" spans="1:14" x14ac:dyDescent="0.25">
      <c r="A107" s="8">
        <v>84</v>
      </c>
      <c r="B107" s="96">
        <f>VLOOKUP((Year_of_pregnancy-Age_of_mother),'ONS mortality stats'!$A$88:$CX$169,A106+2,TRUE)/ONS_mortality_rate_per_value</f>
        <v>2.3534099999999999E-2</v>
      </c>
      <c r="C107" s="96">
        <f t="shared" si="16"/>
        <v>2.1148747233407109E-2</v>
      </c>
      <c r="D107" s="96">
        <f t="shared" si="21"/>
        <v>2.4255165595584115E-2</v>
      </c>
      <c r="E107" s="10">
        <f t="shared" si="22"/>
        <v>3.3260641049572007E-2</v>
      </c>
      <c r="F107" s="63">
        <f t="shared" ca="1" si="23"/>
        <v>2.2248345819115736E-2</v>
      </c>
      <c r="G107" s="96">
        <f t="shared" ca="1" si="24"/>
        <v>1.9687256524710702E-2</v>
      </c>
      <c r="H107" s="96">
        <f t="shared" ca="1" si="25"/>
        <v>2.5011830654356984E-2</v>
      </c>
      <c r="I107" s="10">
        <f t="shared" ca="1" si="26"/>
        <v>2.7718231987303651E-2</v>
      </c>
      <c r="J107" s="96"/>
      <c r="K107" s="96">
        <f t="shared" si="17"/>
        <v>2.3534100000000002E-3</v>
      </c>
      <c r="L107" s="96">
        <f t="shared" si="18"/>
        <v>4148.1533561937777</v>
      </c>
      <c r="M107" s="96">
        <f t="shared" si="19"/>
        <v>97.623055899999983</v>
      </c>
      <c r="N107" s="96">
        <f t="shared" si="20"/>
        <v>4050.5303002937781</v>
      </c>
    </row>
    <row r="108" spans="1:14" x14ac:dyDescent="0.25">
      <c r="A108" s="8">
        <v>85</v>
      </c>
      <c r="B108" s="96">
        <f>VLOOKUP((Year_of_pregnancy-Age_of_mother),'ONS mortality stats'!$A$88:$CX$169,A107+2,TRUE)/ONS_mortality_rate_per_value</f>
        <v>2.6122600000000003E-2</v>
      </c>
      <c r="C108" s="96">
        <f t="shared" si="16"/>
        <v>2.4751156893819338E-2</v>
      </c>
      <c r="D108" s="96">
        <f t="shared" si="21"/>
        <v>2.6380681458003173E-2</v>
      </c>
      <c r="E108" s="10">
        <f t="shared" si="22"/>
        <v>3.2106038034865295E-2</v>
      </c>
      <c r="F108" s="63">
        <f t="shared" ca="1" si="23"/>
        <v>2.1921639727564234E-2</v>
      </c>
      <c r="G108" s="96">
        <f t="shared" ca="1" si="24"/>
        <v>1.9141838779723426E-2</v>
      </c>
      <c r="H108" s="96">
        <f t="shared" ca="1" si="25"/>
        <v>2.490733056706787E-2</v>
      </c>
      <c r="I108" s="10">
        <f t="shared" ca="1" si="26"/>
        <v>2.7893117210035744E-2</v>
      </c>
      <c r="J108" s="96"/>
      <c r="K108" s="96">
        <f t="shared" si="17"/>
        <v>2.6122600000000004E-3</v>
      </c>
      <c r="L108" s="96">
        <f t="shared" si="18"/>
        <v>3727.1028687802896</v>
      </c>
      <c r="M108" s="96">
        <f t="shared" si="19"/>
        <v>97.3616174</v>
      </c>
      <c r="N108" s="96">
        <f t="shared" si="20"/>
        <v>3629.7412513802897</v>
      </c>
    </row>
    <row r="109" spans="1:14" x14ac:dyDescent="0.25">
      <c r="A109" s="8">
        <v>86</v>
      </c>
      <c r="B109" s="96">
        <f>VLOOKUP((Year_of_pregnancy-Age_of_mother),'ONS mortality stats'!$A$88:$CX$169,A108+2,TRUE)/ONS_mortality_rate_per_value</f>
        <v>2.9006399999999998E-2</v>
      </c>
      <c r="C109" s="96">
        <f t="shared" si="16"/>
        <v>2.7483556664531141E-2</v>
      </c>
      <c r="D109" s="96">
        <f t="shared" si="21"/>
        <v>2.929297231682234E-2</v>
      </c>
      <c r="E109" s="10">
        <f t="shared" si="22"/>
        <v>3.5650378662710321E-2</v>
      </c>
      <c r="F109" s="63">
        <f t="shared" ca="1" si="23"/>
        <v>2.9448358836387634E-2</v>
      </c>
      <c r="G109" s="96">
        <f t="shared" ca="1" si="24"/>
        <v>2.5714122856639494E-2</v>
      </c>
      <c r="H109" s="96">
        <f t="shared" ca="1" si="25"/>
        <v>3.345917628932038E-2</v>
      </c>
      <c r="I109" s="10">
        <f t="shared" ca="1" si="26"/>
        <v>3.7470122439505149E-2</v>
      </c>
      <c r="J109" s="96"/>
      <c r="K109" s="96">
        <f t="shared" si="17"/>
        <v>2.9006399999999999E-3</v>
      </c>
      <c r="L109" s="96">
        <f t="shared" si="18"/>
        <v>3346.5150311655357</v>
      </c>
      <c r="M109" s="96">
        <f t="shared" si="19"/>
        <v>97.07035359999999</v>
      </c>
      <c r="N109" s="96">
        <f t="shared" si="20"/>
        <v>3249.444677565536</v>
      </c>
    </row>
    <row r="110" spans="1:14" x14ac:dyDescent="0.25">
      <c r="A110" s="8">
        <v>87</v>
      </c>
      <c r="B110" s="96">
        <f>VLOOKUP((Year_of_pregnancy-Age_of_mother),'ONS mortality stats'!$A$88:$CX$169,A109+2,TRUE)/ONS_mortality_rate_per_value</f>
        <v>3.2210500000000003E-2</v>
      </c>
      <c r="C110" s="96">
        <f t="shared" si="16"/>
        <v>3.0519440604241835E-2</v>
      </c>
      <c r="D110" s="96">
        <f t="shared" si="21"/>
        <v>3.2528727619111852E-2</v>
      </c>
      <c r="E110" s="10">
        <f t="shared" si="22"/>
        <v>3.9588384698384868E-2</v>
      </c>
      <c r="F110" s="63">
        <f t="shared" ca="1" si="23"/>
        <v>3.136312258491273E-2</v>
      </c>
      <c r="G110" s="96">
        <f t="shared" ca="1" si="24"/>
        <v>2.7386082592819265E-2</v>
      </c>
      <c r="H110" s="96">
        <f t="shared" ca="1" si="25"/>
        <v>3.5634727673023912E-2</v>
      </c>
      <c r="I110" s="10">
        <f t="shared" ca="1" si="26"/>
        <v>3.9906469826419905E-2</v>
      </c>
      <c r="J110" s="96"/>
      <c r="K110" s="96">
        <f t="shared" si="17"/>
        <v>3.2210500000000005E-3</v>
      </c>
      <c r="L110" s="96">
        <f t="shared" si="18"/>
        <v>3003.5776998183815</v>
      </c>
      <c r="M110" s="96">
        <f t="shared" si="19"/>
        <v>96.74673949999999</v>
      </c>
      <c r="N110" s="96">
        <f t="shared" si="20"/>
        <v>2906.8309603183816</v>
      </c>
    </row>
    <row r="111" spans="1:14" x14ac:dyDescent="0.25">
      <c r="A111" s="8">
        <v>88</v>
      </c>
      <c r="B111" s="96">
        <f>VLOOKUP((Year_of_pregnancy-Age_of_mother),'ONS mortality stats'!$A$88:$CX$169,A110+2,TRUE)/ONS_mortality_rate_per_value</f>
        <v>3.57595E-2</v>
      </c>
      <c r="C111" s="96">
        <f t="shared" si="16"/>
        <v>3.3882117206730282E-2</v>
      </c>
      <c r="D111" s="96">
        <f t="shared" si="21"/>
        <v>3.6112790403614661E-2</v>
      </c>
      <c r="E111" s="10">
        <f t="shared" si="22"/>
        <v>4.395029082510031E-2</v>
      </c>
      <c r="F111" s="63">
        <f t="shared" ca="1" si="23"/>
        <v>3.5843197914502301E-2</v>
      </c>
      <c r="G111" s="96">
        <f t="shared" ca="1" si="24"/>
        <v>3.1298056366030641E-2</v>
      </c>
      <c r="H111" s="96">
        <f t="shared" ca="1" si="25"/>
        <v>4.072498180484161E-2</v>
      </c>
      <c r="I111" s="10">
        <f t="shared" ca="1" si="26"/>
        <v>4.5606922339600425E-2</v>
      </c>
      <c r="J111" s="96"/>
      <c r="K111" s="96">
        <f t="shared" si="17"/>
        <v>3.57595E-3</v>
      </c>
      <c r="L111" s="96">
        <f t="shared" si="18"/>
        <v>2695.459682042534</v>
      </c>
      <c r="M111" s="96">
        <f t="shared" si="19"/>
        <v>96.388290499999997</v>
      </c>
      <c r="N111" s="96">
        <f t="shared" si="20"/>
        <v>2599.071391542534</v>
      </c>
    </row>
    <row r="112" spans="1:14" x14ac:dyDescent="0.25">
      <c r="A112" s="8">
        <v>89</v>
      </c>
      <c r="B112" s="96">
        <f>VLOOKUP((Year_of_pregnancy-Age_of_mother),'ONS mortality stats'!$A$88:$CX$169,A111+2,TRUE)/ONS_mortality_rate_per_value</f>
        <v>3.9681399999999999E-2</v>
      </c>
      <c r="C112" s="96">
        <f t="shared" si="16"/>
        <v>3.7598116464915537E-2</v>
      </c>
      <c r="D112" s="96">
        <f t="shared" si="21"/>
        <v>4.0073437299794318E-2</v>
      </c>
      <c r="E112" s="10">
        <f t="shared" si="22"/>
        <v>4.8770510503422466E-2</v>
      </c>
      <c r="F112" s="63">
        <f t="shared" ca="1" si="23"/>
        <v>4.7771846392888229E-2</v>
      </c>
      <c r="G112" s="96">
        <f t="shared" ca="1" si="24"/>
        <v>4.1714077652346505E-2</v>
      </c>
      <c r="H112" s="96">
        <f t="shared" ca="1" si="25"/>
        <v>5.4278292349213109E-2</v>
      </c>
      <c r="I112" s="10">
        <f t="shared" ca="1" si="26"/>
        <v>6.0784947081361076E-2</v>
      </c>
      <c r="J112" s="96"/>
      <c r="K112" s="96">
        <f t="shared" si="17"/>
        <v>3.9681400000000002E-3</v>
      </c>
      <c r="L112" s="96">
        <f t="shared" si="18"/>
        <v>2419.0723764786526</v>
      </c>
      <c r="M112" s="96">
        <f t="shared" si="19"/>
        <v>95.992178600000003</v>
      </c>
      <c r="N112" s="96">
        <f t="shared" si="20"/>
        <v>2323.0801978786526</v>
      </c>
    </row>
    <row r="113" spans="1:14" x14ac:dyDescent="0.25">
      <c r="A113" s="8">
        <v>90</v>
      </c>
      <c r="B113" s="96">
        <f>VLOOKUP((Year_of_pregnancy-Age_of_mother),'ONS mortality stats'!$A$88:$CX$169,A112+2,TRUE)/ONS_mortality_rate_per_value</f>
        <v>4.4000299999999999E-2</v>
      </c>
      <c r="C113" s="96">
        <f t="shared" si="16"/>
        <v>4.1690273122702903E-2</v>
      </c>
      <c r="D113" s="96">
        <f t="shared" si="21"/>
        <v>4.443500640658192E-2</v>
      </c>
      <c r="E113" s="10">
        <f t="shared" si="22"/>
        <v>5.407866389048116E-2</v>
      </c>
      <c r="F113" s="63">
        <f t="shared" ca="1" si="23"/>
        <v>4.4497799530252791E-2</v>
      </c>
      <c r="G113" s="96">
        <f t="shared" ca="1" si="24"/>
        <v>3.8855200397693697E-2</v>
      </c>
      <c r="H113" s="96">
        <f t="shared" ca="1" si="25"/>
        <v>5.0558325753959098E-2</v>
      </c>
      <c r="I113" s="10">
        <f t="shared" ca="1" si="26"/>
        <v>5.6619046445022719E-2</v>
      </c>
      <c r="J113" s="96"/>
      <c r="K113" s="96">
        <f t="shared" si="17"/>
        <v>4.4000300000000001E-3</v>
      </c>
      <c r="L113" s="96">
        <f t="shared" si="18"/>
        <v>2171.7117769651572</v>
      </c>
      <c r="M113" s="96">
        <f t="shared" si="19"/>
        <v>95.555969700000006</v>
      </c>
      <c r="N113" s="96">
        <f t="shared" si="20"/>
        <v>2076.1558072651574</v>
      </c>
    </row>
    <row r="114" spans="1:14" x14ac:dyDescent="0.25">
      <c r="A114" s="8">
        <v>91</v>
      </c>
      <c r="B114" s="96">
        <f>VLOOKUP((Year_of_pregnancy-Age_of_mother),'ONS mortality stats'!$A$88:$CX$169,A113+2,TRUE)/ONS_mortality_rate_per_value</f>
        <v>4.87538E-2</v>
      </c>
      <c r="C114" s="96">
        <f t="shared" si="16"/>
        <v>4.6194213170583677E-2</v>
      </c>
      <c r="D114" s="96">
        <f t="shared" si="21"/>
        <v>4.9235469197828514E-2</v>
      </c>
      <c r="E114" s="10">
        <f t="shared" si="22"/>
        <v>5.9920963347607645E-2</v>
      </c>
      <c r="F114" s="63">
        <f t="shared" ca="1" si="23"/>
        <v>4.5541650138336658E-2</v>
      </c>
      <c r="G114" s="96">
        <f t="shared" ca="1" si="24"/>
        <v>3.976668422364734E-2</v>
      </c>
      <c r="H114" s="96">
        <f t="shared" ca="1" si="25"/>
        <v>5.1744347077240307E-2</v>
      </c>
      <c r="I114" s="10">
        <f t="shared" ca="1" si="26"/>
        <v>5.7947243045409311E-2</v>
      </c>
      <c r="J114" s="96"/>
      <c r="K114" s="96">
        <f t="shared" si="17"/>
        <v>4.8753800000000003E-3</v>
      </c>
      <c r="L114" s="96">
        <f t="shared" si="18"/>
        <v>1950.1221689386261</v>
      </c>
      <c r="M114" s="96">
        <f t="shared" si="19"/>
        <v>95.075866199999993</v>
      </c>
      <c r="N114" s="96">
        <f t="shared" si="20"/>
        <v>1855.0463027386263</v>
      </c>
    </row>
    <row r="115" spans="1:14" x14ac:dyDescent="0.25">
      <c r="A115" s="8">
        <v>92</v>
      </c>
      <c r="B115" s="96">
        <f>VLOOKUP((Year_of_pregnancy-Age_of_mother),'ONS mortality stats'!$A$88:$CX$169,A114+2,TRUE)/ONS_mortality_rate_per_value</f>
        <v>5.3997499999999997E-2</v>
      </c>
      <c r="C115" s="96">
        <f t="shared" si="16"/>
        <v>5.1162617594497084E-2</v>
      </c>
      <c r="D115" s="96">
        <f t="shared" si="21"/>
        <v>5.4530974980611664E-2</v>
      </c>
      <c r="E115" s="10">
        <f t="shared" si="22"/>
        <v>6.636574417506827E-2</v>
      </c>
      <c r="F115" s="63">
        <f t="shared" ca="1" si="23"/>
        <v>5.3412571239365741E-2</v>
      </c>
      <c r="G115" s="96">
        <f t="shared" ca="1" si="24"/>
        <v>4.6639523328578771E-2</v>
      </c>
      <c r="H115" s="96">
        <f t="shared" ca="1" si="25"/>
        <v>6.0687274530068398E-2</v>
      </c>
      <c r="I115" s="10">
        <f t="shared" ca="1" si="26"/>
        <v>6.796221124807951E-2</v>
      </c>
      <c r="J115" s="96"/>
      <c r="K115" s="96">
        <f t="shared" si="17"/>
        <v>5.39975E-3</v>
      </c>
      <c r="L115" s="96">
        <f t="shared" si="18"/>
        <v>1750.9375897032269</v>
      </c>
      <c r="M115" s="96">
        <f t="shared" si="19"/>
        <v>94.546252499999994</v>
      </c>
      <c r="N115" s="96">
        <f t="shared" si="20"/>
        <v>1656.3913372032268</v>
      </c>
    </row>
    <row r="116" spans="1:14" x14ac:dyDescent="0.25">
      <c r="A116" s="8">
        <v>93</v>
      </c>
      <c r="B116" s="96">
        <f>VLOOKUP((Year_of_pregnancy-Age_of_mother),'ONS mortality stats'!$A$88:$CX$169,A115+2,TRUE)/ONS_mortality_rate_per_value</f>
        <v>5.9772399999999996E-2</v>
      </c>
      <c r="C116" s="96">
        <f t="shared" si="16"/>
        <v>5.6634333884074586E-2</v>
      </c>
      <c r="D116" s="96">
        <f t="shared" si="21"/>
        <v>6.0362928819502989E-2</v>
      </c>
      <c r="E116" s="10">
        <f t="shared" si="22"/>
        <v>7.3463397511548706E-2</v>
      </c>
      <c r="F116" s="63">
        <f t="shared" ca="1" si="23"/>
        <v>4.9190746474801872E-2</v>
      </c>
      <c r="G116" s="96">
        <f t="shared" ca="1" si="24"/>
        <v>4.2953052334444575E-2</v>
      </c>
      <c r="H116" s="96">
        <f t="shared" ca="1" si="25"/>
        <v>5.5890444260341593E-2</v>
      </c>
      <c r="I116" s="10">
        <f t="shared" ca="1" si="26"/>
        <v>6.2590357022679552E-2</v>
      </c>
      <c r="J116" s="96"/>
      <c r="K116" s="96">
        <f t="shared" si="17"/>
        <v>5.97724E-3</v>
      </c>
      <c r="L116" s="96">
        <f t="shared" si="18"/>
        <v>1572.0129625044335</v>
      </c>
      <c r="M116" s="96">
        <f t="shared" si="19"/>
        <v>93.962987599999991</v>
      </c>
      <c r="N116" s="96">
        <f t="shared" si="20"/>
        <v>1478.0499749044334</v>
      </c>
    </row>
    <row r="117" spans="1:14" x14ac:dyDescent="0.25">
      <c r="A117" s="8">
        <v>94</v>
      </c>
      <c r="B117" s="96">
        <f>VLOOKUP((Year_of_pregnancy-Age_of_mother),'ONS mortality stats'!$A$88:$CX$169,A116+2,TRUE)/ONS_mortality_rate_per_value</f>
        <v>6.6065299999999993E-2</v>
      </c>
      <c r="C117" s="96">
        <f t="shared" si="16"/>
        <v>6.2596855042654345E-2</v>
      </c>
      <c r="D117" s="96">
        <f t="shared" si="21"/>
        <v>6.6718000303469666E-2</v>
      </c>
      <c r="E117" s="10">
        <f t="shared" si="22"/>
        <v>8.1197699868496467E-2</v>
      </c>
      <c r="F117" s="63">
        <f t="shared" ca="1" si="23"/>
        <v>6.7327443750060612E-2</v>
      </c>
      <c r="G117" s="96">
        <f t="shared" ca="1" si="24"/>
        <v>5.8789903024182043E-2</v>
      </c>
      <c r="H117" s="96">
        <f t="shared" ca="1" si="25"/>
        <v>7.6497329513623785E-2</v>
      </c>
      <c r="I117" s="10">
        <f t="shared" ca="1" si="26"/>
        <v>8.5667509516232476E-2</v>
      </c>
      <c r="J117" s="96"/>
      <c r="K117" s="96">
        <f t="shared" si="17"/>
        <v>6.6065299999999993E-3</v>
      </c>
      <c r="L117" s="96">
        <f t="shared" si="18"/>
        <v>1412.6539151415343</v>
      </c>
      <c r="M117" s="96">
        <f t="shared" si="19"/>
        <v>93.327404700000002</v>
      </c>
      <c r="N117" s="96">
        <f t="shared" si="20"/>
        <v>1319.3265104415343</v>
      </c>
    </row>
    <row r="118" spans="1:14" x14ac:dyDescent="0.25">
      <c r="A118" s="8">
        <v>95</v>
      </c>
      <c r="B118" s="96">
        <f>VLOOKUP((Year_of_pregnancy-Age_of_mother),'ONS mortality stats'!$A$88:$CX$169,A117+2,TRUE)/ONS_mortality_rate_per_value</f>
        <v>7.2799799999999998E-2</v>
      </c>
      <c r="C118" s="96">
        <f t="shared" si="16"/>
        <v>6.8977792089557274E-2</v>
      </c>
      <c r="D118" s="96">
        <f t="shared" si="21"/>
        <v>7.3519034629261223E-2</v>
      </c>
      <c r="E118" s="10">
        <f t="shared" si="22"/>
        <v>8.9474751660653468E-2</v>
      </c>
      <c r="F118" s="63">
        <f t="shared" ca="1" si="23"/>
        <v>6.896676691193751E-2</v>
      </c>
      <c r="G118" s="96">
        <f t="shared" ca="1" si="24"/>
        <v>6.02213497618573E-2</v>
      </c>
      <c r="H118" s="96">
        <f t="shared" ca="1" si="25"/>
        <v>7.8359925761283949E-2</v>
      </c>
      <c r="I118" s="10">
        <f t="shared" ca="1" si="26"/>
        <v>8.7753386013959211E-2</v>
      </c>
      <c r="J118" s="96"/>
      <c r="K118" s="96">
        <f t="shared" si="17"/>
        <v>7.2799800000000001E-3</v>
      </c>
      <c r="L118" s="96">
        <f t="shared" si="18"/>
        <v>1272.6301473355695</v>
      </c>
      <c r="M118" s="96">
        <f t="shared" si="19"/>
        <v>92.647220199999992</v>
      </c>
      <c r="N118" s="96">
        <f t="shared" si="20"/>
        <v>1179.9829271355695</v>
      </c>
    </row>
    <row r="119" spans="1:14" x14ac:dyDescent="0.25">
      <c r="A119" s="8">
        <v>96</v>
      </c>
      <c r="B119" s="96">
        <f>VLOOKUP((Year_of_pregnancy-Age_of_mother),'ONS mortality stats'!$A$88:$CX$169,A118+2,TRUE)/ONS_mortality_rate_per_value</f>
        <v>7.9837500000000006E-2</v>
      </c>
      <c r="C119" s="96">
        <f t="shared" ref="C119:C124" si="27">B119/((VLOOKUP($A119,$A$3:$E$9,2)*1)+(VLOOKUP($A119,$A$3:$E$9,3)*VLOOKUP($A119,$A$13:$E$19,2))+(VLOOKUP($A119,$A$3:$E$9,4)*VLOOKUP($A119,$A$13:$E$19,3)))</f>
        <v>7.5646011059783538E-2</v>
      </c>
      <c r="D119" s="96">
        <f t="shared" si="21"/>
        <v>8.0626264456957905E-2</v>
      </c>
      <c r="E119" s="10">
        <f t="shared" si="22"/>
        <v>9.8124452068651585E-2</v>
      </c>
      <c r="F119" s="63">
        <f t="shared" ca="1" si="23"/>
        <v>8.0015766704149116E-2</v>
      </c>
      <c r="G119" s="96">
        <f t="shared" ca="1" si="24"/>
        <v>6.9869267314018088E-2</v>
      </c>
      <c r="H119" s="96">
        <f t="shared" ca="1" si="25"/>
        <v>9.0913780932712629E-2</v>
      </c>
      <c r="I119" s="10">
        <f t="shared" ca="1" si="26"/>
        <v>0.1018121448517071</v>
      </c>
      <c r="J119" s="96"/>
      <c r="K119" s="96">
        <f t="shared" ref="K119:K124" si="28">0.1*B119</f>
        <v>7.9837500000000013E-3</v>
      </c>
      <c r="L119" s="96">
        <f t="shared" ref="L119:L124" si="29">((B119*(1-B119))/(K119^2))-1</f>
        <v>1151.544230468138</v>
      </c>
      <c r="M119" s="96">
        <f t="shared" ref="M119:M124" si="30">B119*L119</f>
        <v>91.936412499999975</v>
      </c>
      <c r="N119" s="96">
        <f t="shared" ref="N119:N124" si="31">M119*((1-B119)/B119)</f>
        <v>1059.6078179681379</v>
      </c>
    </row>
    <row r="120" spans="1:14" x14ac:dyDescent="0.25">
      <c r="A120" s="8">
        <v>97</v>
      </c>
      <c r="B120" s="96">
        <f>VLOOKUP((Year_of_pregnancy-Age_of_mother),'ONS mortality stats'!$A$88:$CX$169,A119+2,TRUE)/ONS_mortality_rate_per_value</f>
        <v>8.700780000000001E-2</v>
      </c>
      <c r="C120" s="96">
        <f t="shared" si="27"/>
        <v>8.2439868496476401E-2</v>
      </c>
      <c r="D120" s="96">
        <f t="shared" si="21"/>
        <v>8.7867404322756887E-2</v>
      </c>
      <c r="E120" s="10">
        <f t="shared" si="22"/>
        <v>0.10693712479347205</v>
      </c>
      <c r="F120" s="63">
        <f t="shared" ca="1" si="23"/>
        <v>7.7990450406326836E-2</v>
      </c>
      <c r="G120" s="96">
        <f t="shared" ca="1" si="24"/>
        <v>6.8100773782846999E-2</v>
      </c>
      <c r="H120" s="96">
        <f t="shared" ca="1" si="25"/>
        <v>8.8612619926526581E-2</v>
      </c>
      <c r="I120" s="10">
        <f t="shared" ca="1" si="26"/>
        <v>9.9235130285980105E-2</v>
      </c>
      <c r="J120" s="96"/>
      <c r="K120" s="96">
        <f t="shared" si="28"/>
        <v>8.7007800000000017E-3</v>
      </c>
      <c r="L120" s="96">
        <f t="shared" si="29"/>
        <v>1048.3222446723164</v>
      </c>
      <c r="M120" s="96">
        <f t="shared" si="30"/>
        <v>91.212212199999982</v>
      </c>
      <c r="N120" s="96">
        <f t="shared" si="31"/>
        <v>957.11003247231645</v>
      </c>
    </row>
    <row r="121" spans="1:14" x14ac:dyDescent="0.25">
      <c r="A121" s="8">
        <v>98</v>
      </c>
      <c r="B121" s="96">
        <f>VLOOKUP((Year_of_pregnancy-Age_of_mother),'ONS mortality stats'!$A$88:$CX$169,A120+2,TRUE)/ONS_mortality_rate_per_value</f>
        <v>9.4298099999999996E-2</v>
      </c>
      <c r="C121" s="96">
        <f t="shared" si="27"/>
        <v>8.9347425902822269E-2</v>
      </c>
      <c r="D121" s="96">
        <f t="shared" si="21"/>
        <v>9.5229729743399535E-2</v>
      </c>
      <c r="E121" s="10">
        <f t="shared" si="22"/>
        <v>0.1158972837778602</v>
      </c>
      <c r="F121" s="63">
        <f t="shared" ca="1" si="23"/>
        <v>9.5400819000838188E-2</v>
      </c>
      <c r="G121" s="96">
        <f t="shared" ca="1" si="24"/>
        <v>8.3303398808777324E-2</v>
      </c>
      <c r="H121" s="96">
        <f t="shared" ca="1" si="25"/>
        <v>0.10839425174181117</v>
      </c>
      <c r="I121" s="10">
        <f t="shared" ca="1" si="26"/>
        <v>0.12138810141003344</v>
      </c>
      <c r="J121" s="96"/>
      <c r="K121" s="96">
        <f t="shared" si="28"/>
        <v>9.4298100000000003E-3</v>
      </c>
      <c r="L121" s="96">
        <f t="shared" si="29"/>
        <v>959.46675383703382</v>
      </c>
      <c r="M121" s="96">
        <f t="shared" si="30"/>
        <v>90.475891899999993</v>
      </c>
      <c r="N121" s="96">
        <f t="shared" si="31"/>
        <v>868.99086193703374</v>
      </c>
    </row>
    <row r="122" spans="1:14" x14ac:dyDescent="0.25">
      <c r="A122" s="8">
        <v>99</v>
      </c>
      <c r="B122" s="96">
        <f>VLOOKUP((Year_of_pregnancy-Age_of_mother),'ONS mortality stats'!$A$88:$CX$169,A121+2,TRUE)/ONS_mortality_rate_per_value</f>
        <v>0.10187309999999999</v>
      </c>
      <c r="C122" s="96">
        <f t="shared" si="27"/>
        <v>9.6524736487169985E-2</v>
      </c>
      <c r="D122" s="96">
        <f t="shared" si="21"/>
        <v>0.10287956789290895</v>
      </c>
      <c r="E122" s="10">
        <f t="shared" si="22"/>
        <v>0.12520735391307281</v>
      </c>
      <c r="F122" s="63">
        <f t="shared" ca="1" si="23"/>
        <v>0.10190998479673918</v>
      </c>
      <c r="G122" s="96">
        <f t="shared" ca="1" si="24"/>
        <v>8.8987161693492481E-2</v>
      </c>
      <c r="H122" s="96">
        <f t="shared" ca="1" si="25"/>
        <v>0.11578995508376969</v>
      </c>
      <c r="I122" s="10">
        <f t="shared" ca="1" si="26"/>
        <v>0.12967037074485546</v>
      </c>
      <c r="J122" s="96"/>
      <c r="K122" s="96">
        <f t="shared" si="28"/>
        <v>1.018731E-2</v>
      </c>
      <c r="L122" s="96">
        <f t="shared" si="29"/>
        <v>880.61339941554752</v>
      </c>
      <c r="M122" s="96">
        <f t="shared" si="30"/>
        <v>89.710816900000012</v>
      </c>
      <c r="N122" s="96">
        <f t="shared" si="31"/>
        <v>790.90258251554758</v>
      </c>
    </row>
    <row r="123" spans="1:14" x14ac:dyDescent="0.25">
      <c r="A123" s="8">
        <v>100</v>
      </c>
      <c r="B123" s="96">
        <f>VLOOKUP((Year_of_pregnancy-Age_of_mother),'ONS mortality stats'!$A$88:$CX$169,A122+2,TRUE)/ONS_mortality_rate_per_value</f>
        <v>0.10998770000000001</v>
      </c>
      <c r="C123" s="96">
        <f t="shared" si="27"/>
        <v>0.1042133179350575</v>
      </c>
      <c r="D123" s="96">
        <f t="shared" si="21"/>
        <v>0.11107433708736557</v>
      </c>
      <c r="E123" s="10">
        <f t="shared" si="22"/>
        <v>0.13518062059547492</v>
      </c>
      <c r="F123" s="63">
        <f t="shared" ca="1" si="23"/>
        <v>0.11296199244126914</v>
      </c>
      <c r="G123" s="96">
        <f t="shared" ca="1" si="24"/>
        <v>9.8637705683495808E-2</v>
      </c>
      <c r="H123" s="96">
        <f t="shared" ca="1" si="25"/>
        <v>0.1283472277719955</v>
      </c>
      <c r="I123" s="10">
        <f t="shared" ca="1" si="26"/>
        <v>0.14373295677702444</v>
      </c>
      <c r="J123" s="96"/>
      <c r="K123" s="96">
        <f t="shared" si="28"/>
        <v>1.0998770000000001E-2</v>
      </c>
      <c r="L123" s="96">
        <f t="shared" si="29"/>
        <v>808.19257335138366</v>
      </c>
      <c r="M123" s="96">
        <f t="shared" si="30"/>
        <v>88.891242299999988</v>
      </c>
      <c r="N123" s="96">
        <f t="shared" si="31"/>
        <v>719.30133105138373</v>
      </c>
    </row>
    <row r="124" spans="1:14" ht="15.75" thickBot="1" x14ac:dyDescent="0.3">
      <c r="A124" s="11">
        <v>101</v>
      </c>
      <c r="B124" s="96">
        <f>VLOOKUP((Year_of_pregnancy-Age_of_mother),'ONS mortality stats'!$A$88:$CX$169,A123+2,TRUE)/ONS_mortality_rate_per_value</f>
        <v>0.1189868</v>
      </c>
      <c r="C124" s="96">
        <f t="shared" si="27"/>
        <v>0.11273996290926258</v>
      </c>
      <c r="D124" s="96">
        <f t="shared" si="21"/>
        <v>0.12016234480898272</v>
      </c>
      <c r="E124" s="10">
        <f t="shared" si="22"/>
        <v>0.14624098391610749</v>
      </c>
      <c r="F124" s="63">
        <f t="shared" ca="1" si="23"/>
        <v>0.1153583305093899</v>
      </c>
      <c r="G124" s="96">
        <f t="shared" ca="1" si="24"/>
        <v>0.10073017310526464</v>
      </c>
      <c r="H124" s="96">
        <f t="shared" ca="1" si="25"/>
        <v>0.13106994309598122</v>
      </c>
      <c r="I124" s="10">
        <f t="shared" ca="1" si="26"/>
        <v>0.1467820598295172</v>
      </c>
      <c r="J124" s="96"/>
      <c r="K124" s="96">
        <f t="shared" si="28"/>
        <v>1.1898680000000002E-2</v>
      </c>
      <c r="L124" s="96">
        <f t="shared" si="29"/>
        <v>739.42935855069618</v>
      </c>
      <c r="M124" s="96">
        <f t="shared" si="30"/>
        <v>87.982333199999985</v>
      </c>
      <c r="N124" s="96">
        <f t="shared" si="31"/>
        <v>651.44702535069621</v>
      </c>
    </row>
  </sheetData>
  <sheetProtection algorithmName="SHA-512" hashValue="KMm5cqjeflIIMZFQuZg9n9BFBkzIBw3HgtYPWnY/veL8tOjB88u74xeMu2gSHXaDBvueNsfgwTt18rU+6tcTEQ==" saltValue="2LjluEbcOwmqsscabIcfzw==" spinCount="100000" sheet="1" objects="1" scenarios="1" selectLockedCells="1"/>
  <mergeCells count="4">
    <mergeCell ref="F1:I1"/>
    <mergeCell ref="F11:N11"/>
    <mergeCell ref="B21:E21"/>
    <mergeCell ref="F21:I2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221</vt:i4>
      </vt:variant>
    </vt:vector>
  </HeadingPairs>
  <TitlesOfParts>
    <vt:vector size="235" baseType="lpstr">
      <vt:lpstr>Program sheet</vt:lpstr>
      <vt:lpstr>Parameters</vt:lpstr>
      <vt:lpstr>Comparator (DET)</vt:lpstr>
      <vt:lpstr>Experimental (DET)</vt:lpstr>
      <vt:lpstr>Pregnancy Adjusted Betas</vt:lpstr>
      <vt:lpstr>Pregnancy costs and utilities</vt:lpstr>
      <vt:lpstr>Mahawesran Tariff</vt:lpstr>
      <vt:lpstr>Infant adult mortality</vt:lpstr>
      <vt:lpstr>Mother mortality</vt:lpstr>
      <vt:lpstr>ONS mortality stats</vt:lpstr>
      <vt:lpstr>Childhood mortality</vt:lpstr>
      <vt:lpstr>Childhood asthma</vt:lpstr>
      <vt:lpstr>Infant pick up smoking rates</vt:lpstr>
      <vt:lpstr>Lifetime_morbidity_array</vt:lpstr>
      <vt:lpstr>Age_of_mother</vt:lpstr>
      <vt:lpstr>Cohort</vt:lpstr>
      <vt:lpstr>Cohort_size</vt:lpstr>
      <vt:lpstr>Det_cost_abruption_previa</vt:lpstr>
      <vt:lpstr>DET_cost_asthma</vt:lpstr>
      <vt:lpstr>det_cost_caesarean</vt:lpstr>
      <vt:lpstr>DET_COST_chd</vt:lpstr>
      <vt:lpstr>det_cost_comparator</vt:lpstr>
      <vt:lpstr>DET_COST_copd</vt:lpstr>
      <vt:lpstr>DET_COST_death</vt:lpstr>
      <vt:lpstr>Det_cost_ectopic_miscarriage</vt:lpstr>
      <vt:lpstr>det_cost_emergency_caesarean</vt:lpstr>
      <vt:lpstr>det_cost_experimental</vt:lpstr>
      <vt:lpstr>DET_cost_lc</vt:lpstr>
      <vt:lpstr>Det_cost_midwife_visit</vt:lpstr>
      <vt:lpstr>DET_cost_neonatal_FG</vt:lpstr>
      <vt:lpstr>Det_cost_neontal_premature</vt:lpstr>
      <vt:lpstr>det_cost_normal_birth</vt:lpstr>
      <vt:lpstr>Det_cost_obstetrician_first_visit</vt:lpstr>
      <vt:lpstr>Det_cost_obstetrician_subsequent</vt:lpstr>
      <vt:lpstr>Det_cost_pre_eclampsia</vt:lpstr>
      <vt:lpstr>Det_cost_premature_birth</vt:lpstr>
      <vt:lpstr>det_cost_routine_obs</vt:lpstr>
      <vt:lpstr>Det_cost_stillbirth</vt:lpstr>
      <vt:lpstr>DET_COST_stroke</vt:lpstr>
      <vt:lpstr>Det_cost_ultrasound_specialised</vt:lpstr>
      <vt:lpstr>Det_cost_utlrasound</vt:lpstr>
      <vt:lpstr>DET_CS_abruption</vt:lpstr>
      <vt:lpstr>DET_CS_ectopic</vt:lpstr>
      <vt:lpstr>DET_CS_lbw_fullgest</vt:lpstr>
      <vt:lpstr>DET_CS_lbw_premature</vt:lpstr>
      <vt:lpstr>DET_CS_miscarriage</vt:lpstr>
      <vt:lpstr>DET_CS_pre_eclampsia</vt:lpstr>
      <vt:lpstr>DET_CS_premature_abruption</vt:lpstr>
      <vt:lpstr>DET_CS_premature_no_complication</vt:lpstr>
      <vt:lpstr>DET_CS_premature_pre_eclampsia</vt:lpstr>
      <vt:lpstr>DET_CS_premature_previa</vt:lpstr>
      <vt:lpstr>DET_CS_previa</vt:lpstr>
      <vt:lpstr>DET_CS_stillbirth_lbw_fullgest</vt:lpstr>
      <vt:lpstr>DET_CS_stillbirth_lbw_premature</vt:lpstr>
      <vt:lpstr>DET_CS_stillbirth_nbw_fullgest</vt:lpstr>
      <vt:lpstr>DET_CS_stillbirth_nbw_premature</vt:lpstr>
      <vt:lpstr>DET_FEMALE_pick_up_smoking_non_smoking_mother</vt:lpstr>
      <vt:lpstr>DET_FEMALE_pick_up_smoking_smoking_mother</vt:lpstr>
      <vt:lpstr>det_infantnotsmoke</vt:lpstr>
      <vt:lpstr>det_infantsmoke</vt:lpstr>
      <vt:lpstr>DET_MALE_pick_up_smoking_non_smoking_mother</vt:lpstr>
      <vt:lpstr>DET_MALE_pick_up_smoking_smoking_mother</vt:lpstr>
      <vt:lpstr>DET_MORT_abruption</vt:lpstr>
      <vt:lpstr>DET_MORT_ectopic</vt:lpstr>
      <vt:lpstr>DET_MORT_miscarriage</vt:lpstr>
      <vt:lpstr>DET_MORT_no_complication</vt:lpstr>
      <vt:lpstr>DET_MORT_pre_eclampsia</vt:lpstr>
      <vt:lpstr>DET_MORT_previa</vt:lpstr>
      <vt:lpstr>DET_NS_abruption</vt:lpstr>
      <vt:lpstr>DET_NS_ectopic</vt:lpstr>
      <vt:lpstr>DET_NS_lbw_fullgest</vt:lpstr>
      <vt:lpstr>DET_NS_lbw_premature</vt:lpstr>
      <vt:lpstr>DET_NS_miscarriage</vt:lpstr>
      <vt:lpstr>DET_NS_pre_eclampsia</vt:lpstr>
      <vt:lpstr>DET_NS_premature_abruption</vt:lpstr>
      <vt:lpstr>DET_NS_premature_no_complication</vt:lpstr>
      <vt:lpstr>DET_NS_premature_pre_eclampsia</vt:lpstr>
      <vt:lpstr>DET_NS_premature_previa</vt:lpstr>
      <vt:lpstr>DET_NS_previa</vt:lpstr>
      <vt:lpstr>DET_NS_stillbirth_lbw_fullgest</vt:lpstr>
      <vt:lpstr>DET_NS_stillbirth_lbw_premature</vt:lpstr>
      <vt:lpstr>DET_NS_stillbirth_nbw_fullgest</vt:lpstr>
      <vt:lpstr>DET_NS_stillbirth_nbw_premature</vt:lpstr>
      <vt:lpstr>DET_P_01Q_CS_FEMALE</vt:lpstr>
      <vt:lpstr>DET_P_01Q_CS_MALE</vt:lpstr>
      <vt:lpstr>DET_P_01Q_CSP</vt:lpstr>
      <vt:lpstr>DET_P_12Q_01Q</vt:lpstr>
      <vt:lpstr>DET_P_12Q_QP</vt:lpstr>
      <vt:lpstr>DET_P_CS_01Q</vt:lpstr>
      <vt:lpstr>DET_P_CS_12Q</vt:lpstr>
      <vt:lpstr>DET_P_CS_12Q_QP</vt:lpstr>
      <vt:lpstr>DET_P_CS_CS_FEMALE</vt:lpstr>
      <vt:lpstr>DET_P_CS_CS_MALE</vt:lpstr>
      <vt:lpstr>DET_P_CS_CSP</vt:lpstr>
      <vt:lpstr>DET_P_CS_LTQ</vt:lpstr>
      <vt:lpstr>DET_P_CS_QP</vt:lpstr>
      <vt:lpstr>DET_p_exposed_passive_smoking</vt:lpstr>
      <vt:lpstr>DET_p_FEMALE_pick_up_smoking_1617</vt:lpstr>
      <vt:lpstr>DET_p_FEMALE_pick_up_smoking_1819</vt:lpstr>
      <vt:lpstr>DET_p_FEMALE_pick_up_smoking_2024</vt:lpstr>
      <vt:lpstr>DET_p_FEMALE_pick_up_smoking_25o</vt:lpstr>
      <vt:lpstr>DET_p_FEMALE_pick_up_smoking_u16</vt:lpstr>
      <vt:lpstr>DET_P_LTQ_12Q</vt:lpstr>
      <vt:lpstr>DET_P_LTQ_12Q_QP</vt:lpstr>
      <vt:lpstr>DET_P_LTQ_LTQ</vt:lpstr>
      <vt:lpstr>DET_p_MALE</vt:lpstr>
      <vt:lpstr>DET_p_MALE_pick_up_smoking_1617</vt:lpstr>
      <vt:lpstr>DET_p_MALE_pick_up_smoking_1819</vt:lpstr>
      <vt:lpstr>DET_p_MALE_pick_up_smoking_2024</vt:lpstr>
      <vt:lpstr>DET_p_MALE_pick_up_smoking_25o</vt:lpstr>
      <vt:lpstr>DET_p_MALE_pick_up_smoking_u16</vt:lpstr>
      <vt:lpstr>DET_QR_comparator</vt:lpstr>
      <vt:lpstr>DET_QR_experimental</vt:lpstr>
      <vt:lpstr>DET_util_asthma</vt:lpstr>
      <vt:lpstr>DET_UTIL_chd</vt:lpstr>
      <vt:lpstr>DET_UTIL_copd</vt:lpstr>
      <vt:lpstr>DET_UTIL_lc</vt:lpstr>
      <vt:lpstr>DET_util_nm</vt:lpstr>
      <vt:lpstr>DET_UTIL_stroke</vt:lpstr>
      <vt:lpstr>DET_utility_decrement_foetal_loss</vt:lpstr>
      <vt:lpstr>DET_utilty_decrement_ectopic</vt:lpstr>
      <vt:lpstr>Discount_rate_costs</vt:lpstr>
      <vt:lpstr>Discount_rate_QALYs</vt:lpstr>
      <vt:lpstr>Female</vt:lpstr>
      <vt:lpstr>Include_infant_cost</vt:lpstr>
      <vt:lpstr>Infant_results_age</vt:lpstr>
      <vt:lpstr>Male</vt:lpstr>
      <vt:lpstr>ONS_mortality_rate_per_value</vt:lpstr>
      <vt:lpstr>Prevalence_of_low_birth_weight_infants</vt:lpstr>
      <vt:lpstr>Prob_cost_abruption_previa</vt:lpstr>
      <vt:lpstr>PROB_cost_asthma</vt:lpstr>
      <vt:lpstr>prob_cost_caesarean</vt:lpstr>
      <vt:lpstr>PROB_COST_chd</vt:lpstr>
      <vt:lpstr>prob_cost_comparator</vt:lpstr>
      <vt:lpstr>PROB_COST_copd</vt:lpstr>
      <vt:lpstr>PROB_COST_death</vt:lpstr>
      <vt:lpstr>Prob_cost_ectopic_miscarriage</vt:lpstr>
      <vt:lpstr>prob_cost_emergency_caesarean</vt:lpstr>
      <vt:lpstr>prob_cost_experimental</vt:lpstr>
      <vt:lpstr>PROB_COST_lc</vt:lpstr>
      <vt:lpstr>Prob_cost_midwife_visit</vt:lpstr>
      <vt:lpstr>PROB_cost_neonatal_FG</vt:lpstr>
      <vt:lpstr>PROB_cost_neonatal_premature</vt:lpstr>
      <vt:lpstr>Prob_cost_normal_birth</vt:lpstr>
      <vt:lpstr>Prob_cost_obstetrician_first_visit</vt:lpstr>
      <vt:lpstr>prob_cost_obstetrician_subsequent</vt:lpstr>
      <vt:lpstr>Prob_cost_pre_eclampsia</vt:lpstr>
      <vt:lpstr>Prob_cost_premature_birth</vt:lpstr>
      <vt:lpstr>prob_cost_routine_obs</vt:lpstr>
      <vt:lpstr>PROB_cost_stillbirth</vt:lpstr>
      <vt:lpstr>PROB_COST_stroke</vt:lpstr>
      <vt:lpstr>Prob_cost_ultrasound</vt:lpstr>
      <vt:lpstr>Prob_cost_ultrasound_specialised</vt:lpstr>
      <vt:lpstr>PROB_CS_abruption</vt:lpstr>
      <vt:lpstr>PROB_CS_ectopic</vt:lpstr>
      <vt:lpstr>PROB_CS_lbw_fullgest</vt:lpstr>
      <vt:lpstr>PROB_CS_lbw_premature</vt:lpstr>
      <vt:lpstr>PROB_CS_misacarriage</vt:lpstr>
      <vt:lpstr>PROB_CS_pre_eclampsia</vt:lpstr>
      <vt:lpstr>PROB_CS_premature_abruption</vt:lpstr>
      <vt:lpstr>PROB_CS_premature_no_complication</vt:lpstr>
      <vt:lpstr>PROB_CS_premature_pre_eclampsia</vt:lpstr>
      <vt:lpstr>PROB_CS_premature_previa</vt:lpstr>
      <vt:lpstr>PROB_CS_previa</vt:lpstr>
      <vt:lpstr>PROB_CS_stillbirth_lbw_fullgest</vt:lpstr>
      <vt:lpstr>PROB_CS_stillbirth_lbw_premature</vt:lpstr>
      <vt:lpstr>PROB_CS_stillbirth_nbw_fullgest</vt:lpstr>
      <vt:lpstr>PROB_CS_stillbirth_nbw_premature</vt:lpstr>
      <vt:lpstr>PROB_FEMALE_pick_up_smoking_non_smoking_mother</vt:lpstr>
      <vt:lpstr>PROB_FEMALE_pick_up_smoking_smoking_mother</vt:lpstr>
      <vt:lpstr>prob_infantnotsmoke</vt:lpstr>
      <vt:lpstr>prob_infantsmoke</vt:lpstr>
      <vt:lpstr>PROB_MALE_pick_up_smoking_non_smoking_mother</vt:lpstr>
      <vt:lpstr>PROB_MALE_pick_up_smoking_smoking_mother</vt:lpstr>
      <vt:lpstr>PROB_MORT_abruption</vt:lpstr>
      <vt:lpstr>PROB_MORT_ectopic</vt:lpstr>
      <vt:lpstr>PROB_MORT_miscarriage</vt:lpstr>
      <vt:lpstr>PROB_MORT_no_complication</vt:lpstr>
      <vt:lpstr>PROB_MORT_pre_eclampsia</vt:lpstr>
      <vt:lpstr>PROB_MORT_previa</vt:lpstr>
      <vt:lpstr>PROB_NS_abruption</vt:lpstr>
      <vt:lpstr>PROB_NS_ectopic</vt:lpstr>
      <vt:lpstr>PROB_NS_lbw_fullgest</vt:lpstr>
      <vt:lpstr>PROB_NS_lbw_premature</vt:lpstr>
      <vt:lpstr>PROB_NS_miscarriage</vt:lpstr>
      <vt:lpstr>PROB_NS_pre_eclampsia</vt:lpstr>
      <vt:lpstr>PROB_NS_premature_abruption</vt:lpstr>
      <vt:lpstr>PROB_NS_premature_no_complication</vt:lpstr>
      <vt:lpstr>PROB_NS_premature_pre_eclampsia</vt:lpstr>
      <vt:lpstr>PROB_NS_premature_previa</vt:lpstr>
      <vt:lpstr>PROB_NS_previa</vt:lpstr>
      <vt:lpstr>PROB_NS_stillbirth_lbw_fullgest</vt:lpstr>
      <vt:lpstr>PROB_NS_stillbirth_lbw_premature</vt:lpstr>
      <vt:lpstr>PROB_NS_stillbirth_nbw_fullgest</vt:lpstr>
      <vt:lpstr>PROB_NS_stillbirth_nbw_premature</vt:lpstr>
      <vt:lpstr>PROB_P_01Q_CS_FEMALE</vt:lpstr>
      <vt:lpstr>PROB_P_01Q_CS_MALE</vt:lpstr>
      <vt:lpstr>PROB_P_01Q_CSP</vt:lpstr>
      <vt:lpstr>PROB_P_12Q_01Q</vt:lpstr>
      <vt:lpstr>PROB_P_12Q_QP</vt:lpstr>
      <vt:lpstr>PROB_P_CS_01Q</vt:lpstr>
      <vt:lpstr>PROB_P_CS_12Q</vt:lpstr>
      <vt:lpstr>PROB_P_CS_12Q_QP</vt:lpstr>
      <vt:lpstr>PROB_P_CS_CS_FEMALE</vt:lpstr>
      <vt:lpstr>PROB_P_CS_CS_MALE</vt:lpstr>
      <vt:lpstr>PROB_P_CS_CSP</vt:lpstr>
      <vt:lpstr>PROB_P_CS_LTQ</vt:lpstr>
      <vt:lpstr>PROB_P_CS_QP</vt:lpstr>
      <vt:lpstr>PROB_p_exposed_passive_smoking</vt:lpstr>
      <vt:lpstr>PROB_p_FEMALE_pick_up_smoking_1617</vt:lpstr>
      <vt:lpstr>PROB_p_FEMALE_pick_up_smoking_1819</vt:lpstr>
      <vt:lpstr>PROB_p_FEMALE_pick_up_smoking_2024</vt:lpstr>
      <vt:lpstr>PROB_p_FEMALE_pick_up_smoking_25o</vt:lpstr>
      <vt:lpstr>PROB_p_FEMALE_pick_up_smoking_u16</vt:lpstr>
      <vt:lpstr>PROB_P_LTQ_12Q</vt:lpstr>
      <vt:lpstr>PROB_P_LTQ_12Q_QP</vt:lpstr>
      <vt:lpstr>PROB_P_LTQ_LTQ</vt:lpstr>
      <vt:lpstr>PROB_p_MALE</vt:lpstr>
      <vt:lpstr>PROB_p_MALE_pick_up_smoking_1617</vt:lpstr>
      <vt:lpstr>PROB_p_MALE_pick_up_smoking_1819</vt:lpstr>
      <vt:lpstr>PROB_p_MALE_pick_up_smoking_2024</vt:lpstr>
      <vt:lpstr>PROB_p_MALE_pick_up_smoking_25o</vt:lpstr>
      <vt:lpstr>PROB_p_MALE_pick_up_smoking_u16</vt:lpstr>
      <vt:lpstr>PROB_QR_comparator</vt:lpstr>
      <vt:lpstr>PROB_QR_experimental</vt:lpstr>
      <vt:lpstr>PROB_util_asthma</vt:lpstr>
      <vt:lpstr>PROB_UTIL_chd</vt:lpstr>
      <vt:lpstr>PROB_UTIL_copd</vt:lpstr>
      <vt:lpstr>PROB_UTIL_lc</vt:lpstr>
      <vt:lpstr>PROB_util_nm</vt:lpstr>
      <vt:lpstr>PROB_UTIL_stroke</vt:lpstr>
      <vt:lpstr>PROB_utility_decrement_ectopic</vt:lpstr>
      <vt:lpstr>PROB_utility_decrement_foetal_loss</vt:lpstr>
      <vt:lpstr>reference_age</vt:lpstr>
      <vt:lpstr>Year_of_pregnancy</vt:lpstr>
    </vt:vector>
  </TitlesOfParts>
  <Company>University Of Nottingham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 Matthew</dc:creator>
  <cp:lastModifiedBy>Koh Chin</cp:lastModifiedBy>
  <cp:lastPrinted>2016-11-02T16:27:50Z</cp:lastPrinted>
  <dcterms:created xsi:type="dcterms:W3CDTF">2014-04-10T14:44:04Z</dcterms:created>
  <dcterms:modified xsi:type="dcterms:W3CDTF">2018-05-10T14:29:46Z</dcterms:modified>
</cp:coreProperties>
</file>